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https://mitprod-my.sharepoint.com/personal/serenap_mit_edu/Documents/GitHub/Thermal-Energy-System-Dispatch-and-Sizing-Optimization/CEEW_data/"/>
    </mc:Choice>
  </mc:AlternateContent>
  <xr:revisionPtr revIDLastSave="58" documentId="13_ncr:1_{D3F22174-8777-064D-86B2-74AA0A236FAC}" xr6:coauthVersionLast="47" xr6:coauthVersionMax="47" xr10:uidLastSave="{17BB54A6-A460-A24E-A44D-AA7D43260D8E}"/>
  <bookViews>
    <workbookView xWindow="200" yWindow="500" windowWidth="27800" windowHeight="15800" activeTab="1" xr2:uid="{00000000-000D-0000-FFFF-FFFF00000000}"/>
  </bookViews>
  <sheets>
    <sheet name="Pivot" sheetId="8" r:id="rId1"/>
    <sheet name="Coal savings" sheetId="5" r:id="rId2"/>
    <sheet name="Decommissioned" sheetId="18" r:id="rId3"/>
    <sheet name="Results" sheetId="3" r:id="rId4"/>
    <sheet name="Fixed cost" sheetId="9" r:id="rId5"/>
    <sheet name="Mines " sheetId="6" r:id="rId6"/>
    <sheet name="Sheet2" sheetId="15" r:id="rId7"/>
    <sheet name="Sheet1" sheetId="17" r:id="rId8"/>
    <sheet name="Sheet3" sheetId="13" r:id="rId9"/>
    <sheet name="Sheet4" sheetId="19" r:id="rId10"/>
    <sheet name="Target PLF" sheetId="2" r:id="rId11"/>
    <sheet name="State allocation" sheetId="11" r:id="rId12"/>
    <sheet name="Allocation summary" sheetId="12" r:id="rId13"/>
    <sheet name="Word cloud " sheetId="10" r:id="rId14"/>
    <sheet name="Future scenario" sheetId="16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xlnm._FilterDatabase" localSheetId="1" hidden="1">'Coal savings'!$A$1:$CM$543</definedName>
    <definedName name="_xlnm._FilterDatabase" localSheetId="4" hidden="1">'Fixed cost'!$A$1:$BG$542</definedName>
    <definedName name="_xlnm._FilterDatabase" localSheetId="3" hidden="1">Results!$G$1:$L$52</definedName>
    <definedName name="_xlnm._FilterDatabase" localSheetId="8" hidden="1">Sheet3!$A$1:$Q$542</definedName>
    <definedName name="_xlnm._FilterDatabase" localSheetId="11" hidden="1">'State allocation'!$A$1:$D$542</definedName>
    <definedName name="_xlnm._FilterDatabase" localSheetId="13" hidden="1">'Word cloud '!$R$2:$R$87</definedName>
  </definedNames>
  <calcPr calcId="191029"/>
  <pivotCaches>
    <pivotCache cacheId="0" r:id="rId30"/>
    <pivotCache cacheId="1" r:id="rId31"/>
    <pivotCache cacheId="2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6" i="5" l="1"/>
  <c r="P5" i="5"/>
  <c r="P10" i="5"/>
  <c r="AA7" i="5"/>
  <c r="J17" i="5"/>
  <c r="E3" i="5"/>
  <c r="M214" i="5" l="1"/>
  <c r="AV214" i="5" s="1"/>
  <c r="M215" i="5"/>
  <c r="AV215" i="5" s="1"/>
  <c r="M216" i="5"/>
  <c r="AV216" i="5" s="1"/>
  <c r="M217" i="5"/>
  <c r="AV217" i="5" s="1"/>
  <c r="M218" i="5"/>
  <c r="AV218" i="5" s="1"/>
  <c r="M219" i="5"/>
  <c r="AV219" i="5" s="1"/>
  <c r="M220" i="5"/>
  <c r="AV220" i="5" s="1"/>
  <c r="M221" i="5"/>
  <c r="AV221" i="5" s="1"/>
  <c r="M222" i="5"/>
  <c r="AV222" i="5" s="1"/>
  <c r="M223" i="5"/>
  <c r="AV223" i="5" s="1"/>
  <c r="M224" i="5"/>
  <c r="AV224" i="5" s="1"/>
  <c r="M225" i="5"/>
  <c r="AV225" i="5" s="1"/>
  <c r="M226" i="5"/>
  <c r="AV226" i="5" s="1"/>
  <c r="M227" i="5"/>
  <c r="AV227" i="5" s="1"/>
  <c r="M228" i="5"/>
  <c r="AV228" i="5" s="1"/>
  <c r="M229" i="5"/>
  <c r="AV229" i="5" s="1"/>
  <c r="M230" i="5"/>
  <c r="AV230" i="5" s="1"/>
  <c r="M231" i="5"/>
  <c r="AV231" i="5" s="1"/>
  <c r="M232" i="5"/>
  <c r="AV232" i="5" s="1"/>
  <c r="M233" i="5"/>
  <c r="AV233" i="5" s="1"/>
  <c r="M234" i="5"/>
  <c r="AV234" i="5" s="1"/>
  <c r="M235" i="5"/>
  <c r="AV235" i="5" s="1"/>
  <c r="M236" i="5"/>
  <c r="AV236" i="5" s="1"/>
  <c r="M237" i="5"/>
  <c r="AV237" i="5" s="1"/>
  <c r="M238" i="5"/>
  <c r="AV238" i="5" s="1"/>
  <c r="M239" i="5"/>
  <c r="AV239" i="5" s="1"/>
  <c r="M240" i="5"/>
  <c r="AV240" i="5" s="1"/>
  <c r="M241" i="5"/>
  <c r="AV241" i="5" s="1"/>
  <c r="M242" i="5"/>
  <c r="AV242" i="5" s="1"/>
  <c r="M243" i="5"/>
  <c r="AV243" i="5" s="1"/>
  <c r="M244" i="5"/>
  <c r="AV244" i="5" s="1"/>
  <c r="M245" i="5"/>
  <c r="AV245" i="5" s="1"/>
  <c r="M246" i="5"/>
  <c r="AV246" i="5" s="1"/>
  <c r="M247" i="5"/>
  <c r="AV247" i="5" s="1"/>
  <c r="M248" i="5"/>
  <c r="AV248" i="5" s="1"/>
  <c r="M249" i="5"/>
  <c r="AV249" i="5" s="1"/>
  <c r="M250" i="5"/>
  <c r="AV250" i="5" s="1"/>
  <c r="M251" i="5"/>
  <c r="AV251" i="5" s="1"/>
  <c r="M252" i="5"/>
  <c r="AV252" i="5" s="1"/>
  <c r="M253" i="5"/>
  <c r="AV253" i="5" s="1"/>
  <c r="M254" i="5"/>
  <c r="AV254" i="5" s="1"/>
  <c r="M255" i="5"/>
  <c r="AV255" i="5" s="1"/>
  <c r="M256" i="5"/>
  <c r="AV256" i="5" s="1"/>
  <c r="M257" i="5"/>
  <c r="AV257" i="5" s="1"/>
  <c r="M258" i="5"/>
  <c r="AV258" i="5" s="1"/>
  <c r="M259" i="5"/>
  <c r="AV259" i="5" s="1"/>
  <c r="M260" i="5"/>
  <c r="AV260" i="5" s="1"/>
  <c r="M261" i="5"/>
  <c r="AV261" i="5" s="1"/>
  <c r="M262" i="5"/>
  <c r="AV262" i="5" s="1"/>
  <c r="M263" i="5"/>
  <c r="AV263" i="5" s="1"/>
  <c r="M264" i="5"/>
  <c r="AV264" i="5" s="1"/>
  <c r="M265" i="5"/>
  <c r="AV265" i="5" s="1"/>
  <c r="M266" i="5"/>
  <c r="AV266" i="5" s="1"/>
  <c r="M267" i="5"/>
  <c r="AV267" i="5" s="1"/>
  <c r="M268" i="5"/>
  <c r="AV268" i="5" s="1"/>
  <c r="M269" i="5"/>
  <c r="AV269" i="5" s="1"/>
  <c r="M270" i="5"/>
  <c r="AV270" i="5" s="1"/>
  <c r="M271" i="5"/>
  <c r="AV271" i="5" s="1"/>
  <c r="M272" i="5"/>
  <c r="AV272" i="5" s="1"/>
  <c r="M273" i="5"/>
  <c r="AV273" i="5" s="1"/>
  <c r="M274" i="5"/>
  <c r="AV274" i="5" s="1"/>
  <c r="M275" i="5"/>
  <c r="AV275" i="5" s="1"/>
  <c r="M276" i="5"/>
  <c r="AV276" i="5" s="1"/>
  <c r="M277" i="5"/>
  <c r="AV277" i="5" s="1"/>
  <c r="H547" i="5" l="1"/>
  <c r="C2" i="3"/>
  <c r="G295" i="3" l="1"/>
  <c r="G296" i="3"/>
  <c r="G297" i="3"/>
  <c r="G298" i="3"/>
  <c r="G294" i="3"/>
  <c r="F295" i="3"/>
  <c r="F296" i="3"/>
  <c r="F297" i="3"/>
  <c r="F298" i="3"/>
  <c r="F294" i="3"/>
  <c r="BP4" i="5"/>
  <c r="BP5" i="5"/>
  <c r="BP6" i="5"/>
  <c r="BP7" i="5"/>
  <c r="BP8" i="5"/>
  <c r="BP9" i="5"/>
  <c r="BP10" i="5"/>
  <c r="BP11" i="5"/>
  <c r="BP12" i="5"/>
  <c r="BP13" i="5"/>
  <c r="BP14" i="5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47" i="5"/>
  <c r="BP48" i="5"/>
  <c r="BP49" i="5"/>
  <c r="BP50" i="5"/>
  <c r="BP51" i="5"/>
  <c r="BP52" i="5"/>
  <c r="BP53" i="5"/>
  <c r="BP54" i="5"/>
  <c r="BP55" i="5"/>
  <c r="BP56" i="5"/>
  <c r="BP57" i="5"/>
  <c r="BP58" i="5"/>
  <c r="BP59" i="5"/>
  <c r="BP60" i="5"/>
  <c r="BP61" i="5"/>
  <c r="BP62" i="5"/>
  <c r="BP63" i="5"/>
  <c r="BP64" i="5"/>
  <c r="BP65" i="5"/>
  <c r="BP66" i="5"/>
  <c r="BP67" i="5"/>
  <c r="BP68" i="5"/>
  <c r="BP69" i="5"/>
  <c r="BP70" i="5"/>
  <c r="BP71" i="5"/>
  <c r="BP72" i="5"/>
  <c r="BP73" i="5"/>
  <c r="BP74" i="5"/>
  <c r="BP75" i="5"/>
  <c r="BP76" i="5"/>
  <c r="BP77" i="5"/>
  <c r="BP78" i="5"/>
  <c r="BP79" i="5"/>
  <c r="BP80" i="5"/>
  <c r="BP81" i="5"/>
  <c r="BP82" i="5"/>
  <c r="BP83" i="5"/>
  <c r="BP84" i="5"/>
  <c r="BP85" i="5"/>
  <c r="BP86" i="5"/>
  <c r="BP87" i="5"/>
  <c r="BP88" i="5"/>
  <c r="BP89" i="5"/>
  <c r="BP90" i="5"/>
  <c r="BP91" i="5"/>
  <c r="BP92" i="5"/>
  <c r="BP93" i="5"/>
  <c r="BP94" i="5"/>
  <c r="BP95" i="5"/>
  <c r="BP96" i="5"/>
  <c r="BP97" i="5"/>
  <c r="BP98" i="5"/>
  <c r="BP99" i="5"/>
  <c r="BP100" i="5"/>
  <c r="BP101" i="5"/>
  <c r="BP102" i="5"/>
  <c r="BP103" i="5"/>
  <c r="BP104" i="5"/>
  <c r="BP105" i="5"/>
  <c r="BP106" i="5"/>
  <c r="BP107" i="5"/>
  <c r="BP108" i="5"/>
  <c r="BP109" i="5"/>
  <c r="BP110" i="5"/>
  <c r="BP111" i="5"/>
  <c r="BP112" i="5"/>
  <c r="BP113" i="5"/>
  <c r="BP114" i="5"/>
  <c r="BP115" i="5"/>
  <c r="BP116" i="5"/>
  <c r="BP117" i="5"/>
  <c r="BP118" i="5"/>
  <c r="BP119" i="5"/>
  <c r="BP120" i="5"/>
  <c r="BP121" i="5"/>
  <c r="BP122" i="5"/>
  <c r="BP123" i="5"/>
  <c r="BP124" i="5"/>
  <c r="BP125" i="5"/>
  <c r="BP126" i="5"/>
  <c r="BP127" i="5"/>
  <c r="BP128" i="5"/>
  <c r="BP129" i="5"/>
  <c r="BP130" i="5"/>
  <c r="BP131" i="5"/>
  <c r="BP132" i="5"/>
  <c r="BP133" i="5"/>
  <c r="BP134" i="5"/>
  <c r="BP135" i="5"/>
  <c r="BP136" i="5"/>
  <c r="BP137" i="5"/>
  <c r="BP138" i="5"/>
  <c r="BP139" i="5"/>
  <c r="BP140" i="5"/>
  <c r="BP141" i="5"/>
  <c r="BP142" i="5"/>
  <c r="BP143" i="5"/>
  <c r="BP144" i="5"/>
  <c r="BP145" i="5"/>
  <c r="BP146" i="5"/>
  <c r="BP147" i="5"/>
  <c r="BP148" i="5"/>
  <c r="BP149" i="5"/>
  <c r="BP150" i="5"/>
  <c r="BP151" i="5"/>
  <c r="BP152" i="5"/>
  <c r="BP153" i="5"/>
  <c r="BP154" i="5"/>
  <c r="BP155" i="5"/>
  <c r="BP156" i="5"/>
  <c r="BP157" i="5"/>
  <c r="BP158" i="5"/>
  <c r="BP159" i="5"/>
  <c r="BP160" i="5"/>
  <c r="BP161" i="5"/>
  <c r="BP162" i="5"/>
  <c r="BP163" i="5"/>
  <c r="BP164" i="5"/>
  <c r="BP165" i="5"/>
  <c r="BP166" i="5"/>
  <c r="BP167" i="5"/>
  <c r="BP168" i="5"/>
  <c r="BP169" i="5"/>
  <c r="BP170" i="5"/>
  <c r="BP171" i="5"/>
  <c r="BP172" i="5"/>
  <c r="BP173" i="5"/>
  <c r="BP174" i="5"/>
  <c r="BP175" i="5"/>
  <c r="BP176" i="5"/>
  <c r="BP177" i="5"/>
  <c r="BP178" i="5"/>
  <c r="BP179" i="5"/>
  <c r="BP180" i="5"/>
  <c r="BP181" i="5"/>
  <c r="BP182" i="5"/>
  <c r="BP183" i="5"/>
  <c r="BP184" i="5"/>
  <c r="BP185" i="5"/>
  <c r="BP186" i="5"/>
  <c r="BP187" i="5"/>
  <c r="BP188" i="5"/>
  <c r="BP189" i="5"/>
  <c r="BP190" i="5"/>
  <c r="BP191" i="5"/>
  <c r="BP192" i="5"/>
  <c r="BP193" i="5"/>
  <c r="BP194" i="5"/>
  <c r="BP195" i="5"/>
  <c r="BP196" i="5"/>
  <c r="BP197" i="5"/>
  <c r="BP198" i="5"/>
  <c r="BP199" i="5"/>
  <c r="BP200" i="5"/>
  <c r="BP201" i="5"/>
  <c r="BP202" i="5"/>
  <c r="BP203" i="5"/>
  <c r="BP204" i="5"/>
  <c r="BP205" i="5"/>
  <c r="BP206" i="5"/>
  <c r="BP207" i="5"/>
  <c r="BP208" i="5"/>
  <c r="BP209" i="5"/>
  <c r="BP210" i="5"/>
  <c r="BP211" i="5"/>
  <c r="BP212" i="5"/>
  <c r="BP213" i="5"/>
  <c r="BP214" i="5"/>
  <c r="BP215" i="5"/>
  <c r="BP216" i="5"/>
  <c r="BP217" i="5"/>
  <c r="BP218" i="5"/>
  <c r="BP219" i="5"/>
  <c r="BP220" i="5"/>
  <c r="BP221" i="5"/>
  <c r="BP222" i="5"/>
  <c r="BP223" i="5"/>
  <c r="BP224" i="5"/>
  <c r="BP225" i="5"/>
  <c r="BP226" i="5"/>
  <c r="BP227" i="5"/>
  <c r="BP228" i="5"/>
  <c r="BP229" i="5"/>
  <c r="BP230" i="5"/>
  <c r="BP231" i="5"/>
  <c r="BP232" i="5"/>
  <c r="BP233" i="5"/>
  <c r="BP234" i="5"/>
  <c r="BP235" i="5"/>
  <c r="BP236" i="5"/>
  <c r="BP237" i="5"/>
  <c r="BP238" i="5"/>
  <c r="BP239" i="5"/>
  <c r="BP240" i="5"/>
  <c r="BP241" i="5"/>
  <c r="BP242" i="5"/>
  <c r="BP243" i="5"/>
  <c r="BP244" i="5"/>
  <c r="BP245" i="5"/>
  <c r="BP246" i="5"/>
  <c r="BP247" i="5"/>
  <c r="BP248" i="5"/>
  <c r="BP249" i="5"/>
  <c r="BP250" i="5"/>
  <c r="BP251" i="5"/>
  <c r="BP252" i="5"/>
  <c r="BP253" i="5"/>
  <c r="BP254" i="5"/>
  <c r="BP255" i="5"/>
  <c r="BP256" i="5"/>
  <c r="BP257" i="5"/>
  <c r="BP258" i="5"/>
  <c r="BP259" i="5"/>
  <c r="BP260" i="5"/>
  <c r="BP261" i="5"/>
  <c r="BP262" i="5"/>
  <c r="BP263" i="5"/>
  <c r="BP264" i="5"/>
  <c r="BP265" i="5"/>
  <c r="BP266" i="5"/>
  <c r="BP267" i="5"/>
  <c r="BP268" i="5"/>
  <c r="BP269" i="5"/>
  <c r="BP270" i="5"/>
  <c r="BP271" i="5"/>
  <c r="BP272" i="5"/>
  <c r="BP273" i="5"/>
  <c r="BP274" i="5"/>
  <c r="BP275" i="5"/>
  <c r="BP276" i="5"/>
  <c r="BP277" i="5"/>
  <c r="BP278" i="5"/>
  <c r="BP279" i="5"/>
  <c r="BP280" i="5"/>
  <c r="BP281" i="5"/>
  <c r="BP282" i="5"/>
  <c r="BP283" i="5"/>
  <c r="BP284" i="5"/>
  <c r="BP285" i="5"/>
  <c r="BP286" i="5"/>
  <c r="BP287" i="5"/>
  <c r="BP288" i="5"/>
  <c r="BP289" i="5"/>
  <c r="BP290" i="5"/>
  <c r="BP291" i="5"/>
  <c r="BP292" i="5"/>
  <c r="BP293" i="5"/>
  <c r="BP294" i="5"/>
  <c r="BP295" i="5"/>
  <c r="BP296" i="5"/>
  <c r="BP297" i="5"/>
  <c r="BP298" i="5"/>
  <c r="BP299" i="5"/>
  <c r="BP300" i="5"/>
  <c r="BP301" i="5"/>
  <c r="BP302" i="5"/>
  <c r="BP303" i="5"/>
  <c r="BP304" i="5"/>
  <c r="BP305" i="5"/>
  <c r="BP306" i="5"/>
  <c r="BP307" i="5"/>
  <c r="BP308" i="5"/>
  <c r="BP309" i="5"/>
  <c r="BP310" i="5"/>
  <c r="BP311" i="5"/>
  <c r="BP312" i="5"/>
  <c r="BP313" i="5"/>
  <c r="BP314" i="5"/>
  <c r="BP315" i="5"/>
  <c r="BP316" i="5"/>
  <c r="BP317" i="5"/>
  <c r="BP318" i="5"/>
  <c r="BP319" i="5"/>
  <c r="BP320" i="5"/>
  <c r="BP321" i="5"/>
  <c r="BP322" i="5"/>
  <c r="BP323" i="5"/>
  <c r="BP324" i="5"/>
  <c r="BP325" i="5"/>
  <c r="BP326" i="5"/>
  <c r="BP327" i="5"/>
  <c r="BP328" i="5"/>
  <c r="BP329" i="5"/>
  <c r="BP330" i="5"/>
  <c r="BP331" i="5"/>
  <c r="BP332" i="5"/>
  <c r="BP333" i="5"/>
  <c r="BP334" i="5"/>
  <c r="BP335" i="5"/>
  <c r="BP336" i="5"/>
  <c r="BP337" i="5"/>
  <c r="BP338" i="5"/>
  <c r="BP339" i="5"/>
  <c r="BP340" i="5"/>
  <c r="BP341" i="5"/>
  <c r="BP342" i="5"/>
  <c r="BP343" i="5"/>
  <c r="BP344" i="5"/>
  <c r="BP345" i="5"/>
  <c r="BP346" i="5"/>
  <c r="BP347" i="5"/>
  <c r="BP348" i="5"/>
  <c r="BP349" i="5"/>
  <c r="BP350" i="5"/>
  <c r="BP351" i="5"/>
  <c r="BP352" i="5"/>
  <c r="BP353" i="5"/>
  <c r="BP354" i="5"/>
  <c r="BP355" i="5"/>
  <c r="BP356" i="5"/>
  <c r="BP357" i="5"/>
  <c r="BP358" i="5"/>
  <c r="BP359" i="5"/>
  <c r="BP360" i="5"/>
  <c r="BP361" i="5"/>
  <c r="BP362" i="5"/>
  <c r="BP363" i="5"/>
  <c r="BP364" i="5"/>
  <c r="BP365" i="5"/>
  <c r="BP366" i="5"/>
  <c r="BP367" i="5"/>
  <c r="BP368" i="5"/>
  <c r="BP369" i="5"/>
  <c r="BP370" i="5"/>
  <c r="BP371" i="5"/>
  <c r="BP372" i="5"/>
  <c r="BP373" i="5"/>
  <c r="BP374" i="5"/>
  <c r="BP375" i="5"/>
  <c r="BP376" i="5"/>
  <c r="BP377" i="5"/>
  <c r="BP378" i="5"/>
  <c r="BP379" i="5"/>
  <c r="BP380" i="5"/>
  <c r="BP381" i="5"/>
  <c r="BP382" i="5"/>
  <c r="BP383" i="5"/>
  <c r="BP384" i="5"/>
  <c r="BP385" i="5"/>
  <c r="BP386" i="5"/>
  <c r="BP387" i="5"/>
  <c r="BP388" i="5"/>
  <c r="BP389" i="5"/>
  <c r="BP390" i="5"/>
  <c r="BP391" i="5"/>
  <c r="BP392" i="5"/>
  <c r="BP393" i="5"/>
  <c r="BP394" i="5"/>
  <c r="BP395" i="5"/>
  <c r="BP396" i="5"/>
  <c r="BP397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BP410" i="5"/>
  <c r="BP411" i="5"/>
  <c r="BP412" i="5"/>
  <c r="BP413" i="5"/>
  <c r="BP414" i="5"/>
  <c r="BP415" i="5"/>
  <c r="BP416" i="5"/>
  <c r="BP417" i="5"/>
  <c r="BP418" i="5"/>
  <c r="BP419" i="5"/>
  <c r="BP420" i="5"/>
  <c r="BP421" i="5"/>
  <c r="BP422" i="5"/>
  <c r="BP423" i="5"/>
  <c r="BP424" i="5"/>
  <c r="BP425" i="5"/>
  <c r="BP426" i="5"/>
  <c r="BP427" i="5"/>
  <c r="BP428" i="5"/>
  <c r="BP429" i="5"/>
  <c r="BP430" i="5"/>
  <c r="BP431" i="5"/>
  <c r="BP432" i="5"/>
  <c r="BP433" i="5"/>
  <c r="BP434" i="5"/>
  <c r="BP435" i="5"/>
  <c r="BP436" i="5"/>
  <c r="BP437" i="5"/>
  <c r="BP438" i="5"/>
  <c r="BP439" i="5"/>
  <c r="BP440" i="5"/>
  <c r="BP441" i="5"/>
  <c r="BP442" i="5"/>
  <c r="BP443" i="5"/>
  <c r="BP444" i="5"/>
  <c r="BP445" i="5"/>
  <c r="BP446" i="5"/>
  <c r="BP447" i="5"/>
  <c r="BP448" i="5"/>
  <c r="BP449" i="5"/>
  <c r="BP450" i="5"/>
  <c r="BP451" i="5"/>
  <c r="BP452" i="5"/>
  <c r="BP453" i="5"/>
  <c r="BP454" i="5"/>
  <c r="BP455" i="5"/>
  <c r="BP456" i="5"/>
  <c r="BP457" i="5"/>
  <c r="BP458" i="5"/>
  <c r="BP459" i="5"/>
  <c r="BP460" i="5"/>
  <c r="BP461" i="5"/>
  <c r="BP462" i="5"/>
  <c r="BP463" i="5"/>
  <c r="BP464" i="5"/>
  <c r="BP465" i="5"/>
  <c r="BP466" i="5"/>
  <c r="BP467" i="5"/>
  <c r="BP468" i="5"/>
  <c r="BP469" i="5"/>
  <c r="BP470" i="5"/>
  <c r="BP471" i="5"/>
  <c r="BP472" i="5"/>
  <c r="BP473" i="5"/>
  <c r="BP474" i="5"/>
  <c r="BP475" i="5"/>
  <c r="BP476" i="5"/>
  <c r="BP477" i="5"/>
  <c r="BP478" i="5"/>
  <c r="BP479" i="5"/>
  <c r="BP480" i="5"/>
  <c r="BP481" i="5"/>
  <c r="BP482" i="5"/>
  <c r="BP483" i="5"/>
  <c r="BP484" i="5"/>
  <c r="BP485" i="5"/>
  <c r="BP486" i="5"/>
  <c r="BP487" i="5"/>
  <c r="BP488" i="5"/>
  <c r="BP489" i="5"/>
  <c r="BP490" i="5"/>
  <c r="BP491" i="5"/>
  <c r="BP492" i="5"/>
  <c r="BP493" i="5"/>
  <c r="BP494" i="5"/>
  <c r="BP495" i="5"/>
  <c r="BP496" i="5"/>
  <c r="BP497" i="5"/>
  <c r="BP498" i="5"/>
  <c r="BP499" i="5"/>
  <c r="BP500" i="5"/>
  <c r="BP501" i="5"/>
  <c r="BP502" i="5"/>
  <c r="BP503" i="5"/>
  <c r="BP504" i="5"/>
  <c r="BP505" i="5"/>
  <c r="BP506" i="5"/>
  <c r="BP507" i="5"/>
  <c r="BP508" i="5"/>
  <c r="BP509" i="5"/>
  <c r="BP510" i="5"/>
  <c r="BP511" i="5"/>
  <c r="BP512" i="5"/>
  <c r="BP513" i="5"/>
  <c r="BP514" i="5"/>
  <c r="BP515" i="5"/>
  <c r="BP516" i="5"/>
  <c r="BP517" i="5"/>
  <c r="BP518" i="5"/>
  <c r="BP519" i="5"/>
  <c r="BP520" i="5"/>
  <c r="BP521" i="5"/>
  <c r="BP522" i="5"/>
  <c r="BP523" i="5"/>
  <c r="BP524" i="5"/>
  <c r="BP525" i="5"/>
  <c r="BP526" i="5"/>
  <c r="BP527" i="5"/>
  <c r="BP528" i="5"/>
  <c r="BP529" i="5"/>
  <c r="BP530" i="5"/>
  <c r="BP531" i="5"/>
  <c r="BP532" i="5"/>
  <c r="BP533" i="5"/>
  <c r="BP534" i="5"/>
  <c r="BP535" i="5"/>
  <c r="BP536" i="5"/>
  <c r="BP537" i="5"/>
  <c r="BP538" i="5"/>
  <c r="BP539" i="5"/>
  <c r="BP540" i="5"/>
  <c r="BP541" i="5"/>
  <c r="BP542" i="5"/>
  <c r="BP543" i="5"/>
  <c r="BP3" i="5"/>
  <c r="R23" i="3" l="1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22" i="3"/>
  <c r="Q39" i="3" l="1"/>
  <c r="R39" i="3"/>
  <c r="P39" i="3"/>
  <c r="C268" i="3"/>
  <c r="H264" i="3"/>
  <c r="I264" i="3"/>
  <c r="H265" i="3"/>
  <c r="I265" i="3"/>
  <c r="H266" i="3"/>
  <c r="I266" i="3"/>
  <c r="H267" i="3"/>
  <c r="I267" i="3"/>
  <c r="I263" i="3"/>
  <c r="H263" i="3"/>
  <c r="H268" i="3" l="1"/>
  <c r="I268" i="3"/>
  <c r="BL107" i="5"/>
  <c r="BN107" i="5" s="1"/>
  <c r="BM107" i="5"/>
  <c r="BO107" i="5" s="1"/>
  <c r="BL43" i="5"/>
  <c r="BN43" i="5" s="1"/>
  <c r="BM43" i="5"/>
  <c r="BO43" i="5" s="1"/>
  <c r="BL38" i="5"/>
  <c r="BN38" i="5" s="1"/>
  <c r="BM38" i="5"/>
  <c r="BO38" i="5" s="1"/>
  <c r="BL47" i="5"/>
  <c r="BN47" i="5" s="1"/>
  <c r="BM47" i="5"/>
  <c r="BO47" i="5" s="1"/>
  <c r="BL52" i="5"/>
  <c r="BN52" i="5" s="1"/>
  <c r="BM52" i="5"/>
  <c r="BO52" i="5" s="1"/>
  <c r="BL109" i="5"/>
  <c r="BN109" i="5" s="1"/>
  <c r="BM109" i="5"/>
  <c r="BO109" i="5" s="1"/>
  <c r="BL104" i="5"/>
  <c r="BN104" i="5" s="1"/>
  <c r="BM104" i="5"/>
  <c r="BO104" i="5" s="1"/>
  <c r="BL44" i="5"/>
  <c r="BN44" i="5" s="1"/>
  <c r="BM44" i="5"/>
  <c r="BO44" i="5" s="1"/>
  <c r="BL45" i="5"/>
  <c r="BN45" i="5" s="1"/>
  <c r="BM45" i="5"/>
  <c r="BO45" i="5" s="1"/>
  <c r="BL61" i="5"/>
  <c r="BN61" i="5" s="1"/>
  <c r="BM61" i="5"/>
  <c r="BO61" i="5" s="1"/>
  <c r="BL57" i="5"/>
  <c r="BN57" i="5" s="1"/>
  <c r="BM57" i="5"/>
  <c r="BO57" i="5" s="1"/>
  <c r="BL105" i="5"/>
  <c r="BM105" i="5"/>
  <c r="BL55" i="5"/>
  <c r="BN55" i="5" s="1"/>
  <c r="BM55" i="5"/>
  <c r="BO55" i="5" s="1"/>
  <c r="BL163" i="5"/>
  <c r="BN163" i="5" s="1"/>
  <c r="BM163" i="5"/>
  <c r="BO163" i="5" s="1"/>
  <c r="BL50" i="5"/>
  <c r="BN50" i="5" s="1"/>
  <c r="BM50" i="5"/>
  <c r="BO50" i="5" s="1"/>
  <c r="BL40" i="5"/>
  <c r="BN40" i="5" s="1"/>
  <c r="BM40" i="5"/>
  <c r="BO40" i="5" s="1"/>
  <c r="BL48" i="5"/>
  <c r="BN48" i="5" s="1"/>
  <c r="BM48" i="5"/>
  <c r="BO48" i="5" s="1"/>
  <c r="BL74" i="5"/>
  <c r="BN74" i="5" s="1"/>
  <c r="BM74" i="5"/>
  <c r="BO74" i="5" s="1"/>
  <c r="BL49" i="5"/>
  <c r="BN49" i="5" s="1"/>
  <c r="BM49" i="5"/>
  <c r="BO49" i="5" s="1"/>
  <c r="BL58" i="5"/>
  <c r="BN58" i="5" s="1"/>
  <c r="BM58" i="5"/>
  <c r="BO58" i="5" s="1"/>
  <c r="BL64" i="5"/>
  <c r="BN64" i="5" s="1"/>
  <c r="BM64" i="5"/>
  <c r="BO64" i="5" s="1"/>
  <c r="BL103" i="5"/>
  <c r="BN103" i="5" s="1"/>
  <c r="BM103" i="5"/>
  <c r="BO103" i="5" s="1"/>
  <c r="BL173" i="5"/>
  <c r="BN173" i="5" s="1"/>
  <c r="BM173" i="5"/>
  <c r="BO173" i="5" s="1"/>
  <c r="BL51" i="5"/>
  <c r="BN51" i="5" s="1"/>
  <c r="BM51" i="5"/>
  <c r="BO51" i="5" s="1"/>
  <c r="BL127" i="5"/>
  <c r="BN127" i="5" s="1"/>
  <c r="BM127" i="5"/>
  <c r="BO127" i="5" s="1"/>
  <c r="BL129" i="5"/>
  <c r="BM129" i="5"/>
  <c r="BL108" i="5"/>
  <c r="BM108" i="5"/>
  <c r="BL77" i="5"/>
  <c r="BN77" i="5" s="1"/>
  <c r="BM77" i="5"/>
  <c r="BO77" i="5" s="1"/>
  <c r="BL54" i="5"/>
  <c r="BN54" i="5" s="1"/>
  <c r="BM54" i="5"/>
  <c r="BO54" i="5" s="1"/>
  <c r="BL217" i="5"/>
  <c r="BN217" i="5" s="1"/>
  <c r="BM217" i="5"/>
  <c r="BO217" i="5" s="1"/>
  <c r="BL178" i="5"/>
  <c r="BN178" i="5" s="1"/>
  <c r="BM178" i="5"/>
  <c r="BO178" i="5" s="1"/>
  <c r="BL120" i="5"/>
  <c r="BM120" i="5"/>
  <c r="BL132" i="5"/>
  <c r="BM132" i="5"/>
  <c r="BL170" i="5"/>
  <c r="BM170" i="5"/>
  <c r="BL149" i="5"/>
  <c r="BN149" i="5" s="1"/>
  <c r="BM149" i="5"/>
  <c r="BO149" i="5" s="1"/>
  <c r="BL60" i="5"/>
  <c r="BN60" i="5" s="1"/>
  <c r="BM60" i="5"/>
  <c r="BO60" i="5" s="1"/>
  <c r="BL133" i="5"/>
  <c r="BN133" i="5" s="1"/>
  <c r="BM133" i="5"/>
  <c r="BO133" i="5" s="1"/>
  <c r="BL171" i="5"/>
  <c r="BN171" i="5" s="1"/>
  <c r="BM171" i="5"/>
  <c r="BO171" i="5" s="1"/>
  <c r="BL87" i="5"/>
  <c r="BN87" i="5" s="1"/>
  <c r="BM87" i="5"/>
  <c r="BO87" i="5" s="1"/>
  <c r="BL233" i="5"/>
  <c r="BN233" i="5" s="1"/>
  <c r="BM233" i="5"/>
  <c r="BO233" i="5" s="1"/>
  <c r="BL162" i="5"/>
  <c r="BN162" i="5" s="1"/>
  <c r="BM162" i="5"/>
  <c r="BO162" i="5" s="1"/>
  <c r="BL224" i="5"/>
  <c r="BN224" i="5" s="1"/>
  <c r="BM224" i="5"/>
  <c r="BO224" i="5" s="1"/>
  <c r="BL201" i="5"/>
  <c r="BN201" i="5" s="1"/>
  <c r="BM201" i="5"/>
  <c r="BO201" i="5" s="1"/>
  <c r="BL230" i="5"/>
  <c r="BN230" i="5" s="1"/>
  <c r="BM230" i="5"/>
  <c r="BO230" i="5" s="1"/>
  <c r="BL164" i="5"/>
  <c r="BN164" i="5" s="1"/>
  <c r="BM164" i="5"/>
  <c r="BO164" i="5" s="1"/>
  <c r="BL175" i="5"/>
  <c r="BN175" i="5" s="1"/>
  <c r="BM175" i="5"/>
  <c r="BO175" i="5" s="1"/>
  <c r="BL240" i="5"/>
  <c r="BN240" i="5" s="1"/>
  <c r="BM240" i="5"/>
  <c r="BO240" i="5" s="1"/>
  <c r="BL242" i="5"/>
  <c r="BN242" i="5" s="1"/>
  <c r="BM242" i="5"/>
  <c r="BO242" i="5" s="1"/>
  <c r="BL204" i="5"/>
  <c r="BN204" i="5" s="1"/>
  <c r="BM204" i="5"/>
  <c r="BO204" i="5" s="1"/>
  <c r="BL180" i="5"/>
  <c r="BM180" i="5"/>
  <c r="BL179" i="5"/>
  <c r="BN179" i="5" s="1"/>
  <c r="BM179" i="5"/>
  <c r="BO179" i="5" s="1"/>
  <c r="BL174" i="5"/>
  <c r="BN174" i="5" s="1"/>
  <c r="BM174" i="5"/>
  <c r="BO174" i="5" s="1"/>
  <c r="BL229" i="5"/>
  <c r="BN229" i="5" s="1"/>
  <c r="BM229" i="5"/>
  <c r="BO229" i="5" s="1"/>
  <c r="BL222" i="5"/>
  <c r="BN222" i="5" s="1"/>
  <c r="BM222" i="5"/>
  <c r="BO222" i="5" s="1"/>
  <c r="BL169" i="5"/>
  <c r="BN169" i="5" s="1"/>
  <c r="BM169" i="5"/>
  <c r="BO169" i="5" s="1"/>
  <c r="BL172" i="5"/>
  <c r="BN172" i="5" s="1"/>
  <c r="BM172" i="5"/>
  <c r="BO172" i="5" s="1"/>
  <c r="BL160" i="5"/>
  <c r="BN160" i="5" s="1"/>
  <c r="BM160" i="5"/>
  <c r="BO160" i="5" s="1"/>
  <c r="BL185" i="5"/>
  <c r="BN185" i="5" s="1"/>
  <c r="BM185" i="5"/>
  <c r="BO185" i="5" s="1"/>
  <c r="BL122" i="5"/>
  <c r="BN122" i="5" s="1"/>
  <c r="BM122" i="5"/>
  <c r="BO122" i="5" s="1"/>
  <c r="BL59" i="5"/>
  <c r="BN59" i="5" s="1"/>
  <c r="BM59" i="5"/>
  <c r="BO59" i="5" s="1"/>
  <c r="BL181" i="5"/>
  <c r="BM181" i="5"/>
  <c r="BL221" i="5"/>
  <c r="BN221" i="5" s="1"/>
  <c r="BM221" i="5"/>
  <c r="BO221" i="5" s="1"/>
  <c r="BL153" i="5"/>
  <c r="BN153" i="5" s="1"/>
  <c r="BM153" i="5"/>
  <c r="BO153" i="5" s="1"/>
  <c r="BL140" i="5"/>
  <c r="BN140" i="5" s="1"/>
  <c r="BM140" i="5"/>
  <c r="BO140" i="5" s="1"/>
  <c r="BL67" i="5"/>
  <c r="BN67" i="5" s="1"/>
  <c r="BM67" i="5"/>
  <c r="BO67" i="5" s="1"/>
  <c r="BL78" i="5"/>
  <c r="BM78" i="5"/>
  <c r="BL168" i="5"/>
  <c r="BM168" i="5"/>
  <c r="BL69" i="5"/>
  <c r="BN69" i="5" s="1"/>
  <c r="BM69" i="5"/>
  <c r="BO69" i="5" s="1"/>
  <c r="BL223" i="5"/>
  <c r="BN223" i="5" s="1"/>
  <c r="BM223" i="5"/>
  <c r="BO223" i="5" s="1"/>
  <c r="BL189" i="5"/>
  <c r="BN189" i="5" s="1"/>
  <c r="BM189" i="5"/>
  <c r="BO189" i="5" s="1"/>
  <c r="BL71" i="5"/>
  <c r="BN71" i="5" s="1"/>
  <c r="BM71" i="5"/>
  <c r="BO71" i="5" s="1"/>
  <c r="BL39" i="5"/>
  <c r="BN39" i="5" s="1"/>
  <c r="BM39" i="5"/>
  <c r="BO39" i="5" s="1"/>
  <c r="BL42" i="5"/>
  <c r="BN42" i="5" s="1"/>
  <c r="BM42" i="5"/>
  <c r="BO42" i="5" s="1"/>
  <c r="BL212" i="5"/>
  <c r="BN212" i="5" s="1"/>
  <c r="BM212" i="5"/>
  <c r="BO212" i="5" s="1"/>
  <c r="BL216" i="5"/>
  <c r="BN216" i="5" s="1"/>
  <c r="BM216" i="5"/>
  <c r="BO216" i="5" s="1"/>
  <c r="BL214" i="5"/>
  <c r="BN214" i="5" s="1"/>
  <c r="BM214" i="5"/>
  <c r="BO214" i="5" s="1"/>
  <c r="BL56" i="5"/>
  <c r="BN56" i="5" s="1"/>
  <c r="BM56" i="5"/>
  <c r="BO56" i="5" s="1"/>
  <c r="BL215" i="5"/>
  <c r="BN215" i="5" s="1"/>
  <c r="BM215" i="5"/>
  <c r="BO215" i="5" s="1"/>
  <c r="BL13" i="5"/>
  <c r="BN13" i="5" s="1"/>
  <c r="BM13" i="5"/>
  <c r="BO13" i="5" s="1"/>
  <c r="BL136" i="5"/>
  <c r="BN136" i="5" s="1"/>
  <c r="BM136" i="5"/>
  <c r="BO136" i="5" s="1"/>
  <c r="BL75" i="5"/>
  <c r="BN75" i="5" s="1"/>
  <c r="BM75" i="5"/>
  <c r="BO75" i="5" s="1"/>
  <c r="BL70" i="5"/>
  <c r="BM70" i="5"/>
  <c r="BL165" i="5"/>
  <c r="BN165" i="5" s="1"/>
  <c r="BM165" i="5"/>
  <c r="BO165" i="5" s="1"/>
  <c r="BL124" i="5"/>
  <c r="BN124" i="5" s="1"/>
  <c r="BM124" i="5"/>
  <c r="BO124" i="5" s="1"/>
  <c r="BL65" i="5"/>
  <c r="BN65" i="5" s="1"/>
  <c r="BM65" i="5"/>
  <c r="BO65" i="5" s="1"/>
  <c r="BL218" i="5"/>
  <c r="BN218" i="5" s="1"/>
  <c r="BM218" i="5"/>
  <c r="BO218" i="5" s="1"/>
  <c r="BL228" i="5"/>
  <c r="BN228" i="5" s="1"/>
  <c r="BM228" i="5"/>
  <c r="BO228" i="5" s="1"/>
  <c r="BL62" i="5"/>
  <c r="BN62" i="5" s="1"/>
  <c r="BM62" i="5"/>
  <c r="BO62" i="5" s="1"/>
  <c r="BL89" i="5"/>
  <c r="BM89" i="5"/>
  <c r="BL30" i="5"/>
  <c r="BM30" i="5"/>
  <c r="BL121" i="5"/>
  <c r="BN121" i="5" s="1"/>
  <c r="BM121" i="5"/>
  <c r="BO121" i="5" s="1"/>
  <c r="BL183" i="5"/>
  <c r="BN183" i="5" s="1"/>
  <c r="BM183" i="5"/>
  <c r="BO183" i="5" s="1"/>
  <c r="BL81" i="5"/>
  <c r="BN81" i="5" s="1"/>
  <c r="BM81" i="5"/>
  <c r="BO81" i="5" s="1"/>
  <c r="BL148" i="5"/>
  <c r="BM148" i="5"/>
  <c r="BL159" i="5"/>
  <c r="BN159" i="5" s="1"/>
  <c r="BM159" i="5"/>
  <c r="BO159" i="5" s="1"/>
  <c r="BL511" i="5"/>
  <c r="BN511" i="5" s="1"/>
  <c r="BM511" i="5"/>
  <c r="BO511" i="5" s="1"/>
  <c r="BL188" i="5"/>
  <c r="BN188" i="5" s="1"/>
  <c r="BM188" i="5"/>
  <c r="BO188" i="5" s="1"/>
  <c r="BL155" i="5"/>
  <c r="BN155" i="5" s="1"/>
  <c r="BM155" i="5"/>
  <c r="BO155" i="5" s="1"/>
  <c r="BL123" i="5"/>
  <c r="BN123" i="5" s="1"/>
  <c r="BM123" i="5"/>
  <c r="BO123" i="5" s="1"/>
  <c r="BL147" i="5"/>
  <c r="BN147" i="5" s="1"/>
  <c r="BM147" i="5"/>
  <c r="BO147" i="5" s="1"/>
  <c r="BL80" i="5"/>
  <c r="BM80" i="5"/>
  <c r="BL14" i="5"/>
  <c r="BN14" i="5" s="1"/>
  <c r="BM14" i="5"/>
  <c r="BO14" i="5" s="1"/>
  <c r="BL139" i="5"/>
  <c r="BN139" i="5" s="1"/>
  <c r="BM139" i="5"/>
  <c r="BO139" i="5" s="1"/>
  <c r="BL146" i="5"/>
  <c r="BN146" i="5" s="1"/>
  <c r="BM146" i="5"/>
  <c r="BO146" i="5" s="1"/>
  <c r="BL145" i="5"/>
  <c r="BN145" i="5" s="1"/>
  <c r="BM145" i="5"/>
  <c r="BO145" i="5" s="1"/>
  <c r="BL138" i="5"/>
  <c r="BN138" i="5" s="1"/>
  <c r="BM138" i="5"/>
  <c r="BO138" i="5" s="1"/>
  <c r="BL190" i="5"/>
  <c r="BN190" i="5" s="1"/>
  <c r="BM190" i="5"/>
  <c r="BO190" i="5" s="1"/>
  <c r="BL41" i="5"/>
  <c r="BM41" i="5"/>
  <c r="BL130" i="5"/>
  <c r="BN130" i="5" s="1"/>
  <c r="BM130" i="5"/>
  <c r="BO130" i="5" s="1"/>
  <c r="BL117" i="5"/>
  <c r="BM117" i="5"/>
  <c r="BL37" i="5"/>
  <c r="BN37" i="5" s="1"/>
  <c r="BM37" i="5"/>
  <c r="BO37" i="5" s="1"/>
  <c r="BL118" i="5"/>
  <c r="BM118" i="5"/>
  <c r="BL151" i="5"/>
  <c r="BN151" i="5" s="1"/>
  <c r="BM151" i="5"/>
  <c r="BO151" i="5" s="1"/>
  <c r="BL125" i="5"/>
  <c r="BN125" i="5" s="1"/>
  <c r="BM125" i="5"/>
  <c r="BO125" i="5" s="1"/>
  <c r="BL177" i="5"/>
  <c r="BN177" i="5" s="1"/>
  <c r="BM177" i="5"/>
  <c r="BO177" i="5" s="1"/>
  <c r="BL192" i="5"/>
  <c r="BN192" i="5" s="1"/>
  <c r="BM192" i="5"/>
  <c r="BO192" i="5" s="1"/>
  <c r="BL150" i="5"/>
  <c r="BM150" i="5"/>
  <c r="BL91" i="5"/>
  <c r="BN91" i="5" s="1"/>
  <c r="BM91" i="5"/>
  <c r="BO91" i="5" s="1"/>
  <c r="BL166" i="5"/>
  <c r="BN166" i="5" s="1"/>
  <c r="BM166" i="5"/>
  <c r="BO166" i="5" s="1"/>
  <c r="BL116" i="5"/>
  <c r="BN116" i="5" s="1"/>
  <c r="BM116" i="5"/>
  <c r="BO116" i="5" s="1"/>
  <c r="BL31" i="5"/>
  <c r="BN31" i="5" s="1"/>
  <c r="BM31" i="5"/>
  <c r="BO31" i="5" s="1"/>
  <c r="BL53" i="5"/>
  <c r="BN53" i="5" s="1"/>
  <c r="BM53" i="5"/>
  <c r="BO53" i="5" s="1"/>
  <c r="BL143" i="5"/>
  <c r="BN143" i="5" s="1"/>
  <c r="BM143" i="5"/>
  <c r="BO143" i="5" s="1"/>
  <c r="BL92" i="5"/>
  <c r="BN92" i="5" s="1"/>
  <c r="BM92" i="5"/>
  <c r="BO92" i="5" s="1"/>
  <c r="BL220" i="5"/>
  <c r="BN220" i="5" s="1"/>
  <c r="BM220" i="5"/>
  <c r="BO220" i="5" s="1"/>
  <c r="BL46" i="5"/>
  <c r="BN46" i="5" s="1"/>
  <c r="BM46" i="5"/>
  <c r="BO46" i="5" s="1"/>
  <c r="BL28" i="5"/>
  <c r="BM28" i="5"/>
  <c r="BL72" i="5"/>
  <c r="BM72" i="5"/>
  <c r="BL29" i="5"/>
  <c r="BM29" i="5"/>
  <c r="BL88" i="5"/>
  <c r="BN88" i="5" s="1"/>
  <c r="BM88" i="5"/>
  <c r="BO88" i="5" s="1"/>
  <c r="BL32" i="5"/>
  <c r="BN32" i="5" s="1"/>
  <c r="BM32" i="5"/>
  <c r="BO32" i="5" s="1"/>
  <c r="BL85" i="5"/>
  <c r="BN85" i="5" s="1"/>
  <c r="BM85" i="5"/>
  <c r="BO85" i="5" s="1"/>
  <c r="BL144" i="5"/>
  <c r="BN144" i="5" s="1"/>
  <c r="BM144" i="5"/>
  <c r="BO144" i="5" s="1"/>
  <c r="BL73" i="5"/>
  <c r="BN73" i="5" s="1"/>
  <c r="BM73" i="5"/>
  <c r="BO73" i="5" s="1"/>
  <c r="BL158" i="5"/>
  <c r="BN158" i="5" s="1"/>
  <c r="BM158" i="5"/>
  <c r="BO158" i="5" s="1"/>
  <c r="BL84" i="5"/>
  <c r="BM84" i="5"/>
  <c r="BL207" i="5"/>
  <c r="BN207" i="5" s="1"/>
  <c r="BM207" i="5"/>
  <c r="BO207" i="5" s="1"/>
  <c r="BL195" i="5"/>
  <c r="BN195" i="5" s="1"/>
  <c r="BM195" i="5"/>
  <c r="BO195" i="5" s="1"/>
  <c r="BL26" i="5"/>
  <c r="BN26" i="5" s="1"/>
  <c r="BM26" i="5"/>
  <c r="BO26" i="5" s="1"/>
  <c r="BL141" i="5"/>
  <c r="BN141" i="5" s="1"/>
  <c r="BM141" i="5"/>
  <c r="BO141" i="5" s="1"/>
  <c r="BL134" i="5"/>
  <c r="BN134" i="5" s="1"/>
  <c r="BM134" i="5"/>
  <c r="BO134" i="5" s="1"/>
  <c r="BL176" i="5"/>
  <c r="BN176" i="5" s="1"/>
  <c r="BM176" i="5"/>
  <c r="BO176" i="5" s="1"/>
  <c r="BL137" i="5"/>
  <c r="BN137" i="5" s="1"/>
  <c r="BM137" i="5"/>
  <c r="BO137" i="5" s="1"/>
  <c r="BL208" i="5"/>
  <c r="BN208" i="5" s="1"/>
  <c r="BM208" i="5"/>
  <c r="BO208" i="5" s="1"/>
  <c r="BL131" i="5"/>
  <c r="BN131" i="5" s="1"/>
  <c r="BM131" i="5"/>
  <c r="BO131" i="5" s="1"/>
  <c r="BL209" i="5"/>
  <c r="BN209" i="5" s="1"/>
  <c r="BM209" i="5"/>
  <c r="BO209" i="5" s="1"/>
  <c r="BL33" i="5"/>
  <c r="BN33" i="5" s="1"/>
  <c r="BM33" i="5"/>
  <c r="BO33" i="5" s="1"/>
  <c r="BL338" i="5"/>
  <c r="BN338" i="5" s="1"/>
  <c r="BM338" i="5"/>
  <c r="BO338" i="5" s="1"/>
  <c r="BL206" i="5"/>
  <c r="BM206" i="5"/>
  <c r="BL194" i="5"/>
  <c r="BN194" i="5" s="1"/>
  <c r="BM194" i="5"/>
  <c r="BO194" i="5" s="1"/>
  <c r="BL79" i="5"/>
  <c r="BN79" i="5" s="1"/>
  <c r="BM79" i="5"/>
  <c r="BO79" i="5" s="1"/>
  <c r="BL219" i="5"/>
  <c r="BN219" i="5" s="1"/>
  <c r="BM219" i="5"/>
  <c r="BO219" i="5" s="1"/>
  <c r="BL405" i="5"/>
  <c r="BN405" i="5" s="1"/>
  <c r="BM405" i="5"/>
  <c r="BO405" i="5" s="1"/>
  <c r="BL406" i="5"/>
  <c r="BN406" i="5" s="1"/>
  <c r="BM406" i="5"/>
  <c r="BO406" i="5" s="1"/>
  <c r="BL94" i="5"/>
  <c r="BN94" i="5" s="1"/>
  <c r="BM94" i="5"/>
  <c r="BO94" i="5" s="1"/>
  <c r="BL407" i="5"/>
  <c r="BN407" i="5" s="1"/>
  <c r="BM407" i="5"/>
  <c r="BO407" i="5" s="1"/>
  <c r="BL210" i="5"/>
  <c r="BN210" i="5" s="1"/>
  <c r="BM210" i="5"/>
  <c r="BO210" i="5" s="1"/>
  <c r="BL76" i="5"/>
  <c r="BN76" i="5" s="1"/>
  <c r="BM76" i="5"/>
  <c r="BO76" i="5" s="1"/>
  <c r="BL196" i="5"/>
  <c r="BN196" i="5" s="1"/>
  <c r="BM196" i="5"/>
  <c r="BO196" i="5" s="1"/>
  <c r="BL198" i="5"/>
  <c r="BN198" i="5" s="1"/>
  <c r="BM198" i="5"/>
  <c r="BO198" i="5" s="1"/>
  <c r="BL300" i="5"/>
  <c r="BN300" i="5" s="1"/>
  <c r="BM300" i="5"/>
  <c r="BO300" i="5" s="1"/>
  <c r="BL34" i="5"/>
  <c r="BN34" i="5" s="1"/>
  <c r="BM34" i="5"/>
  <c r="BO34" i="5" s="1"/>
  <c r="BL255" i="5"/>
  <c r="BN255" i="5" s="1"/>
  <c r="BM255" i="5"/>
  <c r="BO255" i="5" s="1"/>
  <c r="BL119" i="5"/>
  <c r="BN119" i="5" s="1"/>
  <c r="BM119" i="5"/>
  <c r="BO119" i="5" s="1"/>
  <c r="BL298" i="5"/>
  <c r="BN298" i="5" s="1"/>
  <c r="BM298" i="5"/>
  <c r="BO298" i="5" s="1"/>
  <c r="BL321" i="5"/>
  <c r="BM321" i="5"/>
  <c r="BL341" i="5"/>
  <c r="BN341" i="5" s="1"/>
  <c r="BM341" i="5"/>
  <c r="BO341" i="5" s="1"/>
  <c r="BL340" i="5"/>
  <c r="BN340" i="5" s="1"/>
  <c r="BM340" i="5"/>
  <c r="BO340" i="5" s="1"/>
  <c r="BL35" i="5"/>
  <c r="BM35" i="5"/>
  <c r="BL404" i="5"/>
  <c r="BN404" i="5" s="1"/>
  <c r="BM404" i="5"/>
  <c r="BO404" i="5" s="1"/>
  <c r="BL200" i="5"/>
  <c r="BN200" i="5" s="1"/>
  <c r="BM200" i="5"/>
  <c r="BO200" i="5" s="1"/>
  <c r="BL320" i="5"/>
  <c r="BM320" i="5"/>
  <c r="BL152" i="5"/>
  <c r="BN152" i="5" s="1"/>
  <c r="BM152" i="5"/>
  <c r="BO152" i="5" s="1"/>
  <c r="BL98" i="5"/>
  <c r="BN98" i="5" s="1"/>
  <c r="BM98" i="5"/>
  <c r="BO98" i="5" s="1"/>
  <c r="BL135" i="5"/>
  <c r="BN135" i="5" s="1"/>
  <c r="BM135" i="5"/>
  <c r="BO135" i="5" s="1"/>
  <c r="BL249" i="5"/>
  <c r="BN249" i="5" s="1"/>
  <c r="BM249" i="5"/>
  <c r="BO249" i="5" s="1"/>
  <c r="BL157" i="5"/>
  <c r="BN157" i="5" s="1"/>
  <c r="BM157" i="5"/>
  <c r="BO157" i="5" s="1"/>
  <c r="BL306" i="5"/>
  <c r="BN306" i="5" s="1"/>
  <c r="BM306" i="5"/>
  <c r="BO306" i="5" s="1"/>
  <c r="BL126" i="5"/>
  <c r="BN126" i="5" s="1"/>
  <c r="BM126" i="5"/>
  <c r="BO126" i="5" s="1"/>
  <c r="BL82" i="5"/>
  <c r="BN82" i="5" s="1"/>
  <c r="BM82" i="5"/>
  <c r="BO82" i="5" s="1"/>
  <c r="BL299" i="5"/>
  <c r="BN299" i="5" s="1"/>
  <c r="BM299" i="5"/>
  <c r="BO299" i="5" s="1"/>
  <c r="BL304" i="5"/>
  <c r="BN304" i="5" s="1"/>
  <c r="BM304" i="5"/>
  <c r="BO304" i="5" s="1"/>
  <c r="BL260" i="5"/>
  <c r="BM260" i="5"/>
  <c r="BL186" i="5"/>
  <c r="BN186" i="5" s="1"/>
  <c r="BM186" i="5"/>
  <c r="BO186" i="5" s="1"/>
  <c r="BL256" i="5"/>
  <c r="BN256" i="5" s="1"/>
  <c r="BM256" i="5"/>
  <c r="BO256" i="5" s="1"/>
  <c r="BL307" i="5"/>
  <c r="BN307" i="5" s="1"/>
  <c r="BM307" i="5"/>
  <c r="BO307" i="5" s="1"/>
  <c r="BL191" i="5"/>
  <c r="BN191" i="5" s="1"/>
  <c r="BM191" i="5"/>
  <c r="BO191" i="5" s="1"/>
  <c r="BL528" i="5"/>
  <c r="BN528" i="5" s="1"/>
  <c r="BM528" i="5"/>
  <c r="BO528" i="5" s="1"/>
  <c r="BL305" i="5"/>
  <c r="BN305" i="5" s="1"/>
  <c r="BM305" i="5"/>
  <c r="BO305" i="5" s="1"/>
  <c r="BL312" i="5"/>
  <c r="BN312" i="5" s="1"/>
  <c r="BM312" i="5"/>
  <c r="BO312" i="5" s="1"/>
  <c r="BL512" i="5"/>
  <c r="BN512" i="5" s="1"/>
  <c r="BM512" i="5"/>
  <c r="BO512" i="5" s="1"/>
  <c r="BL339" i="5"/>
  <c r="BN339" i="5" s="1"/>
  <c r="BM339" i="5"/>
  <c r="BO339" i="5" s="1"/>
  <c r="BL261" i="5"/>
  <c r="BN261" i="5" s="1"/>
  <c r="BM261" i="5"/>
  <c r="BO261" i="5" s="1"/>
  <c r="BL113" i="5"/>
  <c r="BN113" i="5" s="1"/>
  <c r="BM113" i="5"/>
  <c r="BO113" i="5" s="1"/>
  <c r="BL278" i="5"/>
  <c r="BM278" i="5"/>
  <c r="BL295" i="5"/>
  <c r="BN295" i="5" s="1"/>
  <c r="BM295" i="5"/>
  <c r="BO295" i="5" s="1"/>
  <c r="BL265" i="5"/>
  <c r="BM265" i="5"/>
  <c r="BL530" i="5"/>
  <c r="BN530" i="5" s="1"/>
  <c r="BM530" i="5"/>
  <c r="BO530" i="5" s="1"/>
  <c r="BL313" i="5"/>
  <c r="BN313" i="5" s="1"/>
  <c r="BM313" i="5"/>
  <c r="BO313" i="5" s="1"/>
  <c r="BL86" i="5"/>
  <c r="BN86" i="5" s="1"/>
  <c r="BM86" i="5"/>
  <c r="BO86" i="5" s="1"/>
  <c r="BL529" i="5"/>
  <c r="BN529" i="5" s="1"/>
  <c r="BM529" i="5"/>
  <c r="BO529" i="5" s="1"/>
  <c r="BL294" i="5"/>
  <c r="BN294" i="5" s="1"/>
  <c r="BM294" i="5"/>
  <c r="BO294" i="5" s="1"/>
  <c r="BL364" i="5"/>
  <c r="BN364" i="5" s="1"/>
  <c r="BM364" i="5"/>
  <c r="BO364" i="5" s="1"/>
  <c r="BL244" i="5"/>
  <c r="BN244" i="5" s="1"/>
  <c r="BM244" i="5"/>
  <c r="BO244" i="5" s="1"/>
  <c r="BL272" i="5"/>
  <c r="BM272" i="5"/>
  <c r="BL267" i="5"/>
  <c r="BM267" i="5"/>
  <c r="BL434" i="5"/>
  <c r="BN434" i="5" s="1"/>
  <c r="BM434" i="5"/>
  <c r="BO434" i="5" s="1"/>
  <c r="BL531" i="5"/>
  <c r="BN531" i="5" s="1"/>
  <c r="BM531" i="5"/>
  <c r="BO531" i="5" s="1"/>
  <c r="BL399" i="5"/>
  <c r="BN399" i="5" s="1"/>
  <c r="BM399" i="5"/>
  <c r="BO399" i="5" s="1"/>
  <c r="BL533" i="5"/>
  <c r="BN533" i="5" s="1"/>
  <c r="BM533" i="5"/>
  <c r="BO533" i="5" s="1"/>
  <c r="BL532" i="5"/>
  <c r="BN532" i="5" s="1"/>
  <c r="BM532" i="5"/>
  <c r="BO532" i="5" s="1"/>
  <c r="BL270" i="5"/>
  <c r="BM270" i="5"/>
  <c r="BL259" i="5"/>
  <c r="BN259" i="5" s="1"/>
  <c r="BM259" i="5"/>
  <c r="BO259" i="5" s="1"/>
  <c r="BL277" i="5"/>
  <c r="BN277" i="5" s="1"/>
  <c r="BM277" i="5"/>
  <c r="BO277" i="5" s="1"/>
  <c r="BL362" i="5"/>
  <c r="BN362" i="5" s="1"/>
  <c r="BM362" i="5"/>
  <c r="BO362" i="5" s="1"/>
  <c r="BL275" i="5"/>
  <c r="BM275" i="5"/>
  <c r="BL345" i="5"/>
  <c r="BN345" i="5" s="1"/>
  <c r="BM345" i="5"/>
  <c r="BO345" i="5" s="1"/>
  <c r="BL281" i="5"/>
  <c r="BN281" i="5" s="1"/>
  <c r="BM281" i="5"/>
  <c r="BO281" i="5" s="1"/>
  <c r="BL344" i="5"/>
  <c r="BN344" i="5" s="1"/>
  <c r="BM344" i="5"/>
  <c r="BO344" i="5" s="1"/>
  <c r="BL480" i="5"/>
  <c r="BN480" i="5" s="1"/>
  <c r="BM480" i="5"/>
  <c r="BO480" i="5" s="1"/>
  <c r="BL205" i="5"/>
  <c r="BM205" i="5"/>
  <c r="BL248" i="5"/>
  <c r="BN248" i="5" s="1"/>
  <c r="BM248" i="5"/>
  <c r="BO248" i="5" s="1"/>
  <c r="BL482" i="5"/>
  <c r="BN482" i="5" s="1"/>
  <c r="BM482" i="5"/>
  <c r="BO482" i="5" s="1"/>
  <c r="BL250" i="5"/>
  <c r="BM250" i="5"/>
  <c r="BL363" i="5"/>
  <c r="BN363" i="5" s="1"/>
  <c r="BM363" i="5"/>
  <c r="BO363" i="5" s="1"/>
  <c r="BL450" i="5"/>
  <c r="BN450" i="5" s="1"/>
  <c r="BM450" i="5"/>
  <c r="BO450" i="5" s="1"/>
  <c r="BL279" i="5"/>
  <c r="BN279" i="5" s="1"/>
  <c r="BM279" i="5"/>
  <c r="BO279" i="5" s="1"/>
  <c r="BL343" i="5"/>
  <c r="BN343" i="5" s="1"/>
  <c r="BM343" i="5"/>
  <c r="BO343" i="5" s="1"/>
  <c r="BL380" i="5"/>
  <c r="BN380" i="5" s="1"/>
  <c r="BM380" i="5"/>
  <c r="BO380" i="5" s="1"/>
  <c r="BL266" i="5"/>
  <c r="BN266" i="5" s="1"/>
  <c r="BM266" i="5"/>
  <c r="BO266" i="5" s="1"/>
  <c r="BL101" i="5"/>
  <c r="BN101" i="5" s="1"/>
  <c r="BM101" i="5"/>
  <c r="BO101" i="5" s="1"/>
  <c r="BL285" i="5"/>
  <c r="BN285" i="5" s="1"/>
  <c r="BM285" i="5"/>
  <c r="BO285" i="5" s="1"/>
  <c r="BL283" i="5"/>
  <c r="BM283" i="5"/>
  <c r="BL257" i="5"/>
  <c r="BN257" i="5" s="1"/>
  <c r="BM257" i="5"/>
  <c r="BO257" i="5" s="1"/>
  <c r="BL269" i="5"/>
  <c r="BN269" i="5" s="1"/>
  <c r="BM269" i="5"/>
  <c r="BO269" i="5" s="1"/>
  <c r="BL282" i="5"/>
  <c r="BN282" i="5" s="1"/>
  <c r="BM282" i="5"/>
  <c r="BO282" i="5" s="1"/>
  <c r="BL481" i="5"/>
  <c r="BN481" i="5" s="1"/>
  <c r="BM481" i="5"/>
  <c r="BO481" i="5" s="1"/>
  <c r="BL167" i="5"/>
  <c r="BN167" i="5" s="1"/>
  <c r="BM167" i="5"/>
  <c r="BO167" i="5" s="1"/>
  <c r="BL342" i="5"/>
  <c r="BN342" i="5" s="1"/>
  <c r="BM342" i="5"/>
  <c r="BO342" i="5" s="1"/>
  <c r="BL479" i="5"/>
  <c r="BN479" i="5" s="1"/>
  <c r="BM479" i="5"/>
  <c r="BO479" i="5" s="1"/>
  <c r="BL443" i="5"/>
  <c r="BN443" i="5" s="1"/>
  <c r="BM443" i="5"/>
  <c r="BO443" i="5" s="1"/>
  <c r="BL449" i="5"/>
  <c r="BN449" i="5" s="1"/>
  <c r="BM449" i="5"/>
  <c r="BO449" i="5" s="1"/>
  <c r="BL475" i="5"/>
  <c r="BN475" i="5" s="1"/>
  <c r="BM475" i="5"/>
  <c r="BO475" i="5" s="1"/>
  <c r="BL115" i="5"/>
  <c r="BM115" i="5"/>
  <c r="BL280" i="5"/>
  <c r="BN280" i="5" s="1"/>
  <c r="BM280" i="5"/>
  <c r="BO280" i="5" s="1"/>
  <c r="BL379" i="5"/>
  <c r="BN379" i="5" s="1"/>
  <c r="BM379" i="5"/>
  <c r="BO379" i="5" s="1"/>
  <c r="BL232" i="5"/>
  <c r="BN232" i="5" s="1"/>
  <c r="BM232" i="5"/>
  <c r="BO232" i="5" s="1"/>
  <c r="BL203" i="5"/>
  <c r="BM203" i="5"/>
  <c r="BL252" i="5"/>
  <c r="BN252" i="5" s="1"/>
  <c r="BM252" i="5"/>
  <c r="BO252" i="5" s="1"/>
  <c r="BL540" i="5"/>
  <c r="BN540" i="5" s="1"/>
  <c r="BM540" i="5"/>
  <c r="BO540" i="5" s="1"/>
  <c r="BL398" i="5"/>
  <c r="BN398" i="5" s="1"/>
  <c r="BM398" i="5"/>
  <c r="BO398" i="5" s="1"/>
  <c r="BL36" i="5"/>
  <c r="BN36" i="5" s="1"/>
  <c r="BM36" i="5"/>
  <c r="BO36" i="5" s="1"/>
  <c r="BL235" i="5"/>
  <c r="BN235" i="5" s="1"/>
  <c r="BM235" i="5"/>
  <c r="BO235" i="5" s="1"/>
  <c r="BL335" i="5"/>
  <c r="BM335" i="5"/>
  <c r="BL334" i="5"/>
  <c r="BM334" i="5"/>
  <c r="BL324" i="5"/>
  <c r="BN324" i="5" s="1"/>
  <c r="BM324" i="5"/>
  <c r="BO324" i="5" s="1"/>
  <c r="BL483" i="5"/>
  <c r="BN483" i="5" s="1"/>
  <c r="BM483" i="5"/>
  <c r="BO483" i="5" s="1"/>
  <c r="BL286" i="5"/>
  <c r="BN286" i="5" s="1"/>
  <c r="BM286" i="5"/>
  <c r="BO286" i="5" s="1"/>
  <c r="BL323" i="5"/>
  <c r="BN323" i="5" s="1"/>
  <c r="BM323" i="5"/>
  <c r="BO323" i="5" s="1"/>
  <c r="BL403" i="5"/>
  <c r="BN403" i="5" s="1"/>
  <c r="BM403" i="5"/>
  <c r="BO403" i="5" s="1"/>
  <c r="BL284" i="5"/>
  <c r="BN284" i="5" s="1"/>
  <c r="BM284" i="5"/>
  <c r="BO284" i="5" s="1"/>
  <c r="BL328" i="5"/>
  <c r="BN328" i="5" s="1"/>
  <c r="BM328" i="5"/>
  <c r="BO328" i="5" s="1"/>
  <c r="BL448" i="5"/>
  <c r="BN448" i="5" s="1"/>
  <c r="BM448" i="5"/>
  <c r="BO448" i="5" s="1"/>
  <c r="BL402" i="5"/>
  <c r="BN402" i="5" s="1"/>
  <c r="BM402" i="5"/>
  <c r="BO402" i="5" s="1"/>
  <c r="BL23" i="5"/>
  <c r="BN23" i="5" s="1"/>
  <c r="BM23" i="5"/>
  <c r="BO23" i="5" s="1"/>
  <c r="BL325" i="5"/>
  <c r="BN325" i="5" s="1"/>
  <c r="BM325" i="5"/>
  <c r="BO325" i="5" s="1"/>
  <c r="BL271" i="5"/>
  <c r="BN271" i="5" s="1"/>
  <c r="BM271" i="5"/>
  <c r="BO271" i="5" s="1"/>
  <c r="BL476" i="5"/>
  <c r="BN476" i="5" s="1"/>
  <c r="BM476" i="5"/>
  <c r="BO476" i="5" s="1"/>
  <c r="BL417" i="5"/>
  <c r="BN417" i="5" s="1"/>
  <c r="BM417" i="5"/>
  <c r="BO417" i="5" s="1"/>
  <c r="BL444" i="5"/>
  <c r="BN444" i="5" s="1"/>
  <c r="BM444" i="5"/>
  <c r="BO444" i="5" s="1"/>
  <c r="BL418" i="5"/>
  <c r="BN418" i="5" s="1"/>
  <c r="BM418" i="5"/>
  <c r="BO418" i="5" s="1"/>
  <c r="BL378" i="5"/>
  <c r="BN378" i="5" s="1"/>
  <c r="BM378" i="5"/>
  <c r="BO378" i="5" s="1"/>
  <c r="BL401" i="5"/>
  <c r="BN401" i="5" s="1"/>
  <c r="BM401" i="5"/>
  <c r="BO401" i="5" s="1"/>
  <c r="BL524" i="5"/>
  <c r="BN524" i="5" s="1"/>
  <c r="BM524" i="5"/>
  <c r="BO524" i="5" s="1"/>
  <c r="BL519" i="5"/>
  <c r="BN519" i="5" s="1"/>
  <c r="BM519" i="5"/>
  <c r="BO519" i="5" s="1"/>
  <c r="BL486" i="5"/>
  <c r="BN486" i="5" s="1"/>
  <c r="BM486" i="5"/>
  <c r="BO486" i="5" s="1"/>
  <c r="BL239" i="5"/>
  <c r="BN239" i="5" s="1"/>
  <c r="BM239" i="5"/>
  <c r="BO239" i="5" s="1"/>
  <c r="BL525" i="5"/>
  <c r="BN525" i="5" s="1"/>
  <c r="BM525" i="5"/>
  <c r="BO525" i="5" s="1"/>
  <c r="BL377" i="5"/>
  <c r="BN377" i="5" s="1"/>
  <c r="BM377" i="5"/>
  <c r="BO377" i="5" s="1"/>
  <c r="BL522" i="5"/>
  <c r="BN522" i="5" s="1"/>
  <c r="BM522" i="5"/>
  <c r="BO522" i="5" s="1"/>
  <c r="BL421" i="5"/>
  <c r="BM421" i="5"/>
  <c r="BL376" i="5"/>
  <c r="BN376" i="5" s="1"/>
  <c r="BM376" i="5"/>
  <c r="BO376" i="5" s="1"/>
  <c r="BL536" i="5"/>
  <c r="BN536" i="5" s="1"/>
  <c r="BM536" i="5"/>
  <c r="BO536" i="5" s="1"/>
  <c r="BL523" i="5"/>
  <c r="BN523" i="5" s="1"/>
  <c r="BM523" i="5"/>
  <c r="BO523" i="5" s="1"/>
  <c r="BL432" i="5"/>
  <c r="BN432" i="5" s="1"/>
  <c r="BM432" i="5"/>
  <c r="BO432" i="5" s="1"/>
  <c r="BL520" i="5"/>
  <c r="BN520" i="5" s="1"/>
  <c r="BM520" i="5"/>
  <c r="BO520" i="5" s="1"/>
  <c r="BL468" i="5"/>
  <c r="BN468" i="5" s="1"/>
  <c r="BM468" i="5"/>
  <c r="BO468" i="5" s="1"/>
  <c r="BL456" i="5"/>
  <c r="BN456" i="5" s="1"/>
  <c r="BM456" i="5"/>
  <c r="BO456" i="5" s="1"/>
  <c r="BL521" i="5"/>
  <c r="BN521" i="5" s="1"/>
  <c r="BM521" i="5"/>
  <c r="BO521" i="5" s="1"/>
  <c r="BL112" i="5"/>
  <c r="BN112" i="5" s="1"/>
  <c r="BM112" i="5"/>
  <c r="BO112" i="5" s="1"/>
  <c r="BL437" i="5"/>
  <c r="BN437" i="5" s="1"/>
  <c r="BM437" i="5"/>
  <c r="BO437" i="5" s="1"/>
  <c r="BL268" i="5"/>
  <c r="BN268" i="5" s="1"/>
  <c r="BM268" i="5"/>
  <c r="BO268" i="5" s="1"/>
  <c r="BL114" i="5"/>
  <c r="BN114" i="5" s="1"/>
  <c r="BM114" i="5"/>
  <c r="BO114" i="5" s="1"/>
  <c r="BL431" i="5"/>
  <c r="BN431" i="5" s="1"/>
  <c r="BM431" i="5"/>
  <c r="BO431" i="5" s="1"/>
  <c r="BL416" i="5"/>
  <c r="BN416" i="5" s="1"/>
  <c r="BM416" i="5"/>
  <c r="BO416" i="5" s="1"/>
  <c r="BL83" i="5"/>
  <c r="BM83" i="5"/>
  <c r="BL433" i="5"/>
  <c r="BN433" i="5" s="1"/>
  <c r="BM433" i="5"/>
  <c r="BO433" i="5" s="1"/>
  <c r="BL424" i="5"/>
  <c r="BN424" i="5" s="1"/>
  <c r="BM424" i="5"/>
  <c r="BO424" i="5" s="1"/>
  <c r="BL353" i="5"/>
  <c r="BN353" i="5" s="1"/>
  <c r="BM353" i="5"/>
  <c r="BO353" i="5" s="1"/>
  <c r="BL518" i="5"/>
  <c r="BN518" i="5" s="1"/>
  <c r="BM518" i="5"/>
  <c r="BO518" i="5" s="1"/>
  <c r="BL453" i="5"/>
  <c r="BN453" i="5" s="1"/>
  <c r="BM453" i="5"/>
  <c r="BO453" i="5" s="1"/>
  <c r="BL400" i="5"/>
  <c r="BN400" i="5" s="1"/>
  <c r="BM400" i="5"/>
  <c r="BO400" i="5" s="1"/>
  <c r="BL465" i="5"/>
  <c r="BN465" i="5" s="1"/>
  <c r="BM465" i="5"/>
  <c r="BO465" i="5" s="1"/>
  <c r="BL436" i="5"/>
  <c r="BN436" i="5" s="1"/>
  <c r="BM436" i="5"/>
  <c r="BO436" i="5" s="1"/>
  <c r="BL231" i="5"/>
  <c r="BN231" i="5" s="1"/>
  <c r="BM231" i="5"/>
  <c r="BO231" i="5" s="1"/>
  <c r="BL445" i="5"/>
  <c r="BN445" i="5" s="1"/>
  <c r="BM445" i="5"/>
  <c r="BO445" i="5" s="1"/>
  <c r="BL197" i="5"/>
  <c r="BN197" i="5" s="1"/>
  <c r="BM197" i="5"/>
  <c r="BO197" i="5" s="1"/>
  <c r="BL394" i="5"/>
  <c r="BN394" i="5" s="1"/>
  <c r="BM394" i="5"/>
  <c r="BO394" i="5" s="1"/>
  <c r="BL251" i="5"/>
  <c r="BM251" i="5"/>
  <c r="BL489" i="5"/>
  <c r="BN489" i="5" s="1"/>
  <c r="BM489" i="5"/>
  <c r="BO489" i="5" s="1"/>
  <c r="BL537" i="5"/>
  <c r="BN537" i="5" s="1"/>
  <c r="BM537" i="5"/>
  <c r="BO537" i="5" s="1"/>
  <c r="BL427" i="5"/>
  <c r="BN427" i="5" s="1"/>
  <c r="BM427" i="5"/>
  <c r="BO427" i="5" s="1"/>
  <c r="BL420" i="5"/>
  <c r="BM420" i="5"/>
  <c r="BL264" i="5"/>
  <c r="BN264" i="5" s="1"/>
  <c r="BM264" i="5"/>
  <c r="BO264" i="5" s="1"/>
  <c r="BL397" i="5"/>
  <c r="BN397" i="5" s="1"/>
  <c r="BM397" i="5"/>
  <c r="BO397" i="5" s="1"/>
  <c r="BL455" i="5"/>
  <c r="BN455" i="5" s="1"/>
  <c r="BM455" i="5"/>
  <c r="BO455" i="5" s="1"/>
  <c r="BL442" i="5"/>
  <c r="BN442" i="5" s="1"/>
  <c r="BM442" i="5"/>
  <c r="BO442" i="5" s="1"/>
  <c r="BL539" i="5"/>
  <c r="BN539" i="5" s="1"/>
  <c r="BM539" i="5"/>
  <c r="BO539" i="5" s="1"/>
  <c r="BL276" i="5"/>
  <c r="BM276" i="5"/>
  <c r="BL538" i="5"/>
  <c r="BN538" i="5" s="1"/>
  <c r="BM538" i="5"/>
  <c r="BO538" i="5" s="1"/>
  <c r="BL241" i="5"/>
  <c r="BM241" i="5"/>
  <c r="BL311" i="5"/>
  <c r="BN311" i="5" s="1"/>
  <c r="BM311" i="5"/>
  <c r="BO311" i="5" s="1"/>
  <c r="BL15" i="5"/>
  <c r="BM15" i="5"/>
  <c r="BL254" i="5"/>
  <c r="BN254" i="5" s="1"/>
  <c r="BM254" i="5"/>
  <c r="BO254" i="5" s="1"/>
  <c r="BL358" i="5"/>
  <c r="BN358" i="5" s="1"/>
  <c r="BM358" i="5"/>
  <c r="BO358" i="5" s="1"/>
  <c r="BL412" i="5"/>
  <c r="BN412" i="5" s="1"/>
  <c r="BM412" i="5"/>
  <c r="BO412" i="5" s="1"/>
  <c r="BL490" i="5"/>
  <c r="BN490" i="5" s="1"/>
  <c r="BM490" i="5"/>
  <c r="BO490" i="5" s="1"/>
  <c r="BL410" i="5"/>
  <c r="BM410" i="5"/>
  <c r="BL466" i="5"/>
  <c r="BN466" i="5" s="1"/>
  <c r="BM466" i="5"/>
  <c r="BO466" i="5" s="1"/>
  <c r="BL396" i="5"/>
  <c r="BN396" i="5" s="1"/>
  <c r="BM396" i="5"/>
  <c r="BO396" i="5" s="1"/>
  <c r="BL428" i="5"/>
  <c r="BN428" i="5" s="1"/>
  <c r="BM428" i="5"/>
  <c r="BO428" i="5" s="1"/>
  <c r="BL352" i="5"/>
  <c r="BN352" i="5" s="1"/>
  <c r="BM352" i="5"/>
  <c r="BO352" i="5" s="1"/>
  <c r="BL351" i="5"/>
  <c r="BN351" i="5" s="1"/>
  <c r="BM351" i="5"/>
  <c r="BO351" i="5" s="1"/>
  <c r="BL454" i="5"/>
  <c r="BN454" i="5" s="1"/>
  <c r="BM454" i="5"/>
  <c r="BO454" i="5" s="1"/>
  <c r="BL236" i="5"/>
  <c r="BN236" i="5" s="1"/>
  <c r="BM236" i="5"/>
  <c r="BO236" i="5" s="1"/>
  <c r="BL488" i="5"/>
  <c r="BN488" i="5" s="1"/>
  <c r="BM488" i="5"/>
  <c r="BO488" i="5" s="1"/>
  <c r="BL457" i="5"/>
  <c r="BN457" i="5" s="1"/>
  <c r="BM457" i="5"/>
  <c r="BO457" i="5" s="1"/>
  <c r="BL253" i="5"/>
  <c r="BN253" i="5" s="1"/>
  <c r="BM253" i="5"/>
  <c r="BO253" i="5" s="1"/>
  <c r="BL273" i="5"/>
  <c r="BN273" i="5" s="1"/>
  <c r="BM273" i="5"/>
  <c r="BO273" i="5" s="1"/>
  <c r="BL467" i="5"/>
  <c r="BN467" i="5" s="1"/>
  <c r="BM467" i="5"/>
  <c r="BO467" i="5" s="1"/>
  <c r="BL310" i="5"/>
  <c r="BN310" i="5" s="1"/>
  <c r="BM310" i="5"/>
  <c r="BO310" i="5" s="1"/>
  <c r="BL359" i="5"/>
  <c r="BN359" i="5" s="1"/>
  <c r="BM359" i="5"/>
  <c r="BO359" i="5" s="1"/>
  <c r="BL395" i="5"/>
  <c r="BN395" i="5" s="1"/>
  <c r="BM395" i="5"/>
  <c r="BO395" i="5" s="1"/>
  <c r="BL346" i="5"/>
  <c r="BM346" i="5"/>
  <c r="BL238" i="5"/>
  <c r="BN238" i="5" s="1"/>
  <c r="BM238" i="5"/>
  <c r="BO238" i="5" s="1"/>
  <c r="BL225" i="5"/>
  <c r="BM225" i="5"/>
  <c r="BL487" i="5"/>
  <c r="BN487" i="5" s="1"/>
  <c r="BM487" i="5"/>
  <c r="BO487" i="5" s="1"/>
  <c r="BL326" i="5"/>
  <c r="BN326" i="5" s="1"/>
  <c r="BM326" i="5"/>
  <c r="BO326" i="5" s="1"/>
  <c r="BL438" i="5"/>
  <c r="BN438" i="5" s="1"/>
  <c r="BM438" i="5"/>
  <c r="BO438" i="5" s="1"/>
  <c r="BL446" i="5"/>
  <c r="BN446" i="5" s="1"/>
  <c r="BM446" i="5"/>
  <c r="BO446" i="5" s="1"/>
  <c r="BL327" i="5"/>
  <c r="BN327" i="5" s="1"/>
  <c r="BM327" i="5"/>
  <c r="BO327" i="5" s="1"/>
  <c r="BL289" i="5"/>
  <c r="BN289" i="5" s="1"/>
  <c r="BM289" i="5"/>
  <c r="BO289" i="5" s="1"/>
  <c r="BL507" i="5"/>
  <c r="BM507" i="5"/>
  <c r="BL357" i="5"/>
  <c r="BN357" i="5" s="1"/>
  <c r="BM357" i="5"/>
  <c r="BO357" i="5" s="1"/>
  <c r="BL308" i="5"/>
  <c r="BN308" i="5" s="1"/>
  <c r="BM308" i="5"/>
  <c r="BO308" i="5" s="1"/>
  <c r="BL491" i="5"/>
  <c r="BN491" i="5" s="1"/>
  <c r="BM491" i="5"/>
  <c r="BO491" i="5" s="1"/>
  <c r="BL247" i="5"/>
  <c r="BN247" i="5" s="1"/>
  <c r="BM247" i="5"/>
  <c r="BO247" i="5" s="1"/>
  <c r="BL441" i="5"/>
  <c r="BN441" i="5" s="1"/>
  <c r="BM441" i="5"/>
  <c r="BO441" i="5" s="1"/>
  <c r="BL347" i="5"/>
  <c r="BM347" i="5"/>
  <c r="BL355" i="5"/>
  <c r="BN355" i="5" s="1"/>
  <c r="BM355" i="5"/>
  <c r="BO355" i="5" s="1"/>
  <c r="BL303" i="5"/>
  <c r="BN303" i="5" s="1"/>
  <c r="BM303" i="5"/>
  <c r="BO303" i="5" s="1"/>
  <c r="BL193" i="5"/>
  <c r="BN193" i="5" s="1"/>
  <c r="BM193" i="5"/>
  <c r="BO193" i="5" s="1"/>
  <c r="BL309" i="5"/>
  <c r="BN309" i="5" s="1"/>
  <c r="BM309" i="5"/>
  <c r="BO309" i="5" s="1"/>
  <c r="BL440" i="5"/>
  <c r="BN440" i="5" s="1"/>
  <c r="BM440" i="5"/>
  <c r="BO440" i="5" s="1"/>
  <c r="BL535" i="5"/>
  <c r="BN535" i="5" s="1"/>
  <c r="BM535" i="5"/>
  <c r="BO535" i="5" s="1"/>
  <c r="BL411" i="5"/>
  <c r="BN411" i="5" s="1"/>
  <c r="BM411" i="5"/>
  <c r="BO411" i="5" s="1"/>
  <c r="BL246" i="5"/>
  <c r="BN246" i="5" s="1"/>
  <c r="BM246" i="5"/>
  <c r="BO246" i="5" s="1"/>
  <c r="BL534" i="5"/>
  <c r="BN534" i="5" s="1"/>
  <c r="BM534" i="5"/>
  <c r="BO534" i="5" s="1"/>
  <c r="BL439" i="5"/>
  <c r="BN439" i="5" s="1"/>
  <c r="BM439" i="5"/>
  <c r="BO439" i="5" s="1"/>
  <c r="BL336" i="5"/>
  <c r="BM336" i="5"/>
  <c r="BL337" i="5"/>
  <c r="BM337" i="5"/>
  <c r="BL258" i="5"/>
  <c r="BN258" i="5" s="1"/>
  <c r="BM258" i="5"/>
  <c r="BO258" i="5" s="1"/>
  <c r="BL184" i="5"/>
  <c r="BM184" i="5"/>
  <c r="BL302" i="5"/>
  <c r="BN302" i="5" s="1"/>
  <c r="BM302" i="5"/>
  <c r="BO302" i="5" s="1"/>
  <c r="BL245" i="5"/>
  <c r="BN245" i="5" s="1"/>
  <c r="BM245" i="5"/>
  <c r="BO245" i="5" s="1"/>
  <c r="BL350" i="5"/>
  <c r="BN350" i="5" s="1"/>
  <c r="BM350" i="5"/>
  <c r="BO350" i="5" s="1"/>
  <c r="BL90" i="5"/>
  <c r="BN90" i="5" s="1"/>
  <c r="BM90" i="5"/>
  <c r="BO90" i="5" s="1"/>
  <c r="BL413" i="5"/>
  <c r="BN413" i="5" s="1"/>
  <c r="BM413" i="5"/>
  <c r="BO413" i="5" s="1"/>
  <c r="BL331" i="5"/>
  <c r="BN331" i="5" s="1"/>
  <c r="BM331" i="5"/>
  <c r="BO331" i="5" s="1"/>
  <c r="BL499" i="5"/>
  <c r="BM499" i="5"/>
  <c r="BL502" i="5"/>
  <c r="BM502" i="5"/>
  <c r="BL500" i="5"/>
  <c r="BM500" i="5"/>
  <c r="BL501" i="5"/>
  <c r="BM501" i="5"/>
  <c r="BL237" i="5"/>
  <c r="BN237" i="5" s="1"/>
  <c r="BM237" i="5"/>
  <c r="BO237" i="5" s="1"/>
  <c r="BL375" i="5"/>
  <c r="BM375" i="5"/>
  <c r="BL99" i="5"/>
  <c r="BM99" i="5"/>
  <c r="BL332" i="5"/>
  <c r="BN332" i="5" s="1"/>
  <c r="BM332" i="5"/>
  <c r="BO332" i="5" s="1"/>
  <c r="BL425" i="5"/>
  <c r="BN425" i="5" s="1"/>
  <c r="BM425" i="5"/>
  <c r="BO425" i="5" s="1"/>
  <c r="BL461" i="5"/>
  <c r="BN461" i="5" s="1"/>
  <c r="BM461" i="5"/>
  <c r="BO461" i="5" s="1"/>
  <c r="BL508" i="5"/>
  <c r="BM508" i="5"/>
  <c r="BL330" i="5"/>
  <c r="BN330" i="5" s="1"/>
  <c r="BM330" i="5"/>
  <c r="BO330" i="5" s="1"/>
  <c r="BL460" i="5"/>
  <c r="BN460" i="5" s="1"/>
  <c r="BM460" i="5"/>
  <c r="BO460" i="5" s="1"/>
  <c r="BL329" i="5"/>
  <c r="BM329" i="5"/>
  <c r="BL452" i="5"/>
  <c r="BM452" i="5"/>
  <c r="BL374" i="5"/>
  <c r="BM374" i="5"/>
  <c r="BL182" i="5"/>
  <c r="BM182" i="5"/>
  <c r="BL10" i="5"/>
  <c r="BM10" i="5"/>
  <c r="BL451" i="5"/>
  <c r="BM451" i="5"/>
  <c r="BL543" i="5"/>
  <c r="BM543" i="5"/>
  <c r="BL542" i="5"/>
  <c r="BM542" i="5"/>
  <c r="BL354" i="5"/>
  <c r="BN354" i="5" s="1"/>
  <c r="BM354" i="5"/>
  <c r="BO354" i="5" s="1"/>
  <c r="BL360" i="5"/>
  <c r="BN360" i="5" s="1"/>
  <c r="BM360" i="5"/>
  <c r="BO360" i="5" s="1"/>
  <c r="BL426" i="5"/>
  <c r="BN426" i="5" s="1"/>
  <c r="BM426" i="5"/>
  <c r="BO426" i="5" s="1"/>
  <c r="BL301" i="5"/>
  <c r="BM301" i="5"/>
  <c r="BL430" i="5"/>
  <c r="BN430" i="5" s="1"/>
  <c r="BM430" i="5"/>
  <c r="BO430" i="5" s="1"/>
  <c r="BL296" i="5"/>
  <c r="BN296" i="5" s="1"/>
  <c r="BM296" i="5"/>
  <c r="BO296" i="5" s="1"/>
  <c r="BL435" i="5"/>
  <c r="BM435" i="5"/>
  <c r="BL288" i="5"/>
  <c r="BM288" i="5"/>
  <c r="BL333" i="5"/>
  <c r="BM333" i="5"/>
  <c r="BL287" i="5"/>
  <c r="BM287" i="5"/>
  <c r="BL485" i="5"/>
  <c r="BM485" i="5"/>
  <c r="BL361" i="5"/>
  <c r="BN361" i="5" s="1"/>
  <c r="BM361" i="5"/>
  <c r="BO361" i="5" s="1"/>
  <c r="BL423" i="5"/>
  <c r="BM423" i="5"/>
  <c r="BL414" i="5"/>
  <c r="BM414" i="5"/>
  <c r="BL484" i="5"/>
  <c r="BM484" i="5"/>
  <c r="BL492" i="5"/>
  <c r="BM492" i="5"/>
  <c r="BL429" i="5"/>
  <c r="BM429" i="5"/>
  <c r="BL390" i="5"/>
  <c r="BM390" i="5"/>
  <c r="BL526" i="5"/>
  <c r="BM526" i="5"/>
  <c r="BL391" i="5"/>
  <c r="BM391" i="5"/>
  <c r="BL527" i="5"/>
  <c r="BM527" i="5"/>
  <c r="BL506" i="5"/>
  <c r="BN506" i="5" s="1"/>
  <c r="BM506" i="5"/>
  <c r="BO506" i="5" s="1"/>
  <c r="BL293" i="5"/>
  <c r="BM293" i="5"/>
  <c r="BL291" i="5"/>
  <c r="BM291" i="5"/>
  <c r="BL392" i="5"/>
  <c r="BM392" i="5"/>
  <c r="BL292" i="5"/>
  <c r="BM292" i="5"/>
  <c r="BL393" i="5"/>
  <c r="BM393" i="5"/>
  <c r="BL111" i="5"/>
  <c r="BM111" i="5"/>
  <c r="BL349" i="5"/>
  <c r="BM349" i="5"/>
  <c r="BL348" i="5"/>
  <c r="BM348" i="5"/>
  <c r="BL505" i="5"/>
  <c r="BN505" i="5" s="1"/>
  <c r="BM505" i="5"/>
  <c r="BO505" i="5" s="1"/>
  <c r="BL541" i="5"/>
  <c r="BM541" i="5"/>
  <c r="BL110" i="5"/>
  <c r="BM110" i="5"/>
  <c r="BL478" i="5"/>
  <c r="BN478" i="5" s="1"/>
  <c r="BM478" i="5"/>
  <c r="BO478" i="5" s="1"/>
  <c r="BL356" i="5"/>
  <c r="BN356" i="5" s="1"/>
  <c r="BM356" i="5"/>
  <c r="BO356" i="5" s="1"/>
  <c r="BL422" i="5"/>
  <c r="BM422" i="5"/>
  <c r="BL477" i="5"/>
  <c r="BN477" i="5" s="1"/>
  <c r="BM477" i="5"/>
  <c r="BO477" i="5" s="1"/>
  <c r="BM106" i="5"/>
  <c r="BO106" i="5" s="1"/>
  <c r="BL106" i="5"/>
  <c r="BN106" i="5" s="1"/>
  <c r="BM419" i="5" l="1"/>
  <c r="BO419" i="5" s="1"/>
  <c r="BL419" i="5"/>
  <c r="BN419" i="5" s="1"/>
  <c r="Q3" i="13" l="1"/>
  <c r="Q4" i="13"/>
  <c r="Q5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1" i="13"/>
  <c r="Q232" i="13"/>
  <c r="Q233" i="13"/>
  <c r="Q234" i="13"/>
  <c r="Q235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343" i="13"/>
  <c r="Q344" i="13"/>
  <c r="Q345" i="13"/>
  <c r="Q346" i="13"/>
  <c r="Q347" i="13"/>
  <c r="Q348" i="13"/>
  <c r="Q349" i="13"/>
  <c r="Q350" i="13"/>
  <c r="Q351" i="13"/>
  <c r="Q352" i="13"/>
  <c r="Q354" i="13"/>
  <c r="Q355" i="13"/>
  <c r="Q356" i="13"/>
  <c r="Q357" i="13"/>
  <c r="Q358" i="13"/>
  <c r="Q359" i="13"/>
  <c r="Q360" i="13"/>
  <c r="Q361" i="13"/>
  <c r="Q362" i="13"/>
  <c r="Q363" i="13"/>
  <c r="Q367" i="13"/>
  <c r="Q368" i="13"/>
  <c r="Q369" i="13"/>
  <c r="Q370" i="13"/>
  <c r="Q371" i="13"/>
  <c r="Q372" i="13"/>
  <c r="Q373" i="13"/>
  <c r="Q374" i="13"/>
  <c r="Q375" i="13"/>
  <c r="Q376" i="13"/>
  <c r="Q377" i="13"/>
  <c r="Q378" i="13"/>
  <c r="Q379" i="13"/>
  <c r="Q380" i="13"/>
  <c r="Q381" i="13"/>
  <c r="Q382" i="13"/>
  <c r="Q383" i="13"/>
  <c r="Q384" i="13"/>
  <c r="Q385" i="13"/>
  <c r="Q387" i="13"/>
  <c r="Q389" i="13"/>
  <c r="Q390" i="13"/>
  <c r="Q391" i="13"/>
  <c r="Q392" i="13"/>
  <c r="Q393" i="13"/>
  <c r="Q394" i="13"/>
  <c r="Q395" i="13"/>
  <c r="Q396" i="13"/>
  <c r="Q397" i="13"/>
  <c r="Q398" i="13"/>
  <c r="Q399" i="13"/>
  <c r="Q400" i="13"/>
  <c r="Q401" i="13"/>
  <c r="Q402" i="13"/>
  <c r="Q403" i="13"/>
  <c r="Q404" i="13"/>
  <c r="Q405" i="13"/>
  <c r="Q406" i="13"/>
  <c r="Q407" i="13"/>
  <c r="Q408" i="13"/>
  <c r="Q409" i="13"/>
  <c r="Q410" i="13"/>
  <c r="Q411" i="13"/>
  <c r="Q412" i="13"/>
  <c r="Q413" i="13"/>
  <c r="Q414" i="13"/>
  <c r="Q415" i="13"/>
  <c r="Q416" i="13"/>
  <c r="Q417" i="13"/>
  <c r="Q419" i="13"/>
  <c r="Q420" i="13"/>
  <c r="Q421" i="13"/>
  <c r="Q423" i="13"/>
  <c r="Q424" i="13"/>
  <c r="Q425" i="13"/>
  <c r="Q426" i="13"/>
  <c r="Q427" i="13"/>
  <c r="Q430" i="13"/>
  <c r="Q431" i="13"/>
  <c r="Q432" i="13"/>
  <c r="Q433" i="13"/>
  <c r="Q434" i="13"/>
  <c r="Q435" i="13"/>
  <c r="Q436" i="13"/>
  <c r="Q437" i="13"/>
  <c r="Q438" i="13"/>
  <c r="Q439" i="13"/>
  <c r="Q440" i="13"/>
  <c r="Q441" i="13"/>
  <c r="Q442" i="13"/>
  <c r="Q443" i="13"/>
  <c r="Q444" i="13"/>
  <c r="Q445" i="13"/>
  <c r="Q446" i="13"/>
  <c r="Q447" i="13"/>
  <c r="Q448" i="13"/>
  <c r="Q449" i="13"/>
  <c r="Q450" i="13"/>
  <c r="Q451" i="13"/>
  <c r="Q452" i="13"/>
  <c r="Q453" i="13"/>
  <c r="Q454" i="13"/>
  <c r="Q455" i="13"/>
  <c r="Q456" i="13"/>
  <c r="Q457" i="13"/>
  <c r="Q458" i="13"/>
  <c r="Q459" i="13"/>
  <c r="Q460" i="13"/>
  <c r="Q461" i="13"/>
  <c r="Q462" i="13"/>
  <c r="Q463" i="13"/>
  <c r="Q464" i="13"/>
  <c r="Q465" i="13"/>
  <c r="Q466" i="13"/>
  <c r="Q467" i="13"/>
  <c r="Q468" i="13"/>
  <c r="Q469" i="13"/>
  <c r="Q470" i="13"/>
  <c r="Q471" i="13"/>
  <c r="Q472" i="13"/>
  <c r="Q474" i="13"/>
  <c r="Q475" i="13"/>
  <c r="Q478" i="13"/>
  <c r="Q479" i="13"/>
  <c r="Q480" i="13"/>
  <c r="Q481" i="13"/>
  <c r="Q482" i="13"/>
  <c r="Q483" i="13"/>
  <c r="Q484" i="13"/>
  <c r="Q485" i="13"/>
  <c r="Q486" i="13"/>
  <c r="Q487" i="13"/>
  <c r="Q488" i="13"/>
  <c r="Q489" i="13"/>
  <c r="Q490" i="13"/>
  <c r="Q491" i="13"/>
  <c r="Q492" i="13"/>
  <c r="Q493" i="13"/>
  <c r="Q494" i="13"/>
  <c r="Q495" i="13"/>
  <c r="Q496" i="13"/>
  <c r="Q497" i="13"/>
  <c r="Q498" i="13"/>
  <c r="Q499" i="13"/>
  <c r="Q500" i="13"/>
  <c r="Q501" i="13"/>
  <c r="Q502" i="13"/>
  <c r="Q503" i="13"/>
  <c r="Q506" i="13"/>
  <c r="Q507" i="13"/>
  <c r="Q508" i="13"/>
  <c r="Q509" i="13"/>
  <c r="Q510" i="13"/>
  <c r="Q511" i="13"/>
  <c r="Q512" i="13"/>
  <c r="Q513" i="13"/>
  <c r="Q514" i="13"/>
  <c r="Q515" i="13"/>
  <c r="Q516" i="13"/>
  <c r="Q517" i="13"/>
  <c r="Q518" i="13"/>
  <c r="Q519" i="13"/>
  <c r="Q520" i="13"/>
  <c r="Q521" i="13"/>
  <c r="Q522" i="13"/>
  <c r="Q523" i="13"/>
  <c r="Q524" i="13"/>
  <c r="Q525" i="13"/>
  <c r="Q526" i="13"/>
  <c r="Q527" i="13"/>
  <c r="Q528" i="13"/>
  <c r="Q529" i="13"/>
  <c r="Q530" i="13"/>
  <c r="Q531" i="13"/>
  <c r="Q532" i="13"/>
  <c r="Q533" i="13"/>
  <c r="Q534" i="13"/>
  <c r="Q535" i="13"/>
  <c r="Q536" i="13"/>
  <c r="Q537" i="13"/>
  <c r="Q538" i="13"/>
  <c r="Q539" i="13"/>
  <c r="Q540" i="13"/>
  <c r="Q541" i="13"/>
  <c r="Q2" i="13"/>
  <c r="B240" i="3" l="1"/>
  <c r="B238" i="3"/>
  <c r="B234" i="3"/>
  <c r="B243" i="3"/>
  <c r="B242" i="3"/>
  <c r="B241" i="3"/>
  <c r="B239" i="3"/>
  <c r="B237" i="3"/>
  <c r="B236" i="3"/>
  <c r="B235" i="3"/>
  <c r="B244" i="3" l="1"/>
  <c r="C242" i="3" s="1"/>
  <c r="C238" i="3" l="1"/>
  <c r="C239" i="3"/>
  <c r="C234" i="3"/>
  <c r="C237" i="3"/>
  <c r="C236" i="3"/>
  <c r="C243" i="3"/>
  <c r="C235" i="3"/>
  <c r="C240" i="3"/>
  <c r="C241" i="3"/>
  <c r="B202" i="3"/>
  <c r="C200" i="3" s="1"/>
  <c r="C199" i="3" l="1"/>
  <c r="C198" i="3"/>
  <c r="C197" i="3"/>
  <c r="C196" i="3"/>
  <c r="C195" i="3"/>
  <c r="C194" i="3"/>
  <c r="C193" i="3"/>
  <c r="C192" i="3"/>
  <c r="C201" i="3"/>
  <c r="O3" i="13"/>
  <c r="P3" i="13" s="1"/>
  <c r="O4" i="13"/>
  <c r="P4" i="13" s="1"/>
  <c r="O5" i="13"/>
  <c r="P5" i="13" s="1"/>
  <c r="O6" i="13"/>
  <c r="P6" i="13" s="1"/>
  <c r="O7" i="13"/>
  <c r="P7" i="13" s="1"/>
  <c r="O8" i="13"/>
  <c r="P8" i="13" s="1"/>
  <c r="O9" i="13"/>
  <c r="P9" i="13" s="1"/>
  <c r="O10" i="13"/>
  <c r="P10" i="13" s="1"/>
  <c r="O11" i="13"/>
  <c r="P11" i="13" s="1"/>
  <c r="O12" i="13"/>
  <c r="P12" i="13" s="1"/>
  <c r="O13" i="13"/>
  <c r="P13" i="13" s="1"/>
  <c r="O14" i="13"/>
  <c r="P14" i="13" s="1"/>
  <c r="O15" i="13"/>
  <c r="P15" i="13" s="1"/>
  <c r="O16" i="13"/>
  <c r="P16" i="13" s="1"/>
  <c r="O17" i="13"/>
  <c r="P17" i="13" s="1"/>
  <c r="O18" i="13"/>
  <c r="P18" i="13" s="1"/>
  <c r="O19" i="13"/>
  <c r="P19" i="13" s="1"/>
  <c r="O20" i="13"/>
  <c r="P20" i="13" s="1"/>
  <c r="O21" i="13"/>
  <c r="P21" i="13" s="1"/>
  <c r="O22" i="13"/>
  <c r="P22" i="13" s="1"/>
  <c r="O23" i="13"/>
  <c r="P23" i="13" s="1"/>
  <c r="O24" i="13"/>
  <c r="P24" i="13" s="1"/>
  <c r="O25" i="13"/>
  <c r="P25" i="13" s="1"/>
  <c r="O26" i="13"/>
  <c r="P26" i="13" s="1"/>
  <c r="O27" i="13"/>
  <c r="P27" i="13" s="1"/>
  <c r="O28" i="13"/>
  <c r="P28" i="13" s="1"/>
  <c r="O29" i="13"/>
  <c r="P29" i="13" s="1"/>
  <c r="O30" i="13"/>
  <c r="P30" i="13" s="1"/>
  <c r="O31" i="13"/>
  <c r="P31" i="13" s="1"/>
  <c r="O32" i="13"/>
  <c r="P32" i="13" s="1"/>
  <c r="O33" i="13"/>
  <c r="P33" i="13" s="1"/>
  <c r="O34" i="13"/>
  <c r="P34" i="13" s="1"/>
  <c r="O35" i="13"/>
  <c r="P35" i="13" s="1"/>
  <c r="O36" i="13"/>
  <c r="P36" i="13" s="1"/>
  <c r="O37" i="13"/>
  <c r="P37" i="13" s="1"/>
  <c r="O38" i="13"/>
  <c r="P38" i="13" s="1"/>
  <c r="O39" i="13"/>
  <c r="P39" i="13" s="1"/>
  <c r="O40" i="13"/>
  <c r="P40" i="13" s="1"/>
  <c r="O41" i="13"/>
  <c r="P41" i="13" s="1"/>
  <c r="O42" i="13"/>
  <c r="P42" i="13" s="1"/>
  <c r="O43" i="13"/>
  <c r="P43" i="13" s="1"/>
  <c r="O44" i="13"/>
  <c r="P44" i="13" s="1"/>
  <c r="O45" i="13"/>
  <c r="P45" i="13" s="1"/>
  <c r="O46" i="13"/>
  <c r="P46" i="13" s="1"/>
  <c r="O47" i="13"/>
  <c r="P47" i="13" s="1"/>
  <c r="O48" i="13"/>
  <c r="P48" i="13" s="1"/>
  <c r="O49" i="13"/>
  <c r="P49" i="13" s="1"/>
  <c r="O50" i="13"/>
  <c r="P50" i="13" s="1"/>
  <c r="O51" i="13"/>
  <c r="P51" i="13" s="1"/>
  <c r="O52" i="13"/>
  <c r="P52" i="13" s="1"/>
  <c r="O53" i="13"/>
  <c r="P53" i="13" s="1"/>
  <c r="O54" i="13"/>
  <c r="P54" i="13" s="1"/>
  <c r="O55" i="13"/>
  <c r="P55" i="13" s="1"/>
  <c r="O56" i="13"/>
  <c r="P56" i="13" s="1"/>
  <c r="O57" i="13"/>
  <c r="P57" i="13" s="1"/>
  <c r="O58" i="13"/>
  <c r="P58" i="13" s="1"/>
  <c r="O59" i="13"/>
  <c r="P59" i="13" s="1"/>
  <c r="O60" i="13"/>
  <c r="P60" i="13" s="1"/>
  <c r="O61" i="13"/>
  <c r="P61" i="13" s="1"/>
  <c r="O62" i="13"/>
  <c r="P62" i="13" s="1"/>
  <c r="O63" i="13"/>
  <c r="P63" i="13" s="1"/>
  <c r="O64" i="13"/>
  <c r="P64" i="13" s="1"/>
  <c r="O65" i="13"/>
  <c r="P65" i="13" s="1"/>
  <c r="O66" i="13"/>
  <c r="P66" i="13" s="1"/>
  <c r="O67" i="13"/>
  <c r="P67" i="13" s="1"/>
  <c r="O68" i="13"/>
  <c r="P68" i="13" s="1"/>
  <c r="O69" i="13"/>
  <c r="P69" i="13" s="1"/>
  <c r="O70" i="13"/>
  <c r="P70" i="13" s="1"/>
  <c r="O71" i="13"/>
  <c r="P71" i="13" s="1"/>
  <c r="O72" i="13"/>
  <c r="P72" i="13" s="1"/>
  <c r="O73" i="13"/>
  <c r="P73" i="13" s="1"/>
  <c r="O74" i="13"/>
  <c r="P74" i="13" s="1"/>
  <c r="O75" i="13"/>
  <c r="P75" i="13" s="1"/>
  <c r="O76" i="13"/>
  <c r="P76" i="13" s="1"/>
  <c r="O77" i="13"/>
  <c r="P77" i="13" s="1"/>
  <c r="O78" i="13"/>
  <c r="P78" i="13" s="1"/>
  <c r="O79" i="13"/>
  <c r="P79" i="13" s="1"/>
  <c r="O80" i="13"/>
  <c r="P80" i="13" s="1"/>
  <c r="O81" i="13"/>
  <c r="P81" i="13" s="1"/>
  <c r="O82" i="13"/>
  <c r="P82" i="13" s="1"/>
  <c r="O83" i="13"/>
  <c r="P83" i="13" s="1"/>
  <c r="O84" i="13"/>
  <c r="P84" i="13" s="1"/>
  <c r="O85" i="13"/>
  <c r="P85" i="13" s="1"/>
  <c r="O86" i="13"/>
  <c r="P86" i="13" s="1"/>
  <c r="O87" i="13"/>
  <c r="P87" i="13" s="1"/>
  <c r="O88" i="13"/>
  <c r="P88" i="13" s="1"/>
  <c r="O89" i="13"/>
  <c r="P89" i="13" s="1"/>
  <c r="O90" i="13"/>
  <c r="P90" i="13" s="1"/>
  <c r="O91" i="13"/>
  <c r="P91" i="13" s="1"/>
  <c r="O92" i="13"/>
  <c r="P92" i="13" s="1"/>
  <c r="O93" i="13"/>
  <c r="P93" i="13" s="1"/>
  <c r="O94" i="13"/>
  <c r="P94" i="13" s="1"/>
  <c r="O95" i="13"/>
  <c r="P95" i="13" s="1"/>
  <c r="O96" i="13"/>
  <c r="P96" i="13" s="1"/>
  <c r="O97" i="13"/>
  <c r="P97" i="13" s="1"/>
  <c r="O98" i="13"/>
  <c r="P98" i="13" s="1"/>
  <c r="O99" i="13"/>
  <c r="P99" i="13" s="1"/>
  <c r="O100" i="13"/>
  <c r="P100" i="13" s="1"/>
  <c r="O101" i="13"/>
  <c r="P101" i="13" s="1"/>
  <c r="O102" i="13"/>
  <c r="P102" i="13" s="1"/>
  <c r="O103" i="13"/>
  <c r="P103" i="13" s="1"/>
  <c r="O104" i="13"/>
  <c r="P104" i="13" s="1"/>
  <c r="O105" i="13"/>
  <c r="P105" i="13" s="1"/>
  <c r="O106" i="13"/>
  <c r="P106" i="13" s="1"/>
  <c r="O107" i="13"/>
  <c r="P107" i="13" s="1"/>
  <c r="O108" i="13"/>
  <c r="P108" i="13" s="1"/>
  <c r="O109" i="13"/>
  <c r="P109" i="13" s="1"/>
  <c r="O110" i="13"/>
  <c r="P110" i="13" s="1"/>
  <c r="O111" i="13"/>
  <c r="P111" i="13" s="1"/>
  <c r="O112" i="13"/>
  <c r="P112" i="13" s="1"/>
  <c r="O113" i="13"/>
  <c r="P113" i="13" s="1"/>
  <c r="O114" i="13"/>
  <c r="P114" i="13" s="1"/>
  <c r="O115" i="13"/>
  <c r="P115" i="13" s="1"/>
  <c r="O116" i="13"/>
  <c r="P116" i="13" s="1"/>
  <c r="O117" i="13"/>
  <c r="P117" i="13" s="1"/>
  <c r="O118" i="13"/>
  <c r="P118" i="13" s="1"/>
  <c r="O119" i="13"/>
  <c r="P119" i="13" s="1"/>
  <c r="O120" i="13"/>
  <c r="P120" i="13" s="1"/>
  <c r="O121" i="13"/>
  <c r="P121" i="13" s="1"/>
  <c r="O122" i="13"/>
  <c r="P122" i="13" s="1"/>
  <c r="O123" i="13"/>
  <c r="P123" i="13" s="1"/>
  <c r="O124" i="13"/>
  <c r="P124" i="13" s="1"/>
  <c r="O125" i="13"/>
  <c r="P125" i="13" s="1"/>
  <c r="O126" i="13"/>
  <c r="P126" i="13" s="1"/>
  <c r="O127" i="13"/>
  <c r="P127" i="13" s="1"/>
  <c r="O128" i="13"/>
  <c r="P128" i="13" s="1"/>
  <c r="O129" i="13"/>
  <c r="P129" i="13" s="1"/>
  <c r="O130" i="13"/>
  <c r="P130" i="13" s="1"/>
  <c r="O131" i="13"/>
  <c r="P131" i="13" s="1"/>
  <c r="O132" i="13"/>
  <c r="P132" i="13" s="1"/>
  <c r="O133" i="13"/>
  <c r="P133" i="13" s="1"/>
  <c r="O134" i="13"/>
  <c r="P134" i="13" s="1"/>
  <c r="O135" i="13"/>
  <c r="P135" i="13" s="1"/>
  <c r="O136" i="13"/>
  <c r="P136" i="13" s="1"/>
  <c r="O137" i="13"/>
  <c r="P137" i="13" s="1"/>
  <c r="O138" i="13"/>
  <c r="P138" i="13" s="1"/>
  <c r="O139" i="13"/>
  <c r="P139" i="13" s="1"/>
  <c r="O140" i="13"/>
  <c r="P140" i="13" s="1"/>
  <c r="O141" i="13"/>
  <c r="P141" i="13" s="1"/>
  <c r="O142" i="13"/>
  <c r="P142" i="13" s="1"/>
  <c r="O143" i="13"/>
  <c r="P143" i="13" s="1"/>
  <c r="O144" i="13"/>
  <c r="P144" i="13" s="1"/>
  <c r="O145" i="13"/>
  <c r="P145" i="13" s="1"/>
  <c r="O146" i="13"/>
  <c r="P146" i="13" s="1"/>
  <c r="O147" i="13"/>
  <c r="P147" i="13" s="1"/>
  <c r="O148" i="13"/>
  <c r="P148" i="13" s="1"/>
  <c r="O149" i="13"/>
  <c r="P149" i="13" s="1"/>
  <c r="O150" i="13"/>
  <c r="P150" i="13" s="1"/>
  <c r="O151" i="13"/>
  <c r="P151" i="13" s="1"/>
  <c r="O152" i="13"/>
  <c r="P152" i="13" s="1"/>
  <c r="O153" i="13"/>
  <c r="P153" i="13" s="1"/>
  <c r="O154" i="13"/>
  <c r="P154" i="13" s="1"/>
  <c r="O155" i="13"/>
  <c r="P155" i="13" s="1"/>
  <c r="O156" i="13"/>
  <c r="P156" i="13" s="1"/>
  <c r="O157" i="13"/>
  <c r="P157" i="13" s="1"/>
  <c r="O158" i="13"/>
  <c r="P158" i="13" s="1"/>
  <c r="O159" i="13"/>
  <c r="P159" i="13" s="1"/>
  <c r="O160" i="13"/>
  <c r="P160" i="13" s="1"/>
  <c r="O161" i="13"/>
  <c r="P161" i="13" s="1"/>
  <c r="O162" i="13"/>
  <c r="P162" i="13" s="1"/>
  <c r="O163" i="13"/>
  <c r="P163" i="13" s="1"/>
  <c r="O164" i="13"/>
  <c r="P164" i="13" s="1"/>
  <c r="O165" i="13"/>
  <c r="P165" i="13" s="1"/>
  <c r="O166" i="13"/>
  <c r="P166" i="13" s="1"/>
  <c r="O167" i="13"/>
  <c r="P167" i="13" s="1"/>
  <c r="O168" i="13"/>
  <c r="P168" i="13" s="1"/>
  <c r="O169" i="13"/>
  <c r="P169" i="13" s="1"/>
  <c r="O170" i="13"/>
  <c r="P170" i="13" s="1"/>
  <c r="O171" i="13"/>
  <c r="P171" i="13" s="1"/>
  <c r="O172" i="13"/>
  <c r="P172" i="13" s="1"/>
  <c r="O173" i="13"/>
  <c r="P173" i="13" s="1"/>
  <c r="O174" i="13"/>
  <c r="P174" i="13" s="1"/>
  <c r="O175" i="13"/>
  <c r="P175" i="13" s="1"/>
  <c r="O176" i="13"/>
  <c r="P176" i="13" s="1"/>
  <c r="O177" i="13"/>
  <c r="P177" i="13" s="1"/>
  <c r="O178" i="13"/>
  <c r="P178" i="13" s="1"/>
  <c r="O179" i="13"/>
  <c r="P179" i="13" s="1"/>
  <c r="O180" i="13"/>
  <c r="P180" i="13" s="1"/>
  <c r="O181" i="13"/>
  <c r="P181" i="13" s="1"/>
  <c r="O182" i="13"/>
  <c r="P182" i="13" s="1"/>
  <c r="O183" i="13"/>
  <c r="P183" i="13" s="1"/>
  <c r="O184" i="13"/>
  <c r="P184" i="13" s="1"/>
  <c r="O185" i="13"/>
  <c r="P185" i="13" s="1"/>
  <c r="O186" i="13"/>
  <c r="P186" i="13" s="1"/>
  <c r="O187" i="13"/>
  <c r="P187" i="13" s="1"/>
  <c r="O188" i="13"/>
  <c r="P188" i="13" s="1"/>
  <c r="O189" i="13"/>
  <c r="P189" i="13" s="1"/>
  <c r="O190" i="13"/>
  <c r="P190" i="13" s="1"/>
  <c r="O191" i="13"/>
  <c r="P191" i="13" s="1"/>
  <c r="O192" i="13"/>
  <c r="P192" i="13" s="1"/>
  <c r="O193" i="13"/>
  <c r="P193" i="13" s="1"/>
  <c r="O194" i="13"/>
  <c r="P194" i="13" s="1"/>
  <c r="O195" i="13"/>
  <c r="P195" i="13" s="1"/>
  <c r="O196" i="13"/>
  <c r="P196" i="13" s="1"/>
  <c r="O197" i="13"/>
  <c r="P197" i="13" s="1"/>
  <c r="O198" i="13"/>
  <c r="P198" i="13" s="1"/>
  <c r="O199" i="13"/>
  <c r="P199" i="13" s="1"/>
  <c r="O200" i="13"/>
  <c r="P200" i="13" s="1"/>
  <c r="O201" i="13"/>
  <c r="P201" i="13" s="1"/>
  <c r="O202" i="13"/>
  <c r="P202" i="13" s="1"/>
  <c r="O203" i="13"/>
  <c r="P203" i="13" s="1"/>
  <c r="O204" i="13"/>
  <c r="P204" i="13" s="1"/>
  <c r="O205" i="13"/>
  <c r="P205" i="13" s="1"/>
  <c r="O206" i="13"/>
  <c r="P206" i="13" s="1"/>
  <c r="O207" i="13"/>
  <c r="P207" i="13" s="1"/>
  <c r="O208" i="13"/>
  <c r="P208" i="13" s="1"/>
  <c r="O209" i="13"/>
  <c r="P209" i="13" s="1"/>
  <c r="O210" i="13"/>
  <c r="P210" i="13" s="1"/>
  <c r="O211" i="13"/>
  <c r="P211" i="13" s="1"/>
  <c r="O212" i="13"/>
  <c r="P212" i="13" s="1"/>
  <c r="O213" i="13"/>
  <c r="P213" i="13" s="1"/>
  <c r="O214" i="13"/>
  <c r="P214" i="13" s="1"/>
  <c r="O215" i="13"/>
  <c r="P215" i="13" s="1"/>
  <c r="O216" i="13"/>
  <c r="P216" i="13" s="1"/>
  <c r="O217" i="13"/>
  <c r="P217" i="13" s="1"/>
  <c r="O218" i="13"/>
  <c r="P218" i="13" s="1"/>
  <c r="O219" i="13"/>
  <c r="P219" i="13" s="1"/>
  <c r="O220" i="13"/>
  <c r="P220" i="13" s="1"/>
  <c r="O221" i="13"/>
  <c r="P221" i="13" s="1"/>
  <c r="O222" i="13"/>
  <c r="P222" i="13" s="1"/>
  <c r="O223" i="13"/>
  <c r="P223" i="13" s="1"/>
  <c r="O224" i="13"/>
  <c r="P224" i="13" s="1"/>
  <c r="O225" i="13"/>
  <c r="P225" i="13" s="1"/>
  <c r="O226" i="13"/>
  <c r="P226" i="13" s="1"/>
  <c r="O227" i="13"/>
  <c r="P227" i="13" s="1"/>
  <c r="O228" i="13"/>
  <c r="P228" i="13" s="1"/>
  <c r="O229" i="13"/>
  <c r="P229" i="13" s="1"/>
  <c r="O230" i="13"/>
  <c r="P230" i="13" s="1"/>
  <c r="O231" i="13"/>
  <c r="P231" i="13" s="1"/>
  <c r="O232" i="13"/>
  <c r="P232" i="13" s="1"/>
  <c r="O233" i="13"/>
  <c r="P233" i="13" s="1"/>
  <c r="O234" i="13"/>
  <c r="P234" i="13" s="1"/>
  <c r="O235" i="13"/>
  <c r="P235" i="13" s="1"/>
  <c r="O236" i="13"/>
  <c r="P236" i="13" s="1"/>
  <c r="O237" i="13"/>
  <c r="P237" i="13" s="1"/>
  <c r="O238" i="13"/>
  <c r="P238" i="13" s="1"/>
  <c r="O239" i="13"/>
  <c r="P239" i="13" s="1"/>
  <c r="O240" i="13"/>
  <c r="P240" i="13" s="1"/>
  <c r="O241" i="13"/>
  <c r="P241" i="13" s="1"/>
  <c r="O242" i="13"/>
  <c r="P242" i="13" s="1"/>
  <c r="O243" i="13"/>
  <c r="P243" i="13" s="1"/>
  <c r="O244" i="13"/>
  <c r="P244" i="13" s="1"/>
  <c r="O245" i="13"/>
  <c r="P245" i="13" s="1"/>
  <c r="O246" i="13"/>
  <c r="P246" i="13" s="1"/>
  <c r="O247" i="13"/>
  <c r="P247" i="13" s="1"/>
  <c r="O248" i="13"/>
  <c r="P248" i="13" s="1"/>
  <c r="O249" i="13"/>
  <c r="P249" i="13" s="1"/>
  <c r="O250" i="13"/>
  <c r="P250" i="13" s="1"/>
  <c r="O251" i="13"/>
  <c r="P251" i="13" s="1"/>
  <c r="O252" i="13"/>
  <c r="P252" i="13" s="1"/>
  <c r="O253" i="13"/>
  <c r="P253" i="13" s="1"/>
  <c r="O254" i="13"/>
  <c r="P254" i="13" s="1"/>
  <c r="O255" i="13"/>
  <c r="P255" i="13" s="1"/>
  <c r="O256" i="13"/>
  <c r="P256" i="13" s="1"/>
  <c r="O257" i="13"/>
  <c r="P257" i="13" s="1"/>
  <c r="O258" i="13"/>
  <c r="P258" i="13" s="1"/>
  <c r="O259" i="13"/>
  <c r="P259" i="13" s="1"/>
  <c r="O260" i="13"/>
  <c r="P260" i="13" s="1"/>
  <c r="O261" i="13"/>
  <c r="P261" i="13" s="1"/>
  <c r="O262" i="13"/>
  <c r="P262" i="13" s="1"/>
  <c r="O263" i="13"/>
  <c r="P263" i="13" s="1"/>
  <c r="O264" i="13"/>
  <c r="P264" i="13" s="1"/>
  <c r="O265" i="13"/>
  <c r="P265" i="13" s="1"/>
  <c r="O266" i="13"/>
  <c r="P266" i="13" s="1"/>
  <c r="O267" i="13"/>
  <c r="P267" i="13" s="1"/>
  <c r="O268" i="13"/>
  <c r="P268" i="13" s="1"/>
  <c r="O269" i="13"/>
  <c r="P269" i="13" s="1"/>
  <c r="O270" i="13"/>
  <c r="P270" i="13" s="1"/>
  <c r="O271" i="13"/>
  <c r="P271" i="13" s="1"/>
  <c r="O272" i="13"/>
  <c r="P272" i="13" s="1"/>
  <c r="O273" i="13"/>
  <c r="P273" i="13" s="1"/>
  <c r="O274" i="13"/>
  <c r="P274" i="13" s="1"/>
  <c r="O275" i="13"/>
  <c r="P275" i="13" s="1"/>
  <c r="O276" i="13"/>
  <c r="P276" i="13" s="1"/>
  <c r="O277" i="13"/>
  <c r="P277" i="13" s="1"/>
  <c r="O278" i="13"/>
  <c r="P278" i="13" s="1"/>
  <c r="O279" i="13"/>
  <c r="P279" i="13" s="1"/>
  <c r="O280" i="13"/>
  <c r="P280" i="13" s="1"/>
  <c r="O281" i="13"/>
  <c r="P281" i="13" s="1"/>
  <c r="O282" i="13"/>
  <c r="P282" i="13" s="1"/>
  <c r="O283" i="13"/>
  <c r="P283" i="13" s="1"/>
  <c r="O284" i="13"/>
  <c r="P284" i="13" s="1"/>
  <c r="O285" i="13"/>
  <c r="P285" i="13" s="1"/>
  <c r="O286" i="13"/>
  <c r="P286" i="13" s="1"/>
  <c r="O287" i="13"/>
  <c r="P287" i="13" s="1"/>
  <c r="O288" i="13"/>
  <c r="P288" i="13" s="1"/>
  <c r="O289" i="13"/>
  <c r="P289" i="13" s="1"/>
  <c r="O290" i="13"/>
  <c r="P290" i="13" s="1"/>
  <c r="O291" i="13"/>
  <c r="P291" i="13" s="1"/>
  <c r="O292" i="13"/>
  <c r="P292" i="13" s="1"/>
  <c r="O293" i="13"/>
  <c r="P293" i="13" s="1"/>
  <c r="O294" i="13"/>
  <c r="P294" i="13" s="1"/>
  <c r="O295" i="13"/>
  <c r="P295" i="13" s="1"/>
  <c r="O296" i="13"/>
  <c r="P296" i="13" s="1"/>
  <c r="O297" i="13"/>
  <c r="P297" i="13" s="1"/>
  <c r="O298" i="13"/>
  <c r="P298" i="13" s="1"/>
  <c r="O299" i="13"/>
  <c r="P299" i="13" s="1"/>
  <c r="O300" i="13"/>
  <c r="P300" i="13" s="1"/>
  <c r="O301" i="13"/>
  <c r="P301" i="13" s="1"/>
  <c r="O302" i="13"/>
  <c r="P302" i="13" s="1"/>
  <c r="O303" i="13"/>
  <c r="P303" i="13" s="1"/>
  <c r="O304" i="13"/>
  <c r="P304" i="13" s="1"/>
  <c r="O305" i="13"/>
  <c r="P305" i="13" s="1"/>
  <c r="O306" i="13"/>
  <c r="P306" i="13" s="1"/>
  <c r="O307" i="13"/>
  <c r="P307" i="13" s="1"/>
  <c r="O308" i="13"/>
  <c r="P308" i="13" s="1"/>
  <c r="O309" i="13"/>
  <c r="P309" i="13" s="1"/>
  <c r="O310" i="13"/>
  <c r="P310" i="13" s="1"/>
  <c r="O311" i="13"/>
  <c r="P311" i="13" s="1"/>
  <c r="O312" i="13"/>
  <c r="P312" i="13" s="1"/>
  <c r="O313" i="13"/>
  <c r="P313" i="13" s="1"/>
  <c r="O314" i="13"/>
  <c r="P314" i="13" s="1"/>
  <c r="O315" i="13"/>
  <c r="P315" i="13" s="1"/>
  <c r="O316" i="13"/>
  <c r="P316" i="13" s="1"/>
  <c r="O317" i="13"/>
  <c r="P317" i="13" s="1"/>
  <c r="O318" i="13"/>
  <c r="P318" i="13" s="1"/>
  <c r="O319" i="13"/>
  <c r="P319" i="13" s="1"/>
  <c r="O320" i="13"/>
  <c r="P320" i="13" s="1"/>
  <c r="O321" i="13"/>
  <c r="P321" i="13" s="1"/>
  <c r="O322" i="13"/>
  <c r="P322" i="13" s="1"/>
  <c r="O323" i="13"/>
  <c r="P323" i="13" s="1"/>
  <c r="O324" i="13"/>
  <c r="P324" i="13" s="1"/>
  <c r="O325" i="13"/>
  <c r="P325" i="13" s="1"/>
  <c r="O326" i="13"/>
  <c r="P326" i="13" s="1"/>
  <c r="O327" i="13"/>
  <c r="P327" i="13" s="1"/>
  <c r="O328" i="13"/>
  <c r="P328" i="13" s="1"/>
  <c r="O329" i="13"/>
  <c r="P329" i="13" s="1"/>
  <c r="O330" i="13"/>
  <c r="P330" i="13" s="1"/>
  <c r="O331" i="13"/>
  <c r="P331" i="13" s="1"/>
  <c r="O332" i="13"/>
  <c r="P332" i="13" s="1"/>
  <c r="O333" i="13"/>
  <c r="P333" i="13" s="1"/>
  <c r="O334" i="13"/>
  <c r="P334" i="13" s="1"/>
  <c r="O335" i="13"/>
  <c r="P335" i="13" s="1"/>
  <c r="O336" i="13"/>
  <c r="P336" i="13" s="1"/>
  <c r="O337" i="13"/>
  <c r="P337" i="13" s="1"/>
  <c r="O338" i="13"/>
  <c r="P338" i="13" s="1"/>
  <c r="O339" i="13"/>
  <c r="P339" i="13" s="1"/>
  <c r="O340" i="13"/>
  <c r="P340" i="13" s="1"/>
  <c r="O341" i="13"/>
  <c r="P341" i="13" s="1"/>
  <c r="O342" i="13"/>
  <c r="P342" i="13" s="1"/>
  <c r="O343" i="13"/>
  <c r="P343" i="13" s="1"/>
  <c r="O344" i="13"/>
  <c r="P344" i="13" s="1"/>
  <c r="O345" i="13"/>
  <c r="P345" i="13" s="1"/>
  <c r="O346" i="13"/>
  <c r="P346" i="13" s="1"/>
  <c r="O347" i="13"/>
  <c r="P347" i="13" s="1"/>
  <c r="O348" i="13"/>
  <c r="P348" i="13" s="1"/>
  <c r="O349" i="13"/>
  <c r="P349" i="13" s="1"/>
  <c r="O350" i="13"/>
  <c r="P350" i="13" s="1"/>
  <c r="O351" i="13"/>
  <c r="P351" i="13" s="1"/>
  <c r="O352" i="13"/>
  <c r="P352" i="13" s="1"/>
  <c r="O353" i="13"/>
  <c r="P353" i="13" s="1"/>
  <c r="O354" i="13"/>
  <c r="P354" i="13" s="1"/>
  <c r="O355" i="13"/>
  <c r="P355" i="13" s="1"/>
  <c r="O356" i="13"/>
  <c r="P356" i="13" s="1"/>
  <c r="O357" i="13"/>
  <c r="P357" i="13" s="1"/>
  <c r="O358" i="13"/>
  <c r="P358" i="13" s="1"/>
  <c r="O359" i="13"/>
  <c r="P359" i="13" s="1"/>
  <c r="O360" i="13"/>
  <c r="P360" i="13" s="1"/>
  <c r="O361" i="13"/>
  <c r="P361" i="13" s="1"/>
  <c r="O362" i="13"/>
  <c r="P362" i="13" s="1"/>
  <c r="O363" i="13"/>
  <c r="P363" i="13" s="1"/>
  <c r="O364" i="13"/>
  <c r="P364" i="13" s="1"/>
  <c r="O365" i="13"/>
  <c r="P365" i="13" s="1"/>
  <c r="O366" i="13"/>
  <c r="P366" i="13" s="1"/>
  <c r="O367" i="13"/>
  <c r="P367" i="13" s="1"/>
  <c r="O368" i="13"/>
  <c r="P368" i="13" s="1"/>
  <c r="O369" i="13"/>
  <c r="P369" i="13" s="1"/>
  <c r="O370" i="13"/>
  <c r="P370" i="13" s="1"/>
  <c r="O371" i="13"/>
  <c r="P371" i="13" s="1"/>
  <c r="O372" i="13"/>
  <c r="P372" i="13" s="1"/>
  <c r="O373" i="13"/>
  <c r="P373" i="13" s="1"/>
  <c r="O374" i="13"/>
  <c r="P374" i="13" s="1"/>
  <c r="O375" i="13"/>
  <c r="P375" i="13" s="1"/>
  <c r="O376" i="13"/>
  <c r="P376" i="13" s="1"/>
  <c r="O377" i="13"/>
  <c r="P377" i="13" s="1"/>
  <c r="O378" i="13"/>
  <c r="P378" i="13" s="1"/>
  <c r="O379" i="13"/>
  <c r="P379" i="13" s="1"/>
  <c r="O380" i="13"/>
  <c r="P380" i="13" s="1"/>
  <c r="O381" i="13"/>
  <c r="P381" i="13" s="1"/>
  <c r="O382" i="13"/>
  <c r="P382" i="13" s="1"/>
  <c r="O383" i="13"/>
  <c r="P383" i="13" s="1"/>
  <c r="O384" i="13"/>
  <c r="P384" i="13" s="1"/>
  <c r="O385" i="13"/>
  <c r="P385" i="13" s="1"/>
  <c r="O386" i="13"/>
  <c r="P386" i="13" s="1"/>
  <c r="O387" i="13"/>
  <c r="P387" i="13" s="1"/>
  <c r="O388" i="13"/>
  <c r="P388" i="13" s="1"/>
  <c r="O389" i="13"/>
  <c r="P389" i="13" s="1"/>
  <c r="O390" i="13"/>
  <c r="P390" i="13" s="1"/>
  <c r="O391" i="13"/>
  <c r="P391" i="13" s="1"/>
  <c r="O392" i="13"/>
  <c r="P392" i="13" s="1"/>
  <c r="O393" i="13"/>
  <c r="P393" i="13" s="1"/>
  <c r="O394" i="13"/>
  <c r="P394" i="13" s="1"/>
  <c r="O395" i="13"/>
  <c r="P395" i="13" s="1"/>
  <c r="O396" i="13"/>
  <c r="P396" i="13" s="1"/>
  <c r="O397" i="13"/>
  <c r="P397" i="13" s="1"/>
  <c r="O398" i="13"/>
  <c r="P398" i="13" s="1"/>
  <c r="O399" i="13"/>
  <c r="P399" i="13" s="1"/>
  <c r="O400" i="13"/>
  <c r="P400" i="13" s="1"/>
  <c r="O401" i="13"/>
  <c r="P401" i="13" s="1"/>
  <c r="O402" i="13"/>
  <c r="P402" i="13" s="1"/>
  <c r="O403" i="13"/>
  <c r="P403" i="13" s="1"/>
  <c r="O404" i="13"/>
  <c r="P404" i="13" s="1"/>
  <c r="O405" i="13"/>
  <c r="P405" i="13" s="1"/>
  <c r="O406" i="13"/>
  <c r="P406" i="13" s="1"/>
  <c r="O407" i="13"/>
  <c r="P407" i="13" s="1"/>
  <c r="O408" i="13"/>
  <c r="P408" i="13" s="1"/>
  <c r="O409" i="13"/>
  <c r="P409" i="13" s="1"/>
  <c r="O410" i="13"/>
  <c r="P410" i="13" s="1"/>
  <c r="O411" i="13"/>
  <c r="P411" i="13" s="1"/>
  <c r="O412" i="13"/>
  <c r="P412" i="13" s="1"/>
  <c r="O413" i="13"/>
  <c r="P413" i="13" s="1"/>
  <c r="O414" i="13"/>
  <c r="P414" i="13" s="1"/>
  <c r="O415" i="13"/>
  <c r="P415" i="13" s="1"/>
  <c r="O416" i="13"/>
  <c r="P416" i="13" s="1"/>
  <c r="O417" i="13"/>
  <c r="P417" i="13" s="1"/>
  <c r="O418" i="13"/>
  <c r="P418" i="13" s="1"/>
  <c r="O419" i="13"/>
  <c r="P419" i="13" s="1"/>
  <c r="O420" i="13"/>
  <c r="P420" i="13" s="1"/>
  <c r="O421" i="13"/>
  <c r="P421" i="13" s="1"/>
  <c r="O422" i="13"/>
  <c r="P422" i="13" s="1"/>
  <c r="O423" i="13"/>
  <c r="P423" i="13" s="1"/>
  <c r="O424" i="13"/>
  <c r="P424" i="13" s="1"/>
  <c r="O425" i="13"/>
  <c r="P425" i="13" s="1"/>
  <c r="O426" i="13"/>
  <c r="P426" i="13" s="1"/>
  <c r="O427" i="13"/>
  <c r="P427" i="13" s="1"/>
  <c r="O428" i="13"/>
  <c r="P428" i="13" s="1"/>
  <c r="O429" i="13"/>
  <c r="P429" i="13" s="1"/>
  <c r="O430" i="13"/>
  <c r="P430" i="13" s="1"/>
  <c r="O431" i="13"/>
  <c r="P431" i="13" s="1"/>
  <c r="O432" i="13"/>
  <c r="P432" i="13" s="1"/>
  <c r="O433" i="13"/>
  <c r="P433" i="13" s="1"/>
  <c r="O434" i="13"/>
  <c r="P434" i="13" s="1"/>
  <c r="O435" i="13"/>
  <c r="P435" i="13" s="1"/>
  <c r="O436" i="13"/>
  <c r="P436" i="13" s="1"/>
  <c r="O437" i="13"/>
  <c r="P437" i="13" s="1"/>
  <c r="O438" i="13"/>
  <c r="P438" i="13" s="1"/>
  <c r="O439" i="13"/>
  <c r="P439" i="13" s="1"/>
  <c r="O440" i="13"/>
  <c r="P440" i="13" s="1"/>
  <c r="O441" i="13"/>
  <c r="P441" i="13" s="1"/>
  <c r="O442" i="13"/>
  <c r="P442" i="13" s="1"/>
  <c r="O443" i="13"/>
  <c r="P443" i="13" s="1"/>
  <c r="O444" i="13"/>
  <c r="P444" i="13" s="1"/>
  <c r="O445" i="13"/>
  <c r="P445" i="13" s="1"/>
  <c r="O446" i="13"/>
  <c r="P446" i="13" s="1"/>
  <c r="O447" i="13"/>
  <c r="P447" i="13" s="1"/>
  <c r="O448" i="13"/>
  <c r="P448" i="13" s="1"/>
  <c r="O449" i="13"/>
  <c r="P449" i="13" s="1"/>
  <c r="O450" i="13"/>
  <c r="P450" i="13" s="1"/>
  <c r="O451" i="13"/>
  <c r="P451" i="13" s="1"/>
  <c r="O452" i="13"/>
  <c r="P452" i="13" s="1"/>
  <c r="O453" i="13"/>
  <c r="P453" i="13" s="1"/>
  <c r="O454" i="13"/>
  <c r="P454" i="13" s="1"/>
  <c r="O455" i="13"/>
  <c r="P455" i="13" s="1"/>
  <c r="O456" i="13"/>
  <c r="P456" i="13" s="1"/>
  <c r="O457" i="13"/>
  <c r="P457" i="13" s="1"/>
  <c r="O458" i="13"/>
  <c r="P458" i="13" s="1"/>
  <c r="O459" i="13"/>
  <c r="P459" i="13" s="1"/>
  <c r="O460" i="13"/>
  <c r="P460" i="13" s="1"/>
  <c r="O461" i="13"/>
  <c r="P461" i="13" s="1"/>
  <c r="O462" i="13"/>
  <c r="P462" i="13" s="1"/>
  <c r="O463" i="13"/>
  <c r="P463" i="13" s="1"/>
  <c r="O464" i="13"/>
  <c r="P464" i="13" s="1"/>
  <c r="O465" i="13"/>
  <c r="P465" i="13" s="1"/>
  <c r="O466" i="13"/>
  <c r="P466" i="13" s="1"/>
  <c r="O467" i="13"/>
  <c r="P467" i="13" s="1"/>
  <c r="O468" i="13"/>
  <c r="P468" i="13" s="1"/>
  <c r="O469" i="13"/>
  <c r="P469" i="13" s="1"/>
  <c r="O470" i="13"/>
  <c r="P470" i="13" s="1"/>
  <c r="O471" i="13"/>
  <c r="P471" i="13" s="1"/>
  <c r="O472" i="13"/>
  <c r="P472" i="13" s="1"/>
  <c r="O473" i="13"/>
  <c r="P473" i="13" s="1"/>
  <c r="O474" i="13"/>
  <c r="P474" i="13" s="1"/>
  <c r="O475" i="13"/>
  <c r="P475" i="13" s="1"/>
  <c r="O476" i="13"/>
  <c r="P476" i="13" s="1"/>
  <c r="O477" i="13"/>
  <c r="P477" i="13" s="1"/>
  <c r="O478" i="13"/>
  <c r="P478" i="13" s="1"/>
  <c r="O479" i="13"/>
  <c r="P479" i="13" s="1"/>
  <c r="O480" i="13"/>
  <c r="P480" i="13" s="1"/>
  <c r="O481" i="13"/>
  <c r="P481" i="13" s="1"/>
  <c r="O482" i="13"/>
  <c r="P482" i="13" s="1"/>
  <c r="O483" i="13"/>
  <c r="P483" i="13" s="1"/>
  <c r="O484" i="13"/>
  <c r="P484" i="13" s="1"/>
  <c r="O485" i="13"/>
  <c r="P485" i="13" s="1"/>
  <c r="O486" i="13"/>
  <c r="P486" i="13" s="1"/>
  <c r="O487" i="13"/>
  <c r="P487" i="13" s="1"/>
  <c r="O488" i="13"/>
  <c r="P488" i="13" s="1"/>
  <c r="O489" i="13"/>
  <c r="P489" i="13" s="1"/>
  <c r="O490" i="13"/>
  <c r="P490" i="13" s="1"/>
  <c r="O491" i="13"/>
  <c r="P491" i="13" s="1"/>
  <c r="O492" i="13"/>
  <c r="P492" i="13" s="1"/>
  <c r="O493" i="13"/>
  <c r="P493" i="13" s="1"/>
  <c r="O494" i="13"/>
  <c r="P494" i="13" s="1"/>
  <c r="O495" i="13"/>
  <c r="P495" i="13" s="1"/>
  <c r="O496" i="13"/>
  <c r="P496" i="13" s="1"/>
  <c r="O497" i="13"/>
  <c r="P497" i="13" s="1"/>
  <c r="O498" i="13"/>
  <c r="P498" i="13" s="1"/>
  <c r="O499" i="13"/>
  <c r="P499" i="13" s="1"/>
  <c r="O500" i="13"/>
  <c r="P500" i="13" s="1"/>
  <c r="O501" i="13"/>
  <c r="P501" i="13" s="1"/>
  <c r="O502" i="13"/>
  <c r="P502" i="13" s="1"/>
  <c r="O503" i="13"/>
  <c r="P503" i="13" s="1"/>
  <c r="O504" i="13"/>
  <c r="P504" i="13" s="1"/>
  <c r="O505" i="13"/>
  <c r="P505" i="13" s="1"/>
  <c r="O506" i="13"/>
  <c r="P506" i="13" s="1"/>
  <c r="O507" i="13"/>
  <c r="P507" i="13" s="1"/>
  <c r="O508" i="13"/>
  <c r="P508" i="13" s="1"/>
  <c r="O509" i="13"/>
  <c r="P509" i="13" s="1"/>
  <c r="O510" i="13"/>
  <c r="P510" i="13" s="1"/>
  <c r="O511" i="13"/>
  <c r="P511" i="13" s="1"/>
  <c r="O512" i="13"/>
  <c r="P512" i="13" s="1"/>
  <c r="O513" i="13"/>
  <c r="P513" i="13" s="1"/>
  <c r="O514" i="13"/>
  <c r="P514" i="13" s="1"/>
  <c r="O515" i="13"/>
  <c r="P515" i="13" s="1"/>
  <c r="O516" i="13"/>
  <c r="P516" i="13" s="1"/>
  <c r="O517" i="13"/>
  <c r="P517" i="13" s="1"/>
  <c r="O518" i="13"/>
  <c r="P518" i="13" s="1"/>
  <c r="O519" i="13"/>
  <c r="P519" i="13" s="1"/>
  <c r="O520" i="13"/>
  <c r="P520" i="13" s="1"/>
  <c r="O521" i="13"/>
  <c r="P521" i="13" s="1"/>
  <c r="O522" i="13"/>
  <c r="P522" i="13" s="1"/>
  <c r="O523" i="13"/>
  <c r="P523" i="13" s="1"/>
  <c r="O524" i="13"/>
  <c r="P524" i="13" s="1"/>
  <c r="O525" i="13"/>
  <c r="P525" i="13" s="1"/>
  <c r="O526" i="13"/>
  <c r="P526" i="13" s="1"/>
  <c r="O527" i="13"/>
  <c r="P527" i="13" s="1"/>
  <c r="O528" i="13"/>
  <c r="P528" i="13" s="1"/>
  <c r="O529" i="13"/>
  <c r="P529" i="13" s="1"/>
  <c r="O530" i="13"/>
  <c r="P530" i="13" s="1"/>
  <c r="O531" i="13"/>
  <c r="P531" i="13" s="1"/>
  <c r="O532" i="13"/>
  <c r="P532" i="13" s="1"/>
  <c r="O533" i="13"/>
  <c r="P533" i="13" s="1"/>
  <c r="O534" i="13"/>
  <c r="P534" i="13" s="1"/>
  <c r="O535" i="13"/>
  <c r="P535" i="13" s="1"/>
  <c r="O536" i="13"/>
  <c r="P536" i="13" s="1"/>
  <c r="O537" i="13"/>
  <c r="P537" i="13" s="1"/>
  <c r="O538" i="13"/>
  <c r="P538" i="13" s="1"/>
  <c r="O539" i="13"/>
  <c r="P539" i="13" s="1"/>
  <c r="O540" i="13"/>
  <c r="P540" i="13" s="1"/>
  <c r="O541" i="13"/>
  <c r="P541" i="13" s="1"/>
  <c r="O542" i="13"/>
  <c r="P542" i="13" s="1"/>
  <c r="O2" i="13"/>
  <c r="P2" i="13" s="1"/>
  <c r="B216" i="3"/>
  <c r="C216" i="3"/>
  <c r="D216" i="3"/>
  <c r="E216" i="3"/>
  <c r="B189" i="3" l="1"/>
  <c r="C180" i="3" s="1"/>
  <c r="BK4" i="5"/>
  <c r="BK5" i="5"/>
  <c r="BK6" i="5"/>
  <c r="BK7" i="5"/>
  <c r="BK8" i="5"/>
  <c r="BK9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0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63" i="5"/>
  <c r="BK64" i="5"/>
  <c r="BK65" i="5"/>
  <c r="BK66" i="5"/>
  <c r="BK67" i="5"/>
  <c r="BK68" i="5"/>
  <c r="BK69" i="5"/>
  <c r="BK70" i="5"/>
  <c r="BK71" i="5"/>
  <c r="BK72" i="5"/>
  <c r="BK73" i="5"/>
  <c r="BK74" i="5"/>
  <c r="BK75" i="5"/>
  <c r="BK76" i="5"/>
  <c r="BK77" i="5"/>
  <c r="BK78" i="5"/>
  <c r="BK79" i="5"/>
  <c r="BK80" i="5"/>
  <c r="BK81" i="5"/>
  <c r="BK82" i="5"/>
  <c r="BK83" i="5"/>
  <c r="BK84" i="5"/>
  <c r="BK85" i="5"/>
  <c r="BK86" i="5"/>
  <c r="BK87" i="5"/>
  <c r="BK88" i="5"/>
  <c r="BK89" i="5"/>
  <c r="BK90" i="5"/>
  <c r="BK91" i="5"/>
  <c r="BK92" i="5"/>
  <c r="BK93" i="5"/>
  <c r="BK94" i="5"/>
  <c r="BK95" i="5"/>
  <c r="BK96" i="5"/>
  <c r="BK97" i="5"/>
  <c r="BK98" i="5"/>
  <c r="BK99" i="5"/>
  <c r="BK100" i="5"/>
  <c r="BK101" i="5"/>
  <c r="BK102" i="5"/>
  <c r="BK103" i="5"/>
  <c r="BK104" i="5"/>
  <c r="BK105" i="5"/>
  <c r="BK106" i="5"/>
  <c r="BK107" i="5"/>
  <c r="BK108" i="5"/>
  <c r="BK109" i="5"/>
  <c r="BK110" i="5"/>
  <c r="BK111" i="5"/>
  <c r="BK112" i="5"/>
  <c r="BK113" i="5"/>
  <c r="BK114" i="5"/>
  <c r="BK115" i="5"/>
  <c r="BK116" i="5"/>
  <c r="BK117" i="5"/>
  <c r="BK118" i="5"/>
  <c r="BK119" i="5"/>
  <c r="BK120" i="5"/>
  <c r="BK121" i="5"/>
  <c r="BK122" i="5"/>
  <c r="BK123" i="5"/>
  <c r="BK124" i="5"/>
  <c r="BK125" i="5"/>
  <c r="BK126" i="5"/>
  <c r="BK127" i="5"/>
  <c r="BK128" i="5"/>
  <c r="BK129" i="5"/>
  <c r="BK130" i="5"/>
  <c r="BK131" i="5"/>
  <c r="BK132" i="5"/>
  <c r="BK133" i="5"/>
  <c r="BK134" i="5"/>
  <c r="BK135" i="5"/>
  <c r="BK136" i="5"/>
  <c r="BK137" i="5"/>
  <c r="BK138" i="5"/>
  <c r="BK139" i="5"/>
  <c r="BK140" i="5"/>
  <c r="BK141" i="5"/>
  <c r="BK142" i="5"/>
  <c r="BK143" i="5"/>
  <c r="BK144" i="5"/>
  <c r="BK145" i="5"/>
  <c r="BK146" i="5"/>
  <c r="BK147" i="5"/>
  <c r="BK148" i="5"/>
  <c r="BK149" i="5"/>
  <c r="BK150" i="5"/>
  <c r="BK151" i="5"/>
  <c r="BK152" i="5"/>
  <c r="BK153" i="5"/>
  <c r="BK154" i="5"/>
  <c r="BK155" i="5"/>
  <c r="BK156" i="5"/>
  <c r="BK157" i="5"/>
  <c r="BK158" i="5"/>
  <c r="BK159" i="5"/>
  <c r="BK160" i="5"/>
  <c r="BK161" i="5"/>
  <c r="BK162" i="5"/>
  <c r="BK163" i="5"/>
  <c r="BK164" i="5"/>
  <c r="BK165" i="5"/>
  <c r="BK166" i="5"/>
  <c r="BK167" i="5"/>
  <c r="BK168" i="5"/>
  <c r="BK169" i="5"/>
  <c r="BK170" i="5"/>
  <c r="BK171" i="5"/>
  <c r="BK172" i="5"/>
  <c r="BK173" i="5"/>
  <c r="BK174" i="5"/>
  <c r="BK175" i="5"/>
  <c r="BK176" i="5"/>
  <c r="BK177" i="5"/>
  <c r="BK178" i="5"/>
  <c r="BK179" i="5"/>
  <c r="BK180" i="5"/>
  <c r="BK181" i="5"/>
  <c r="BK182" i="5"/>
  <c r="BK183" i="5"/>
  <c r="BK184" i="5"/>
  <c r="BK185" i="5"/>
  <c r="BK186" i="5"/>
  <c r="BK187" i="5"/>
  <c r="BK188" i="5"/>
  <c r="BK189" i="5"/>
  <c r="BK190" i="5"/>
  <c r="BK191" i="5"/>
  <c r="BK192" i="5"/>
  <c r="BK193" i="5"/>
  <c r="BK194" i="5"/>
  <c r="BK195" i="5"/>
  <c r="BK196" i="5"/>
  <c r="BK197" i="5"/>
  <c r="BK198" i="5"/>
  <c r="BK199" i="5"/>
  <c r="BK200" i="5"/>
  <c r="BK201" i="5"/>
  <c r="BK202" i="5"/>
  <c r="BK203" i="5"/>
  <c r="BK204" i="5"/>
  <c r="BK205" i="5"/>
  <c r="BK206" i="5"/>
  <c r="BK207" i="5"/>
  <c r="BK208" i="5"/>
  <c r="BK209" i="5"/>
  <c r="BK210" i="5"/>
  <c r="BK211" i="5"/>
  <c r="BK212" i="5"/>
  <c r="BK213" i="5"/>
  <c r="BK214" i="5"/>
  <c r="BK215" i="5"/>
  <c r="BK216" i="5"/>
  <c r="BK217" i="5"/>
  <c r="BK218" i="5"/>
  <c r="BK219" i="5"/>
  <c r="BK220" i="5"/>
  <c r="BK221" i="5"/>
  <c r="BK222" i="5"/>
  <c r="BK223" i="5"/>
  <c r="BK224" i="5"/>
  <c r="BK225" i="5"/>
  <c r="BK226" i="5"/>
  <c r="BK227" i="5"/>
  <c r="BK228" i="5"/>
  <c r="BK229" i="5"/>
  <c r="BK230" i="5"/>
  <c r="BK231" i="5"/>
  <c r="BK232" i="5"/>
  <c r="BK233" i="5"/>
  <c r="BK234" i="5"/>
  <c r="BK235" i="5"/>
  <c r="BK236" i="5"/>
  <c r="BK237" i="5"/>
  <c r="BK238" i="5"/>
  <c r="BK239" i="5"/>
  <c r="BK240" i="5"/>
  <c r="BK241" i="5"/>
  <c r="BK242" i="5"/>
  <c r="BK243" i="5"/>
  <c r="BK244" i="5"/>
  <c r="BK245" i="5"/>
  <c r="BK246" i="5"/>
  <c r="BK247" i="5"/>
  <c r="BK248" i="5"/>
  <c r="BK249" i="5"/>
  <c r="BK250" i="5"/>
  <c r="BK251" i="5"/>
  <c r="BK252" i="5"/>
  <c r="BK253" i="5"/>
  <c r="BK254" i="5"/>
  <c r="BK255" i="5"/>
  <c r="BK256" i="5"/>
  <c r="BK257" i="5"/>
  <c r="BK258" i="5"/>
  <c r="BK259" i="5"/>
  <c r="BK260" i="5"/>
  <c r="BK261" i="5"/>
  <c r="BK262" i="5"/>
  <c r="BK263" i="5"/>
  <c r="BK264" i="5"/>
  <c r="BK265" i="5"/>
  <c r="BK266" i="5"/>
  <c r="BK267" i="5"/>
  <c r="BK268" i="5"/>
  <c r="BK269" i="5"/>
  <c r="BK270" i="5"/>
  <c r="BK271" i="5"/>
  <c r="BK272" i="5"/>
  <c r="BK273" i="5"/>
  <c r="BK274" i="5"/>
  <c r="BK275" i="5"/>
  <c r="BK276" i="5"/>
  <c r="BK277" i="5"/>
  <c r="BK278" i="5"/>
  <c r="BK279" i="5"/>
  <c r="BK280" i="5"/>
  <c r="BK281" i="5"/>
  <c r="BK282" i="5"/>
  <c r="BK283" i="5"/>
  <c r="BK284" i="5"/>
  <c r="BK285" i="5"/>
  <c r="BK286" i="5"/>
  <c r="BK287" i="5"/>
  <c r="BK288" i="5"/>
  <c r="BK289" i="5"/>
  <c r="BK290" i="5"/>
  <c r="BK291" i="5"/>
  <c r="BK292" i="5"/>
  <c r="BK293" i="5"/>
  <c r="BK294" i="5"/>
  <c r="BK295" i="5"/>
  <c r="BK296" i="5"/>
  <c r="BK297" i="5"/>
  <c r="BK298" i="5"/>
  <c r="BK299" i="5"/>
  <c r="BK300" i="5"/>
  <c r="BK301" i="5"/>
  <c r="BK302" i="5"/>
  <c r="BK303" i="5"/>
  <c r="BK304" i="5"/>
  <c r="BK305" i="5"/>
  <c r="BK306" i="5"/>
  <c r="BK307" i="5"/>
  <c r="BK308" i="5"/>
  <c r="BK309" i="5"/>
  <c r="BK310" i="5"/>
  <c r="BK311" i="5"/>
  <c r="BK312" i="5"/>
  <c r="BK313" i="5"/>
  <c r="BK314" i="5"/>
  <c r="BK315" i="5"/>
  <c r="BK316" i="5"/>
  <c r="BK317" i="5"/>
  <c r="BK318" i="5"/>
  <c r="BK319" i="5"/>
  <c r="BK320" i="5"/>
  <c r="BK321" i="5"/>
  <c r="BK322" i="5"/>
  <c r="BK323" i="5"/>
  <c r="BK324" i="5"/>
  <c r="BK325" i="5"/>
  <c r="BK326" i="5"/>
  <c r="BK327" i="5"/>
  <c r="BK328" i="5"/>
  <c r="BK329" i="5"/>
  <c r="BK330" i="5"/>
  <c r="BK331" i="5"/>
  <c r="BK332" i="5"/>
  <c r="BK333" i="5"/>
  <c r="BK334" i="5"/>
  <c r="BK335" i="5"/>
  <c r="BK336" i="5"/>
  <c r="BK337" i="5"/>
  <c r="BK338" i="5"/>
  <c r="BK339" i="5"/>
  <c r="BK340" i="5"/>
  <c r="BK341" i="5"/>
  <c r="BK342" i="5"/>
  <c r="BK343" i="5"/>
  <c r="BK344" i="5"/>
  <c r="BK345" i="5"/>
  <c r="BK346" i="5"/>
  <c r="BK347" i="5"/>
  <c r="BK348" i="5"/>
  <c r="BK349" i="5"/>
  <c r="BK350" i="5"/>
  <c r="BK351" i="5"/>
  <c r="BK352" i="5"/>
  <c r="BK353" i="5"/>
  <c r="BK354" i="5"/>
  <c r="BK355" i="5"/>
  <c r="BK356" i="5"/>
  <c r="BK357" i="5"/>
  <c r="BK358" i="5"/>
  <c r="BK359" i="5"/>
  <c r="BK360" i="5"/>
  <c r="BK361" i="5"/>
  <c r="BK362" i="5"/>
  <c r="BK363" i="5"/>
  <c r="BK364" i="5"/>
  <c r="BK365" i="5"/>
  <c r="BK366" i="5"/>
  <c r="BK367" i="5"/>
  <c r="BK368" i="5"/>
  <c r="BK369" i="5"/>
  <c r="BK370" i="5"/>
  <c r="BK371" i="5"/>
  <c r="BK372" i="5"/>
  <c r="BK373" i="5"/>
  <c r="BK374" i="5"/>
  <c r="BK375" i="5"/>
  <c r="BK376" i="5"/>
  <c r="BK377" i="5"/>
  <c r="BK378" i="5"/>
  <c r="BK379" i="5"/>
  <c r="BK380" i="5"/>
  <c r="BK381" i="5"/>
  <c r="BK382" i="5"/>
  <c r="BK383" i="5"/>
  <c r="BK384" i="5"/>
  <c r="BK385" i="5"/>
  <c r="BK386" i="5"/>
  <c r="BK387" i="5"/>
  <c r="BK388" i="5"/>
  <c r="BK389" i="5"/>
  <c r="BK390" i="5"/>
  <c r="BK391" i="5"/>
  <c r="BK392" i="5"/>
  <c r="BK393" i="5"/>
  <c r="BK394" i="5"/>
  <c r="BK395" i="5"/>
  <c r="BK396" i="5"/>
  <c r="BK397" i="5"/>
  <c r="BK398" i="5"/>
  <c r="BK399" i="5"/>
  <c r="BK400" i="5"/>
  <c r="BK401" i="5"/>
  <c r="BK402" i="5"/>
  <c r="BK403" i="5"/>
  <c r="BK404" i="5"/>
  <c r="BK405" i="5"/>
  <c r="BK406" i="5"/>
  <c r="BK407" i="5"/>
  <c r="BK408" i="5"/>
  <c r="BK409" i="5"/>
  <c r="BK410" i="5"/>
  <c r="BK411" i="5"/>
  <c r="BK412" i="5"/>
  <c r="BK413" i="5"/>
  <c r="BK414" i="5"/>
  <c r="BK415" i="5"/>
  <c r="BK416" i="5"/>
  <c r="BK417" i="5"/>
  <c r="BK418" i="5"/>
  <c r="BK419" i="5"/>
  <c r="BK420" i="5"/>
  <c r="BK421" i="5"/>
  <c r="BK422" i="5"/>
  <c r="BK423" i="5"/>
  <c r="BK424" i="5"/>
  <c r="BK425" i="5"/>
  <c r="BK426" i="5"/>
  <c r="BK427" i="5"/>
  <c r="BK428" i="5"/>
  <c r="BK429" i="5"/>
  <c r="BK430" i="5"/>
  <c r="BK431" i="5"/>
  <c r="BK432" i="5"/>
  <c r="BK433" i="5"/>
  <c r="BK434" i="5"/>
  <c r="BK435" i="5"/>
  <c r="BK436" i="5"/>
  <c r="BK437" i="5"/>
  <c r="BK438" i="5"/>
  <c r="BK439" i="5"/>
  <c r="BK440" i="5"/>
  <c r="BK441" i="5"/>
  <c r="BK442" i="5"/>
  <c r="BK443" i="5"/>
  <c r="BK444" i="5"/>
  <c r="BK445" i="5"/>
  <c r="BK446" i="5"/>
  <c r="BK447" i="5"/>
  <c r="BK448" i="5"/>
  <c r="BK449" i="5"/>
  <c r="BK450" i="5"/>
  <c r="BK451" i="5"/>
  <c r="BK452" i="5"/>
  <c r="BK453" i="5"/>
  <c r="BK454" i="5"/>
  <c r="BK455" i="5"/>
  <c r="BK456" i="5"/>
  <c r="BK457" i="5"/>
  <c r="BK458" i="5"/>
  <c r="BK459" i="5"/>
  <c r="BK460" i="5"/>
  <c r="BK461" i="5"/>
  <c r="BK462" i="5"/>
  <c r="BK463" i="5"/>
  <c r="BK464" i="5"/>
  <c r="BK465" i="5"/>
  <c r="BK466" i="5"/>
  <c r="BK467" i="5"/>
  <c r="BK468" i="5"/>
  <c r="BK469" i="5"/>
  <c r="BK470" i="5"/>
  <c r="BK471" i="5"/>
  <c r="BK472" i="5"/>
  <c r="BK473" i="5"/>
  <c r="BK474" i="5"/>
  <c r="BK475" i="5"/>
  <c r="BK476" i="5"/>
  <c r="BK477" i="5"/>
  <c r="BK478" i="5"/>
  <c r="BK479" i="5"/>
  <c r="BK480" i="5"/>
  <c r="BK481" i="5"/>
  <c r="BK482" i="5"/>
  <c r="BK483" i="5"/>
  <c r="BK484" i="5"/>
  <c r="BK485" i="5"/>
  <c r="BK486" i="5"/>
  <c r="BK487" i="5"/>
  <c r="BK488" i="5"/>
  <c r="BK489" i="5"/>
  <c r="BK490" i="5"/>
  <c r="BK491" i="5"/>
  <c r="BK492" i="5"/>
  <c r="BK493" i="5"/>
  <c r="BK494" i="5"/>
  <c r="BK495" i="5"/>
  <c r="BK496" i="5"/>
  <c r="BK497" i="5"/>
  <c r="BK498" i="5"/>
  <c r="BK499" i="5"/>
  <c r="BK500" i="5"/>
  <c r="BK501" i="5"/>
  <c r="BK502" i="5"/>
  <c r="BK503" i="5"/>
  <c r="BK504" i="5"/>
  <c r="BK505" i="5"/>
  <c r="BK506" i="5"/>
  <c r="BK507" i="5"/>
  <c r="BK508" i="5"/>
  <c r="BK509" i="5"/>
  <c r="BK510" i="5"/>
  <c r="BK511" i="5"/>
  <c r="BK512" i="5"/>
  <c r="BK513" i="5"/>
  <c r="BK514" i="5"/>
  <c r="BK515" i="5"/>
  <c r="BK516" i="5"/>
  <c r="BK517" i="5"/>
  <c r="BK518" i="5"/>
  <c r="BK519" i="5"/>
  <c r="BK520" i="5"/>
  <c r="BK521" i="5"/>
  <c r="BK522" i="5"/>
  <c r="BK523" i="5"/>
  <c r="BK524" i="5"/>
  <c r="BK525" i="5"/>
  <c r="BK526" i="5"/>
  <c r="BK527" i="5"/>
  <c r="BK528" i="5"/>
  <c r="BK529" i="5"/>
  <c r="BK530" i="5"/>
  <c r="BK531" i="5"/>
  <c r="BK532" i="5"/>
  <c r="BK533" i="5"/>
  <c r="BK534" i="5"/>
  <c r="BK535" i="5"/>
  <c r="BK536" i="5"/>
  <c r="BK537" i="5"/>
  <c r="BK538" i="5"/>
  <c r="BK539" i="5"/>
  <c r="BK540" i="5"/>
  <c r="BK541" i="5"/>
  <c r="BK542" i="5"/>
  <c r="BK543" i="5"/>
  <c r="BK3" i="5"/>
  <c r="C186" i="3" l="1"/>
  <c r="C184" i="3"/>
  <c r="C187" i="3"/>
  <c r="C185" i="3"/>
  <c r="C183" i="3"/>
  <c r="C182" i="3"/>
  <c r="C179" i="3"/>
  <c r="C181" i="3"/>
  <c r="C188" i="3"/>
  <c r="BC9" i="9"/>
  <c r="BC10" i="9"/>
  <c r="BC11" i="9"/>
  <c r="BC12" i="9"/>
  <c r="BC18" i="9"/>
  <c r="BC19" i="9"/>
  <c r="BC20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41" i="9"/>
  <c r="BC42" i="9"/>
  <c r="BC43" i="9"/>
  <c r="BC44" i="9"/>
  <c r="BC45" i="9"/>
  <c r="BC46" i="9"/>
  <c r="BC47" i="9"/>
  <c r="BC48" i="9"/>
  <c r="BC56" i="9"/>
  <c r="BC57" i="9"/>
  <c r="BC61" i="9"/>
  <c r="BC62" i="9"/>
  <c r="BC68" i="9"/>
  <c r="BC78" i="9"/>
  <c r="BC79" i="9"/>
  <c r="BC80" i="9"/>
  <c r="BC81" i="9"/>
  <c r="BC82" i="9"/>
  <c r="BC83" i="9"/>
  <c r="BC84" i="9"/>
  <c r="BC85" i="9"/>
  <c r="BC94" i="9"/>
  <c r="BC95" i="9"/>
  <c r="BC96" i="9"/>
  <c r="BC97" i="9"/>
  <c r="BC98" i="9"/>
  <c r="BC99" i="9"/>
  <c r="BC100" i="9"/>
  <c r="BC118" i="9"/>
  <c r="BC127" i="9"/>
  <c r="BC128" i="9"/>
  <c r="BC129" i="9"/>
  <c r="BC130" i="9"/>
  <c r="BC138" i="9"/>
  <c r="BC139" i="9"/>
  <c r="BC143" i="9"/>
  <c r="BC144" i="9"/>
  <c r="BC158" i="9"/>
  <c r="BC159" i="9"/>
  <c r="BC160" i="9"/>
  <c r="BC161" i="9"/>
  <c r="BC165" i="9"/>
  <c r="BC166" i="9"/>
  <c r="BC167" i="9"/>
  <c r="BC168" i="9"/>
  <c r="BC169" i="9"/>
  <c r="BC170" i="9"/>
  <c r="BC176" i="9"/>
  <c r="BC179" i="9"/>
  <c r="BC180" i="9"/>
  <c r="BC181" i="9"/>
  <c r="BC182" i="9"/>
  <c r="BC183" i="9"/>
  <c r="BC184" i="9"/>
  <c r="BC207" i="9"/>
  <c r="BC208" i="9"/>
  <c r="BC209" i="9"/>
  <c r="BC210" i="9"/>
  <c r="BC211" i="9"/>
  <c r="BC212" i="9"/>
  <c r="BC213" i="9"/>
  <c r="BC214" i="9"/>
  <c r="BC215" i="9"/>
  <c r="BC216" i="9"/>
  <c r="BC217" i="9"/>
  <c r="BC218" i="9"/>
  <c r="BC219" i="9"/>
  <c r="BC220" i="9"/>
  <c r="BC224" i="9"/>
  <c r="BC228" i="9"/>
  <c r="BC229" i="9"/>
  <c r="BC230" i="9"/>
  <c r="BC231" i="9"/>
  <c r="BC232" i="9"/>
  <c r="BC233" i="9"/>
  <c r="BC236" i="9"/>
  <c r="BC237" i="9"/>
  <c r="BC238" i="9"/>
  <c r="BC239" i="9"/>
  <c r="BC242" i="9"/>
  <c r="BC243" i="9"/>
  <c r="BC248" i="9"/>
  <c r="BC249" i="9"/>
  <c r="BC250" i="9"/>
  <c r="BC264" i="9"/>
  <c r="BC265" i="9"/>
  <c r="BC266" i="9"/>
  <c r="BC267" i="9"/>
  <c r="BC268" i="9"/>
  <c r="BC269" i="9"/>
  <c r="BC270" i="9"/>
  <c r="BC271" i="9"/>
  <c r="BC272" i="9"/>
  <c r="BC273" i="9"/>
  <c r="BC274" i="9"/>
  <c r="BC275" i="9"/>
  <c r="BC276" i="9"/>
  <c r="BC277" i="9"/>
  <c r="BC278" i="9"/>
  <c r="BC279" i="9"/>
  <c r="BC281" i="9"/>
  <c r="BC284" i="9"/>
  <c r="BC285" i="9"/>
  <c r="BC286" i="9"/>
  <c r="BC287" i="9"/>
  <c r="BC291" i="9"/>
  <c r="BC292" i="9"/>
  <c r="BC296" i="9"/>
  <c r="BC310" i="9"/>
  <c r="BC311" i="9"/>
  <c r="BC312" i="9"/>
  <c r="BC313" i="9"/>
  <c r="BC314" i="9"/>
  <c r="BC315" i="9"/>
  <c r="BC316" i="9"/>
  <c r="BC317" i="9"/>
  <c r="BC318" i="9"/>
  <c r="BC319" i="9"/>
  <c r="BC320" i="9"/>
  <c r="BC321" i="9"/>
  <c r="BC322" i="9"/>
  <c r="BC323" i="9"/>
  <c r="BC334" i="9"/>
  <c r="BC335" i="9"/>
  <c r="BC338" i="9"/>
  <c r="BC339" i="9"/>
  <c r="BC340" i="9"/>
  <c r="BC341" i="9"/>
  <c r="BC342" i="9"/>
  <c r="BC343" i="9"/>
  <c r="BC344" i="9"/>
  <c r="BC345" i="9"/>
  <c r="BC346" i="9"/>
  <c r="BC347" i="9"/>
  <c r="BC348" i="9"/>
  <c r="BC349" i="9"/>
  <c r="BC350" i="9"/>
  <c r="BC351" i="9"/>
  <c r="BC352" i="9"/>
  <c r="BC360" i="9"/>
  <c r="BC361" i="9"/>
  <c r="BC367" i="9"/>
  <c r="BC378" i="9"/>
  <c r="BC379" i="9"/>
  <c r="BC380" i="9"/>
  <c r="BC381" i="9"/>
  <c r="BC385" i="9"/>
  <c r="BC386" i="9"/>
  <c r="BC387" i="9"/>
  <c r="BC388" i="9"/>
  <c r="BC389" i="9"/>
  <c r="BC390" i="9"/>
  <c r="BC396" i="9"/>
  <c r="BC397" i="9"/>
  <c r="BC398" i="9"/>
  <c r="BC399" i="9"/>
  <c r="BC400" i="9"/>
  <c r="BC401" i="9"/>
  <c r="BC402" i="9"/>
  <c r="BC403" i="9"/>
  <c r="BC411" i="9"/>
  <c r="BC412" i="9"/>
  <c r="BC413" i="9"/>
  <c r="BC424" i="9"/>
  <c r="BC425" i="9"/>
  <c r="BC444" i="9"/>
  <c r="BC445" i="9"/>
  <c r="BC446" i="9"/>
  <c r="BC447" i="9"/>
  <c r="BC448" i="9"/>
  <c r="BC449" i="9"/>
  <c r="BC450" i="9"/>
  <c r="BC451" i="9"/>
  <c r="BC452" i="9"/>
  <c r="BC465" i="9"/>
  <c r="BC466" i="9"/>
  <c r="BC467" i="9"/>
  <c r="BC472" i="9"/>
  <c r="BC473" i="9"/>
  <c r="BC474" i="9"/>
  <c r="BC475" i="9"/>
  <c r="BC476" i="9"/>
  <c r="BC477" i="9"/>
  <c r="BC478" i="9"/>
  <c r="BC479" i="9"/>
  <c r="BC480" i="9"/>
  <c r="BC481" i="9"/>
  <c r="BC482" i="9"/>
  <c r="BC483" i="9"/>
  <c r="BC484" i="9"/>
  <c r="BC485" i="9"/>
  <c r="BC493" i="9"/>
  <c r="BC494" i="9"/>
  <c r="BC495" i="9"/>
  <c r="BC508" i="9"/>
  <c r="BC509" i="9"/>
  <c r="BC526" i="9"/>
  <c r="BC527" i="9"/>
  <c r="BC535" i="9"/>
  <c r="BC536" i="9"/>
  <c r="BC537" i="9"/>
  <c r="BC538" i="9"/>
  <c r="BC539" i="9"/>
  <c r="BC540" i="9"/>
  <c r="BC541" i="9"/>
  <c r="BC542" i="9"/>
  <c r="BC3" i="9"/>
  <c r="BC4" i="9"/>
  <c r="BC6" i="9"/>
  <c r="BC7" i="9"/>
  <c r="BC8" i="9"/>
  <c r="BC2" i="9"/>
  <c r="AI5" i="9"/>
  <c r="G4" i="16" l="1"/>
  <c r="G5" i="16"/>
  <c r="G3" i="16"/>
  <c r="E4" i="16"/>
  <c r="E5" i="16"/>
  <c r="E3" i="16"/>
  <c r="H4" i="16" l="1"/>
  <c r="H3" i="16"/>
  <c r="H5" i="16"/>
  <c r="J5" i="15"/>
  <c r="J6" i="15"/>
  <c r="J4" i="15"/>
  <c r="J8" i="15" l="1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2" i="13"/>
  <c r="G544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2" i="13"/>
  <c r="M544" i="13" l="1"/>
  <c r="K544" i="13"/>
  <c r="I544" i="13"/>
  <c r="D9" i="12" l="1"/>
  <c r="D12" i="12"/>
  <c r="D17" i="12"/>
  <c r="D19" i="12"/>
  <c r="D27" i="12"/>
  <c r="D26" i="12"/>
  <c r="D3" i="12"/>
  <c r="D10" i="12"/>
  <c r="D21" i="12"/>
  <c r="D13" i="12"/>
  <c r="D32" i="12"/>
  <c r="D8" i="12"/>
  <c r="D23" i="12"/>
  <c r="D4" i="12"/>
  <c r="D34" i="12"/>
  <c r="D33" i="12"/>
  <c r="D24" i="12"/>
  <c r="D20" i="12"/>
  <c r="D15" i="12"/>
  <c r="D11" i="12"/>
  <c r="D7" i="12"/>
  <c r="D31" i="12"/>
  <c r="D18" i="12"/>
  <c r="D29" i="12"/>
  <c r="D14" i="12"/>
  <c r="D5" i="12"/>
  <c r="D30" i="12"/>
  <c r="D22" i="12"/>
  <c r="D16" i="12"/>
  <c r="D25" i="12"/>
  <c r="D6" i="12"/>
  <c r="D2" i="12"/>
  <c r="D28" i="12"/>
  <c r="B382" i="11" l="1"/>
  <c r="B383" i="11"/>
  <c r="B384" i="11"/>
  <c r="B388" i="11"/>
  <c r="B386" i="11"/>
  <c r="B387" i="11"/>
  <c r="B385" i="11"/>
  <c r="B109" i="11"/>
  <c r="B98" i="11"/>
  <c r="B286" i="11"/>
  <c r="B287" i="11"/>
  <c r="B288" i="11"/>
  <c r="B355" i="11"/>
  <c r="B353" i="11"/>
  <c r="B354" i="11"/>
  <c r="B356" i="11"/>
  <c r="B358" i="11"/>
  <c r="B357" i="11"/>
  <c r="B349" i="11"/>
  <c r="B350" i="11"/>
  <c r="B351" i="11"/>
  <c r="B352" i="11"/>
  <c r="B495" i="11"/>
  <c r="B494" i="11"/>
  <c r="B492" i="11"/>
  <c r="B493" i="11"/>
  <c r="B496" i="11"/>
  <c r="B497" i="11"/>
  <c r="B364" i="11"/>
  <c r="B366" i="11"/>
  <c r="B365" i="11"/>
  <c r="B214" i="11"/>
  <c r="B211" i="11"/>
  <c r="B188" i="11"/>
  <c r="B180" i="11"/>
  <c r="B184" i="11"/>
  <c r="B179" i="11"/>
  <c r="B81" i="11"/>
  <c r="B87" i="11"/>
  <c r="B412" i="11"/>
  <c r="B410" i="11"/>
  <c r="B411" i="11"/>
  <c r="B333" i="11"/>
  <c r="B334" i="11"/>
  <c r="B392" i="11"/>
  <c r="B391" i="11"/>
  <c r="B313" i="11"/>
  <c r="B314" i="11"/>
  <c r="B315" i="11"/>
  <c r="B318" i="11"/>
  <c r="B317" i="11"/>
  <c r="B316" i="11"/>
  <c r="B347" i="11"/>
  <c r="B348" i="11"/>
  <c r="B205" i="11"/>
  <c r="B291" i="11"/>
  <c r="B290" i="11"/>
  <c r="B526" i="11"/>
  <c r="B525" i="11"/>
  <c r="B202" i="11"/>
  <c r="B204" i="11"/>
  <c r="B368" i="11"/>
  <c r="B367" i="11"/>
  <c r="B341" i="11"/>
  <c r="B342" i="11"/>
  <c r="B343" i="11"/>
  <c r="B344" i="11"/>
  <c r="B321" i="11"/>
  <c r="B360" i="11"/>
  <c r="B359" i="11"/>
  <c r="B89" i="11"/>
  <c r="B82" i="11"/>
  <c r="B83" i="11"/>
  <c r="B90" i="11"/>
  <c r="B295" i="11"/>
  <c r="B425" i="11"/>
  <c r="B424" i="11"/>
  <c r="B427" i="11"/>
  <c r="B426" i="11"/>
  <c r="B512" i="11"/>
  <c r="B516" i="11"/>
  <c r="B515" i="11"/>
  <c r="B514" i="11"/>
  <c r="B513" i="11"/>
  <c r="B390" i="11"/>
  <c r="B389" i="11"/>
  <c r="B301" i="11"/>
  <c r="B302" i="11"/>
  <c r="B218" i="11"/>
  <c r="B206" i="11"/>
  <c r="B219" i="11"/>
  <c r="B432" i="11"/>
  <c r="B433" i="11"/>
  <c r="B125" i="11"/>
  <c r="B130" i="11"/>
  <c r="B136" i="11"/>
  <c r="B438" i="11"/>
  <c r="B437" i="11"/>
  <c r="B250" i="11"/>
  <c r="B472" i="11"/>
  <c r="B470" i="11"/>
  <c r="B469" i="11"/>
  <c r="B471" i="11"/>
  <c r="B453" i="11"/>
  <c r="B452" i="11"/>
  <c r="B72" i="11"/>
  <c r="B415" i="11"/>
  <c r="B417" i="11"/>
  <c r="B416" i="11"/>
  <c r="B84" i="11"/>
  <c r="B91" i="11"/>
  <c r="B199" i="11"/>
  <c r="B197" i="11"/>
  <c r="B195" i="11"/>
  <c r="B408" i="11"/>
  <c r="B407" i="11"/>
  <c r="B409" i="11"/>
  <c r="B275" i="11"/>
  <c r="B79" i="11"/>
  <c r="B88" i="11"/>
  <c r="B502" i="11"/>
  <c r="B503" i="11"/>
  <c r="B191" i="11"/>
  <c r="B189" i="11"/>
  <c r="B421" i="11"/>
  <c r="B422" i="11"/>
  <c r="B418" i="11"/>
  <c r="B419" i="11"/>
  <c r="B423" i="11"/>
  <c r="B420" i="11"/>
  <c r="B113" i="11"/>
  <c r="B111" i="11"/>
  <c r="B183" i="11"/>
  <c r="B186" i="11"/>
  <c r="B117" i="11"/>
  <c r="B380" i="11"/>
  <c r="B381" i="11"/>
  <c r="B5" i="11"/>
  <c r="B158" i="11"/>
  <c r="B454" i="11"/>
  <c r="B455" i="11"/>
  <c r="B371" i="11"/>
  <c r="B369" i="11"/>
  <c r="B370" i="11"/>
  <c r="B372" i="11"/>
  <c r="B373" i="11"/>
  <c r="B374" i="11"/>
  <c r="B375" i="11"/>
  <c r="B376" i="11"/>
  <c r="B377" i="11"/>
  <c r="B378" i="11"/>
  <c r="B379" i="11"/>
  <c r="B446" i="11"/>
  <c r="B439" i="11"/>
  <c r="B440" i="11"/>
  <c r="B445" i="11"/>
  <c r="B441" i="11"/>
  <c r="B444" i="11"/>
  <c r="B443" i="11"/>
  <c r="B442" i="11"/>
  <c r="B253" i="11"/>
  <c r="B255" i="11"/>
  <c r="B458" i="11"/>
  <c r="B457" i="11"/>
  <c r="B459" i="11"/>
  <c r="B460" i="11"/>
  <c r="B483" i="11"/>
  <c r="B484" i="11"/>
  <c r="B500" i="11"/>
  <c r="B499" i="11"/>
  <c r="B501" i="11"/>
  <c r="B498" i="11"/>
  <c r="B100" i="11"/>
  <c r="B97" i="11"/>
  <c r="B267" i="11"/>
  <c r="B270" i="11"/>
  <c r="B164" i="11"/>
  <c r="B159" i="11"/>
  <c r="B168" i="11"/>
  <c r="B434" i="11"/>
  <c r="B435" i="11"/>
  <c r="B436" i="11"/>
  <c r="B115" i="11"/>
  <c r="B124" i="11"/>
  <c r="B531" i="11"/>
  <c r="B532" i="11"/>
  <c r="B530" i="11"/>
  <c r="B528" i="11"/>
  <c r="B529" i="11"/>
  <c r="B527" i="11"/>
  <c r="B203" i="11"/>
  <c r="B200" i="11"/>
  <c r="B170" i="11"/>
  <c r="B169" i="11"/>
  <c r="B133" i="11"/>
  <c r="B142" i="11"/>
  <c r="B30" i="11"/>
  <c r="B36" i="11"/>
  <c r="B324" i="11"/>
  <c r="B322" i="11"/>
  <c r="B323" i="11"/>
  <c r="B147" i="11"/>
  <c r="B217" i="11"/>
  <c r="B215" i="11"/>
  <c r="B3" i="11"/>
  <c r="B80" i="11"/>
  <c r="B74" i="11"/>
  <c r="B362" i="11"/>
  <c r="B361" i="11"/>
  <c r="B363" i="11"/>
  <c r="B228" i="11"/>
  <c r="B239" i="11"/>
  <c r="B223" i="11"/>
  <c r="B148" i="11"/>
  <c r="B208" i="11"/>
  <c r="B207" i="11"/>
  <c r="B2" i="11"/>
  <c r="B237" i="11"/>
  <c r="B235" i="11"/>
  <c r="B428" i="11"/>
  <c r="B429" i="11"/>
  <c r="B430" i="11"/>
  <c r="B431" i="11"/>
  <c r="B248" i="11"/>
  <c r="B254" i="11"/>
  <c r="B15" i="11"/>
  <c r="B328" i="11"/>
  <c r="B329" i="11"/>
  <c r="B331" i="11"/>
  <c r="B330" i="11"/>
  <c r="B265" i="11"/>
  <c r="B260" i="11"/>
  <c r="B233" i="11"/>
  <c r="B289" i="11"/>
  <c r="B326" i="11"/>
  <c r="B325" i="11"/>
  <c r="B327" i="11"/>
  <c r="B394" i="11"/>
  <c r="B395" i="11"/>
  <c r="B396" i="11"/>
  <c r="B393" i="11"/>
  <c r="B397" i="11"/>
  <c r="B398" i="11"/>
  <c r="B143" i="11"/>
  <c r="B150" i="11"/>
  <c r="B319" i="11"/>
  <c r="B320" i="11"/>
  <c r="B238" i="11"/>
  <c r="B243" i="11"/>
  <c r="B24" i="11"/>
  <c r="B166" i="11"/>
  <c r="B134" i="11"/>
  <c r="B26" i="11"/>
  <c r="B35" i="11"/>
  <c r="B308" i="11"/>
  <c r="B307" i="11"/>
  <c r="B309" i="11"/>
  <c r="B310" i="11"/>
  <c r="B157" i="11"/>
  <c r="B165" i="11"/>
  <c r="B451" i="11"/>
  <c r="B156" i="11"/>
  <c r="B151" i="11"/>
  <c r="B140" i="11"/>
  <c r="B468" i="11"/>
  <c r="B273" i="11"/>
  <c r="B272" i="11"/>
  <c r="B268" i="11"/>
  <c r="B146" i="11"/>
  <c r="B52" i="11"/>
  <c r="B144" i="11"/>
  <c r="B145" i="11"/>
  <c r="B122" i="11"/>
  <c r="B269" i="11"/>
  <c r="B264" i="11"/>
  <c r="B456" i="11"/>
  <c r="B101" i="11"/>
  <c r="B99" i="11"/>
  <c r="B141" i="11"/>
  <c r="B127" i="11"/>
  <c r="B276" i="11"/>
  <c r="B520" i="11"/>
  <c r="B522" i="11"/>
  <c r="B521" i="11"/>
  <c r="B524" i="11"/>
  <c r="B523" i="11"/>
  <c r="B114" i="11"/>
  <c r="B482" i="11"/>
  <c r="B478" i="11"/>
  <c r="B480" i="11"/>
  <c r="B481" i="11"/>
  <c r="B479" i="11"/>
  <c r="B241" i="11"/>
  <c r="B232" i="11"/>
  <c r="B131" i="11"/>
  <c r="B128" i="11"/>
  <c r="B149" i="11"/>
  <c r="B137" i="11"/>
  <c r="B293" i="11"/>
  <c r="B294" i="11"/>
  <c r="B236" i="11"/>
  <c r="B230" i="11"/>
  <c r="B279" i="11"/>
  <c r="B278" i="11"/>
  <c r="B280" i="11"/>
  <c r="B71" i="11"/>
  <c r="B213" i="11"/>
  <c r="B77" i="11"/>
  <c r="B216" i="11"/>
  <c r="B8" i="11"/>
  <c r="B533" i="11"/>
  <c r="B534" i="11"/>
  <c r="B537" i="11"/>
  <c r="B538" i="11"/>
  <c r="B536" i="11"/>
  <c r="B535" i="11"/>
  <c r="B539" i="11"/>
  <c r="B240" i="11"/>
  <c r="B249" i="11"/>
  <c r="B212" i="11"/>
  <c r="B138" i="11"/>
  <c r="B135" i="11"/>
  <c r="B34" i="11"/>
  <c r="B27" i="11"/>
  <c r="B29" i="11"/>
  <c r="B13" i="11"/>
  <c r="B12" i="11"/>
  <c r="B153" i="11"/>
  <c r="B155" i="11"/>
  <c r="B6" i="11"/>
  <c r="B9" i="11"/>
  <c r="B16" i="11"/>
  <c r="B119" i="11"/>
  <c r="B94" i="11"/>
  <c r="B69" i="11"/>
  <c r="B92" i="11"/>
  <c r="B490" i="11"/>
  <c r="B486" i="11"/>
  <c r="B487" i="11"/>
  <c r="B489" i="11"/>
  <c r="B488" i="11"/>
  <c r="B485" i="11"/>
  <c r="B59" i="11"/>
  <c r="B53" i="11"/>
  <c r="B50" i="11"/>
  <c r="B63" i="11"/>
  <c r="B57" i="11"/>
  <c r="B190" i="11"/>
  <c r="B185" i="11"/>
  <c r="B517" i="11"/>
  <c r="B519" i="11"/>
  <c r="B518" i="11"/>
  <c r="B154" i="11"/>
  <c r="B447" i="11"/>
  <c r="B448" i="11"/>
  <c r="B449" i="11"/>
  <c r="B227" i="11"/>
  <c r="B222" i="11"/>
  <c r="B220" i="11"/>
  <c r="B178" i="11"/>
  <c r="B332" i="11"/>
  <c r="B274" i="11"/>
  <c r="B271" i="11"/>
  <c r="B61" i="11"/>
  <c r="B64" i="11"/>
  <c r="B66" i="11"/>
  <c r="B67" i="11"/>
  <c r="B73" i="11"/>
  <c r="B48" i="11"/>
  <c r="B39" i="11"/>
  <c r="B244" i="11"/>
  <c r="B257" i="11"/>
  <c r="B245" i="11"/>
  <c r="B246" i="11"/>
  <c r="B252" i="11"/>
  <c r="B263" i="11"/>
  <c r="B258" i="11"/>
  <c r="B112" i="11"/>
  <c r="B118" i="11"/>
  <c r="B19" i="11"/>
  <c r="B17" i="11"/>
  <c r="B45" i="11"/>
  <c r="B40" i="11"/>
  <c r="B120" i="11"/>
  <c r="B65" i="11"/>
  <c r="B21" i="11"/>
  <c r="B23" i="11"/>
  <c r="B14" i="11"/>
  <c r="B163" i="11"/>
  <c r="B161" i="11"/>
  <c r="B54" i="11"/>
  <c r="B56" i="11"/>
  <c r="B60" i="11"/>
  <c r="B18" i="11"/>
  <c r="B96" i="11"/>
  <c r="B95" i="11"/>
  <c r="B234" i="11"/>
  <c r="B251" i="11"/>
  <c r="B231" i="11"/>
  <c r="B247" i="11"/>
  <c r="B55" i="11"/>
  <c r="B58" i="11"/>
  <c r="B85" i="11"/>
  <c r="B75" i="11"/>
  <c r="B110" i="11"/>
  <c r="B450" i="11"/>
  <c r="B346" i="11"/>
  <c r="B345" i="11"/>
  <c r="B33" i="11"/>
  <c r="B32" i="11"/>
  <c r="B31" i="11"/>
  <c r="B283" i="11"/>
  <c r="B285" i="11"/>
  <c r="B281" i="11"/>
  <c r="B282" i="11"/>
  <c r="B284" i="11"/>
  <c r="B129" i="11"/>
  <c r="B139" i="11"/>
  <c r="B304" i="11"/>
  <c r="B303" i="11"/>
  <c r="B312" i="11"/>
  <c r="B311" i="11"/>
  <c r="B171" i="11"/>
  <c r="B221" i="11"/>
  <c r="B229" i="11"/>
  <c r="B132" i="11"/>
  <c r="B177" i="11"/>
  <c r="B126" i="11"/>
  <c r="B298" i="11"/>
  <c r="B297" i="11"/>
  <c r="B299" i="11"/>
  <c r="B123" i="11"/>
  <c r="B121" i="11"/>
  <c r="B41" i="11"/>
  <c r="B38" i="11"/>
  <c r="B107" i="11"/>
  <c r="B104" i="11"/>
  <c r="B226" i="11"/>
  <c r="B242" i="11"/>
  <c r="B256" i="11"/>
  <c r="B78" i="11"/>
  <c r="B86" i="11"/>
  <c r="B7" i="11"/>
  <c r="B10" i="11"/>
  <c r="B11" i="11"/>
  <c r="B277" i="11"/>
  <c r="B152" i="11"/>
  <c r="B76" i="11"/>
  <c r="B224" i="11"/>
  <c r="B209" i="11"/>
  <c r="B70" i="11"/>
  <c r="B68" i="11"/>
  <c r="B399" i="11"/>
  <c r="B400" i="11"/>
  <c r="B401" i="11"/>
  <c r="B402" i="11"/>
  <c r="B44" i="11"/>
  <c r="B43" i="11"/>
  <c r="B51" i="11"/>
  <c r="B46" i="11"/>
  <c r="B37" i="11"/>
  <c r="B42" i="11"/>
  <c r="B403" i="11"/>
  <c r="B406" i="11"/>
  <c r="B405" i="11"/>
  <c r="B404" i="11"/>
  <c r="B175" i="11"/>
  <c r="B176" i="11"/>
  <c r="B173" i="11"/>
  <c r="B174" i="11"/>
  <c r="B172" i="11"/>
  <c r="B461" i="11"/>
  <c r="B462" i="11"/>
  <c r="B463" i="11"/>
  <c r="B187" i="11"/>
  <c r="B182" i="11"/>
  <c r="B266" i="11"/>
  <c r="B306" i="11"/>
  <c r="B259" i="11"/>
  <c r="B305" i="11"/>
  <c r="B28" i="11"/>
  <c r="B20" i="11"/>
  <c r="B4" i="11"/>
  <c r="B47" i="11"/>
  <c r="B49" i="11"/>
  <c r="B192" i="11"/>
  <c r="B196" i="11"/>
  <c r="B475" i="11"/>
  <c r="B474" i="11"/>
  <c r="B511" i="11"/>
  <c r="B510" i="11"/>
  <c r="B337" i="11"/>
  <c r="B193" i="11"/>
  <c r="B194" i="11"/>
  <c r="B102" i="11"/>
  <c r="B103" i="11"/>
  <c r="B108" i="11"/>
  <c r="B106" i="11"/>
  <c r="B105" i="11"/>
  <c r="J5" i="11" l="1"/>
  <c r="J9" i="11"/>
  <c r="J13" i="11"/>
  <c r="J17" i="11"/>
  <c r="J21" i="11"/>
  <c r="J25" i="11"/>
  <c r="J29" i="11"/>
  <c r="J33" i="11"/>
  <c r="J37" i="11"/>
  <c r="J41" i="11"/>
  <c r="J45" i="11"/>
  <c r="J49" i="11"/>
  <c r="J53" i="11"/>
  <c r="J57" i="11"/>
  <c r="J61" i="11"/>
  <c r="J65" i="11"/>
  <c r="J69" i="11"/>
  <c r="J73" i="11"/>
  <c r="J77" i="11"/>
  <c r="J81" i="11"/>
  <c r="J85" i="11"/>
  <c r="J89" i="11"/>
  <c r="J93" i="11"/>
  <c r="J97" i="11"/>
  <c r="J101" i="11"/>
  <c r="J105" i="11"/>
  <c r="J109" i="11"/>
  <c r="J113" i="11"/>
  <c r="J117" i="11"/>
  <c r="J121" i="11"/>
  <c r="J125" i="11"/>
  <c r="J129" i="11"/>
  <c r="J133" i="11"/>
  <c r="J137" i="11"/>
  <c r="J141" i="11"/>
  <c r="J145" i="11"/>
  <c r="J149" i="11"/>
  <c r="J153" i="11"/>
  <c r="J157" i="11"/>
  <c r="J161" i="11"/>
  <c r="J165" i="11"/>
  <c r="J169" i="11"/>
  <c r="J173" i="11"/>
  <c r="J177" i="11"/>
  <c r="J181" i="11"/>
  <c r="J185" i="11"/>
  <c r="J189" i="11"/>
  <c r="J193" i="11"/>
  <c r="J197" i="11"/>
  <c r="J201" i="11"/>
  <c r="J205" i="11"/>
  <c r="J209" i="11"/>
  <c r="J213" i="11"/>
  <c r="J217" i="11"/>
  <c r="J221" i="11"/>
  <c r="J225" i="11"/>
  <c r="I6" i="11"/>
  <c r="I10" i="11"/>
  <c r="I14" i="11"/>
  <c r="I18" i="11"/>
  <c r="I22" i="11"/>
  <c r="I26" i="11"/>
  <c r="I30" i="11"/>
  <c r="I34" i="11"/>
  <c r="I38" i="11"/>
  <c r="I42" i="11"/>
  <c r="I46" i="11"/>
  <c r="I50" i="11"/>
  <c r="I54" i="11"/>
  <c r="I58" i="11"/>
  <c r="I62" i="11"/>
  <c r="I66" i="11"/>
  <c r="I70" i="11"/>
  <c r="I74" i="11"/>
  <c r="I78" i="11"/>
  <c r="I82" i="11"/>
  <c r="I86" i="11"/>
  <c r="I90" i="11"/>
  <c r="I94" i="11"/>
  <c r="I98" i="11"/>
  <c r="I102" i="11"/>
  <c r="I106" i="11"/>
  <c r="I110" i="11"/>
  <c r="I114" i="11"/>
  <c r="I118" i="11"/>
  <c r="I122" i="11"/>
  <c r="I126" i="11"/>
  <c r="I130" i="11"/>
  <c r="I134" i="11"/>
  <c r="I138" i="11"/>
  <c r="I142" i="11"/>
  <c r="I146" i="11"/>
  <c r="I150" i="11"/>
  <c r="I154" i="11"/>
  <c r="I158" i="11"/>
  <c r="I162" i="11"/>
  <c r="I166" i="11"/>
  <c r="I170" i="11"/>
  <c r="I174" i="11"/>
  <c r="I178" i="11"/>
  <c r="I182" i="11"/>
  <c r="I186" i="11"/>
  <c r="I190" i="11"/>
  <c r="I194" i="11"/>
  <c r="I198" i="11"/>
  <c r="I202" i="11"/>
  <c r="I206" i="11"/>
  <c r="I210" i="11"/>
  <c r="I214" i="11"/>
  <c r="I218" i="11"/>
  <c r="I222" i="11"/>
  <c r="I226" i="11"/>
  <c r="J6" i="11"/>
  <c r="J10" i="11"/>
  <c r="J14" i="11"/>
  <c r="J18" i="11"/>
  <c r="J22" i="11"/>
  <c r="J26" i="11"/>
  <c r="J30" i="11"/>
  <c r="J34" i="11"/>
  <c r="J38" i="11"/>
  <c r="J42" i="11"/>
  <c r="J46" i="11"/>
  <c r="J50" i="11"/>
  <c r="J54" i="11"/>
  <c r="J58" i="11"/>
  <c r="J62" i="11"/>
  <c r="J66" i="11"/>
  <c r="J70" i="11"/>
  <c r="J74" i="11"/>
  <c r="J78" i="11"/>
  <c r="J82" i="11"/>
  <c r="J86" i="11"/>
  <c r="J90" i="11"/>
  <c r="J94" i="11"/>
  <c r="J98" i="11"/>
  <c r="J102" i="11"/>
  <c r="J106" i="11"/>
  <c r="J110" i="11"/>
  <c r="J114" i="11"/>
  <c r="J118" i="11"/>
  <c r="J122" i="11"/>
  <c r="J126" i="11"/>
  <c r="J130" i="11"/>
  <c r="J134" i="11"/>
  <c r="J138" i="11"/>
  <c r="J142" i="11"/>
  <c r="J146" i="11"/>
  <c r="J150" i="11"/>
  <c r="J154" i="11"/>
  <c r="J158" i="11"/>
  <c r="J162" i="11"/>
  <c r="J166" i="11"/>
  <c r="J170" i="11"/>
  <c r="J174" i="11"/>
  <c r="J178" i="11"/>
  <c r="J182" i="11"/>
  <c r="J186" i="11"/>
  <c r="J190" i="11"/>
  <c r="J194" i="11"/>
  <c r="J198" i="11"/>
  <c r="J202" i="11"/>
  <c r="J206" i="11"/>
  <c r="J210" i="11"/>
  <c r="J214" i="11"/>
  <c r="J218" i="11"/>
  <c r="J222" i="11"/>
  <c r="J226" i="11"/>
  <c r="I3" i="11"/>
  <c r="I7" i="11"/>
  <c r="I11" i="11"/>
  <c r="I15" i="11"/>
  <c r="I19" i="11"/>
  <c r="I23" i="11"/>
  <c r="I27" i="11"/>
  <c r="I31" i="11"/>
  <c r="I35" i="11"/>
  <c r="I39" i="11"/>
  <c r="I43" i="11"/>
  <c r="I47" i="11"/>
  <c r="I51" i="11"/>
  <c r="I55" i="11"/>
  <c r="I59" i="11"/>
  <c r="I63" i="11"/>
  <c r="I67" i="11"/>
  <c r="I71" i="11"/>
  <c r="I75" i="11"/>
  <c r="I79" i="11"/>
  <c r="I83" i="11"/>
  <c r="I87" i="11"/>
  <c r="I91" i="11"/>
  <c r="I95" i="11"/>
  <c r="I99" i="11"/>
  <c r="I103" i="11"/>
  <c r="I107" i="11"/>
  <c r="I111" i="11"/>
  <c r="I115" i="11"/>
  <c r="I119" i="11"/>
  <c r="I123" i="11"/>
  <c r="I127" i="11"/>
  <c r="I131" i="11"/>
  <c r="I135" i="11"/>
  <c r="I139" i="11"/>
  <c r="I143" i="11"/>
  <c r="I147" i="11"/>
  <c r="I151" i="11"/>
  <c r="I155" i="11"/>
  <c r="I159" i="11"/>
  <c r="I163" i="11"/>
  <c r="I167" i="11"/>
  <c r="I171" i="11"/>
  <c r="I175" i="11"/>
  <c r="I179" i="11"/>
  <c r="I183" i="11"/>
  <c r="I187" i="11"/>
  <c r="I191" i="11"/>
  <c r="I195" i="11"/>
  <c r="I199" i="11"/>
  <c r="I203" i="11"/>
  <c r="I207" i="11"/>
  <c r="I211" i="11"/>
  <c r="I215" i="11"/>
  <c r="I219" i="11"/>
  <c r="I223" i="11"/>
  <c r="J2" i="11"/>
  <c r="J3" i="11"/>
  <c r="J7" i="11"/>
  <c r="J11" i="11"/>
  <c r="J15" i="11"/>
  <c r="J19" i="11"/>
  <c r="J23" i="11"/>
  <c r="J27" i="11"/>
  <c r="J31" i="11"/>
  <c r="J35" i="11"/>
  <c r="J39" i="11"/>
  <c r="J43" i="11"/>
  <c r="J47" i="11"/>
  <c r="J51" i="11"/>
  <c r="J55" i="11"/>
  <c r="J59" i="11"/>
  <c r="J63" i="11"/>
  <c r="J67" i="11"/>
  <c r="J71" i="11"/>
  <c r="J75" i="11"/>
  <c r="J79" i="11"/>
  <c r="J83" i="11"/>
  <c r="J87" i="11"/>
  <c r="J91" i="11"/>
  <c r="J95" i="11"/>
  <c r="J99" i="11"/>
  <c r="J103" i="11"/>
  <c r="J107" i="11"/>
  <c r="J111" i="11"/>
  <c r="J115" i="11"/>
  <c r="J119" i="11"/>
  <c r="J123" i="11"/>
  <c r="J127" i="11"/>
  <c r="J131" i="11"/>
  <c r="J135" i="11"/>
  <c r="J139" i="11"/>
  <c r="J143" i="11"/>
  <c r="J147" i="11"/>
  <c r="J151" i="11"/>
  <c r="J155" i="11"/>
  <c r="J159" i="11"/>
  <c r="J163" i="11"/>
  <c r="J167" i="11"/>
  <c r="J171" i="11"/>
  <c r="J175" i="11"/>
  <c r="J179" i="11"/>
  <c r="J183" i="11"/>
  <c r="J187" i="11"/>
  <c r="J191" i="11"/>
  <c r="J195" i="11"/>
  <c r="J199" i="11"/>
  <c r="J203" i="11"/>
  <c r="J207" i="11"/>
  <c r="J211" i="11"/>
  <c r="J215" i="11"/>
  <c r="J219" i="11"/>
  <c r="J223" i="11"/>
  <c r="I2" i="11"/>
  <c r="I4" i="11"/>
  <c r="I8" i="11"/>
  <c r="I12" i="11"/>
  <c r="I16" i="11"/>
  <c r="I20" i="11"/>
  <c r="I24" i="11"/>
  <c r="I28" i="11"/>
  <c r="I32" i="11"/>
  <c r="I36" i="11"/>
  <c r="I40" i="11"/>
  <c r="I44" i="11"/>
  <c r="I48" i="11"/>
  <c r="I52" i="11"/>
  <c r="I56" i="11"/>
  <c r="I60" i="11"/>
  <c r="I64" i="11"/>
  <c r="I68" i="11"/>
  <c r="I72" i="11"/>
  <c r="I76" i="11"/>
  <c r="I80" i="11"/>
  <c r="I84" i="11"/>
  <c r="I88" i="11"/>
  <c r="I92" i="11"/>
  <c r="I96" i="11"/>
  <c r="I100" i="11"/>
  <c r="I104" i="11"/>
  <c r="I108" i="11"/>
  <c r="I112" i="11"/>
  <c r="I116" i="11"/>
  <c r="I120" i="11"/>
  <c r="I124" i="11"/>
  <c r="I128" i="11"/>
  <c r="I132" i="11"/>
  <c r="I136" i="11"/>
  <c r="I140" i="11"/>
  <c r="I144" i="11"/>
  <c r="I148" i="11"/>
  <c r="I152" i="11"/>
  <c r="I156" i="11"/>
  <c r="I160" i="11"/>
  <c r="I164" i="11"/>
  <c r="I168" i="11"/>
  <c r="I172" i="11"/>
  <c r="I176" i="11"/>
  <c r="I180" i="11"/>
  <c r="I184" i="11"/>
  <c r="I188" i="11"/>
  <c r="I192" i="11"/>
  <c r="I196" i="11"/>
  <c r="I200" i="11"/>
  <c r="I204" i="11"/>
  <c r="I208" i="11"/>
  <c r="I212" i="11"/>
  <c r="I216" i="11"/>
  <c r="I220" i="11"/>
  <c r="I224" i="11"/>
  <c r="J4" i="11"/>
  <c r="J8" i="11"/>
  <c r="J12" i="11"/>
  <c r="J16" i="11"/>
  <c r="J20" i="11"/>
  <c r="J24" i="11"/>
  <c r="J28" i="11"/>
  <c r="J32" i="11"/>
  <c r="J36" i="11"/>
  <c r="J40" i="11"/>
  <c r="J44" i="11"/>
  <c r="J48" i="11"/>
  <c r="J52" i="11"/>
  <c r="J56" i="11"/>
  <c r="J60" i="11"/>
  <c r="J64" i="11"/>
  <c r="J68" i="11"/>
  <c r="J72" i="11"/>
  <c r="J76" i="11"/>
  <c r="J80" i="11"/>
  <c r="J84" i="11"/>
  <c r="J88" i="11"/>
  <c r="J92" i="11"/>
  <c r="J96" i="11"/>
  <c r="J100" i="11"/>
  <c r="J104" i="11"/>
  <c r="J108" i="11"/>
  <c r="J112" i="11"/>
  <c r="J116" i="11"/>
  <c r="J120" i="11"/>
  <c r="J124" i="11"/>
  <c r="J128" i="11"/>
  <c r="J132" i="11"/>
  <c r="J136" i="11"/>
  <c r="J140" i="11"/>
  <c r="J144" i="11"/>
  <c r="J148" i="11"/>
  <c r="J152" i="11"/>
  <c r="J156" i="11"/>
  <c r="J160" i="11"/>
  <c r="J164" i="11"/>
  <c r="J168" i="11"/>
  <c r="J172" i="11"/>
  <c r="J176" i="11"/>
  <c r="J180" i="11"/>
  <c r="J184" i="11"/>
  <c r="J188" i="11"/>
  <c r="J192" i="11"/>
  <c r="J196" i="11"/>
  <c r="J200" i="11"/>
  <c r="J204" i="11"/>
  <c r="J208" i="11"/>
  <c r="J212" i="11"/>
  <c r="J216" i="11"/>
  <c r="J220" i="11"/>
  <c r="J224" i="11"/>
  <c r="I5" i="11"/>
  <c r="I9" i="11"/>
  <c r="I13" i="11"/>
  <c r="I17" i="11"/>
  <c r="I21" i="11"/>
  <c r="I25" i="11"/>
  <c r="I29" i="11"/>
  <c r="I33" i="11"/>
  <c r="I37" i="11"/>
  <c r="I41" i="11"/>
  <c r="I45" i="11"/>
  <c r="I49" i="11"/>
  <c r="I53" i="11"/>
  <c r="I57" i="11"/>
  <c r="I61" i="11"/>
  <c r="I65" i="11"/>
  <c r="I69" i="11"/>
  <c r="I73" i="11"/>
  <c r="I77" i="11"/>
  <c r="I81" i="11"/>
  <c r="I85" i="11"/>
  <c r="I89" i="11"/>
  <c r="I93" i="11"/>
  <c r="I97" i="11"/>
  <c r="I101" i="11"/>
  <c r="I105" i="11"/>
  <c r="I109" i="11"/>
  <c r="I113" i="11"/>
  <c r="I117" i="11"/>
  <c r="I121" i="11"/>
  <c r="I125" i="11"/>
  <c r="I129" i="11"/>
  <c r="I133" i="11"/>
  <c r="I137" i="11"/>
  <c r="I141" i="11"/>
  <c r="I145" i="11"/>
  <c r="I149" i="11"/>
  <c r="I153" i="11"/>
  <c r="I157" i="11"/>
  <c r="I161" i="11"/>
  <c r="I165" i="11"/>
  <c r="I169" i="11"/>
  <c r="I173" i="11"/>
  <c r="I177" i="11"/>
  <c r="I181" i="11"/>
  <c r="I185" i="11"/>
  <c r="I189" i="11"/>
  <c r="I193" i="11"/>
  <c r="I197" i="11"/>
  <c r="I201" i="11"/>
  <c r="I205" i="11"/>
  <c r="I209" i="11"/>
  <c r="I213" i="11"/>
  <c r="I217" i="11"/>
  <c r="I221" i="11"/>
  <c r="I225" i="11"/>
  <c r="N445" i="11" l="1"/>
  <c r="I445" i="11"/>
  <c r="AJ445" i="11"/>
  <c r="V445" i="11"/>
  <c r="P445" i="11"/>
  <c r="Q445" i="11"/>
  <c r="R445" i="11"/>
  <c r="AI445" i="11"/>
  <c r="AC445" i="11"/>
  <c r="L445" i="11"/>
  <c r="J445" i="11"/>
  <c r="O445" i="11"/>
  <c r="T445" i="11"/>
  <c r="K445" i="11"/>
  <c r="W445" i="11"/>
  <c r="AB445" i="11"/>
  <c r="X445" i="11"/>
  <c r="AE445" i="11"/>
  <c r="AD445" i="11"/>
  <c r="AK445" i="11"/>
  <c r="AM445" i="11"/>
  <c r="S445" i="11"/>
  <c r="M445" i="11"/>
  <c r="Y445" i="11"/>
  <c r="AF445" i="11"/>
  <c r="Z445" i="11"/>
  <c r="AG445" i="11"/>
  <c r="U445" i="11"/>
  <c r="AL445" i="11"/>
  <c r="AO445" i="11"/>
  <c r="AH445" i="11"/>
  <c r="AP445" i="11"/>
  <c r="AN445" i="11"/>
  <c r="AA445" i="11"/>
  <c r="J413" i="11"/>
  <c r="AL413" i="11"/>
  <c r="AM413" i="11"/>
  <c r="W413" i="11"/>
  <c r="R413" i="11"/>
  <c r="U413" i="11"/>
  <c r="O413" i="11"/>
  <c r="AC413" i="11"/>
  <c r="I413" i="11"/>
  <c r="N413" i="11"/>
  <c r="AA413" i="11"/>
  <c r="AJ413" i="11"/>
  <c r="Q413" i="11"/>
  <c r="V413" i="11"/>
  <c r="AB413" i="11"/>
  <c r="K413" i="11"/>
  <c r="Y413" i="11"/>
  <c r="AD413" i="11"/>
  <c r="AN413" i="11"/>
  <c r="AG413" i="11"/>
  <c r="AI413" i="11"/>
  <c r="T413" i="11"/>
  <c r="AO413" i="11"/>
  <c r="L413" i="11"/>
  <c r="AF413" i="11"/>
  <c r="Z413" i="11"/>
  <c r="X413" i="11"/>
  <c r="P413" i="11"/>
  <c r="AH413" i="11"/>
  <c r="AK413" i="11"/>
  <c r="S413" i="11"/>
  <c r="AP413" i="11"/>
  <c r="M413" i="11"/>
  <c r="AE413" i="11"/>
  <c r="Y381" i="11"/>
  <c r="K381" i="11"/>
  <c r="L381" i="11"/>
  <c r="U381" i="11"/>
  <c r="AG381" i="11"/>
  <c r="S381" i="11"/>
  <c r="AF381" i="11"/>
  <c r="X381" i="11"/>
  <c r="O381" i="11"/>
  <c r="AO381" i="11"/>
  <c r="AA381" i="11"/>
  <c r="M381" i="11"/>
  <c r="AC381" i="11"/>
  <c r="W381" i="11"/>
  <c r="J381" i="11"/>
  <c r="AI381" i="11"/>
  <c r="AJ381" i="11"/>
  <c r="AB381" i="11"/>
  <c r="AE381" i="11"/>
  <c r="R381" i="11"/>
  <c r="N381" i="11"/>
  <c r="P381" i="11"/>
  <c r="AM381" i="11"/>
  <c r="Z381" i="11"/>
  <c r="V381" i="11"/>
  <c r="AK381" i="11"/>
  <c r="I381" i="11"/>
  <c r="AH381" i="11"/>
  <c r="AD381" i="11"/>
  <c r="T381" i="11"/>
  <c r="Q381" i="11"/>
  <c r="AP381" i="11"/>
  <c r="AL381" i="11"/>
  <c r="AN381" i="11"/>
  <c r="M349" i="11"/>
  <c r="AO349" i="11"/>
  <c r="AH349" i="11"/>
  <c r="AI349" i="11"/>
  <c r="U349" i="11"/>
  <c r="N349" i="11"/>
  <c r="X349" i="11"/>
  <c r="R349" i="11"/>
  <c r="AJ349" i="11"/>
  <c r="AM349" i="11"/>
  <c r="K349" i="11"/>
  <c r="AC349" i="11"/>
  <c r="P349" i="11"/>
  <c r="AF349" i="11"/>
  <c r="AK349" i="11"/>
  <c r="AD349" i="11"/>
  <c r="O349" i="11"/>
  <c r="I349" i="11"/>
  <c r="AP349" i="11"/>
  <c r="W349" i="11"/>
  <c r="Q349" i="11"/>
  <c r="V349" i="11"/>
  <c r="S349" i="11"/>
  <c r="L349" i="11"/>
  <c r="Y349" i="11"/>
  <c r="AA349" i="11"/>
  <c r="AL349" i="11"/>
  <c r="T349" i="11"/>
  <c r="AG349" i="11"/>
  <c r="J349" i="11"/>
  <c r="AN349" i="11"/>
  <c r="AB349" i="11"/>
  <c r="Z349" i="11"/>
  <c r="AE349" i="11"/>
  <c r="AK317" i="11"/>
  <c r="AH317" i="11"/>
  <c r="S317" i="11"/>
  <c r="O317" i="11"/>
  <c r="N317" i="11"/>
  <c r="AP317" i="11"/>
  <c r="AF317" i="11"/>
  <c r="P317" i="11"/>
  <c r="AD317" i="11"/>
  <c r="X317" i="11"/>
  <c r="I317" i="11"/>
  <c r="W317" i="11"/>
  <c r="AL317" i="11"/>
  <c r="AJ317" i="11"/>
  <c r="AE317" i="11"/>
  <c r="AB317" i="11"/>
  <c r="U317" i="11"/>
  <c r="R317" i="11"/>
  <c r="Y317" i="11"/>
  <c r="AN317" i="11"/>
  <c r="AG317" i="11"/>
  <c r="AC317" i="11"/>
  <c r="Z317" i="11"/>
  <c r="AM317" i="11"/>
  <c r="AO317" i="11"/>
  <c r="K317" i="11"/>
  <c r="L317" i="11"/>
  <c r="AA317" i="11"/>
  <c r="Q317" i="11"/>
  <c r="T317" i="11"/>
  <c r="M317" i="11"/>
  <c r="AI317" i="11"/>
  <c r="V317" i="11"/>
  <c r="J317" i="11"/>
  <c r="AC285" i="11"/>
  <c r="Z285" i="11"/>
  <c r="AN285" i="11"/>
  <c r="AE285" i="11"/>
  <c r="AK285" i="11"/>
  <c r="AH285" i="11"/>
  <c r="T285" i="11"/>
  <c r="AB285" i="11"/>
  <c r="N285" i="11"/>
  <c r="AP285" i="11"/>
  <c r="AG285" i="11"/>
  <c r="AF285" i="11"/>
  <c r="V285" i="11"/>
  <c r="L285" i="11"/>
  <c r="Q285" i="11"/>
  <c r="AI285" i="11"/>
  <c r="AD285" i="11"/>
  <c r="Y285" i="11"/>
  <c r="AJ285" i="11"/>
  <c r="K285" i="11"/>
  <c r="AL285" i="11"/>
  <c r="AM285" i="11"/>
  <c r="S285" i="11"/>
  <c r="P285" i="11"/>
  <c r="M285" i="11"/>
  <c r="J285" i="11"/>
  <c r="O285" i="11"/>
  <c r="AO285" i="11"/>
  <c r="X285" i="11"/>
  <c r="U285" i="11"/>
  <c r="R285" i="11"/>
  <c r="AA285" i="11"/>
  <c r="I285" i="11"/>
  <c r="W285" i="11"/>
  <c r="O253" i="11"/>
  <c r="R253" i="11"/>
  <c r="AH253" i="11"/>
  <c r="AC253" i="11"/>
  <c r="W253" i="11"/>
  <c r="AF253" i="11"/>
  <c r="P253" i="11"/>
  <c r="X253" i="11"/>
  <c r="AM253" i="11"/>
  <c r="Z253" i="11"/>
  <c r="I253" i="11"/>
  <c r="K253" i="11"/>
  <c r="AN253" i="11"/>
  <c r="AB253" i="11"/>
  <c r="S253" i="11"/>
  <c r="L253" i="11"/>
  <c r="AO253" i="11"/>
  <c r="N253" i="11"/>
  <c r="AA253" i="11"/>
  <c r="AJ253" i="11"/>
  <c r="AP253" i="11"/>
  <c r="V253" i="11"/>
  <c r="AI253" i="11"/>
  <c r="Y253" i="11"/>
  <c r="J253" i="11"/>
  <c r="AD253" i="11"/>
  <c r="T253" i="11"/>
  <c r="Q253" i="11"/>
  <c r="AL253" i="11"/>
  <c r="AG253" i="11"/>
  <c r="U253" i="11"/>
  <c r="AE253" i="11"/>
  <c r="M253" i="11"/>
  <c r="AK253" i="11"/>
  <c r="R673" i="11"/>
  <c r="V673" i="11"/>
  <c r="M673" i="11"/>
  <c r="AG673" i="11"/>
  <c r="L673" i="11"/>
  <c r="P673" i="11"/>
  <c r="AF673" i="11"/>
  <c r="T673" i="11"/>
  <c r="AN673" i="11"/>
  <c r="AB673" i="11"/>
  <c r="AJ673" i="11"/>
  <c r="U673" i="11"/>
  <c r="AH673" i="11"/>
  <c r="S673" i="11"/>
  <c r="AC673" i="11"/>
  <c r="I673" i="11"/>
  <c r="AE673" i="11"/>
  <c r="AK673" i="11"/>
  <c r="X673" i="11"/>
  <c r="O673" i="11"/>
  <c r="AD673" i="11"/>
  <c r="Q673" i="11"/>
  <c r="AP673" i="11"/>
  <c r="AO673" i="11"/>
  <c r="AA673" i="11"/>
  <c r="Y673" i="11"/>
  <c r="N673" i="11"/>
  <c r="AM673" i="11"/>
  <c r="Z673" i="11"/>
  <c r="AL673" i="11"/>
  <c r="K673" i="11"/>
  <c r="AI673" i="11"/>
  <c r="W673" i="11"/>
  <c r="J673" i="11"/>
  <c r="M641" i="11"/>
  <c r="S641" i="11"/>
  <c r="P641" i="11"/>
  <c r="AO641" i="11"/>
  <c r="K641" i="11"/>
  <c r="R641" i="11"/>
  <c r="I641" i="11"/>
  <c r="AJ641" i="11"/>
  <c r="AC641" i="11"/>
  <c r="Y641" i="11"/>
  <c r="W641" i="11"/>
  <c r="AG641" i="11"/>
  <c r="AK641" i="11"/>
  <c r="L641" i="11"/>
  <c r="O641" i="11"/>
  <c r="T641" i="11"/>
  <c r="AP641" i="11"/>
  <c r="X641" i="11"/>
  <c r="AB641" i="11"/>
  <c r="N641" i="11"/>
  <c r="AF641" i="11"/>
  <c r="J641" i="11"/>
  <c r="AH641" i="11"/>
  <c r="AN641" i="11"/>
  <c r="V641" i="11"/>
  <c r="AL641" i="11"/>
  <c r="U641" i="11"/>
  <c r="Q641" i="11"/>
  <c r="AI641" i="11"/>
  <c r="Z641" i="11"/>
  <c r="AM641" i="11"/>
  <c r="AD641" i="11"/>
  <c r="AA641" i="11"/>
  <c r="AE641" i="11"/>
  <c r="AG609" i="11"/>
  <c r="U609" i="11"/>
  <c r="AN609" i="11"/>
  <c r="S609" i="11"/>
  <c r="Z609" i="11"/>
  <c r="AA609" i="11"/>
  <c r="L609" i="11"/>
  <c r="AE609" i="11"/>
  <c r="Q609" i="11"/>
  <c r="AC609" i="11"/>
  <c r="AD609" i="11"/>
  <c r="J609" i="11"/>
  <c r="AM609" i="11"/>
  <c r="AJ609" i="11"/>
  <c r="R609" i="11"/>
  <c r="O609" i="11"/>
  <c r="I609" i="11"/>
  <c r="M609" i="11"/>
  <c r="AF609" i="11"/>
  <c r="T609" i="11"/>
  <c r="Y609" i="11"/>
  <c r="AI609" i="11"/>
  <c r="AO609" i="11"/>
  <c r="P609" i="11"/>
  <c r="AH609" i="11"/>
  <c r="AL609" i="11"/>
  <c r="AP609" i="11"/>
  <c r="W609" i="11"/>
  <c r="AK609" i="11"/>
  <c r="K609" i="11"/>
  <c r="N609" i="11"/>
  <c r="AB609" i="11"/>
  <c r="X609" i="11"/>
  <c r="V609" i="11"/>
  <c r="V577" i="11"/>
  <c r="L577" i="11"/>
  <c r="P577" i="11"/>
  <c r="K577" i="11"/>
  <c r="I577" i="11"/>
  <c r="J577" i="11"/>
  <c r="M577" i="11"/>
  <c r="R577" i="11"/>
  <c r="AM577" i="11"/>
  <c r="O577" i="11"/>
  <c r="AF577" i="11"/>
  <c r="W577" i="11"/>
  <c r="AO577" i="11"/>
  <c r="U577" i="11"/>
  <c r="AG577" i="11"/>
  <c r="N577" i="11"/>
  <c r="AE577" i="11"/>
  <c r="AH577" i="11"/>
  <c r="T577" i="11"/>
  <c r="S577" i="11"/>
  <c r="AD577" i="11"/>
  <c r="AB577" i="11"/>
  <c r="Y577" i="11"/>
  <c r="AI577" i="11"/>
  <c r="AJ577" i="11"/>
  <c r="AL577" i="11"/>
  <c r="AC577" i="11"/>
  <c r="Q577" i="11"/>
  <c r="AK577" i="11"/>
  <c r="AP577" i="11"/>
  <c r="X577" i="11"/>
  <c r="Z577" i="11"/>
  <c r="AN577" i="11"/>
  <c r="AA577" i="11"/>
  <c r="AK545" i="11"/>
  <c r="R545" i="11"/>
  <c r="AN545" i="11"/>
  <c r="Z545" i="11"/>
  <c r="AJ545" i="11"/>
  <c r="AM545" i="11"/>
  <c r="AI545" i="11"/>
  <c r="I545" i="11"/>
  <c r="W545" i="11"/>
  <c r="N545" i="11"/>
  <c r="P545" i="11"/>
  <c r="L545" i="11"/>
  <c r="AE545" i="11"/>
  <c r="AH545" i="11"/>
  <c r="AL545" i="11"/>
  <c r="T545" i="11"/>
  <c r="Q545" i="11"/>
  <c r="S545" i="11"/>
  <c r="AG545" i="11"/>
  <c r="AB545" i="11"/>
  <c r="AD545" i="11"/>
  <c r="V545" i="11"/>
  <c r="M545" i="11"/>
  <c r="AP545" i="11"/>
  <c r="AO545" i="11"/>
  <c r="U545" i="11"/>
  <c r="AF545" i="11"/>
  <c r="Y545" i="11"/>
  <c r="AC545" i="11"/>
  <c r="J545" i="11"/>
  <c r="AA545" i="11"/>
  <c r="O545" i="11"/>
  <c r="X545" i="11"/>
  <c r="K545" i="11"/>
  <c r="AD513" i="11"/>
  <c r="I513" i="11"/>
  <c r="Q513" i="11"/>
  <c r="S513" i="11"/>
  <c r="AH513" i="11"/>
  <c r="AJ513" i="11"/>
  <c r="L513" i="11"/>
  <c r="W513" i="11"/>
  <c r="AP513" i="11"/>
  <c r="AK513" i="11"/>
  <c r="U513" i="11"/>
  <c r="N513" i="11"/>
  <c r="T513" i="11"/>
  <c r="AM513" i="11"/>
  <c r="V513" i="11"/>
  <c r="AE513" i="11"/>
  <c r="AN513" i="11"/>
  <c r="AL513" i="11"/>
  <c r="AO513" i="11"/>
  <c r="AI513" i="11"/>
  <c r="O513" i="11"/>
  <c r="AC513" i="11"/>
  <c r="K513" i="11"/>
  <c r="J513" i="11"/>
  <c r="Y513" i="11"/>
  <c r="M513" i="11"/>
  <c r="X513" i="11"/>
  <c r="R513" i="11"/>
  <c r="P513" i="11"/>
  <c r="AF513" i="11"/>
  <c r="AB513" i="11"/>
  <c r="Z513" i="11"/>
  <c r="AA513" i="11"/>
  <c r="AG513" i="11"/>
  <c r="AN481" i="11"/>
  <c r="N481" i="11"/>
  <c r="Q481" i="11"/>
  <c r="V481" i="11"/>
  <c r="AM481" i="11"/>
  <c r="AI481" i="11"/>
  <c r="AG481" i="11"/>
  <c r="U481" i="11"/>
  <c r="AE481" i="11"/>
  <c r="Z481" i="11"/>
  <c r="AJ481" i="11"/>
  <c r="P481" i="11"/>
  <c r="AL481" i="11"/>
  <c r="L481" i="11"/>
  <c r="O481" i="11"/>
  <c r="AB481" i="11"/>
  <c r="AH481" i="11"/>
  <c r="W481" i="11"/>
  <c r="AO481" i="11"/>
  <c r="J481" i="11"/>
  <c r="X481" i="11"/>
  <c r="T481" i="11"/>
  <c r="AP481" i="11"/>
  <c r="AF481" i="11"/>
  <c r="Y481" i="11"/>
  <c r="AK481" i="11"/>
  <c r="K481" i="11"/>
  <c r="I481" i="11"/>
  <c r="S481" i="11"/>
  <c r="AC481" i="11"/>
  <c r="AA481" i="11"/>
  <c r="R481" i="11"/>
  <c r="M481" i="11"/>
  <c r="AD481" i="11"/>
  <c r="W444" i="11"/>
  <c r="Y444" i="11"/>
  <c r="V444" i="11"/>
  <c r="AN444" i="11"/>
  <c r="U444" i="11"/>
  <c r="AG444" i="11"/>
  <c r="AD444" i="11"/>
  <c r="P444" i="11"/>
  <c r="AH444" i="11"/>
  <c r="N444" i="11"/>
  <c r="AP444" i="11"/>
  <c r="I444" i="11"/>
  <c r="AL444" i="11"/>
  <c r="R444" i="11"/>
  <c r="Q444" i="11"/>
  <c r="M444" i="11"/>
  <c r="AE444" i="11"/>
  <c r="AO444" i="11"/>
  <c r="Z444" i="11"/>
  <c r="T444" i="11"/>
  <c r="K444" i="11"/>
  <c r="AM444" i="11"/>
  <c r="AF444" i="11"/>
  <c r="S444" i="11"/>
  <c r="O444" i="11"/>
  <c r="L444" i="11"/>
  <c r="AA444" i="11"/>
  <c r="AB444" i="11"/>
  <c r="X444" i="11"/>
  <c r="AJ444" i="11"/>
  <c r="AI444" i="11"/>
  <c r="AC444" i="11"/>
  <c r="AK444" i="11"/>
  <c r="J444" i="11"/>
  <c r="T412" i="11"/>
  <c r="AD412" i="11"/>
  <c r="W412" i="11"/>
  <c r="Z412" i="11"/>
  <c r="AB412" i="11"/>
  <c r="AP412" i="11"/>
  <c r="AK412" i="11"/>
  <c r="AE412" i="11"/>
  <c r="AJ412" i="11"/>
  <c r="U412" i="11"/>
  <c r="O412" i="11"/>
  <c r="AL412" i="11"/>
  <c r="K412" i="11"/>
  <c r="P412" i="11"/>
  <c r="AG412" i="11"/>
  <c r="AC412" i="11"/>
  <c r="M412" i="11"/>
  <c r="S412" i="11"/>
  <c r="X412" i="11"/>
  <c r="I412" i="11"/>
  <c r="AO412" i="11"/>
  <c r="AA412" i="11"/>
  <c r="AF412" i="11"/>
  <c r="V412" i="11"/>
  <c r="N412" i="11"/>
  <c r="AI412" i="11"/>
  <c r="AN412" i="11"/>
  <c r="AH412" i="11"/>
  <c r="R412" i="11"/>
  <c r="L412" i="11"/>
  <c r="Q412" i="11"/>
  <c r="J412" i="11"/>
  <c r="Y412" i="11"/>
  <c r="AM412" i="11"/>
  <c r="Y380" i="11"/>
  <c r="T380" i="11"/>
  <c r="X380" i="11"/>
  <c r="N380" i="11"/>
  <c r="AG380" i="11"/>
  <c r="AB380" i="11"/>
  <c r="AF380" i="11"/>
  <c r="AH380" i="11"/>
  <c r="AO380" i="11"/>
  <c r="AJ380" i="11"/>
  <c r="AN380" i="11"/>
  <c r="O380" i="11"/>
  <c r="K380" i="11"/>
  <c r="M380" i="11"/>
  <c r="W380" i="11"/>
  <c r="AL380" i="11"/>
  <c r="S380" i="11"/>
  <c r="U380" i="11"/>
  <c r="Z380" i="11"/>
  <c r="V380" i="11"/>
  <c r="AA380" i="11"/>
  <c r="AC380" i="11"/>
  <c r="AD380" i="11"/>
  <c r="AP380" i="11"/>
  <c r="I380" i="11"/>
  <c r="AI380" i="11"/>
  <c r="AK380" i="11"/>
  <c r="J380" i="11"/>
  <c r="AM380" i="11"/>
  <c r="Q380" i="11"/>
  <c r="L380" i="11"/>
  <c r="P380" i="11"/>
  <c r="AE380" i="11"/>
  <c r="R380" i="11"/>
  <c r="N348" i="11"/>
  <c r="K348" i="11"/>
  <c r="Y348" i="11"/>
  <c r="AO348" i="11"/>
  <c r="AG348" i="11"/>
  <c r="V348" i="11"/>
  <c r="S348" i="11"/>
  <c r="AK348" i="11"/>
  <c r="X348" i="11"/>
  <c r="AE348" i="11"/>
  <c r="Q348" i="11"/>
  <c r="J348" i="11"/>
  <c r="AM348" i="11"/>
  <c r="AC348" i="11"/>
  <c r="AF348" i="11"/>
  <c r="AA348" i="11"/>
  <c r="AP348" i="11"/>
  <c r="P348" i="11"/>
  <c r="AI348" i="11"/>
  <c r="R348" i="11"/>
  <c r="AJ348" i="11"/>
  <c r="AD348" i="11"/>
  <c r="I348" i="11"/>
  <c r="AN348" i="11"/>
  <c r="AL348" i="11"/>
  <c r="U348" i="11"/>
  <c r="T348" i="11"/>
  <c r="O348" i="11"/>
  <c r="AH348" i="11"/>
  <c r="Z348" i="11"/>
  <c r="W348" i="11"/>
  <c r="L348" i="11"/>
  <c r="AB348" i="11"/>
  <c r="M348" i="11"/>
  <c r="W316" i="11"/>
  <c r="T316" i="11"/>
  <c r="N316" i="11"/>
  <c r="J316" i="11"/>
  <c r="AI316" i="11"/>
  <c r="AE316" i="11"/>
  <c r="AB316" i="11"/>
  <c r="AA316" i="11"/>
  <c r="AP316" i="11"/>
  <c r="AM316" i="11"/>
  <c r="AG316" i="11"/>
  <c r="K316" i="11"/>
  <c r="P316" i="11"/>
  <c r="I316" i="11"/>
  <c r="AD316" i="11"/>
  <c r="X316" i="11"/>
  <c r="U316" i="11"/>
  <c r="M316" i="11"/>
  <c r="AF316" i="11"/>
  <c r="AH316" i="11"/>
  <c r="Q316" i="11"/>
  <c r="AN316" i="11"/>
  <c r="AO316" i="11"/>
  <c r="V316" i="11"/>
  <c r="L316" i="11"/>
  <c r="R316" i="11"/>
  <c r="Z316" i="11"/>
  <c r="AJ316" i="11"/>
  <c r="AL316" i="11"/>
  <c r="AC316" i="11"/>
  <c r="O316" i="11"/>
  <c r="S316" i="11"/>
  <c r="Y316" i="11"/>
  <c r="AK316" i="11"/>
  <c r="X284" i="11"/>
  <c r="U284" i="11"/>
  <c r="K284" i="11"/>
  <c r="AO284" i="11"/>
  <c r="AF284" i="11"/>
  <c r="AH284" i="11"/>
  <c r="AD284" i="11"/>
  <c r="N284" i="11"/>
  <c r="AN284" i="11"/>
  <c r="J284" i="11"/>
  <c r="M284" i="11"/>
  <c r="R284" i="11"/>
  <c r="O284" i="11"/>
  <c r="L284" i="11"/>
  <c r="V284" i="11"/>
  <c r="AG284" i="11"/>
  <c r="Z284" i="11"/>
  <c r="W284" i="11"/>
  <c r="T284" i="11"/>
  <c r="AI284" i="11"/>
  <c r="Y284" i="11"/>
  <c r="S284" i="11"/>
  <c r="AE284" i="11"/>
  <c r="AB284" i="11"/>
  <c r="Q284" i="11"/>
  <c r="AA284" i="11"/>
  <c r="AM284" i="11"/>
  <c r="AJ284" i="11"/>
  <c r="AC284" i="11"/>
  <c r="AK284" i="11"/>
  <c r="P284" i="11"/>
  <c r="I284" i="11"/>
  <c r="AP284" i="11"/>
  <c r="AL284" i="11"/>
  <c r="Q252" i="11"/>
  <c r="N252" i="11"/>
  <c r="AI252" i="11"/>
  <c r="AH252" i="11"/>
  <c r="Y252" i="11"/>
  <c r="AA252" i="11"/>
  <c r="Z252" i="11"/>
  <c r="L252" i="11"/>
  <c r="AG252" i="11"/>
  <c r="AM252" i="11"/>
  <c r="AD252" i="11"/>
  <c r="K252" i="11"/>
  <c r="P252" i="11"/>
  <c r="AO252" i="11"/>
  <c r="O252" i="11"/>
  <c r="S252" i="11"/>
  <c r="W252" i="11"/>
  <c r="X252" i="11"/>
  <c r="M252" i="11"/>
  <c r="AB252" i="11"/>
  <c r="AL252" i="11"/>
  <c r="AE252" i="11"/>
  <c r="AF252" i="11"/>
  <c r="U252" i="11"/>
  <c r="AP252" i="11"/>
  <c r="R252" i="11"/>
  <c r="AN252" i="11"/>
  <c r="AC252" i="11"/>
  <c r="J252" i="11"/>
  <c r="T252" i="11"/>
  <c r="I252" i="11"/>
  <c r="AK252" i="11"/>
  <c r="V252" i="11"/>
  <c r="AJ252" i="11"/>
  <c r="T676" i="11"/>
  <c r="AD676" i="11"/>
  <c r="Z676" i="11"/>
  <c r="AK676" i="11"/>
  <c r="AC676" i="11"/>
  <c r="AG676" i="11"/>
  <c r="AE676" i="11"/>
  <c r="X676" i="11"/>
  <c r="P676" i="11"/>
  <c r="U676" i="11"/>
  <c r="AL676" i="11"/>
  <c r="K676" i="11"/>
  <c r="AO676" i="11"/>
  <c r="J676" i="11"/>
  <c r="M676" i="11"/>
  <c r="I676" i="11"/>
  <c r="AP676" i="11"/>
  <c r="S676" i="11"/>
  <c r="N676" i="11"/>
  <c r="AJ676" i="11"/>
  <c r="AF676" i="11"/>
  <c r="V676" i="11"/>
  <c r="L676" i="11"/>
  <c r="AI676" i="11"/>
  <c r="O676" i="11"/>
  <c r="Y676" i="11"/>
  <c r="W676" i="11"/>
  <c r="AA676" i="11"/>
  <c r="AM676" i="11"/>
  <c r="AN676" i="11"/>
  <c r="R676" i="11"/>
  <c r="AB676" i="11"/>
  <c r="AH676" i="11"/>
  <c r="Q676" i="11"/>
  <c r="T644" i="11"/>
  <c r="AE644" i="11"/>
  <c r="AB644" i="11"/>
  <c r="AF644" i="11"/>
  <c r="J644" i="11"/>
  <c r="AI644" i="11"/>
  <c r="L644" i="11"/>
  <c r="Y644" i="11"/>
  <c r="AP644" i="11"/>
  <c r="AL644" i="11"/>
  <c r="AC644" i="11"/>
  <c r="R644" i="11"/>
  <c r="AD644" i="11"/>
  <c r="Q644" i="11"/>
  <c r="Z644" i="11"/>
  <c r="I644" i="11"/>
  <c r="AM644" i="11"/>
  <c r="AH644" i="11"/>
  <c r="X644" i="11"/>
  <c r="S644" i="11"/>
  <c r="P644" i="11"/>
  <c r="AA644" i="11"/>
  <c r="AO644" i="11"/>
  <c r="V644" i="11"/>
  <c r="W644" i="11"/>
  <c r="AJ644" i="11"/>
  <c r="U644" i="11"/>
  <c r="AK644" i="11"/>
  <c r="K644" i="11"/>
  <c r="N644" i="11"/>
  <c r="O644" i="11"/>
  <c r="AG644" i="11"/>
  <c r="AN644" i="11"/>
  <c r="M644" i="11"/>
  <c r="Y612" i="11"/>
  <c r="K612" i="11"/>
  <c r="O612" i="11"/>
  <c r="AC612" i="11"/>
  <c r="Q612" i="11"/>
  <c r="L612" i="11"/>
  <c r="N612" i="11"/>
  <c r="I612" i="11"/>
  <c r="X612" i="11"/>
  <c r="S612" i="11"/>
  <c r="AM612" i="11"/>
  <c r="M612" i="11"/>
  <c r="AA612" i="11"/>
  <c r="Z612" i="11"/>
  <c r="AH612" i="11"/>
  <c r="W612" i="11"/>
  <c r="AK612" i="11"/>
  <c r="P612" i="11"/>
  <c r="J612" i="11"/>
  <c r="AI612" i="11"/>
  <c r="AO612" i="11"/>
  <c r="V612" i="11"/>
  <c r="T612" i="11"/>
  <c r="U612" i="11"/>
  <c r="AP612" i="11"/>
  <c r="AN612" i="11"/>
  <c r="AG612" i="11"/>
  <c r="AF612" i="11"/>
  <c r="AD612" i="11"/>
  <c r="R612" i="11"/>
  <c r="AL612" i="11"/>
  <c r="AB612" i="11"/>
  <c r="AJ612" i="11"/>
  <c r="AE612" i="11"/>
  <c r="T580" i="11"/>
  <c r="X580" i="11"/>
  <c r="Q580" i="11"/>
  <c r="AF580" i="11"/>
  <c r="K580" i="11"/>
  <c r="O580" i="11"/>
  <c r="Z580" i="11"/>
  <c r="U580" i="11"/>
  <c r="S580" i="11"/>
  <c r="W580" i="11"/>
  <c r="AN580" i="11"/>
  <c r="AG580" i="11"/>
  <c r="AA580" i="11"/>
  <c r="AE580" i="11"/>
  <c r="P580" i="11"/>
  <c r="M580" i="11"/>
  <c r="N580" i="11"/>
  <c r="AH580" i="11"/>
  <c r="AI580" i="11"/>
  <c r="AC580" i="11"/>
  <c r="L580" i="11"/>
  <c r="AO580" i="11"/>
  <c r="AB580" i="11"/>
  <c r="AD580" i="11"/>
  <c r="AJ580" i="11"/>
  <c r="AP580" i="11"/>
  <c r="AM580" i="11"/>
  <c r="V580" i="11"/>
  <c r="J580" i="11"/>
  <c r="Y580" i="11"/>
  <c r="AK580" i="11"/>
  <c r="AL580" i="11"/>
  <c r="I580" i="11"/>
  <c r="R580" i="11"/>
  <c r="O548" i="11"/>
  <c r="AM548" i="11"/>
  <c r="AF548" i="11"/>
  <c r="AA548" i="11"/>
  <c r="I548" i="11"/>
  <c r="S548" i="11"/>
  <c r="T548" i="11"/>
  <c r="P548" i="11"/>
  <c r="Q548" i="11"/>
  <c r="AC548" i="11"/>
  <c r="AJ548" i="11"/>
  <c r="Z548" i="11"/>
  <c r="Y548" i="11"/>
  <c r="AN548" i="11"/>
  <c r="U548" i="11"/>
  <c r="AE548" i="11"/>
  <c r="N548" i="11"/>
  <c r="AG548" i="11"/>
  <c r="K548" i="11"/>
  <c r="AK548" i="11"/>
  <c r="AI548" i="11"/>
  <c r="V548" i="11"/>
  <c r="AO548" i="11"/>
  <c r="W548" i="11"/>
  <c r="X548" i="11"/>
  <c r="L548" i="11"/>
  <c r="AD548" i="11"/>
  <c r="R548" i="11"/>
  <c r="AH548" i="11"/>
  <c r="AP548" i="11"/>
  <c r="AL548" i="11"/>
  <c r="AB548" i="11"/>
  <c r="M548" i="11"/>
  <c r="J548" i="11"/>
  <c r="AL516" i="11"/>
  <c r="J516" i="11"/>
  <c r="AN516" i="11"/>
  <c r="AM516" i="11"/>
  <c r="AC516" i="11"/>
  <c r="Y516" i="11"/>
  <c r="K516" i="11"/>
  <c r="AP516" i="11"/>
  <c r="V516" i="11"/>
  <c r="T516" i="11"/>
  <c r="O516" i="11"/>
  <c r="Z516" i="11"/>
  <c r="AD516" i="11"/>
  <c r="AH516" i="11"/>
  <c r="AA516" i="11"/>
  <c r="AF516" i="11"/>
  <c r="AK516" i="11"/>
  <c r="X516" i="11"/>
  <c r="N516" i="11"/>
  <c r="AJ516" i="11"/>
  <c r="I516" i="11"/>
  <c r="P516" i="11"/>
  <c r="Q516" i="11"/>
  <c r="AB516" i="11"/>
  <c r="AG516" i="11"/>
  <c r="R516" i="11"/>
  <c r="AO516" i="11"/>
  <c r="S516" i="11"/>
  <c r="M516" i="11"/>
  <c r="W516" i="11"/>
  <c r="L516" i="11"/>
  <c r="U516" i="11"/>
  <c r="AI516" i="11"/>
  <c r="AE516" i="11"/>
  <c r="Y484" i="11"/>
  <c r="M484" i="11"/>
  <c r="AB484" i="11"/>
  <c r="K484" i="11"/>
  <c r="R484" i="11"/>
  <c r="N484" i="11"/>
  <c r="X484" i="11"/>
  <c r="AE484" i="11"/>
  <c r="Q484" i="11"/>
  <c r="AC484" i="11"/>
  <c r="AD484" i="11"/>
  <c r="V484" i="11"/>
  <c r="AG484" i="11"/>
  <c r="AK484" i="11"/>
  <c r="P484" i="11"/>
  <c r="AO484" i="11"/>
  <c r="AA484" i="11"/>
  <c r="AJ484" i="11"/>
  <c r="J484" i="11"/>
  <c r="AM484" i="11"/>
  <c r="L484" i="11"/>
  <c r="Z484" i="11"/>
  <c r="O484" i="11"/>
  <c r="S484" i="11"/>
  <c r="AH484" i="11"/>
  <c r="AN484" i="11"/>
  <c r="W484" i="11"/>
  <c r="AP484" i="11"/>
  <c r="T484" i="11"/>
  <c r="AI484" i="11"/>
  <c r="I484" i="11"/>
  <c r="U484" i="11"/>
  <c r="AF484" i="11"/>
  <c r="AL484" i="11"/>
  <c r="O451" i="11"/>
  <c r="S451" i="11"/>
  <c r="X451" i="11"/>
  <c r="V451" i="11"/>
  <c r="N451" i="11"/>
  <c r="AA451" i="11"/>
  <c r="AF451" i="11"/>
  <c r="AH451" i="11"/>
  <c r="Z451" i="11"/>
  <c r="P451" i="11"/>
  <c r="W451" i="11"/>
  <c r="AP451" i="11"/>
  <c r="AN451" i="11"/>
  <c r="AJ451" i="11"/>
  <c r="K451" i="11"/>
  <c r="R451" i="11"/>
  <c r="L451" i="11"/>
  <c r="AI451" i="11"/>
  <c r="AE451" i="11"/>
  <c r="Y451" i="11"/>
  <c r="M451" i="11"/>
  <c r="T451" i="11"/>
  <c r="AL451" i="11"/>
  <c r="U451" i="11"/>
  <c r="AG451" i="11"/>
  <c r="AM451" i="11"/>
  <c r="AC451" i="11"/>
  <c r="I451" i="11"/>
  <c r="Q451" i="11"/>
  <c r="AK451" i="11"/>
  <c r="J451" i="11"/>
  <c r="AD451" i="11"/>
  <c r="AO451" i="11"/>
  <c r="AB451" i="11"/>
  <c r="U419" i="11"/>
  <c r="R419" i="11"/>
  <c r="Y419" i="11"/>
  <c r="T419" i="11"/>
  <c r="K419" i="11"/>
  <c r="AC419" i="11"/>
  <c r="Z419" i="11"/>
  <c r="AM419" i="11"/>
  <c r="AG419" i="11"/>
  <c r="J419" i="11"/>
  <c r="AA419" i="11"/>
  <c r="AE419" i="11"/>
  <c r="AH419" i="11"/>
  <c r="AN419" i="11"/>
  <c r="AF419" i="11"/>
  <c r="M419" i="11"/>
  <c r="AP419" i="11"/>
  <c r="P419" i="11"/>
  <c r="AJ419" i="11"/>
  <c r="AK419" i="11"/>
  <c r="I419" i="11"/>
  <c r="AB419" i="11"/>
  <c r="N419" i="11"/>
  <c r="W419" i="11"/>
  <c r="AO419" i="11"/>
  <c r="V419" i="11"/>
  <c r="AI419" i="11"/>
  <c r="Q419" i="11"/>
  <c r="AD419" i="11"/>
  <c r="L419" i="11"/>
  <c r="S419" i="11"/>
  <c r="AL419" i="11"/>
  <c r="O419" i="11"/>
  <c r="X419" i="11"/>
  <c r="U387" i="11"/>
  <c r="W387" i="11"/>
  <c r="T387" i="11"/>
  <c r="AG387" i="11"/>
  <c r="AC387" i="11"/>
  <c r="AE387" i="11"/>
  <c r="AO387" i="11"/>
  <c r="Q387" i="11"/>
  <c r="N387" i="11"/>
  <c r="Z387" i="11"/>
  <c r="L387" i="11"/>
  <c r="V387" i="11"/>
  <c r="AH387" i="11"/>
  <c r="AN387" i="11"/>
  <c r="K387" i="11"/>
  <c r="AD387" i="11"/>
  <c r="AP387" i="11"/>
  <c r="P387" i="11"/>
  <c r="S387" i="11"/>
  <c r="AL387" i="11"/>
  <c r="X387" i="11"/>
  <c r="AJ387" i="11"/>
  <c r="AA387" i="11"/>
  <c r="O387" i="11"/>
  <c r="Y387" i="11"/>
  <c r="AI387" i="11"/>
  <c r="AM387" i="11"/>
  <c r="AB387" i="11"/>
  <c r="M387" i="11"/>
  <c r="J387" i="11"/>
  <c r="I387" i="11"/>
  <c r="AK387" i="11"/>
  <c r="R387" i="11"/>
  <c r="AF387" i="11"/>
  <c r="X355" i="11"/>
  <c r="M355" i="11"/>
  <c r="AD355" i="11"/>
  <c r="AH355" i="11"/>
  <c r="AB355" i="11"/>
  <c r="AF355" i="11"/>
  <c r="U355" i="11"/>
  <c r="J355" i="11"/>
  <c r="O355" i="11"/>
  <c r="AN355" i="11"/>
  <c r="AC355" i="11"/>
  <c r="V355" i="11"/>
  <c r="AJ355" i="11"/>
  <c r="I355" i="11"/>
  <c r="AK355" i="11"/>
  <c r="AI355" i="11"/>
  <c r="W355" i="11"/>
  <c r="Q355" i="11"/>
  <c r="N355" i="11"/>
  <c r="Z355" i="11"/>
  <c r="AP355" i="11"/>
  <c r="Y355" i="11"/>
  <c r="AA355" i="11"/>
  <c r="K355" i="11"/>
  <c r="S355" i="11"/>
  <c r="AG355" i="11"/>
  <c r="AM355" i="11"/>
  <c r="AE355" i="11"/>
  <c r="T355" i="11"/>
  <c r="P355" i="11"/>
  <c r="AO355" i="11"/>
  <c r="R355" i="11"/>
  <c r="L355" i="11"/>
  <c r="AL355" i="11"/>
  <c r="R323" i="11"/>
  <c r="I323" i="11"/>
  <c r="AA323" i="11"/>
  <c r="AC323" i="11"/>
  <c r="S323" i="11"/>
  <c r="Z323" i="11"/>
  <c r="T323" i="11"/>
  <c r="AK323" i="11"/>
  <c r="AI323" i="11"/>
  <c r="AH323" i="11"/>
  <c r="AE323" i="11"/>
  <c r="W323" i="11"/>
  <c r="L323" i="11"/>
  <c r="AP323" i="11"/>
  <c r="AO323" i="11"/>
  <c r="AM323" i="11"/>
  <c r="AJ323" i="11"/>
  <c r="N323" i="11"/>
  <c r="K323" i="11"/>
  <c r="Y323" i="11"/>
  <c r="M323" i="11"/>
  <c r="V323" i="11"/>
  <c r="U323" i="11"/>
  <c r="O323" i="11"/>
  <c r="AN323" i="11"/>
  <c r="AD323" i="11"/>
  <c r="AF323" i="11"/>
  <c r="AG323" i="11"/>
  <c r="Q323" i="11"/>
  <c r="J323" i="11"/>
  <c r="AL323" i="11"/>
  <c r="P323" i="11"/>
  <c r="AB323" i="11"/>
  <c r="X323" i="11"/>
  <c r="AH291" i="11"/>
  <c r="AE291" i="11"/>
  <c r="M291" i="11"/>
  <c r="W291" i="11"/>
  <c r="V291" i="11"/>
  <c r="U291" i="11"/>
  <c r="AG291" i="11"/>
  <c r="AI291" i="11"/>
  <c r="AD291" i="11"/>
  <c r="AF291" i="11"/>
  <c r="X291" i="11"/>
  <c r="L291" i="11"/>
  <c r="J291" i="11"/>
  <c r="AL291" i="11"/>
  <c r="P291" i="11"/>
  <c r="AN291" i="11"/>
  <c r="AM291" i="11"/>
  <c r="I291" i="11"/>
  <c r="Q291" i="11"/>
  <c r="T291" i="11"/>
  <c r="S291" i="11"/>
  <c r="AO291" i="11"/>
  <c r="Y291" i="11"/>
  <c r="K291" i="11"/>
  <c r="AB291" i="11"/>
  <c r="R291" i="11"/>
  <c r="AA291" i="11"/>
  <c r="AJ291" i="11"/>
  <c r="Z291" i="11"/>
  <c r="AK291" i="11"/>
  <c r="AP291" i="11"/>
  <c r="AC291" i="11"/>
  <c r="N291" i="11"/>
  <c r="O291" i="11"/>
  <c r="I259" i="11"/>
  <c r="AK259" i="11"/>
  <c r="V259" i="11"/>
  <c r="AM259" i="11"/>
  <c r="Q259" i="11"/>
  <c r="R259" i="11"/>
  <c r="AP259" i="11"/>
  <c r="J259" i="11"/>
  <c r="Y259" i="11"/>
  <c r="AD259" i="11"/>
  <c r="W259" i="11"/>
  <c r="K259" i="11"/>
  <c r="AG259" i="11"/>
  <c r="S259" i="11"/>
  <c r="N259" i="11"/>
  <c r="O259" i="11"/>
  <c r="P259" i="11"/>
  <c r="AO259" i="11"/>
  <c r="AE259" i="11"/>
  <c r="AI259" i="11"/>
  <c r="AB259" i="11"/>
  <c r="X259" i="11"/>
  <c r="M259" i="11"/>
  <c r="L259" i="11"/>
  <c r="AH259" i="11"/>
  <c r="AA259" i="11"/>
  <c r="AF259" i="11"/>
  <c r="U259" i="11"/>
  <c r="Z259" i="11"/>
  <c r="AJ259" i="11"/>
  <c r="AN259" i="11"/>
  <c r="AC259" i="11"/>
  <c r="AL259" i="11"/>
  <c r="T259" i="11"/>
  <c r="AM683" i="11"/>
  <c r="L683" i="11"/>
  <c r="K683" i="11"/>
  <c r="AI683" i="11"/>
  <c r="S683" i="11"/>
  <c r="P683" i="11"/>
  <c r="J683" i="11"/>
  <c r="W683" i="11"/>
  <c r="Q683" i="11"/>
  <c r="X683" i="11"/>
  <c r="AP683" i="11"/>
  <c r="Z683" i="11"/>
  <c r="AC683" i="11"/>
  <c r="AF683" i="11"/>
  <c r="V683" i="11"/>
  <c r="AK683" i="11"/>
  <c r="AN683" i="11"/>
  <c r="AG683" i="11"/>
  <c r="AA683" i="11"/>
  <c r="T683" i="11"/>
  <c r="M683" i="11"/>
  <c r="AL683" i="11"/>
  <c r="AB683" i="11"/>
  <c r="AH683" i="11"/>
  <c r="I683" i="11"/>
  <c r="AJ683" i="11"/>
  <c r="N683" i="11"/>
  <c r="AD683" i="11"/>
  <c r="U683" i="11"/>
  <c r="Y683" i="11"/>
  <c r="AO683" i="11"/>
  <c r="AE683" i="11"/>
  <c r="O683" i="11"/>
  <c r="R683" i="11"/>
  <c r="S651" i="11"/>
  <c r="AL651" i="11"/>
  <c r="J651" i="11"/>
  <c r="AM651" i="11"/>
  <c r="N651" i="11"/>
  <c r="AI651" i="11"/>
  <c r="Z651" i="11"/>
  <c r="AE651" i="11"/>
  <c r="AK651" i="11"/>
  <c r="Q651" i="11"/>
  <c r="AG651" i="11"/>
  <c r="W651" i="11"/>
  <c r="AJ651" i="11"/>
  <c r="AN651" i="11"/>
  <c r="V651" i="11"/>
  <c r="AC651" i="11"/>
  <c r="AP651" i="11"/>
  <c r="P651" i="11"/>
  <c r="I651" i="11"/>
  <c r="O651" i="11"/>
  <c r="L651" i="11"/>
  <c r="AA651" i="11"/>
  <c r="T651" i="11"/>
  <c r="AO651" i="11"/>
  <c r="AB651" i="11"/>
  <c r="AD651" i="11"/>
  <c r="M651" i="11"/>
  <c r="AH651" i="11"/>
  <c r="U651" i="11"/>
  <c r="Y651" i="11"/>
  <c r="X651" i="11"/>
  <c r="K651" i="11"/>
  <c r="AF651" i="11"/>
  <c r="R651" i="11"/>
  <c r="AB619" i="11"/>
  <c r="J619" i="11"/>
  <c r="AN619" i="11"/>
  <c r="AL619" i="11"/>
  <c r="T619" i="11"/>
  <c r="AP619" i="11"/>
  <c r="AK619" i="11"/>
  <c r="AG619" i="11"/>
  <c r="AM619" i="11"/>
  <c r="AE619" i="11"/>
  <c r="U619" i="11"/>
  <c r="AO619" i="11"/>
  <c r="W619" i="11"/>
  <c r="AC619" i="11"/>
  <c r="S619" i="11"/>
  <c r="X619" i="11"/>
  <c r="N619" i="11"/>
  <c r="L619" i="11"/>
  <c r="V619" i="11"/>
  <c r="Z619" i="11"/>
  <c r="AD619" i="11"/>
  <c r="P619" i="11"/>
  <c r="I619" i="11"/>
  <c r="AJ619" i="11"/>
  <c r="Q619" i="11"/>
  <c r="AA619" i="11"/>
  <c r="Y619" i="11"/>
  <c r="K619" i="11"/>
  <c r="AF619" i="11"/>
  <c r="R619" i="11"/>
  <c r="O619" i="11"/>
  <c r="AI619" i="11"/>
  <c r="M619" i="11"/>
  <c r="AH619" i="11"/>
  <c r="K587" i="11"/>
  <c r="AC587" i="11"/>
  <c r="Y587" i="11"/>
  <c r="T587" i="11"/>
  <c r="O587" i="11"/>
  <c r="AD587" i="11"/>
  <c r="AB587" i="11"/>
  <c r="AI587" i="11"/>
  <c r="AN587" i="11"/>
  <c r="U587" i="11"/>
  <c r="AO587" i="11"/>
  <c r="L587" i="11"/>
  <c r="AK587" i="11"/>
  <c r="P587" i="11"/>
  <c r="Z587" i="11"/>
  <c r="AP587" i="11"/>
  <c r="AA587" i="11"/>
  <c r="M587" i="11"/>
  <c r="S587" i="11"/>
  <c r="AE587" i="11"/>
  <c r="N587" i="11"/>
  <c r="AF587" i="11"/>
  <c r="R587" i="11"/>
  <c r="V587" i="11"/>
  <c r="AH587" i="11"/>
  <c r="AJ587" i="11"/>
  <c r="AL587" i="11"/>
  <c r="J587" i="11"/>
  <c r="I587" i="11"/>
  <c r="W587" i="11"/>
  <c r="Q587" i="11"/>
  <c r="AM587" i="11"/>
  <c r="AG587" i="11"/>
  <c r="X587" i="11"/>
  <c r="AB555" i="11"/>
  <c r="K555" i="11"/>
  <c r="Z555" i="11"/>
  <c r="U555" i="11"/>
  <c r="J555" i="11"/>
  <c r="S555" i="11"/>
  <c r="AK555" i="11"/>
  <c r="AL555" i="11"/>
  <c r="M555" i="11"/>
  <c r="P555" i="11"/>
  <c r="AJ555" i="11"/>
  <c r="V555" i="11"/>
  <c r="AH555" i="11"/>
  <c r="X555" i="11"/>
  <c r="O555" i="11"/>
  <c r="AM555" i="11"/>
  <c r="AF555" i="11"/>
  <c r="I555" i="11"/>
  <c r="W555" i="11"/>
  <c r="AN555" i="11"/>
  <c r="T555" i="11"/>
  <c r="AP555" i="11"/>
  <c r="AA555" i="11"/>
  <c r="AD555" i="11"/>
  <c r="L555" i="11"/>
  <c r="AI555" i="11"/>
  <c r="AO555" i="11"/>
  <c r="AC555" i="11"/>
  <c r="N555" i="11"/>
  <c r="Q555" i="11"/>
  <c r="R555" i="11"/>
  <c r="Y555" i="11"/>
  <c r="AG555" i="11"/>
  <c r="AE555" i="11"/>
  <c r="AA523" i="11"/>
  <c r="R523" i="11"/>
  <c r="V523" i="11"/>
  <c r="M523" i="11"/>
  <c r="AI523" i="11"/>
  <c r="AC523" i="11"/>
  <c r="AG523" i="11"/>
  <c r="AO523" i="11"/>
  <c r="P523" i="11"/>
  <c r="U523" i="11"/>
  <c r="AD523" i="11"/>
  <c r="Z523" i="11"/>
  <c r="AF523" i="11"/>
  <c r="I523" i="11"/>
  <c r="O523" i="11"/>
  <c r="AK523" i="11"/>
  <c r="AP523" i="11"/>
  <c r="AH523" i="11"/>
  <c r="W523" i="11"/>
  <c r="Q523" i="11"/>
  <c r="L523" i="11"/>
  <c r="AJ523" i="11"/>
  <c r="AE523" i="11"/>
  <c r="AB523" i="11"/>
  <c r="N523" i="11"/>
  <c r="AM523" i="11"/>
  <c r="AL523" i="11"/>
  <c r="T523" i="11"/>
  <c r="K523" i="11"/>
  <c r="AN523" i="11"/>
  <c r="X523" i="11"/>
  <c r="S523" i="11"/>
  <c r="J523" i="11"/>
  <c r="Y523" i="11"/>
  <c r="AL491" i="11"/>
  <c r="AH491" i="11"/>
  <c r="S491" i="11"/>
  <c r="K491" i="11"/>
  <c r="O491" i="11"/>
  <c r="AP491" i="11"/>
  <c r="AF491" i="11"/>
  <c r="AG491" i="11"/>
  <c r="W491" i="11"/>
  <c r="L491" i="11"/>
  <c r="T491" i="11"/>
  <c r="AJ491" i="11"/>
  <c r="AE491" i="11"/>
  <c r="Y491" i="11"/>
  <c r="AO491" i="11"/>
  <c r="P491" i="11"/>
  <c r="AM491" i="11"/>
  <c r="AK491" i="11"/>
  <c r="U491" i="11"/>
  <c r="Q491" i="11"/>
  <c r="N491" i="11"/>
  <c r="J491" i="11"/>
  <c r="M491" i="11"/>
  <c r="X491" i="11"/>
  <c r="AB491" i="11"/>
  <c r="V491" i="11"/>
  <c r="R491" i="11"/>
  <c r="AA491" i="11"/>
  <c r="I491" i="11"/>
  <c r="AI491" i="11"/>
  <c r="AD491" i="11"/>
  <c r="Z491" i="11"/>
  <c r="AN491" i="11"/>
  <c r="AC491" i="11"/>
  <c r="AO454" i="11"/>
  <c r="AB454" i="11"/>
  <c r="AA454" i="11"/>
  <c r="AG454" i="11"/>
  <c r="P454" i="11"/>
  <c r="T454" i="11"/>
  <c r="N454" i="11"/>
  <c r="AE454" i="11"/>
  <c r="AF454" i="11"/>
  <c r="Y454" i="11"/>
  <c r="AM454" i="11"/>
  <c r="I454" i="11"/>
  <c r="AL454" i="11"/>
  <c r="M454" i="11"/>
  <c r="J454" i="11"/>
  <c r="V454" i="11"/>
  <c r="Q454" i="11"/>
  <c r="U454" i="11"/>
  <c r="R454" i="11"/>
  <c r="AI454" i="11"/>
  <c r="AD454" i="11"/>
  <c r="AC454" i="11"/>
  <c r="Z454" i="11"/>
  <c r="K454" i="11"/>
  <c r="AK454" i="11"/>
  <c r="AH454" i="11"/>
  <c r="X454" i="11"/>
  <c r="O454" i="11"/>
  <c r="AP454" i="11"/>
  <c r="AJ454" i="11"/>
  <c r="W454" i="11"/>
  <c r="S454" i="11"/>
  <c r="L454" i="11"/>
  <c r="AN454" i="11"/>
  <c r="P422" i="11"/>
  <c r="J422" i="11"/>
  <c r="AO422" i="11"/>
  <c r="S422" i="11"/>
  <c r="X422" i="11"/>
  <c r="V422" i="11"/>
  <c r="Q422" i="11"/>
  <c r="Y422" i="11"/>
  <c r="AF422" i="11"/>
  <c r="AI422" i="11"/>
  <c r="AC422" i="11"/>
  <c r="AD422" i="11"/>
  <c r="AN422" i="11"/>
  <c r="M422" i="11"/>
  <c r="AP422" i="11"/>
  <c r="AG422" i="11"/>
  <c r="O422" i="11"/>
  <c r="L422" i="11"/>
  <c r="Z422" i="11"/>
  <c r="I422" i="11"/>
  <c r="AK422" i="11"/>
  <c r="W422" i="11"/>
  <c r="T422" i="11"/>
  <c r="AL422" i="11"/>
  <c r="U422" i="11"/>
  <c r="K422" i="11"/>
  <c r="AE422" i="11"/>
  <c r="AB422" i="11"/>
  <c r="N422" i="11"/>
  <c r="AH422" i="11"/>
  <c r="AM422" i="11"/>
  <c r="AJ422" i="11"/>
  <c r="AA422" i="11"/>
  <c r="R422" i="11"/>
  <c r="AC390" i="11"/>
  <c r="AF390" i="11"/>
  <c r="T390" i="11"/>
  <c r="AH390" i="11"/>
  <c r="AK390" i="11"/>
  <c r="AN390" i="11"/>
  <c r="AB390" i="11"/>
  <c r="N390" i="11"/>
  <c r="O390" i="11"/>
  <c r="I390" i="11"/>
  <c r="AJ390" i="11"/>
  <c r="AI390" i="11"/>
  <c r="W390" i="11"/>
  <c r="Q390" i="11"/>
  <c r="Z390" i="11"/>
  <c r="R390" i="11"/>
  <c r="AE390" i="11"/>
  <c r="Y390" i="11"/>
  <c r="AA390" i="11"/>
  <c r="AL390" i="11"/>
  <c r="AM390" i="11"/>
  <c r="AG390" i="11"/>
  <c r="J390" i="11"/>
  <c r="V390" i="11"/>
  <c r="M390" i="11"/>
  <c r="P390" i="11"/>
  <c r="AO390" i="11"/>
  <c r="AD390" i="11"/>
  <c r="AP390" i="11"/>
  <c r="U390" i="11"/>
  <c r="X390" i="11"/>
  <c r="L390" i="11"/>
  <c r="K390" i="11"/>
  <c r="S390" i="11"/>
  <c r="J358" i="11"/>
  <c r="AI358" i="11"/>
  <c r="Q358" i="11"/>
  <c r="M358" i="11"/>
  <c r="AO358" i="11"/>
  <c r="R358" i="11"/>
  <c r="O358" i="11"/>
  <c r="AD358" i="11"/>
  <c r="AG358" i="11"/>
  <c r="AL358" i="11"/>
  <c r="Z358" i="11"/>
  <c r="AM358" i="11"/>
  <c r="L358" i="11"/>
  <c r="AH358" i="11"/>
  <c r="N358" i="11"/>
  <c r="AF358" i="11"/>
  <c r="AP358" i="11"/>
  <c r="AB358" i="11"/>
  <c r="P358" i="11"/>
  <c r="K358" i="11"/>
  <c r="AN358" i="11"/>
  <c r="AK358" i="11"/>
  <c r="S358" i="11"/>
  <c r="I358" i="11"/>
  <c r="X358" i="11"/>
  <c r="AA358" i="11"/>
  <c r="V358" i="11"/>
  <c r="T358" i="11"/>
  <c r="W358" i="11"/>
  <c r="AJ358" i="11"/>
  <c r="U358" i="11"/>
  <c r="AE358" i="11"/>
  <c r="Y358" i="11"/>
  <c r="AC358" i="11"/>
  <c r="L326" i="11"/>
  <c r="N326" i="11"/>
  <c r="AE326" i="11"/>
  <c r="AH326" i="11"/>
  <c r="AD326" i="11"/>
  <c r="T326" i="11"/>
  <c r="Y326" i="11"/>
  <c r="AP326" i="11"/>
  <c r="K326" i="11"/>
  <c r="AC326" i="11"/>
  <c r="AF326" i="11"/>
  <c r="V326" i="11"/>
  <c r="AO326" i="11"/>
  <c r="AN326" i="11"/>
  <c r="AM326" i="11"/>
  <c r="R326" i="11"/>
  <c r="AI326" i="11"/>
  <c r="I326" i="11"/>
  <c r="S326" i="11"/>
  <c r="O326" i="11"/>
  <c r="AA326" i="11"/>
  <c r="W326" i="11"/>
  <c r="AB326" i="11"/>
  <c r="Z326" i="11"/>
  <c r="Q326" i="11"/>
  <c r="AJ326" i="11"/>
  <c r="AK326" i="11"/>
  <c r="AG326" i="11"/>
  <c r="P326" i="11"/>
  <c r="J326" i="11"/>
  <c r="AL326" i="11"/>
  <c r="X326" i="11"/>
  <c r="U326" i="11"/>
  <c r="M326" i="11"/>
  <c r="K294" i="11"/>
  <c r="P294" i="11"/>
  <c r="Y294" i="11"/>
  <c r="V294" i="11"/>
  <c r="N294" i="11"/>
  <c r="S294" i="11"/>
  <c r="X294" i="11"/>
  <c r="AL294" i="11"/>
  <c r="AP294" i="11"/>
  <c r="AG294" i="11"/>
  <c r="AI294" i="11"/>
  <c r="W294" i="11"/>
  <c r="AO294" i="11"/>
  <c r="L294" i="11"/>
  <c r="AK294" i="11"/>
  <c r="Z294" i="11"/>
  <c r="T294" i="11"/>
  <c r="M294" i="11"/>
  <c r="AC294" i="11"/>
  <c r="AB294" i="11"/>
  <c r="R294" i="11"/>
  <c r="I294" i="11"/>
  <c r="AJ294" i="11"/>
  <c r="AE294" i="11"/>
  <c r="AD294" i="11"/>
  <c r="AF294" i="11"/>
  <c r="Q294" i="11"/>
  <c r="O294" i="11"/>
  <c r="J294" i="11"/>
  <c r="AN294" i="11"/>
  <c r="AM294" i="11"/>
  <c r="AH294" i="11"/>
  <c r="AA294" i="11"/>
  <c r="U294" i="11"/>
  <c r="J262" i="11"/>
  <c r="AI262" i="11"/>
  <c r="AF262" i="11"/>
  <c r="AJ262" i="11"/>
  <c r="AK262" i="11"/>
  <c r="R262" i="11"/>
  <c r="O262" i="11"/>
  <c r="M262" i="11"/>
  <c r="AC262" i="11"/>
  <c r="AB262" i="11"/>
  <c r="S262" i="11"/>
  <c r="AA262" i="11"/>
  <c r="AL262" i="11"/>
  <c r="I262" i="11"/>
  <c r="W262" i="11"/>
  <c r="V262" i="11"/>
  <c r="L262" i="11"/>
  <c r="AE262" i="11"/>
  <c r="AO262" i="11"/>
  <c r="U262" i="11"/>
  <c r="Z262" i="11"/>
  <c r="AM262" i="11"/>
  <c r="X262" i="11"/>
  <c r="AH262" i="11"/>
  <c r="Q262" i="11"/>
  <c r="N262" i="11"/>
  <c r="AP262" i="11"/>
  <c r="AD262" i="11"/>
  <c r="AG262" i="11"/>
  <c r="Y262" i="11"/>
  <c r="K262" i="11"/>
  <c r="T262" i="11"/>
  <c r="P262" i="11"/>
  <c r="AN262" i="11"/>
  <c r="T682" i="11"/>
  <c r="AE682" i="11"/>
  <c r="Z682" i="11"/>
  <c r="L682" i="11"/>
  <c r="AJ682" i="11"/>
  <c r="AC682" i="11"/>
  <c r="N682" i="11"/>
  <c r="X682" i="11"/>
  <c r="Q682" i="11"/>
  <c r="AF682" i="11"/>
  <c r="AL682" i="11"/>
  <c r="AA682" i="11"/>
  <c r="R682" i="11"/>
  <c r="AG682" i="11"/>
  <c r="AB682" i="11"/>
  <c r="AH682" i="11"/>
  <c r="M682" i="11"/>
  <c r="AM682" i="11"/>
  <c r="AP682" i="11"/>
  <c r="AI682" i="11"/>
  <c r="S682" i="11"/>
  <c r="V682" i="11"/>
  <c r="Y682" i="11"/>
  <c r="AD682" i="11"/>
  <c r="P682" i="11"/>
  <c r="U682" i="11"/>
  <c r="J682" i="11"/>
  <c r="K682" i="11"/>
  <c r="W682" i="11"/>
  <c r="O682" i="11"/>
  <c r="AK682" i="11"/>
  <c r="AN682" i="11"/>
  <c r="I682" i="11"/>
  <c r="AO682" i="11"/>
  <c r="AE650" i="11"/>
  <c r="X650" i="11"/>
  <c r="AN650" i="11"/>
  <c r="M650" i="11"/>
  <c r="AD650" i="11"/>
  <c r="Z650" i="11"/>
  <c r="AK650" i="11"/>
  <c r="AF650" i="11"/>
  <c r="O650" i="11"/>
  <c r="AJ650" i="11"/>
  <c r="AB650" i="11"/>
  <c r="R650" i="11"/>
  <c r="AC650" i="11"/>
  <c r="AO650" i="11"/>
  <c r="AL650" i="11"/>
  <c r="Y650" i="11"/>
  <c r="P650" i="11"/>
  <c r="W650" i="11"/>
  <c r="Q650" i="11"/>
  <c r="T650" i="11"/>
  <c r="AM650" i="11"/>
  <c r="S650" i="11"/>
  <c r="J650" i="11"/>
  <c r="AA650" i="11"/>
  <c r="AH650" i="11"/>
  <c r="U650" i="11"/>
  <c r="AP650" i="11"/>
  <c r="AG650" i="11"/>
  <c r="N650" i="11"/>
  <c r="K650" i="11"/>
  <c r="I650" i="11"/>
  <c r="V650" i="11"/>
  <c r="L650" i="11"/>
  <c r="AI650" i="11"/>
  <c r="P618" i="11"/>
  <c r="N618" i="11"/>
  <c r="AH618" i="11"/>
  <c r="AL618" i="11"/>
  <c r="O618" i="11"/>
  <c r="K618" i="11"/>
  <c r="AC618" i="11"/>
  <c r="AJ618" i="11"/>
  <c r="L618" i="11"/>
  <c r="AN618" i="11"/>
  <c r="I618" i="11"/>
  <c r="Y618" i="11"/>
  <c r="AE618" i="11"/>
  <c r="AB618" i="11"/>
  <c r="M618" i="11"/>
  <c r="AM618" i="11"/>
  <c r="AP618" i="11"/>
  <c r="AG618" i="11"/>
  <c r="X618" i="11"/>
  <c r="U618" i="11"/>
  <c r="V618" i="11"/>
  <c r="AF618" i="11"/>
  <c r="J618" i="11"/>
  <c r="S618" i="11"/>
  <c r="AD618" i="11"/>
  <c r="AA618" i="11"/>
  <c r="R618" i="11"/>
  <c r="AI618" i="11"/>
  <c r="AK618" i="11"/>
  <c r="AO618" i="11"/>
  <c r="T618" i="11"/>
  <c r="W618" i="11"/>
  <c r="Q618" i="11"/>
  <c r="Z618" i="11"/>
  <c r="W586" i="11"/>
  <c r="S586" i="11"/>
  <c r="AO586" i="11"/>
  <c r="AH586" i="11"/>
  <c r="AJ586" i="11"/>
  <c r="P586" i="11"/>
  <c r="L586" i="11"/>
  <c r="AP586" i="11"/>
  <c r="Z586" i="11"/>
  <c r="X586" i="11"/>
  <c r="Y586" i="11"/>
  <c r="R586" i="11"/>
  <c r="AG586" i="11"/>
  <c r="O586" i="11"/>
  <c r="K586" i="11"/>
  <c r="AB586" i="11"/>
  <c r="U586" i="11"/>
  <c r="T586" i="11"/>
  <c r="AI586" i="11"/>
  <c r="V586" i="11"/>
  <c r="AK586" i="11"/>
  <c r="AL586" i="11"/>
  <c r="N586" i="11"/>
  <c r="J586" i="11"/>
  <c r="AE586" i="11"/>
  <c r="Q586" i="11"/>
  <c r="AM586" i="11"/>
  <c r="AC586" i="11"/>
  <c r="AF586" i="11"/>
  <c r="AD586" i="11"/>
  <c r="AN586" i="11"/>
  <c r="I586" i="11"/>
  <c r="AA586" i="11"/>
  <c r="M586" i="11"/>
  <c r="R554" i="11"/>
  <c r="P554" i="11"/>
  <c r="AF554" i="11"/>
  <c r="AO554" i="11"/>
  <c r="Y554" i="11"/>
  <c r="M554" i="11"/>
  <c r="AB554" i="11"/>
  <c r="AJ554" i="11"/>
  <c r="I554" i="11"/>
  <c r="AA554" i="11"/>
  <c r="T554" i="11"/>
  <c r="AI554" i="11"/>
  <c r="AP554" i="11"/>
  <c r="K554" i="11"/>
  <c r="L554" i="11"/>
  <c r="AK554" i="11"/>
  <c r="AN554" i="11"/>
  <c r="AL554" i="11"/>
  <c r="X554" i="11"/>
  <c r="Q554" i="11"/>
  <c r="AD554" i="11"/>
  <c r="J554" i="11"/>
  <c r="AM554" i="11"/>
  <c r="AE554" i="11"/>
  <c r="Z554" i="11"/>
  <c r="V554" i="11"/>
  <c r="S554" i="11"/>
  <c r="AH554" i="11"/>
  <c r="O554" i="11"/>
  <c r="N554" i="11"/>
  <c r="U554" i="11"/>
  <c r="AG554" i="11"/>
  <c r="AC554" i="11"/>
  <c r="W554" i="11"/>
  <c r="M522" i="11"/>
  <c r="AD522" i="11"/>
  <c r="N522" i="11"/>
  <c r="K522" i="11"/>
  <c r="Y522" i="11"/>
  <c r="R522" i="11"/>
  <c r="AP522" i="11"/>
  <c r="Z522" i="11"/>
  <c r="AC522" i="11"/>
  <c r="L522" i="11"/>
  <c r="AJ522" i="11"/>
  <c r="Q522" i="11"/>
  <c r="AM522" i="11"/>
  <c r="X522" i="11"/>
  <c r="P522" i="11"/>
  <c r="AG522" i="11"/>
  <c r="S522" i="11"/>
  <c r="AI522" i="11"/>
  <c r="U522" i="11"/>
  <c r="AE522" i="11"/>
  <c r="AF522" i="11"/>
  <c r="I522" i="11"/>
  <c r="AH522" i="11"/>
  <c r="AO522" i="11"/>
  <c r="V522" i="11"/>
  <c r="J522" i="11"/>
  <c r="AA522" i="11"/>
  <c r="AK522" i="11"/>
  <c r="O522" i="11"/>
  <c r="AB522" i="11"/>
  <c r="AL522" i="11"/>
  <c r="AN522" i="11"/>
  <c r="T522" i="11"/>
  <c r="W522" i="11"/>
  <c r="AG490" i="11"/>
  <c r="J490" i="11"/>
  <c r="O490" i="11"/>
  <c r="AD490" i="11"/>
  <c r="AN490" i="11"/>
  <c r="AB490" i="11"/>
  <c r="AA490" i="11"/>
  <c r="W490" i="11"/>
  <c r="L490" i="11"/>
  <c r="AM490" i="11"/>
  <c r="AC490" i="11"/>
  <c r="AF490" i="11"/>
  <c r="U490" i="11"/>
  <c r="AK490" i="11"/>
  <c r="I490" i="11"/>
  <c r="AH490" i="11"/>
  <c r="R490" i="11"/>
  <c r="AO490" i="11"/>
  <c r="N490" i="11"/>
  <c r="S490" i="11"/>
  <c r="AJ490" i="11"/>
  <c r="AP490" i="11"/>
  <c r="V490" i="11"/>
  <c r="AI490" i="11"/>
  <c r="P490" i="11"/>
  <c r="M490" i="11"/>
  <c r="X490" i="11"/>
  <c r="AE490" i="11"/>
  <c r="Q490" i="11"/>
  <c r="AL490" i="11"/>
  <c r="Y490" i="11"/>
  <c r="Z490" i="11"/>
  <c r="T490" i="11"/>
  <c r="K490" i="11"/>
  <c r="W441" i="11"/>
  <c r="AO441" i="11"/>
  <c r="AA441" i="11"/>
  <c r="AF441" i="11"/>
  <c r="AE441" i="11"/>
  <c r="L441" i="11"/>
  <c r="AN441" i="11"/>
  <c r="S441" i="11"/>
  <c r="Q441" i="11"/>
  <c r="J441" i="11"/>
  <c r="X441" i="11"/>
  <c r="Y441" i="11"/>
  <c r="K441" i="11"/>
  <c r="AK441" i="11"/>
  <c r="M441" i="11"/>
  <c r="AG441" i="11"/>
  <c r="AC441" i="11"/>
  <c r="U441" i="11"/>
  <c r="T441" i="11"/>
  <c r="AP441" i="11"/>
  <c r="O441" i="11"/>
  <c r="AB441" i="11"/>
  <c r="N441" i="11"/>
  <c r="AM441" i="11"/>
  <c r="AJ441" i="11"/>
  <c r="AD441" i="11"/>
  <c r="P441" i="11"/>
  <c r="Z441" i="11"/>
  <c r="R441" i="11"/>
  <c r="I441" i="11"/>
  <c r="AL441" i="11"/>
  <c r="AH441" i="11"/>
  <c r="V441" i="11"/>
  <c r="AI441" i="11"/>
  <c r="AM409" i="11"/>
  <c r="Z409" i="11"/>
  <c r="AC409" i="11"/>
  <c r="O409" i="11"/>
  <c r="AK409" i="11"/>
  <c r="I409" i="11"/>
  <c r="AH409" i="11"/>
  <c r="T409" i="11"/>
  <c r="AB409" i="11"/>
  <c r="L409" i="11"/>
  <c r="Q409" i="11"/>
  <c r="AP409" i="11"/>
  <c r="AF409" i="11"/>
  <c r="AN409" i="11"/>
  <c r="Y409" i="11"/>
  <c r="N409" i="11"/>
  <c r="U409" i="11"/>
  <c r="M409" i="11"/>
  <c r="AG409" i="11"/>
  <c r="V409" i="11"/>
  <c r="AI409" i="11"/>
  <c r="S409" i="11"/>
  <c r="AO409" i="11"/>
  <c r="AD409" i="11"/>
  <c r="K409" i="11"/>
  <c r="X409" i="11"/>
  <c r="J409" i="11"/>
  <c r="AL409" i="11"/>
  <c r="W409" i="11"/>
  <c r="AA409" i="11"/>
  <c r="R409" i="11"/>
  <c r="P409" i="11"/>
  <c r="AJ409" i="11"/>
  <c r="AE409" i="11"/>
  <c r="Y377" i="11"/>
  <c r="J377" i="11"/>
  <c r="T377" i="11"/>
  <c r="P377" i="11"/>
  <c r="AG377" i="11"/>
  <c r="S377" i="11"/>
  <c r="AN377" i="11"/>
  <c r="AK377" i="11"/>
  <c r="Q377" i="11"/>
  <c r="AI377" i="11"/>
  <c r="AC377" i="11"/>
  <c r="AO377" i="11"/>
  <c r="N377" i="11"/>
  <c r="L377" i="11"/>
  <c r="I377" i="11"/>
  <c r="V377" i="11"/>
  <c r="AF377" i="11"/>
  <c r="K377" i="11"/>
  <c r="R377" i="11"/>
  <c r="AD377" i="11"/>
  <c r="M377" i="11"/>
  <c r="O377" i="11"/>
  <c r="Z377" i="11"/>
  <c r="AL377" i="11"/>
  <c r="AJ377" i="11"/>
  <c r="W377" i="11"/>
  <c r="AH377" i="11"/>
  <c r="U377" i="11"/>
  <c r="AE377" i="11"/>
  <c r="AP377" i="11"/>
  <c r="X377" i="11"/>
  <c r="AM377" i="11"/>
  <c r="AA377" i="11"/>
  <c r="AB377" i="11"/>
  <c r="U345" i="11"/>
  <c r="V345" i="11"/>
  <c r="R345" i="11"/>
  <c r="AE345" i="11"/>
  <c r="AC345" i="11"/>
  <c r="AH345" i="11"/>
  <c r="AM345" i="11"/>
  <c r="O345" i="11"/>
  <c r="L345" i="11"/>
  <c r="I345" i="11"/>
  <c r="X345" i="11"/>
  <c r="AN345" i="11"/>
  <c r="N345" i="11"/>
  <c r="T345" i="11"/>
  <c r="Q345" i="11"/>
  <c r="AL345" i="11"/>
  <c r="W345" i="11"/>
  <c r="AF345" i="11"/>
  <c r="AJ345" i="11"/>
  <c r="AG345" i="11"/>
  <c r="AD345" i="11"/>
  <c r="AA345" i="11"/>
  <c r="M345" i="11"/>
  <c r="AO345" i="11"/>
  <c r="AP345" i="11"/>
  <c r="J345" i="11"/>
  <c r="K345" i="11"/>
  <c r="P345" i="11"/>
  <c r="S345" i="11"/>
  <c r="Z345" i="11"/>
  <c r="AI345" i="11"/>
  <c r="AB345" i="11"/>
  <c r="AK345" i="11"/>
  <c r="Y345" i="11"/>
  <c r="AC313" i="11"/>
  <c r="Z313" i="11"/>
  <c r="S313" i="11"/>
  <c r="X313" i="11"/>
  <c r="AK313" i="11"/>
  <c r="AH313" i="11"/>
  <c r="AF313" i="11"/>
  <c r="AJ313" i="11"/>
  <c r="N313" i="11"/>
  <c r="AP313" i="11"/>
  <c r="T313" i="11"/>
  <c r="O313" i="11"/>
  <c r="V313" i="11"/>
  <c r="P313" i="11"/>
  <c r="AG313" i="11"/>
  <c r="AA313" i="11"/>
  <c r="AD313" i="11"/>
  <c r="AB313" i="11"/>
  <c r="I313" i="11"/>
  <c r="AN313" i="11"/>
  <c r="AL313" i="11"/>
  <c r="AO313" i="11"/>
  <c r="W313" i="11"/>
  <c r="AM313" i="11"/>
  <c r="M313" i="11"/>
  <c r="J313" i="11"/>
  <c r="Q313" i="11"/>
  <c r="AI313" i="11"/>
  <c r="L313" i="11"/>
  <c r="U313" i="11"/>
  <c r="R313" i="11"/>
  <c r="AE313" i="11"/>
  <c r="K313" i="11"/>
  <c r="Y313" i="11"/>
  <c r="V281" i="11"/>
  <c r="T281" i="11"/>
  <c r="K281" i="11"/>
  <c r="O281" i="11"/>
  <c r="AD281" i="11"/>
  <c r="AG281" i="11"/>
  <c r="AE281" i="11"/>
  <c r="Q281" i="11"/>
  <c r="AC281" i="11"/>
  <c r="AP281" i="11"/>
  <c r="AF281" i="11"/>
  <c r="AK281" i="11"/>
  <c r="I281" i="11"/>
  <c r="X281" i="11"/>
  <c r="N281" i="11"/>
  <c r="W281" i="11"/>
  <c r="AJ281" i="11"/>
  <c r="AL281" i="11"/>
  <c r="AI281" i="11"/>
  <c r="AM281" i="11"/>
  <c r="J281" i="11"/>
  <c r="P281" i="11"/>
  <c r="AN281" i="11"/>
  <c r="R281" i="11"/>
  <c r="AB281" i="11"/>
  <c r="S281" i="11"/>
  <c r="M281" i="11"/>
  <c r="Z281" i="11"/>
  <c r="AO281" i="11"/>
  <c r="AA281" i="11"/>
  <c r="U281" i="11"/>
  <c r="AH281" i="11"/>
  <c r="L281" i="11"/>
  <c r="Y281" i="11"/>
  <c r="AM249" i="11"/>
  <c r="AB249" i="11"/>
  <c r="J249" i="11"/>
  <c r="Z249" i="11"/>
  <c r="I249" i="11"/>
  <c r="AJ249" i="11"/>
  <c r="V249" i="11"/>
  <c r="AF249" i="11"/>
  <c r="O249" i="11"/>
  <c r="T249" i="11"/>
  <c r="R249" i="11"/>
  <c r="X249" i="11"/>
  <c r="W249" i="11"/>
  <c r="N249" i="11"/>
  <c r="AK249" i="11"/>
  <c r="AH249" i="11"/>
  <c r="AE249" i="11"/>
  <c r="AA249" i="11"/>
  <c r="S249" i="11"/>
  <c r="Q249" i="11"/>
  <c r="AN249" i="11"/>
  <c r="AL249" i="11"/>
  <c r="Y249" i="11"/>
  <c r="P249" i="11"/>
  <c r="AD249" i="11"/>
  <c r="AG249" i="11"/>
  <c r="AC249" i="11"/>
  <c r="M249" i="11"/>
  <c r="AO249" i="11"/>
  <c r="AP249" i="11"/>
  <c r="U249" i="11"/>
  <c r="L249" i="11"/>
  <c r="AI249" i="11"/>
  <c r="K249" i="11"/>
  <c r="K669" i="11"/>
  <c r="O669" i="11"/>
  <c r="Q669" i="11"/>
  <c r="N669" i="11"/>
  <c r="AD669" i="11"/>
  <c r="Z669" i="11"/>
  <c r="AO669" i="11"/>
  <c r="AP669" i="11"/>
  <c r="AA669" i="11"/>
  <c r="AM669" i="11"/>
  <c r="AL669" i="11"/>
  <c r="AJ669" i="11"/>
  <c r="AN669" i="11"/>
  <c r="AK669" i="11"/>
  <c r="AC669" i="11"/>
  <c r="P669" i="11"/>
  <c r="M669" i="11"/>
  <c r="X669" i="11"/>
  <c r="AF669" i="11"/>
  <c r="L669" i="11"/>
  <c r="AI669" i="11"/>
  <c r="T669" i="11"/>
  <c r="W669" i="11"/>
  <c r="AB669" i="11"/>
  <c r="J669" i="11"/>
  <c r="U669" i="11"/>
  <c r="Y669" i="11"/>
  <c r="V669" i="11"/>
  <c r="I669" i="11"/>
  <c r="AG669" i="11"/>
  <c r="AE669" i="11"/>
  <c r="S669" i="11"/>
  <c r="R669" i="11"/>
  <c r="AH669" i="11"/>
  <c r="U637" i="11"/>
  <c r="V637" i="11"/>
  <c r="Q637" i="11"/>
  <c r="R637" i="11"/>
  <c r="J637" i="11"/>
  <c r="X637" i="11"/>
  <c r="L637" i="11"/>
  <c r="K637" i="11"/>
  <c r="P637" i="11"/>
  <c r="AB637" i="11"/>
  <c r="AC637" i="11"/>
  <c r="Z637" i="11"/>
  <c r="AF637" i="11"/>
  <c r="AJ637" i="11"/>
  <c r="O637" i="11"/>
  <c r="AN637" i="11"/>
  <c r="AD637" i="11"/>
  <c r="AL637" i="11"/>
  <c r="I637" i="11"/>
  <c r="S637" i="11"/>
  <c r="Y637" i="11"/>
  <c r="AE637" i="11"/>
  <c r="AG637" i="11"/>
  <c r="W637" i="11"/>
  <c r="AO637" i="11"/>
  <c r="AK637" i="11"/>
  <c r="T637" i="11"/>
  <c r="AA637" i="11"/>
  <c r="N637" i="11"/>
  <c r="AP637" i="11"/>
  <c r="M637" i="11"/>
  <c r="AM637" i="11"/>
  <c r="AI637" i="11"/>
  <c r="AH637" i="11"/>
  <c r="S605" i="11"/>
  <c r="X605" i="11"/>
  <c r="AG605" i="11"/>
  <c r="U605" i="11"/>
  <c r="O605" i="11"/>
  <c r="P605" i="11"/>
  <c r="Z605" i="11"/>
  <c r="AI605" i="11"/>
  <c r="AA605" i="11"/>
  <c r="J605" i="11"/>
  <c r="K605" i="11"/>
  <c r="AE605" i="11"/>
  <c r="I605" i="11"/>
  <c r="M605" i="11"/>
  <c r="AN605" i="11"/>
  <c r="AO605" i="11"/>
  <c r="AJ605" i="11"/>
  <c r="R605" i="11"/>
  <c r="AB605" i="11"/>
  <c r="AH605" i="11"/>
  <c r="T605" i="11"/>
  <c r="AP605" i="11"/>
  <c r="AD605" i="11"/>
  <c r="AC605" i="11"/>
  <c r="L605" i="11"/>
  <c r="AK605" i="11"/>
  <c r="AL605" i="11"/>
  <c r="Q605" i="11"/>
  <c r="V605" i="11"/>
  <c r="AF605" i="11"/>
  <c r="Y605" i="11"/>
  <c r="W605" i="11"/>
  <c r="AM605" i="11"/>
  <c r="N605" i="11"/>
  <c r="AK573" i="11"/>
  <c r="O573" i="11"/>
  <c r="AI573" i="11"/>
  <c r="AD573" i="11"/>
  <c r="AJ573" i="11"/>
  <c r="AN573" i="11"/>
  <c r="AG573" i="11"/>
  <c r="AP573" i="11"/>
  <c r="AC573" i="11"/>
  <c r="AO573" i="11"/>
  <c r="Y573" i="11"/>
  <c r="P573" i="11"/>
  <c r="S573" i="11"/>
  <c r="I573" i="11"/>
  <c r="X573" i="11"/>
  <c r="J573" i="11"/>
  <c r="K573" i="11"/>
  <c r="L573" i="11"/>
  <c r="AF573" i="11"/>
  <c r="AE573" i="11"/>
  <c r="T573" i="11"/>
  <c r="N573" i="11"/>
  <c r="Q573" i="11"/>
  <c r="AB573" i="11"/>
  <c r="Z573" i="11"/>
  <c r="R573" i="11"/>
  <c r="M573" i="11"/>
  <c r="AM573" i="11"/>
  <c r="AL573" i="11"/>
  <c r="U573" i="11"/>
  <c r="AA573" i="11"/>
  <c r="V573" i="11"/>
  <c r="W573" i="11"/>
  <c r="AH573" i="11"/>
  <c r="U541" i="11"/>
  <c r="Y541" i="11"/>
  <c r="J541" i="11"/>
  <c r="X541" i="11"/>
  <c r="T541" i="11"/>
  <c r="W541" i="11"/>
  <c r="AN541" i="11"/>
  <c r="Q541" i="11"/>
  <c r="AD541" i="11"/>
  <c r="AK541" i="11"/>
  <c r="R541" i="11"/>
  <c r="AP541" i="11"/>
  <c r="O541" i="11"/>
  <c r="AF541" i="11"/>
  <c r="AO541" i="11"/>
  <c r="AE541" i="11"/>
  <c r="AA541" i="11"/>
  <c r="I541" i="11"/>
  <c r="L541" i="11"/>
  <c r="AM541" i="11"/>
  <c r="AG541" i="11"/>
  <c r="S541" i="11"/>
  <c r="AB541" i="11"/>
  <c r="K541" i="11"/>
  <c r="P541" i="11"/>
  <c r="AJ541" i="11"/>
  <c r="AL541" i="11"/>
  <c r="AH541" i="11"/>
  <c r="M541" i="11"/>
  <c r="N541" i="11"/>
  <c r="AI541" i="11"/>
  <c r="AC541" i="11"/>
  <c r="Z541" i="11"/>
  <c r="V541" i="11"/>
  <c r="K509" i="11"/>
  <c r="O509" i="11"/>
  <c r="W509" i="11"/>
  <c r="AK509" i="11"/>
  <c r="R509" i="11"/>
  <c r="N509" i="11"/>
  <c r="AC509" i="11"/>
  <c r="AF509" i="11"/>
  <c r="T509" i="11"/>
  <c r="Z509" i="11"/>
  <c r="AL509" i="11"/>
  <c r="Y509" i="11"/>
  <c r="AH509" i="11"/>
  <c r="AB509" i="11"/>
  <c r="L509" i="11"/>
  <c r="AP509" i="11"/>
  <c r="AN509" i="11"/>
  <c r="M509" i="11"/>
  <c r="S509" i="11"/>
  <c r="P509" i="11"/>
  <c r="AJ509" i="11"/>
  <c r="AA509" i="11"/>
  <c r="AO509" i="11"/>
  <c r="AE509" i="11"/>
  <c r="AI509" i="11"/>
  <c r="U509" i="11"/>
  <c r="AM509" i="11"/>
  <c r="V509" i="11"/>
  <c r="AG509" i="11"/>
  <c r="I509" i="11"/>
  <c r="J509" i="11"/>
  <c r="AD509" i="11"/>
  <c r="X509" i="11"/>
  <c r="Q509" i="11"/>
  <c r="J477" i="11"/>
  <c r="AK477" i="11"/>
  <c r="AD477" i="11"/>
  <c r="O477" i="11"/>
  <c r="Q477" i="11"/>
  <c r="AP477" i="11"/>
  <c r="L477" i="11"/>
  <c r="T477" i="11"/>
  <c r="AM477" i="11"/>
  <c r="I477" i="11"/>
  <c r="U477" i="11"/>
  <c r="AE477" i="11"/>
  <c r="AA477" i="11"/>
  <c r="Y477" i="11"/>
  <c r="AC477" i="11"/>
  <c r="N477" i="11"/>
  <c r="AH477" i="11"/>
  <c r="AF477" i="11"/>
  <c r="M477" i="11"/>
  <c r="K477" i="11"/>
  <c r="AB477" i="11"/>
  <c r="W477" i="11"/>
  <c r="AI477" i="11"/>
  <c r="AG477" i="11"/>
  <c r="AJ477" i="11"/>
  <c r="AO477" i="11"/>
  <c r="X477" i="11"/>
  <c r="V477" i="11"/>
  <c r="R477" i="11"/>
  <c r="AL477" i="11"/>
  <c r="Z477" i="11"/>
  <c r="P477" i="11"/>
  <c r="AN477" i="11"/>
  <c r="S477" i="11"/>
  <c r="AM440" i="11"/>
  <c r="I440" i="11"/>
  <c r="O440" i="11"/>
  <c r="R440" i="11"/>
  <c r="N440" i="11"/>
  <c r="AB440" i="11"/>
  <c r="W440" i="11"/>
  <c r="Z440" i="11"/>
  <c r="V440" i="11"/>
  <c r="AC440" i="11"/>
  <c r="AE440" i="11"/>
  <c r="AH440" i="11"/>
  <c r="AD440" i="11"/>
  <c r="L440" i="11"/>
  <c r="Q440" i="11"/>
  <c r="AP440" i="11"/>
  <c r="AL440" i="11"/>
  <c r="AF440" i="11"/>
  <c r="Y440" i="11"/>
  <c r="K440" i="11"/>
  <c r="T440" i="11"/>
  <c r="P440" i="11"/>
  <c r="AG440" i="11"/>
  <c r="S440" i="11"/>
  <c r="AN440" i="11"/>
  <c r="AK440" i="11"/>
  <c r="AO440" i="11"/>
  <c r="AA440" i="11"/>
  <c r="U440" i="11"/>
  <c r="J440" i="11"/>
  <c r="AI440" i="11"/>
  <c r="X440" i="11"/>
  <c r="M440" i="11"/>
  <c r="AJ440" i="11"/>
  <c r="AM408" i="11"/>
  <c r="L408" i="11"/>
  <c r="M408" i="11"/>
  <c r="AP408" i="11"/>
  <c r="V408" i="11"/>
  <c r="T408" i="11"/>
  <c r="Y408" i="11"/>
  <c r="R408" i="11"/>
  <c r="Z408" i="11"/>
  <c r="AB408" i="11"/>
  <c r="AL408" i="11"/>
  <c r="AE408" i="11"/>
  <c r="AG408" i="11"/>
  <c r="AJ408" i="11"/>
  <c r="O408" i="11"/>
  <c r="J408" i="11"/>
  <c r="AH408" i="11"/>
  <c r="K408" i="11"/>
  <c r="P408" i="11"/>
  <c r="AC408" i="11"/>
  <c r="W408" i="11"/>
  <c r="I408" i="11"/>
  <c r="S408" i="11"/>
  <c r="X408" i="11"/>
  <c r="AO408" i="11"/>
  <c r="AK408" i="11"/>
  <c r="AA408" i="11"/>
  <c r="AF408" i="11"/>
  <c r="Q408" i="11"/>
  <c r="N408" i="11"/>
  <c r="AI408" i="11"/>
  <c r="AN408" i="11"/>
  <c r="AD408" i="11"/>
  <c r="U408" i="11"/>
  <c r="J376" i="11"/>
  <c r="S376" i="11"/>
  <c r="W376" i="11"/>
  <c r="AA376" i="11"/>
  <c r="Y376" i="11"/>
  <c r="R376" i="11"/>
  <c r="AD376" i="11"/>
  <c r="AG376" i="11"/>
  <c r="AE376" i="11"/>
  <c r="T376" i="11"/>
  <c r="Z376" i="11"/>
  <c r="AN376" i="11"/>
  <c r="N376" i="11"/>
  <c r="AJ376" i="11"/>
  <c r="AH376" i="11"/>
  <c r="K376" i="11"/>
  <c r="X376" i="11"/>
  <c r="I376" i="11"/>
  <c r="M376" i="11"/>
  <c r="V376" i="11"/>
  <c r="AI376" i="11"/>
  <c r="AL376" i="11"/>
  <c r="U376" i="11"/>
  <c r="AF376" i="11"/>
  <c r="Q376" i="11"/>
  <c r="O376" i="11"/>
  <c r="AC376" i="11"/>
  <c r="AP376" i="11"/>
  <c r="AB376" i="11"/>
  <c r="AO376" i="11"/>
  <c r="AK376" i="11"/>
  <c r="L376" i="11"/>
  <c r="AM376" i="11"/>
  <c r="P376" i="11"/>
  <c r="AM344" i="11"/>
  <c r="T344" i="11"/>
  <c r="AH344" i="11"/>
  <c r="I344" i="11"/>
  <c r="N344" i="11"/>
  <c r="K344" i="11"/>
  <c r="AG344" i="11"/>
  <c r="P344" i="11"/>
  <c r="AB344" i="11"/>
  <c r="W344" i="11"/>
  <c r="L344" i="11"/>
  <c r="AN344" i="11"/>
  <c r="AE344" i="11"/>
  <c r="Y344" i="11"/>
  <c r="U344" i="11"/>
  <c r="S344" i="11"/>
  <c r="AK344" i="11"/>
  <c r="AO344" i="11"/>
  <c r="AA344" i="11"/>
  <c r="J344" i="11"/>
  <c r="X344" i="11"/>
  <c r="V344" i="11"/>
  <c r="AI344" i="11"/>
  <c r="AF344" i="11"/>
  <c r="Z344" i="11"/>
  <c r="AD344" i="11"/>
  <c r="Q344" i="11"/>
  <c r="M344" i="11"/>
  <c r="AL344" i="11"/>
  <c r="AC344" i="11"/>
  <c r="AJ344" i="11"/>
  <c r="O344" i="11"/>
  <c r="AP344" i="11"/>
  <c r="R344" i="11"/>
  <c r="AN312" i="11"/>
  <c r="O312" i="11"/>
  <c r="L312" i="11"/>
  <c r="W312" i="11"/>
  <c r="AJ312" i="11"/>
  <c r="AA312" i="11"/>
  <c r="AG312" i="11"/>
  <c r="AE312" i="11"/>
  <c r="K312" i="11"/>
  <c r="AO312" i="11"/>
  <c r="J312" i="11"/>
  <c r="AM312" i="11"/>
  <c r="Y312" i="11"/>
  <c r="Q312" i="11"/>
  <c r="V312" i="11"/>
  <c r="P312" i="11"/>
  <c r="AK312" i="11"/>
  <c r="AC312" i="11"/>
  <c r="AI312" i="11"/>
  <c r="X312" i="11"/>
  <c r="M312" i="11"/>
  <c r="AP312" i="11"/>
  <c r="AH312" i="11"/>
  <c r="AF312" i="11"/>
  <c r="Z312" i="11"/>
  <c r="R312" i="11"/>
  <c r="I312" i="11"/>
  <c r="T312" i="11"/>
  <c r="AL312" i="11"/>
  <c r="AD312" i="11"/>
  <c r="U312" i="11"/>
  <c r="AB312" i="11"/>
  <c r="N312" i="11"/>
  <c r="S312" i="11"/>
  <c r="AM280" i="11"/>
  <c r="AJ280" i="11"/>
  <c r="AK280" i="11"/>
  <c r="J280" i="11"/>
  <c r="P280" i="11"/>
  <c r="Q280" i="11"/>
  <c r="V280" i="11"/>
  <c r="AO280" i="11"/>
  <c r="X280" i="11"/>
  <c r="AC280" i="11"/>
  <c r="Z280" i="11"/>
  <c r="M280" i="11"/>
  <c r="AF280" i="11"/>
  <c r="AP280" i="11"/>
  <c r="N280" i="11"/>
  <c r="S280" i="11"/>
  <c r="AN280" i="11"/>
  <c r="R280" i="11"/>
  <c r="AI280" i="11"/>
  <c r="U280" i="11"/>
  <c r="O280" i="11"/>
  <c r="L280" i="11"/>
  <c r="AD280" i="11"/>
  <c r="AH280" i="11"/>
  <c r="AG280" i="11"/>
  <c r="W280" i="11"/>
  <c r="T280" i="11"/>
  <c r="K280" i="11"/>
  <c r="I280" i="11"/>
  <c r="AA280" i="11"/>
  <c r="AE280" i="11"/>
  <c r="AB280" i="11"/>
  <c r="Y280" i="11"/>
  <c r="AL280" i="11"/>
  <c r="AG248" i="11"/>
  <c r="AD248" i="11"/>
  <c r="R248" i="11"/>
  <c r="AH248" i="11"/>
  <c r="AO248" i="11"/>
  <c r="AL248" i="11"/>
  <c r="AE248" i="11"/>
  <c r="P248" i="11"/>
  <c r="K248" i="11"/>
  <c r="J248" i="11"/>
  <c r="AC248" i="11"/>
  <c r="T248" i="11"/>
  <c r="S248" i="11"/>
  <c r="W248" i="11"/>
  <c r="M248" i="11"/>
  <c r="Z248" i="11"/>
  <c r="AA248" i="11"/>
  <c r="AJ248" i="11"/>
  <c r="AF248" i="11"/>
  <c r="AN248" i="11"/>
  <c r="I248" i="11"/>
  <c r="AI248" i="11"/>
  <c r="L248" i="11"/>
  <c r="U248" i="11"/>
  <c r="O248" i="11"/>
  <c r="Q248" i="11"/>
  <c r="N248" i="11"/>
  <c r="X248" i="11"/>
  <c r="AP248" i="11"/>
  <c r="AM248" i="11"/>
  <c r="Y248" i="11"/>
  <c r="V248" i="11"/>
  <c r="AK248" i="11"/>
  <c r="AB248" i="11"/>
  <c r="W672" i="11"/>
  <c r="S672" i="11"/>
  <c r="X672" i="11"/>
  <c r="P672" i="11"/>
  <c r="V672" i="11"/>
  <c r="R672" i="11"/>
  <c r="I672" i="11"/>
  <c r="AK672" i="11"/>
  <c r="AC672" i="11"/>
  <c r="AM672" i="11"/>
  <c r="U672" i="11"/>
  <c r="AN672" i="11"/>
  <c r="N672" i="11"/>
  <c r="AH672" i="11"/>
  <c r="AJ672" i="11"/>
  <c r="Q672" i="11"/>
  <c r="AD672" i="11"/>
  <c r="AP672" i="11"/>
  <c r="L672" i="11"/>
  <c r="AE672" i="11"/>
  <c r="AG672" i="11"/>
  <c r="AA672" i="11"/>
  <c r="K672" i="11"/>
  <c r="AL672" i="11"/>
  <c r="Y672" i="11"/>
  <c r="O672" i="11"/>
  <c r="M672" i="11"/>
  <c r="J672" i="11"/>
  <c r="AB672" i="11"/>
  <c r="Z672" i="11"/>
  <c r="AO672" i="11"/>
  <c r="AF672" i="11"/>
  <c r="T672" i="11"/>
  <c r="AI672" i="11"/>
  <c r="AN640" i="11"/>
  <c r="U640" i="11"/>
  <c r="W640" i="11"/>
  <c r="O640" i="11"/>
  <c r="AA640" i="11"/>
  <c r="T640" i="11"/>
  <c r="P640" i="11"/>
  <c r="AH640" i="11"/>
  <c r="AD640" i="11"/>
  <c r="AK640" i="11"/>
  <c r="AI640" i="11"/>
  <c r="X640" i="11"/>
  <c r="N640" i="11"/>
  <c r="AB640" i="11"/>
  <c r="K640" i="11"/>
  <c r="I640" i="11"/>
  <c r="AO640" i="11"/>
  <c r="V640" i="11"/>
  <c r="AM640" i="11"/>
  <c r="M640" i="11"/>
  <c r="AL640" i="11"/>
  <c r="R640" i="11"/>
  <c r="AE640" i="11"/>
  <c r="Z640" i="11"/>
  <c r="AF640" i="11"/>
  <c r="AP640" i="11"/>
  <c r="L640" i="11"/>
  <c r="J640" i="11"/>
  <c r="S640" i="11"/>
  <c r="Q640" i="11"/>
  <c r="AC640" i="11"/>
  <c r="AJ640" i="11"/>
  <c r="AG640" i="11"/>
  <c r="Y640" i="11"/>
  <c r="Y608" i="11"/>
  <c r="R608" i="11"/>
  <c r="K608" i="11"/>
  <c r="O608" i="11"/>
  <c r="X608" i="11"/>
  <c r="AD608" i="11"/>
  <c r="L608" i="11"/>
  <c r="I608" i="11"/>
  <c r="AO608" i="11"/>
  <c r="AL608" i="11"/>
  <c r="S608" i="11"/>
  <c r="AM608" i="11"/>
  <c r="AP608" i="11"/>
  <c r="AA608" i="11"/>
  <c r="V608" i="11"/>
  <c r="Z608" i="11"/>
  <c r="AB608" i="11"/>
  <c r="AC608" i="11"/>
  <c r="AE608" i="11"/>
  <c r="AF608" i="11"/>
  <c r="AH608" i="11"/>
  <c r="Q608" i="11"/>
  <c r="J608" i="11"/>
  <c r="AN608" i="11"/>
  <c r="W608" i="11"/>
  <c r="AK608" i="11"/>
  <c r="P608" i="11"/>
  <c r="U608" i="11"/>
  <c r="M608" i="11"/>
  <c r="AI608" i="11"/>
  <c r="N608" i="11"/>
  <c r="T608" i="11"/>
  <c r="AJ608" i="11"/>
  <c r="AG608" i="11"/>
  <c r="AC576" i="11"/>
  <c r="N576" i="11"/>
  <c r="J576" i="11"/>
  <c r="V576" i="11"/>
  <c r="R576" i="11"/>
  <c r="AB576" i="11"/>
  <c r="AD576" i="11"/>
  <c r="Z576" i="11"/>
  <c r="AO576" i="11"/>
  <c r="M576" i="11"/>
  <c r="Q576" i="11"/>
  <c r="X576" i="11"/>
  <c r="AL576" i="11"/>
  <c r="AA576" i="11"/>
  <c r="AJ576" i="11"/>
  <c r="AI576" i="11"/>
  <c r="O576" i="11"/>
  <c r="AN576" i="11"/>
  <c r="S576" i="11"/>
  <c r="W576" i="11"/>
  <c r="P576" i="11"/>
  <c r="AK576" i="11"/>
  <c r="AE576" i="11"/>
  <c r="T576" i="11"/>
  <c r="U576" i="11"/>
  <c r="AM576" i="11"/>
  <c r="AG576" i="11"/>
  <c r="Y576" i="11"/>
  <c r="AH576" i="11"/>
  <c r="K576" i="11"/>
  <c r="I576" i="11"/>
  <c r="AP576" i="11"/>
  <c r="AF576" i="11"/>
  <c r="L576" i="11"/>
  <c r="J544" i="11"/>
  <c r="AD544" i="11"/>
  <c r="Y544" i="11"/>
  <c r="AN544" i="11"/>
  <c r="R544" i="11"/>
  <c r="AL544" i="11"/>
  <c r="AG544" i="11"/>
  <c r="S544" i="11"/>
  <c r="AJ544" i="11"/>
  <c r="O544" i="11"/>
  <c r="AO544" i="11"/>
  <c r="AF544" i="11"/>
  <c r="U544" i="11"/>
  <c r="W544" i="11"/>
  <c r="L544" i="11"/>
  <c r="AB544" i="11"/>
  <c r="AC544" i="11"/>
  <c r="AE544" i="11"/>
  <c r="Z544" i="11"/>
  <c r="K544" i="11"/>
  <c r="T544" i="11"/>
  <c r="AM544" i="11"/>
  <c r="AK544" i="11"/>
  <c r="AH544" i="11"/>
  <c r="X544" i="11"/>
  <c r="N544" i="11"/>
  <c r="I544" i="11"/>
  <c r="M544" i="11"/>
  <c r="P544" i="11"/>
  <c r="AP544" i="11"/>
  <c r="V544" i="11"/>
  <c r="Q544" i="11"/>
  <c r="AA544" i="11"/>
  <c r="AI544" i="11"/>
  <c r="X512" i="11"/>
  <c r="AM512" i="11"/>
  <c r="O512" i="11"/>
  <c r="AI512" i="11"/>
  <c r="L512" i="11"/>
  <c r="Q512" i="11"/>
  <c r="AG512" i="11"/>
  <c r="AK512" i="11"/>
  <c r="S512" i="11"/>
  <c r="AJ512" i="11"/>
  <c r="R512" i="11"/>
  <c r="N512" i="11"/>
  <c r="Y512" i="11"/>
  <c r="P512" i="11"/>
  <c r="AC512" i="11"/>
  <c r="AE512" i="11"/>
  <c r="Z512" i="11"/>
  <c r="T512" i="11"/>
  <c r="M512" i="11"/>
  <c r="AP512" i="11"/>
  <c r="AB512" i="11"/>
  <c r="AD512" i="11"/>
  <c r="AF512" i="11"/>
  <c r="AH512" i="11"/>
  <c r="AN512" i="11"/>
  <c r="U512" i="11"/>
  <c r="AA512" i="11"/>
  <c r="W512" i="11"/>
  <c r="AL512" i="11"/>
  <c r="AO512" i="11"/>
  <c r="K512" i="11"/>
  <c r="I512" i="11"/>
  <c r="V512" i="11"/>
  <c r="J512" i="11"/>
  <c r="I480" i="11"/>
  <c r="AH480" i="11"/>
  <c r="K480" i="11"/>
  <c r="T480" i="11"/>
  <c r="L480" i="11"/>
  <c r="AO480" i="11"/>
  <c r="AC480" i="11"/>
  <c r="AB480" i="11"/>
  <c r="X480" i="11"/>
  <c r="M480" i="11"/>
  <c r="AN480" i="11"/>
  <c r="AL480" i="11"/>
  <c r="Q480" i="11"/>
  <c r="U480" i="11"/>
  <c r="S480" i="11"/>
  <c r="AA480" i="11"/>
  <c r="Y480" i="11"/>
  <c r="AK480" i="11"/>
  <c r="AG480" i="11"/>
  <c r="V480" i="11"/>
  <c r="AD480" i="11"/>
  <c r="J480" i="11"/>
  <c r="AI480" i="11"/>
  <c r="N480" i="11"/>
  <c r="R480" i="11"/>
  <c r="W480" i="11"/>
  <c r="Z480" i="11"/>
  <c r="AJ480" i="11"/>
  <c r="AE480" i="11"/>
  <c r="AP480" i="11"/>
  <c r="O480" i="11"/>
  <c r="AF480" i="11"/>
  <c r="AM480" i="11"/>
  <c r="P480" i="11"/>
  <c r="J447" i="11"/>
  <c r="AJ447" i="11"/>
  <c r="W447" i="11"/>
  <c r="AA447" i="11"/>
  <c r="AF447" i="11"/>
  <c r="Q447" i="11"/>
  <c r="V447" i="11"/>
  <c r="AI447" i="11"/>
  <c r="AN447" i="11"/>
  <c r="AD447" i="11"/>
  <c r="AH447" i="11"/>
  <c r="X447" i="11"/>
  <c r="R447" i="11"/>
  <c r="K447" i="11"/>
  <c r="N447" i="11"/>
  <c r="AE447" i="11"/>
  <c r="S447" i="11"/>
  <c r="Z447" i="11"/>
  <c r="T447" i="11"/>
  <c r="M447" i="11"/>
  <c r="AM447" i="11"/>
  <c r="AG447" i="11"/>
  <c r="U447" i="11"/>
  <c r="O447" i="11"/>
  <c r="I447" i="11"/>
  <c r="AC447" i="11"/>
  <c r="AB447" i="11"/>
  <c r="L447" i="11"/>
  <c r="AK447" i="11"/>
  <c r="AO447" i="11"/>
  <c r="Y447" i="11"/>
  <c r="P447" i="11"/>
  <c r="AP447" i="11"/>
  <c r="AL447" i="11"/>
  <c r="AN415" i="11"/>
  <c r="AL415" i="11"/>
  <c r="T415" i="11"/>
  <c r="P415" i="11"/>
  <c r="AM415" i="11"/>
  <c r="M415" i="11"/>
  <c r="J415" i="11"/>
  <c r="AG415" i="11"/>
  <c r="AB415" i="11"/>
  <c r="L415" i="11"/>
  <c r="AD415" i="11"/>
  <c r="W415" i="11"/>
  <c r="Y415" i="11"/>
  <c r="R415" i="11"/>
  <c r="AI415" i="11"/>
  <c r="AA415" i="11"/>
  <c r="Z415" i="11"/>
  <c r="K415" i="11"/>
  <c r="AF415" i="11"/>
  <c r="U415" i="11"/>
  <c r="AH415" i="11"/>
  <c r="X415" i="11"/>
  <c r="AC415" i="11"/>
  <c r="AP415" i="11"/>
  <c r="AJ415" i="11"/>
  <c r="AK415" i="11"/>
  <c r="Q415" i="11"/>
  <c r="AO415" i="11"/>
  <c r="N415" i="11"/>
  <c r="AE415" i="11"/>
  <c r="O415" i="11"/>
  <c r="V415" i="11"/>
  <c r="I415" i="11"/>
  <c r="S415" i="11"/>
  <c r="AI383" i="11"/>
  <c r="AL383" i="11"/>
  <c r="AH383" i="11"/>
  <c r="AJ383" i="11"/>
  <c r="M383" i="11"/>
  <c r="O383" i="11"/>
  <c r="AP383" i="11"/>
  <c r="Q383" i="11"/>
  <c r="AC383" i="11"/>
  <c r="J383" i="11"/>
  <c r="P383" i="11"/>
  <c r="AK383" i="11"/>
  <c r="R383" i="11"/>
  <c r="AN383" i="11"/>
  <c r="N383" i="11"/>
  <c r="Z383" i="11"/>
  <c r="T383" i="11"/>
  <c r="V383" i="11"/>
  <c r="AB383" i="11"/>
  <c r="AO383" i="11"/>
  <c r="K383" i="11"/>
  <c r="AD383" i="11"/>
  <c r="I383" i="11"/>
  <c r="Y383" i="11"/>
  <c r="S383" i="11"/>
  <c r="W383" i="11"/>
  <c r="AF383" i="11"/>
  <c r="X383" i="11"/>
  <c r="AA383" i="11"/>
  <c r="AE383" i="11"/>
  <c r="L383" i="11"/>
  <c r="U383" i="11"/>
  <c r="AM383" i="11"/>
  <c r="AG383" i="11"/>
  <c r="AG351" i="11"/>
  <c r="AI351" i="11"/>
  <c r="W351" i="11"/>
  <c r="AH351" i="11"/>
  <c r="P351" i="11"/>
  <c r="AO351" i="11"/>
  <c r="L351" i="11"/>
  <c r="AA351" i="11"/>
  <c r="AP351" i="11"/>
  <c r="X351" i="11"/>
  <c r="M351" i="11"/>
  <c r="Z351" i="11"/>
  <c r="AB351" i="11"/>
  <c r="K351" i="11"/>
  <c r="AF351" i="11"/>
  <c r="U351" i="11"/>
  <c r="AL351" i="11"/>
  <c r="O351" i="11"/>
  <c r="AN351" i="11"/>
  <c r="AC351" i="11"/>
  <c r="R351" i="11"/>
  <c r="AJ351" i="11"/>
  <c r="I351" i="11"/>
  <c r="AK351" i="11"/>
  <c r="AD351" i="11"/>
  <c r="N351" i="11"/>
  <c r="Q351" i="11"/>
  <c r="J351" i="11"/>
  <c r="S351" i="11"/>
  <c r="T351" i="11"/>
  <c r="Y351" i="11"/>
  <c r="V351" i="11"/>
  <c r="AM351" i="11"/>
  <c r="AE351" i="11"/>
  <c r="Z319" i="11"/>
  <c r="AF319" i="11"/>
  <c r="X319" i="11"/>
  <c r="AA319" i="11"/>
  <c r="I319" i="11"/>
  <c r="AH319" i="11"/>
  <c r="U319" i="11"/>
  <c r="L319" i="11"/>
  <c r="AJ319" i="11"/>
  <c r="Q319" i="11"/>
  <c r="AP319" i="11"/>
  <c r="AI319" i="11"/>
  <c r="AE319" i="11"/>
  <c r="AC319" i="11"/>
  <c r="Y319" i="11"/>
  <c r="N319" i="11"/>
  <c r="O319" i="11"/>
  <c r="AK319" i="11"/>
  <c r="AG319" i="11"/>
  <c r="V319" i="11"/>
  <c r="AB319" i="11"/>
  <c r="K319" i="11"/>
  <c r="AO319" i="11"/>
  <c r="AD319" i="11"/>
  <c r="AN319" i="11"/>
  <c r="M319" i="11"/>
  <c r="J319" i="11"/>
  <c r="AL319" i="11"/>
  <c r="S319" i="11"/>
  <c r="P319" i="11"/>
  <c r="R319" i="11"/>
  <c r="T319" i="11"/>
  <c r="AM319" i="11"/>
  <c r="W319" i="11"/>
  <c r="Q287" i="11"/>
  <c r="AP287" i="11"/>
  <c r="W287" i="11"/>
  <c r="X287" i="11"/>
  <c r="S287" i="11"/>
  <c r="AO287" i="11"/>
  <c r="AD287" i="11"/>
  <c r="AC287" i="11"/>
  <c r="AK287" i="11"/>
  <c r="J287" i="11"/>
  <c r="AL287" i="11"/>
  <c r="L287" i="11"/>
  <c r="AM287" i="11"/>
  <c r="R287" i="11"/>
  <c r="U287" i="11"/>
  <c r="AE287" i="11"/>
  <c r="AN287" i="11"/>
  <c r="Z287" i="11"/>
  <c r="M287" i="11"/>
  <c r="AH287" i="11"/>
  <c r="AF287" i="11"/>
  <c r="N287" i="11"/>
  <c r="AA287" i="11"/>
  <c r="V287" i="11"/>
  <c r="AB287" i="11"/>
  <c r="AI287" i="11"/>
  <c r="O287" i="11"/>
  <c r="I287" i="11"/>
  <c r="K287" i="11"/>
  <c r="T287" i="11"/>
  <c r="Y287" i="11"/>
  <c r="AJ287" i="11"/>
  <c r="AG287" i="11"/>
  <c r="P287" i="11"/>
  <c r="Z255" i="11"/>
  <c r="W255" i="11"/>
  <c r="AO255" i="11"/>
  <c r="M255" i="11"/>
  <c r="AH255" i="11"/>
  <c r="AE255" i="11"/>
  <c r="I255" i="11"/>
  <c r="Q255" i="11"/>
  <c r="AP255" i="11"/>
  <c r="AM255" i="11"/>
  <c r="V255" i="11"/>
  <c r="AG255" i="11"/>
  <c r="K255" i="11"/>
  <c r="N255" i="11"/>
  <c r="AJ255" i="11"/>
  <c r="AK255" i="11"/>
  <c r="S255" i="11"/>
  <c r="AB255" i="11"/>
  <c r="Y255" i="11"/>
  <c r="U255" i="11"/>
  <c r="AA255" i="11"/>
  <c r="AN255" i="11"/>
  <c r="AD255" i="11"/>
  <c r="AF255" i="11"/>
  <c r="J255" i="11"/>
  <c r="AI255" i="11"/>
  <c r="P255" i="11"/>
  <c r="T255" i="11"/>
  <c r="X255" i="11"/>
  <c r="R255" i="11"/>
  <c r="O255" i="11"/>
  <c r="AC255" i="11"/>
  <c r="AL255" i="11"/>
  <c r="L255" i="11"/>
  <c r="U679" i="11"/>
  <c r="AF679" i="11"/>
  <c r="T679" i="11"/>
  <c r="AL679" i="11"/>
  <c r="AD679" i="11"/>
  <c r="AH679" i="11"/>
  <c r="Y679" i="11"/>
  <c r="W679" i="11"/>
  <c r="O679" i="11"/>
  <c r="V679" i="11"/>
  <c r="AN679" i="11"/>
  <c r="K679" i="11"/>
  <c r="AP679" i="11"/>
  <c r="AO679" i="11"/>
  <c r="N679" i="11"/>
  <c r="J679" i="11"/>
  <c r="L679" i="11"/>
  <c r="AC679" i="11"/>
  <c r="AB679" i="11"/>
  <c r="R679" i="11"/>
  <c r="AJ679" i="11"/>
  <c r="S679" i="11"/>
  <c r="P679" i="11"/>
  <c r="AK679" i="11"/>
  <c r="AE679" i="11"/>
  <c r="X679" i="11"/>
  <c r="M679" i="11"/>
  <c r="AI679" i="11"/>
  <c r="I679" i="11"/>
  <c r="Z679" i="11"/>
  <c r="Q679" i="11"/>
  <c r="AA679" i="11"/>
  <c r="AG679" i="11"/>
  <c r="AM679" i="11"/>
  <c r="S647" i="11"/>
  <c r="I647" i="11"/>
  <c r="AH647" i="11"/>
  <c r="AO647" i="11"/>
  <c r="N647" i="11"/>
  <c r="AG647" i="11"/>
  <c r="AE647" i="11"/>
  <c r="AA647" i="11"/>
  <c r="V647" i="11"/>
  <c r="AK647" i="11"/>
  <c r="K647" i="11"/>
  <c r="Z647" i="11"/>
  <c r="AJ647" i="11"/>
  <c r="AN647" i="11"/>
  <c r="AD647" i="11"/>
  <c r="M647" i="11"/>
  <c r="AI647" i="11"/>
  <c r="U647" i="11"/>
  <c r="Y647" i="11"/>
  <c r="T647" i="11"/>
  <c r="AL647" i="11"/>
  <c r="AB647" i="11"/>
  <c r="Q647" i="11"/>
  <c r="AC647" i="11"/>
  <c r="AP647" i="11"/>
  <c r="P647" i="11"/>
  <c r="R647" i="11"/>
  <c r="O647" i="11"/>
  <c r="X647" i="11"/>
  <c r="AM647" i="11"/>
  <c r="AF647" i="11"/>
  <c r="J647" i="11"/>
  <c r="L647" i="11"/>
  <c r="W647" i="11"/>
  <c r="K615" i="11"/>
  <c r="AF615" i="11"/>
  <c r="AC615" i="11"/>
  <c r="Y615" i="11"/>
  <c r="AP615" i="11"/>
  <c r="AJ615" i="11"/>
  <c r="AD615" i="11"/>
  <c r="AA615" i="11"/>
  <c r="AE615" i="11"/>
  <c r="W615" i="11"/>
  <c r="N615" i="11"/>
  <c r="AN615" i="11"/>
  <c r="R615" i="11"/>
  <c r="V615" i="11"/>
  <c r="P615" i="11"/>
  <c r="S615" i="11"/>
  <c r="U615" i="11"/>
  <c r="AB615" i="11"/>
  <c r="Z615" i="11"/>
  <c r="AK615" i="11"/>
  <c r="T615" i="11"/>
  <c r="AL615" i="11"/>
  <c r="AH615" i="11"/>
  <c r="I615" i="11"/>
  <c r="J615" i="11"/>
  <c r="Q615" i="11"/>
  <c r="L615" i="11"/>
  <c r="AG615" i="11"/>
  <c r="AI615" i="11"/>
  <c r="AO615" i="11"/>
  <c r="AM615" i="11"/>
  <c r="M615" i="11"/>
  <c r="O615" i="11"/>
  <c r="X615" i="11"/>
  <c r="J583" i="11"/>
  <c r="U583" i="11"/>
  <c r="Q583" i="11"/>
  <c r="AA583" i="11"/>
  <c r="AH583" i="11"/>
  <c r="V583" i="11"/>
  <c r="K583" i="11"/>
  <c r="AP583" i="11"/>
  <c r="AF583" i="11"/>
  <c r="M583" i="11"/>
  <c r="AG583" i="11"/>
  <c r="R583" i="11"/>
  <c r="AC583" i="11"/>
  <c r="AO583" i="11"/>
  <c r="AE583" i="11"/>
  <c r="I583" i="11"/>
  <c r="T583" i="11"/>
  <c r="Y583" i="11"/>
  <c r="L583" i="11"/>
  <c r="X583" i="11"/>
  <c r="W583" i="11"/>
  <c r="AJ583" i="11"/>
  <c r="Z583" i="11"/>
  <c r="AK583" i="11"/>
  <c r="O583" i="11"/>
  <c r="AM583" i="11"/>
  <c r="N583" i="11"/>
  <c r="AN583" i="11"/>
  <c r="S583" i="11"/>
  <c r="AD583" i="11"/>
  <c r="P583" i="11"/>
  <c r="AL583" i="11"/>
  <c r="AB583" i="11"/>
  <c r="AI583" i="11"/>
  <c r="AN551" i="11"/>
  <c r="M551" i="11"/>
  <c r="T551" i="11"/>
  <c r="AP551" i="11"/>
  <c r="K551" i="11"/>
  <c r="W551" i="11"/>
  <c r="AK551" i="11"/>
  <c r="I551" i="11"/>
  <c r="V551" i="11"/>
  <c r="U551" i="11"/>
  <c r="AD551" i="11"/>
  <c r="P551" i="11"/>
  <c r="AG551" i="11"/>
  <c r="AM551" i="11"/>
  <c r="Z551" i="11"/>
  <c r="X551" i="11"/>
  <c r="AH551" i="11"/>
  <c r="Y551" i="11"/>
  <c r="AJ551" i="11"/>
  <c r="AF551" i="11"/>
  <c r="Q551" i="11"/>
  <c r="AO551" i="11"/>
  <c r="S551" i="11"/>
  <c r="AB551" i="11"/>
  <c r="J551" i="11"/>
  <c r="AA551" i="11"/>
  <c r="AL551" i="11"/>
  <c r="AC551" i="11"/>
  <c r="AI551" i="11"/>
  <c r="O551" i="11"/>
  <c r="N551" i="11"/>
  <c r="L551" i="11"/>
  <c r="AE551" i="11"/>
  <c r="R551" i="11"/>
  <c r="P519" i="11"/>
  <c r="I519" i="11"/>
  <c r="AO519" i="11"/>
  <c r="AK519" i="11"/>
  <c r="X519" i="11"/>
  <c r="U519" i="11"/>
  <c r="Q519" i="11"/>
  <c r="M519" i="11"/>
  <c r="AF519" i="11"/>
  <c r="V519" i="11"/>
  <c r="AD519" i="11"/>
  <c r="AN519" i="11"/>
  <c r="AJ519" i="11"/>
  <c r="L519" i="11"/>
  <c r="K519" i="11"/>
  <c r="N519" i="11"/>
  <c r="AL519" i="11"/>
  <c r="S519" i="11"/>
  <c r="AB519" i="11"/>
  <c r="T519" i="11"/>
  <c r="O519" i="11"/>
  <c r="AA519" i="11"/>
  <c r="AC519" i="11"/>
  <c r="AG519" i="11"/>
  <c r="W519" i="11"/>
  <c r="AI519" i="11"/>
  <c r="AP519" i="11"/>
  <c r="R519" i="11"/>
  <c r="AE519" i="11"/>
  <c r="AH519" i="11"/>
  <c r="Y519" i="11"/>
  <c r="AM519" i="11"/>
  <c r="J519" i="11"/>
  <c r="Z519" i="11"/>
  <c r="S487" i="11"/>
  <c r="AM487" i="11"/>
  <c r="AF487" i="11"/>
  <c r="J487" i="11"/>
  <c r="AG487" i="11"/>
  <c r="AA487" i="11"/>
  <c r="N487" i="11"/>
  <c r="AP487" i="11"/>
  <c r="AN487" i="11"/>
  <c r="AI487" i="11"/>
  <c r="Z487" i="11"/>
  <c r="Y487" i="11"/>
  <c r="M487" i="11"/>
  <c r="L487" i="11"/>
  <c r="AK487" i="11"/>
  <c r="I487" i="11"/>
  <c r="AO487" i="11"/>
  <c r="T487" i="11"/>
  <c r="P487" i="11"/>
  <c r="AC487" i="11"/>
  <c r="V487" i="11"/>
  <c r="O487" i="11"/>
  <c r="AB487" i="11"/>
  <c r="Q487" i="11"/>
  <c r="X487" i="11"/>
  <c r="W487" i="11"/>
  <c r="AL487" i="11"/>
  <c r="AH487" i="11"/>
  <c r="R487" i="11"/>
  <c r="K487" i="11"/>
  <c r="AE487" i="11"/>
  <c r="U487" i="11"/>
  <c r="AJ487" i="11"/>
  <c r="AD487" i="11"/>
  <c r="K450" i="11"/>
  <c r="X450" i="11"/>
  <c r="AJ450" i="11"/>
  <c r="O450" i="11"/>
  <c r="AP450" i="11"/>
  <c r="AD450" i="11"/>
  <c r="L450" i="11"/>
  <c r="W450" i="11"/>
  <c r="N450" i="11"/>
  <c r="S450" i="11"/>
  <c r="Y450" i="11"/>
  <c r="AE450" i="11"/>
  <c r="AA450" i="11"/>
  <c r="AF450" i="11"/>
  <c r="AL450" i="11"/>
  <c r="AM450" i="11"/>
  <c r="AN450" i="11"/>
  <c r="T450" i="11"/>
  <c r="M450" i="11"/>
  <c r="J450" i="11"/>
  <c r="P450" i="11"/>
  <c r="AG450" i="11"/>
  <c r="U450" i="11"/>
  <c r="R450" i="11"/>
  <c r="AB450" i="11"/>
  <c r="I450" i="11"/>
  <c r="AC450" i="11"/>
  <c r="Z450" i="11"/>
  <c r="AO450" i="11"/>
  <c r="V450" i="11"/>
  <c r="AK450" i="11"/>
  <c r="AH450" i="11"/>
  <c r="Q450" i="11"/>
  <c r="AI450" i="11"/>
  <c r="AE418" i="11"/>
  <c r="AB418" i="11"/>
  <c r="V418" i="11"/>
  <c r="N418" i="11"/>
  <c r="AM418" i="11"/>
  <c r="AJ418" i="11"/>
  <c r="AI418" i="11"/>
  <c r="S418" i="11"/>
  <c r="P418" i="11"/>
  <c r="R418" i="11"/>
  <c r="K418" i="11"/>
  <c r="Z418" i="11"/>
  <c r="X418" i="11"/>
  <c r="AD418" i="11"/>
  <c r="Y418" i="11"/>
  <c r="AA418" i="11"/>
  <c r="AF418" i="11"/>
  <c r="I418" i="11"/>
  <c r="AK418" i="11"/>
  <c r="AG418" i="11"/>
  <c r="AN418" i="11"/>
  <c r="U418" i="11"/>
  <c r="Q418" i="11"/>
  <c r="AL418" i="11"/>
  <c r="O418" i="11"/>
  <c r="L418" i="11"/>
  <c r="AH418" i="11"/>
  <c r="AC418" i="11"/>
  <c r="M418" i="11"/>
  <c r="W418" i="11"/>
  <c r="T418" i="11"/>
  <c r="J418" i="11"/>
  <c r="AP418" i="11"/>
  <c r="AO418" i="11"/>
  <c r="M386" i="11"/>
  <c r="P386" i="11"/>
  <c r="AO386" i="11"/>
  <c r="AI386" i="11"/>
  <c r="AD386" i="11"/>
  <c r="U386" i="11"/>
  <c r="X386" i="11"/>
  <c r="L386" i="11"/>
  <c r="R386" i="11"/>
  <c r="AA386" i="11"/>
  <c r="AC386" i="11"/>
  <c r="AF386" i="11"/>
  <c r="T386" i="11"/>
  <c r="AL386" i="11"/>
  <c r="AK386" i="11"/>
  <c r="AN386" i="11"/>
  <c r="AB386" i="11"/>
  <c r="S386" i="11"/>
  <c r="O386" i="11"/>
  <c r="I386" i="11"/>
  <c r="AJ386" i="11"/>
  <c r="AP386" i="11"/>
  <c r="W386" i="11"/>
  <c r="Q386" i="11"/>
  <c r="K386" i="11"/>
  <c r="V386" i="11"/>
  <c r="AE386" i="11"/>
  <c r="Y386" i="11"/>
  <c r="AH386" i="11"/>
  <c r="Z386" i="11"/>
  <c r="AM386" i="11"/>
  <c r="AG386" i="11"/>
  <c r="N386" i="11"/>
  <c r="J386" i="11"/>
  <c r="S354" i="11"/>
  <c r="V354" i="11"/>
  <c r="AN354" i="11"/>
  <c r="AG354" i="11"/>
  <c r="AA354" i="11"/>
  <c r="AJ354" i="11"/>
  <c r="X354" i="11"/>
  <c r="AO354" i="11"/>
  <c r="J354" i="11"/>
  <c r="W354" i="11"/>
  <c r="AD354" i="11"/>
  <c r="N354" i="11"/>
  <c r="R354" i="11"/>
  <c r="AE354" i="11"/>
  <c r="T354" i="11"/>
  <c r="L354" i="11"/>
  <c r="Z354" i="11"/>
  <c r="AM354" i="11"/>
  <c r="AB354" i="11"/>
  <c r="AH354" i="11"/>
  <c r="I354" i="11"/>
  <c r="AC354" i="11"/>
  <c r="AP354" i="11"/>
  <c r="M354" i="11"/>
  <c r="P354" i="11"/>
  <c r="K354" i="11"/>
  <c r="Y354" i="11"/>
  <c r="AK354" i="11"/>
  <c r="AI354" i="11"/>
  <c r="AL354" i="11"/>
  <c r="U354" i="11"/>
  <c r="O354" i="11"/>
  <c r="Q354" i="11"/>
  <c r="AF354" i="11"/>
  <c r="AJ322" i="11"/>
  <c r="V322" i="11"/>
  <c r="AP322" i="11"/>
  <c r="Q322" i="11"/>
  <c r="P322" i="11"/>
  <c r="AH322" i="11"/>
  <c r="M322" i="11"/>
  <c r="W322" i="11"/>
  <c r="T322" i="11"/>
  <c r="AB322" i="11"/>
  <c r="AC322" i="11"/>
  <c r="J322" i="11"/>
  <c r="X322" i="11"/>
  <c r="AM322" i="11"/>
  <c r="AO322" i="11"/>
  <c r="AF322" i="11"/>
  <c r="R322" i="11"/>
  <c r="N322" i="11"/>
  <c r="K322" i="11"/>
  <c r="AN322" i="11"/>
  <c r="AL322" i="11"/>
  <c r="AD322" i="11"/>
  <c r="S322" i="11"/>
  <c r="U322" i="11"/>
  <c r="Y322" i="11"/>
  <c r="Z322" i="11"/>
  <c r="AA322" i="11"/>
  <c r="AG322" i="11"/>
  <c r="AE322" i="11"/>
  <c r="AK322" i="11"/>
  <c r="L322" i="11"/>
  <c r="I322" i="11"/>
  <c r="AI322" i="11"/>
  <c r="O322" i="11"/>
  <c r="P290" i="11"/>
  <c r="W290" i="11"/>
  <c r="AE290" i="11"/>
  <c r="AL290" i="11"/>
  <c r="X290" i="11"/>
  <c r="AH290" i="11"/>
  <c r="Y290" i="11"/>
  <c r="R290" i="11"/>
  <c r="AD290" i="11"/>
  <c r="S290" i="11"/>
  <c r="V290" i="11"/>
  <c r="N290" i="11"/>
  <c r="O290" i="11"/>
  <c r="L290" i="11"/>
  <c r="AG290" i="11"/>
  <c r="AO290" i="11"/>
  <c r="T290" i="11"/>
  <c r="J290" i="11"/>
  <c r="U290" i="11"/>
  <c r="AB290" i="11"/>
  <c r="Q290" i="11"/>
  <c r="Z290" i="11"/>
  <c r="AJ290" i="11"/>
  <c r="AC290" i="11"/>
  <c r="AA290" i="11"/>
  <c r="AF290" i="11"/>
  <c r="AM290" i="11"/>
  <c r="AI290" i="11"/>
  <c r="K290" i="11"/>
  <c r="AP290" i="11"/>
  <c r="AN290" i="11"/>
  <c r="M290" i="11"/>
  <c r="AK290" i="11"/>
  <c r="I290" i="11"/>
  <c r="O258" i="11"/>
  <c r="V258" i="11"/>
  <c r="AG258" i="11"/>
  <c r="T258" i="11"/>
  <c r="Z258" i="11"/>
  <c r="AE258" i="11"/>
  <c r="K258" i="11"/>
  <c r="R258" i="11"/>
  <c r="Y258" i="11"/>
  <c r="X258" i="11"/>
  <c r="AC258" i="11"/>
  <c r="AH258" i="11"/>
  <c r="AL258" i="11"/>
  <c r="AF258" i="11"/>
  <c r="AP258" i="11"/>
  <c r="AB258" i="11"/>
  <c r="AO258" i="11"/>
  <c r="L258" i="11"/>
  <c r="P258" i="11"/>
  <c r="AN258" i="11"/>
  <c r="W258" i="11"/>
  <c r="M258" i="11"/>
  <c r="AA258" i="11"/>
  <c r="S258" i="11"/>
  <c r="AD258" i="11"/>
  <c r="U258" i="11"/>
  <c r="AI258" i="11"/>
  <c r="AJ258" i="11"/>
  <c r="Q258" i="11"/>
  <c r="AK258" i="11"/>
  <c r="I258" i="11"/>
  <c r="J258" i="11"/>
  <c r="N258" i="11"/>
  <c r="AM258" i="11"/>
  <c r="AC678" i="11"/>
  <c r="AO678" i="11"/>
  <c r="K678" i="11"/>
  <c r="T678" i="11"/>
  <c r="X678" i="11"/>
  <c r="Q678" i="11"/>
  <c r="R678" i="11"/>
  <c r="N678" i="11"/>
  <c r="I678" i="11"/>
  <c r="AM678" i="11"/>
  <c r="AH678" i="11"/>
  <c r="AF678" i="11"/>
  <c r="Y678" i="11"/>
  <c r="AI678" i="11"/>
  <c r="AJ678" i="11"/>
  <c r="AE678" i="11"/>
  <c r="S678" i="11"/>
  <c r="L678" i="11"/>
  <c r="P678" i="11"/>
  <c r="AA678" i="11"/>
  <c r="AK678" i="11"/>
  <c r="V678" i="11"/>
  <c r="M678" i="11"/>
  <c r="AD678" i="11"/>
  <c r="O678" i="11"/>
  <c r="AL678" i="11"/>
  <c r="AB678" i="11"/>
  <c r="J678" i="11"/>
  <c r="U678" i="11"/>
  <c r="AN678" i="11"/>
  <c r="Z678" i="11"/>
  <c r="AG678" i="11"/>
  <c r="AP678" i="11"/>
  <c r="W678" i="11"/>
  <c r="AE646" i="11"/>
  <c r="AF646" i="11"/>
  <c r="Q646" i="11"/>
  <c r="M646" i="11"/>
  <c r="AD646" i="11"/>
  <c r="Z646" i="11"/>
  <c r="Y646" i="11"/>
  <c r="AB646" i="11"/>
  <c r="R646" i="11"/>
  <c r="K646" i="11"/>
  <c r="AO646" i="11"/>
  <c r="O646" i="11"/>
  <c r="T646" i="11"/>
  <c r="AA646" i="11"/>
  <c r="J646" i="11"/>
  <c r="AN646" i="11"/>
  <c r="AH646" i="11"/>
  <c r="X646" i="11"/>
  <c r="AP646" i="11"/>
  <c r="AI646" i="11"/>
  <c r="N646" i="11"/>
  <c r="S646" i="11"/>
  <c r="I646" i="11"/>
  <c r="V646" i="11"/>
  <c r="AG646" i="11"/>
  <c r="AJ646" i="11"/>
  <c r="AL646" i="11"/>
  <c r="L646" i="11"/>
  <c r="P646" i="11"/>
  <c r="W646" i="11"/>
  <c r="AK646" i="11"/>
  <c r="U646" i="11"/>
  <c r="AM646" i="11"/>
  <c r="AC646" i="11"/>
  <c r="AM614" i="11"/>
  <c r="AI614" i="11"/>
  <c r="AC614" i="11"/>
  <c r="R614" i="11"/>
  <c r="AF614" i="11"/>
  <c r="AJ614" i="11"/>
  <c r="AB614" i="11"/>
  <c r="N614" i="11"/>
  <c r="AN614" i="11"/>
  <c r="L614" i="11"/>
  <c r="I614" i="11"/>
  <c r="T614" i="11"/>
  <c r="AE614" i="11"/>
  <c r="AA614" i="11"/>
  <c r="Q614" i="11"/>
  <c r="AG614" i="11"/>
  <c r="V614" i="11"/>
  <c r="Z614" i="11"/>
  <c r="O614" i="11"/>
  <c r="Y614" i="11"/>
  <c r="AH614" i="11"/>
  <c r="W614" i="11"/>
  <c r="AK614" i="11"/>
  <c r="AO614" i="11"/>
  <c r="P614" i="11"/>
  <c r="AP614" i="11"/>
  <c r="X614" i="11"/>
  <c r="U614" i="11"/>
  <c r="K614" i="11"/>
  <c r="AD614" i="11"/>
  <c r="S614" i="11"/>
  <c r="M614" i="11"/>
  <c r="J614" i="11"/>
  <c r="AL614" i="11"/>
  <c r="AE582" i="11"/>
  <c r="AA582" i="11"/>
  <c r="Y582" i="11"/>
  <c r="N582" i="11"/>
  <c r="AF582" i="11"/>
  <c r="J582" i="11"/>
  <c r="AL582" i="11"/>
  <c r="AO582" i="11"/>
  <c r="W582" i="11"/>
  <c r="T582" i="11"/>
  <c r="Q582" i="11"/>
  <c r="AH582" i="11"/>
  <c r="X582" i="11"/>
  <c r="AJ582" i="11"/>
  <c r="U582" i="11"/>
  <c r="AN582" i="11"/>
  <c r="L582" i="11"/>
  <c r="AB582" i="11"/>
  <c r="O582" i="11"/>
  <c r="AI582" i="11"/>
  <c r="Z582" i="11"/>
  <c r="R582" i="11"/>
  <c r="P582" i="11"/>
  <c r="AP582" i="11"/>
  <c r="K582" i="11"/>
  <c r="AD582" i="11"/>
  <c r="S582" i="11"/>
  <c r="I582" i="11"/>
  <c r="AG582" i="11"/>
  <c r="V582" i="11"/>
  <c r="AK582" i="11"/>
  <c r="M582" i="11"/>
  <c r="AM582" i="11"/>
  <c r="AC582" i="11"/>
  <c r="J550" i="11"/>
  <c r="AK550" i="11"/>
  <c r="AD550" i="11"/>
  <c r="W550" i="11"/>
  <c r="L550" i="11"/>
  <c r="AP550" i="11"/>
  <c r="O550" i="11"/>
  <c r="T550" i="11"/>
  <c r="AE550" i="11"/>
  <c r="X550" i="11"/>
  <c r="AL550" i="11"/>
  <c r="AA550" i="11"/>
  <c r="AH550" i="11"/>
  <c r="AJ550" i="11"/>
  <c r="AO550" i="11"/>
  <c r="M550" i="11"/>
  <c r="S550" i="11"/>
  <c r="K550" i="11"/>
  <c r="N550" i="11"/>
  <c r="AF550" i="11"/>
  <c r="Q550" i="11"/>
  <c r="Y550" i="11"/>
  <c r="AN550" i="11"/>
  <c r="P550" i="11"/>
  <c r="R550" i="11"/>
  <c r="V550" i="11"/>
  <c r="Z550" i="11"/>
  <c r="AM550" i="11"/>
  <c r="U550" i="11"/>
  <c r="AB550" i="11"/>
  <c r="AC550" i="11"/>
  <c r="I550" i="11"/>
  <c r="AI550" i="11"/>
  <c r="AG550" i="11"/>
  <c r="Q518" i="11"/>
  <c r="AP518" i="11"/>
  <c r="AE518" i="11"/>
  <c r="AI518" i="11"/>
  <c r="AN518" i="11"/>
  <c r="J518" i="11"/>
  <c r="AK518" i="11"/>
  <c r="L518" i="11"/>
  <c r="V518" i="11"/>
  <c r="I518" i="11"/>
  <c r="U518" i="11"/>
  <c r="X518" i="11"/>
  <c r="AB518" i="11"/>
  <c r="AO518" i="11"/>
  <c r="AD518" i="11"/>
  <c r="N518" i="11"/>
  <c r="R518" i="11"/>
  <c r="S518" i="11"/>
  <c r="AM518" i="11"/>
  <c r="M518" i="11"/>
  <c r="AJ518" i="11"/>
  <c r="AA518" i="11"/>
  <c r="AG518" i="11"/>
  <c r="AF518" i="11"/>
  <c r="Z518" i="11"/>
  <c r="T518" i="11"/>
  <c r="AH518" i="11"/>
  <c r="O518" i="11"/>
  <c r="AC518" i="11"/>
  <c r="P518" i="11"/>
  <c r="K518" i="11"/>
  <c r="W518" i="11"/>
  <c r="Y518" i="11"/>
  <c r="AL518" i="11"/>
  <c r="AL486" i="11"/>
  <c r="AI486" i="11"/>
  <c r="AN486" i="11"/>
  <c r="R486" i="11"/>
  <c r="AK486" i="11"/>
  <c r="AG486" i="11"/>
  <c r="P486" i="11"/>
  <c r="L486" i="11"/>
  <c r="I486" i="11"/>
  <c r="AJ486" i="11"/>
  <c r="Z486" i="11"/>
  <c r="Q486" i="11"/>
  <c r="AB486" i="11"/>
  <c r="AA486" i="11"/>
  <c r="M486" i="11"/>
  <c r="Y486" i="11"/>
  <c r="AP486" i="11"/>
  <c r="AF486" i="11"/>
  <c r="U486" i="11"/>
  <c r="AO486" i="11"/>
  <c r="S486" i="11"/>
  <c r="AH486" i="11"/>
  <c r="AC486" i="11"/>
  <c r="J486" i="11"/>
  <c r="T486" i="11"/>
  <c r="N486" i="11"/>
  <c r="W486" i="11"/>
  <c r="AE486" i="11"/>
  <c r="V486" i="11"/>
  <c r="K486" i="11"/>
  <c r="AM486" i="11"/>
  <c r="AD486" i="11"/>
  <c r="X486" i="11"/>
  <c r="O486" i="11"/>
  <c r="J437" i="11"/>
  <c r="AD437" i="11"/>
  <c r="AM437" i="11"/>
  <c r="AG437" i="11"/>
  <c r="R437" i="11"/>
  <c r="AH437" i="11"/>
  <c r="M437" i="11"/>
  <c r="P437" i="11"/>
  <c r="AO437" i="11"/>
  <c r="AL437" i="11"/>
  <c r="U437" i="11"/>
  <c r="X437" i="11"/>
  <c r="L437" i="11"/>
  <c r="S437" i="11"/>
  <c r="AC437" i="11"/>
  <c r="AF437" i="11"/>
  <c r="T437" i="11"/>
  <c r="AP437" i="11"/>
  <c r="AK437" i="11"/>
  <c r="AN437" i="11"/>
  <c r="AB437" i="11"/>
  <c r="V437" i="11"/>
  <c r="O437" i="11"/>
  <c r="I437" i="11"/>
  <c r="AJ437" i="11"/>
  <c r="Z437" i="11"/>
  <c r="W437" i="11"/>
  <c r="Q437" i="11"/>
  <c r="N437" i="11"/>
  <c r="AA437" i="11"/>
  <c r="AE437" i="11"/>
  <c r="Y437" i="11"/>
  <c r="AI437" i="11"/>
  <c r="K437" i="11"/>
  <c r="Z405" i="11"/>
  <c r="X405" i="11"/>
  <c r="AE405" i="11"/>
  <c r="AF405" i="11"/>
  <c r="I405" i="11"/>
  <c r="AH405" i="11"/>
  <c r="AK405" i="11"/>
  <c r="K405" i="11"/>
  <c r="AI405" i="11"/>
  <c r="R405" i="11"/>
  <c r="AB405" i="11"/>
  <c r="T405" i="11"/>
  <c r="AP405" i="11"/>
  <c r="AN405" i="11"/>
  <c r="U405" i="11"/>
  <c r="N405" i="11"/>
  <c r="P405" i="11"/>
  <c r="AA405" i="11"/>
  <c r="Q405" i="11"/>
  <c r="V405" i="11"/>
  <c r="AC405" i="11"/>
  <c r="Y405" i="11"/>
  <c r="AD405" i="11"/>
  <c r="S405" i="11"/>
  <c r="AG405" i="11"/>
  <c r="AL405" i="11"/>
  <c r="W405" i="11"/>
  <c r="AO405" i="11"/>
  <c r="L405" i="11"/>
  <c r="AJ405" i="11"/>
  <c r="J405" i="11"/>
  <c r="O405" i="11"/>
  <c r="M405" i="11"/>
  <c r="AM405" i="11"/>
  <c r="Y373" i="11"/>
  <c r="AE373" i="11"/>
  <c r="AD373" i="11"/>
  <c r="AI373" i="11"/>
  <c r="AG373" i="11"/>
  <c r="AP373" i="11"/>
  <c r="R373" i="11"/>
  <c r="AN373" i="11"/>
  <c r="M373" i="11"/>
  <c r="AO373" i="11"/>
  <c r="U373" i="11"/>
  <c r="P373" i="11"/>
  <c r="X373" i="11"/>
  <c r="W373" i="11"/>
  <c r="AC373" i="11"/>
  <c r="AA373" i="11"/>
  <c r="AM373" i="11"/>
  <c r="AJ373" i="11"/>
  <c r="AK373" i="11"/>
  <c r="AL373" i="11"/>
  <c r="I373" i="11"/>
  <c r="J373" i="11"/>
  <c r="AB373" i="11"/>
  <c r="Z373" i="11"/>
  <c r="Q373" i="11"/>
  <c r="T373" i="11"/>
  <c r="O373" i="11"/>
  <c r="AH373" i="11"/>
  <c r="K373" i="11"/>
  <c r="N373" i="11"/>
  <c r="AF373" i="11"/>
  <c r="V373" i="11"/>
  <c r="S373" i="11"/>
  <c r="L373" i="11"/>
  <c r="AC341" i="11"/>
  <c r="AD341" i="11"/>
  <c r="AE341" i="11"/>
  <c r="AN341" i="11"/>
  <c r="AK341" i="11"/>
  <c r="AP341" i="11"/>
  <c r="N341" i="11"/>
  <c r="W341" i="11"/>
  <c r="L341" i="11"/>
  <c r="I341" i="11"/>
  <c r="S341" i="11"/>
  <c r="AH341" i="11"/>
  <c r="AA341" i="11"/>
  <c r="T341" i="11"/>
  <c r="Q341" i="11"/>
  <c r="AF341" i="11"/>
  <c r="O341" i="11"/>
  <c r="Z341" i="11"/>
  <c r="AB341" i="11"/>
  <c r="Y341" i="11"/>
  <c r="K341" i="11"/>
  <c r="AI341" i="11"/>
  <c r="AJ341" i="11"/>
  <c r="AG341" i="11"/>
  <c r="X341" i="11"/>
  <c r="R341" i="11"/>
  <c r="M341" i="11"/>
  <c r="AO341" i="11"/>
  <c r="AL341" i="11"/>
  <c r="AM341" i="11"/>
  <c r="U341" i="11"/>
  <c r="P341" i="11"/>
  <c r="J341" i="11"/>
  <c r="V341" i="11"/>
  <c r="N309" i="11"/>
  <c r="AP309" i="11"/>
  <c r="AA309" i="11"/>
  <c r="AF309" i="11"/>
  <c r="V309" i="11"/>
  <c r="K309" i="11"/>
  <c r="AN309" i="11"/>
  <c r="I309" i="11"/>
  <c r="AD309" i="11"/>
  <c r="X309" i="11"/>
  <c r="P309" i="11"/>
  <c r="W309" i="11"/>
  <c r="AL309" i="11"/>
  <c r="AJ309" i="11"/>
  <c r="AB309" i="11"/>
  <c r="AI309" i="11"/>
  <c r="M309" i="11"/>
  <c r="J309" i="11"/>
  <c r="L309" i="11"/>
  <c r="AO309" i="11"/>
  <c r="AG309" i="11"/>
  <c r="U309" i="11"/>
  <c r="R309" i="11"/>
  <c r="Y309" i="11"/>
  <c r="Q309" i="11"/>
  <c r="T309" i="11"/>
  <c r="AC309" i="11"/>
  <c r="Z309" i="11"/>
  <c r="AM309" i="11"/>
  <c r="AE309" i="11"/>
  <c r="AK309" i="11"/>
  <c r="AH309" i="11"/>
  <c r="O309" i="11"/>
  <c r="S309" i="11"/>
  <c r="AD277" i="11"/>
  <c r="AB277" i="11"/>
  <c r="Y277" i="11"/>
  <c r="T277" i="11"/>
  <c r="AL277" i="11"/>
  <c r="AO277" i="11"/>
  <c r="O277" i="11"/>
  <c r="AA277" i="11"/>
  <c r="M277" i="11"/>
  <c r="J277" i="11"/>
  <c r="Q277" i="11"/>
  <c r="AI277" i="11"/>
  <c r="AG277" i="11"/>
  <c r="U277" i="11"/>
  <c r="R277" i="11"/>
  <c r="AE277" i="11"/>
  <c r="AM277" i="11"/>
  <c r="AF277" i="11"/>
  <c r="AC277" i="11"/>
  <c r="Z277" i="11"/>
  <c r="K277" i="11"/>
  <c r="I277" i="11"/>
  <c r="AK277" i="11"/>
  <c r="AH277" i="11"/>
  <c r="X277" i="11"/>
  <c r="AN277" i="11"/>
  <c r="N277" i="11"/>
  <c r="AP277" i="11"/>
  <c r="AJ277" i="11"/>
  <c r="L277" i="11"/>
  <c r="V277" i="11"/>
  <c r="P277" i="11"/>
  <c r="W277" i="11"/>
  <c r="S277" i="11"/>
  <c r="I245" i="11"/>
  <c r="AJ245" i="11"/>
  <c r="AD245" i="11"/>
  <c r="S245" i="11"/>
  <c r="Q245" i="11"/>
  <c r="J245" i="11"/>
  <c r="AC245" i="11"/>
  <c r="P245" i="11"/>
  <c r="Y245" i="11"/>
  <c r="V245" i="11"/>
  <c r="M245" i="11"/>
  <c r="Z245" i="11"/>
  <c r="AG245" i="11"/>
  <c r="AI245" i="11"/>
  <c r="AF245" i="11"/>
  <c r="AA245" i="11"/>
  <c r="O245" i="11"/>
  <c r="AO245" i="11"/>
  <c r="K245" i="11"/>
  <c r="U245" i="11"/>
  <c r="N245" i="11"/>
  <c r="W245" i="11"/>
  <c r="L245" i="11"/>
  <c r="X245" i="11"/>
  <c r="AP245" i="11"/>
  <c r="AN245" i="11"/>
  <c r="AE245" i="11"/>
  <c r="T245" i="11"/>
  <c r="AK245" i="11"/>
  <c r="AH245" i="11"/>
  <c r="AM245" i="11"/>
  <c r="AB245" i="11"/>
  <c r="R245" i="11"/>
  <c r="AL245" i="11"/>
  <c r="S665" i="11"/>
  <c r="AM665" i="11"/>
  <c r="V665" i="11"/>
  <c r="W665" i="11"/>
  <c r="P665" i="11"/>
  <c r="O665" i="11"/>
  <c r="AE665" i="11"/>
  <c r="L665" i="11"/>
  <c r="AA665" i="11"/>
  <c r="Z665" i="11"/>
  <c r="AK665" i="11"/>
  <c r="X665" i="11"/>
  <c r="Q665" i="11"/>
  <c r="AO665" i="11"/>
  <c r="AI665" i="11"/>
  <c r="AF665" i="11"/>
  <c r="AL665" i="11"/>
  <c r="AN665" i="11"/>
  <c r="J665" i="11"/>
  <c r="T665" i="11"/>
  <c r="U665" i="11"/>
  <c r="AB665" i="11"/>
  <c r="AP665" i="11"/>
  <c r="AJ665" i="11"/>
  <c r="AH665" i="11"/>
  <c r="AG665" i="11"/>
  <c r="N665" i="11"/>
  <c r="R665" i="11"/>
  <c r="AD665" i="11"/>
  <c r="M665" i="11"/>
  <c r="AC665" i="11"/>
  <c r="K665" i="11"/>
  <c r="Y665" i="11"/>
  <c r="I665" i="11"/>
  <c r="J633" i="11"/>
  <c r="R633" i="11"/>
  <c r="X633" i="11"/>
  <c r="AO633" i="11"/>
  <c r="L633" i="11"/>
  <c r="O633" i="11"/>
  <c r="I633" i="11"/>
  <c r="AK633" i="11"/>
  <c r="AA633" i="11"/>
  <c r="AI633" i="11"/>
  <c r="AC633" i="11"/>
  <c r="N633" i="11"/>
  <c r="Q633" i="11"/>
  <c r="AF633" i="11"/>
  <c r="T633" i="11"/>
  <c r="Y633" i="11"/>
  <c r="W633" i="11"/>
  <c r="AM633" i="11"/>
  <c r="M633" i="11"/>
  <c r="U633" i="11"/>
  <c r="AL633" i="11"/>
  <c r="AG633" i="11"/>
  <c r="S633" i="11"/>
  <c r="K633" i="11"/>
  <c r="V633" i="11"/>
  <c r="AH633" i="11"/>
  <c r="P633" i="11"/>
  <c r="AD633" i="11"/>
  <c r="AE633" i="11"/>
  <c r="AJ633" i="11"/>
  <c r="AP633" i="11"/>
  <c r="AB633" i="11"/>
  <c r="AN633" i="11"/>
  <c r="Z633" i="11"/>
  <c r="AO601" i="11"/>
  <c r="AC601" i="11"/>
  <c r="AJ601" i="11"/>
  <c r="AB601" i="11"/>
  <c r="I601" i="11"/>
  <c r="AH601" i="11"/>
  <c r="S601" i="11"/>
  <c r="AM601" i="11"/>
  <c r="R601" i="11"/>
  <c r="AE601" i="11"/>
  <c r="X601" i="11"/>
  <c r="Q601" i="11"/>
  <c r="U601" i="11"/>
  <c r="AI601" i="11"/>
  <c r="Y601" i="11"/>
  <c r="AD601" i="11"/>
  <c r="AF601" i="11"/>
  <c r="AG601" i="11"/>
  <c r="K601" i="11"/>
  <c r="J601" i="11"/>
  <c r="W601" i="11"/>
  <c r="Z601" i="11"/>
  <c r="N601" i="11"/>
  <c r="AP601" i="11"/>
  <c r="T601" i="11"/>
  <c r="M601" i="11"/>
  <c r="V601" i="11"/>
  <c r="AK601" i="11"/>
  <c r="AN601" i="11"/>
  <c r="P601" i="11"/>
  <c r="L601" i="11"/>
  <c r="AA601" i="11"/>
  <c r="AL601" i="11"/>
  <c r="O601" i="11"/>
  <c r="Q569" i="11"/>
  <c r="AK569" i="11"/>
  <c r="AH569" i="11"/>
  <c r="AO569" i="11"/>
  <c r="AL569" i="11"/>
  <c r="AJ569" i="11"/>
  <c r="AN569" i="11"/>
  <c r="K569" i="11"/>
  <c r="AG569" i="11"/>
  <c r="AC569" i="11"/>
  <c r="W569" i="11"/>
  <c r="N569" i="11"/>
  <c r="P569" i="11"/>
  <c r="AI569" i="11"/>
  <c r="AM569" i="11"/>
  <c r="X569" i="11"/>
  <c r="Y569" i="11"/>
  <c r="Z569" i="11"/>
  <c r="L569" i="11"/>
  <c r="AF569" i="11"/>
  <c r="O569" i="11"/>
  <c r="AP569" i="11"/>
  <c r="T569" i="11"/>
  <c r="R569" i="11"/>
  <c r="AA569" i="11"/>
  <c r="AB569" i="11"/>
  <c r="I569" i="11"/>
  <c r="S569" i="11"/>
  <c r="M569" i="11"/>
  <c r="V569" i="11"/>
  <c r="AD569" i="11"/>
  <c r="U569" i="11"/>
  <c r="J569" i="11"/>
  <c r="AE569" i="11"/>
  <c r="AJ537" i="11"/>
  <c r="AM537" i="11"/>
  <c r="AN537" i="11"/>
  <c r="AI537" i="11"/>
  <c r="AK537" i="11"/>
  <c r="V537" i="11"/>
  <c r="AA537" i="11"/>
  <c r="AL537" i="11"/>
  <c r="U537" i="11"/>
  <c r="AH537" i="11"/>
  <c r="P537" i="11"/>
  <c r="AC537" i="11"/>
  <c r="N537" i="11"/>
  <c r="K537" i="11"/>
  <c r="O537" i="11"/>
  <c r="Z537" i="11"/>
  <c r="Q537" i="11"/>
  <c r="W537" i="11"/>
  <c r="R537" i="11"/>
  <c r="X537" i="11"/>
  <c r="L537" i="11"/>
  <c r="AE537" i="11"/>
  <c r="AO537" i="11"/>
  <c r="AP537" i="11"/>
  <c r="T537" i="11"/>
  <c r="S537" i="11"/>
  <c r="Y537" i="11"/>
  <c r="AF537" i="11"/>
  <c r="AB537" i="11"/>
  <c r="AG537" i="11"/>
  <c r="J537" i="11"/>
  <c r="M537" i="11"/>
  <c r="I537" i="11"/>
  <c r="AD537" i="11"/>
  <c r="AH505" i="11"/>
  <c r="AD505" i="11"/>
  <c r="P505" i="11"/>
  <c r="AN505" i="11"/>
  <c r="AA505" i="11"/>
  <c r="AJ505" i="11"/>
  <c r="AG505" i="11"/>
  <c r="AE505" i="11"/>
  <c r="J505" i="11"/>
  <c r="V505" i="11"/>
  <c r="AO505" i="11"/>
  <c r="AF505" i="11"/>
  <c r="R505" i="11"/>
  <c r="AL505" i="11"/>
  <c r="O505" i="11"/>
  <c r="Z505" i="11"/>
  <c r="I505" i="11"/>
  <c r="Q505" i="11"/>
  <c r="AP505" i="11"/>
  <c r="W505" i="11"/>
  <c r="AM505" i="11"/>
  <c r="K505" i="11"/>
  <c r="L505" i="11"/>
  <c r="T505" i="11"/>
  <c r="S505" i="11"/>
  <c r="X505" i="11"/>
  <c r="Y505" i="11"/>
  <c r="AI505" i="11"/>
  <c r="AK505" i="11"/>
  <c r="AB505" i="11"/>
  <c r="N505" i="11"/>
  <c r="AC505" i="11"/>
  <c r="M505" i="11"/>
  <c r="U505" i="11"/>
  <c r="AG473" i="11"/>
  <c r="U473" i="11"/>
  <c r="X473" i="11"/>
  <c r="P473" i="11"/>
  <c r="Z473" i="11"/>
  <c r="AE473" i="11"/>
  <c r="N473" i="11"/>
  <c r="O473" i="11"/>
  <c r="AP473" i="11"/>
  <c r="AL473" i="11"/>
  <c r="AB473" i="11"/>
  <c r="I473" i="11"/>
  <c r="M473" i="11"/>
  <c r="W473" i="11"/>
  <c r="AD473" i="11"/>
  <c r="AO473" i="11"/>
  <c r="AF473" i="11"/>
  <c r="AN473" i="11"/>
  <c r="R473" i="11"/>
  <c r="AA473" i="11"/>
  <c r="AH473" i="11"/>
  <c r="AI473" i="11"/>
  <c r="AK473" i="11"/>
  <c r="AM473" i="11"/>
  <c r="Q473" i="11"/>
  <c r="S473" i="11"/>
  <c r="K473" i="11"/>
  <c r="Y473" i="11"/>
  <c r="T473" i="11"/>
  <c r="V473" i="11"/>
  <c r="J473" i="11"/>
  <c r="AC473" i="11"/>
  <c r="L473" i="11"/>
  <c r="AJ473" i="11"/>
  <c r="U436" i="11"/>
  <c r="AE436" i="11"/>
  <c r="R436" i="11"/>
  <c r="N436" i="11"/>
  <c r="M436" i="11"/>
  <c r="AM436" i="11"/>
  <c r="Z436" i="11"/>
  <c r="V436" i="11"/>
  <c r="AJ436" i="11"/>
  <c r="I436" i="11"/>
  <c r="AH436" i="11"/>
  <c r="AD436" i="11"/>
  <c r="P436" i="11"/>
  <c r="Q436" i="11"/>
  <c r="AP436" i="11"/>
  <c r="AL436" i="11"/>
  <c r="AK436" i="11"/>
  <c r="Y436" i="11"/>
  <c r="K436" i="11"/>
  <c r="AB436" i="11"/>
  <c r="T436" i="11"/>
  <c r="AG436" i="11"/>
  <c r="S436" i="11"/>
  <c r="AC436" i="11"/>
  <c r="AN436" i="11"/>
  <c r="O436" i="11"/>
  <c r="AO436" i="11"/>
  <c r="AA436" i="11"/>
  <c r="L436" i="11"/>
  <c r="X436" i="11"/>
  <c r="W436" i="11"/>
  <c r="J436" i="11"/>
  <c r="AI436" i="11"/>
  <c r="AF436" i="11"/>
  <c r="AI404" i="11"/>
  <c r="AN404" i="11"/>
  <c r="M404" i="11"/>
  <c r="R404" i="11"/>
  <c r="L404" i="11"/>
  <c r="U404" i="11"/>
  <c r="Y404" i="11"/>
  <c r="AE404" i="11"/>
  <c r="T404" i="11"/>
  <c r="AG404" i="11"/>
  <c r="AL404" i="11"/>
  <c r="Q404" i="11"/>
  <c r="AB404" i="11"/>
  <c r="I404" i="11"/>
  <c r="N404" i="11"/>
  <c r="AD404" i="11"/>
  <c r="AJ404" i="11"/>
  <c r="V404" i="11"/>
  <c r="Z404" i="11"/>
  <c r="AH404" i="11"/>
  <c r="K404" i="11"/>
  <c r="P404" i="11"/>
  <c r="J404" i="11"/>
  <c r="AM404" i="11"/>
  <c r="AP404" i="11"/>
  <c r="S404" i="11"/>
  <c r="X404" i="11"/>
  <c r="W404" i="11"/>
  <c r="O404" i="11"/>
  <c r="AA404" i="11"/>
  <c r="AF404" i="11"/>
  <c r="AK404" i="11"/>
  <c r="AC404" i="11"/>
  <c r="AO404" i="11"/>
  <c r="AA372" i="11"/>
  <c r="P372" i="11"/>
  <c r="AK372" i="11"/>
  <c r="AL372" i="11"/>
  <c r="AI372" i="11"/>
  <c r="AD372" i="11"/>
  <c r="N372" i="11"/>
  <c r="AO372" i="11"/>
  <c r="O372" i="11"/>
  <c r="R372" i="11"/>
  <c r="T372" i="11"/>
  <c r="AB372" i="11"/>
  <c r="M372" i="11"/>
  <c r="W372" i="11"/>
  <c r="AC372" i="11"/>
  <c r="AH372" i="11"/>
  <c r="AP372" i="11"/>
  <c r="J372" i="11"/>
  <c r="AE372" i="11"/>
  <c r="AN372" i="11"/>
  <c r="U372" i="11"/>
  <c r="Q372" i="11"/>
  <c r="AM372" i="11"/>
  <c r="L372" i="11"/>
  <c r="AJ372" i="11"/>
  <c r="Y372" i="11"/>
  <c r="K372" i="11"/>
  <c r="V372" i="11"/>
  <c r="I372" i="11"/>
  <c r="Z372" i="11"/>
  <c r="S372" i="11"/>
  <c r="AG372" i="11"/>
  <c r="X372" i="11"/>
  <c r="AF372" i="11"/>
  <c r="W340" i="11"/>
  <c r="Y340" i="11"/>
  <c r="Z340" i="11"/>
  <c r="AJ340" i="11"/>
  <c r="AE340" i="11"/>
  <c r="AK340" i="11"/>
  <c r="I340" i="11"/>
  <c r="U340" i="11"/>
  <c r="AL340" i="11"/>
  <c r="P340" i="11"/>
  <c r="AF340" i="11"/>
  <c r="O340" i="11"/>
  <c r="AB340" i="11"/>
  <c r="M340" i="11"/>
  <c r="AM340" i="11"/>
  <c r="AO340" i="11"/>
  <c r="AH340" i="11"/>
  <c r="K340" i="11"/>
  <c r="T340" i="11"/>
  <c r="Q340" i="11"/>
  <c r="S340" i="11"/>
  <c r="AG340" i="11"/>
  <c r="AP340" i="11"/>
  <c r="N340" i="11"/>
  <c r="AA340" i="11"/>
  <c r="X340" i="11"/>
  <c r="R340" i="11"/>
  <c r="V340" i="11"/>
  <c r="AI340" i="11"/>
  <c r="AC340" i="11"/>
  <c r="AN340" i="11"/>
  <c r="AD340" i="11"/>
  <c r="L340" i="11"/>
  <c r="J340" i="11"/>
  <c r="X308" i="11"/>
  <c r="W308" i="11"/>
  <c r="S308" i="11"/>
  <c r="AL308" i="11"/>
  <c r="AP308" i="11"/>
  <c r="L308" i="11"/>
  <c r="AF308" i="11"/>
  <c r="AH308" i="11"/>
  <c r="J308" i="11"/>
  <c r="T308" i="11"/>
  <c r="AN308" i="11"/>
  <c r="U308" i="11"/>
  <c r="AA308" i="11"/>
  <c r="K308" i="11"/>
  <c r="R308" i="11"/>
  <c r="AI308" i="11"/>
  <c r="AO308" i="11"/>
  <c r="V308" i="11"/>
  <c r="AB308" i="11"/>
  <c r="Y308" i="11"/>
  <c r="O308" i="11"/>
  <c r="AE308" i="11"/>
  <c r="AJ308" i="11"/>
  <c r="AK308" i="11"/>
  <c r="AD308" i="11"/>
  <c r="AM308" i="11"/>
  <c r="Q308" i="11"/>
  <c r="I308" i="11"/>
  <c r="AC308" i="11"/>
  <c r="P308" i="11"/>
  <c r="M308" i="11"/>
  <c r="AG308" i="11"/>
  <c r="Z308" i="11"/>
  <c r="N308" i="11"/>
  <c r="W276" i="11"/>
  <c r="T276" i="11"/>
  <c r="AL276" i="11"/>
  <c r="AC276" i="11"/>
  <c r="AD276" i="11"/>
  <c r="AE276" i="11"/>
  <c r="AB276" i="11"/>
  <c r="S276" i="11"/>
  <c r="AP276" i="11"/>
  <c r="AM276" i="11"/>
  <c r="AJ276" i="11"/>
  <c r="AG276" i="11"/>
  <c r="J276" i="11"/>
  <c r="P276" i="11"/>
  <c r="K276" i="11"/>
  <c r="Q276" i="11"/>
  <c r="N276" i="11"/>
  <c r="X276" i="11"/>
  <c r="Y276" i="11"/>
  <c r="AI276" i="11"/>
  <c r="U276" i="11"/>
  <c r="AF276" i="11"/>
  <c r="AK276" i="11"/>
  <c r="R276" i="11"/>
  <c r="V276" i="11"/>
  <c r="AN276" i="11"/>
  <c r="M276" i="11"/>
  <c r="AO276" i="11"/>
  <c r="AA276" i="11"/>
  <c r="O276" i="11"/>
  <c r="L276" i="11"/>
  <c r="Z276" i="11"/>
  <c r="I276" i="11"/>
  <c r="AH276" i="11"/>
  <c r="Q244" i="11"/>
  <c r="N244" i="11"/>
  <c r="M244" i="11"/>
  <c r="AH244" i="11"/>
  <c r="AN244" i="11"/>
  <c r="Y244" i="11"/>
  <c r="V244" i="11"/>
  <c r="Z244" i="11"/>
  <c r="AK244" i="11"/>
  <c r="AG244" i="11"/>
  <c r="AD244" i="11"/>
  <c r="AM244" i="11"/>
  <c r="U244" i="11"/>
  <c r="AO244" i="11"/>
  <c r="AL244" i="11"/>
  <c r="W244" i="11"/>
  <c r="J244" i="11"/>
  <c r="K244" i="11"/>
  <c r="R244" i="11"/>
  <c r="AP244" i="11"/>
  <c r="AC244" i="11"/>
  <c r="S244" i="11"/>
  <c r="AE244" i="11"/>
  <c r="X244" i="11"/>
  <c r="L244" i="11"/>
  <c r="AA244" i="11"/>
  <c r="T244" i="11"/>
  <c r="O244" i="11"/>
  <c r="P244" i="11"/>
  <c r="I244" i="11"/>
  <c r="AI244" i="11"/>
  <c r="AF244" i="11"/>
  <c r="AJ244" i="11"/>
  <c r="AB244" i="11"/>
  <c r="V668" i="11"/>
  <c r="AM668" i="11"/>
  <c r="AB668" i="11"/>
  <c r="S668" i="11"/>
  <c r="J668" i="11"/>
  <c r="AL668" i="11"/>
  <c r="AP668" i="11"/>
  <c r="P668" i="11"/>
  <c r="X668" i="11"/>
  <c r="I668" i="11"/>
  <c r="AH668" i="11"/>
  <c r="Q668" i="11"/>
  <c r="U668" i="11"/>
  <c r="AO668" i="11"/>
  <c r="AJ668" i="11"/>
  <c r="N668" i="11"/>
  <c r="AN668" i="11"/>
  <c r="AK668" i="11"/>
  <c r="T668" i="11"/>
  <c r="L668" i="11"/>
  <c r="AD668" i="11"/>
  <c r="M668" i="11"/>
  <c r="K668" i="11"/>
  <c r="AC668" i="11"/>
  <c r="AE668" i="11"/>
  <c r="AF668" i="11"/>
  <c r="O668" i="11"/>
  <c r="AG668" i="11"/>
  <c r="R668" i="11"/>
  <c r="Y668" i="11"/>
  <c r="AI668" i="11"/>
  <c r="Z668" i="11"/>
  <c r="AA668" i="11"/>
  <c r="W668" i="11"/>
  <c r="L636" i="11"/>
  <c r="X636" i="11"/>
  <c r="Q636" i="11"/>
  <c r="AC636" i="11"/>
  <c r="S636" i="11"/>
  <c r="Y636" i="11"/>
  <c r="AO636" i="11"/>
  <c r="Z636" i="11"/>
  <c r="V636" i="11"/>
  <c r="AN636" i="11"/>
  <c r="AP636" i="11"/>
  <c r="AM636" i="11"/>
  <c r="AE636" i="11"/>
  <c r="K636" i="11"/>
  <c r="O636" i="11"/>
  <c r="N636" i="11"/>
  <c r="W636" i="11"/>
  <c r="AL636" i="11"/>
  <c r="J636" i="11"/>
  <c r="M636" i="11"/>
  <c r="P636" i="11"/>
  <c r="AH636" i="11"/>
  <c r="T636" i="11"/>
  <c r="AA636" i="11"/>
  <c r="AF636" i="11"/>
  <c r="AI636" i="11"/>
  <c r="U636" i="11"/>
  <c r="I636" i="11"/>
  <c r="R636" i="11"/>
  <c r="AD636" i="11"/>
  <c r="AB636" i="11"/>
  <c r="AJ636" i="11"/>
  <c r="AK636" i="11"/>
  <c r="AG636" i="11"/>
  <c r="AG604" i="11"/>
  <c r="S604" i="11"/>
  <c r="W604" i="11"/>
  <c r="J604" i="11"/>
  <c r="AO604" i="11"/>
  <c r="T604" i="11"/>
  <c r="AD604" i="11"/>
  <c r="AH604" i="11"/>
  <c r="M604" i="11"/>
  <c r="AA604" i="11"/>
  <c r="Q604" i="11"/>
  <c r="AN604" i="11"/>
  <c r="AI604" i="11"/>
  <c r="AP604" i="11"/>
  <c r="V604" i="11"/>
  <c r="L604" i="11"/>
  <c r="X604" i="11"/>
  <c r="AL604" i="11"/>
  <c r="O604" i="11"/>
  <c r="U604" i="11"/>
  <c r="AE604" i="11"/>
  <c r="Y604" i="11"/>
  <c r="AM604" i="11"/>
  <c r="I604" i="11"/>
  <c r="AJ604" i="11"/>
  <c r="R604" i="11"/>
  <c r="AF604" i="11"/>
  <c r="AK604" i="11"/>
  <c r="N604" i="11"/>
  <c r="AC604" i="11"/>
  <c r="K604" i="11"/>
  <c r="P604" i="11"/>
  <c r="AB604" i="11"/>
  <c r="Z604" i="11"/>
  <c r="AE572" i="11"/>
  <c r="U572" i="11"/>
  <c r="Y572" i="11"/>
  <c r="T572" i="11"/>
  <c r="AM572" i="11"/>
  <c r="AI572" i="11"/>
  <c r="AC572" i="11"/>
  <c r="AK572" i="11"/>
  <c r="N572" i="11"/>
  <c r="J572" i="11"/>
  <c r="K572" i="11"/>
  <c r="L572" i="11"/>
  <c r="AA572" i="11"/>
  <c r="V572" i="11"/>
  <c r="R572" i="11"/>
  <c r="X572" i="11"/>
  <c r="AF572" i="11"/>
  <c r="AD572" i="11"/>
  <c r="Z572" i="11"/>
  <c r="AJ572" i="11"/>
  <c r="M572" i="11"/>
  <c r="AL572" i="11"/>
  <c r="AH572" i="11"/>
  <c r="P572" i="11"/>
  <c r="AG572" i="11"/>
  <c r="O572" i="11"/>
  <c r="AP572" i="11"/>
  <c r="AB572" i="11"/>
  <c r="S572" i="11"/>
  <c r="W572" i="11"/>
  <c r="I572" i="11"/>
  <c r="AO572" i="11"/>
  <c r="AN572" i="11"/>
  <c r="Q572" i="11"/>
  <c r="V540" i="11"/>
  <c r="Q540" i="11"/>
  <c r="AI540" i="11"/>
  <c r="K540" i="11"/>
  <c r="AK540" i="11"/>
  <c r="AD540" i="11"/>
  <c r="Y540" i="11"/>
  <c r="M540" i="11"/>
  <c r="AC540" i="11"/>
  <c r="AL540" i="11"/>
  <c r="AG540" i="11"/>
  <c r="AA540" i="11"/>
  <c r="P540" i="11"/>
  <c r="O540" i="11"/>
  <c r="AO540" i="11"/>
  <c r="AN540" i="11"/>
  <c r="AJ540" i="11"/>
  <c r="W540" i="11"/>
  <c r="T540" i="11"/>
  <c r="S540" i="11"/>
  <c r="R540" i="11"/>
  <c r="AE540" i="11"/>
  <c r="AH540" i="11"/>
  <c r="AP540" i="11"/>
  <c r="X540" i="11"/>
  <c r="AM540" i="11"/>
  <c r="J540" i="11"/>
  <c r="Z540" i="11"/>
  <c r="AF540" i="11"/>
  <c r="N540" i="11"/>
  <c r="I540" i="11"/>
  <c r="U540" i="11"/>
  <c r="AB540" i="11"/>
  <c r="L540" i="11"/>
  <c r="AJ508" i="11"/>
  <c r="AN508" i="11"/>
  <c r="AD508" i="11"/>
  <c r="Z508" i="11"/>
  <c r="AC508" i="11"/>
  <c r="AI508" i="11"/>
  <c r="AH508" i="11"/>
  <c r="N508" i="11"/>
  <c r="T508" i="11"/>
  <c r="X508" i="11"/>
  <c r="AL508" i="11"/>
  <c r="S508" i="11"/>
  <c r="AE508" i="11"/>
  <c r="AB508" i="11"/>
  <c r="AF508" i="11"/>
  <c r="Q508" i="11"/>
  <c r="AO508" i="11"/>
  <c r="K508" i="11"/>
  <c r="V508" i="11"/>
  <c r="L508" i="11"/>
  <c r="Y508" i="11"/>
  <c r="AG508" i="11"/>
  <c r="M508" i="11"/>
  <c r="AP508" i="11"/>
  <c r="U508" i="11"/>
  <c r="O508" i="11"/>
  <c r="AK508" i="11"/>
  <c r="R508" i="11"/>
  <c r="P508" i="11"/>
  <c r="AM508" i="11"/>
  <c r="J508" i="11"/>
  <c r="AA508" i="11"/>
  <c r="W508" i="11"/>
  <c r="I508" i="11"/>
  <c r="AB476" i="11"/>
  <c r="U476" i="11"/>
  <c r="N476" i="11"/>
  <c r="AC476" i="11"/>
  <c r="AA476" i="11"/>
  <c r="AE476" i="11"/>
  <c r="AL476" i="11"/>
  <c r="P476" i="11"/>
  <c r="O476" i="11"/>
  <c r="X476" i="11"/>
  <c r="V476" i="11"/>
  <c r="W476" i="11"/>
  <c r="AP476" i="11"/>
  <c r="AO476" i="11"/>
  <c r="S476" i="11"/>
  <c r="R476" i="11"/>
  <c r="AH476" i="11"/>
  <c r="AN476" i="11"/>
  <c r="AI476" i="11"/>
  <c r="AF476" i="11"/>
  <c r="AD476" i="11"/>
  <c r="T476" i="11"/>
  <c r="M476" i="11"/>
  <c r="I476" i="11"/>
  <c r="AJ476" i="11"/>
  <c r="Y476" i="11"/>
  <c r="J476" i="11"/>
  <c r="Q476" i="11"/>
  <c r="K476" i="11"/>
  <c r="L476" i="11"/>
  <c r="AM476" i="11"/>
  <c r="AG476" i="11"/>
  <c r="Z476" i="11"/>
  <c r="AK476" i="11"/>
  <c r="AE443" i="11"/>
  <c r="AI443" i="11"/>
  <c r="AN443" i="11"/>
  <c r="Y443" i="11"/>
  <c r="Q443" i="11"/>
  <c r="M443" i="11"/>
  <c r="I443" i="11"/>
  <c r="AL443" i="11"/>
  <c r="AD443" i="11"/>
  <c r="K443" i="11"/>
  <c r="AF443" i="11"/>
  <c r="Z443" i="11"/>
  <c r="S443" i="11"/>
  <c r="V443" i="11"/>
  <c r="AM443" i="11"/>
  <c r="AA443" i="11"/>
  <c r="AH443" i="11"/>
  <c r="O443" i="11"/>
  <c r="U443" i="11"/>
  <c r="J443" i="11"/>
  <c r="AB443" i="11"/>
  <c r="AC443" i="11"/>
  <c r="W443" i="11"/>
  <c r="AO443" i="11"/>
  <c r="AK443" i="11"/>
  <c r="AJ443" i="11"/>
  <c r="AP443" i="11"/>
  <c r="P443" i="11"/>
  <c r="L443" i="11"/>
  <c r="T443" i="11"/>
  <c r="X443" i="11"/>
  <c r="N443" i="11"/>
  <c r="AG443" i="11"/>
  <c r="R443" i="11"/>
  <c r="AD411" i="11"/>
  <c r="Y411" i="11"/>
  <c r="AF411" i="11"/>
  <c r="AG411" i="11"/>
  <c r="AL411" i="11"/>
  <c r="AM411" i="11"/>
  <c r="K411" i="11"/>
  <c r="AI411" i="11"/>
  <c r="V411" i="11"/>
  <c r="AB411" i="11"/>
  <c r="T411" i="11"/>
  <c r="J411" i="11"/>
  <c r="AO411" i="11"/>
  <c r="W411" i="11"/>
  <c r="R411" i="11"/>
  <c r="Q411" i="11"/>
  <c r="AA411" i="11"/>
  <c r="M411" i="11"/>
  <c r="Z411" i="11"/>
  <c r="AE411" i="11"/>
  <c r="I411" i="11"/>
  <c r="U411" i="11"/>
  <c r="AH411" i="11"/>
  <c r="S411" i="11"/>
  <c r="AC411" i="11"/>
  <c r="AP411" i="11"/>
  <c r="X411" i="11"/>
  <c r="AK411" i="11"/>
  <c r="L411" i="11"/>
  <c r="AJ411" i="11"/>
  <c r="N411" i="11"/>
  <c r="P411" i="11"/>
  <c r="O411" i="11"/>
  <c r="AN411" i="11"/>
  <c r="AF379" i="11"/>
  <c r="S379" i="11"/>
  <c r="V379" i="11"/>
  <c r="R379" i="11"/>
  <c r="T379" i="11"/>
  <c r="AA379" i="11"/>
  <c r="AD379" i="11"/>
  <c r="Z379" i="11"/>
  <c r="AO379" i="11"/>
  <c r="M379" i="11"/>
  <c r="AE379" i="11"/>
  <c r="AN379" i="11"/>
  <c r="U379" i="11"/>
  <c r="AM379" i="11"/>
  <c r="X379" i="11"/>
  <c r="AC379" i="11"/>
  <c r="J379" i="11"/>
  <c r="Y379" i="11"/>
  <c r="AK379" i="11"/>
  <c r="AH379" i="11"/>
  <c r="AB379" i="11"/>
  <c r="N379" i="11"/>
  <c r="AP379" i="11"/>
  <c r="L379" i="11"/>
  <c r="AL379" i="11"/>
  <c r="P379" i="11"/>
  <c r="AG379" i="11"/>
  <c r="K379" i="11"/>
  <c r="O379" i="11"/>
  <c r="AJ379" i="11"/>
  <c r="I379" i="11"/>
  <c r="AI379" i="11"/>
  <c r="W379" i="11"/>
  <c r="Q379" i="11"/>
  <c r="Q347" i="11"/>
  <c r="R347" i="11"/>
  <c r="AE347" i="11"/>
  <c r="AP347" i="11"/>
  <c r="Y347" i="11"/>
  <c r="AD347" i="11"/>
  <c r="N347" i="11"/>
  <c r="W347" i="11"/>
  <c r="AG347" i="11"/>
  <c r="T347" i="11"/>
  <c r="AI347" i="11"/>
  <c r="J347" i="11"/>
  <c r="P347" i="11"/>
  <c r="AO347" i="11"/>
  <c r="AH347" i="11"/>
  <c r="O347" i="11"/>
  <c r="AB347" i="11"/>
  <c r="X347" i="11"/>
  <c r="M347" i="11"/>
  <c r="L347" i="11"/>
  <c r="AJ347" i="11"/>
  <c r="AA347" i="11"/>
  <c r="AF347" i="11"/>
  <c r="U347" i="11"/>
  <c r="Z347" i="11"/>
  <c r="S347" i="11"/>
  <c r="AN347" i="11"/>
  <c r="AC347" i="11"/>
  <c r="AL347" i="11"/>
  <c r="AM347" i="11"/>
  <c r="I347" i="11"/>
  <c r="AK347" i="11"/>
  <c r="K347" i="11"/>
  <c r="V347" i="11"/>
  <c r="J315" i="11"/>
  <c r="AL315" i="11"/>
  <c r="AJ315" i="11"/>
  <c r="U315" i="11"/>
  <c r="R315" i="11"/>
  <c r="O315" i="11"/>
  <c r="L315" i="11"/>
  <c r="Z315" i="11"/>
  <c r="AB315" i="11"/>
  <c r="AF315" i="11"/>
  <c r="AE315" i="11"/>
  <c r="I315" i="11"/>
  <c r="AH315" i="11"/>
  <c r="AN315" i="11"/>
  <c r="S315" i="11"/>
  <c r="AM315" i="11"/>
  <c r="Q315" i="11"/>
  <c r="AP315" i="11"/>
  <c r="P315" i="11"/>
  <c r="AK315" i="11"/>
  <c r="Y315" i="11"/>
  <c r="N315" i="11"/>
  <c r="AC315" i="11"/>
  <c r="X315" i="11"/>
  <c r="AG315" i="11"/>
  <c r="V315" i="11"/>
  <c r="K315" i="11"/>
  <c r="M315" i="11"/>
  <c r="AO315" i="11"/>
  <c r="AD315" i="11"/>
  <c r="W315" i="11"/>
  <c r="T315" i="11"/>
  <c r="AA315" i="11"/>
  <c r="AI315" i="11"/>
  <c r="Z283" i="11"/>
  <c r="AC283" i="11"/>
  <c r="Y283" i="11"/>
  <c r="N283" i="11"/>
  <c r="AG283" i="11"/>
  <c r="V283" i="11"/>
  <c r="X283" i="11"/>
  <c r="AM283" i="11"/>
  <c r="AO283" i="11"/>
  <c r="AD283" i="11"/>
  <c r="AK283" i="11"/>
  <c r="K283" i="11"/>
  <c r="J283" i="11"/>
  <c r="L283" i="11"/>
  <c r="M283" i="11"/>
  <c r="R283" i="11"/>
  <c r="W283" i="11"/>
  <c r="T283" i="11"/>
  <c r="AH283" i="11"/>
  <c r="AA283" i="11"/>
  <c r="AB283" i="11"/>
  <c r="AP283" i="11"/>
  <c r="O283" i="11"/>
  <c r="U283" i="11"/>
  <c r="AL283" i="11"/>
  <c r="AJ283" i="11"/>
  <c r="P283" i="11"/>
  <c r="AF283" i="11"/>
  <c r="I283" i="11"/>
  <c r="S283" i="11"/>
  <c r="AI283" i="11"/>
  <c r="Q283" i="11"/>
  <c r="AE283" i="11"/>
  <c r="AN283" i="11"/>
  <c r="J251" i="11"/>
  <c r="AI251" i="11"/>
  <c r="L251" i="11"/>
  <c r="AO251" i="11"/>
  <c r="AC251" i="11"/>
  <c r="R251" i="11"/>
  <c r="O251" i="11"/>
  <c r="X251" i="11"/>
  <c r="M251" i="11"/>
  <c r="AG251" i="11"/>
  <c r="Z251" i="11"/>
  <c r="W251" i="11"/>
  <c r="AK251" i="11"/>
  <c r="AF251" i="11"/>
  <c r="AH251" i="11"/>
  <c r="AE251" i="11"/>
  <c r="Q251" i="11"/>
  <c r="P251" i="11"/>
  <c r="AP251" i="11"/>
  <c r="AM251" i="11"/>
  <c r="AD251" i="11"/>
  <c r="Y251" i="11"/>
  <c r="K251" i="11"/>
  <c r="I251" i="11"/>
  <c r="T251" i="11"/>
  <c r="AL251" i="11"/>
  <c r="S251" i="11"/>
  <c r="V251" i="11"/>
  <c r="AN251" i="11"/>
  <c r="N251" i="11"/>
  <c r="AA251" i="11"/>
  <c r="AJ251" i="11"/>
  <c r="U251" i="11"/>
  <c r="AB251" i="11"/>
  <c r="AC675" i="11"/>
  <c r="AF675" i="11"/>
  <c r="T675" i="11"/>
  <c r="V675" i="11"/>
  <c r="N675" i="11"/>
  <c r="Y675" i="11"/>
  <c r="AE675" i="11"/>
  <c r="AK675" i="11"/>
  <c r="R675" i="11"/>
  <c r="AN675" i="11"/>
  <c r="S675" i="11"/>
  <c r="Z675" i="11"/>
  <c r="AP675" i="11"/>
  <c r="AO675" i="11"/>
  <c r="AI675" i="11"/>
  <c r="O675" i="11"/>
  <c r="Q675" i="11"/>
  <c r="K675" i="11"/>
  <c r="AG675" i="11"/>
  <c r="W675" i="11"/>
  <c r="L675" i="11"/>
  <c r="M675" i="11"/>
  <c r="AB675" i="11"/>
  <c r="AL675" i="11"/>
  <c r="AJ675" i="11"/>
  <c r="AA675" i="11"/>
  <c r="P675" i="11"/>
  <c r="U675" i="11"/>
  <c r="AM675" i="11"/>
  <c r="X675" i="11"/>
  <c r="AH675" i="11"/>
  <c r="AD675" i="11"/>
  <c r="I675" i="11"/>
  <c r="J675" i="11"/>
  <c r="V643" i="11"/>
  <c r="AI643" i="11"/>
  <c r="I643" i="11"/>
  <c r="AO643" i="11"/>
  <c r="AH643" i="11"/>
  <c r="N643" i="11"/>
  <c r="AA643" i="11"/>
  <c r="Z643" i="11"/>
  <c r="AK643" i="11"/>
  <c r="AG643" i="11"/>
  <c r="W643" i="11"/>
  <c r="AJ643" i="11"/>
  <c r="AN643" i="11"/>
  <c r="J643" i="11"/>
  <c r="T643" i="11"/>
  <c r="R643" i="11"/>
  <c r="AM643" i="11"/>
  <c r="AB643" i="11"/>
  <c r="AE643" i="11"/>
  <c r="AC643" i="11"/>
  <c r="AD643" i="11"/>
  <c r="P643" i="11"/>
  <c r="Q643" i="11"/>
  <c r="X643" i="11"/>
  <c r="AF643" i="11"/>
  <c r="S643" i="11"/>
  <c r="L643" i="11"/>
  <c r="K643" i="11"/>
  <c r="M643" i="11"/>
  <c r="Y643" i="11"/>
  <c r="AP643" i="11"/>
  <c r="U643" i="11"/>
  <c r="AL643" i="11"/>
  <c r="O643" i="11"/>
  <c r="AH611" i="11"/>
  <c r="O611" i="11"/>
  <c r="AC611" i="11"/>
  <c r="Y611" i="11"/>
  <c r="AJ611" i="11"/>
  <c r="AF611" i="11"/>
  <c r="AD611" i="11"/>
  <c r="W611" i="11"/>
  <c r="T611" i="11"/>
  <c r="N611" i="11"/>
  <c r="AI611" i="11"/>
  <c r="L611" i="11"/>
  <c r="V611" i="11"/>
  <c r="K611" i="11"/>
  <c r="R611" i="11"/>
  <c r="AO611" i="11"/>
  <c r="AM611" i="11"/>
  <c r="Z611" i="11"/>
  <c r="AN611" i="11"/>
  <c r="M611" i="11"/>
  <c r="J611" i="11"/>
  <c r="S611" i="11"/>
  <c r="U611" i="11"/>
  <c r="X611" i="11"/>
  <c r="AK611" i="11"/>
  <c r="P611" i="11"/>
  <c r="AL611" i="11"/>
  <c r="AB611" i="11"/>
  <c r="I611" i="11"/>
  <c r="AP611" i="11"/>
  <c r="Q611" i="11"/>
  <c r="AA611" i="11"/>
  <c r="AG611" i="11"/>
  <c r="AE611" i="11"/>
  <c r="X579" i="11"/>
  <c r="N579" i="11"/>
  <c r="AO579" i="11"/>
  <c r="AL579" i="11"/>
  <c r="AE579" i="11"/>
  <c r="L579" i="11"/>
  <c r="Z579" i="11"/>
  <c r="AG579" i="11"/>
  <c r="V579" i="11"/>
  <c r="P579" i="11"/>
  <c r="AI579" i="11"/>
  <c r="R579" i="11"/>
  <c r="J579" i="11"/>
  <c r="AF579" i="11"/>
  <c r="O579" i="11"/>
  <c r="AH579" i="11"/>
  <c r="T579" i="11"/>
  <c r="AC579" i="11"/>
  <c r="AB579" i="11"/>
  <c r="Q579" i="11"/>
  <c r="AJ579" i="11"/>
  <c r="U579" i="11"/>
  <c r="Y579" i="11"/>
  <c r="W579" i="11"/>
  <c r="AK579" i="11"/>
  <c r="AP579" i="11"/>
  <c r="S579" i="11"/>
  <c r="M579" i="11"/>
  <c r="AN579" i="11"/>
  <c r="AD579" i="11"/>
  <c r="AA579" i="11"/>
  <c r="I579" i="11"/>
  <c r="K579" i="11"/>
  <c r="AM579" i="11"/>
  <c r="X547" i="11"/>
  <c r="K547" i="11"/>
  <c r="AB547" i="11"/>
  <c r="AJ547" i="11"/>
  <c r="U547" i="11"/>
  <c r="AF547" i="11"/>
  <c r="S547" i="11"/>
  <c r="AM547" i="11"/>
  <c r="R547" i="11"/>
  <c r="AG547" i="11"/>
  <c r="T547" i="11"/>
  <c r="AP547" i="11"/>
  <c r="AO547" i="11"/>
  <c r="AE547" i="11"/>
  <c r="J547" i="11"/>
  <c r="AA547" i="11"/>
  <c r="AC547" i="11"/>
  <c r="W547" i="11"/>
  <c r="P547" i="11"/>
  <c r="AI547" i="11"/>
  <c r="L547" i="11"/>
  <c r="AD547" i="11"/>
  <c r="AN547" i="11"/>
  <c r="M547" i="11"/>
  <c r="AH547" i="11"/>
  <c r="I547" i="11"/>
  <c r="Z547" i="11"/>
  <c r="O547" i="11"/>
  <c r="Q547" i="11"/>
  <c r="AL547" i="11"/>
  <c r="AK547" i="11"/>
  <c r="Y547" i="11"/>
  <c r="N547" i="11"/>
  <c r="V547" i="11"/>
  <c r="J515" i="11"/>
  <c r="W515" i="11"/>
  <c r="R515" i="11"/>
  <c r="AF515" i="11"/>
  <c r="O515" i="11"/>
  <c r="Z515" i="11"/>
  <c r="AA515" i="11"/>
  <c r="T515" i="11"/>
  <c r="AL515" i="11"/>
  <c r="K515" i="11"/>
  <c r="AI515" i="11"/>
  <c r="AJ515" i="11"/>
  <c r="AB515" i="11"/>
  <c r="U515" i="11"/>
  <c r="M515" i="11"/>
  <c r="X515" i="11"/>
  <c r="AO515" i="11"/>
  <c r="AE515" i="11"/>
  <c r="AC515" i="11"/>
  <c r="AK515" i="11"/>
  <c r="AM515" i="11"/>
  <c r="AP515" i="11"/>
  <c r="I515" i="11"/>
  <c r="L515" i="11"/>
  <c r="AD515" i="11"/>
  <c r="S515" i="11"/>
  <c r="N515" i="11"/>
  <c r="AN515" i="11"/>
  <c r="Q515" i="11"/>
  <c r="Y515" i="11"/>
  <c r="V515" i="11"/>
  <c r="P515" i="11"/>
  <c r="AG515" i="11"/>
  <c r="AH515" i="11"/>
  <c r="AJ483" i="11"/>
  <c r="J483" i="11"/>
  <c r="U483" i="11"/>
  <c r="Y483" i="11"/>
  <c r="K483" i="11"/>
  <c r="O483" i="11"/>
  <c r="X483" i="11"/>
  <c r="AP483" i="11"/>
  <c r="AG483" i="11"/>
  <c r="S483" i="11"/>
  <c r="W483" i="11"/>
  <c r="AK483" i="11"/>
  <c r="AD483" i="11"/>
  <c r="AL483" i="11"/>
  <c r="AA483" i="11"/>
  <c r="AE483" i="11"/>
  <c r="P483" i="11"/>
  <c r="M483" i="11"/>
  <c r="AI483" i="11"/>
  <c r="AM483" i="11"/>
  <c r="AC483" i="11"/>
  <c r="N483" i="11"/>
  <c r="L483" i="11"/>
  <c r="I483" i="11"/>
  <c r="AO483" i="11"/>
  <c r="Q483" i="11"/>
  <c r="T483" i="11"/>
  <c r="V483" i="11"/>
  <c r="R483" i="11"/>
  <c r="Z483" i="11"/>
  <c r="AB483" i="11"/>
  <c r="AH483" i="11"/>
  <c r="AN483" i="11"/>
  <c r="AF483" i="11"/>
  <c r="S446" i="11"/>
  <c r="AF446" i="11"/>
  <c r="W446" i="11"/>
  <c r="I446" i="11"/>
  <c r="AL446" i="11"/>
  <c r="AD446" i="11"/>
  <c r="AE446" i="11"/>
  <c r="V446" i="11"/>
  <c r="N446" i="11"/>
  <c r="T446" i="11"/>
  <c r="AM446" i="11"/>
  <c r="AI446" i="11"/>
  <c r="AA446" i="11"/>
  <c r="AG446" i="11"/>
  <c r="M446" i="11"/>
  <c r="J446" i="11"/>
  <c r="K446" i="11"/>
  <c r="AN446" i="11"/>
  <c r="U446" i="11"/>
  <c r="R446" i="11"/>
  <c r="X446" i="11"/>
  <c r="P446" i="11"/>
  <c r="AC446" i="11"/>
  <c r="Z446" i="11"/>
  <c r="AJ446" i="11"/>
  <c r="AB446" i="11"/>
  <c r="AK446" i="11"/>
  <c r="AH446" i="11"/>
  <c r="L446" i="11"/>
  <c r="AO446" i="11"/>
  <c r="O446" i="11"/>
  <c r="AP446" i="11"/>
  <c r="Y446" i="11"/>
  <c r="Q446" i="11"/>
  <c r="I414" i="11"/>
  <c r="AO414" i="11"/>
  <c r="W414" i="11"/>
  <c r="T414" i="11"/>
  <c r="AP414" i="11"/>
  <c r="N414" i="11"/>
  <c r="AE414" i="11"/>
  <c r="AB414" i="11"/>
  <c r="R414" i="11"/>
  <c r="U414" i="11"/>
  <c r="AM414" i="11"/>
  <c r="AJ414" i="11"/>
  <c r="AD414" i="11"/>
  <c r="V414" i="11"/>
  <c r="P414" i="11"/>
  <c r="M414" i="11"/>
  <c r="S414" i="11"/>
  <c r="AA414" i="11"/>
  <c r="X414" i="11"/>
  <c r="Z414" i="11"/>
  <c r="AG414" i="11"/>
  <c r="AH414" i="11"/>
  <c r="AF414" i="11"/>
  <c r="AL414" i="11"/>
  <c r="K414" i="11"/>
  <c r="AI414" i="11"/>
  <c r="AN414" i="11"/>
  <c r="Q414" i="11"/>
  <c r="Y414" i="11"/>
  <c r="J414" i="11"/>
  <c r="O414" i="11"/>
  <c r="L414" i="11"/>
  <c r="AC414" i="11"/>
  <c r="AK414" i="11"/>
  <c r="AE382" i="11"/>
  <c r="Y382" i="11"/>
  <c r="AP382" i="11"/>
  <c r="R382" i="11"/>
  <c r="AM382" i="11"/>
  <c r="AG382" i="11"/>
  <c r="V382" i="11"/>
  <c r="AL382" i="11"/>
  <c r="M382" i="11"/>
  <c r="P382" i="11"/>
  <c r="AO382" i="11"/>
  <c r="Z382" i="11"/>
  <c r="N382" i="11"/>
  <c r="U382" i="11"/>
  <c r="X382" i="11"/>
  <c r="L382" i="11"/>
  <c r="AA382" i="11"/>
  <c r="AI382" i="11"/>
  <c r="AC382" i="11"/>
  <c r="AF382" i="11"/>
  <c r="T382" i="11"/>
  <c r="J382" i="11"/>
  <c r="AK382" i="11"/>
  <c r="AN382" i="11"/>
  <c r="AB382" i="11"/>
  <c r="AD382" i="11"/>
  <c r="O382" i="11"/>
  <c r="I382" i="11"/>
  <c r="AJ382" i="11"/>
  <c r="K382" i="11"/>
  <c r="W382" i="11"/>
  <c r="Q382" i="11"/>
  <c r="S382" i="11"/>
  <c r="AH382" i="11"/>
  <c r="AP350" i="11"/>
  <c r="AM350" i="11"/>
  <c r="L350" i="11"/>
  <c r="I350" i="11"/>
  <c r="K350" i="11"/>
  <c r="Q350" i="11"/>
  <c r="AF350" i="11"/>
  <c r="AC350" i="11"/>
  <c r="AI350" i="11"/>
  <c r="Y350" i="11"/>
  <c r="N350" i="11"/>
  <c r="O350" i="11"/>
  <c r="AL350" i="11"/>
  <c r="X350" i="11"/>
  <c r="J350" i="11"/>
  <c r="W350" i="11"/>
  <c r="P350" i="11"/>
  <c r="AB350" i="11"/>
  <c r="R350" i="11"/>
  <c r="AE350" i="11"/>
  <c r="AK350" i="11"/>
  <c r="AJ350" i="11"/>
  <c r="Z350" i="11"/>
  <c r="AD350" i="11"/>
  <c r="T350" i="11"/>
  <c r="AH350" i="11"/>
  <c r="U350" i="11"/>
  <c r="AN350" i="11"/>
  <c r="S350" i="11"/>
  <c r="AG350" i="11"/>
  <c r="V350" i="11"/>
  <c r="AA350" i="11"/>
  <c r="M350" i="11"/>
  <c r="AO350" i="11"/>
  <c r="L318" i="11"/>
  <c r="O318" i="11"/>
  <c r="AK318" i="11"/>
  <c r="N318" i="11"/>
  <c r="T318" i="11"/>
  <c r="AC318" i="11"/>
  <c r="M318" i="11"/>
  <c r="U318" i="11"/>
  <c r="AA318" i="11"/>
  <c r="AO318" i="11"/>
  <c r="AI318" i="11"/>
  <c r="Q318" i="11"/>
  <c r="Y318" i="11"/>
  <c r="AB318" i="11"/>
  <c r="AD318" i="11"/>
  <c r="AM318" i="11"/>
  <c r="AJ318" i="11"/>
  <c r="AP318" i="11"/>
  <c r="I318" i="11"/>
  <c r="P318" i="11"/>
  <c r="J318" i="11"/>
  <c r="V318" i="11"/>
  <c r="X318" i="11"/>
  <c r="W318" i="11"/>
  <c r="Z318" i="11"/>
  <c r="K318" i="11"/>
  <c r="AF318" i="11"/>
  <c r="AG318" i="11"/>
  <c r="AH318" i="11"/>
  <c r="AL318" i="11"/>
  <c r="S318" i="11"/>
  <c r="AN318" i="11"/>
  <c r="R318" i="11"/>
  <c r="AE318" i="11"/>
  <c r="L286" i="11"/>
  <c r="Q286" i="11"/>
  <c r="W286" i="11"/>
  <c r="AM286" i="11"/>
  <c r="T286" i="11"/>
  <c r="AD286" i="11"/>
  <c r="Z286" i="11"/>
  <c r="J286" i="11"/>
  <c r="X286" i="11"/>
  <c r="AL286" i="11"/>
  <c r="N286" i="11"/>
  <c r="K286" i="11"/>
  <c r="AF286" i="11"/>
  <c r="O286" i="11"/>
  <c r="V286" i="11"/>
  <c r="S286" i="11"/>
  <c r="AN286" i="11"/>
  <c r="AK286" i="11"/>
  <c r="U286" i="11"/>
  <c r="AA286" i="11"/>
  <c r="AP286" i="11"/>
  <c r="AC286" i="11"/>
  <c r="AI286" i="11"/>
  <c r="R286" i="11"/>
  <c r="AG286" i="11"/>
  <c r="AB286" i="11"/>
  <c r="AE286" i="11"/>
  <c r="AH286" i="11"/>
  <c r="Y286" i="11"/>
  <c r="AJ286" i="11"/>
  <c r="M286" i="11"/>
  <c r="I286" i="11"/>
  <c r="P286" i="11"/>
  <c r="AO286" i="11"/>
  <c r="M254" i="11"/>
  <c r="AO254" i="11"/>
  <c r="AE254" i="11"/>
  <c r="P254" i="11"/>
  <c r="U254" i="11"/>
  <c r="J254" i="11"/>
  <c r="S254" i="11"/>
  <c r="AH254" i="11"/>
  <c r="AJ254" i="11"/>
  <c r="AI254" i="11"/>
  <c r="N254" i="11"/>
  <c r="AC254" i="11"/>
  <c r="K254" i="11"/>
  <c r="AF254" i="11"/>
  <c r="AK254" i="11"/>
  <c r="X254" i="11"/>
  <c r="O254" i="11"/>
  <c r="I254" i="11"/>
  <c r="AL254" i="11"/>
  <c r="Z254" i="11"/>
  <c r="Q254" i="11"/>
  <c r="R254" i="11"/>
  <c r="AA254" i="11"/>
  <c r="L254" i="11"/>
  <c r="Y254" i="11"/>
  <c r="AN254" i="11"/>
  <c r="AD254" i="11"/>
  <c r="W254" i="11"/>
  <c r="T254" i="11"/>
  <c r="AG254" i="11"/>
  <c r="V254" i="11"/>
  <c r="AM254" i="11"/>
  <c r="AB254" i="11"/>
  <c r="AP254" i="11"/>
  <c r="J674" i="11"/>
  <c r="AI674" i="11"/>
  <c r="P674" i="11"/>
  <c r="AG674" i="11"/>
  <c r="Y674" i="11"/>
  <c r="AP674" i="11"/>
  <c r="AL674" i="11"/>
  <c r="AE674" i="11"/>
  <c r="L674" i="11"/>
  <c r="R674" i="11"/>
  <c r="AD674" i="11"/>
  <c r="AF674" i="11"/>
  <c r="AM674" i="11"/>
  <c r="S674" i="11"/>
  <c r="AC674" i="11"/>
  <c r="AJ674" i="11"/>
  <c r="AB674" i="11"/>
  <c r="X674" i="11"/>
  <c r="Z674" i="11"/>
  <c r="AN674" i="11"/>
  <c r="AK674" i="11"/>
  <c r="AH674" i="11"/>
  <c r="AO674" i="11"/>
  <c r="M674" i="11"/>
  <c r="K674" i="11"/>
  <c r="Q674" i="11"/>
  <c r="AA674" i="11"/>
  <c r="T674" i="11"/>
  <c r="N674" i="11"/>
  <c r="U674" i="11"/>
  <c r="V674" i="11"/>
  <c r="I674" i="11"/>
  <c r="O674" i="11"/>
  <c r="W674" i="11"/>
  <c r="W642" i="11"/>
  <c r="M642" i="11"/>
  <c r="X642" i="11"/>
  <c r="AJ642" i="11"/>
  <c r="N642" i="11"/>
  <c r="J642" i="11"/>
  <c r="P642" i="11"/>
  <c r="U642" i="11"/>
  <c r="Q642" i="11"/>
  <c r="V642" i="11"/>
  <c r="R642" i="11"/>
  <c r="AB642" i="11"/>
  <c r="Y642" i="11"/>
  <c r="S642" i="11"/>
  <c r="O642" i="11"/>
  <c r="AP642" i="11"/>
  <c r="AG642" i="11"/>
  <c r="I642" i="11"/>
  <c r="AN642" i="11"/>
  <c r="AK642" i="11"/>
  <c r="AD642" i="11"/>
  <c r="AO642" i="11"/>
  <c r="AL642" i="11"/>
  <c r="T642" i="11"/>
  <c r="AE642" i="11"/>
  <c r="K642" i="11"/>
  <c r="AM642" i="11"/>
  <c r="AF642" i="11"/>
  <c r="Z642" i="11"/>
  <c r="AC642" i="11"/>
  <c r="AH642" i="11"/>
  <c r="AI642" i="11"/>
  <c r="AA642" i="11"/>
  <c r="L642" i="11"/>
  <c r="X610" i="11"/>
  <c r="AD610" i="11"/>
  <c r="U610" i="11"/>
  <c r="AH610" i="11"/>
  <c r="W610" i="11"/>
  <c r="S610" i="11"/>
  <c r="Y610" i="11"/>
  <c r="Z610" i="11"/>
  <c r="AL610" i="11"/>
  <c r="AM610" i="11"/>
  <c r="T610" i="11"/>
  <c r="AP610" i="11"/>
  <c r="K610" i="11"/>
  <c r="N610" i="11"/>
  <c r="I610" i="11"/>
  <c r="AF610" i="11"/>
  <c r="AJ610" i="11"/>
  <c r="AN610" i="11"/>
  <c r="AO610" i="11"/>
  <c r="AA610" i="11"/>
  <c r="V610" i="11"/>
  <c r="AI610" i="11"/>
  <c r="J610" i="11"/>
  <c r="R610" i="11"/>
  <c r="AC610" i="11"/>
  <c r="O610" i="11"/>
  <c r="AG610" i="11"/>
  <c r="AB610" i="11"/>
  <c r="AE610" i="11"/>
  <c r="L610" i="11"/>
  <c r="M610" i="11"/>
  <c r="P610" i="11"/>
  <c r="AK610" i="11"/>
  <c r="Q610" i="11"/>
  <c r="AH578" i="11"/>
  <c r="AD578" i="11"/>
  <c r="P578" i="11"/>
  <c r="AG578" i="11"/>
  <c r="AA578" i="11"/>
  <c r="AJ578" i="11"/>
  <c r="AE578" i="11"/>
  <c r="U578" i="11"/>
  <c r="R578" i="11"/>
  <c r="AL578" i="11"/>
  <c r="Y578" i="11"/>
  <c r="Q578" i="11"/>
  <c r="S578" i="11"/>
  <c r="X578" i="11"/>
  <c r="T578" i="11"/>
  <c r="J578" i="11"/>
  <c r="W578" i="11"/>
  <c r="AN578" i="11"/>
  <c r="Z578" i="11"/>
  <c r="L578" i="11"/>
  <c r="AM578" i="11"/>
  <c r="AP578" i="11"/>
  <c r="AK578" i="11"/>
  <c r="AB578" i="11"/>
  <c r="K578" i="11"/>
  <c r="AC578" i="11"/>
  <c r="AI578" i="11"/>
  <c r="AO578" i="11"/>
  <c r="N578" i="11"/>
  <c r="M578" i="11"/>
  <c r="V578" i="11"/>
  <c r="AF578" i="11"/>
  <c r="I578" i="11"/>
  <c r="O578" i="11"/>
  <c r="S546" i="11"/>
  <c r="AG546" i="11"/>
  <c r="AO546" i="11"/>
  <c r="Z546" i="11"/>
  <c r="U546" i="11"/>
  <c r="O546" i="11"/>
  <c r="AA546" i="11"/>
  <c r="AJ546" i="11"/>
  <c r="P546" i="11"/>
  <c r="R546" i="11"/>
  <c r="AK546" i="11"/>
  <c r="Y546" i="11"/>
  <c r="AM546" i="11"/>
  <c r="AI546" i="11"/>
  <c r="T546" i="11"/>
  <c r="N546" i="11"/>
  <c r="M546" i="11"/>
  <c r="AD546" i="11"/>
  <c r="AC546" i="11"/>
  <c r="L546" i="11"/>
  <c r="V546" i="11"/>
  <c r="AE546" i="11"/>
  <c r="J546" i="11"/>
  <c r="I546" i="11"/>
  <c r="AL546" i="11"/>
  <c r="AH546" i="11"/>
  <c r="W546" i="11"/>
  <c r="Q546" i="11"/>
  <c r="AP546" i="11"/>
  <c r="AB546" i="11"/>
  <c r="AF546" i="11"/>
  <c r="K546" i="11"/>
  <c r="AN546" i="11"/>
  <c r="X546" i="11"/>
  <c r="X514" i="11"/>
  <c r="W514" i="11"/>
  <c r="K514" i="11"/>
  <c r="V514" i="11"/>
  <c r="S514" i="11"/>
  <c r="T514" i="11"/>
  <c r="AI514" i="11"/>
  <c r="Q514" i="11"/>
  <c r="Z514" i="11"/>
  <c r="AH514" i="11"/>
  <c r="AE514" i="11"/>
  <c r="AK514" i="11"/>
  <c r="P514" i="11"/>
  <c r="N514" i="11"/>
  <c r="AG514" i="11"/>
  <c r="AP514" i="11"/>
  <c r="AF514" i="11"/>
  <c r="Y514" i="11"/>
  <c r="U514" i="11"/>
  <c r="AN514" i="11"/>
  <c r="R514" i="11"/>
  <c r="AL514" i="11"/>
  <c r="L514" i="11"/>
  <c r="AC514" i="11"/>
  <c r="AO514" i="11"/>
  <c r="AB514" i="11"/>
  <c r="AM514" i="11"/>
  <c r="I514" i="11"/>
  <c r="AJ514" i="11"/>
  <c r="AD514" i="11"/>
  <c r="J514" i="11"/>
  <c r="M514" i="11"/>
  <c r="O514" i="11"/>
  <c r="AA514" i="11"/>
  <c r="N482" i="11"/>
  <c r="AO482" i="11"/>
  <c r="L482" i="11"/>
  <c r="T482" i="11"/>
  <c r="M482" i="11"/>
  <c r="I482" i="11"/>
  <c r="AF482" i="11"/>
  <c r="W482" i="11"/>
  <c r="AN482" i="11"/>
  <c r="AD482" i="11"/>
  <c r="K482" i="11"/>
  <c r="P482" i="11"/>
  <c r="AL482" i="11"/>
  <c r="X482" i="11"/>
  <c r="AA482" i="11"/>
  <c r="Q482" i="11"/>
  <c r="AJ482" i="11"/>
  <c r="AB482" i="11"/>
  <c r="Y482" i="11"/>
  <c r="AH482" i="11"/>
  <c r="Z482" i="11"/>
  <c r="U482" i="11"/>
  <c r="AG482" i="11"/>
  <c r="O482" i="11"/>
  <c r="AM482" i="11"/>
  <c r="AC482" i="11"/>
  <c r="R482" i="11"/>
  <c r="AI482" i="11"/>
  <c r="AK482" i="11"/>
  <c r="AE482" i="11"/>
  <c r="AP482" i="11"/>
  <c r="V482" i="11"/>
  <c r="S482" i="11"/>
  <c r="J482" i="11"/>
  <c r="AM433" i="11"/>
  <c r="AG433" i="11"/>
  <c r="AA433" i="11"/>
  <c r="AP433" i="11"/>
  <c r="M433" i="11"/>
  <c r="P433" i="11"/>
  <c r="AO433" i="11"/>
  <c r="J433" i="11"/>
  <c r="AE433" i="11"/>
  <c r="T433" i="11"/>
  <c r="N433" i="11"/>
  <c r="X433" i="11"/>
  <c r="AB433" i="11"/>
  <c r="AI433" i="11"/>
  <c r="AF433" i="11"/>
  <c r="AJ433" i="11"/>
  <c r="S433" i="11"/>
  <c r="U433" i="11"/>
  <c r="AN433" i="11"/>
  <c r="V433" i="11"/>
  <c r="AC433" i="11"/>
  <c r="I433" i="11"/>
  <c r="Z433" i="11"/>
  <c r="AK433" i="11"/>
  <c r="Q433" i="11"/>
  <c r="AD433" i="11"/>
  <c r="O433" i="11"/>
  <c r="Y433" i="11"/>
  <c r="K433" i="11"/>
  <c r="W433" i="11"/>
  <c r="L433" i="11"/>
  <c r="AH433" i="11"/>
  <c r="AL433" i="11"/>
  <c r="R433" i="11"/>
  <c r="I401" i="11"/>
  <c r="AH401" i="11"/>
  <c r="U401" i="11"/>
  <c r="M401" i="11"/>
  <c r="P401" i="11"/>
  <c r="Q401" i="11"/>
  <c r="AP401" i="11"/>
  <c r="AI401" i="11"/>
  <c r="AA401" i="11"/>
  <c r="AC401" i="11"/>
  <c r="Y401" i="11"/>
  <c r="N401" i="11"/>
  <c r="K401" i="11"/>
  <c r="AM401" i="11"/>
  <c r="AG401" i="11"/>
  <c r="V401" i="11"/>
  <c r="W401" i="11"/>
  <c r="O401" i="11"/>
  <c r="AO401" i="11"/>
  <c r="AD401" i="11"/>
  <c r="AJ401" i="11"/>
  <c r="AB401" i="11"/>
  <c r="J401" i="11"/>
  <c r="AL401" i="11"/>
  <c r="L401" i="11"/>
  <c r="AN401" i="11"/>
  <c r="R401" i="11"/>
  <c r="T401" i="11"/>
  <c r="X401" i="11"/>
  <c r="S401" i="11"/>
  <c r="Z401" i="11"/>
  <c r="AF401" i="11"/>
  <c r="AK401" i="11"/>
  <c r="AE401" i="11"/>
  <c r="M369" i="11"/>
  <c r="AO369" i="11"/>
  <c r="AB369" i="11"/>
  <c r="P369" i="11"/>
  <c r="AJ369" i="11"/>
  <c r="U369" i="11"/>
  <c r="K369" i="11"/>
  <c r="AM369" i="11"/>
  <c r="AH369" i="11"/>
  <c r="AA369" i="11"/>
  <c r="AC369" i="11"/>
  <c r="V369" i="11"/>
  <c r="Z369" i="11"/>
  <c r="W369" i="11"/>
  <c r="AK369" i="11"/>
  <c r="AF369" i="11"/>
  <c r="AP369" i="11"/>
  <c r="AN369" i="11"/>
  <c r="I369" i="11"/>
  <c r="N369" i="11"/>
  <c r="L369" i="11"/>
  <c r="AL369" i="11"/>
  <c r="Q369" i="11"/>
  <c r="X369" i="11"/>
  <c r="AD369" i="11"/>
  <c r="J369" i="11"/>
  <c r="Y369" i="11"/>
  <c r="AI369" i="11"/>
  <c r="O369" i="11"/>
  <c r="S369" i="11"/>
  <c r="AG369" i="11"/>
  <c r="R369" i="11"/>
  <c r="AE369" i="11"/>
  <c r="T369" i="11"/>
  <c r="M337" i="11"/>
  <c r="AO337" i="11"/>
  <c r="AF337" i="11"/>
  <c r="P337" i="11"/>
  <c r="U337" i="11"/>
  <c r="K337" i="11"/>
  <c r="W337" i="11"/>
  <c r="AI337" i="11"/>
  <c r="AC337" i="11"/>
  <c r="X337" i="11"/>
  <c r="Z337" i="11"/>
  <c r="V337" i="11"/>
  <c r="AK337" i="11"/>
  <c r="AL337" i="11"/>
  <c r="AD337" i="11"/>
  <c r="AP337" i="11"/>
  <c r="L337" i="11"/>
  <c r="I337" i="11"/>
  <c r="O337" i="11"/>
  <c r="J337" i="11"/>
  <c r="R337" i="11"/>
  <c r="T337" i="11"/>
  <c r="Q337" i="11"/>
  <c r="AA337" i="11"/>
  <c r="AE337" i="11"/>
  <c r="AM337" i="11"/>
  <c r="AB337" i="11"/>
  <c r="Y337" i="11"/>
  <c r="AN337" i="11"/>
  <c r="N337" i="11"/>
  <c r="AJ337" i="11"/>
  <c r="AG337" i="11"/>
  <c r="S337" i="11"/>
  <c r="AH337" i="11"/>
  <c r="AH305" i="11"/>
  <c r="M305" i="11"/>
  <c r="AK305" i="11"/>
  <c r="AF305" i="11"/>
  <c r="N305" i="11"/>
  <c r="AP305" i="11"/>
  <c r="X305" i="11"/>
  <c r="W305" i="11"/>
  <c r="AE305" i="11"/>
  <c r="J305" i="11"/>
  <c r="AN305" i="11"/>
  <c r="I305" i="11"/>
  <c r="R305" i="11"/>
  <c r="AI305" i="11"/>
  <c r="Y305" i="11"/>
  <c r="Z305" i="11"/>
  <c r="P305" i="11"/>
  <c r="K305" i="11"/>
  <c r="Q305" i="11"/>
  <c r="AG305" i="11"/>
  <c r="AA305" i="11"/>
  <c r="AB305" i="11"/>
  <c r="T305" i="11"/>
  <c r="O305" i="11"/>
  <c r="V305" i="11"/>
  <c r="AM305" i="11"/>
  <c r="AJ305" i="11"/>
  <c r="L305" i="11"/>
  <c r="AD305" i="11"/>
  <c r="S305" i="11"/>
  <c r="U305" i="11"/>
  <c r="AL305" i="11"/>
  <c r="AC305" i="11"/>
  <c r="AO305" i="11"/>
  <c r="AD273" i="11"/>
  <c r="X273" i="11"/>
  <c r="AI273" i="11"/>
  <c r="AA273" i="11"/>
  <c r="AL273" i="11"/>
  <c r="AJ273" i="11"/>
  <c r="Q273" i="11"/>
  <c r="AE273" i="11"/>
  <c r="R273" i="11"/>
  <c r="S273" i="11"/>
  <c r="W273" i="11"/>
  <c r="M273" i="11"/>
  <c r="Z273" i="11"/>
  <c r="AF273" i="11"/>
  <c r="AO273" i="11"/>
  <c r="U273" i="11"/>
  <c r="AH273" i="11"/>
  <c r="P273" i="11"/>
  <c r="AG273" i="11"/>
  <c r="AC273" i="11"/>
  <c r="AP273" i="11"/>
  <c r="AN273" i="11"/>
  <c r="AK273" i="11"/>
  <c r="K273" i="11"/>
  <c r="AB273" i="11"/>
  <c r="N273" i="11"/>
  <c r="L273" i="11"/>
  <c r="I273" i="11"/>
  <c r="V273" i="11"/>
  <c r="Y273" i="11"/>
  <c r="O273" i="11"/>
  <c r="J273" i="11"/>
  <c r="AM273" i="11"/>
  <c r="T273" i="11"/>
  <c r="AG241" i="11"/>
  <c r="Z241" i="11"/>
  <c r="S241" i="11"/>
  <c r="J241" i="11"/>
  <c r="O241" i="11"/>
  <c r="AO241" i="11"/>
  <c r="AF241" i="11"/>
  <c r="AI241" i="11"/>
  <c r="K241" i="11"/>
  <c r="W241" i="11"/>
  <c r="L241" i="11"/>
  <c r="M241" i="11"/>
  <c r="AK241" i="11"/>
  <c r="P241" i="11"/>
  <c r="AE241" i="11"/>
  <c r="T241" i="11"/>
  <c r="AM241" i="11"/>
  <c r="AB241" i="11"/>
  <c r="AL241" i="11"/>
  <c r="AN241" i="11"/>
  <c r="R241" i="11"/>
  <c r="AC241" i="11"/>
  <c r="Y241" i="11"/>
  <c r="X241" i="11"/>
  <c r="AH241" i="11"/>
  <c r="I241" i="11"/>
  <c r="AJ241" i="11"/>
  <c r="V241" i="11"/>
  <c r="AA241" i="11"/>
  <c r="Q241" i="11"/>
  <c r="AP241" i="11"/>
  <c r="AD241" i="11"/>
  <c r="U241" i="11"/>
  <c r="N241" i="11"/>
  <c r="Q661" i="11"/>
  <c r="AL661" i="11"/>
  <c r="U661" i="11"/>
  <c r="V661" i="11"/>
  <c r="AK661" i="11"/>
  <c r="AO661" i="11"/>
  <c r="S661" i="11"/>
  <c r="AG661" i="11"/>
  <c r="AJ661" i="11"/>
  <c r="AC661" i="11"/>
  <c r="AN661" i="11"/>
  <c r="N661" i="11"/>
  <c r="T661" i="11"/>
  <c r="AM661" i="11"/>
  <c r="AB661" i="11"/>
  <c r="M661" i="11"/>
  <c r="AH661" i="11"/>
  <c r="AE661" i="11"/>
  <c r="Y661" i="11"/>
  <c r="O661" i="11"/>
  <c r="X661" i="11"/>
  <c r="R661" i="11"/>
  <c r="AF661" i="11"/>
  <c r="L661" i="11"/>
  <c r="P661" i="11"/>
  <c r="W661" i="11"/>
  <c r="AI661" i="11"/>
  <c r="AD661" i="11"/>
  <c r="J661" i="11"/>
  <c r="AP661" i="11"/>
  <c r="Z661" i="11"/>
  <c r="I661" i="11"/>
  <c r="AA661" i="11"/>
  <c r="K661" i="11"/>
  <c r="P629" i="11"/>
  <c r="W629" i="11"/>
  <c r="Q629" i="11"/>
  <c r="S629" i="11"/>
  <c r="X629" i="11"/>
  <c r="AH629" i="11"/>
  <c r="M629" i="11"/>
  <c r="T629" i="11"/>
  <c r="O629" i="11"/>
  <c r="Y629" i="11"/>
  <c r="J629" i="11"/>
  <c r="V629" i="11"/>
  <c r="U629" i="11"/>
  <c r="N629" i="11"/>
  <c r="R629" i="11"/>
  <c r="AC629" i="11"/>
  <c r="AI629" i="11"/>
  <c r="Z629" i="11"/>
  <c r="I629" i="11"/>
  <c r="AN629" i="11"/>
  <c r="AF629" i="11"/>
  <c r="AB629" i="11"/>
  <c r="AG629" i="11"/>
  <c r="AL629" i="11"/>
  <c r="AO629" i="11"/>
  <c r="AJ629" i="11"/>
  <c r="AK629" i="11"/>
  <c r="AD629" i="11"/>
  <c r="AE629" i="11"/>
  <c r="AP629" i="11"/>
  <c r="L629" i="11"/>
  <c r="K629" i="11"/>
  <c r="AA629" i="11"/>
  <c r="AM629" i="11"/>
  <c r="W597" i="11"/>
  <c r="J597" i="11"/>
  <c r="AK597" i="11"/>
  <c r="AE597" i="11"/>
  <c r="V597" i="11"/>
  <c r="Q597" i="11"/>
  <c r="AP597" i="11"/>
  <c r="N597" i="11"/>
  <c r="O597" i="11"/>
  <c r="Z597" i="11"/>
  <c r="AA597" i="11"/>
  <c r="AJ597" i="11"/>
  <c r="Y597" i="11"/>
  <c r="AC597" i="11"/>
  <c r="K597" i="11"/>
  <c r="L597" i="11"/>
  <c r="P597" i="11"/>
  <c r="I597" i="11"/>
  <c r="X597" i="11"/>
  <c r="AD597" i="11"/>
  <c r="AG597" i="11"/>
  <c r="AL597" i="11"/>
  <c r="AN597" i="11"/>
  <c r="AO597" i="11"/>
  <c r="AM597" i="11"/>
  <c r="R597" i="11"/>
  <c r="S597" i="11"/>
  <c r="AH597" i="11"/>
  <c r="AB597" i="11"/>
  <c r="M597" i="11"/>
  <c r="AF597" i="11"/>
  <c r="U597" i="11"/>
  <c r="AI597" i="11"/>
  <c r="T597" i="11"/>
  <c r="AC565" i="11"/>
  <c r="AM565" i="11"/>
  <c r="J565" i="11"/>
  <c r="I565" i="11"/>
  <c r="AB565" i="11"/>
  <c r="AF565" i="11"/>
  <c r="R565" i="11"/>
  <c r="AA565" i="11"/>
  <c r="U565" i="11"/>
  <c r="AD565" i="11"/>
  <c r="AH565" i="11"/>
  <c r="AK565" i="11"/>
  <c r="AP565" i="11"/>
  <c r="AL565" i="11"/>
  <c r="P565" i="11"/>
  <c r="AE565" i="11"/>
  <c r="K565" i="11"/>
  <c r="X565" i="11"/>
  <c r="S565" i="11"/>
  <c r="Y565" i="11"/>
  <c r="L565" i="11"/>
  <c r="AN565" i="11"/>
  <c r="AG565" i="11"/>
  <c r="O565" i="11"/>
  <c r="T565" i="11"/>
  <c r="N565" i="11"/>
  <c r="W565" i="11"/>
  <c r="AJ565" i="11"/>
  <c r="Z565" i="11"/>
  <c r="AI565" i="11"/>
  <c r="M565" i="11"/>
  <c r="Q565" i="11"/>
  <c r="V565" i="11"/>
  <c r="AO565" i="11"/>
  <c r="V533" i="11"/>
  <c r="X533" i="11"/>
  <c r="AA533" i="11"/>
  <c r="I533" i="11"/>
  <c r="Y533" i="11"/>
  <c r="W533" i="11"/>
  <c r="AH533" i="11"/>
  <c r="Q533" i="11"/>
  <c r="AC533" i="11"/>
  <c r="AL533" i="11"/>
  <c r="AP533" i="11"/>
  <c r="AN533" i="11"/>
  <c r="O533" i="11"/>
  <c r="K533" i="11"/>
  <c r="AO533" i="11"/>
  <c r="AE533" i="11"/>
  <c r="S533" i="11"/>
  <c r="L533" i="11"/>
  <c r="AM533" i="11"/>
  <c r="AI533" i="11"/>
  <c r="AB533" i="11"/>
  <c r="P533" i="11"/>
  <c r="M533" i="11"/>
  <c r="AK533" i="11"/>
  <c r="J533" i="11"/>
  <c r="AG533" i="11"/>
  <c r="T533" i="11"/>
  <c r="N533" i="11"/>
  <c r="R533" i="11"/>
  <c r="AJ533" i="11"/>
  <c r="AF533" i="11"/>
  <c r="AD533" i="11"/>
  <c r="Z533" i="11"/>
  <c r="U533" i="11"/>
  <c r="R501" i="11"/>
  <c r="N501" i="11"/>
  <c r="L501" i="11"/>
  <c r="P501" i="11"/>
  <c r="K501" i="11"/>
  <c r="Q501" i="11"/>
  <c r="I501" i="11"/>
  <c r="Y501" i="11"/>
  <c r="AI501" i="11"/>
  <c r="AK501" i="11"/>
  <c r="AJ501" i="11"/>
  <c r="J501" i="11"/>
  <c r="Z501" i="11"/>
  <c r="AL501" i="11"/>
  <c r="M501" i="11"/>
  <c r="O501" i="11"/>
  <c r="AH501" i="11"/>
  <c r="AE501" i="11"/>
  <c r="AG501" i="11"/>
  <c r="S501" i="11"/>
  <c r="AA501" i="11"/>
  <c r="X501" i="11"/>
  <c r="AN501" i="11"/>
  <c r="AB501" i="11"/>
  <c r="AC501" i="11"/>
  <c r="AO501" i="11"/>
  <c r="AP501" i="11"/>
  <c r="W501" i="11"/>
  <c r="V501" i="11"/>
  <c r="AD501" i="11"/>
  <c r="T501" i="11"/>
  <c r="AF501" i="11"/>
  <c r="AM501" i="11"/>
  <c r="U501" i="11"/>
  <c r="Q469" i="11"/>
  <c r="AP469" i="11"/>
  <c r="O469" i="11"/>
  <c r="AL469" i="11"/>
  <c r="V469" i="11"/>
  <c r="J469" i="11"/>
  <c r="AK469" i="11"/>
  <c r="AF469" i="11"/>
  <c r="AD469" i="11"/>
  <c r="Z469" i="11"/>
  <c r="AB469" i="11"/>
  <c r="W469" i="11"/>
  <c r="AH469" i="11"/>
  <c r="AN469" i="11"/>
  <c r="AE469" i="11"/>
  <c r="AC469" i="11"/>
  <c r="X469" i="11"/>
  <c r="Y469" i="11"/>
  <c r="AA469" i="11"/>
  <c r="AI469" i="11"/>
  <c r="AG469" i="11"/>
  <c r="AM469" i="11"/>
  <c r="L469" i="11"/>
  <c r="R469" i="11"/>
  <c r="P469" i="11"/>
  <c r="M469" i="11"/>
  <c r="AJ469" i="11"/>
  <c r="U469" i="11"/>
  <c r="S469" i="11"/>
  <c r="N469" i="11"/>
  <c r="T469" i="11"/>
  <c r="K469" i="11"/>
  <c r="I469" i="11"/>
  <c r="AO469" i="11"/>
  <c r="AC432" i="11"/>
  <c r="W432" i="11"/>
  <c r="J432" i="11"/>
  <c r="AI432" i="11"/>
  <c r="AK432" i="11"/>
  <c r="AE432" i="11"/>
  <c r="R432" i="11"/>
  <c r="N432" i="11"/>
  <c r="T432" i="11"/>
  <c r="AM432" i="11"/>
  <c r="Z432" i="11"/>
  <c r="V432" i="11"/>
  <c r="AN432" i="11"/>
  <c r="I432" i="11"/>
  <c r="AH432" i="11"/>
  <c r="AD432" i="11"/>
  <c r="U432" i="11"/>
  <c r="Q432" i="11"/>
  <c r="AP432" i="11"/>
  <c r="AL432" i="11"/>
  <c r="X432" i="11"/>
  <c r="Y432" i="11"/>
  <c r="K432" i="11"/>
  <c r="M432" i="11"/>
  <c r="AB432" i="11"/>
  <c r="AG432" i="11"/>
  <c r="S432" i="11"/>
  <c r="AJ432" i="11"/>
  <c r="L432" i="11"/>
  <c r="O432" i="11"/>
  <c r="AO432" i="11"/>
  <c r="AA432" i="11"/>
  <c r="P432" i="11"/>
  <c r="AF432" i="11"/>
  <c r="AA400" i="11"/>
  <c r="AF400" i="11"/>
  <c r="R400" i="11"/>
  <c r="W400" i="11"/>
  <c r="AI400" i="11"/>
  <c r="AN400" i="11"/>
  <c r="AE400" i="11"/>
  <c r="AK400" i="11"/>
  <c r="L400" i="11"/>
  <c r="O400" i="11"/>
  <c r="U400" i="11"/>
  <c r="N400" i="11"/>
  <c r="T400" i="11"/>
  <c r="AC400" i="11"/>
  <c r="AG400" i="11"/>
  <c r="Z400" i="11"/>
  <c r="AB400" i="11"/>
  <c r="AO400" i="11"/>
  <c r="I400" i="11"/>
  <c r="AM400" i="11"/>
  <c r="AJ400" i="11"/>
  <c r="Q400" i="11"/>
  <c r="V400" i="11"/>
  <c r="M400" i="11"/>
  <c r="K400" i="11"/>
  <c r="P400" i="11"/>
  <c r="AD400" i="11"/>
  <c r="AH400" i="11"/>
  <c r="Y400" i="11"/>
  <c r="S400" i="11"/>
  <c r="X400" i="11"/>
  <c r="AP400" i="11"/>
  <c r="J400" i="11"/>
  <c r="AL400" i="11"/>
  <c r="K368" i="11"/>
  <c r="Z368" i="11"/>
  <c r="L368" i="11"/>
  <c r="AB368" i="11"/>
  <c r="S368" i="11"/>
  <c r="AK368" i="11"/>
  <c r="AC368" i="11"/>
  <c r="AJ368" i="11"/>
  <c r="AA368" i="11"/>
  <c r="I368" i="11"/>
  <c r="N368" i="11"/>
  <c r="AL368" i="11"/>
  <c r="AI368" i="11"/>
  <c r="T368" i="11"/>
  <c r="AF368" i="11"/>
  <c r="J368" i="11"/>
  <c r="O368" i="11"/>
  <c r="M368" i="11"/>
  <c r="AD368" i="11"/>
  <c r="Q368" i="11"/>
  <c r="U368" i="11"/>
  <c r="W368" i="11"/>
  <c r="X368" i="11"/>
  <c r="AO368" i="11"/>
  <c r="AG368" i="11"/>
  <c r="R368" i="11"/>
  <c r="AE368" i="11"/>
  <c r="AH368" i="11"/>
  <c r="Y368" i="11"/>
  <c r="V368" i="11"/>
  <c r="AM368" i="11"/>
  <c r="P368" i="11"/>
  <c r="AP368" i="11"/>
  <c r="AN368" i="11"/>
  <c r="AL336" i="11"/>
  <c r="AI336" i="11"/>
  <c r="AO336" i="11"/>
  <c r="Z336" i="11"/>
  <c r="O336" i="11"/>
  <c r="T336" i="11"/>
  <c r="Q336" i="11"/>
  <c r="I336" i="11"/>
  <c r="V336" i="11"/>
  <c r="AG336" i="11"/>
  <c r="AN336" i="11"/>
  <c r="AF336" i="11"/>
  <c r="AD336" i="11"/>
  <c r="J336" i="11"/>
  <c r="U336" i="11"/>
  <c r="W336" i="11"/>
  <c r="X336" i="11"/>
  <c r="AP336" i="11"/>
  <c r="AE336" i="11"/>
  <c r="AJ336" i="11"/>
  <c r="Y336" i="11"/>
  <c r="AM336" i="11"/>
  <c r="P336" i="11"/>
  <c r="AC336" i="11"/>
  <c r="K336" i="11"/>
  <c r="AB336" i="11"/>
  <c r="M336" i="11"/>
  <c r="S336" i="11"/>
  <c r="AK336" i="11"/>
  <c r="AH336" i="11"/>
  <c r="N336" i="11"/>
  <c r="AA336" i="11"/>
  <c r="R336" i="11"/>
  <c r="L336" i="11"/>
  <c r="AJ304" i="11"/>
  <c r="AP304" i="11"/>
  <c r="V304" i="11"/>
  <c r="AG304" i="11"/>
  <c r="P304" i="11"/>
  <c r="I304" i="11"/>
  <c r="O304" i="11"/>
  <c r="AL304" i="11"/>
  <c r="AC304" i="11"/>
  <c r="X304" i="11"/>
  <c r="S304" i="11"/>
  <c r="Z304" i="11"/>
  <c r="W304" i="11"/>
  <c r="M304" i="11"/>
  <c r="AF304" i="11"/>
  <c r="AD304" i="11"/>
  <c r="AK304" i="11"/>
  <c r="AM304" i="11"/>
  <c r="AN304" i="11"/>
  <c r="AO304" i="11"/>
  <c r="Q304" i="11"/>
  <c r="Y304" i="11"/>
  <c r="L304" i="11"/>
  <c r="J304" i="11"/>
  <c r="AH304" i="11"/>
  <c r="K304" i="11"/>
  <c r="T304" i="11"/>
  <c r="U304" i="11"/>
  <c r="R304" i="11"/>
  <c r="AA304" i="11"/>
  <c r="AB304" i="11"/>
  <c r="AE304" i="11"/>
  <c r="AI304" i="11"/>
  <c r="N304" i="11"/>
  <c r="AN272" i="11"/>
  <c r="U272" i="11"/>
  <c r="AD272" i="11"/>
  <c r="AI272" i="11"/>
  <c r="O272" i="11"/>
  <c r="L272" i="11"/>
  <c r="AH272" i="11"/>
  <c r="V272" i="11"/>
  <c r="AL272" i="11"/>
  <c r="W272" i="11"/>
  <c r="T272" i="11"/>
  <c r="N272" i="11"/>
  <c r="AP272" i="11"/>
  <c r="AK272" i="11"/>
  <c r="AE272" i="11"/>
  <c r="AB272" i="11"/>
  <c r="AA272" i="11"/>
  <c r="M272" i="11"/>
  <c r="AM272" i="11"/>
  <c r="AJ272" i="11"/>
  <c r="AO272" i="11"/>
  <c r="Q272" i="11"/>
  <c r="P272" i="11"/>
  <c r="S272" i="11"/>
  <c r="J272" i="11"/>
  <c r="R272" i="11"/>
  <c r="X272" i="11"/>
  <c r="AG272" i="11"/>
  <c r="AC272" i="11"/>
  <c r="Y272" i="11"/>
  <c r="AF272" i="11"/>
  <c r="I272" i="11"/>
  <c r="K272" i="11"/>
  <c r="Z272" i="11"/>
  <c r="AA240" i="11"/>
  <c r="AM240" i="11"/>
  <c r="R240" i="11"/>
  <c r="L240" i="11"/>
  <c r="I240" i="11"/>
  <c r="AI240" i="11"/>
  <c r="O240" i="11"/>
  <c r="AK240" i="11"/>
  <c r="W240" i="11"/>
  <c r="Q240" i="11"/>
  <c r="N240" i="11"/>
  <c r="AB240" i="11"/>
  <c r="AC240" i="11"/>
  <c r="T240" i="11"/>
  <c r="Y240" i="11"/>
  <c r="V240" i="11"/>
  <c r="AN240" i="11"/>
  <c r="AP240" i="11"/>
  <c r="AG240" i="11"/>
  <c r="AD240" i="11"/>
  <c r="U240" i="11"/>
  <c r="J240" i="11"/>
  <c r="AO240" i="11"/>
  <c r="AL240" i="11"/>
  <c r="AH240" i="11"/>
  <c r="X240" i="11"/>
  <c r="K240" i="11"/>
  <c r="M240" i="11"/>
  <c r="P240" i="11"/>
  <c r="AE240" i="11"/>
  <c r="S240" i="11"/>
  <c r="Z240" i="11"/>
  <c r="AJ240" i="11"/>
  <c r="AF240" i="11"/>
  <c r="AH664" i="11"/>
  <c r="AM664" i="11"/>
  <c r="Y664" i="11"/>
  <c r="AI664" i="11"/>
  <c r="AD664" i="11"/>
  <c r="L664" i="11"/>
  <c r="AE664" i="11"/>
  <c r="AK664" i="11"/>
  <c r="N664" i="11"/>
  <c r="W664" i="11"/>
  <c r="P664" i="11"/>
  <c r="Q664" i="11"/>
  <c r="K664" i="11"/>
  <c r="U664" i="11"/>
  <c r="J664" i="11"/>
  <c r="AB664" i="11"/>
  <c r="AA664" i="11"/>
  <c r="AP664" i="11"/>
  <c r="AN664" i="11"/>
  <c r="AF664" i="11"/>
  <c r="AL664" i="11"/>
  <c r="AJ664" i="11"/>
  <c r="S664" i="11"/>
  <c r="X664" i="11"/>
  <c r="AC664" i="11"/>
  <c r="AO664" i="11"/>
  <c r="AG664" i="11"/>
  <c r="I664" i="11"/>
  <c r="R664" i="11"/>
  <c r="M664" i="11"/>
  <c r="Z664" i="11"/>
  <c r="O664" i="11"/>
  <c r="V664" i="11"/>
  <c r="T664" i="11"/>
  <c r="AG632" i="11"/>
  <c r="I632" i="11"/>
  <c r="O632" i="11"/>
  <c r="Y632" i="11"/>
  <c r="AF632" i="11"/>
  <c r="K632" i="11"/>
  <c r="M632" i="11"/>
  <c r="AN632" i="11"/>
  <c r="AO632" i="11"/>
  <c r="AH632" i="11"/>
  <c r="U632" i="11"/>
  <c r="AK632" i="11"/>
  <c r="S632" i="11"/>
  <c r="N632" i="11"/>
  <c r="AL632" i="11"/>
  <c r="AJ632" i="11"/>
  <c r="AP632" i="11"/>
  <c r="AA632" i="11"/>
  <c r="AC632" i="11"/>
  <c r="AI632" i="11"/>
  <c r="L632" i="11"/>
  <c r="AE632" i="11"/>
  <c r="P632" i="11"/>
  <c r="AM632" i="11"/>
  <c r="J632" i="11"/>
  <c r="X632" i="11"/>
  <c r="Q632" i="11"/>
  <c r="W632" i="11"/>
  <c r="R632" i="11"/>
  <c r="AD632" i="11"/>
  <c r="Z632" i="11"/>
  <c r="AB632" i="11"/>
  <c r="V632" i="11"/>
  <c r="T632" i="11"/>
  <c r="U600" i="11"/>
  <c r="X600" i="11"/>
  <c r="AD600" i="11"/>
  <c r="S600" i="11"/>
  <c r="W600" i="11"/>
  <c r="T600" i="11"/>
  <c r="AA600" i="11"/>
  <c r="M600" i="11"/>
  <c r="AC600" i="11"/>
  <c r="AP600" i="11"/>
  <c r="AI600" i="11"/>
  <c r="Y600" i="11"/>
  <c r="J600" i="11"/>
  <c r="AO600" i="11"/>
  <c r="AL600" i="11"/>
  <c r="AH600" i="11"/>
  <c r="AB600" i="11"/>
  <c r="AN600" i="11"/>
  <c r="V600" i="11"/>
  <c r="AJ600" i="11"/>
  <c r="R600" i="11"/>
  <c r="I600" i="11"/>
  <c r="O600" i="11"/>
  <c r="AF600" i="11"/>
  <c r="L600" i="11"/>
  <c r="AK600" i="11"/>
  <c r="AE600" i="11"/>
  <c r="AM600" i="11"/>
  <c r="N600" i="11"/>
  <c r="Z600" i="11"/>
  <c r="AG600" i="11"/>
  <c r="P600" i="11"/>
  <c r="K600" i="11"/>
  <c r="Q600" i="11"/>
  <c r="Y568" i="11"/>
  <c r="W568" i="11"/>
  <c r="M568" i="11"/>
  <c r="AG568" i="11"/>
  <c r="L568" i="11"/>
  <c r="AE568" i="11"/>
  <c r="AA568" i="11"/>
  <c r="K568" i="11"/>
  <c r="AO568" i="11"/>
  <c r="AM568" i="11"/>
  <c r="AN568" i="11"/>
  <c r="X568" i="11"/>
  <c r="P568" i="11"/>
  <c r="N568" i="11"/>
  <c r="J568" i="11"/>
  <c r="Q568" i="11"/>
  <c r="AJ568" i="11"/>
  <c r="I568" i="11"/>
  <c r="V568" i="11"/>
  <c r="R568" i="11"/>
  <c r="AC568" i="11"/>
  <c r="U568" i="11"/>
  <c r="AD568" i="11"/>
  <c r="Z568" i="11"/>
  <c r="S568" i="11"/>
  <c r="AB568" i="11"/>
  <c r="AL568" i="11"/>
  <c r="AH568" i="11"/>
  <c r="AF568" i="11"/>
  <c r="AI568" i="11"/>
  <c r="O568" i="11"/>
  <c r="AP568" i="11"/>
  <c r="T568" i="11"/>
  <c r="AK568" i="11"/>
  <c r="AL536" i="11"/>
  <c r="AO536" i="11"/>
  <c r="AH536" i="11"/>
  <c r="J536" i="11"/>
  <c r="I536" i="11"/>
  <c r="L536" i="11"/>
  <c r="N536" i="11"/>
  <c r="R536" i="11"/>
  <c r="Z536" i="11"/>
  <c r="Q536" i="11"/>
  <c r="W536" i="11"/>
  <c r="AB536" i="11"/>
  <c r="AK536" i="11"/>
  <c r="AJ536" i="11"/>
  <c r="M536" i="11"/>
  <c r="AE536" i="11"/>
  <c r="AP536" i="11"/>
  <c r="S536" i="11"/>
  <c r="U536" i="11"/>
  <c r="AM536" i="11"/>
  <c r="P536" i="11"/>
  <c r="AN536" i="11"/>
  <c r="K536" i="11"/>
  <c r="O536" i="11"/>
  <c r="AC536" i="11"/>
  <c r="X536" i="11"/>
  <c r="V536" i="11"/>
  <c r="Y536" i="11"/>
  <c r="T536" i="11"/>
  <c r="AA536" i="11"/>
  <c r="AD536" i="11"/>
  <c r="AG536" i="11"/>
  <c r="AI536" i="11"/>
  <c r="AF536" i="11"/>
  <c r="T504" i="11"/>
  <c r="M504" i="11"/>
  <c r="R504" i="11"/>
  <c r="AA504" i="11"/>
  <c r="AO504" i="11"/>
  <c r="AK504" i="11"/>
  <c r="L504" i="11"/>
  <c r="P504" i="11"/>
  <c r="K504" i="11"/>
  <c r="AH504" i="11"/>
  <c r="W504" i="11"/>
  <c r="AN504" i="11"/>
  <c r="AD504" i="11"/>
  <c r="Z504" i="11"/>
  <c r="AE504" i="11"/>
  <c r="N504" i="11"/>
  <c r="AB504" i="11"/>
  <c r="S504" i="11"/>
  <c r="Q504" i="11"/>
  <c r="AJ504" i="11"/>
  <c r="AG504" i="11"/>
  <c r="AM504" i="11"/>
  <c r="U504" i="11"/>
  <c r="Y504" i="11"/>
  <c r="V504" i="11"/>
  <c r="AC504" i="11"/>
  <c r="AL504" i="11"/>
  <c r="AI504" i="11"/>
  <c r="X504" i="11"/>
  <c r="I504" i="11"/>
  <c r="AP504" i="11"/>
  <c r="AF504" i="11"/>
  <c r="J504" i="11"/>
  <c r="O504" i="11"/>
  <c r="L472" i="11"/>
  <c r="N472" i="11"/>
  <c r="Q472" i="11"/>
  <c r="V472" i="11"/>
  <c r="K472" i="11"/>
  <c r="O472" i="11"/>
  <c r="AC472" i="11"/>
  <c r="Y472" i="11"/>
  <c r="M472" i="11"/>
  <c r="AB472" i="11"/>
  <c r="AO472" i="11"/>
  <c r="AP472" i="11"/>
  <c r="AJ472" i="11"/>
  <c r="U472" i="11"/>
  <c r="AD472" i="11"/>
  <c r="AE472" i="11"/>
  <c r="AK472" i="11"/>
  <c r="J472" i="11"/>
  <c r="S472" i="11"/>
  <c r="AM472" i="11"/>
  <c r="R472" i="11"/>
  <c r="X472" i="11"/>
  <c r="AI472" i="11"/>
  <c r="AN472" i="11"/>
  <c r="AH472" i="11"/>
  <c r="T472" i="11"/>
  <c r="P472" i="11"/>
  <c r="I472" i="11"/>
  <c r="AA472" i="11"/>
  <c r="W472" i="11"/>
  <c r="Z472" i="11"/>
  <c r="AG472" i="11"/>
  <c r="AL472" i="11"/>
  <c r="AF472" i="11"/>
  <c r="AG439" i="11"/>
  <c r="AB439" i="11"/>
  <c r="AF439" i="11"/>
  <c r="R439" i="11"/>
  <c r="AO439" i="11"/>
  <c r="AJ439" i="11"/>
  <c r="AN439" i="11"/>
  <c r="AM439" i="11"/>
  <c r="I439" i="11"/>
  <c r="T439" i="11"/>
  <c r="AE439" i="11"/>
  <c r="AD439" i="11"/>
  <c r="Q439" i="11"/>
  <c r="M439" i="11"/>
  <c r="N439" i="11"/>
  <c r="Y439" i="11"/>
  <c r="U439" i="11"/>
  <c r="AH439" i="11"/>
  <c r="K439" i="11"/>
  <c r="AC439" i="11"/>
  <c r="O439" i="11"/>
  <c r="S439" i="11"/>
  <c r="AK439" i="11"/>
  <c r="AL439" i="11"/>
  <c r="AA439" i="11"/>
  <c r="P439" i="11"/>
  <c r="V439" i="11"/>
  <c r="AI439" i="11"/>
  <c r="X439" i="11"/>
  <c r="AP439" i="11"/>
  <c r="L439" i="11"/>
  <c r="J439" i="11"/>
  <c r="W439" i="11"/>
  <c r="Z439" i="11"/>
  <c r="AO407" i="11"/>
  <c r="V407" i="11"/>
  <c r="T407" i="11"/>
  <c r="O407" i="11"/>
  <c r="AB407" i="11"/>
  <c r="AD407" i="11"/>
  <c r="AG407" i="11"/>
  <c r="AA407" i="11"/>
  <c r="AE407" i="11"/>
  <c r="N407" i="11"/>
  <c r="X407" i="11"/>
  <c r="P407" i="11"/>
  <c r="AL407" i="11"/>
  <c r="AJ407" i="11"/>
  <c r="Q407" i="11"/>
  <c r="J407" i="11"/>
  <c r="L407" i="11"/>
  <c r="W407" i="11"/>
  <c r="R407" i="11"/>
  <c r="Y407" i="11"/>
  <c r="AI407" i="11"/>
  <c r="M407" i="11"/>
  <c r="Z407" i="11"/>
  <c r="AM407" i="11"/>
  <c r="I407" i="11"/>
  <c r="U407" i="11"/>
  <c r="AH407" i="11"/>
  <c r="AN407" i="11"/>
  <c r="AC407" i="11"/>
  <c r="AP407" i="11"/>
  <c r="S407" i="11"/>
  <c r="AK407" i="11"/>
  <c r="K407" i="11"/>
  <c r="AF407" i="11"/>
  <c r="I375" i="11"/>
  <c r="Q375" i="11"/>
  <c r="AG375" i="11"/>
  <c r="AH375" i="11"/>
  <c r="AE375" i="11"/>
  <c r="AD375" i="11"/>
  <c r="AO375" i="11"/>
  <c r="P375" i="11"/>
  <c r="S375" i="11"/>
  <c r="AJ375" i="11"/>
  <c r="M375" i="11"/>
  <c r="AA375" i="11"/>
  <c r="AF375" i="11"/>
  <c r="AM375" i="11"/>
  <c r="U375" i="11"/>
  <c r="AL375" i="11"/>
  <c r="T375" i="11"/>
  <c r="J375" i="11"/>
  <c r="AC375" i="11"/>
  <c r="N375" i="11"/>
  <c r="AI375" i="11"/>
  <c r="O375" i="11"/>
  <c r="AK375" i="11"/>
  <c r="AB375" i="11"/>
  <c r="K375" i="11"/>
  <c r="X375" i="11"/>
  <c r="L375" i="11"/>
  <c r="AP375" i="11"/>
  <c r="Z375" i="11"/>
  <c r="V375" i="11"/>
  <c r="Y375" i="11"/>
  <c r="W375" i="11"/>
  <c r="R375" i="11"/>
  <c r="AN375" i="11"/>
  <c r="AN343" i="11"/>
  <c r="AC343" i="11"/>
  <c r="T343" i="11"/>
  <c r="N343" i="11"/>
  <c r="I343" i="11"/>
  <c r="AK343" i="11"/>
  <c r="AH343" i="11"/>
  <c r="AI343" i="11"/>
  <c r="Q343" i="11"/>
  <c r="L343" i="11"/>
  <c r="W343" i="11"/>
  <c r="R343" i="11"/>
  <c r="Y343" i="11"/>
  <c r="Z343" i="11"/>
  <c r="AA343" i="11"/>
  <c r="AJ343" i="11"/>
  <c r="AG343" i="11"/>
  <c r="AL343" i="11"/>
  <c r="J343" i="11"/>
  <c r="V343" i="11"/>
  <c r="P343" i="11"/>
  <c r="AO343" i="11"/>
  <c r="O343" i="11"/>
  <c r="AD343" i="11"/>
  <c r="AM343" i="11"/>
  <c r="X343" i="11"/>
  <c r="M343" i="11"/>
  <c r="AB343" i="11"/>
  <c r="K343" i="11"/>
  <c r="S343" i="11"/>
  <c r="AF343" i="11"/>
  <c r="U343" i="11"/>
  <c r="AP343" i="11"/>
  <c r="AE343" i="11"/>
  <c r="AG311" i="11"/>
  <c r="V311" i="11"/>
  <c r="W311" i="11"/>
  <c r="O311" i="11"/>
  <c r="J311" i="11"/>
  <c r="AL311" i="11"/>
  <c r="L311" i="11"/>
  <c r="AN311" i="11"/>
  <c r="R311" i="11"/>
  <c r="T311" i="11"/>
  <c r="X311" i="11"/>
  <c r="S311" i="11"/>
  <c r="I311" i="11"/>
  <c r="AH311" i="11"/>
  <c r="U311" i="11"/>
  <c r="M311" i="11"/>
  <c r="AC311" i="11"/>
  <c r="Q311" i="11"/>
  <c r="AP311" i="11"/>
  <c r="AI311" i="11"/>
  <c r="AA311" i="11"/>
  <c r="P311" i="11"/>
  <c r="Y311" i="11"/>
  <c r="N311" i="11"/>
  <c r="K311" i="11"/>
  <c r="AM311" i="11"/>
  <c r="AB311" i="11"/>
  <c r="AE311" i="11"/>
  <c r="AO311" i="11"/>
  <c r="Z311" i="11"/>
  <c r="AD311" i="11"/>
  <c r="AF311" i="11"/>
  <c r="AJ311" i="11"/>
  <c r="AK311" i="11"/>
  <c r="Q279" i="11"/>
  <c r="Y279" i="11"/>
  <c r="R279" i="11"/>
  <c r="L279" i="11"/>
  <c r="P279" i="11"/>
  <c r="U279" i="11"/>
  <c r="Z279" i="11"/>
  <c r="X279" i="11"/>
  <c r="AJ279" i="11"/>
  <c r="W279" i="11"/>
  <c r="AH279" i="11"/>
  <c r="AK279" i="11"/>
  <c r="S279" i="11"/>
  <c r="AE279" i="11"/>
  <c r="AP279" i="11"/>
  <c r="M279" i="11"/>
  <c r="AN279" i="11"/>
  <c r="AB279" i="11"/>
  <c r="I279" i="11"/>
  <c r="N279" i="11"/>
  <c r="AA279" i="11"/>
  <c r="AC279" i="11"/>
  <c r="AG279" i="11"/>
  <c r="V279" i="11"/>
  <c r="AM279" i="11"/>
  <c r="AI279" i="11"/>
  <c r="AO279" i="11"/>
  <c r="AD279" i="11"/>
  <c r="T279" i="11"/>
  <c r="K279" i="11"/>
  <c r="J279" i="11"/>
  <c r="AL279" i="11"/>
  <c r="AF279" i="11"/>
  <c r="O279" i="11"/>
  <c r="AC247" i="11"/>
  <c r="T247" i="11"/>
  <c r="O247" i="11"/>
  <c r="AO247" i="11"/>
  <c r="AK247" i="11"/>
  <c r="AG247" i="11"/>
  <c r="AJ247" i="11"/>
  <c r="L247" i="11"/>
  <c r="K247" i="11"/>
  <c r="P247" i="11"/>
  <c r="N247" i="11"/>
  <c r="AD247" i="11"/>
  <c r="V247" i="11"/>
  <c r="S247" i="11"/>
  <c r="X247" i="11"/>
  <c r="Z247" i="11"/>
  <c r="AH247" i="11"/>
  <c r="AB247" i="11"/>
  <c r="AA247" i="11"/>
  <c r="AF247" i="11"/>
  <c r="AM247" i="11"/>
  <c r="Q247" i="11"/>
  <c r="AI247" i="11"/>
  <c r="AN247" i="11"/>
  <c r="W247" i="11"/>
  <c r="I247" i="11"/>
  <c r="M247" i="11"/>
  <c r="R247" i="11"/>
  <c r="AP247" i="11"/>
  <c r="J247" i="11"/>
  <c r="U247" i="11"/>
  <c r="AE247" i="11"/>
  <c r="Y247" i="11"/>
  <c r="AL247" i="11"/>
  <c r="Q671" i="11"/>
  <c r="N671" i="11"/>
  <c r="S671" i="11"/>
  <c r="W671" i="11"/>
  <c r="X671" i="11"/>
  <c r="L671" i="11"/>
  <c r="AC671" i="11"/>
  <c r="J671" i="11"/>
  <c r="AL671" i="11"/>
  <c r="AF671" i="11"/>
  <c r="AJ671" i="11"/>
  <c r="U671" i="11"/>
  <c r="AN671" i="11"/>
  <c r="AA671" i="11"/>
  <c r="AH671" i="11"/>
  <c r="I671" i="11"/>
  <c r="AM671" i="11"/>
  <c r="V671" i="11"/>
  <c r="Y671" i="11"/>
  <c r="O671" i="11"/>
  <c r="AI671" i="11"/>
  <c r="AG671" i="11"/>
  <c r="AP671" i="11"/>
  <c r="K671" i="11"/>
  <c r="AO671" i="11"/>
  <c r="R671" i="11"/>
  <c r="AK671" i="11"/>
  <c r="T671" i="11"/>
  <c r="AD671" i="11"/>
  <c r="M671" i="11"/>
  <c r="P671" i="11"/>
  <c r="AB671" i="11"/>
  <c r="AE671" i="11"/>
  <c r="Z671" i="11"/>
  <c r="AH639" i="11"/>
  <c r="R639" i="11"/>
  <c r="Y639" i="11"/>
  <c r="Q639" i="11"/>
  <c r="AL639" i="11"/>
  <c r="K639" i="11"/>
  <c r="L639" i="11"/>
  <c r="P639" i="11"/>
  <c r="AA639" i="11"/>
  <c r="AE639" i="11"/>
  <c r="I639" i="11"/>
  <c r="M639" i="11"/>
  <c r="N639" i="11"/>
  <c r="V639" i="11"/>
  <c r="AI639" i="11"/>
  <c r="AF639" i="11"/>
  <c r="AP639" i="11"/>
  <c r="T639" i="11"/>
  <c r="AN639" i="11"/>
  <c r="W639" i="11"/>
  <c r="Z639" i="11"/>
  <c r="AM639" i="11"/>
  <c r="AB639" i="11"/>
  <c r="O639" i="11"/>
  <c r="AD639" i="11"/>
  <c r="AJ639" i="11"/>
  <c r="AO639" i="11"/>
  <c r="U639" i="11"/>
  <c r="S639" i="11"/>
  <c r="AC639" i="11"/>
  <c r="AG639" i="11"/>
  <c r="AK639" i="11"/>
  <c r="J639" i="11"/>
  <c r="X639" i="11"/>
  <c r="L607" i="11"/>
  <c r="AM607" i="11"/>
  <c r="AH607" i="11"/>
  <c r="N607" i="11"/>
  <c r="AO607" i="11"/>
  <c r="O607" i="11"/>
  <c r="AB607" i="11"/>
  <c r="M607" i="11"/>
  <c r="I607" i="11"/>
  <c r="AF607" i="11"/>
  <c r="W607" i="11"/>
  <c r="AD607" i="11"/>
  <c r="K607" i="11"/>
  <c r="J607" i="11"/>
  <c r="AL607" i="11"/>
  <c r="X607" i="11"/>
  <c r="P607" i="11"/>
  <c r="AG607" i="11"/>
  <c r="AP607" i="11"/>
  <c r="R607" i="11"/>
  <c r="Z607" i="11"/>
  <c r="U607" i="11"/>
  <c r="AE607" i="11"/>
  <c r="AA607" i="11"/>
  <c r="AC607" i="11"/>
  <c r="S607" i="11"/>
  <c r="AK607" i="11"/>
  <c r="AJ607" i="11"/>
  <c r="V607" i="11"/>
  <c r="AI607" i="11"/>
  <c r="Q607" i="11"/>
  <c r="T607" i="11"/>
  <c r="Y607" i="11"/>
  <c r="AN607" i="11"/>
  <c r="AL575" i="11"/>
  <c r="AG575" i="11"/>
  <c r="AI575" i="11"/>
  <c r="AD575" i="11"/>
  <c r="R575" i="11"/>
  <c r="AN575" i="11"/>
  <c r="AB575" i="11"/>
  <c r="O575" i="11"/>
  <c r="AH575" i="11"/>
  <c r="L575" i="11"/>
  <c r="AC575" i="11"/>
  <c r="AA575" i="11"/>
  <c r="P575" i="11"/>
  <c r="T575" i="11"/>
  <c r="AP575" i="11"/>
  <c r="U575" i="11"/>
  <c r="X575" i="11"/>
  <c r="V575" i="11"/>
  <c r="S575" i="11"/>
  <c r="AF575" i="11"/>
  <c r="K575" i="11"/>
  <c r="AM575" i="11"/>
  <c r="I575" i="11"/>
  <c r="W575" i="11"/>
  <c r="Q575" i="11"/>
  <c r="AK575" i="11"/>
  <c r="Y575" i="11"/>
  <c r="Z575" i="11"/>
  <c r="AO575" i="11"/>
  <c r="M575" i="11"/>
  <c r="AJ575" i="11"/>
  <c r="AE575" i="11"/>
  <c r="J575" i="11"/>
  <c r="N575" i="11"/>
  <c r="AG543" i="11"/>
  <c r="J543" i="11"/>
  <c r="Z543" i="11"/>
  <c r="AE543" i="11"/>
  <c r="P543" i="11"/>
  <c r="AO543" i="11"/>
  <c r="V543" i="11"/>
  <c r="AC543" i="11"/>
  <c r="AL543" i="11"/>
  <c r="Q543" i="11"/>
  <c r="AJ543" i="11"/>
  <c r="O543" i="11"/>
  <c r="Y543" i="11"/>
  <c r="N543" i="11"/>
  <c r="AK543" i="11"/>
  <c r="K543" i="11"/>
  <c r="AB543" i="11"/>
  <c r="M543" i="11"/>
  <c r="S543" i="11"/>
  <c r="AM543" i="11"/>
  <c r="W543" i="11"/>
  <c r="X543" i="11"/>
  <c r="AA543" i="11"/>
  <c r="T543" i="11"/>
  <c r="R543" i="11"/>
  <c r="AF543" i="11"/>
  <c r="AI543" i="11"/>
  <c r="AP543" i="11"/>
  <c r="AN543" i="11"/>
  <c r="U543" i="11"/>
  <c r="L543" i="11"/>
  <c r="I543" i="11"/>
  <c r="AH543" i="11"/>
  <c r="AD543" i="11"/>
  <c r="R511" i="11"/>
  <c r="T511" i="11"/>
  <c r="O511" i="11"/>
  <c r="K511" i="11"/>
  <c r="Z511" i="11"/>
  <c r="AE511" i="11"/>
  <c r="AF511" i="11"/>
  <c r="Q511" i="11"/>
  <c r="AH511" i="11"/>
  <c r="AO511" i="11"/>
  <c r="P511" i="11"/>
  <c r="Y511" i="11"/>
  <c r="N511" i="11"/>
  <c r="AP511" i="11"/>
  <c r="M511" i="11"/>
  <c r="AG511" i="11"/>
  <c r="AJ511" i="11"/>
  <c r="V511" i="11"/>
  <c r="S511" i="11"/>
  <c r="X511" i="11"/>
  <c r="U511" i="11"/>
  <c r="AA511" i="11"/>
  <c r="AD511" i="11"/>
  <c r="AC511" i="11"/>
  <c r="AI511" i="11"/>
  <c r="AK511" i="11"/>
  <c r="AL511" i="11"/>
  <c r="AN511" i="11"/>
  <c r="L511" i="11"/>
  <c r="W511" i="11"/>
  <c r="J511" i="11"/>
  <c r="I511" i="11"/>
  <c r="AB511" i="11"/>
  <c r="AM511" i="11"/>
  <c r="V479" i="11"/>
  <c r="AF479" i="11"/>
  <c r="AA479" i="11"/>
  <c r="P479" i="11"/>
  <c r="AD479" i="11"/>
  <c r="T479" i="11"/>
  <c r="O479" i="11"/>
  <c r="W479" i="11"/>
  <c r="I479" i="11"/>
  <c r="AH479" i="11"/>
  <c r="AI479" i="11"/>
  <c r="AJ479" i="11"/>
  <c r="M479" i="11"/>
  <c r="Q479" i="11"/>
  <c r="L479" i="11"/>
  <c r="AB479" i="11"/>
  <c r="R479" i="11"/>
  <c r="U479" i="11"/>
  <c r="Y479" i="11"/>
  <c r="Z479" i="11"/>
  <c r="AE479" i="11"/>
  <c r="AM479" i="11"/>
  <c r="AC479" i="11"/>
  <c r="AG479" i="11"/>
  <c r="AL479" i="11"/>
  <c r="K479" i="11"/>
  <c r="AK479" i="11"/>
  <c r="AO479" i="11"/>
  <c r="X479" i="11"/>
  <c r="AN479" i="11"/>
  <c r="N479" i="11"/>
  <c r="S479" i="11"/>
  <c r="AP479" i="11"/>
  <c r="J479" i="11"/>
  <c r="AN442" i="11"/>
  <c r="N442" i="11"/>
  <c r="W442" i="11"/>
  <c r="Q442" i="11"/>
  <c r="AI442" i="11"/>
  <c r="AB442" i="11"/>
  <c r="AE442" i="11"/>
  <c r="AD442" i="11"/>
  <c r="K442" i="11"/>
  <c r="AO442" i="11"/>
  <c r="AM442" i="11"/>
  <c r="S442" i="11"/>
  <c r="X442" i="11"/>
  <c r="M442" i="11"/>
  <c r="J442" i="11"/>
  <c r="AF442" i="11"/>
  <c r="AJ442" i="11"/>
  <c r="U442" i="11"/>
  <c r="R442" i="11"/>
  <c r="T442" i="11"/>
  <c r="L442" i="11"/>
  <c r="AC442" i="11"/>
  <c r="Z442" i="11"/>
  <c r="AG442" i="11"/>
  <c r="Y442" i="11"/>
  <c r="AK442" i="11"/>
  <c r="AH442" i="11"/>
  <c r="I442" i="11"/>
  <c r="AL442" i="11"/>
  <c r="O442" i="11"/>
  <c r="AP442" i="11"/>
  <c r="V442" i="11"/>
  <c r="P442" i="11"/>
  <c r="AA442" i="11"/>
  <c r="W410" i="11"/>
  <c r="T410" i="11"/>
  <c r="AK410" i="11"/>
  <c r="AG410" i="11"/>
  <c r="AE410" i="11"/>
  <c r="AB410" i="11"/>
  <c r="M410" i="11"/>
  <c r="Q410" i="11"/>
  <c r="AM410" i="11"/>
  <c r="AJ410" i="11"/>
  <c r="Z410" i="11"/>
  <c r="R410" i="11"/>
  <c r="P410" i="11"/>
  <c r="I410" i="11"/>
  <c r="AL410" i="11"/>
  <c r="V410" i="11"/>
  <c r="X410" i="11"/>
  <c r="U410" i="11"/>
  <c r="N410" i="11"/>
  <c r="AC410" i="11"/>
  <c r="AF410" i="11"/>
  <c r="AH410" i="11"/>
  <c r="AA410" i="11"/>
  <c r="AD410" i="11"/>
  <c r="AN410" i="11"/>
  <c r="K410" i="11"/>
  <c r="AO410" i="11"/>
  <c r="AI410" i="11"/>
  <c r="O410" i="11"/>
  <c r="L410" i="11"/>
  <c r="Y410" i="11"/>
  <c r="S410" i="11"/>
  <c r="J410" i="11"/>
  <c r="AP410" i="11"/>
  <c r="O378" i="11"/>
  <c r="I378" i="11"/>
  <c r="AJ378" i="11"/>
  <c r="R378" i="11"/>
  <c r="W378" i="11"/>
  <c r="Q378" i="11"/>
  <c r="AA378" i="11"/>
  <c r="AL378" i="11"/>
  <c r="AE378" i="11"/>
  <c r="Y378" i="11"/>
  <c r="J378" i="11"/>
  <c r="S378" i="11"/>
  <c r="AM378" i="11"/>
  <c r="AG378" i="11"/>
  <c r="AD378" i="11"/>
  <c r="AP378" i="11"/>
  <c r="M378" i="11"/>
  <c r="P378" i="11"/>
  <c r="AO378" i="11"/>
  <c r="K378" i="11"/>
  <c r="Z378" i="11"/>
  <c r="U378" i="11"/>
  <c r="X378" i="11"/>
  <c r="L378" i="11"/>
  <c r="AH378" i="11"/>
  <c r="V378" i="11"/>
  <c r="AC378" i="11"/>
  <c r="AF378" i="11"/>
  <c r="T378" i="11"/>
  <c r="N378" i="11"/>
  <c r="AK378" i="11"/>
  <c r="AN378" i="11"/>
  <c r="AB378" i="11"/>
  <c r="AI378" i="11"/>
  <c r="Z346" i="11"/>
  <c r="W346" i="11"/>
  <c r="AO346" i="11"/>
  <c r="AF346" i="11"/>
  <c r="AH346" i="11"/>
  <c r="AE346" i="11"/>
  <c r="U346" i="11"/>
  <c r="N346" i="11"/>
  <c r="S346" i="11"/>
  <c r="P346" i="11"/>
  <c r="AJ346" i="11"/>
  <c r="AA346" i="11"/>
  <c r="AC346" i="11"/>
  <c r="Q346" i="11"/>
  <c r="AI346" i="11"/>
  <c r="AG346" i="11"/>
  <c r="AK346" i="11"/>
  <c r="O346" i="11"/>
  <c r="X346" i="11"/>
  <c r="V346" i="11"/>
  <c r="J346" i="11"/>
  <c r="AM346" i="11"/>
  <c r="AB346" i="11"/>
  <c r="T346" i="11"/>
  <c r="R346" i="11"/>
  <c r="M346" i="11"/>
  <c r="I346" i="11"/>
  <c r="AN346" i="11"/>
  <c r="AP346" i="11"/>
  <c r="Y346" i="11"/>
  <c r="AD346" i="11"/>
  <c r="K346" i="11"/>
  <c r="AL346" i="11"/>
  <c r="L346" i="11"/>
  <c r="AA314" i="11"/>
  <c r="AF314" i="11"/>
  <c r="M314" i="11"/>
  <c r="AE314" i="11"/>
  <c r="AI314" i="11"/>
  <c r="AN314" i="11"/>
  <c r="Y314" i="11"/>
  <c r="AD314" i="11"/>
  <c r="U314" i="11"/>
  <c r="S314" i="11"/>
  <c r="I314" i="11"/>
  <c r="O314" i="11"/>
  <c r="AH314" i="11"/>
  <c r="L314" i="11"/>
  <c r="V314" i="11"/>
  <c r="AC314" i="11"/>
  <c r="T314" i="11"/>
  <c r="J314" i="11"/>
  <c r="R314" i="11"/>
  <c r="AB314" i="11"/>
  <c r="W314" i="11"/>
  <c r="AM314" i="11"/>
  <c r="AJ314" i="11"/>
  <c r="AK314" i="11"/>
  <c r="AP314" i="11"/>
  <c r="P314" i="11"/>
  <c r="AL314" i="11"/>
  <c r="Q314" i="11"/>
  <c r="Z314" i="11"/>
  <c r="X314" i="11"/>
  <c r="N314" i="11"/>
  <c r="AG314" i="11"/>
  <c r="K314" i="11"/>
  <c r="AO314" i="11"/>
  <c r="AA282" i="11"/>
  <c r="AF282" i="11"/>
  <c r="U282" i="11"/>
  <c r="AE282" i="11"/>
  <c r="AI282" i="11"/>
  <c r="AN282" i="11"/>
  <c r="AG282" i="11"/>
  <c r="AH282" i="11"/>
  <c r="AJ282" i="11"/>
  <c r="AM282" i="11"/>
  <c r="J282" i="11"/>
  <c r="P282" i="11"/>
  <c r="Q282" i="11"/>
  <c r="O282" i="11"/>
  <c r="X282" i="11"/>
  <c r="AK282" i="11"/>
  <c r="V282" i="11"/>
  <c r="K282" i="11"/>
  <c r="M282" i="11"/>
  <c r="R282" i="11"/>
  <c r="AC282" i="11"/>
  <c r="S282" i="11"/>
  <c r="Y282" i="11"/>
  <c r="AO282" i="11"/>
  <c r="W282" i="11"/>
  <c r="L282" i="11"/>
  <c r="AL282" i="11"/>
  <c r="I282" i="11"/>
  <c r="AB282" i="11"/>
  <c r="AP282" i="11"/>
  <c r="T282" i="11"/>
  <c r="N282" i="11"/>
  <c r="AD282" i="11"/>
  <c r="Z282" i="11"/>
  <c r="N250" i="11"/>
  <c r="AD250" i="11"/>
  <c r="Q250" i="11"/>
  <c r="AC250" i="11"/>
  <c r="Z250" i="11"/>
  <c r="AA250" i="11"/>
  <c r="L250" i="11"/>
  <c r="AK250" i="11"/>
  <c r="AH250" i="11"/>
  <c r="AN250" i="11"/>
  <c r="I250" i="11"/>
  <c r="O250" i="11"/>
  <c r="AP250" i="11"/>
  <c r="X250" i="11"/>
  <c r="K250" i="11"/>
  <c r="W250" i="11"/>
  <c r="S250" i="11"/>
  <c r="Y250" i="11"/>
  <c r="AL250" i="11"/>
  <c r="AE250" i="11"/>
  <c r="AF250" i="11"/>
  <c r="P250" i="11"/>
  <c r="V250" i="11"/>
  <c r="M250" i="11"/>
  <c r="AG250" i="11"/>
  <c r="AO250" i="11"/>
  <c r="R250" i="11"/>
  <c r="AM250" i="11"/>
  <c r="T250" i="11"/>
  <c r="AJ250" i="11"/>
  <c r="AI250" i="11"/>
  <c r="J250" i="11"/>
  <c r="AB250" i="11"/>
  <c r="U250" i="11"/>
  <c r="AA670" i="11"/>
  <c r="AJ670" i="11"/>
  <c r="AB670" i="11"/>
  <c r="AF670" i="11"/>
  <c r="Z670" i="11"/>
  <c r="V670" i="11"/>
  <c r="AK670" i="11"/>
  <c r="AC670" i="11"/>
  <c r="AH670" i="11"/>
  <c r="AD670" i="11"/>
  <c r="M670" i="11"/>
  <c r="AO670" i="11"/>
  <c r="S670" i="11"/>
  <c r="W670" i="11"/>
  <c r="O670" i="11"/>
  <c r="T670" i="11"/>
  <c r="R670" i="11"/>
  <c r="X670" i="11"/>
  <c r="AG670" i="11"/>
  <c r="AP670" i="11"/>
  <c r="Y670" i="11"/>
  <c r="K670" i="11"/>
  <c r="AM670" i="11"/>
  <c r="AI670" i="11"/>
  <c r="AN670" i="11"/>
  <c r="N670" i="11"/>
  <c r="P670" i="11"/>
  <c r="AL670" i="11"/>
  <c r="Q670" i="11"/>
  <c r="I670" i="11"/>
  <c r="AE670" i="11"/>
  <c r="J670" i="11"/>
  <c r="L670" i="11"/>
  <c r="U670" i="11"/>
  <c r="AM638" i="11"/>
  <c r="AI638" i="11"/>
  <c r="AG638" i="11"/>
  <c r="S638" i="11"/>
  <c r="AL638" i="11"/>
  <c r="AH638" i="11"/>
  <c r="P638" i="11"/>
  <c r="AC638" i="11"/>
  <c r="V638" i="11"/>
  <c r="AD638" i="11"/>
  <c r="O638" i="11"/>
  <c r="W638" i="11"/>
  <c r="K638" i="11"/>
  <c r="Y638" i="11"/>
  <c r="AE638" i="11"/>
  <c r="J638" i="11"/>
  <c r="R638" i="11"/>
  <c r="N638" i="11"/>
  <c r="Z638" i="11"/>
  <c r="AO638" i="11"/>
  <c r="T638" i="11"/>
  <c r="AP638" i="11"/>
  <c r="AK638" i="11"/>
  <c r="I638" i="11"/>
  <c r="AF638" i="11"/>
  <c r="U638" i="11"/>
  <c r="AN638" i="11"/>
  <c r="X638" i="11"/>
  <c r="L638" i="11"/>
  <c r="AJ638" i="11"/>
  <c r="AA638" i="11"/>
  <c r="AB638" i="11"/>
  <c r="M638" i="11"/>
  <c r="Q638" i="11"/>
  <c r="P606" i="11"/>
  <c r="M606" i="11"/>
  <c r="I606" i="11"/>
  <c r="V606" i="11"/>
  <c r="O606" i="11"/>
  <c r="K606" i="11"/>
  <c r="AB606" i="11"/>
  <c r="Q606" i="11"/>
  <c r="AP606" i="11"/>
  <c r="AM606" i="11"/>
  <c r="AL606" i="11"/>
  <c r="AJ606" i="11"/>
  <c r="AN606" i="11"/>
  <c r="T606" i="11"/>
  <c r="Y606" i="11"/>
  <c r="S606" i="11"/>
  <c r="AG606" i="11"/>
  <c r="U606" i="11"/>
  <c r="AE606" i="11"/>
  <c r="Z606" i="11"/>
  <c r="AH606" i="11"/>
  <c r="AO606" i="11"/>
  <c r="AC606" i="11"/>
  <c r="W606" i="11"/>
  <c r="L606" i="11"/>
  <c r="X606" i="11"/>
  <c r="R606" i="11"/>
  <c r="AF606" i="11"/>
  <c r="AK606" i="11"/>
  <c r="AA606" i="11"/>
  <c r="AD606" i="11"/>
  <c r="AI606" i="11"/>
  <c r="J606" i="11"/>
  <c r="N606" i="11"/>
  <c r="J574" i="11"/>
  <c r="AI574" i="11"/>
  <c r="AF574" i="11"/>
  <c r="Y574" i="11"/>
  <c r="AN574" i="11"/>
  <c r="AP574" i="11"/>
  <c r="AL574" i="11"/>
  <c r="P574" i="11"/>
  <c r="I574" i="11"/>
  <c r="N574" i="11"/>
  <c r="AK574" i="11"/>
  <c r="AC574" i="11"/>
  <c r="AH574" i="11"/>
  <c r="AE574" i="11"/>
  <c r="AB574" i="11"/>
  <c r="Q574" i="11"/>
  <c r="AG574" i="11"/>
  <c r="R574" i="11"/>
  <c r="T574" i="11"/>
  <c r="U574" i="11"/>
  <c r="Z574" i="11"/>
  <c r="L574" i="11"/>
  <c r="AJ574" i="11"/>
  <c r="K574" i="11"/>
  <c r="X574" i="11"/>
  <c r="O574" i="11"/>
  <c r="S574" i="11"/>
  <c r="AM574" i="11"/>
  <c r="AA574" i="11"/>
  <c r="W574" i="11"/>
  <c r="V574" i="11"/>
  <c r="AO574" i="11"/>
  <c r="AD574" i="11"/>
  <c r="M574" i="11"/>
  <c r="AH542" i="11"/>
  <c r="AC542" i="11"/>
  <c r="W542" i="11"/>
  <c r="X542" i="11"/>
  <c r="AA542" i="11"/>
  <c r="AO542" i="11"/>
  <c r="T542" i="11"/>
  <c r="AF542" i="11"/>
  <c r="Z542" i="11"/>
  <c r="P542" i="11"/>
  <c r="AM542" i="11"/>
  <c r="S542" i="11"/>
  <c r="AE542" i="11"/>
  <c r="AB542" i="11"/>
  <c r="AI542" i="11"/>
  <c r="I542" i="11"/>
  <c r="L542" i="11"/>
  <c r="R542" i="11"/>
  <c r="AK542" i="11"/>
  <c r="AG542" i="11"/>
  <c r="AL542" i="11"/>
  <c r="Q542" i="11"/>
  <c r="AJ542" i="11"/>
  <c r="J542" i="11"/>
  <c r="N542" i="11"/>
  <c r="AP542" i="11"/>
  <c r="V542" i="11"/>
  <c r="K542" i="11"/>
  <c r="AN542" i="11"/>
  <c r="M542" i="11"/>
  <c r="O542" i="11"/>
  <c r="U542" i="11"/>
  <c r="Y542" i="11"/>
  <c r="AD542" i="11"/>
  <c r="Y510" i="11"/>
  <c r="U510" i="11"/>
  <c r="AD510" i="11"/>
  <c r="AA510" i="11"/>
  <c r="AF510" i="11"/>
  <c r="AJ510" i="11"/>
  <c r="AK510" i="11"/>
  <c r="AL510" i="11"/>
  <c r="T510" i="11"/>
  <c r="J510" i="11"/>
  <c r="W510" i="11"/>
  <c r="AB510" i="11"/>
  <c r="AC510" i="11"/>
  <c r="AO510" i="11"/>
  <c r="P510" i="11"/>
  <c r="S510" i="11"/>
  <c r="K510" i="11"/>
  <c r="AI510" i="11"/>
  <c r="X510" i="11"/>
  <c r="AE510" i="11"/>
  <c r="N510" i="11"/>
  <c r="O510" i="11"/>
  <c r="AN510" i="11"/>
  <c r="AP510" i="11"/>
  <c r="AH510" i="11"/>
  <c r="I510" i="11"/>
  <c r="AG510" i="11"/>
  <c r="R510" i="11"/>
  <c r="Q510" i="11"/>
  <c r="M510" i="11"/>
  <c r="V510" i="11"/>
  <c r="L510" i="11"/>
  <c r="Z510" i="11"/>
  <c r="AM510" i="11"/>
  <c r="AE478" i="11"/>
  <c r="AA478" i="11"/>
  <c r="I478" i="11"/>
  <c r="AD478" i="11"/>
  <c r="AF478" i="11"/>
  <c r="AO478" i="11"/>
  <c r="AK478" i="11"/>
  <c r="J478" i="11"/>
  <c r="K478" i="11"/>
  <c r="U478" i="11"/>
  <c r="AJ478" i="11"/>
  <c r="AM478" i="11"/>
  <c r="AB478" i="11"/>
  <c r="AL478" i="11"/>
  <c r="N478" i="11"/>
  <c r="AG478" i="11"/>
  <c r="O478" i="11"/>
  <c r="Q478" i="11"/>
  <c r="L478" i="11"/>
  <c r="W478" i="11"/>
  <c r="AC478" i="11"/>
  <c r="M478" i="11"/>
  <c r="P478" i="11"/>
  <c r="AP478" i="11"/>
  <c r="V478" i="11"/>
  <c r="X478" i="11"/>
  <c r="AH478" i="11"/>
  <c r="Y478" i="11"/>
  <c r="AN478" i="11"/>
  <c r="R478" i="11"/>
  <c r="S478" i="11"/>
  <c r="T478" i="11"/>
  <c r="AI478" i="11"/>
  <c r="Z478" i="11"/>
  <c r="AG429" i="11"/>
  <c r="R429" i="11"/>
  <c r="K429" i="11"/>
  <c r="AJ429" i="11"/>
  <c r="L429" i="11"/>
  <c r="Z429" i="11"/>
  <c r="U429" i="11"/>
  <c r="P429" i="11"/>
  <c r="AN429" i="11"/>
  <c r="AH429" i="11"/>
  <c r="AF429" i="11"/>
  <c r="AA429" i="11"/>
  <c r="Q429" i="11"/>
  <c r="AP429" i="11"/>
  <c r="M429" i="11"/>
  <c r="AK429" i="11"/>
  <c r="S429" i="11"/>
  <c r="N429" i="11"/>
  <c r="X429" i="11"/>
  <c r="I429" i="11"/>
  <c r="W429" i="11"/>
  <c r="V429" i="11"/>
  <c r="AI429" i="11"/>
  <c r="T429" i="11"/>
  <c r="AB429" i="11"/>
  <c r="AD429" i="11"/>
  <c r="O429" i="11"/>
  <c r="AE429" i="11"/>
  <c r="AC429" i="11"/>
  <c r="J429" i="11"/>
  <c r="AL429" i="11"/>
  <c r="Y429" i="11"/>
  <c r="AO429" i="11"/>
  <c r="AM429" i="11"/>
  <c r="I397" i="11"/>
  <c r="AH397" i="11"/>
  <c r="AN397" i="11"/>
  <c r="AI397" i="11"/>
  <c r="X397" i="11"/>
  <c r="Q397" i="11"/>
  <c r="AP397" i="11"/>
  <c r="P397" i="11"/>
  <c r="K397" i="11"/>
  <c r="AK397" i="11"/>
  <c r="Y397" i="11"/>
  <c r="N397" i="11"/>
  <c r="AC397" i="11"/>
  <c r="W397" i="11"/>
  <c r="AG397" i="11"/>
  <c r="V397" i="11"/>
  <c r="S397" i="11"/>
  <c r="AJ397" i="11"/>
  <c r="AO397" i="11"/>
  <c r="AD397" i="11"/>
  <c r="AE397" i="11"/>
  <c r="M397" i="11"/>
  <c r="J397" i="11"/>
  <c r="AL397" i="11"/>
  <c r="T397" i="11"/>
  <c r="AA397" i="11"/>
  <c r="R397" i="11"/>
  <c r="O397" i="11"/>
  <c r="AF397" i="11"/>
  <c r="AM397" i="11"/>
  <c r="Z397" i="11"/>
  <c r="AB397" i="11"/>
  <c r="U397" i="11"/>
  <c r="L397" i="11"/>
  <c r="AC365" i="11"/>
  <c r="AF365" i="11"/>
  <c r="AH365" i="11"/>
  <c r="AD365" i="11"/>
  <c r="AK365" i="11"/>
  <c r="J365" i="11"/>
  <c r="R365" i="11"/>
  <c r="AL365" i="11"/>
  <c r="L365" i="11"/>
  <c r="I365" i="11"/>
  <c r="W365" i="11"/>
  <c r="AM365" i="11"/>
  <c r="Z365" i="11"/>
  <c r="T365" i="11"/>
  <c r="Q365" i="11"/>
  <c r="AI365" i="11"/>
  <c r="V365" i="11"/>
  <c r="P365" i="11"/>
  <c r="AB365" i="11"/>
  <c r="Y365" i="11"/>
  <c r="O365" i="11"/>
  <c r="AP365" i="11"/>
  <c r="AJ365" i="11"/>
  <c r="AG365" i="11"/>
  <c r="AA365" i="11"/>
  <c r="X365" i="11"/>
  <c r="M365" i="11"/>
  <c r="AO365" i="11"/>
  <c r="AN365" i="11"/>
  <c r="K365" i="11"/>
  <c r="U365" i="11"/>
  <c r="S365" i="11"/>
  <c r="N365" i="11"/>
  <c r="AE365" i="11"/>
  <c r="T333" i="11"/>
  <c r="Q333" i="11"/>
  <c r="AI333" i="11"/>
  <c r="V333" i="11"/>
  <c r="AE333" i="11"/>
  <c r="AB333" i="11"/>
  <c r="Y333" i="11"/>
  <c r="O333" i="11"/>
  <c r="AP333" i="11"/>
  <c r="AC333" i="11"/>
  <c r="W333" i="11"/>
  <c r="Z333" i="11"/>
  <c r="AK333" i="11"/>
  <c r="AA333" i="11"/>
  <c r="AD333" i="11"/>
  <c r="I333" i="11"/>
  <c r="AN333" i="11"/>
  <c r="N333" i="11"/>
  <c r="AG333" i="11"/>
  <c r="P333" i="11"/>
  <c r="AH333" i="11"/>
  <c r="L333" i="11"/>
  <c r="AO333" i="11"/>
  <c r="AL333" i="11"/>
  <c r="K333" i="11"/>
  <c r="AJ333" i="11"/>
  <c r="S333" i="11"/>
  <c r="R333" i="11"/>
  <c r="M333" i="11"/>
  <c r="AF333" i="11"/>
  <c r="AM333" i="11"/>
  <c r="U333" i="11"/>
  <c r="J333" i="11"/>
  <c r="X333" i="11"/>
  <c r="M301" i="11"/>
  <c r="J301" i="11"/>
  <c r="Q301" i="11"/>
  <c r="AF301" i="11"/>
  <c r="AN301" i="11"/>
  <c r="U301" i="11"/>
  <c r="R301" i="11"/>
  <c r="AE301" i="11"/>
  <c r="L301" i="11"/>
  <c r="T301" i="11"/>
  <c r="AC301" i="11"/>
  <c r="Z301" i="11"/>
  <c r="K301" i="11"/>
  <c r="AG301" i="11"/>
  <c r="AK301" i="11"/>
  <c r="AH301" i="11"/>
  <c r="X301" i="11"/>
  <c r="O301" i="11"/>
  <c r="N301" i="11"/>
  <c r="AP301" i="11"/>
  <c r="AJ301" i="11"/>
  <c r="AI301" i="11"/>
  <c r="V301" i="11"/>
  <c r="P301" i="11"/>
  <c r="Y301" i="11"/>
  <c r="S301" i="11"/>
  <c r="AD301" i="11"/>
  <c r="AB301" i="11"/>
  <c r="AA301" i="11"/>
  <c r="AM301" i="11"/>
  <c r="AL301" i="11"/>
  <c r="AO301" i="11"/>
  <c r="I301" i="11"/>
  <c r="W301" i="11"/>
  <c r="V269" i="11"/>
  <c r="S269" i="11"/>
  <c r="AB269" i="11"/>
  <c r="Y269" i="11"/>
  <c r="AD269" i="11"/>
  <c r="AF269" i="11"/>
  <c r="K269" i="11"/>
  <c r="AI269" i="11"/>
  <c r="AC269" i="11"/>
  <c r="AP269" i="11"/>
  <c r="W269" i="11"/>
  <c r="AK269" i="11"/>
  <c r="T269" i="11"/>
  <c r="AO269" i="11"/>
  <c r="N269" i="11"/>
  <c r="AG269" i="11"/>
  <c r="P269" i="11"/>
  <c r="AL269" i="11"/>
  <c r="O269" i="11"/>
  <c r="Q269" i="11"/>
  <c r="J269" i="11"/>
  <c r="AA269" i="11"/>
  <c r="X269" i="11"/>
  <c r="R269" i="11"/>
  <c r="AN269" i="11"/>
  <c r="AJ269" i="11"/>
  <c r="M269" i="11"/>
  <c r="Z269" i="11"/>
  <c r="I269" i="11"/>
  <c r="L269" i="11"/>
  <c r="U269" i="11"/>
  <c r="AH269" i="11"/>
  <c r="AE269" i="11"/>
  <c r="AM269" i="11"/>
  <c r="Q237" i="11"/>
  <c r="M237" i="11"/>
  <c r="Y237" i="11"/>
  <c r="Z237" i="11"/>
  <c r="AI237" i="11"/>
  <c r="AF237" i="11"/>
  <c r="O237" i="11"/>
  <c r="AG237" i="11"/>
  <c r="AL237" i="11"/>
  <c r="R237" i="11"/>
  <c r="S237" i="11"/>
  <c r="N237" i="11"/>
  <c r="V237" i="11"/>
  <c r="W237" i="11"/>
  <c r="L237" i="11"/>
  <c r="AA237" i="11"/>
  <c r="AC237" i="11"/>
  <c r="AP237" i="11"/>
  <c r="AB237" i="11"/>
  <c r="K237" i="11"/>
  <c r="I237" i="11"/>
  <c r="AH237" i="11"/>
  <c r="X237" i="11"/>
  <c r="AO237" i="11"/>
  <c r="AE237" i="11"/>
  <c r="T237" i="11"/>
  <c r="AN237" i="11"/>
  <c r="J237" i="11"/>
  <c r="AM237" i="11"/>
  <c r="U237" i="11"/>
  <c r="AJ237" i="11"/>
  <c r="AD237" i="11"/>
  <c r="P237" i="11"/>
  <c r="AK237" i="11"/>
  <c r="AA657" i="11"/>
  <c r="AC657" i="11"/>
  <c r="AB657" i="11"/>
  <c r="AG657" i="11"/>
  <c r="AF657" i="11"/>
  <c r="AE657" i="11"/>
  <c r="Y657" i="11"/>
  <c r="X657" i="11"/>
  <c r="K657" i="11"/>
  <c r="AN657" i="11"/>
  <c r="V657" i="11"/>
  <c r="AH657" i="11"/>
  <c r="L657" i="11"/>
  <c r="O657" i="11"/>
  <c r="I657" i="11"/>
  <c r="T657" i="11"/>
  <c r="Z657" i="11"/>
  <c r="AJ657" i="11"/>
  <c r="AK657" i="11"/>
  <c r="J657" i="11"/>
  <c r="AO657" i="11"/>
  <c r="U657" i="11"/>
  <c r="N657" i="11"/>
  <c r="P657" i="11"/>
  <c r="AP657" i="11"/>
  <c r="AD657" i="11"/>
  <c r="S657" i="11"/>
  <c r="W657" i="11"/>
  <c r="Q657" i="11"/>
  <c r="AM657" i="11"/>
  <c r="R657" i="11"/>
  <c r="AL657" i="11"/>
  <c r="M657" i="11"/>
  <c r="AI657" i="11"/>
  <c r="O625" i="11"/>
  <c r="P625" i="11"/>
  <c r="J625" i="11"/>
  <c r="AK625" i="11"/>
  <c r="W625" i="11"/>
  <c r="S625" i="11"/>
  <c r="Q625" i="11"/>
  <c r="AP625" i="11"/>
  <c r="AI625" i="11"/>
  <c r="AB625" i="11"/>
  <c r="R625" i="11"/>
  <c r="V625" i="11"/>
  <c r="K625" i="11"/>
  <c r="M625" i="11"/>
  <c r="AM625" i="11"/>
  <c r="I625" i="11"/>
  <c r="U625" i="11"/>
  <c r="X625" i="11"/>
  <c r="AO625" i="11"/>
  <c r="AF625" i="11"/>
  <c r="AD625" i="11"/>
  <c r="T625" i="11"/>
  <c r="N625" i="11"/>
  <c r="AA625" i="11"/>
  <c r="Y625" i="11"/>
  <c r="L625" i="11"/>
  <c r="AG625" i="11"/>
  <c r="AE625" i="11"/>
  <c r="Z625" i="11"/>
  <c r="AN625" i="11"/>
  <c r="AH625" i="11"/>
  <c r="AC625" i="11"/>
  <c r="AL625" i="11"/>
  <c r="AJ625" i="11"/>
  <c r="P593" i="11"/>
  <c r="J593" i="11"/>
  <c r="AK593" i="11"/>
  <c r="S593" i="11"/>
  <c r="L593" i="11"/>
  <c r="Q593" i="11"/>
  <c r="AP593" i="11"/>
  <c r="AI593" i="11"/>
  <c r="K593" i="11"/>
  <c r="Z593" i="11"/>
  <c r="N593" i="11"/>
  <c r="AJ593" i="11"/>
  <c r="Y593" i="11"/>
  <c r="AC593" i="11"/>
  <c r="X593" i="11"/>
  <c r="M593" i="11"/>
  <c r="AB593" i="11"/>
  <c r="U593" i="11"/>
  <c r="AD593" i="11"/>
  <c r="T593" i="11"/>
  <c r="O593" i="11"/>
  <c r="I593" i="11"/>
  <c r="AF593" i="11"/>
  <c r="AE593" i="11"/>
  <c r="AG593" i="11"/>
  <c r="V593" i="11"/>
  <c r="AO593" i="11"/>
  <c r="AA593" i="11"/>
  <c r="R593" i="11"/>
  <c r="AM593" i="11"/>
  <c r="AH593" i="11"/>
  <c r="AN593" i="11"/>
  <c r="AL593" i="11"/>
  <c r="W593" i="11"/>
  <c r="Q561" i="11"/>
  <c r="U561" i="11"/>
  <c r="V561" i="11"/>
  <c r="O561" i="11"/>
  <c r="AI561" i="11"/>
  <c r="T561" i="11"/>
  <c r="X561" i="11"/>
  <c r="AL561" i="11"/>
  <c r="AE561" i="11"/>
  <c r="M561" i="11"/>
  <c r="K561" i="11"/>
  <c r="S561" i="11"/>
  <c r="AC561" i="11"/>
  <c r="Y561" i="11"/>
  <c r="AD561" i="11"/>
  <c r="AK561" i="11"/>
  <c r="N561" i="11"/>
  <c r="AG561" i="11"/>
  <c r="P561" i="11"/>
  <c r="Z561" i="11"/>
  <c r="J561" i="11"/>
  <c r="AF561" i="11"/>
  <c r="AM561" i="11"/>
  <c r="W561" i="11"/>
  <c r="L561" i="11"/>
  <c r="AN561" i="11"/>
  <c r="AA561" i="11"/>
  <c r="AP561" i="11"/>
  <c r="AB561" i="11"/>
  <c r="I561" i="11"/>
  <c r="AO561" i="11"/>
  <c r="AJ561" i="11"/>
  <c r="AH561" i="11"/>
  <c r="R561" i="11"/>
  <c r="AM529" i="11"/>
  <c r="AB529" i="11"/>
  <c r="AF529" i="11"/>
  <c r="AC529" i="11"/>
  <c r="AI529" i="11"/>
  <c r="P529" i="11"/>
  <c r="AD529" i="11"/>
  <c r="X529" i="11"/>
  <c r="S529" i="11"/>
  <c r="Z529" i="11"/>
  <c r="U529" i="11"/>
  <c r="AG529" i="11"/>
  <c r="AA529" i="11"/>
  <c r="AK529" i="11"/>
  <c r="AP529" i="11"/>
  <c r="O529" i="11"/>
  <c r="Q529" i="11"/>
  <c r="M529" i="11"/>
  <c r="W529" i="11"/>
  <c r="AL529" i="11"/>
  <c r="R529" i="11"/>
  <c r="AE529" i="11"/>
  <c r="I529" i="11"/>
  <c r="AN529" i="11"/>
  <c r="N529" i="11"/>
  <c r="T529" i="11"/>
  <c r="V529" i="11"/>
  <c r="Y529" i="11"/>
  <c r="AO529" i="11"/>
  <c r="L529" i="11"/>
  <c r="K529" i="11"/>
  <c r="AJ529" i="11"/>
  <c r="J529" i="11"/>
  <c r="AH529" i="11"/>
  <c r="AP497" i="11"/>
  <c r="AL497" i="11"/>
  <c r="AF497" i="11"/>
  <c r="AG497" i="11"/>
  <c r="AA497" i="11"/>
  <c r="AM497" i="11"/>
  <c r="W497" i="11"/>
  <c r="AJ497" i="11"/>
  <c r="J497" i="11"/>
  <c r="AI497" i="11"/>
  <c r="O497" i="11"/>
  <c r="X497" i="11"/>
  <c r="AK497" i="11"/>
  <c r="AH497" i="11"/>
  <c r="AD497" i="11"/>
  <c r="T497" i="11"/>
  <c r="L497" i="11"/>
  <c r="K497" i="11"/>
  <c r="U497" i="11"/>
  <c r="S497" i="11"/>
  <c r="AO497" i="11"/>
  <c r="AB497" i="11"/>
  <c r="AN497" i="11"/>
  <c r="R497" i="11"/>
  <c r="I497" i="11"/>
  <c r="Z497" i="11"/>
  <c r="AE497" i="11"/>
  <c r="N497" i="11"/>
  <c r="P497" i="11"/>
  <c r="V497" i="11"/>
  <c r="AC497" i="11"/>
  <c r="M497" i="11"/>
  <c r="Q497" i="11"/>
  <c r="Y497" i="11"/>
  <c r="Z465" i="11"/>
  <c r="AI465" i="11"/>
  <c r="L465" i="11"/>
  <c r="AF465" i="11"/>
  <c r="AG465" i="11"/>
  <c r="U465" i="11"/>
  <c r="O465" i="11"/>
  <c r="N465" i="11"/>
  <c r="J465" i="11"/>
  <c r="K465" i="11"/>
  <c r="AM465" i="11"/>
  <c r="R465" i="11"/>
  <c r="W465" i="11"/>
  <c r="P465" i="11"/>
  <c r="AH465" i="11"/>
  <c r="AN465" i="11"/>
  <c r="M465" i="11"/>
  <c r="AE465" i="11"/>
  <c r="AC465" i="11"/>
  <c r="S465" i="11"/>
  <c r="Q465" i="11"/>
  <c r="V465" i="11"/>
  <c r="T465" i="11"/>
  <c r="Y465" i="11"/>
  <c r="AJ465" i="11"/>
  <c r="AL465" i="11"/>
  <c r="AO465" i="11"/>
  <c r="AB465" i="11"/>
  <c r="X465" i="11"/>
  <c r="I465" i="11"/>
  <c r="AP465" i="11"/>
  <c r="AK465" i="11"/>
  <c r="AD465" i="11"/>
  <c r="AA465" i="11"/>
  <c r="K428" i="11"/>
  <c r="AF428" i="11"/>
  <c r="O428" i="11"/>
  <c r="AG428" i="11"/>
  <c r="AP428" i="11"/>
  <c r="S428" i="11"/>
  <c r="AN428" i="11"/>
  <c r="AA428" i="11"/>
  <c r="R428" i="11"/>
  <c r="L428" i="11"/>
  <c r="J428" i="11"/>
  <c r="AL428" i="11"/>
  <c r="U428" i="11"/>
  <c r="T428" i="11"/>
  <c r="W428" i="11"/>
  <c r="Q428" i="11"/>
  <c r="Y428" i="11"/>
  <c r="AB428" i="11"/>
  <c r="AH428" i="11"/>
  <c r="AC428" i="11"/>
  <c r="AD428" i="11"/>
  <c r="AJ428" i="11"/>
  <c r="N428" i="11"/>
  <c r="AM428" i="11"/>
  <c r="AE428" i="11"/>
  <c r="P428" i="11"/>
  <c r="Z428" i="11"/>
  <c r="I428" i="11"/>
  <c r="AI428" i="11"/>
  <c r="X428" i="11"/>
  <c r="AK428" i="11"/>
  <c r="V428" i="11"/>
  <c r="M428" i="11"/>
  <c r="AO428" i="11"/>
  <c r="U396" i="11"/>
  <c r="K396" i="11"/>
  <c r="P396" i="11"/>
  <c r="Y396" i="11"/>
  <c r="Q396" i="11"/>
  <c r="AG396" i="11"/>
  <c r="S396" i="11"/>
  <c r="X396" i="11"/>
  <c r="AL396" i="11"/>
  <c r="AD396" i="11"/>
  <c r="AA396" i="11"/>
  <c r="AF396" i="11"/>
  <c r="N396" i="11"/>
  <c r="AP396" i="11"/>
  <c r="AI396" i="11"/>
  <c r="AN396" i="11"/>
  <c r="Z396" i="11"/>
  <c r="R396" i="11"/>
  <c r="L396" i="11"/>
  <c r="J396" i="11"/>
  <c r="AM396" i="11"/>
  <c r="AE396" i="11"/>
  <c r="T396" i="11"/>
  <c r="W396" i="11"/>
  <c r="O396" i="11"/>
  <c r="I396" i="11"/>
  <c r="AB396" i="11"/>
  <c r="AK396" i="11"/>
  <c r="AC396" i="11"/>
  <c r="V396" i="11"/>
  <c r="AJ396" i="11"/>
  <c r="M396" i="11"/>
  <c r="AO396" i="11"/>
  <c r="AH396" i="11"/>
  <c r="AD364" i="11"/>
  <c r="AA364" i="11"/>
  <c r="X364" i="11"/>
  <c r="AK364" i="11"/>
  <c r="AL364" i="11"/>
  <c r="AI364" i="11"/>
  <c r="AJ364" i="11"/>
  <c r="Y364" i="11"/>
  <c r="O364" i="11"/>
  <c r="P364" i="11"/>
  <c r="W364" i="11"/>
  <c r="AB364" i="11"/>
  <c r="L364" i="11"/>
  <c r="T364" i="11"/>
  <c r="AE364" i="11"/>
  <c r="AO364" i="11"/>
  <c r="AG364" i="11"/>
  <c r="U364" i="11"/>
  <c r="AM364" i="11"/>
  <c r="N364" i="11"/>
  <c r="K364" i="11"/>
  <c r="AF364" i="11"/>
  <c r="AH364" i="11"/>
  <c r="AN364" i="11"/>
  <c r="V364" i="11"/>
  <c r="S364" i="11"/>
  <c r="J364" i="11"/>
  <c r="Q364" i="11"/>
  <c r="AP364" i="11"/>
  <c r="R364" i="11"/>
  <c r="Z364" i="11"/>
  <c r="M364" i="11"/>
  <c r="I364" i="11"/>
  <c r="AC364" i="11"/>
  <c r="V332" i="11"/>
  <c r="S332" i="11"/>
  <c r="J332" i="11"/>
  <c r="AH332" i="11"/>
  <c r="Y332" i="11"/>
  <c r="AD332" i="11"/>
  <c r="AA332" i="11"/>
  <c r="X332" i="11"/>
  <c r="Q332" i="11"/>
  <c r="AI332" i="11"/>
  <c r="AC332" i="11"/>
  <c r="AP332" i="11"/>
  <c r="N332" i="11"/>
  <c r="P332" i="11"/>
  <c r="L332" i="11"/>
  <c r="Z332" i="11"/>
  <c r="AL332" i="11"/>
  <c r="AB332" i="11"/>
  <c r="AG332" i="11"/>
  <c r="O332" i="11"/>
  <c r="AO332" i="11"/>
  <c r="M332" i="11"/>
  <c r="W332" i="11"/>
  <c r="R332" i="11"/>
  <c r="AK332" i="11"/>
  <c r="AE332" i="11"/>
  <c r="AF332" i="11"/>
  <c r="T332" i="11"/>
  <c r="AM332" i="11"/>
  <c r="AJ332" i="11"/>
  <c r="AN332" i="11"/>
  <c r="K332" i="11"/>
  <c r="I332" i="11"/>
  <c r="U332" i="11"/>
  <c r="X300" i="11"/>
  <c r="Y300" i="11"/>
  <c r="AO300" i="11"/>
  <c r="AD300" i="11"/>
  <c r="AF300" i="11"/>
  <c r="AK300" i="11"/>
  <c r="U300" i="11"/>
  <c r="Q300" i="11"/>
  <c r="AN300" i="11"/>
  <c r="M300" i="11"/>
  <c r="AP300" i="11"/>
  <c r="AI300" i="11"/>
  <c r="O300" i="11"/>
  <c r="L300" i="11"/>
  <c r="Z300" i="11"/>
  <c r="V300" i="11"/>
  <c r="N300" i="11"/>
  <c r="W300" i="11"/>
  <c r="T300" i="11"/>
  <c r="AL300" i="11"/>
  <c r="AA300" i="11"/>
  <c r="AH300" i="11"/>
  <c r="AE300" i="11"/>
  <c r="AB300" i="11"/>
  <c r="S300" i="11"/>
  <c r="I300" i="11"/>
  <c r="AM300" i="11"/>
  <c r="AJ300" i="11"/>
  <c r="AG300" i="11"/>
  <c r="AC300" i="11"/>
  <c r="P300" i="11"/>
  <c r="K300" i="11"/>
  <c r="R300" i="11"/>
  <c r="J300" i="11"/>
  <c r="X268" i="11"/>
  <c r="AA268" i="11"/>
  <c r="U268" i="11"/>
  <c r="AG268" i="11"/>
  <c r="AF268" i="11"/>
  <c r="AO268" i="11"/>
  <c r="Y268" i="11"/>
  <c r="AK268" i="11"/>
  <c r="AN268" i="11"/>
  <c r="Q268" i="11"/>
  <c r="M268" i="11"/>
  <c r="K268" i="11"/>
  <c r="O268" i="11"/>
  <c r="L268" i="11"/>
  <c r="AC268" i="11"/>
  <c r="AH268" i="11"/>
  <c r="AL268" i="11"/>
  <c r="W268" i="11"/>
  <c r="T268" i="11"/>
  <c r="AP268" i="11"/>
  <c r="R268" i="11"/>
  <c r="I268" i="11"/>
  <c r="AE268" i="11"/>
  <c r="AB268" i="11"/>
  <c r="J268" i="11"/>
  <c r="S268" i="11"/>
  <c r="AM268" i="11"/>
  <c r="AJ268" i="11"/>
  <c r="V268" i="11"/>
  <c r="Z268" i="11"/>
  <c r="P268" i="11"/>
  <c r="N268" i="11"/>
  <c r="AI268" i="11"/>
  <c r="AD268" i="11"/>
  <c r="K236" i="11"/>
  <c r="U236" i="11"/>
  <c r="AB236" i="11"/>
  <c r="R236" i="11"/>
  <c r="S236" i="11"/>
  <c r="AH236" i="11"/>
  <c r="L236" i="11"/>
  <c r="AM236" i="11"/>
  <c r="AA236" i="11"/>
  <c r="J236" i="11"/>
  <c r="AE236" i="11"/>
  <c r="Z236" i="11"/>
  <c r="I236" i="11"/>
  <c r="AI236" i="11"/>
  <c r="W236" i="11"/>
  <c r="T236" i="11"/>
  <c r="AK236" i="11"/>
  <c r="Q236" i="11"/>
  <c r="N236" i="11"/>
  <c r="AJ236" i="11"/>
  <c r="AN236" i="11"/>
  <c r="X236" i="11"/>
  <c r="Y236" i="11"/>
  <c r="V236" i="11"/>
  <c r="P236" i="11"/>
  <c r="M236" i="11"/>
  <c r="AG236" i="11"/>
  <c r="AD236" i="11"/>
  <c r="AC236" i="11"/>
  <c r="O236" i="11"/>
  <c r="AO236" i="11"/>
  <c r="AL236" i="11"/>
  <c r="AP236" i="11"/>
  <c r="AF236" i="11"/>
  <c r="M660" i="11"/>
  <c r="AI660" i="11"/>
  <c r="W660" i="11"/>
  <c r="AM660" i="11"/>
  <c r="U660" i="11"/>
  <c r="AN660" i="11"/>
  <c r="S660" i="11"/>
  <c r="AF660" i="11"/>
  <c r="R660" i="11"/>
  <c r="O660" i="11"/>
  <c r="AE660" i="11"/>
  <c r="N660" i="11"/>
  <c r="AA660" i="11"/>
  <c r="AG660" i="11"/>
  <c r="AP660" i="11"/>
  <c r="I660" i="11"/>
  <c r="Q660" i="11"/>
  <c r="V660" i="11"/>
  <c r="T660" i="11"/>
  <c r="AD660" i="11"/>
  <c r="Y660" i="11"/>
  <c r="AJ660" i="11"/>
  <c r="J660" i="11"/>
  <c r="AK660" i="11"/>
  <c r="Z660" i="11"/>
  <c r="AO660" i="11"/>
  <c r="AH660" i="11"/>
  <c r="AL660" i="11"/>
  <c r="P660" i="11"/>
  <c r="AC660" i="11"/>
  <c r="K660" i="11"/>
  <c r="L660" i="11"/>
  <c r="AB660" i="11"/>
  <c r="X660" i="11"/>
  <c r="AJ628" i="11"/>
  <c r="R628" i="11"/>
  <c r="K628" i="11"/>
  <c r="J628" i="11"/>
  <c r="Z628" i="11"/>
  <c r="I628" i="11"/>
  <c r="O628" i="11"/>
  <c r="L628" i="11"/>
  <c r="N628" i="11"/>
  <c r="Y628" i="11"/>
  <c r="AI628" i="11"/>
  <c r="AG628" i="11"/>
  <c r="AN628" i="11"/>
  <c r="W628" i="11"/>
  <c r="P628" i="11"/>
  <c r="Q628" i="11"/>
  <c r="AP628" i="11"/>
  <c r="S628" i="11"/>
  <c r="AK628" i="11"/>
  <c r="AA628" i="11"/>
  <c r="AM628" i="11"/>
  <c r="AD628" i="11"/>
  <c r="U628" i="11"/>
  <c r="T628" i="11"/>
  <c r="AF628" i="11"/>
  <c r="AL628" i="11"/>
  <c r="AC628" i="11"/>
  <c r="AO628" i="11"/>
  <c r="AE628" i="11"/>
  <c r="V628" i="11"/>
  <c r="M628" i="11"/>
  <c r="X628" i="11"/>
  <c r="AB628" i="11"/>
  <c r="AH628" i="11"/>
  <c r="AP596" i="11"/>
  <c r="AI596" i="11"/>
  <c r="AM596" i="11"/>
  <c r="AN596" i="11"/>
  <c r="AK596" i="11"/>
  <c r="AB596" i="11"/>
  <c r="I596" i="11"/>
  <c r="Y596" i="11"/>
  <c r="AL596" i="11"/>
  <c r="AJ596" i="11"/>
  <c r="V596" i="11"/>
  <c r="AC596" i="11"/>
  <c r="K596" i="11"/>
  <c r="O596" i="11"/>
  <c r="AH596" i="11"/>
  <c r="J596" i="11"/>
  <c r="AG596" i="11"/>
  <c r="Q596" i="11"/>
  <c r="S596" i="11"/>
  <c r="N596" i="11"/>
  <c r="AA596" i="11"/>
  <c r="Z596" i="11"/>
  <c r="L596" i="11"/>
  <c r="R596" i="11"/>
  <c r="T596" i="11"/>
  <c r="AO596" i="11"/>
  <c r="W596" i="11"/>
  <c r="AD596" i="11"/>
  <c r="AE596" i="11"/>
  <c r="P596" i="11"/>
  <c r="U596" i="11"/>
  <c r="M596" i="11"/>
  <c r="AF596" i="11"/>
  <c r="X596" i="11"/>
  <c r="O564" i="11"/>
  <c r="AP564" i="11"/>
  <c r="AA564" i="11"/>
  <c r="AC564" i="11"/>
  <c r="W564" i="11"/>
  <c r="I564" i="11"/>
  <c r="AN564" i="11"/>
  <c r="AG564" i="11"/>
  <c r="AE564" i="11"/>
  <c r="U564" i="11"/>
  <c r="P564" i="11"/>
  <c r="AJ564" i="11"/>
  <c r="AM564" i="11"/>
  <c r="AI564" i="11"/>
  <c r="AB564" i="11"/>
  <c r="K564" i="11"/>
  <c r="N564" i="11"/>
  <c r="J564" i="11"/>
  <c r="L564" i="11"/>
  <c r="AO564" i="11"/>
  <c r="Q564" i="11"/>
  <c r="V564" i="11"/>
  <c r="R564" i="11"/>
  <c r="Y564" i="11"/>
  <c r="S564" i="11"/>
  <c r="X564" i="11"/>
  <c r="AD564" i="11"/>
  <c r="Z564" i="11"/>
  <c r="AK564" i="11"/>
  <c r="AF564" i="11"/>
  <c r="AL564" i="11"/>
  <c r="AH564" i="11"/>
  <c r="M564" i="11"/>
  <c r="T564" i="11"/>
  <c r="Q532" i="11"/>
  <c r="AP532" i="11"/>
  <c r="AK532" i="11"/>
  <c r="V532" i="11"/>
  <c r="Y532" i="11"/>
  <c r="L532" i="11"/>
  <c r="AA532" i="11"/>
  <c r="AE532" i="11"/>
  <c r="AG532" i="11"/>
  <c r="T532" i="11"/>
  <c r="AD532" i="11"/>
  <c r="AL532" i="11"/>
  <c r="P532" i="11"/>
  <c r="AO532" i="11"/>
  <c r="AB532" i="11"/>
  <c r="N532" i="11"/>
  <c r="AM532" i="11"/>
  <c r="X532" i="11"/>
  <c r="J532" i="11"/>
  <c r="AJ532" i="11"/>
  <c r="AI532" i="11"/>
  <c r="AF532" i="11"/>
  <c r="R532" i="11"/>
  <c r="M532" i="11"/>
  <c r="K532" i="11"/>
  <c r="AN532" i="11"/>
  <c r="Z532" i="11"/>
  <c r="U532" i="11"/>
  <c r="O532" i="11"/>
  <c r="I532" i="11"/>
  <c r="AH532" i="11"/>
  <c r="AC532" i="11"/>
  <c r="W532" i="11"/>
  <c r="S532" i="11"/>
  <c r="AB500" i="11"/>
  <c r="AF500" i="11"/>
  <c r="S500" i="11"/>
  <c r="K500" i="11"/>
  <c r="AC500" i="11"/>
  <c r="AM500" i="11"/>
  <c r="W500" i="11"/>
  <c r="R500" i="11"/>
  <c r="X500" i="11"/>
  <c r="V500" i="11"/>
  <c r="AI500" i="11"/>
  <c r="L500" i="11"/>
  <c r="AN500" i="11"/>
  <c r="AP500" i="11"/>
  <c r="AL500" i="11"/>
  <c r="T500" i="11"/>
  <c r="N500" i="11"/>
  <c r="Y500" i="11"/>
  <c r="AD500" i="11"/>
  <c r="AJ500" i="11"/>
  <c r="Z500" i="11"/>
  <c r="J500" i="11"/>
  <c r="M500" i="11"/>
  <c r="O500" i="11"/>
  <c r="AE500" i="11"/>
  <c r="U500" i="11"/>
  <c r="AA500" i="11"/>
  <c r="AH500" i="11"/>
  <c r="AK500" i="11"/>
  <c r="AO500" i="11"/>
  <c r="I500" i="11"/>
  <c r="P500" i="11"/>
  <c r="AG500" i="11"/>
  <c r="Q500" i="11"/>
  <c r="AA468" i="11"/>
  <c r="AE468" i="11"/>
  <c r="P468" i="11"/>
  <c r="AP468" i="11"/>
  <c r="AB468" i="11"/>
  <c r="AH468" i="11"/>
  <c r="M468" i="11"/>
  <c r="U468" i="11"/>
  <c r="L468" i="11"/>
  <c r="J468" i="11"/>
  <c r="AN468" i="11"/>
  <c r="T468" i="11"/>
  <c r="X468" i="11"/>
  <c r="N468" i="11"/>
  <c r="O468" i="11"/>
  <c r="AC468" i="11"/>
  <c r="Q468" i="11"/>
  <c r="W468" i="11"/>
  <c r="AO468" i="11"/>
  <c r="AG468" i="11"/>
  <c r="S468" i="11"/>
  <c r="I468" i="11"/>
  <c r="AF468" i="11"/>
  <c r="Z468" i="11"/>
  <c r="AI468" i="11"/>
  <c r="V468" i="11"/>
  <c r="R468" i="11"/>
  <c r="AJ468" i="11"/>
  <c r="AM468" i="11"/>
  <c r="AK468" i="11"/>
  <c r="AD468" i="11"/>
  <c r="Y468" i="11"/>
  <c r="AL468" i="11"/>
  <c r="K468" i="11"/>
  <c r="N435" i="11"/>
  <c r="AH435" i="11"/>
  <c r="Y435" i="11"/>
  <c r="T435" i="11"/>
  <c r="X435" i="11"/>
  <c r="Z435" i="11"/>
  <c r="AG435" i="11"/>
  <c r="AB435" i="11"/>
  <c r="AF435" i="11"/>
  <c r="AD435" i="11"/>
  <c r="L435" i="11"/>
  <c r="R435" i="11"/>
  <c r="AL435" i="11"/>
  <c r="I435" i="11"/>
  <c r="AJ435" i="11"/>
  <c r="AM435" i="11"/>
  <c r="Q435" i="11"/>
  <c r="M435" i="11"/>
  <c r="V435" i="11"/>
  <c r="AO435" i="11"/>
  <c r="U435" i="11"/>
  <c r="AP435" i="11"/>
  <c r="K435" i="11"/>
  <c r="AC435" i="11"/>
  <c r="W435" i="11"/>
  <c r="S435" i="11"/>
  <c r="AK435" i="11"/>
  <c r="J435" i="11"/>
  <c r="AA435" i="11"/>
  <c r="P435" i="11"/>
  <c r="AE435" i="11"/>
  <c r="AI435" i="11"/>
  <c r="AN435" i="11"/>
  <c r="O435" i="11"/>
  <c r="N403" i="11"/>
  <c r="AP403" i="11"/>
  <c r="T403" i="11"/>
  <c r="O403" i="11"/>
  <c r="V403" i="11"/>
  <c r="P403" i="11"/>
  <c r="AG403" i="11"/>
  <c r="AA403" i="11"/>
  <c r="AK403" i="11"/>
  <c r="AO403" i="11"/>
  <c r="K403" i="11"/>
  <c r="AD403" i="11"/>
  <c r="Q403" i="11"/>
  <c r="X403" i="11"/>
  <c r="AL403" i="11"/>
  <c r="AE403" i="11"/>
  <c r="AJ403" i="11"/>
  <c r="J403" i="11"/>
  <c r="S403" i="11"/>
  <c r="AN403" i="11"/>
  <c r="R403" i="11"/>
  <c r="AF403" i="11"/>
  <c r="L403" i="11"/>
  <c r="M403" i="11"/>
  <c r="Z403" i="11"/>
  <c r="I403" i="11"/>
  <c r="Y403" i="11"/>
  <c r="U403" i="11"/>
  <c r="AH403" i="11"/>
  <c r="W403" i="11"/>
  <c r="AM403" i="11"/>
  <c r="AC403" i="11"/>
  <c r="AB403" i="11"/>
  <c r="AI403" i="11"/>
  <c r="Q371" i="11"/>
  <c r="J371" i="11"/>
  <c r="AJ371" i="11"/>
  <c r="AB371" i="11"/>
  <c r="AL371" i="11"/>
  <c r="Y371" i="11"/>
  <c r="T371" i="11"/>
  <c r="K371" i="11"/>
  <c r="S371" i="11"/>
  <c r="AG371" i="11"/>
  <c r="AE371" i="11"/>
  <c r="Z371" i="11"/>
  <c r="AH371" i="11"/>
  <c r="AO371" i="11"/>
  <c r="AP371" i="11"/>
  <c r="AM371" i="11"/>
  <c r="P371" i="11"/>
  <c r="M371" i="11"/>
  <c r="N371" i="11"/>
  <c r="L371" i="11"/>
  <c r="R371" i="11"/>
  <c r="U371" i="11"/>
  <c r="X371" i="11"/>
  <c r="AA371" i="11"/>
  <c r="W371" i="11"/>
  <c r="AC371" i="11"/>
  <c r="AI371" i="11"/>
  <c r="AN371" i="11"/>
  <c r="AD371" i="11"/>
  <c r="I371" i="11"/>
  <c r="AK371" i="11"/>
  <c r="V371" i="11"/>
  <c r="O371" i="11"/>
  <c r="AF371" i="11"/>
  <c r="X339" i="11"/>
  <c r="M339" i="11"/>
  <c r="AJ339" i="11"/>
  <c r="V339" i="11"/>
  <c r="L339" i="11"/>
  <c r="AF339" i="11"/>
  <c r="U339" i="11"/>
  <c r="O339" i="11"/>
  <c r="Z339" i="11"/>
  <c r="AN339" i="11"/>
  <c r="AC339" i="11"/>
  <c r="AB339" i="11"/>
  <c r="AA339" i="11"/>
  <c r="I339" i="11"/>
  <c r="AK339" i="11"/>
  <c r="AP339" i="11"/>
  <c r="J339" i="11"/>
  <c r="Q339" i="11"/>
  <c r="T339" i="11"/>
  <c r="R339" i="11"/>
  <c r="AD339" i="11"/>
  <c r="Y339" i="11"/>
  <c r="AH339" i="11"/>
  <c r="AL339" i="11"/>
  <c r="N339" i="11"/>
  <c r="AG339" i="11"/>
  <c r="K339" i="11"/>
  <c r="S339" i="11"/>
  <c r="AI339" i="11"/>
  <c r="P339" i="11"/>
  <c r="AO339" i="11"/>
  <c r="W339" i="11"/>
  <c r="AM339" i="11"/>
  <c r="AE339" i="11"/>
  <c r="R307" i="11"/>
  <c r="AH307" i="11"/>
  <c r="AI307" i="11"/>
  <c r="Q307" i="11"/>
  <c r="AA307" i="11"/>
  <c r="AP307" i="11"/>
  <c r="V307" i="11"/>
  <c r="AJ307" i="11"/>
  <c r="AK307" i="11"/>
  <c r="P307" i="11"/>
  <c r="AD307" i="11"/>
  <c r="I307" i="11"/>
  <c r="U307" i="11"/>
  <c r="AF307" i="11"/>
  <c r="J307" i="11"/>
  <c r="AL307" i="11"/>
  <c r="T307" i="11"/>
  <c r="AM307" i="11"/>
  <c r="AC307" i="11"/>
  <c r="AE307" i="11"/>
  <c r="L307" i="11"/>
  <c r="AO307" i="11"/>
  <c r="Z307" i="11"/>
  <c r="AG307" i="11"/>
  <c r="N307" i="11"/>
  <c r="S307" i="11"/>
  <c r="M307" i="11"/>
  <c r="W307" i="11"/>
  <c r="X307" i="11"/>
  <c r="AN307" i="11"/>
  <c r="O307" i="11"/>
  <c r="K307" i="11"/>
  <c r="Y307" i="11"/>
  <c r="AB307" i="11"/>
  <c r="AO275" i="11"/>
  <c r="AD275" i="11"/>
  <c r="AN275" i="11"/>
  <c r="P275" i="11"/>
  <c r="J275" i="11"/>
  <c r="AL275" i="11"/>
  <c r="K275" i="11"/>
  <c r="S275" i="11"/>
  <c r="R275" i="11"/>
  <c r="T275" i="11"/>
  <c r="AC275" i="11"/>
  <c r="X275" i="11"/>
  <c r="Z275" i="11"/>
  <c r="AF275" i="11"/>
  <c r="L275" i="11"/>
  <c r="AA275" i="11"/>
  <c r="I275" i="11"/>
  <c r="AH275" i="11"/>
  <c r="U275" i="11"/>
  <c r="AE275" i="11"/>
  <c r="AK275" i="11"/>
  <c r="Q275" i="11"/>
  <c r="AP275" i="11"/>
  <c r="AI275" i="11"/>
  <c r="W275" i="11"/>
  <c r="AJ275" i="11"/>
  <c r="Y275" i="11"/>
  <c r="N275" i="11"/>
  <c r="O275" i="11"/>
  <c r="AM275" i="11"/>
  <c r="AG275" i="11"/>
  <c r="V275" i="11"/>
  <c r="AB275" i="11"/>
  <c r="M275" i="11"/>
  <c r="M243" i="11"/>
  <c r="N243" i="11"/>
  <c r="AH243" i="11"/>
  <c r="W243" i="11"/>
  <c r="U243" i="11"/>
  <c r="Z243" i="11"/>
  <c r="Q243" i="11"/>
  <c r="AE243" i="11"/>
  <c r="AC243" i="11"/>
  <c r="AM243" i="11"/>
  <c r="AJ243" i="11"/>
  <c r="L243" i="11"/>
  <c r="AK243" i="11"/>
  <c r="O243" i="11"/>
  <c r="R243" i="11"/>
  <c r="J243" i="11"/>
  <c r="K243" i="11"/>
  <c r="P243" i="11"/>
  <c r="AB243" i="11"/>
  <c r="AL243" i="11"/>
  <c r="T243" i="11"/>
  <c r="S243" i="11"/>
  <c r="X243" i="11"/>
  <c r="AO243" i="11"/>
  <c r="AD243" i="11"/>
  <c r="Y243" i="11"/>
  <c r="AA243" i="11"/>
  <c r="AF243" i="11"/>
  <c r="I243" i="11"/>
  <c r="AG243" i="11"/>
  <c r="AI243" i="11"/>
  <c r="AN243" i="11"/>
  <c r="V243" i="11"/>
  <c r="AP243" i="11"/>
  <c r="AJ667" i="11"/>
  <c r="M667" i="11"/>
  <c r="AN667" i="11"/>
  <c r="AA667" i="11"/>
  <c r="AF667" i="11"/>
  <c r="AM667" i="11"/>
  <c r="K667" i="11"/>
  <c r="AO667" i="11"/>
  <c r="U667" i="11"/>
  <c r="AK667" i="11"/>
  <c r="V667" i="11"/>
  <c r="Y667" i="11"/>
  <c r="S667" i="11"/>
  <c r="L667" i="11"/>
  <c r="AG667" i="11"/>
  <c r="T667" i="11"/>
  <c r="W667" i="11"/>
  <c r="AB667" i="11"/>
  <c r="AH667" i="11"/>
  <c r="P667" i="11"/>
  <c r="Q667" i="11"/>
  <c r="X667" i="11"/>
  <c r="AL667" i="11"/>
  <c r="AE667" i="11"/>
  <c r="O667" i="11"/>
  <c r="AI667" i="11"/>
  <c r="R667" i="11"/>
  <c r="AD667" i="11"/>
  <c r="AC667" i="11"/>
  <c r="J667" i="11"/>
  <c r="AP667" i="11"/>
  <c r="Z667" i="11"/>
  <c r="I667" i="11"/>
  <c r="N667" i="11"/>
  <c r="AM635" i="11"/>
  <c r="Z635" i="11"/>
  <c r="AD635" i="11"/>
  <c r="S635" i="11"/>
  <c r="K635" i="11"/>
  <c r="R635" i="11"/>
  <c r="AK635" i="11"/>
  <c r="J635" i="11"/>
  <c r="Q635" i="11"/>
  <c r="AJ635" i="11"/>
  <c r="AN635" i="11"/>
  <c r="AA635" i="11"/>
  <c r="AP635" i="11"/>
  <c r="AC635" i="11"/>
  <c r="AI635" i="11"/>
  <c r="P635" i="11"/>
  <c r="O635" i="11"/>
  <c r="T635" i="11"/>
  <c r="AH635" i="11"/>
  <c r="AB635" i="11"/>
  <c r="W635" i="11"/>
  <c r="M635" i="11"/>
  <c r="AO635" i="11"/>
  <c r="U635" i="11"/>
  <c r="N635" i="11"/>
  <c r="X635" i="11"/>
  <c r="AG635" i="11"/>
  <c r="AF635" i="11"/>
  <c r="AL635" i="11"/>
  <c r="AE635" i="11"/>
  <c r="I635" i="11"/>
  <c r="Y635" i="11"/>
  <c r="L635" i="11"/>
  <c r="V635" i="11"/>
  <c r="AP603" i="11"/>
  <c r="J603" i="11"/>
  <c r="X603" i="11"/>
  <c r="V603" i="11"/>
  <c r="L603" i="11"/>
  <c r="AB603" i="11"/>
  <c r="T603" i="11"/>
  <c r="U603" i="11"/>
  <c r="Q603" i="11"/>
  <c r="AA603" i="11"/>
  <c r="AI603" i="11"/>
  <c r="AL603" i="11"/>
  <c r="AN603" i="11"/>
  <c r="W603" i="11"/>
  <c r="I603" i="11"/>
  <c r="S603" i="11"/>
  <c r="Y603" i="11"/>
  <c r="AH603" i="11"/>
  <c r="AG603" i="11"/>
  <c r="P603" i="11"/>
  <c r="AO603" i="11"/>
  <c r="R603" i="11"/>
  <c r="AE603" i="11"/>
  <c r="M603" i="11"/>
  <c r="Z603" i="11"/>
  <c r="AJ603" i="11"/>
  <c r="AC603" i="11"/>
  <c r="AM603" i="11"/>
  <c r="AK603" i="11"/>
  <c r="O603" i="11"/>
  <c r="N603" i="11"/>
  <c r="AF603" i="11"/>
  <c r="AD603" i="11"/>
  <c r="K603" i="11"/>
  <c r="AI571" i="11"/>
  <c r="Y571" i="11"/>
  <c r="AD571" i="11"/>
  <c r="V571" i="11"/>
  <c r="AC571" i="11"/>
  <c r="AF571" i="11"/>
  <c r="T571" i="11"/>
  <c r="W571" i="11"/>
  <c r="M571" i="11"/>
  <c r="AO571" i="11"/>
  <c r="AK571" i="11"/>
  <c r="U571" i="11"/>
  <c r="L571" i="11"/>
  <c r="O571" i="11"/>
  <c r="AM571" i="11"/>
  <c r="AB571" i="11"/>
  <c r="Z571" i="11"/>
  <c r="AJ571" i="11"/>
  <c r="AA571" i="11"/>
  <c r="P571" i="11"/>
  <c r="R571" i="11"/>
  <c r="AH571" i="11"/>
  <c r="X571" i="11"/>
  <c r="S571" i="11"/>
  <c r="N571" i="11"/>
  <c r="AN571" i="11"/>
  <c r="AE571" i="11"/>
  <c r="J571" i="11"/>
  <c r="I571" i="11"/>
  <c r="K571" i="11"/>
  <c r="Q571" i="11"/>
  <c r="AL571" i="11"/>
  <c r="AG571" i="11"/>
  <c r="AP571" i="11"/>
  <c r="AE539" i="11"/>
  <c r="Q539" i="11"/>
  <c r="O539" i="11"/>
  <c r="M539" i="11"/>
  <c r="AK539" i="11"/>
  <c r="Y539" i="11"/>
  <c r="AC539" i="11"/>
  <c r="AH539" i="11"/>
  <c r="L539" i="11"/>
  <c r="AN539" i="11"/>
  <c r="AP539" i="11"/>
  <c r="U539" i="11"/>
  <c r="I539" i="11"/>
  <c r="R539" i="11"/>
  <c r="AM539" i="11"/>
  <c r="AG539" i="11"/>
  <c r="AD539" i="11"/>
  <c r="W539" i="11"/>
  <c r="AO539" i="11"/>
  <c r="J539" i="11"/>
  <c r="AB539" i="11"/>
  <c r="K539" i="11"/>
  <c r="V539" i="11"/>
  <c r="Z539" i="11"/>
  <c r="P539" i="11"/>
  <c r="S539" i="11"/>
  <c r="AJ539" i="11"/>
  <c r="N539" i="11"/>
  <c r="X539" i="11"/>
  <c r="AA539" i="11"/>
  <c r="T539" i="11"/>
  <c r="AF539" i="11"/>
  <c r="AI539" i="11"/>
  <c r="AL539" i="11"/>
  <c r="AL507" i="11"/>
  <c r="AH507" i="11"/>
  <c r="AK507" i="11"/>
  <c r="AN507" i="11"/>
  <c r="O507" i="11"/>
  <c r="AP507" i="11"/>
  <c r="I507" i="11"/>
  <c r="U507" i="11"/>
  <c r="W507" i="11"/>
  <c r="S507" i="11"/>
  <c r="AB507" i="11"/>
  <c r="AO507" i="11"/>
  <c r="AE507" i="11"/>
  <c r="AF507" i="11"/>
  <c r="K507" i="11"/>
  <c r="P507" i="11"/>
  <c r="AM507" i="11"/>
  <c r="T507" i="11"/>
  <c r="AC507" i="11"/>
  <c r="X507" i="11"/>
  <c r="N507" i="11"/>
  <c r="J507" i="11"/>
  <c r="AG507" i="11"/>
  <c r="M507" i="11"/>
  <c r="AA507" i="11"/>
  <c r="V507" i="11"/>
  <c r="R507" i="11"/>
  <c r="L507" i="11"/>
  <c r="AI507" i="11"/>
  <c r="AJ507" i="11"/>
  <c r="AD507" i="11"/>
  <c r="Z507" i="11"/>
  <c r="Y507" i="11"/>
  <c r="Q507" i="11"/>
  <c r="AK475" i="11"/>
  <c r="AG475" i="11"/>
  <c r="T475" i="11"/>
  <c r="AI475" i="11"/>
  <c r="N475" i="11"/>
  <c r="AO475" i="11"/>
  <c r="AH475" i="11"/>
  <c r="L475" i="11"/>
  <c r="V475" i="11"/>
  <c r="O475" i="11"/>
  <c r="R475" i="11"/>
  <c r="AE475" i="11"/>
  <c r="AD475" i="11"/>
  <c r="AA475" i="11"/>
  <c r="AJ475" i="11"/>
  <c r="J475" i="11"/>
  <c r="AL475" i="11"/>
  <c r="AN475" i="11"/>
  <c r="S475" i="11"/>
  <c r="K475" i="11"/>
  <c r="M475" i="11"/>
  <c r="I475" i="11"/>
  <c r="P475" i="11"/>
  <c r="AM475" i="11"/>
  <c r="W475" i="11"/>
  <c r="U475" i="11"/>
  <c r="Q475" i="11"/>
  <c r="AB475" i="11"/>
  <c r="Z475" i="11"/>
  <c r="X475" i="11"/>
  <c r="AC475" i="11"/>
  <c r="Y475" i="11"/>
  <c r="AP475" i="11"/>
  <c r="AF475" i="11"/>
  <c r="AN438" i="11"/>
  <c r="AC438" i="11"/>
  <c r="AE438" i="11"/>
  <c r="Y438" i="11"/>
  <c r="T438" i="11"/>
  <c r="AK438" i="11"/>
  <c r="AM438" i="11"/>
  <c r="AB438" i="11"/>
  <c r="AO438" i="11"/>
  <c r="K438" i="11"/>
  <c r="N438" i="11"/>
  <c r="J438" i="11"/>
  <c r="I438" i="11"/>
  <c r="S438" i="11"/>
  <c r="V438" i="11"/>
  <c r="R438" i="11"/>
  <c r="AF438" i="11"/>
  <c r="AA438" i="11"/>
  <c r="AD438" i="11"/>
  <c r="Z438" i="11"/>
  <c r="L438" i="11"/>
  <c r="AI438" i="11"/>
  <c r="AL438" i="11"/>
  <c r="AH438" i="11"/>
  <c r="AG438" i="11"/>
  <c r="M438" i="11"/>
  <c r="O438" i="11"/>
  <c r="AP438" i="11"/>
  <c r="P438" i="11"/>
  <c r="U438" i="11"/>
  <c r="W438" i="11"/>
  <c r="X438" i="11"/>
  <c r="AJ438" i="11"/>
  <c r="Q438" i="11"/>
  <c r="AL406" i="11"/>
  <c r="O406" i="11"/>
  <c r="L406" i="11"/>
  <c r="AG406" i="11"/>
  <c r="AA406" i="11"/>
  <c r="K406" i="11"/>
  <c r="W406" i="11"/>
  <c r="T406" i="11"/>
  <c r="I406" i="11"/>
  <c r="AO406" i="11"/>
  <c r="AE406" i="11"/>
  <c r="AB406" i="11"/>
  <c r="U406" i="11"/>
  <c r="M406" i="11"/>
  <c r="AM406" i="11"/>
  <c r="AJ406" i="11"/>
  <c r="AH406" i="11"/>
  <c r="R406" i="11"/>
  <c r="P406" i="11"/>
  <c r="Q406" i="11"/>
  <c r="J406" i="11"/>
  <c r="Y406" i="11"/>
  <c r="X406" i="11"/>
  <c r="AC406" i="11"/>
  <c r="V406" i="11"/>
  <c r="Z406" i="11"/>
  <c r="AF406" i="11"/>
  <c r="AP406" i="11"/>
  <c r="AI406" i="11"/>
  <c r="AD406" i="11"/>
  <c r="AN406" i="11"/>
  <c r="S406" i="11"/>
  <c r="N406" i="11"/>
  <c r="AK406" i="11"/>
  <c r="AA374" i="11"/>
  <c r="AJ374" i="11"/>
  <c r="AK374" i="11"/>
  <c r="AF374" i="11"/>
  <c r="AI374" i="11"/>
  <c r="R374" i="11"/>
  <c r="J374" i="11"/>
  <c r="AB374" i="11"/>
  <c r="O374" i="11"/>
  <c r="AC374" i="11"/>
  <c r="X374" i="11"/>
  <c r="AD374" i="11"/>
  <c r="W374" i="11"/>
  <c r="AN374" i="11"/>
  <c r="AL374" i="11"/>
  <c r="AH374" i="11"/>
  <c r="AE374" i="11"/>
  <c r="T374" i="11"/>
  <c r="L374" i="11"/>
  <c r="AP374" i="11"/>
  <c r="AM374" i="11"/>
  <c r="AG374" i="11"/>
  <c r="Z374" i="11"/>
  <c r="M374" i="11"/>
  <c r="K374" i="11"/>
  <c r="N374" i="11"/>
  <c r="I374" i="11"/>
  <c r="AO374" i="11"/>
  <c r="U374" i="11"/>
  <c r="S374" i="11"/>
  <c r="Y374" i="11"/>
  <c r="V374" i="11"/>
  <c r="Q374" i="11"/>
  <c r="P374" i="11"/>
  <c r="J342" i="11"/>
  <c r="AI342" i="11"/>
  <c r="X342" i="11"/>
  <c r="AN342" i="11"/>
  <c r="M342" i="11"/>
  <c r="R342" i="11"/>
  <c r="O342" i="11"/>
  <c r="AK342" i="11"/>
  <c r="V342" i="11"/>
  <c r="AF342" i="11"/>
  <c r="AP342" i="11"/>
  <c r="K342" i="11"/>
  <c r="L342" i="11"/>
  <c r="AB342" i="11"/>
  <c r="S342" i="11"/>
  <c r="P342" i="11"/>
  <c r="I342" i="11"/>
  <c r="AA342" i="11"/>
  <c r="AC342" i="11"/>
  <c r="AD342" i="11"/>
  <c r="W342" i="11"/>
  <c r="AO342" i="11"/>
  <c r="N342" i="11"/>
  <c r="AE342" i="11"/>
  <c r="Q342" i="11"/>
  <c r="AJ342" i="11"/>
  <c r="Z342" i="11"/>
  <c r="AM342" i="11"/>
  <c r="AL342" i="11"/>
  <c r="Y342" i="11"/>
  <c r="AH342" i="11"/>
  <c r="U342" i="11"/>
  <c r="T342" i="11"/>
  <c r="AG342" i="11"/>
  <c r="K310" i="11"/>
  <c r="P310" i="11"/>
  <c r="AD310" i="11"/>
  <c r="AH310" i="11"/>
  <c r="M310" i="11"/>
  <c r="S310" i="11"/>
  <c r="X310" i="11"/>
  <c r="AP310" i="11"/>
  <c r="J310" i="11"/>
  <c r="Y310" i="11"/>
  <c r="AN310" i="11"/>
  <c r="AG310" i="11"/>
  <c r="AL310" i="11"/>
  <c r="AA310" i="11"/>
  <c r="O310" i="11"/>
  <c r="I310" i="11"/>
  <c r="AI310" i="11"/>
  <c r="AC310" i="11"/>
  <c r="V310" i="11"/>
  <c r="L310" i="11"/>
  <c r="AO310" i="11"/>
  <c r="W310" i="11"/>
  <c r="T310" i="11"/>
  <c r="Q310" i="11"/>
  <c r="AK310" i="11"/>
  <c r="AB310" i="11"/>
  <c r="R310" i="11"/>
  <c r="N310" i="11"/>
  <c r="AF310" i="11"/>
  <c r="AM310" i="11"/>
  <c r="AJ310" i="11"/>
  <c r="AE310" i="11"/>
  <c r="Z310" i="11"/>
  <c r="U310" i="11"/>
  <c r="K278" i="11"/>
  <c r="P278" i="11"/>
  <c r="AH278" i="11"/>
  <c r="W278" i="11"/>
  <c r="AK278" i="11"/>
  <c r="S278" i="11"/>
  <c r="X278" i="11"/>
  <c r="O278" i="11"/>
  <c r="AP278" i="11"/>
  <c r="Z278" i="11"/>
  <c r="T278" i="11"/>
  <c r="V278" i="11"/>
  <c r="AM278" i="11"/>
  <c r="AB278" i="11"/>
  <c r="AC278" i="11"/>
  <c r="N278" i="11"/>
  <c r="AJ278" i="11"/>
  <c r="AO278" i="11"/>
  <c r="Q278" i="11"/>
  <c r="AF278" i="11"/>
  <c r="J278" i="11"/>
  <c r="R278" i="11"/>
  <c r="AN278" i="11"/>
  <c r="AD278" i="11"/>
  <c r="Y278" i="11"/>
  <c r="AA278" i="11"/>
  <c r="U278" i="11"/>
  <c r="M278" i="11"/>
  <c r="I278" i="11"/>
  <c r="AI278" i="11"/>
  <c r="AG278" i="11"/>
  <c r="AE278" i="11"/>
  <c r="L278" i="11"/>
  <c r="AL278" i="11"/>
  <c r="P246" i="11"/>
  <c r="AM246" i="11"/>
  <c r="AN246" i="11"/>
  <c r="AJ246" i="11"/>
  <c r="S246" i="11"/>
  <c r="Y246" i="11"/>
  <c r="U246" i="11"/>
  <c r="R246" i="11"/>
  <c r="AB246" i="11"/>
  <c r="AL246" i="11"/>
  <c r="K246" i="11"/>
  <c r="AC246" i="11"/>
  <c r="Z246" i="11"/>
  <c r="AO246" i="11"/>
  <c r="AD246" i="11"/>
  <c r="AK246" i="11"/>
  <c r="AH246" i="11"/>
  <c r="I246" i="11"/>
  <c r="AF246" i="11"/>
  <c r="O246" i="11"/>
  <c r="AP246" i="11"/>
  <c r="V246" i="11"/>
  <c r="AG246" i="11"/>
  <c r="AA246" i="11"/>
  <c r="L246" i="11"/>
  <c r="X246" i="11"/>
  <c r="J246" i="11"/>
  <c r="W246" i="11"/>
  <c r="N246" i="11"/>
  <c r="AI246" i="11"/>
  <c r="T246" i="11"/>
  <c r="AE246" i="11"/>
  <c r="Q246" i="11"/>
  <c r="M246" i="11"/>
  <c r="V666" i="11"/>
  <c r="M666" i="11"/>
  <c r="AN666" i="11"/>
  <c r="AF666" i="11"/>
  <c r="AO666" i="11"/>
  <c r="R666" i="11"/>
  <c r="Y666" i="11"/>
  <c r="AB666" i="11"/>
  <c r="AK666" i="11"/>
  <c r="AL666" i="11"/>
  <c r="AJ666" i="11"/>
  <c r="P666" i="11"/>
  <c r="J666" i="11"/>
  <c r="S666" i="11"/>
  <c r="Q666" i="11"/>
  <c r="Z666" i="11"/>
  <c r="AC666" i="11"/>
  <c r="AG666" i="11"/>
  <c r="AH666" i="11"/>
  <c r="I666" i="11"/>
  <c r="T666" i="11"/>
  <c r="AP666" i="11"/>
  <c r="AA666" i="11"/>
  <c r="U666" i="11"/>
  <c r="X666" i="11"/>
  <c r="K666" i="11"/>
  <c r="AM666" i="11"/>
  <c r="N666" i="11"/>
  <c r="AI666" i="11"/>
  <c r="L666" i="11"/>
  <c r="W666" i="11"/>
  <c r="AD666" i="11"/>
  <c r="O666" i="11"/>
  <c r="AE666" i="11"/>
  <c r="T634" i="11"/>
  <c r="Y634" i="11"/>
  <c r="AJ634" i="11"/>
  <c r="Q634" i="11"/>
  <c r="K634" i="11"/>
  <c r="U634" i="11"/>
  <c r="AC634" i="11"/>
  <c r="AK634" i="11"/>
  <c r="I634" i="11"/>
  <c r="AP634" i="11"/>
  <c r="AI634" i="11"/>
  <c r="AD634" i="11"/>
  <c r="M634" i="11"/>
  <c r="J634" i="11"/>
  <c r="AF634" i="11"/>
  <c r="R634" i="11"/>
  <c r="O634" i="11"/>
  <c r="AE634" i="11"/>
  <c r="V634" i="11"/>
  <c r="X634" i="11"/>
  <c r="W634" i="11"/>
  <c r="AM634" i="11"/>
  <c r="AA634" i="11"/>
  <c r="AH634" i="11"/>
  <c r="L634" i="11"/>
  <c r="AO634" i="11"/>
  <c r="S634" i="11"/>
  <c r="AG634" i="11"/>
  <c r="AL634" i="11"/>
  <c r="N634" i="11"/>
  <c r="P634" i="11"/>
  <c r="Z634" i="11"/>
  <c r="AB634" i="11"/>
  <c r="AN634" i="11"/>
  <c r="AE602" i="11"/>
  <c r="AA602" i="11"/>
  <c r="N602" i="11"/>
  <c r="AD602" i="11"/>
  <c r="AF602" i="11"/>
  <c r="AH602" i="11"/>
  <c r="AP602" i="11"/>
  <c r="AG602" i="11"/>
  <c r="O602" i="11"/>
  <c r="AI602" i="11"/>
  <c r="T602" i="11"/>
  <c r="R602" i="11"/>
  <c r="X602" i="11"/>
  <c r="V602" i="11"/>
  <c r="Q602" i="11"/>
  <c r="P602" i="11"/>
  <c r="AB602" i="11"/>
  <c r="AL602" i="11"/>
  <c r="AN602" i="11"/>
  <c r="AO602" i="11"/>
  <c r="K602" i="11"/>
  <c r="Z602" i="11"/>
  <c r="S602" i="11"/>
  <c r="AC602" i="11"/>
  <c r="I602" i="11"/>
  <c r="L602" i="11"/>
  <c r="U602" i="11"/>
  <c r="AK602" i="11"/>
  <c r="W602" i="11"/>
  <c r="J602" i="11"/>
  <c r="Y602" i="11"/>
  <c r="AM602" i="11"/>
  <c r="AJ602" i="11"/>
  <c r="M602" i="11"/>
  <c r="K570" i="11"/>
  <c r="M570" i="11"/>
  <c r="I570" i="11"/>
  <c r="X570" i="11"/>
  <c r="R570" i="11"/>
  <c r="N570" i="11"/>
  <c r="AB570" i="11"/>
  <c r="Q570" i="11"/>
  <c r="L570" i="11"/>
  <c r="AP570" i="11"/>
  <c r="AM570" i="11"/>
  <c r="AK570" i="11"/>
  <c r="AI570" i="11"/>
  <c r="T570" i="11"/>
  <c r="AG570" i="11"/>
  <c r="V570" i="11"/>
  <c r="AF570" i="11"/>
  <c r="W570" i="11"/>
  <c r="AH570" i="11"/>
  <c r="Y570" i="11"/>
  <c r="AJ570" i="11"/>
  <c r="AA570" i="11"/>
  <c r="AO570" i="11"/>
  <c r="AD570" i="11"/>
  <c r="AC570" i="11"/>
  <c r="AL570" i="11"/>
  <c r="O570" i="11"/>
  <c r="AN570" i="11"/>
  <c r="J570" i="11"/>
  <c r="AE570" i="11"/>
  <c r="Z570" i="11"/>
  <c r="P570" i="11"/>
  <c r="S570" i="11"/>
  <c r="U570" i="11"/>
  <c r="S538" i="11"/>
  <c r="X538" i="11"/>
  <c r="I538" i="11"/>
  <c r="T538" i="11"/>
  <c r="Z538" i="11"/>
  <c r="U538" i="11"/>
  <c r="AM538" i="11"/>
  <c r="P538" i="11"/>
  <c r="AA538" i="11"/>
  <c r="Y538" i="11"/>
  <c r="V538" i="11"/>
  <c r="R538" i="11"/>
  <c r="AK538" i="11"/>
  <c r="AF538" i="11"/>
  <c r="W538" i="11"/>
  <c r="M538" i="11"/>
  <c r="O538" i="11"/>
  <c r="AC538" i="11"/>
  <c r="AG538" i="11"/>
  <c r="L538" i="11"/>
  <c r="AJ538" i="11"/>
  <c r="J538" i="11"/>
  <c r="AL538" i="11"/>
  <c r="AO538" i="11"/>
  <c r="AH538" i="11"/>
  <c r="N538" i="11"/>
  <c r="AD538" i="11"/>
  <c r="AP538" i="11"/>
  <c r="Q538" i="11"/>
  <c r="AN538" i="11"/>
  <c r="K538" i="11"/>
  <c r="AE538" i="11"/>
  <c r="AI538" i="11"/>
  <c r="AB538" i="11"/>
  <c r="Q506" i="11"/>
  <c r="N506" i="11"/>
  <c r="V506" i="11"/>
  <c r="AD506" i="11"/>
  <c r="X506" i="11"/>
  <c r="L506" i="11"/>
  <c r="AC506" i="11"/>
  <c r="AE506" i="11"/>
  <c r="J506" i="11"/>
  <c r="Y506" i="11"/>
  <c r="O506" i="11"/>
  <c r="AI506" i="11"/>
  <c r="P506" i="11"/>
  <c r="AB506" i="11"/>
  <c r="W506" i="11"/>
  <c r="R506" i="11"/>
  <c r="AJ506" i="11"/>
  <c r="M506" i="11"/>
  <c r="AA506" i="11"/>
  <c r="S506" i="11"/>
  <c r="AF506" i="11"/>
  <c r="AM506" i="11"/>
  <c r="AK506" i="11"/>
  <c r="AN506" i="11"/>
  <c r="AP506" i="11"/>
  <c r="AL506" i="11"/>
  <c r="I506" i="11"/>
  <c r="U506" i="11"/>
  <c r="AG506" i="11"/>
  <c r="AH506" i="11"/>
  <c r="AO506" i="11"/>
  <c r="Z506" i="11"/>
  <c r="T506" i="11"/>
  <c r="K506" i="11"/>
  <c r="X474" i="11"/>
  <c r="V474" i="11"/>
  <c r="I474" i="11"/>
  <c r="R474" i="11"/>
  <c r="W474" i="11"/>
  <c r="S474" i="11"/>
  <c r="AK474" i="11"/>
  <c r="T474" i="11"/>
  <c r="AB474" i="11"/>
  <c r="AF474" i="11"/>
  <c r="Y474" i="11"/>
  <c r="AH474" i="11"/>
  <c r="AN474" i="11"/>
  <c r="Q474" i="11"/>
  <c r="AL474" i="11"/>
  <c r="K474" i="11"/>
  <c r="AC474" i="11"/>
  <c r="N474" i="11"/>
  <c r="AA474" i="11"/>
  <c r="AP474" i="11"/>
  <c r="U474" i="11"/>
  <c r="O474" i="11"/>
  <c r="AI474" i="11"/>
  <c r="AD474" i="11"/>
  <c r="Z474" i="11"/>
  <c r="AE474" i="11"/>
  <c r="J474" i="11"/>
  <c r="M474" i="11"/>
  <c r="AM474" i="11"/>
  <c r="AJ474" i="11"/>
  <c r="AG474" i="11"/>
  <c r="P474" i="11"/>
  <c r="L474" i="11"/>
  <c r="AO474" i="11"/>
  <c r="AG425" i="11"/>
  <c r="V425" i="11"/>
  <c r="AM425" i="11"/>
  <c r="S425" i="11"/>
  <c r="AO425" i="11"/>
  <c r="AD425" i="11"/>
  <c r="O425" i="11"/>
  <c r="T425" i="11"/>
  <c r="J425" i="11"/>
  <c r="AL425" i="11"/>
  <c r="AB425" i="11"/>
  <c r="X425" i="11"/>
  <c r="R425" i="11"/>
  <c r="K425" i="11"/>
  <c r="AN425" i="11"/>
  <c r="AE425" i="11"/>
  <c r="Z425" i="11"/>
  <c r="W425" i="11"/>
  <c r="P425" i="11"/>
  <c r="AF425" i="11"/>
  <c r="I425" i="11"/>
  <c r="AH425" i="11"/>
  <c r="AJ425" i="11"/>
  <c r="AC425" i="11"/>
  <c r="AK425" i="11"/>
  <c r="Q425" i="11"/>
  <c r="AP425" i="11"/>
  <c r="M425" i="11"/>
  <c r="U425" i="11"/>
  <c r="L425" i="11"/>
  <c r="Y425" i="11"/>
  <c r="N425" i="11"/>
  <c r="AA425" i="11"/>
  <c r="AI425" i="11"/>
  <c r="T393" i="11"/>
  <c r="Q393" i="11"/>
  <c r="AP393" i="11"/>
  <c r="L393" i="11"/>
  <c r="AN393" i="11"/>
  <c r="Y393" i="11"/>
  <c r="N393" i="11"/>
  <c r="X393" i="11"/>
  <c r="P393" i="11"/>
  <c r="AG393" i="11"/>
  <c r="V393" i="11"/>
  <c r="AK393" i="11"/>
  <c r="AC393" i="11"/>
  <c r="AO393" i="11"/>
  <c r="AD393" i="11"/>
  <c r="M393" i="11"/>
  <c r="S393" i="11"/>
  <c r="J393" i="11"/>
  <c r="AL393" i="11"/>
  <c r="AA393" i="11"/>
  <c r="AE393" i="11"/>
  <c r="R393" i="11"/>
  <c r="K393" i="11"/>
  <c r="AM393" i="11"/>
  <c r="U393" i="11"/>
  <c r="Z393" i="11"/>
  <c r="W393" i="11"/>
  <c r="O393" i="11"/>
  <c r="AI393" i="11"/>
  <c r="I393" i="11"/>
  <c r="AH393" i="11"/>
  <c r="AJ393" i="11"/>
  <c r="AB393" i="11"/>
  <c r="AF393" i="11"/>
  <c r="AB361" i="11"/>
  <c r="Y361" i="11"/>
  <c r="J361" i="11"/>
  <c r="P361" i="11"/>
  <c r="AJ361" i="11"/>
  <c r="AG361" i="11"/>
  <c r="W361" i="11"/>
  <c r="AL361" i="11"/>
  <c r="AK361" i="11"/>
  <c r="AE361" i="11"/>
  <c r="S361" i="11"/>
  <c r="I361" i="11"/>
  <c r="AI361" i="11"/>
  <c r="V361" i="11"/>
  <c r="Q361" i="11"/>
  <c r="Z361" i="11"/>
  <c r="AD361" i="11"/>
  <c r="L361" i="11"/>
  <c r="AO361" i="11"/>
  <c r="K361" i="11"/>
  <c r="AM361" i="11"/>
  <c r="T361" i="11"/>
  <c r="O361" i="11"/>
  <c r="AF361" i="11"/>
  <c r="M361" i="11"/>
  <c r="AA361" i="11"/>
  <c r="N361" i="11"/>
  <c r="U361" i="11"/>
  <c r="AN361" i="11"/>
  <c r="AH361" i="11"/>
  <c r="AC361" i="11"/>
  <c r="R361" i="11"/>
  <c r="X361" i="11"/>
  <c r="AP361" i="11"/>
  <c r="AC329" i="11"/>
  <c r="AA329" i="11"/>
  <c r="K329" i="11"/>
  <c r="V329" i="11"/>
  <c r="AK329" i="11"/>
  <c r="AN329" i="11"/>
  <c r="AF329" i="11"/>
  <c r="AP329" i="11"/>
  <c r="AJ329" i="11"/>
  <c r="O329" i="11"/>
  <c r="AH329" i="11"/>
  <c r="M329" i="11"/>
  <c r="R329" i="11"/>
  <c r="P329" i="11"/>
  <c r="U329" i="11"/>
  <c r="AE329" i="11"/>
  <c r="AL329" i="11"/>
  <c r="I329" i="11"/>
  <c r="J329" i="11"/>
  <c r="S329" i="11"/>
  <c r="Q329" i="11"/>
  <c r="W329" i="11"/>
  <c r="AM329" i="11"/>
  <c r="L329" i="11"/>
  <c r="Y329" i="11"/>
  <c r="AI329" i="11"/>
  <c r="Z329" i="11"/>
  <c r="T329" i="11"/>
  <c r="AG329" i="11"/>
  <c r="AD329" i="11"/>
  <c r="X329" i="11"/>
  <c r="AB329" i="11"/>
  <c r="AO329" i="11"/>
  <c r="N329" i="11"/>
  <c r="M297" i="11"/>
  <c r="J297" i="11"/>
  <c r="L297" i="11"/>
  <c r="AO297" i="11"/>
  <c r="O297" i="11"/>
  <c r="U297" i="11"/>
  <c r="R297" i="11"/>
  <c r="Y297" i="11"/>
  <c r="W297" i="11"/>
  <c r="AG297" i="11"/>
  <c r="AH297" i="11"/>
  <c r="Q297" i="11"/>
  <c r="AI297" i="11"/>
  <c r="AC297" i="11"/>
  <c r="AP297" i="11"/>
  <c r="AN297" i="11"/>
  <c r="AK297" i="11"/>
  <c r="K297" i="11"/>
  <c r="T297" i="11"/>
  <c r="N297" i="11"/>
  <c r="X297" i="11"/>
  <c r="AA297" i="11"/>
  <c r="V297" i="11"/>
  <c r="AJ297" i="11"/>
  <c r="AB297" i="11"/>
  <c r="AD297" i="11"/>
  <c r="AM297" i="11"/>
  <c r="I297" i="11"/>
  <c r="AL297" i="11"/>
  <c r="S297" i="11"/>
  <c r="AE297" i="11"/>
  <c r="Z297" i="11"/>
  <c r="AF297" i="11"/>
  <c r="P297" i="11"/>
  <c r="AC265" i="11"/>
  <c r="AE265" i="11"/>
  <c r="X265" i="11"/>
  <c r="P265" i="11"/>
  <c r="AK265" i="11"/>
  <c r="S265" i="11"/>
  <c r="O265" i="11"/>
  <c r="V265" i="11"/>
  <c r="L265" i="11"/>
  <c r="I265" i="11"/>
  <c r="AF265" i="11"/>
  <c r="AI265" i="11"/>
  <c r="AL265" i="11"/>
  <c r="T265" i="11"/>
  <c r="Q265" i="11"/>
  <c r="N265" i="11"/>
  <c r="AA265" i="11"/>
  <c r="AH265" i="11"/>
  <c r="AB265" i="11"/>
  <c r="Y265" i="11"/>
  <c r="Z265" i="11"/>
  <c r="AD265" i="11"/>
  <c r="AJ265" i="11"/>
  <c r="AG265" i="11"/>
  <c r="AM265" i="11"/>
  <c r="K265" i="11"/>
  <c r="M265" i="11"/>
  <c r="AO265" i="11"/>
  <c r="W265" i="11"/>
  <c r="AN265" i="11"/>
  <c r="U265" i="11"/>
  <c r="R265" i="11"/>
  <c r="AP265" i="11"/>
  <c r="J265" i="11"/>
  <c r="T233" i="11"/>
  <c r="AM233" i="11"/>
  <c r="Y233" i="11"/>
  <c r="AC233" i="11"/>
  <c r="AH233" i="11"/>
  <c r="I233" i="11"/>
  <c r="AJ233" i="11"/>
  <c r="AP233" i="11"/>
  <c r="AK233" i="11"/>
  <c r="Q233" i="11"/>
  <c r="U233" i="11"/>
  <c r="AA233" i="11"/>
  <c r="M233" i="11"/>
  <c r="K233" i="11"/>
  <c r="AG233" i="11"/>
  <c r="J233" i="11"/>
  <c r="AD233" i="11"/>
  <c r="X233" i="11"/>
  <c r="L233" i="11"/>
  <c r="AN233" i="11"/>
  <c r="AE233" i="11"/>
  <c r="N233" i="11"/>
  <c r="R233" i="11"/>
  <c r="AL233" i="11"/>
  <c r="O233" i="11"/>
  <c r="AO233" i="11"/>
  <c r="V233" i="11"/>
  <c r="S233" i="11"/>
  <c r="Z233" i="11"/>
  <c r="W233" i="11"/>
  <c r="AI233" i="11"/>
  <c r="AF233" i="11"/>
  <c r="P233" i="11"/>
  <c r="AB233" i="11"/>
  <c r="O653" i="11"/>
  <c r="V653" i="11"/>
  <c r="U653" i="11"/>
  <c r="AC653" i="11"/>
  <c r="Y653" i="11"/>
  <c r="W653" i="11"/>
  <c r="AM653" i="11"/>
  <c r="AF653" i="11"/>
  <c r="T653" i="11"/>
  <c r="AL653" i="11"/>
  <c r="L653" i="11"/>
  <c r="AD653" i="11"/>
  <c r="P653" i="11"/>
  <c r="AB653" i="11"/>
  <c r="S653" i="11"/>
  <c r="I653" i="11"/>
  <c r="Z653" i="11"/>
  <c r="AG653" i="11"/>
  <c r="AA653" i="11"/>
  <c r="AO653" i="11"/>
  <c r="K653" i="11"/>
  <c r="X653" i="11"/>
  <c r="AK653" i="11"/>
  <c r="AP653" i="11"/>
  <c r="AN653" i="11"/>
  <c r="M653" i="11"/>
  <c r="N653" i="11"/>
  <c r="Q653" i="11"/>
  <c r="AJ653" i="11"/>
  <c r="R653" i="11"/>
  <c r="AI653" i="11"/>
  <c r="J653" i="11"/>
  <c r="AH653" i="11"/>
  <c r="AE653" i="11"/>
  <c r="W621" i="11"/>
  <c r="L621" i="11"/>
  <c r="I621" i="11"/>
  <c r="AH621" i="11"/>
  <c r="AN621" i="11"/>
  <c r="AJ621" i="11"/>
  <c r="AO621" i="11"/>
  <c r="AC621" i="11"/>
  <c r="AI621" i="11"/>
  <c r="AM621" i="11"/>
  <c r="AP621" i="11"/>
  <c r="V621" i="11"/>
  <c r="AF621" i="11"/>
  <c r="Y621" i="11"/>
  <c r="AK621" i="11"/>
  <c r="N621" i="11"/>
  <c r="AG621" i="11"/>
  <c r="O621" i="11"/>
  <c r="S621" i="11"/>
  <c r="Z621" i="11"/>
  <c r="AD621" i="11"/>
  <c r="X621" i="11"/>
  <c r="R621" i="11"/>
  <c r="T621" i="11"/>
  <c r="M621" i="11"/>
  <c r="U621" i="11"/>
  <c r="AB621" i="11"/>
  <c r="P621" i="11"/>
  <c r="K621" i="11"/>
  <c r="Q621" i="11"/>
  <c r="AE621" i="11"/>
  <c r="J621" i="11"/>
  <c r="AL621" i="11"/>
  <c r="AA621" i="11"/>
  <c r="R589" i="11"/>
  <c r="O589" i="11"/>
  <c r="AF589" i="11"/>
  <c r="AJ589" i="11"/>
  <c r="Y589" i="11"/>
  <c r="M589" i="11"/>
  <c r="AD589" i="11"/>
  <c r="AM589" i="11"/>
  <c r="AH589" i="11"/>
  <c r="V589" i="11"/>
  <c r="AE589" i="11"/>
  <c r="AG589" i="11"/>
  <c r="AK589" i="11"/>
  <c r="AL589" i="11"/>
  <c r="Z589" i="11"/>
  <c r="L589" i="11"/>
  <c r="AP589" i="11"/>
  <c r="S589" i="11"/>
  <c r="U589" i="11"/>
  <c r="T589" i="11"/>
  <c r="AC589" i="11"/>
  <c r="W589" i="11"/>
  <c r="I589" i="11"/>
  <c r="AB589" i="11"/>
  <c r="AA589" i="11"/>
  <c r="Q589" i="11"/>
  <c r="AN589" i="11"/>
  <c r="AO589" i="11"/>
  <c r="P589" i="11"/>
  <c r="J589" i="11"/>
  <c r="AI589" i="11"/>
  <c r="N589" i="11"/>
  <c r="X589" i="11"/>
  <c r="K589" i="11"/>
  <c r="AB557" i="11"/>
  <c r="AF557" i="11"/>
  <c r="AH557" i="11"/>
  <c r="AE557" i="11"/>
  <c r="L557" i="11"/>
  <c r="AC557" i="11"/>
  <c r="AP557" i="11"/>
  <c r="Z557" i="11"/>
  <c r="N557" i="11"/>
  <c r="T557" i="11"/>
  <c r="Q557" i="11"/>
  <c r="AM557" i="11"/>
  <c r="AJ557" i="11"/>
  <c r="AD557" i="11"/>
  <c r="R557" i="11"/>
  <c r="K557" i="11"/>
  <c r="S557" i="11"/>
  <c r="AA557" i="11"/>
  <c r="U557" i="11"/>
  <c r="AG557" i="11"/>
  <c r="AL557" i="11"/>
  <c r="AK557" i="11"/>
  <c r="V557" i="11"/>
  <c r="I557" i="11"/>
  <c r="P557" i="11"/>
  <c r="W557" i="11"/>
  <c r="Y557" i="11"/>
  <c r="O557" i="11"/>
  <c r="X557" i="11"/>
  <c r="AI557" i="11"/>
  <c r="AO557" i="11"/>
  <c r="J557" i="11"/>
  <c r="AN557" i="11"/>
  <c r="M557" i="11"/>
  <c r="W525" i="11"/>
  <c r="AH525" i="11"/>
  <c r="AC525" i="11"/>
  <c r="AP525" i="11"/>
  <c r="S525" i="11"/>
  <c r="V525" i="11"/>
  <c r="Q525" i="11"/>
  <c r="AK525" i="11"/>
  <c r="AD525" i="11"/>
  <c r="AG525" i="11"/>
  <c r="R525" i="11"/>
  <c r="U525" i="11"/>
  <c r="K525" i="11"/>
  <c r="M525" i="11"/>
  <c r="AN525" i="11"/>
  <c r="Z525" i="11"/>
  <c r="AA525" i="11"/>
  <c r="X525" i="11"/>
  <c r="AF525" i="11"/>
  <c r="AI525" i="11"/>
  <c r="N525" i="11"/>
  <c r="I525" i="11"/>
  <c r="O525" i="11"/>
  <c r="Y525" i="11"/>
  <c r="J525" i="11"/>
  <c r="AE525" i="11"/>
  <c r="AJ525" i="11"/>
  <c r="AO525" i="11"/>
  <c r="AM525" i="11"/>
  <c r="AB525" i="11"/>
  <c r="P525" i="11"/>
  <c r="L525" i="11"/>
  <c r="AL525" i="11"/>
  <c r="T525" i="11"/>
  <c r="Z493" i="11"/>
  <c r="V493" i="11"/>
  <c r="O493" i="11"/>
  <c r="AM493" i="11"/>
  <c r="K493" i="11"/>
  <c r="U493" i="11"/>
  <c r="M493" i="11"/>
  <c r="AC493" i="11"/>
  <c r="S493" i="11"/>
  <c r="AG493" i="11"/>
  <c r="AF493" i="11"/>
  <c r="AE493" i="11"/>
  <c r="R493" i="11"/>
  <c r="N493" i="11"/>
  <c r="AJ493" i="11"/>
  <c r="Q493" i="11"/>
  <c r="L493" i="11"/>
  <c r="AH493" i="11"/>
  <c r="AB493" i="11"/>
  <c r="AP493" i="11"/>
  <c r="AN493" i="11"/>
  <c r="AA493" i="11"/>
  <c r="X493" i="11"/>
  <c r="AI493" i="11"/>
  <c r="Y493" i="11"/>
  <c r="AD493" i="11"/>
  <c r="AO493" i="11"/>
  <c r="AL493" i="11"/>
  <c r="T493" i="11"/>
  <c r="I493" i="11"/>
  <c r="W493" i="11"/>
  <c r="P493" i="11"/>
  <c r="J493" i="11"/>
  <c r="AK493" i="11"/>
  <c r="J461" i="11"/>
  <c r="AK461" i="11"/>
  <c r="V461" i="11"/>
  <c r="AL461" i="11"/>
  <c r="Q461" i="11"/>
  <c r="AP461" i="11"/>
  <c r="AE461" i="11"/>
  <c r="AF461" i="11"/>
  <c r="AB461" i="11"/>
  <c r="AG461" i="11"/>
  <c r="P461" i="11"/>
  <c r="L461" i="11"/>
  <c r="AO461" i="11"/>
  <c r="AD461" i="11"/>
  <c r="O461" i="11"/>
  <c r="I461" i="11"/>
  <c r="S461" i="11"/>
  <c r="AM461" i="11"/>
  <c r="R461" i="11"/>
  <c r="W461" i="11"/>
  <c r="AA461" i="11"/>
  <c r="Z461" i="11"/>
  <c r="AJ461" i="11"/>
  <c r="M461" i="11"/>
  <c r="X461" i="11"/>
  <c r="U461" i="11"/>
  <c r="T461" i="11"/>
  <c r="AC461" i="11"/>
  <c r="AI461" i="11"/>
  <c r="Y461" i="11"/>
  <c r="AH461" i="11"/>
  <c r="K461" i="11"/>
  <c r="AN461" i="11"/>
  <c r="N461" i="11"/>
  <c r="AO424" i="11"/>
  <c r="AJ424" i="11"/>
  <c r="V424" i="11"/>
  <c r="Q424" i="11"/>
  <c r="AM424" i="11"/>
  <c r="K424" i="11"/>
  <c r="P424" i="11"/>
  <c r="AH424" i="11"/>
  <c r="AD424" i="11"/>
  <c r="N424" i="11"/>
  <c r="S424" i="11"/>
  <c r="X424" i="11"/>
  <c r="J424" i="11"/>
  <c r="AP424" i="11"/>
  <c r="AA424" i="11"/>
  <c r="AF424" i="11"/>
  <c r="W424" i="11"/>
  <c r="O424" i="11"/>
  <c r="AI424" i="11"/>
  <c r="AN424" i="11"/>
  <c r="AK424" i="11"/>
  <c r="U424" i="11"/>
  <c r="L424" i="11"/>
  <c r="R424" i="11"/>
  <c r="M424" i="11"/>
  <c r="Z424" i="11"/>
  <c r="T424" i="11"/>
  <c r="AE424" i="11"/>
  <c r="Y424" i="11"/>
  <c r="AC424" i="11"/>
  <c r="AB424" i="11"/>
  <c r="I424" i="11"/>
  <c r="AL424" i="11"/>
  <c r="AG424" i="11"/>
  <c r="AJ392" i="11"/>
  <c r="AG392" i="11"/>
  <c r="Y392" i="11"/>
  <c r="O392" i="11"/>
  <c r="K392" i="11"/>
  <c r="P392" i="11"/>
  <c r="I392" i="11"/>
  <c r="AL392" i="11"/>
  <c r="AC392" i="11"/>
  <c r="S392" i="11"/>
  <c r="X392" i="11"/>
  <c r="V392" i="11"/>
  <c r="N392" i="11"/>
  <c r="AO392" i="11"/>
  <c r="AA392" i="11"/>
  <c r="AF392" i="11"/>
  <c r="AH392" i="11"/>
  <c r="Z392" i="11"/>
  <c r="AI392" i="11"/>
  <c r="AN392" i="11"/>
  <c r="J392" i="11"/>
  <c r="AM392" i="11"/>
  <c r="L392" i="11"/>
  <c r="R392" i="11"/>
  <c r="W392" i="11"/>
  <c r="Q392" i="11"/>
  <c r="T392" i="11"/>
  <c r="AE392" i="11"/>
  <c r="AK392" i="11"/>
  <c r="AD392" i="11"/>
  <c r="AB392" i="11"/>
  <c r="U392" i="11"/>
  <c r="M392" i="11"/>
  <c r="AP392" i="11"/>
  <c r="N360" i="11"/>
  <c r="K360" i="11"/>
  <c r="Z360" i="11"/>
  <c r="I360" i="11"/>
  <c r="AG360" i="11"/>
  <c r="V360" i="11"/>
  <c r="S360" i="11"/>
  <c r="AN360" i="11"/>
  <c r="AC360" i="11"/>
  <c r="U360" i="11"/>
  <c r="AL360" i="11"/>
  <c r="AI360" i="11"/>
  <c r="AF360" i="11"/>
  <c r="AK360" i="11"/>
  <c r="O360" i="11"/>
  <c r="J360" i="11"/>
  <c r="T360" i="11"/>
  <c r="AH360" i="11"/>
  <c r="AE360" i="11"/>
  <c r="AJ360" i="11"/>
  <c r="Y360" i="11"/>
  <c r="L360" i="11"/>
  <c r="AM360" i="11"/>
  <c r="M360" i="11"/>
  <c r="AB360" i="11"/>
  <c r="P360" i="11"/>
  <c r="X360" i="11"/>
  <c r="R360" i="11"/>
  <c r="AO360" i="11"/>
  <c r="Q360" i="11"/>
  <c r="AP360" i="11"/>
  <c r="AD360" i="11"/>
  <c r="W360" i="11"/>
  <c r="AA360" i="11"/>
  <c r="AL328" i="11"/>
  <c r="W328" i="11"/>
  <c r="AP328" i="11"/>
  <c r="AO328" i="11"/>
  <c r="P328" i="11"/>
  <c r="K328" i="11"/>
  <c r="AJ328" i="11"/>
  <c r="Y328" i="11"/>
  <c r="N328" i="11"/>
  <c r="V328" i="11"/>
  <c r="AN328" i="11"/>
  <c r="AH328" i="11"/>
  <c r="AE328" i="11"/>
  <c r="O328" i="11"/>
  <c r="R328" i="11"/>
  <c r="X328" i="11"/>
  <c r="AM328" i="11"/>
  <c r="AF328" i="11"/>
  <c r="AK328" i="11"/>
  <c r="L328" i="11"/>
  <c r="Q328" i="11"/>
  <c r="S328" i="11"/>
  <c r="T328" i="11"/>
  <c r="AA328" i="11"/>
  <c r="AB328" i="11"/>
  <c r="J328" i="11"/>
  <c r="AI328" i="11"/>
  <c r="AC328" i="11"/>
  <c r="U328" i="11"/>
  <c r="I328" i="11"/>
  <c r="AG328" i="11"/>
  <c r="AD328" i="11"/>
  <c r="Z328" i="11"/>
  <c r="M328" i="11"/>
  <c r="AM296" i="11"/>
  <c r="AJ296" i="11"/>
  <c r="AO296" i="11"/>
  <c r="AL296" i="11"/>
  <c r="P296" i="11"/>
  <c r="S296" i="11"/>
  <c r="K296" i="11"/>
  <c r="V296" i="11"/>
  <c r="X296" i="11"/>
  <c r="AG296" i="11"/>
  <c r="AD296" i="11"/>
  <c r="AP296" i="11"/>
  <c r="AF296" i="11"/>
  <c r="I296" i="11"/>
  <c r="M296" i="11"/>
  <c r="Y296" i="11"/>
  <c r="AN296" i="11"/>
  <c r="U296" i="11"/>
  <c r="AI296" i="11"/>
  <c r="J296" i="11"/>
  <c r="O296" i="11"/>
  <c r="L296" i="11"/>
  <c r="AH296" i="11"/>
  <c r="Q296" i="11"/>
  <c r="AC296" i="11"/>
  <c r="W296" i="11"/>
  <c r="T296" i="11"/>
  <c r="N296" i="11"/>
  <c r="AK296" i="11"/>
  <c r="Z296" i="11"/>
  <c r="AE296" i="11"/>
  <c r="AB296" i="11"/>
  <c r="AA296" i="11"/>
  <c r="R296" i="11"/>
  <c r="AL264" i="11"/>
  <c r="AI264" i="11"/>
  <c r="U264" i="11"/>
  <c r="AF264" i="11"/>
  <c r="O264" i="11"/>
  <c r="M264" i="11"/>
  <c r="AH264" i="11"/>
  <c r="L264" i="11"/>
  <c r="W264" i="11"/>
  <c r="Z264" i="11"/>
  <c r="Q264" i="11"/>
  <c r="X264" i="11"/>
  <c r="AE264" i="11"/>
  <c r="AN264" i="11"/>
  <c r="AJ264" i="11"/>
  <c r="AG264" i="11"/>
  <c r="AM264" i="11"/>
  <c r="P264" i="11"/>
  <c r="R264" i="11"/>
  <c r="AP264" i="11"/>
  <c r="N264" i="11"/>
  <c r="K264" i="11"/>
  <c r="AB264" i="11"/>
  <c r="AK264" i="11"/>
  <c r="T264" i="11"/>
  <c r="V264" i="11"/>
  <c r="S264" i="11"/>
  <c r="AO264" i="11"/>
  <c r="AC264" i="11"/>
  <c r="J264" i="11"/>
  <c r="AD264" i="11"/>
  <c r="AA264" i="11"/>
  <c r="I264" i="11"/>
  <c r="Y264" i="11"/>
  <c r="M232" i="11"/>
  <c r="N232" i="11"/>
  <c r="AJ232" i="11"/>
  <c r="I232" i="11"/>
  <c r="AF232" i="11"/>
  <c r="AE232" i="11"/>
  <c r="AK232" i="11"/>
  <c r="Y232" i="11"/>
  <c r="V232" i="11"/>
  <c r="L232" i="11"/>
  <c r="O232" i="11"/>
  <c r="AO232" i="11"/>
  <c r="AG232" i="11"/>
  <c r="AD232" i="11"/>
  <c r="X232" i="11"/>
  <c r="T232" i="11"/>
  <c r="K232" i="11"/>
  <c r="P232" i="11"/>
  <c r="U232" i="11"/>
  <c r="AM232" i="11"/>
  <c r="AA232" i="11"/>
  <c r="W232" i="11"/>
  <c r="R232" i="11"/>
  <c r="AH232" i="11"/>
  <c r="S232" i="11"/>
  <c r="AC232" i="11"/>
  <c r="AN232" i="11"/>
  <c r="Z232" i="11"/>
  <c r="AP232" i="11"/>
  <c r="J232" i="11"/>
  <c r="AI232" i="11"/>
  <c r="AB232" i="11"/>
  <c r="Q232" i="11"/>
  <c r="AL232" i="11"/>
  <c r="I656" i="11"/>
  <c r="AN656" i="11"/>
  <c r="S656" i="11"/>
  <c r="AK656" i="11"/>
  <c r="P656" i="11"/>
  <c r="T656" i="11"/>
  <c r="V656" i="11"/>
  <c r="AI656" i="11"/>
  <c r="AF656" i="11"/>
  <c r="Z656" i="11"/>
  <c r="W656" i="11"/>
  <c r="Y656" i="11"/>
  <c r="AD656" i="11"/>
  <c r="AM656" i="11"/>
  <c r="AL656" i="11"/>
  <c r="AO656" i="11"/>
  <c r="R656" i="11"/>
  <c r="Q656" i="11"/>
  <c r="AP656" i="11"/>
  <c r="O656" i="11"/>
  <c r="N656" i="11"/>
  <c r="AE656" i="11"/>
  <c r="K656" i="11"/>
  <c r="AG656" i="11"/>
  <c r="M656" i="11"/>
  <c r="J656" i="11"/>
  <c r="X656" i="11"/>
  <c r="AH656" i="11"/>
  <c r="L656" i="11"/>
  <c r="AB656" i="11"/>
  <c r="AJ656" i="11"/>
  <c r="AC656" i="11"/>
  <c r="AA656" i="11"/>
  <c r="U656" i="11"/>
  <c r="AG624" i="11"/>
  <c r="AI624" i="11"/>
  <c r="AM624" i="11"/>
  <c r="V624" i="11"/>
  <c r="AF624" i="11"/>
  <c r="AJ624" i="11"/>
  <c r="Q624" i="11"/>
  <c r="R624" i="11"/>
  <c r="AB624" i="11"/>
  <c r="AP624" i="11"/>
  <c r="J624" i="11"/>
  <c r="O624" i="11"/>
  <c r="I624" i="11"/>
  <c r="AN624" i="11"/>
  <c r="S624" i="11"/>
  <c r="AO624" i="11"/>
  <c r="T624" i="11"/>
  <c r="N624" i="11"/>
  <c r="W624" i="11"/>
  <c r="AK624" i="11"/>
  <c r="AE624" i="11"/>
  <c r="AL624" i="11"/>
  <c r="AH624" i="11"/>
  <c r="Y624" i="11"/>
  <c r="K624" i="11"/>
  <c r="Z624" i="11"/>
  <c r="AA624" i="11"/>
  <c r="X624" i="11"/>
  <c r="L624" i="11"/>
  <c r="P624" i="11"/>
  <c r="AC624" i="11"/>
  <c r="AD624" i="11"/>
  <c r="U624" i="11"/>
  <c r="M624" i="11"/>
  <c r="N592" i="11"/>
  <c r="AF592" i="11"/>
  <c r="Y592" i="11"/>
  <c r="L592" i="11"/>
  <c r="P592" i="11"/>
  <c r="AH592" i="11"/>
  <c r="Z592" i="11"/>
  <c r="AJ592" i="11"/>
  <c r="Q592" i="11"/>
  <c r="R592" i="11"/>
  <c r="K592" i="11"/>
  <c r="O592" i="11"/>
  <c r="AD592" i="11"/>
  <c r="AL592" i="11"/>
  <c r="S592" i="11"/>
  <c r="W592" i="11"/>
  <c r="AP592" i="11"/>
  <c r="U592" i="11"/>
  <c r="AO592" i="11"/>
  <c r="J592" i="11"/>
  <c r="AA592" i="11"/>
  <c r="I592" i="11"/>
  <c r="AI592" i="11"/>
  <c r="V592" i="11"/>
  <c r="T592" i="11"/>
  <c r="M592" i="11"/>
  <c r="AB592" i="11"/>
  <c r="AG592" i="11"/>
  <c r="AE592" i="11"/>
  <c r="AN592" i="11"/>
  <c r="AM592" i="11"/>
  <c r="X592" i="11"/>
  <c r="AC592" i="11"/>
  <c r="AK592" i="11"/>
  <c r="AD560" i="11"/>
  <c r="Z560" i="11"/>
  <c r="U560" i="11"/>
  <c r="S560" i="11"/>
  <c r="AL560" i="11"/>
  <c r="AH560" i="11"/>
  <c r="AI560" i="11"/>
  <c r="AB560" i="11"/>
  <c r="O560" i="11"/>
  <c r="AP560" i="11"/>
  <c r="K560" i="11"/>
  <c r="AF560" i="11"/>
  <c r="W560" i="11"/>
  <c r="Q560" i="11"/>
  <c r="X560" i="11"/>
  <c r="AK560" i="11"/>
  <c r="AE560" i="11"/>
  <c r="AC560" i="11"/>
  <c r="AJ560" i="11"/>
  <c r="L560" i="11"/>
  <c r="AM560" i="11"/>
  <c r="T560" i="11"/>
  <c r="M560" i="11"/>
  <c r="AO560" i="11"/>
  <c r="N560" i="11"/>
  <c r="J560" i="11"/>
  <c r="AG560" i="11"/>
  <c r="AA560" i="11"/>
  <c r="P560" i="11"/>
  <c r="V560" i="11"/>
  <c r="R560" i="11"/>
  <c r="I560" i="11"/>
  <c r="AN560" i="11"/>
  <c r="Y560" i="11"/>
  <c r="I528" i="11"/>
  <c r="R528" i="11"/>
  <c r="AF528" i="11"/>
  <c r="AJ528" i="11"/>
  <c r="Q528" i="11"/>
  <c r="AB528" i="11"/>
  <c r="L528" i="11"/>
  <c r="J528" i="11"/>
  <c r="Y528" i="11"/>
  <c r="AM528" i="11"/>
  <c r="W528" i="11"/>
  <c r="O528" i="11"/>
  <c r="AG528" i="11"/>
  <c r="S528" i="11"/>
  <c r="AH528" i="11"/>
  <c r="AP528" i="11"/>
  <c r="M528" i="11"/>
  <c r="AO528" i="11"/>
  <c r="AD528" i="11"/>
  <c r="T528" i="11"/>
  <c r="N528" i="11"/>
  <c r="U528" i="11"/>
  <c r="P528" i="11"/>
  <c r="AN528" i="11"/>
  <c r="X528" i="11"/>
  <c r="AC528" i="11"/>
  <c r="AA528" i="11"/>
  <c r="K528" i="11"/>
  <c r="AE528" i="11"/>
  <c r="AK528" i="11"/>
  <c r="AL528" i="11"/>
  <c r="V528" i="11"/>
  <c r="AI528" i="11"/>
  <c r="Z528" i="11"/>
  <c r="L496" i="11"/>
  <c r="P496" i="11"/>
  <c r="W496" i="11"/>
  <c r="AL496" i="11"/>
  <c r="S496" i="11"/>
  <c r="M496" i="11"/>
  <c r="I496" i="11"/>
  <c r="AO496" i="11"/>
  <c r="Z496" i="11"/>
  <c r="AK496" i="11"/>
  <c r="O496" i="11"/>
  <c r="AE496" i="11"/>
  <c r="X496" i="11"/>
  <c r="AA496" i="11"/>
  <c r="AP496" i="11"/>
  <c r="AF496" i="11"/>
  <c r="N496" i="11"/>
  <c r="K496" i="11"/>
  <c r="T496" i="11"/>
  <c r="AN496" i="11"/>
  <c r="AG496" i="11"/>
  <c r="AD496" i="11"/>
  <c r="AB496" i="11"/>
  <c r="V496" i="11"/>
  <c r="Q496" i="11"/>
  <c r="AJ496" i="11"/>
  <c r="AH496" i="11"/>
  <c r="R496" i="11"/>
  <c r="U496" i="11"/>
  <c r="J496" i="11"/>
  <c r="AM496" i="11"/>
  <c r="AC496" i="11"/>
  <c r="AI496" i="11"/>
  <c r="Y496" i="11"/>
  <c r="K464" i="11"/>
  <c r="O464" i="11"/>
  <c r="AF464" i="11"/>
  <c r="AG464" i="11"/>
  <c r="AH464" i="11"/>
  <c r="L464" i="11"/>
  <c r="Q464" i="11"/>
  <c r="V464" i="11"/>
  <c r="AL464" i="11"/>
  <c r="AA464" i="11"/>
  <c r="AD464" i="11"/>
  <c r="M464" i="11"/>
  <c r="AI464" i="11"/>
  <c r="AP464" i="11"/>
  <c r="N464" i="11"/>
  <c r="AB464" i="11"/>
  <c r="J464" i="11"/>
  <c r="AC464" i="11"/>
  <c r="AJ464" i="11"/>
  <c r="X464" i="11"/>
  <c r="AN464" i="11"/>
  <c r="AE464" i="11"/>
  <c r="AO464" i="11"/>
  <c r="U464" i="11"/>
  <c r="S464" i="11"/>
  <c r="AM464" i="11"/>
  <c r="Y464" i="11"/>
  <c r="Z464" i="11"/>
  <c r="R464" i="11"/>
  <c r="AK464" i="11"/>
  <c r="P464" i="11"/>
  <c r="I464" i="11"/>
  <c r="T464" i="11"/>
  <c r="W464" i="11"/>
  <c r="V431" i="11"/>
  <c r="AP431" i="11"/>
  <c r="Q431" i="11"/>
  <c r="K431" i="11"/>
  <c r="P431" i="11"/>
  <c r="AH431" i="11"/>
  <c r="Y431" i="11"/>
  <c r="T431" i="11"/>
  <c r="X431" i="11"/>
  <c r="O431" i="11"/>
  <c r="AI431" i="11"/>
  <c r="AN431" i="11"/>
  <c r="W431" i="11"/>
  <c r="N431" i="11"/>
  <c r="AB431" i="11"/>
  <c r="Z431" i="11"/>
  <c r="J431" i="11"/>
  <c r="AJ431" i="11"/>
  <c r="AD431" i="11"/>
  <c r="AG431" i="11"/>
  <c r="L431" i="11"/>
  <c r="AE431" i="11"/>
  <c r="AO431" i="11"/>
  <c r="U431" i="11"/>
  <c r="M431" i="11"/>
  <c r="I431" i="11"/>
  <c r="AC431" i="11"/>
  <c r="AL431" i="11"/>
  <c r="S431" i="11"/>
  <c r="AK431" i="11"/>
  <c r="R431" i="11"/>
  <c r="AA431" i="11"/>
  <c r="AF431" i="11"/>
  <c r="AM431" i="11"/>
  <c r="AC399" i="11"/>
  <c r="Z399" i="11"/>
  <c r="AM399" i="11"/>
  <c r="AE399" i="11"/>
  <c r="AK399" i="11"/>
  <c r="AH399" i="11"/>
  <c r="O399" i="11"/>
  <c r="S399" i="11"/>
  <c r="U399" i="11"/>
  <c r="K399" i="11"/>
  <c r="AB399" i="11"/>
  <c r="N399" i="11"/>
  <c r="X399" i="11"/>
  <c r="AO399" i="11"/>
  <c r="V399" i="11"/>
  <c r="AJ399" i="11"/>
  <c r="Q399" i="11"/>
  <c r="AD399" i="11"/>
  <c r="L399" i="11"/>
  <c r="AF399" i="11"/>
  <c r="AL399" i="11"/>
  <c r="Y399" i="11"/>
  <c r="I399" i="11"/>
  <c r="J399" i="11"/>
  <c r="AA399" i="11"/>
  <c r="W399" i="11"/>
  <c r="R399" i="11"/>
  <c r="AN399" i="11"/>
  <c r="AI399" i="11"/>
  <c r="M399" i="11"/>
  <c r="AP399" i="11"/>
  <c r="P399" i="11"/>
  <c r="AG399" i="11"/>
  <c r="T399" i="11"/>
  <c r="AC367" i="11"/>
  <c r="K367" i="11"/>
  <c r="AE367" i="11"/>
  <c r="AI367" i="11"/>
  <c r="I367" i="11"/>
  <c r="AK367" i="11"/>
  <c r="V367" i="11"/>
  <c r="P367" i="11"/>
  <c r="AL367" i="11"/>
  <c r="Q367" i="11"/>
  <c r="O367" i="11"/>
  <c r="AF367" i="11"/>
  <c r="AH367" i="11"/>
  <c r="J367" i="11"/>
  <c r="Y367" i="11"/>
  <c r="Z367" i="11"/>
  <c r="X367" i="11"/>
  <c r="W367" i="11"/>
  <c r="AG367" i="11"/>
  <c r="AJ367" i="11"/>
  <c r="AP367" i="11"/>
  <c r="AN367" i="11"/>
  <c r="AO367" i="11"/>
  <c r="R367" i="11"/>
  <c r="L367" i="11"/>
  <c r="S367" i="11"/>
  <c r="M367" i="11"/>
  <c r="AB367" i="11"/>
  <c r="AD367" i="11"/>
  <c r="T367" i="11"/>
  <c r="U367" i="11"/>
  <c r="AM367" i="11"/>
  <c r="N367" i="11"/>
  <c r="AA367" i="11"/>
  <c r="AG335" i="11"/>
  <c r="AP335" i="11"/>
  <c r="L335" i="11"/>
  <c r="V335" i="11"/>
  <c r="P335" i="11"/>
  <c r="AO335" i="11"/>
  <c r="S335" i="11"/>
  <c r="AH335" i="11"/>
  <c r="AA335" i="11"/>
  <c r="X335" i="11"/>
  <c r="M335" i="11"/>
  <c r="AE335" i="11"/>
  <c r="N335" i="11"/>
  <c r="Z335" i="11"/>
  <c r="AF335" i="11"/>
  <c r="U335" i="11"/>
  <c r="K335" i="11"/>
  <c r="AI335" i="11"/>
  <c r="AN335" i="11"/>
  <c r="AC335" i="11"/>
  <c r="W335" i="11"/>
  <c r="R335" i="11"/>
  <c r="I335" i="11"/>
  <c r="AK335" i="11"/>
  <c r="AJ335" i="11"/>
  <c r="AL335" i="11"/>
  <c r="Q335" i="11"/>
  <c r="O335" i="11"/>
  <c r="J335" i="11"/>
  <c r="T335" i="11"/>
  <c r="Y335" i="11"/>
  <c r="AB335" i="11"/>
  <c r="AD335" i="11"/>
  <c r="AM335" i="11"/>
  <c r="R303" i="11"/>
  <c r="K303" i="11"/>
  <c r="AM303" i="11"/>
  <c r="AN303" i="11"/>
  <c r="M303" i="11"/>
  <c r="AP303" i="11"/>
  <c r="L303" i="11"/>
  <c r="S303" i="11"/>
  <c r="I303" i="11"/>
  <c r="N303" i="11"/>
  <c r="W303" i="11"/>
  <c r="AJ303" i="11"/>
  <c r="AA303" i="11"/>
  <c r="V303" i="11"/>
  <c r="AG303" i="11"/>
  <c r="T303" i="11"/>
  <c r="O303" i="11"/>
  <c r="Q303" i="11"/>
  <c r="AE303" i="11"/>
  <c r="J303" i="11"/>
  <c r="AB303" i="11"/>
  <c r="AC303" i="11"/>
  <c r="Z303" i="11"/>
  <c r="P303" i="11"/>
  <c r="AH303" i="11"/>
  <c r="AI303" i="11"/>
  <c r="AD303" i="11"/>
  <c r="AK303" i="11"/>
  <c r="AL303" i="11"/>
  <c r="X303" i="11"/>
  <c r="U303" i="11"/>
  <c r="Y303" i="11"/>
  <c r="AF303" i="11"/>
  <c r="AO303" i="11"/>
  <c r="Y271" i="11"/>
  <c r="N271" i="11"/>
  <c r="AC271" i="11"/>
  <c r="L271" i="11"/>
  <c r="AG271" i="11"/>
  <c r="V271" i="11"/>
  <c r="K271" i="11"/>
  <c r="S271" i="11"/>
  <c r="AO271" i="11"/>
  <c r="AD271" i="11"/>
  <c r="W271" i="11"/>
  <c r="T271" i="11"/>
  <c r="J271" i="11"/>
  <c r="AL271" i="11"/>
  <c r="AJ271" i="11"/>
  <c r="AA271" i="11"/>
  <c r="R271" i="11"/>
  <c r="O271" i="11"/>
  <c r="U271" i="11"/>
  <c r="AE271" i="11"/>
  <c r="Z271" i="11"/>
  <c r="AB271" i="11"/>
  <c r="X271" i="11"/>
  <c r="AF271" i="11"/>
  <c r="I271" i="11"/>
  <c r="AH271" i="11"/>
  <c r="AN271" i="11"/>
  <c r="M271" i="11"/>
  <c r="AM271" i="11"/>
  <c r="Q271" i="11"/>
  <c r="AP271" i="11"/>
  <c r="P271" i="11"/>
  <c r="AI271" i="11"/>
  <c r="AK271" i="11"/>
  <c r="AA239" i="11"/>
  <c r="AF239" i="11"/>
  <c r="Q239" i="11"/>
  <c r="AM239" i="11"/>
  <c r="AI239" i="11"/>
  <c r="AN239" i="11"/>
  <c r="AD239" i="11"/>
  <c r="N239" i="11"/>
  <c r="M239" i="11"/>
  <c r="I239" i="11"/>
  <c r="AP239" i="11"/>
  <c r="Z239" i="11"/>
  <c r="U239" i="11"/>
  <c r="V239" i="11"/>
  <c r="AB239" i="11"/>
  <c r="O239" i="11"/>
  <c r="AC239" i="11"/>
  <c r="AH239" i="11"/>
  <c r="L239" i="11"/>
  <c r="R239" i="11"/>
  <c r="AK239" i="11"/>
  <c r="J239" i="11"/>
  <c r="AE239" i="11"/>
  <c r="Y239" i="11"/>
  <c r="K239" i="11"/>
  <c r="P239" i="11"/>
  <c r="W239" i="11"/>
  <c r="T239" i="11"/>
  <c r="AG239" i="11"/>
  <c r="S239" i="11"/>
  <c r="X239" i="11"/>
  <c r="AJ239" i="11"/>
  <c r="AO239" i="11"/>
  <c r="AL239" i="11"/>
  <c r="K663" i="11"/>
  <c r="AK663" i="11"/>
  <c r="V663" i="11"/>
  <c r="AL663" i="11"/>
  <c r="AM663" i="11"/>
  <c r="R663" i="11"/>
  <c r="W663" i="11"/>
  <c r="AG663" i="11"/>
  <c r="AH663" i="11"/>
  <c r="AA663" i="11"/>
  <c r="L663" i="11"/>
  <c r="I663" i="11"/>
  <c r="N663" i="11"/>
  <c r="O663" i="11"/>
  <c r="Q663" i="11"/>
  <c r="AC663" i="11"/>
  <c r="P663" i="11"/>
  <c r="J663" i="11"/>
  <c r="M663" i="11"/>
  <c r="X663" i="11"/>
  <c r="AP663" i="11"/>
  <c r="AF663" i="11"/>
  <c r="Y663" i="11"/>
  <c r="AD663" i="11"/>
  <c r="AO663" i="11"/>
  <c r="U663" i="11"/>
  <c r="T663" i="11"/>
  <c r="AE663" i="11"/>
  <c r="AB663" i="11"/>
  <c r="AI663" i="11"/>
  <c r="AJ663" i="11"/>
  <c r="AN663" i="11"/>
  <c r="S663" i="11"/>
  <c r="Z663" i="11"/>
  <c r="K631" i="11"/>
  <c r="AN631" i="11"/>
  <c r="AI631" i="11"/>
  <c r="AB631" i="11"/>
  <c r="X631" i="11"/>
  <c r="Q631" i="11"/>
  <c r="AA631" i="11"/>
  <c r="N631" i="11"/>
  <c r="U631" i="11"/>
  <c r="O631" i="11"/>
  <c r="AE631" i="11"/>
  <c r="S631" i="11"/>
  <c r="AC631" i="11"/>
  <c r="P631" i="11"/>
  <c r="V631" i="11"/>
  <c r="AK631" i="11"/>
  <c r="AL631" i="11"/>
  <c r="AM631" i="11"/>
  <c r="I631" i="11"/>
  <c r="AP631" i="11"/>
  <c r="Y631" i="11"/>
  <c r="L631" i="11"/>
  <c r="AG631" i="11"/>
  <c r="AD631" i="11"/>
  <c r="AO631" i="11"/>
  <c r="AF631" i="11"/>
  <c r="R631" i="11"/>
  <c r="Z631" i="11"/>
  <c r="W631" i="11"/>
  <c r="AJ631" i="11"/>
  <c r="AH631" i="11"/>
  <c r="J631" i="11"/>
  <c r="M631" i="11"/>
  <c r="T631" i="11"/>
  <c r="L599" i="11"/>
  <c r="AM599" i="11"/>
  <c r="AF599" i="11"/>
  <c r="AL599" i="11"/>
  <c r="J599" i="11"/>
  <c r="Z599" i="11"/>
  <c r="AK599" i="11"/>
  <c r="AG599" i="11"/>
  <c r="AA599" i="11"/>
  <c r="P599" i="11"/>
  <c r="Q599" i="11"/>
  <c r="AN599" i="11"/>
  <c r="X599" i="11"/>
  <c r="M599" i="11"/>
  <c r="Y599" i="11"/>
  <c r="S599" i="11"/>
  <c r="AD599" i="11"/>
  <c r="AP599" i="11"/>
  <c r="I599" i="11"/>
  <c r="AB599" i="11"/>
  <c r="AO599" i="11"/>
  <c r="K599" i="11"/>
  <c r="T599" i="11"/>
  <c r="AE599" i="11"/>
  <c r="U599" i="11"/>
  <c r="AH599" i="11"/>
  <c r="AJ599" i="11"/>
  <c r="AC599" i="11"/>
  <c r="W599" i="11"/>
  <c r="R599" i="11"/>
  <c r="N599" i="11"/>
  <c r="AI599" i="11"/>
  <c r="V599" i="11"/>
  <c r="O599" i="11"/>
  <c r="Q567" i="11"/>
  <c r="J567" i="11"/>
  <c r="AM567" i="11"/>
  <c r="AH567" i="11"/>
  <c r="X567" i="11"/>
  <c r="L567" i="11"/>
  <c r="Z567" i="11"/>
  <c r="S567" i="11"/>
  <c r="W567" i="11"/>
  <c r="AG567" i="11"/>
  <c r="AL567" i="11"/>
  <c r="AD567" i="11"/>
  <c r="AO567" i="11"/>
  <c r="N567" i="11"/>
  <c r="AK567" i="11"/>
  <c r="I567" i="11"/>
  <c r="AA567" i="11"/>
  <c r="Y567" i="11"/>
  <c r="O567" i="11"/>
  <c r="T567" i="11"/>
  <c r="AC567" i="11"/>
  <c r="AB567" i="11"/>
  <c r="AP567" i="11"/>
  <c r="AJ567" i="11"/>
  <c r="AE567" i="11"/>
  <c r="P567" i="11"/>
  <c r="V567" i="11"/>
  <c r="U567" i="11"/>
  <c r="AF567" i="11"/>
  <c r="AI567" i="11"/>
  <c r="K567" i="11"/>
  <c r="AN567" i="11"/>
  <c r="M567" i="11"/>
  <c r="R567" i="11"/>
  <c r="AP535" i="11"/>
  <c r="AL535" i="11"/>
  <c r="AF535" i="11"/>
  <c r="L535" i="11"/>
  <c r="K535" i="11"/>
  <c r="O535" i="11"/>
  <c r="T535" i="11"/>
  <c r="Q535" i="11"/>
  <c r="Z535" i="11"/>
  <c r="W535" i="11"/>
  <c r="Y535" i="11"/>
  <c r="AH535" i="11"/>
  <c r="AE535" i="11"/>
  <c r="I535" i="11"/>
  <c r="S535" i="11"/>
  <c r="AM535" i="11"/>
  <c r="AK535" i="11"/>
  <c r="AA535" i="11"/>
  <c r="M535" i="11"/>
  <c r="AO535" i="11"/>
  <c r="AI535" i="11"/>
  <c r="AC535" i="11"/>
  <c r="U535" i="11"/>
  <c r="N535" i="11"/>
  <c r="P535" i="11"/>
  <c r="AG535" i="11"/>
  <c r="J535" i="11"/>
  <c r="V535" i="11"/>
  <c r="AJ535" i="11"/>
  <c r="AB535" i="11"/>
  <c r="R535" i="11"/>
  <c r="AD535" i="11"/>
  <c r="X535" i="11"/>
  <c r="AN535" i="11"/>
  <c r="V503" i="11"/>
  <c r="R503" i="11"/>
  <c r="AB503" i="11"/>
  <c r="AF503" i="11"/>
  <c r="AJ503" i="11"/>
  <c r="AD503" i="11"/>
  <c r="Z503" i="11"/>
  <c r="AO503" i="11"/>
  <c r="L503" i="11"/>
  <c r="AL503" i="11"/>
  <c r="AH503" i="11"/>
  <c r="T503" i="11"/>
  <c r="AI503" i="11"/>
  <c r="O503" i="11"/>
  <c r="AP503" i="11"/>
  <c r="AG503" i="11"/>
  <c r="Q503" i="11"/>
  <c r="W503" i="11"/>
  <c r="M503" i="11"/>
  <c r="U503" i="11"/>
  <c r="S503" i="11"/>
  <c r="AE503" i="11"/>
  <c r="AA503" i="11"/>
  <c r="X503" i="11"/>
  <c r="AC503" i="11"/>
  <c r="AM503" i="11"/>
  <c r="AN503" i="11"/>
  <c r="Y503" i="11"/>
  <c r="AK503" i="11"/>
  <c r="N503" i="11"/>
  <c r="J503" i="11"/>
  <c r="P503" i="11"/>
  <c r="K503" i="11"/>
  <c r="I503" i="11"/>
  <c r="U471" i="11"/>
  <c r="Q471" i="11"/>
  <c r="X471" i="11"/>
  <c r="S471" i="11"/>
  <c r="AA471" i="11"/>
  <c r="AC471" i="11"/>
  <c r="Y471" i="11"/>
  <c r="AJ471" i="11"/>
  <c r="AN471" i="11"/>
  <c r="AK471" i="11"/>
  <c r="AG471" i="11"/>
  <c r="P471" i="11"/>
  <c r="AM471" i="11"/>
  <c r="N471" i="11"/>
  <c r="AO471" i="11"/>
  <c r="AB471" i="11"/>
  <c r="T471" i="11"/>
  <c r="V471" i="11"/>
  <c r="J471" i="11"/>
  <c r="AP471" i="11"/>
  <c r="O471" i="11"/>
  <c r="AD471" i="11"/>
  <c r="W471" i="11"/>
  <c r="AE471" i="11"/>
  <c r="R471" i="11"/>
  <c r="AL471" i="11"/>
  <c r="AI471" i="11"/>
  <c r="L471" i="11"/>
  <c r="Z471" i="11"/>
  <c r="M471" i="11"/>
  <c r="I471" i="11"/>
  <c r="K471" i="11"/>
  <c r="AF471" i="11"/>
  <c r="AH471" i="11"/>
  <c r="Y434" i="11"/>
  <c r="AC434" i="11"/>
  <c r="AE434" i="11"/>
  <c r="AF434" i="11"/>
  <c r="AO434" i="11"/>
  <c r="AK434" i="11"/>
  <c r="AM434" i="11"/>
  <c r="L434" i="11"/>
  <c r="X434" i="11"/>
  <c r="K434" i="11"/>
  <c r="N434" i="11"/>
  <c r="J434" i="11"/>
  <c r="AG434" i="11"/>
  <c r="AB434" i="11"/>
  <c r="S434" i="11"/>
  <c r="V434" i="11"/>
  <c r="R434" i="11"/>
  <c r="P434" i="11"/>
  <c r="AA434" i="11"/>
  <c r="AD434" i="11"/>
  <c r="Z434" i="11"/>
  <c r="AJ434" i="11"/>
  <c r="AI434" i="11"/>
  <c r="AL434" i="11"/>
  <c r="AH434" i="11"/>
  <c r="Q434" i="11"/>
  <c r="M434" i="11"/>
  <c r="O434" i="11"/>
  <c r="AP434" i="11"/>
  <c r="AN434" i="11"/>
  <c r="U434" i="11"/>
  <c r="W434" i="11"/>
  <c r="I434" i="11"/>
  <c r="T434" i="11"/>
  <c r="U402" i="11"/>
  <c r="AN402" i="11"/>
  <c r="M402" i="11"/>
  <c r="AP402" i="11"/>
  <c r="I402" i="11"/>
  <c r="O402" i="11"/>
  <c r="L402" i="11"/>
  <c r="Z402" i="11"/>
  <c r="R402" i="11"/>
  <c r="AH402" i="11"/>
  <c r="W402" i="11"/>
  <c r="T402" i="11"/>
  <c r="AL402" i="11"/>
  <c r="AD402" i="11"/>
  <c r="AE402" i="11"/>
  <c r="AB402" i="11"/>
  <c r="N402" i="11"/>
  <c r="S402" i="11"/>
  <c r="AM402" i="11"/>
  <c r="AJ402" i="11"/>
  <c r="AA402" i="11"/>
  <c r="AG402" i="11"/>
  <c r="P402" i="11"/>
  <c r="K402" i="11"/>
  <c r="AO402" i="11"/>
  <c r="J402" i="11"/>
  <c r="X402" i="11"/>
  <c r="Y402" i="11"/>
  <c r="Q402" i="11"/>
  <c r="V402" i="11"/>
  <c r="AF402" i="11"/>
  <c r="AK402" i="11"/>
  <c r="AC402" i="11"/>
  <c r="AI402" i="11"/>
  <c r="K370" i="11"/>
  <c r="I370" i="11"/>
  <c r="AK370" i="11"/>
  <c r="AH370" i="11"/>
  <c r="AP370" i="11"/>
  <c r="S370" i="11"/>
  <c r="T370" i="11"/>
  <c r="Y370" i="11"/>
  <c r="X370" i="11"/>
  <c r="AL370" i="11"/>
  <c r="AA370" i="11"/>
  <c r="AD370" i="11"/>
  <c r="AO370" i="11"/>
  <c r="AI370" i="11"/>
  <c r="L370" i="11"/>
  <c r="M370" i="11"/>
  <c r="J370" i="11"/>
  <c r="O370" i="11"/>
  <c r="V370" i="11"/>
  <c r="AC370" i="11"/>
  <c r="R370" i="11"/>
  <c r="W370" i="11"/>
  <c r="AG370" i="11"/>
  <c r="N370" i="11"/>
  <c r="AE370" i="11"/>
  <c r="P370" i="11"/>
  <c r="AF370" i="11"/>
  <c r="AB370" i="11"/>
  <c r="AM370" i="11"/>
  <c r="Z370" i="11"/>
  <c r="Q370" i="11"/>
  <c r="AJ370" i="11"/>
  <c r="AN370" i="11"/>
  <c r="U370" i="11"/>
  <c r="S338" i="11"/>
  <c r="AC338" i="11"/>
  <c r="AD338" i="11"/>
  <c r="AN338" i="11"/>
  <c r="AA338" i="11"/>
  <c r="AO338" i="11"/>
  <c r="M338" i="11"/>
  <c r="V338" i="11"/>
  <c r="Z338" i="11"/>
  <c r="AM338" i="11"/>
  <c r="AG338" i="11"/>
  <c r="AH338" i="11"/>
  <c r="P338" i="11"/>
  <c r="N338" i="11"/>
  <c r="AP338" i="11"/>
  <c r="T338" i="11"/>
  <c r="AJ338" i="11"/>
  <c r="K338" i="11"/>
  <c r="AF338" i="11"/>
  <c r="Q338" i="11"/>
  <c r="AI338" i="11"/>
  <c r="L338" i="11"/>
  <c r="AL338" i="11"/>
  <c r="O338" i="11"/>
  <c r="X338" i="11"/>
  <c r="U338" i="11"/>
  <c r="J338" i="11"/>
  <c r="W338" i="11"/>
  <c r="AK338" i="11"/>
  <c r="AB338" i="11"/>
  <c r="R338" i="11"/>
  <c r="AE338" i="11"/>
  <c r="I338" i="11"/>
  <c r="Y338" i="11"/>
  <c r="AF306" i="11"/>
  <c r="K306" i="11"/>
  <c r="AM306" i="11"/>
  <c r="N306" i="11"/>
  <c r="AN306" i="11"/>
  <c r="V306" i="11"/>
  <c r="W306" i="11"/>
  <c r="AE306" i="11"/>
  <c r="AH306" i="11"/>
  <c r="Z306" i="11"/>
  <c r="S306" i="11"/>
  <c r="AC306" i="11"/>
  <c r="L306" i="11"/>
  <c r="AK306" i="11"/>
  <c r="AI306" i="11"/>
  <c r="M306" i="11"/>
  <c r="T306" i="11"/>
  <c r="Q306" i="11"/>
  <c r="U306" i="11"/>
  <c r="AD306" i="11"/>
  <c r="AB306" i="11"/>
  <c r="AA306" i="11"/>
  <c r="AO306" i="11"/>
  <c r="AJ306" i="11"/>
  <c r="AL306" i="11"/>
  <c r="I306" i="11"/>
  <c r="P306" i="11"/>
  <c r="AG306" i="11"/>
  <c r="Y306" i="11"/>
  <c r="J306" i="11"/>
  <c r="X306" i="11"/>
  <c r="R306" i="11"/>
  <c r="AP306" i="11"/>
  <c r="O306" i="11"/>
  <c r="AB274" i="11"/>
  <c r="AO274" i="11"/>
  <c r="Y274" i="11"/>
  <c r="Z274" i="11"/>
  <c r="AJ274" i="11"/>
  <c r="Q274" i="11"/>
  <c r="N274" i="11"/>
  <c r="AE274" i="11"/>
  <c r="AI274" i="11"/>
  <c r="AC274" i="11"/>
  <c r="I274" i="11"/>
  <c r="L274" i="11"/>
  <c r="AD274" i="11"/>
  <c r="AM274" i="11"/>
  <c r="T274" i="11"/>
  <c r="AP274" i="11"/>
  <c r="M274" i="11"/>
  <c r="P274" i="11"/>
  <c r="J274" i="11"/>
  <c r="R274" i="11"/>
  <c r="X274" i="11"/>
  <c r="W274" i="11"/>
  <c r="U274" i="11"/>
  <c r="K274" i="11"/>
  <c r="AF274" i="11"/>
  <c r="AK274" i="11"/>
  <c r="AL274" i="11"/>
  <c r="AA274" i="11"/>
  <c r="AH274" i="11"/>
  <c r="S274" i="11"/>
  <c r="AN274" i="11"/>
  <c r="V274" i="11"/>
  <c r="AG274" i="11"/>
  <c r="O274" i="11"/>
  <c r="I242" i="11"/>
  <c r="V242" i="11"/>
  <c r="AE242" i="11"/>
  <c r="AM242" i="11"/>
  <c r="AI242" i="11"/>
  <c r="AF242" i="11"/>
  <c r="AG242" i="11"/>
  <c r="M242" i="11"/>
  <c r="J242" i="11"/>
  <c r="K242" i="11"/>
  <c r="T242" i="11"/>
  <c r="AA242" i="11"/>
  <c r="U242" i="11"/>
  <c r="R242" i="11"/>
  <c r="X242" i="11"/>
  <c r="AO242" i="11"/>
  <c r="N242" i="11"/>
  <c r="AC242" i="11"/>
  <c r="Z242" i="11"/>
  <c r="AJ242" i="11"/>
  <c r="AL242" i="11"/>
  <c r="AP242" i="11"/>
  <c r="Y242" i="11"/>
  <c r="AB242" i="11"/>
  <c r="S242" i="11"/>
  <c r="AK242" i="11"/>
  <c r="AH242" i="11"/>
  <c r="Q242" i="11"/>
  <c r="AN242" i="11"/>
  <c r="O242" i="11"/>
  <c r="AD242" i="11"/>
  <c r="W242" i="11"/>
  <c r="P242" i="11"/>
  <c r="L242" i="11"/>
  <c r="N662" i="11"/>
  <c r="AP662" i="11"/>
  <c r="AA662" i="11"/>
  <c r="O662" i="11"/>
  <c r="X662" i="11"/>
  <c r="J662" i="11"/>
  <c r="L662" i="11"/>
  <c r="I662" i="11"/>
  <c r="S662" i="11"/>
  <c r="AH662" i="11"/>
  <c r="Y662" i="11"/>
  <c r="AJ662" i="11"/>
  <c r="K662" i="11"/>
  <c r="AO662" i="11"/>
  <c r="T662" i="11"/>
  <c r="U662" i="11"/>
  <c r="AB662" i="11"/>
  <c r="V662" i="11"/>
  <c r="AF662" i="11"/>
  <c r="M662" i="11"/>
  <c r="AN662" i="11"/>
  <c r="AD662" i="11"/>
  <c r="W662" i="11"/>
  <c r="AC662" i="11"/>
  <c r="AL662" i="11"/>
  <c r="AG662" i="11"/>
  <c r="AE662" i="11"/>
  <c r="R662" i="11"/>
  <c r="P662" i="11"/>
  <c r="Q662" i="11"/>
  <c r="Z662" i="11"/>
  <c r="AK662" i="11"/>
  <c r="AI662" i="11"/>
  <c r="AM662" i="11"/>
  <c r="W630" i="11"/>
  <c r="AB630" i="11"/>
  <c r="M630" i="11"/>
  <c r="J630" i="11"/>
  <c r="AJ630" i="11"/>
  <c r="S630" i="11"/>
  <c r="AN630" i="11"/>
  <c r="U630" i="11"/>
  <c r="P630" i="11"/>
  <c r="Q630" i="11"/>
  <c r="N630" i="11"/>
  <c r="T630" i="11"/>
  <c r="AE630" i="11"/>
  <c r="AC630" i="11"/>
  <c r="Y630" i="11"/>
  <c r="AM630" i="11"/>
  <c r="L630" i="11"/>
  <c r="Z630" i="11"/>
  <c r="AI630" i="11"/>
  <c r="AD630" i="11"/>
  <c r="I630" i="11"/>
  <c r="R630" i="11"/>
  <c r="AH630" i="11"/>
  <c r="V630" i="11"/>
  <c r="AG630" i="11"/>
  <c r="AF630" i="11"/>
  <c r="O630" i="11"/>
  <c r="AK630" i="11"/>
  <c r="K630" i="11"/>
  <c r="AO630" i="11"/>
  <c r="AA630" i="11"/>
  <c r="AP630" i="11"/>
  <c r="AL630" i="11"/>
  <c r="X630" i="11"/>
  <c r="AN598" i="11"/>
  <c r="R598" i="11"/>
  <c r="AL598" i="11"/>
  <c r="AK598" i="11"/>
  <c r="AM598" i="11"/>
  <c r="AI598" i="11"/>
  <c r="AJ598" i="11"/>
  <c r="I598" i="11"/>
  <c r="AF598" i="11"/>
  <c r="J598" i="11"/>
  <c r="AB598" i="11"/>
  <c r="O598" i="11"/>
  <c r="AA598" i="11"/>
  <c r="AH598" i="11"/>
  <c r="L598" i="11"/>
  <c r="W598" i="11"/>
  <c r="Q598" i="11"/>
  <c r="T598" i="11"/>
  <c r="N598" i="11"/>
  <c r="X598" i="11"/>
  <c r="AD598" i="11"/>
  <c r="Y598" i="11"/>
  <c r="M598" i="11"/>
  <c r="AE598" i="11"/>
  <c r="U598" i="11"/>
  <c r="P598" i="11"/>
  <c r="AO598" i="11"/>
  <c r="K598" i="11"/>
  <c r="Z598" i="11"/>
  <c r="S598" i="11"/>
  <c r="AG598" i="11"/>
  <c r="AC598" i="11"/>
  <c r="AP598" i="11"/>
  <c r="V598" i="11"/>
  <c r="J566" i="11"/>
  <c r="AI566" i="11"/>
  <c r="AG566" i="11"/>
  <c r="AB566" i="11"/>
  <c r="AO566" i="11"/>
  <c r="AP566" i="11"/>
  <c r="AL566" i="11"/>
  <c r="L566" i="11"/>
  <c r="AF566" i="11"/>
  <c r="N566" i="11"/>
  <c r="AJ566" i="11"/>
  <c r="M566" i="11"/>
  <c r="AH566" i="11"/>
  <c r="AE566" i="11"/>
  <c r="AN566" i="11"/>
  <c r="R566" i="11"/>
  <c r="U566" i="11"/>
  <c r="AM566" i="11"/>
  <c r="Z566" i="11"/>
  <c r="I566" i="11"/>
  <c r="P566" i="11"/>
  <c r="K566" i="11"/>
  <c r="W566" i="11"/>
  <c r="Y566" i="11"/>
  <c r="S566" i="11"/>
  <c r="X566" i="11"/>
  <c r="AA566" i="11"/>
  <c r="AK566" i="11"/>
  <c r="V566" i="11"/>
  <c r="O566" i="11"/>
  <c r="AD566" i="11"/>
  <c r="T566" i="11"/>
  <c r="Q566" i="11"/>
  <c r="AC566" i="11"/>
  <c r="AC534" i="11"/>
  <c r="Y534" i="11"/>
  <c r="AL534" i="11"/>
  <c r="Z534" i="11"/>
  <c r="AB534" i="11"/>
  <c r="AF534" i="11"/>
  <c r="AE534" i="11"/>
  <c r="S534" i="11"/>
  <c r="T534" i="11"/>
  <c r="I534" i="11"/>
  <c r="AD534" i="11"/>
  <c r="W534" i="11"/>
  <c r="AK534" i="11"/>
  <c r="O534" i="11"/>
  <c r="K534" i="11"/>
  <c r="L534" i="11"/>
  <c r="AG534" i="11"/>
  <c r="N534" i="11"/>
  <c r="AJ534" i="11"/>
  <c r="AO534" i="11"/>
  <c r="AA534" i="11"/>
  <c r="M534" i="11"/>
  <c r="R534" i="11"/>
  <c r="AP534" i="11"/>
  <c r="U534" i="11"/>
  <c r="AH534" i="11"/>
  <c r="P534" i="11"/>
  <c r="V534" i="11"/>
  <c r="X534" i="11"/>
  <c r="J534" i="11"/>
  <c r="AN534" i="11"/>
  <c r="AI534" i="11"/>
  <c r="Q534" i="11"/>
  <c r="AM534" i="11"/>
  <c r="I502" i="11"/>
  <c r="AJ502" i="11"/>
  <c r="AC502" i="11"/>
  <c r="Z502" i="11"/>
  <c r="P502" i="11"/>
  <c r="AO502" i="11"/>
  <c r="K502" i="11"/>
  <c r="R502" i="11"/>
  <c r="AE502" i="11"/>
  <c r="Q502" i="11"/>
  <c r="AI502" i="11"/>
  <c r="S502" i="11"/>
  <c r="T502" i="11"/>
  <c r="AP502" i="11"/>
  <c r="AD502" i="11"/>
  <c r="AN502" i="11"/>
  <c r="AK502" i="11"/>
  <c r="M502" i="11"/>
  <c r="Y502" i="11"/>
  <c r="O502" i="11"/>
  <c r="AG502" i="11"/>
  <c r="N502" i="11"/>
  <c r="L502" i="11"/>
  <c r="AH502" i="11"/>
  <c r="AB502" i="11"/>
  <c r="AL502" i="11"/>
  <c r="J502" i="11"/>
  <c r="AM502" i="11"/>
  <c r="X502" i="11"/>
  <c r="V502" i="11"/>
  <c r="AA502" i="11"/>
  <c r="AF502" i="11"/>
  <c r="W502" i="11"/>
  <c r="U502" i="11"/>
  <c r="O470" i="11"/>
  <c r="K470" i="11"/>
  <c r="L470" i="11"/>
  <c r="I470" i="11"/>
  <c r="AJ470" i="11"/>
  <c r="P470" i="11"/>
  <c r="R470" i="11"/>
  <c r="AP470" i="11"/>
  <c r="U470" i="11"/>
  <c r="AF470" i="11"/>
  <c r="Y470" i="11"/>
  <c r="AO470" i="11"/>
  <c r="W470" i="11"/>
  <c r="AI470" i="11"/>
  <c r="M470" i="11"/>
  <c r="AC470" i="11"/>
  <c r="AN470" i="11"/>
  <c r="Z470" i="11"/>
  <c r="S470" i="11"/>
  <c r="AH470" i="11"/>
  <c r="AA470" i="11"/>
  <c r="AL470" i="11"/>
  <c r="AD470" i="11"/>
  <c r="J470" i="11"/>
  <c r="T470" i="11"/>
  <c r="Q470" i="11"/>
  <c r="AE470" i="11"/>
  <c r="AG470" i="11"/>
  <c r="AB470" i="11"/>
  <c r="AM470" i="11"/>
  <c r="AK470" i="11"/>
  <c r="N470" i="11"/>
  <c r="X470" i="11"/>
  <c r="V470" i="11"/>
  <c r="K453" i="11"/>
  <c r="AI453" i="11"/>
  <c r="V453" i="11"/>
  <c r="Q453" i="11"/>
  <c r="N453" i="11"/>
  <c r="AF453" i="11"/>
  <c r="Y453" i="11"/>
  <c r="AA453" i="11"/>
  <c r="U453" i="11"/>
  <c r="AG453" i="11"/>
  <c r="AN453" i="11"/>
  <c r="AH453" i="11"/>
  <c r="O453" i="11"/>
  <c r="AO453" i="11"/>
  <c r="P453" i="11"/>
  <c r="J453" i="11"/>
  <c r="W453" i="11"/>
  <c r="L453" i="11"/>
  <c r="AC453" i="11"/>
  <c r="M453" i="11"/>
  <c r="AE453" i="11"/>
  <c r="T453" i="11"/>
  <c r="R453" i="11"/>
  <c r="Z453" i="11"/>
  <c r="AM453" i="11"/>
  <c r="AB453" i="11"/>
  <c r="AD453" i="11"/>
  <c r="AL453" i="11"/>
  <c r="X453" i="11"/>
  <c r="I453" i="11"/>
  <c r="AJ453" i="11"/>
  <c r="S453" i="11"/>
  <c r="AP453" i="11"/>
  <c r="AK453" i="11"/>
  <c r="Q421" i="11"/>
  <c r="AP421" i="11"/>
  <c r="AI421" i="11"/>
  <c r="AC421" i="11"/>
  <c r="Y421" i="11"/>
  <c r="N421" i="11"/>
  <c r="K421" i="11"/>
  <c r="O421" i="11"/>
  <c r="AG421" i="11"/>
  <c r="V421" i="11"/>
  <c r="W421" i="11"/>
  <c r="T421" i="11"/>
  <c r="AO421" i="11"/>
  <c r="AD421" i="11"/>
  <c r="AJ421" i="11"/>
  <c r="AA421" i="11"/>
  <c r="J421" i="11"/>
  <c r="AL421" i="11"/>
  <c r="L421" i="11"/>
  <c r="AB421" i="11"/>
  <c r="R421" i="11"/>
  <c r="S421" i="11"/>
  <c r="X421" i="11"/>
  <c r="AF421" i="11"/>
  <c r="AN421" i="11"/>
  <c r="Z421" i="11"/>
  <c r="AE421" i="11"/>
  <c r="AK421" i="11"/>
  <c r="AM421" i="11"/>
  <c r="I421" i="11"/>
  <c r="AH421" i="11"/>
  <c r="U421" i="11"/>
  <c r="P421" i="11"/>
  <c r="M421" i="11"/>
  <c r="AF389" i="11"/>
  <c r="AM389" i="11"/>
  <c r="Z389" i="11"/>
  <c r="V389" i="11"/>
  <c r="X389" i="11"/>
  <c r="I389" i="11"/>
  <c r="AH389" i="11"/>
  <c r="AD389" i="11"/>
  <c r="AB389" i="11"/>
  <c r="AO389" i="11"/>
  <c r="N389" i="11"/>
  <c r="M389" i="11"/>
  <c r="J389" i="11"/>
  <c r="AL389" i="11"/>
  <c r="AJ389" i="11"/>
  <c r="O389" i="11"/>
  <c r="R389" i="11"/>
  <c r="P389" i="11"/>
  <c r="L389" i="11"/>
  <c r="W389" i="11"/>
  <c r="AP389" i="11"/>
  <c r="AK389" i="11"/>
  <c r="AE389" i="11"/>
  <c r="K389" i="11"/>
  <c r="T389" i="11"/>
  <c r="Q389" i="11"/>
  <c r="S389" i="11"/>
  <c r="AN389" i="11"/>
  <c r="Y389" i="11"/>
  <c r="AA389" i="11"/>
  <c r="U389" i="11"/>
  <c r="AG389" i="11"/>
  <c r="AI389" i="11"/>
  <c r="AC389" i="11"/>
  <c r="L357" i="11"/>
  <c r="I357" i="11"/>
  <c r="N357" i="11"/>
  <c r="AA357" i="11"/>
  <c r="V357" i="11"/>
  <c r="T357" i="11"/>
  <c r="Q357" i="11"/>
  <c r="Z357" i="11"/>
  <c r="AD357" i="11"/>
  <c r="O357" i="11"/>
  <c r="U357" i="11"/>
  <c r="AI357" i="11"/>
  <c r="AL357" i="11"/>
  <c r="AC357" i="11"/>
  <c r="AM357" i="11"/>
  <c r="AF357" i="11"/>
  <c r="AK357" i="11"/>
  <c r="R357" i="11"/>
  <c r="AH357" i="11"/>
  <c r="Y357" i="11"/>
  <c r="AE357" i="11"/>
  <c r="AP357" i="11"/>
  <c r="AG357" i="11"/>
  <c r="S357" i="11"/>
  <c r="K357" i="11"/>
  <c r="AB357" i="11"/>
  <c r="AO357" i="11"/>
  <c r="AN357" i="11"/>
  <c r="AJ357" i="11"/>
  <c r="J357" i="11"/>
  <c r="X357" i="11"/>
  <c r="M357" i="11"/>
  <c r="W357" i="11"/>
  <c r="P357" i="11"/>
  <c r="AD325" i="11"/>
  <c r="AA325" i="11"/>
  <c r="U325" i="11"/>
  <c r="S325" i="11"/>
  <c r="AL325" i="11"/>
  <c r="AK325" i="11"/>
  <c r="AN325" i="11"/>
  <c r="T325" i="11"/>
  <c r="J325" i="11"/>
  <c r="Q325" i="11"/>
  <c r="I325" i="11"/>
  <c r="X325" i="11"/>
  <c r="R325" i="11"/>
  <c r="AB325" i="11"/>
  <c r="Y325" i="11"/>
  <c r="AC325" i="11"/>
  <c r="Z325" i="11"/>
  <c r="AM325" i="11"/>
  <c r="O325" i="11"/>
  <c r="AE325" i="11"/>
  <c r="AH325" i="11"/>
  <c r="L325" i="11"/>
  <c r="AF325" i="11"/>
  <c r="K325" i="11"/>
  <c r="N325" i="11"/>
  <c r="AP325" i="11"/>
  <c r="W325" i="11"/>
  <c r="M325" i="11"/>
  <c r="AJ325" i="11"/>
  <c r="V325" i="11"/>
  <c r="P325" i="11"/>
  <c r="AG325" i="11"/>
  <c r="AO325" i="11"/>
  <c r="AI325" i="11"/>
  <c r="V293" i="11"/>
  <c r="P293" i="11"/>
  <c r="AG293" i="11"/>
  <c r="AC293" i="11"/>
  <c r="T293" i="11"/>
  <c r="N293" i="11"/>
  <c r="AA293" i="11"/>
  <c r="AP293" i="11"/>
  <c r="AI293" i="11"/>
  <c r="Y293" i="11"/>
  <c r="R293" i="11"/>
  <c r="W293" i="11"/>
  <c r="AJ293" i="11"/>
  <c r="Z293" i="11"/>
  <c r="M293" i="11"/>
  <c r="K293" i="11"/>
  <c r="AH293" i="11"/>
  <c r="AE293" i="11"/>
  <c r="AM293" i="11"/>
  <c r="AK293" i="11"/>
  <c r="O293" i="11"/>
  <c r="S293" i="11"/>
  <c r="Q293" i="11"/>
  <c r="AF293" i="11"/>
  <c r="AO293" i="11"/>
  <c r="AB293" i="11"/>
  <c r="X293" i="11"/>
  <c r="U293" i="11"/>
  <c r="AD293" i="11"/>
  <c r="AL293" i="11"/>
  <c r="AN293" i="11"/>
  <c r="J293" i="11"/>
  <c r="L293" i="11"/>
  <c r="I293" i="11"/>
  <c r="L261" i="11"/>
  <c r="I261" i="11"/>
  <c r="O261" i="11"/>
  <c r="AL261" i="11"/>
  <c r="K261" i="11"/>
  <c r="T261" i="11"/>
  <c r="Q261" i="11"/>
  <c r="AA261" i="11"/>
  <c r="AD261" i="11"/>
  <c r="J261" i="11"/>
  <c r="AB261" i="11"/>
  <c r="Y261" i="11"/>
  <c r="AN261" i="11"/>
  <c r="AE261" i="11"/>
  <c r="AJ261" i="11"/>
  <c r="AG261" i="11"/>
  <c r="V261" i="11"/>
  <c r="AF261" i="11"/>
  <c r="M261" i="11"/>
  <c r="AO261" i="11"/>
  <c r="AH261" i="11"/>
  <c r="S261" i="11"/>
  <c r="U261" i="11"/>
  <c r="N261" i="11"/>
  <c r="P261" i="11"/>
  <c r="W261" i="11"/>
  <c r="AC261" i="11"/>
  <c r="Z261" i="11"/>
  <c r="AI261" i="11"/>
  <c r="X261" i="11"/>
  <c r="AK261" i="11"/>
  <c r="AM261" i="11"/>
  <c r="R261" i="11"/>
  <c r="AP261" i="11"/>
  <c r="AB681" i="11"/>
  <c r="AF681" i="11"/>
  <c r="W681" i="11"/>
  <c r="O681" i="11"/>
  <c r="AC681" i="11"/>
  <c r="I681" i="11"/>
  <c r="AL681" i="11"/>
  <c r="AE681" i="11"/>
  <c r="M681" i="11"/>
  <c r="V681" i="11"/>
  <c r="AM681" i="11"/>
  <c r="U681" i="11"/>
  <c r="AH681" i="11"/>
  <c r="AA681" i="11"/>
  <c r="AK681" i="11"/>
  <c r="J681" i="11"/>
  <c r="AO681" i="11"/>
  <c r="P681" i="11"/>
  <c r="AI681" i="11"/>
  <c r="R681" i="11"/>
  <c r="X681" i="11"/>
  <c r="K681" i="11"/>
  <c r="L681" i="11"/>
  <c r="AN681" i="11"/>
  <c r="Y681" i="11"/>
  <c r="T681" i="11"/>
  <c r="S681" i="11"/>
  <c r="N681" i="11"/>
  <c r="AJ681" i="11"/>
  <c r="AG681" i="11"/>
  <c r="Z681" i="11"/>
  <c r="AP681" i="11"/>
  <c r="AD681" i="11"/>
  <c r="Q681" i="11"/>
  <c r="V649" i="11"/>
  <c r="W649" i="11"/>
  <c r="P649" i="11"/>
  <c r="AO649" i="11"/>
  <c r="AH649" i="11"/>
  <c r="I649" i="11"/>
  <c r="AJ649" i="11"/>
  <c r="K649" i="11"/>
  <c r="X649" i="11"/>
  <c r="AB649" i="11"/>
  <c r="R649" i="11"/>
  <c r="AA649" i="11"/>
  <c r="AF649" i="11"/>
  <c r="S649" i="11"/>
  <c r="AM649" i="11"/>
  <c r="AN649" i="11"/>
  <c r="AE649" i="11"/>
  <c r="Q649" i="11"/>
  <c r="U649" i="11"/>
  <c r="Y649" i="11"/>
  <c r="M649" i="11"/>
  <c r="AG649" i="11"/>
  <c r="Z649" i="11"/>
  <c r="L649" i="11"/>
  <c r="AL649" i="11"/>
  <c r="T649" i="11"/>
  <c r="AD649" i="11"/>
  <c r="O649" i="11"/>
  <c r="AP649" i="11"/>
  <c r="N649" i="11"/>
  <c r="AK649" i="11"/>
  <c r="AI649" i="11"/>
  <c r="AC649" i="11"/>
  <c r="J649" i="11"/>
  <c r="Q617" i="11"/>
  <c r="AP617" i="11"/>
  <c r="L617" i="11"/>
  <c r="N617" i="11"/>
  <c r="J617" i="11"/>
  <c r="AK617" i="11"/>
  <c r="AD617" i="11"/>
  <c r="O617" i="11"/>
  <c r="M617" i="11"/>
  <c r="P617" i="11"/>
  <c r="AG617" i="11"/>
  <c r="K617" i="11"/>
  <c r="AE617" i="11"/>
  <c r="AO617" i="11"/>
  <c r="W617" i="11"/>
  <c r="AF617" i="11"/>
  <c r="AH617" i="11"/>
  <c r="AL617" i="11"/>
  <c r="AI617" i="11"/>
  <c r="X617" i="11"/>
  <c r="I617" i="11"/>
  <c r="V617" i="11"/>
  <c r="Y617" i="11"/>
  <c r="AB617" i="11"/>
  <c r="R617" i="11"/>
  <c r="S617" i="11"/>
  <c r="Z617" i="11"/>
  <c r="AM617" i="11"/>
  <c r="U617" i="11"/>
  <c r="AC617" i="11"/>
  <c r="AJ617" i="11"/>
  <c r="AN617" i="11"/>
  <c r="AA617" i="11"/>
  <c r="T617" i="11"/>
  <c r="Z585" i="11"/>
  <c r="AF585" i="11"/>
  <c r="AA585" i="11"/>
  <c r="AN585" i="11"/>
  <c r="AG585" i="11"/>
  <c r="U585" i="11"/>
  <c r="L585" i="11"/>
  <c r="O585" i="11"/>
  <c r="AP585" i="11"/>
  <c r="X585" i="11"/>
  <c r="AE585" i="11"/>
  <c r="AO585" i="11"/>
  <c r="T585" i="11"/>
  <c r="P585" i="11"/>
  <c r="J585" i="11"/>
  <c r="AJ585" i="11"/>
  <c r="R585" i="11"/>
  <c r="AL585" i="11"/>
  <c r="AH585" i="11"/>
  <c r="N585" i="11"/>
  <c r="M585" i="11"/>
  <c r="AM585" i="11"/>
  <c r="AC585" i="11"/>
  <c r="AD585" i="11"/>
  <c r="I585" i="11"/>
  <c r="AK585" i="11"/>
  <c r="V585" i="11"/>
  <c r="Q585" i="11"/>
  <c r="K585" i="11"/>
  <c r="AB585" i="11"/>
  <c r="Y585" i="11"/>
  <c r="W585" i="11"/>
  <c r="S585" i="11"/>
  <c r="AI585" i="11"/>
  <c r="AB553" i="11"/>
  <c r="AN553" i="11"/>
  <c r="P553" i="11"/>
  <c r="K553" i="11"/>
  <c r="AE553" i="11"/>
  <c r="AO553" i="11"/>
  <c r="V553" i="11"/>
  <c r="AI553" i="11"/>
  <c r="T553" i="11"/>
  <c r="S553" i="11"/>
  <c r="AL553" i="11"/>
  <c r="AJ553" i="11"/>
  <c r="AD553" i="11"/>
  <c r="Y553" i="11"/>
  <c r="O553" i="11"/>
  <c r="M553" i="11"/>
  <c r="AP553" i="11"/>
  <c r="W553" i="11"/>
  <c r="X553" i="11"/>
  <c r="AA553" i="11"/>
  <c r="AM553" i="11"/>
  <c r="AH553" i="11"/>
  <c r="Q553" i="11"/>
  <c r="R553" i="11"/>
  <c r="AG553" i="11"/>
  <c r="AF553" i="11"/>
  <c r="AC553" i="11"/>
  <c r="U553" i="11"/>
  <c r="J553" i="11"/>
  <c r="L553" i="11"/>
  <c r="I553" i="11"/>
  <c r="AK553" i="11"/>
  <c r="N553" i="11"/>
  <c r="Z553" i="11"/>
  <c r="AI521" i="11"/>
  <c r="AM521" i="11"/>
  <c r="Y521" i="11"/>
  <c r="AG521" i="11"/>
  <c r="AJ521" i="11"/>
  <c r="X521" i="11"/>
  <c r="AP521" i="11"/>
  <c r="AH521" i="11"/>
  <c r="O521" i="11"/>
  <c r="AN521" i="11"/>
  <c r="U521" i="11"/>
  <c r="W521" i="11"/>
  <c r="AO521" i="11"/>
  <c r="AC521" i="11"/>
  <c r="K521" i="11"/>
  <c r="AE521" i="11"/>
  <c r="I521" i="11"/>
  <c r="AL521" i="11"/>
  <c r="S521" i="11"/>
  <c r="Q521" i="11"/>
  <c r="Z521" i="11"/>
  <c r="M521" i="11"/>
  <c r="AA521" i="11"/>
  <c r="AD521" i="11"/>
  <c r="N521" i="11"/>
  <c r="L521" i="11"/>
  <c r="J521" i="11"/>
  <c r="AF521" i="11"/>
  <c r="T521" i="11"/>
  <c r="AK521" i="11"/>
  <c r="P521" i="11"/>
  <c r="AB521" i="11"/>
  <c r="V521" i="11"/>
  <c r="R521" i="11"/>
  <c r="O489" i="11"/>
  <c r="V489" i="11"/>
  <c r="AL489" i="11"/>
  <c r="U489" i="11"/>
  <c r="AN489" i="11"/>
  <c r="K489" i="11"/>
  <c r="M489" i="11"/>
  <c r="AO489" i="11"/>
  <c r="AK489" i="11"/>
  <c r="S489" i="11"/>
  <c r="X489" i="11"/>
  <c r="J489" i="11"/>
  <c r="N489" i="11"/>
  <c r="L489" i="11"/>
  <c r="AB489" i="11"/>
  <c r="AJ489" i="11"/>
  <c r="AF489" i="11"/>
  <c r="W489" i="11"/>
  <c r="I489" i="11"/>
  <c r="P489" i="11"/>
  <c r="AE489" i="11"/>
  <c r="Z489" i="11"/>
  <c r="AH489" i="11"/>
  <c r="Q489" i="11"/>
  <c r="AC489" i="11"/>
  <c r="R489" i="11"/>
  <c r="AA489" i="11"/>
  <c r="Y489" i="11"/>
  <c r="AI489" i="11"/>
  <c r="AD489" i="11"/>
  <c r="AG489" i="11"/>
  <c r="AM489" i="11"/>
  <c r="AP489" i="11"/>
  <c r="T489" i="11"/>
  <c r="Q452" i="11"/>
  <c r="N452" i="11"/>
  <c r="X452" i="11"/>
  <c r="P452" i="11"/>
  <c r="Y452" i="11"/>
  <c r="V452" i="11"/>
  <c r="AK452" i="11"/>
  <c r="AC452" i="11"/>
  <c r="AI452" i="11"/>
  <c r="Z452" i="11"/>
  <c r="U452" i="11"/>
  <c r="AD452" i="11"/>
  <c r="AM452" i="11"/>
  <c r="AH452" i="11"/>
  <c r="I452" i="11"/>
  <c r="AL452" i="11"/>
  <c r="O452" i="11"/>
  <c r="AG452" i="11"/>
  <c r="J452" i="11"/>
  <c r="AB452" i="11"/>
  <c r="AO452" i="11"/>
  <c r="W452" i="11"/>
  <c r="AN452" i="11"/>
  <c r="K452" i="11"/>
  <c r="AJ452" i="11"/>
  <c r="AP452" i="11"/>
  <c r="S452" i="11"/>
  <c r="L452" i="11"/>
  <c r="R452" i="11"/>
  <c r="AA452" i="11"/>
  <c r="M452" i="11"/>
  <c r="AE452" i="11"/>
  <c r="AF452" i="11"/>
  <c r="T452" i="11"/>
  <c r="AB420" i="11"/>
  <c r="AM420" i="11"/>
  <c r="M420" i="11"/>
  <c r="AK420" i="11"/>
  <c r="AJ420" i="11"/>
  <c r="Q420" i="11"/>
  <c r="Y420" i="11"/>
  <c r="J420" i="11"/>
  <c r="K420" i="11"/>
  <c r="P420" i="11"/>
  <c r="AD420" i="11"/>
  <c r="AL420" i="11"/>
  <c r="S420" i="11"/>
  <c r="X420" i="11"/>
  <c r="AP420" i="11"/>
  <c r="O420" i="11"/>
  <c r="AA420" i="11"/>
  <c r="AF420" i="11"/>
  <c r="R420" i="11"/>
  <c r="V420" i="11"/>
  <c r="AI420" i="11"/>
  <c r="AN420" i="11"/>
  <c r="AE420" i="11"/>
  <c r="W420" i="11"/>
  <c r="L420" i="11"/>
  <c r="N420" i="11"/>
  <c r="U420" i="11"/>
  <c r="AC420" i="11"/>
  <c r="T420" i="11"/>
  <c r="Z420" i="11"/>
  <c r="AG420" i="11"/>
  <c r="AH420" i="11"/>
  <c r="I420" i="11"/>
  <c r="AO420" i="11"/>
  <c r="K388" i="11"/>
  <c r="M388" i="11"/>
  <c r="AD388" i="11"/>
  <c r="AM388" i="11"/>
  <c r="S388" i="11"/>
  <c r="U388" i="11"/>
  <c r="J388" i="11"/>
  <c r="V388" i="11"/>
  <c r="AA388" i="11"/>
  <c r="AC388" i="11"/>
  <c r="AE388" i="11"/>
  <c r="AP388" i="11"/>
  <c r="I388" i="11"/>
  <c r="AI388" i="11"/>
  <c r="AK388" i="11"/>
  <c r="N388" i="11"/>
  <c r="Z388" i="11"/>
  <c r="Q388" i="11"/>
  <c r="L388" i="11"/>
  <c r="P388" i="11"/>
  <c r="AH388" i="11"/>
  <c r="W388" i="11"/>
  <c r="Y388" i="11"/>
  <c r="T388" i="11"/>
  <c r="X388" i="11"/>
  <c r="O388" i="11"/>
  <c r="AG388" i="11"/>
  <c r="AB388" i="11"/>
  <c r="AF388" i="11"/>
  <c r="AL388" i="11"/>
  <c r="AO388" i="11"/>
  <c r="AJ388" i="11"/>
  <c r="AN388" i="11"/>
  <c r="R388" i="11"/>
  <c r="AE356" i="11"/>
  <c r="AM356" i="11"/>
  <c r="V356" i="11"/>
  <c r="S356" i="11"/>
  <c r="AD356" i="11"/>
  <c r="O356" i="11"/>
  <c r="R356" i="11"/>
  <c r="L356" i="11"/>
  <c r="J356" i="11"/>
  <c r="W356" i="11"/>
  <c r="AF356" i="11"/>
  <c r="AG356" i="11"/>
  <c r="AC356" i="11"/>
  <c r="AA356" i="11"/>
  <c r="Q356" i="11"/>
  <c r="AB356" i="11"/>
  <c r="AI356" i="11"/>
  <c r="AK356" i="11"/>
  <c r="AJ356" i="11"/>
  <c r="I356" i="11"/>
  <c r="T356" i="11"/>
  <c r="U356" i="11"/>
  <c r="AO356" i="11"/>
  <c r="AH356" i="11"/>
  <c r="X356" i="11"/>
  <c r="N356" i="11"/>
  <c r="M356" i="11"/>
  <c r="AP356" i="11"/>
  <c r="AL356" i="11"/>
  <c r="Z356" i="11"/>
  <c r="P356" i="11"/>
  <c r="K356" i="11"/>
  <c r="AN356" i="11"/>
  <c r="Y356" i="11"/>
  <c r="T324" i="11"/>
  <c r="AD324" i="11"/>
  <c r="Z324" i="11"/>
  <c r="K324" i="11"/>
  <c r="AB324" i="11"/>
  <c r="AO324" i="11"/>
  <c r="O324" i="11"/>
  <c r="AK324" i="11"/>
  <c r="AJ324" i="11"/>
  <c r="AI324" i="11"/>
  <c r="AE324" i="11"/>
  <c r="R324" i="11"/>
  <c r="V324" i="11"/>
  <c r="AH324" i="11"/>
  <c r="AC324" i="11"/>
  <c r="AL324" i="11"/>
  <c r="Q324" i="11"/>
  <c r="P324" i="11"/>
  <c r="AM324" i="11"/>
  <c r="J324" i="11"/>
  <c r="M324" i="11"/>
  <c r="X324" i="11"/>
  <c r="I324" i="11"/>
  <c r="AG324" i="11"/>
  <c r="AP324" i="11"/>
  <c r="AF324" i="11"/>
  <c r="S324" i="11"/>
  <c r="U324" i="11"/>
  <c r="AN324" i="11"/>
  <c r="N324" i="11"/>
  <c r="W324" i="11"/>
  <c r="L324" i="11"/>
  <c r="Y324" i="11"/>
  <c r="AA324" i="11"/>
  <c r="X292" i="11"/>
  <c r="AC292" i="11"/>
  <c r="AI292" i="11"/>
  <c r="AK292" i="11"/>
  <c r="AA292" i="11"/>
  <c r="AF292" i="11"/>
  <c r="AM292" i="11"/>
  <c r="M292" i="11"/>
  <c r="K292" i="11"/>
  <c r="AN292" i="11"/>
  <c r="I292" i="11"/>
  <c r="AE292" i="11"/>
  <c r="AL292" i="11"/>
  <c r="L292" i="11"/>
  <c r="S292" i="11"/>
  <c r="O292" i="11"/>
  <c r="Q292" i="11"/>
  <c r="T292" i="11"/>
  <c r="AD292" i="11"/>
  <c r="AG292" i="11"/>
  <c r="U292" i="11"/>
  <c r="AB292" i="11"/>
  <c r="AO292" i="11"/>
  <c r="W292" i="11"/>
  <c r="V292" i="11"/>
  <c r="AJ292" i="11"/>
  <c r="N292" i="11"/>
  <c r="AP292" i="11"/>
  <c r="Z292" i="11"/>
  <c r="P292" i="11"/>
  <c r="R292" i="11"/>
  <c r="Y292" i="11"/>
  <c r="J292" i="11"/>
  <c r="AH292" i="11"/>
  <c r="V260" i="11"/>
  <c r="S260" i="11"/>
  <c r="AJ260" i="11"/>
  <c r="AO260" i="11"/>
  <c r="AN260" i="11"/>
  <c r="AD260" i="11"/>
  <c r="AA260" i="11"/>
  <c r="Q260" i="11"/>
  <c r="AG260" i="11"/>
  <c r="AL260" i="11"/>
  <c r="AI260" i="11"/>
  <c r="AC260" i="11"/>
  <c r="AK260" i="11"/>
  <c r="O260" i="11"/>
  <c r="I260" i="11"/>
  <c r="AP260" i="11"/>
  <c r="R260" i="11"/>
  <c r="W260" i="11"/>
  <c r="U260" i="11"/>
  <c r="AB260" i="11"/>
  <c r="M260" i="11"/>
  <c r="AE260" i="11"/>
  <c r="AH260" i="11"/>
  <c r="L260" i="11"/>
  <c r="P260" i="11"/>
  <c r="AM260" i="11"/>
  <c r="J260" i="11"/>
  <c r="AF260" i="11"/>
  <c r="Y260" i="11"/>
  <c r="N260" i="11"/>
  <c r="K260" i="11"/>
  <c r="X260" i="11"/>
  <c r="T260" i="11"/>
  <c r="Z260" i="11"/>
  <c r="I230" i="11"/>
  <c r="V230" i="11"/>
  <c r="N230" i="11"/>
  <c r="R230" i="11"/>
  <c r="Y230" i="11"/>
  <c r="I227" i="11"/>
  <c r="AO230" i="11"/>
  <c r="AM230" i="11"/>
  <c r="AK230" i="11"/>
  <c r="U230" i="11"/>
  <c r="AG230" i="11"/>
  <c r="AE230" i="11"/>
  <c r="AC230" i="11"/>
  <c r="AA230" i="11"/>
  <c r="W230" i="11"/>
  <c r="S230" i="11"/>
  <c r="Q230" i="11"/>
  <c r="O230" i="11"/>
  <c r="M230" i="11"/>
  <c r="K230" i="11"/>
  <c r="AF230" i="11"/>
  <c r="AB230" i="11"/>
  <c r="X230" i="11"/>
  <c r="Z230" i="11"/>
  <c r="L230" i="11"/>
  <c r="J230" i="11"/>
  <c r="AN230" i="11"/>
  <c r="AL230" i="11"/>
  <c r="AJ230" i="11"/>
  <c r="AP230" i="11"/>
  <c r="AD230" i="11"/>
  <c r="AH230" i="11"/>
  <c r="T230" i="11"/>
  <c r="P230" i="11"/>
  <c r="AI230" i="11"/>
  <c r="W652" i="11"/>
  <c r="AC652" i="11"/>
  <c r="AB652" i="11"/>
  <c r="AJ652" i="11"/>
  <c r="J652" i="11"/>
  <c r="AI652" i="11"/>
  <c r="AG652" i="11"/>
  <c r="AP652" i="11"/>
  <c r="AL652" i="11"/>
  <c r="L652" i="11"/>
  <c r="S652" i="11"/>
  <c r="M652" i="11"/>
  <c r="AA652" i="11"/>
  <c r="Y652" i="11"/>
  <c r="N652" i="11"/>
  <c r="Q652" i="11"/>
  <c r="AD652" i="11"/>
  <c r="T652" i="11"/>
  <c r="Z652" i="11"/>
  <c r="U652" i="11"/>
  <c r="X652" i="11"/>
  <c r="AH652" i="11"/>
  <c r="AM652" i="11"/>
  <c r="K652" i="11"/>
  <c r="AE652" i="11"/>
  <c r="V652" i="11"/>
  <c r="AF652" i="11"/>
  <c r="AN652" i="11"/>
  <c r="R652" i="11"/>
  <c r="AO652" i="11"/>
  <c r="P652" i="11"/>
  <c r="O652" i="11"/>
  <c r="AK652" i="11"/>
  <c r="I652" i="11"/>
  <c r="Z620" i="11"/>
  <c r="AH620" i="11"/>
  <c r="AB620" i="11"/>
  <c r="AK620" i="11"/>
  <c r="AC620" i="11"/>
  <c r="U620" i="11"/>
  <c r="AA620" i="11"/>
  <c r="AE620" i="11"/>
  <c r="Q620" i="11"/>
  <c r="AG620" i="11"/>
  <c r="W620" i="11"/>
  <c r="AP620" i="11"/>
  <c r="AO620" i="11"/>
  <c r="K620" i="11"/>
  <c r="AM620" i="11"/>
  <c r="V620" i="11"/>
  <c r="S620" i="11"/>
  <c r="M620" i="11"/>
  <c r="AN620" i="11"/>
  <c r="T620" i="11"/>
  <c r="AD620" i="11"/>
  <c r="AJ620" i="11"/>
  <c r="I620" i="11"/>
  <c r="O620" i="11"/>
  <c r="AF620" i="11"/>
  <c r="AL620" i="11"/>
  <c r="N620" i="11"/>
  <c r="R620" i="11"/>
  <c r="AI620" i="11"/>
  <c r="P620" i="11"/>
  <c r="L620" i="11"/>
  <c r="J620" i="11"/>
  <c r="X620" i="11"/>
  <c r="Y620" i="11"/>
  <c r="T588" i="11"/>
  <c r="AG588" i="11"/>
  <c r="Z588" i="11"/>
  <c r="AF588" i="11"/>
  <c r="K588" i="11"/>
  <c r="O588" i="11"/>
  <c r="AK588" i="11"/>
  <c r="AD588" i="11"/>
  <c r="S588" i="11"/>
  <c r="W588" i="11"/>
  <c r="M588" i="11"/>
  <c r="AP588" i="11"/>
  <c r="AA588" i="11"/>
  <c r="AE588" i="11"/>
  <c r="Y588" i="11"/>
  <c r="P588" i="11"/>
  <c r="X588" i="11"/>
  <c r="AH588" i="11"/>
  <c r="AI588" i="11"/>
  <c r="AL588" i="11"/>
  <c r="L588" i="11"/>
  <c r="N588" i="11"/>
  <c r="AB588" i="11"/>
  <c r="AN588" i="11"/>
  <c r="AJ588" i="11"/>
  <c r="Q588" i="11"/>
  <c r="AM588" i="11"/>
  <c r="V588" i="11"/>
  <c r="U588" i="11"/>
  <c r="AC588" i="11"/>
  <c r="J588" i="11"/>
  <c r="AO588" i="11"/>
  <c r="R588" i="11"/>
  <c r="I588" i="11"/>
  <c r="N556" i="11"/>
  <c r="AO556" i="11"/>
  <c r="AB556" i="11"/>
  <c r="Z556" i="11"/>
  <c r="O556" i="11"/>
  <c r="V556" i="11"/>
  <c r="L556" i="11"/>
  <c r="AM556" i="11"/>
  <c r="AP556" i="11"/>
  <c r="AJ556" i="11"/>
  <c r="AD556" i="11"/>
  <c r="W556" i="11"/>
  <c r="P556" i="11"/>
  <c r="K556" i="11"/>
  <c r="AL556" i="11"/>
  <c r="AH556" i="11"/>
  <c r="AF556" i="11"/>
  <c r="AC556" i="11"/>
  <c r="I556" i="11"/>
  <c r="M556" i="11"/>
  <c r="T556" i="11"/>
  <c r="J556" i="11"/>
  <c r="Q556" i="11"/>
  <c r="X556" i="11"/>
  <c r="AK556" i="11"/>
  <c r="S556" i="11"/>
  <c r="Y556" i="11"/>
  <c r="AI556" i="11"/>
  <c r="U556" i="11"/>
  <c r="AA556" i="11"/>
  <c r="AG556" i="11"/>
  <c r="R556" i="11"/>
  <c r="AN556" i="11"/>
  <c r="AE556" i="11"/>
  <c r="AK524" i="11"/>
  <c r="AI524" i="11"/>
  <c r="AD524" i="11"/>
  <c r="L524" i="11"/>
  <c r="I524" i="11"/>
  <c r="O524" i="11"/>
  <c r="AN524" i="11"/>
  <c r="R524" i="11"/>
  <c r="Q524" i="11"/>
  <c r="Z524" i="11"/>
  <c r="J524" i="11"/>
  <c r="V524" i="11"/>
  <c r="Y524" i="11"/>
  <c r="AJ524" i="11"/>
  <c r="T524" i="11"/>
  <c r="W524" i="11"/>
  <c r="AG524" i="11"/>
  <c r="P524" i="11"/>
  <c r="AE524" i="11"/>
  <c r="AF524" i="11"/>
  <c r="M524" i="11"/>
  <c r="AO524" i="11"/>
  <c r="AA524" i="11"/>
  <c r="AP524" i="11"/>
  <c r="AB524" i="11"/>
  <c r="U524" i="11"/>
  <c r="N524" i="11"/>
  <c r="AL524" i="11"/>
  <c r="K524" i="11"/>
  <c r="AH524" i="11"/>
  <c r="AC524" i="11"/>
  <c r="X524" i="11"/>
  <c r="S524" i="11"/>
  <c r="AM524" i="11"/>
  <c r="AC492" i="11"/>
  <c r="AP492" i="11"/>
  <c r="AA492" i="11"/>
  <c r="V492" i="11"/>
  <c r="AB492" i="11"/>
  <c r="AF492" i="11"/>
  <c r="W492" i="11"/>
  <c r="AL492" i="11"/>
  <c r="U492" i="11"/>
  <c r="AE492" i="11"/>
  <c r="S492" i="11"/>
  <c r="AK492" i="11"/>
  <c r="J492" i="11"/>
  <c r="AM492" i="11"/>
  <c r="P492" i="11"/>
  <c r="AI492" i="11"/>
  <c r="N492" i="11"/>
  <c r="X492" i="11"/>
  <c r="Z492" i="11"/>
  <c r="AH492" i="11"/>
  <c r="L492" i="11"/>
  <c r="AN492" i="11"/>
  <c r="I492" i="11"/>
  <c r="AO492" i="11"/>
  <c r="T492" i="11"/>
  <c r="Q492" i="11"/>
  <c r="K492" i="11"/>
  <c r="Y492" i="11"/>
  <c r="AJ492" i="11"/>
  <c r="AD492" i="11"/>
  <c r="AG492" i="11"/>
  <c r="M492" i="11"/>
  <c r="R492" i="11"/>
  <c r="O492" i="11"/>
  <c r="AJ460" i="11"/>
  <c r="N460" i="11"/>
  <c r="AK460" i="11"/>
  <c r="AP460" i="11"/>
  <c r="K460" i="11"/>
  <c r="O460" i="11"/>
  <c r="Z460" i="11"/>
  <c r="X460" i="11"/>
  <c r="AO460" i="11"/>
  <c r="AA460" i="11"/>
  <c r="AE460" i="11"/>
  <c r="R460" i="11"/>
  <c r="V460" i="11"/>
  <c r="AI460" i="11"/>
  <c r="AM460" i="11"/>
  <c r="AF460" i="11"/>
  <c r="AG460" i="11"/>
  <c r="T460" i="11"/>
  <c r="Y460" i="11"/>
  <c r="AH460" i="11"/>
  <c r="AC460" i="11"/>
  <c r="AB460" i="11"/>
  <c r="AL460" i="11"/>
  <c r="Q460" i="11"/>
  <c r="AD460" i="11"/>
  <c r="J460" i="11"/>
  <c r="S460" i="11"/>
  <c r="I460" i="11"/>
  <c r="L460" i="11"/>
  <c r="W460" i="11"/>
  <c r="M460" i="11"/>
  <c r="AN460" i="11"/>
  <c r="P460" i="11"/>
  <c r="U460" i="11"/>
  <c r="AC427" i="11"/>
  <c r="Z427" i="11"/>
  <c r="K427" i="11"/>
  <c r="P427" i="11"/>
  <c r="AK427" i="11"/>
  <c r="AH427" i="11"/>
  <c r="X427" i="11"/>
  <c r="T427" i="11"/>
  <c r="R427" i="11"/>
  <c r="L427" i="11"/>
  <c r="AN427" i="11"/>
  <c r="M427" i="11"/>
  <c r="AP427" i="11"/>
  <c r="Y427" i="11"/>
  <c r="O427" i="11"/>
  <c r="U427" i="11"/>
  <c r="S427" i="11"/>
  <c r="AM427" i="11"/>
  <c r="N427" i="11"/>
  <c r="AF427" i="11"/>
  <c r="Q427" i="11"/>
  <c r="V427" i="11"/>
  <c r="I427" i="11"/>
  <c r="AE427" i="11"/>
  <c r="AD427" i="11"/>
  <c r="W427" i="11"/>
  <c r="AA427" i="11"/>
  <c r="AL427" i="11"/>
  <c r="AI427" i="11"/>
  <c r="AB427" i="11"/>
  <c r="J427" i="11"/>
  <c r="AJ427" i="11"/>
  <c r="AG427" i="11"/>
  <c r="AO427" i="11"/>
  <c r="U395" i="11"/>
  <c r="R395" i="11"/>
  <c r="I395" i="11"/>
  <c r="AM395" i="11"/>
  <c r="AO395" i="11"/>
  <c r="AC395" i="11"/>
  <c r="Z395" i="11"/>
  <c r="W395" i="11"/>
  <c r="O395" i="11"/>
  <c r="M395" i="11"/>
  <c r="AP395" i="11"/>
  <c r="AJ395" i="11"/>
  <c r="AB395" i="11"/>
  <c r="AK395" i="11"/>
  <c r="S395" i="11"/>
  <c r="L395" i="11"/>
  <c r="N395" i="11"/>
  <c r="AF395" i="11"/>
  <c r="Y395" i="11"/>
  <c r="V395" i="11"/>
  <c r="T395" i="11"/>
  <c r="AA395" i="11"/>
  <c r="AD395" i="11"/>
  <c r="AG395" i="11"/>
  <c r="AN395" i="11"/>
  <c r="AL395" i="11"/>
  <c r="AI395" i="11"/>
  <c r="Q395" i="11"/>
  <c r="J395" i="11"/>
  <c r="K395" i="11"/>
  <c r="AE395" i="11"/>
  <c r="AH395" i="11"/>
  <c r="X395" i="11"/>
  <c r="P395" i="11"/>
  <c r="Q363" i="11"/>
  <c r="K363" i="11"/>
  <c r="T363" i="11"/>
  <c r="L363" i="11"/>
  <c r="Y363" i="11"/>
  <c r="W363" i="11"/>
  <c r="AP363" i="11"/>
  <c r="O363" i="11"/>
  <c r="AG363" i="11"/>
  <c r="AJ363" i="11"/>
  <c r="Z363" i="11"/>
  <c r="V363" i="11"/>
  <c r="P363" i="11"/>
  <c r="AO363" i="11"/>
  <c r="N363" i="11"/>
  <c r="AB363" i="11"/>
  <c r="AI363" i="11"/>
  <c r="X363" i="11"/>
  <c r="M363" i="11"/>
  <c r="AA363" i="11"/>
  <c r="J363" i="11"/>
  <c r="AH363" i="11"/>
  <c r="AF363" i="11"/>
  <c r="U363" i="11"/>
  <c r="AM363" i="11"/>
  <c r="AD363" i="11"/>
  <c r="AN363" i="11"/>
  <c r="AC363" i="11"/>
  <c r="S363" i="11"/>
  <c r="R363" i="11"/>
  <c r="I363" i="11"/>
  <c r="AK363" i="11"/>
  <c r="AE363" i="11"/>
  <c r="AL363" i="11"/>
  <c r="Q331" i="11"/>
  <c r="K331" i="11"/>
  <c r="V331" i="11"/>
  <c r="AI331" i="11"/>
  <c r="Y331" i="11"/>
  <c r="W331" i="11"/>
  <c r="Z331" i="11"/>
  <c r="T331" i="11"/>
  <c r="AG331" i="11"/>
  <c r="AJ331" i="11"/>
  <c r="AB331" i="11"/>
  <c r="AP331" i="11"/>
  <c r="P331" i="11"/>
  <c r="AO331" i="11"/>
  <c r="N331" i="11"/>
  <c r="J331" i="11"/>
  <c r="R331" i="11"/>
  <c r="X331" i="11"/>
  <c r="M331" i="11"/>
  <c r="AA331" i="11"/>
  <c r="AD331" i="11"/>
  <c r="AL331" i="11"/>
  <c r="AF331" i="11"/>
  <c r="U331" i="11"/>
  <c r="AM331" i="11"/>
  <c r="L331" i="11"/>
  <c r="AN331" i="11"/>
  <c r="AC331" i="11"/>
  <c r="S331" i="11"/>
  <c r="AH331" i="11"/>
  <c r="I331" i="11"/>
  <c r="AK331" i="11"/>
  <c r="AE331" i="11"/>
  <c r="O331" i="11"/>
  <c r="Z299" i="11"/>
  <c r="AF299" i="11"/>
  <c r="M299" i="11"/>
  <c r="K299" i="11"/>
  <c r="Y299" i="11"/>
  <c r="N299" i="11"/>
  <c r="O299" i="11"/>
  <c r="AK299" i="11"/>
  <c r="AG299" i="11"/>
  <c r="V299" i="11"/>
  <c r="AB299" i="11"/>
  <c r="S299" i="11"/>
  <c r="AO299" i="11"/>
  <c r="AD299" i="11"/>
  <c r="AN299" i="11"/>
  <c r="AM299" i="11"/>
  <c r="AL299" i="11"/>
  <c r="W299" i="11"/>
  <c r="T299" i="11"/>
  <c r="X299" i="11"/>
  <c r="I299" i="11"/>
  <c r="U299" i="11"/>
  <c r="AC299" i="11"/>
  <c r="Q299" i="11"/>
  <c r="AI299" i="11"/>
  <c r="AA299" i="11"/>
  <c r="J299" i="11"/>
  <c r="L299" i="11"/>
  <c r="R299" i="11"/>
  <c r="AE299" i="11"/>
  <c r="AH299" i="11"/>
  <c r="AJ299" i="11"/>
  <c r="AP299" i="11"/>
  <c r="P299" i="11"/>
  <c r="I267" i="11"/>
  <c r="AH267" i="11"/>
  <c r="AJ267" i="11"/>
  <c r="P267" i="11"/>
  <c r="AN267" i="11"/>
  <c r="M267" i="11"/>
  <c r="AP267" i="11"/>
  <c r="K267" i="11"/>
  <c r="AM267" i="11"/>
  <c r="L267" i="11"/>
  <c r="Q267" i="11"/>
  <c r="N267" i="11"/>
  <c r="X267" i="11"/>
  <c r="AB267" i="11"/>
  <c r="Y267" i="11"/>
  <c r="V267" i="11"/>
  <c r="AK267" i="11"/>
  <c r="T267" i="11"/>
  <c r="AG267" i="11"/>
  <c r="AD267" i="11"/>
  <c r="S267" i="11"/>
  <c r="U267" i="11"/>
  <c r="AO267" i="11"/>
  <c r="AL267" i="11"/>
  <c r="AE267" i="11"/>
  <c r="AA267" i="11"/>
  <c r="R267" i="11"/>
  <c r="J267" i="11"/>
  <c r="O267" i="11"/>
  <c r="AC267" i="11"/>
  <c r="Z267" i="11"/>
  <c r="W267" i="11"/>
  <c r="AI267" i="11"/>
  <c r="AF267" i="11"/>
  <c r="X235" i="11"/>
  <c r="AG235" i="11"/>
  <c r="AB235" i="11"/>
  <c r="AI235" i="11"/>
  <c r="W235" i="11"/>
  <c r="M235" i="11"/>
  <c r="Q235" i="11"/>
  <c r="V235" i="11"/>
  <c r="AM235" i="11"/>
  <c r="U235" i="11"/>
  <c r="AD235" i="11"/>
  <c r="AO235" i="11"/>
  <c r="Z235" i="11"/>
  <c r="AC235" i="11"/>
  <c r="AP235" i="11"/>
  <c r="AK235" i="11"/>
  <c r="R235" i="11"/>
  <c r="N235" i="11"/>
  <c r="I235" i="11"/>
  <c r="L235" i="11"/>
  <c r="AJ235" i="11"/>
  <c r="AA235" i="11"/>
  <c r="Y235" i="11"/>
  <c r="AN235" i="11"/>
  <c r="K235" i="11"/>
  <c r="P235" i="11"/>
  <c r="AE235" i="11"/>
  <c r="AH235" i="11"/>
  <c r="T235" i="11"/>
  <c r="S235" i="11"/>
  <c r="J235" i="11"/>
  <c r="AF235" i="11"/>
  <c r="O235" i="11"/>
  <c r="AL235" i="11"/>
  <c r="AB659" i="11"/>
  <c r="AL659" i="11"/>
  <c r="W659" i="11"/>
  <c r="U659" i="11"/>
  <c r="AF659" i="11"/>
  <c r="K659" i="11"/>
  <c r="L659" i="11"/>
  <c r="R659" i="11"/>
  <c r="AI659" i="11"/>
  <c r="T659" i="11"/>
  <c r="AC659" i="11"/>
  <c r="AO659" i="11"/>
  <c r="S659" i="11"/>
  <c r="AJ659" i="11"/>
  <c r="AM659" i="11"/>
  <c r="P659" i="11"/>
  <c r="V659" i="11"/>
  <c r="X659" i="11"/>
  <c r="AG659" i="11"/>
  <c r="AN659" i="11"/>
  <c r="AK659" i="11"/>
  <c r="Q659" i="11"/>
  <c r="AA659" i="11"/>
  <c r="O659" i="11"/>
  <c r="AH659" i="11"/>
  <c r="N659" i="11"/>
  <c r="AE659" i="11"/>
  <c r="AD659" i="11"/>
  <c r="AP659" i="11"/>
  <c r="Y659" i="11"/>
  <c r="Z659" i="11"/>
  <c r="I659" i="11"/>
  <c r="M659" i="11"/>
  <c r="J659" i="11"/>
  <c r="P627" i="11"/>
  <c r="AP627" i="11"/>
  <c r="AN627" i="11"/>
  <c r="AJ627" i="11"/>
  <c r="AA627" i="11"/>
  <c r="U627" i="11"/>
  <c r="L627" i="11"/>
  <c r="AM627" i="11"/>
  <c r="V627" i="11"/>
  <c r="Q627" i="11"/>
  <c r="X627" i="11"/>
  <c r="AE627" i="11"/>
  <c r="Y627" i="11"/>
  <c r="AB627" i="11"/>
  <c r="AG627" i="11"/>
  <c r="K627" i="11"/>
  <c r="AK627" i="11"/>
  <c r="AD627" i="11"/>
  <c r="I627" i="11"/>
  <c r="O627" i="11"/>
  <c r="AO627" i="11"/>
  <c r="T627" i="11"/>
  <c r="J627" i="11"/>
  <c r="W627" i="11"/>
  <c r="AL627" i="11"/>
  <c r="AH627" i="11"/>
  <c r="S627" i="11"/>
  <c r="N627" i="11"/>
  <c r="AF627" i="11"/>
  <c r="Z627" i="11"/>
  <c r="M627" i="11"/>
  <c r="AI627" i="11"/>
  <c r="AC627" i="11"/>
  <c r="R627" i="11"/>
  <c r="K595" i="11"/>
  <c r="Z595" i="11"/>
  <c r="AF595" i="11"/>
  <c r="M595" i="11"/>
  <c r="I595" i="11"/>
  <c r="R595" i="11"/>
  <c r="AM595" i="11"/>
  <c r="N595" i="11"/>
  <c r="AO595" i="11"/>
  <c r="AI595" i="11"/>
  <c r="AA595" i="11"/>
  <c r="Y595" i="11"/>
  <c r="L595" i="11"/>
  <c r="U595" i="11"/>
  <c r="AG595" i="11"/>
  <c r="AH595" i="11"/>
  <c r="V595" i="11"/>
  <c r="J595" i="11"/>
  <c r="AD595" i="11"/>
  <c r="W595" i="11"/>
  <c r="AL595" i="11"/>
  <c r="S595" i="11"/>
  <c r="Q595" i="11"/>
  <c r="T595" i="11"/>
  <c r="P595" i="11"/>
  <c r="AN595" i="11"/>
  <c r="AJ595" i="11"/>
  <c r="AB595" i="11"/>
  <c r="X595" i="11"/>
  <c r="AC595" i="11"/>
  <c r="AP595" i="11"/>
  <c r="O595" i="11"/>
  <c r="AK595" i="11"/>
  <c r="AE595" i="11"/>
  <c r="O563" i="11"/>
  <c r="AN563" i="11"/>
  <c r="AG563" i="11"/>
  <c r="Q563" i="11"/>
  <c r="AD563" i="11"/>
  <c r="AK563" i="11"/>
  <c r="M563" i="11"/>
  <c r="Y563" i="11"/>
  <c r="U563" i="11"/>
  <c r="N563" i="11"/>
  <c r="Z563" i="11"/>
  <c r="P563" i="11"/>
  <c r="AJ563" i="11"/>
  <c r="AA563" i="11"/>
  <c r="X563" i="11"/>
  <c r="R563" i="11"/>
  <c r="AM563" i="11"/>
  <c r="AF563" i="11"/>
  <c r="AH563" i="11"/>
  <c r="S563" i="11"/>
  <c r="I563" i="11"/>
  <c r="J563" i="11"/>
  <c r="AC563" i="11"/>
  <c r="AO563" i="11"/>
  <c r="V563" i="11"/>
  <c r="AE563" i="11"/>
  <c r="L563" i="11"/>
  <c r="AI563" i="11"/>
  <c r="AL563" i="11"/>
  <c r="T563" i="11"/>
  <c r="K563" i="11"/>
  <c r="AP563" i="11"/>
  <c r="AB563" i="11"/>
  <c r="W563" i="11"/>
  <c r="Z531" i="11"/>
  <c r="T531" i="11"/>
  <c r="W531" i="11"/>
  <c r="I531" i="11"/>
  <c r="AH531" i="11"/>
  <c r="AB531" i="11"/>
  <c r="AE531" i="11"/>
  <c r="M531" i="11"/>
  <c r="J531" i="11"/>
  <c r="AJ531" i="11"/>
  <c r="AN531" i="11"/>
  <c r="X531" i="11"/>
  <c r="R531" i="11"/>
  <c r="N531" i="11"/>
  <c r="U531" i="11"/>
  <c r="AG531" i="11"/>
  <c r="AP531" i="11"/>
  <c r="V531" i="11"/>
  <c r="AO531" i="11"/>
  <c r="K531" i="11"/>
  <c r="AD531" i="11"/>
  <c r="Y531" i="11"/>
  <c r="S531" i="11"/>
  <c r="AL531" i="11"/>
  <c r="AC531" i="11"/>
  <c r="AA531" i="11"/>
  <c r="O531" i="11"/>
  <c r="AK531" i="11"/>
  <c r="AI531" i="11"/>
  <c r="AM531" i="11"/>
  <c r="P531" i="11"/>
  <c r="L531" i="11"/>
  <c r="Q531" i="11"/>
  <c r="AF531" i="11"/>
  <c r="AM499" i="11"/>
  <c r="AI499" i="11"/>
  <c r="AG499" i="11"/>
  <c r="T499" i="11"/>
  <c r="N499" i="11"/>
  <c r="J499" i="11"/>
  <c r="K499" i="11"/>
  <c r="Q499" i="11"/>
  <c r="AC499" i="11"/>
  <c r="V499" i="11"/>
  <c r="R499" i="11"/>
  <c r="X499" i="11"/>
  <c r="AK499" i="11"/>
  <c r="AF499" i="11"/>
  <c r="AD499" i="11"/>
  <c r="Z499" i="11"/>
  <c r="AJ499" i="11"/>
  <c r="S499" i="11"/>
  <c r="AL499" i="11"/>
  <c r="AH499" i="11"/>
  <c r="P499" i="11"/>
  <c r="AN499" i="11"/>
  <c r="O499" i="11"/>
  <c r="AP499" i="11"/>
  <c r="AB499" i="11"/>
  <c r="Y499" i="11"/>
  <c r="W499" i="11"/>
  <c r="I499" i="11"/>
  <c r="AO499" i="11"/>
  <c r="AA499" i="11"/>
  <c r="AE499" i="11"/>
  <c r="U499" i="11"/>
  <c r="M499" i="11"/>
  <c r="L499" i="11"/>
  <c r="AL467" i="11"/>
  <c r="S467" i="11"/>
  <c r="L467" i="11"/>
  <c r="T467" i="11"/>
  <c r="M467" i="11"/>
  <c r="I467" i="11"/>
  <c r="AF467" i="11"/>
  <c r="AH467" i="11"/>
  <c r="AB467" i="11"/>
  <c r="U467" i="11"/>
  <c r="Q467" i="11"/>
  <c r="K467" i="11"/>
  <c r="J467" i="11"/>
  <c r="AI467" i="11"/>
  <c r="AC467" i="11"/>
  <c r="Y467" i="11"/>
  <c r="X467" i="11"/>
  <c r="AN467" i="11"/>
  <c r="AK467" i="11"/>
  <c r="AG467" i="11"/>
  <c r="AJ467" i="11"/>
  <c r="O467" i="11"/>
  <c r="N467" i="11"/>
  <c r="AO467" i="11"/>
  <c r="W467" i="11"/>
  <c r="AA467" i="11"/>
  <c r="V467" i="11"/>
  <c r="R467" i="11"/>
  <c r="AP467" i="11"/>
  <c r="AM467" i="11"/>
  <c r="AD467" i="11"/>
  <c r="AE467" i="11"/>
  <c r="Z467" i="11"/>
  <c r="P467" i="11"/>
  <c r="AA430" i="11"/>
  <c r="T430" i="11"/>
  <c r="V430" i="11"/>
  <c r="R430" i="11"/>
  <c r="Q430" i="11"/>
  <c r="AB430" i="11"/>
  <c r="AG430" i="11"/>
  <c r="AC430" i="11"/>
  <c r="U430" i="11"/>
  <c r="AJ430" i="11"/>
  <c r="M430" i="11"/>
  <c r="AM430" i="11"/>
  <c r="Z430" i="11"/>
  <c r="P430" i="11"/>
  <c r="I430" i="11"/>
  <c r="W430" i="11"/>
  <c r="AK430" i="11"/>
  <c r="AE430" i="11"/>
  <c r="X430" i="11"/>
  <c r="S430" i="11"/>
  <c r="AH430" i="11"/>
  <c r="J430" i="11"/>
  <c r="AF430" i="11"/>
  <c r="AD430" i="11"/>
  <c r="N430" i="11"/>
  <c r="AL430" i="11"/>
  <c r="AN430" i="11"/>
  <c r="AO430" i="11"/>
  <c r="Y430" i="11"/>
  <c r="O430" i="11"/>
  <c r="L430" i="11"/>
  <c r="K430" i="11"/>
  <c r="AI430" i="11"/>
  <c r="AP430" i="11"/>
  <c r="AF398" i="11"/>
  <c r="I398" i="11"/>
  <c r="AK398" i="11"/>
  <c r="AD398" i="11"/>
  <c r="AN398" i="11"/>
  <c r="U398" i="11"/>
  <c r="M398" i="11"/>
  <c r="Q398" i="11"/>
  <c r="O398" i="11"/>
  <c r="L398" i="11"/>
  <c r="AH398" i="11"/>
  <c r="Z398" i="11"/>
  <c r="AC398" i="11"/>
  <c r="W398" i="11"/>
  <c r="T398" i="11"/>
  <c r="J398" i="11"/>
  <c r="AL398" i="11"/>
  <c r="AP398" i="11"/>
  <c r="AE398" i="11"/>
  <c r="AB398" i="11"/>
  <c r="V398" i="11"/>
  <c r="N398" i="11"/>
  <c r="AM398" i="11"/>
  <c r="AJ398" i="11"/>
  <c r="AI398" i="11"/>
  <c r="AA398" i="11"/>
  <c r="P398" i="11"/>
  <c r="S398" i="11"/>
  <c r="K398" i="11"/>
  <c r="AO398" i="11"/>
  <c r="X398" i="11"/>
  <c r="AG398" i="11"/>
  <c r="Y398" i="11"/>
  <c r="R398" i="11"/>
  <c r="S366" i="11"/>
  <c r="X366" i="11"/>
  <c r="AO366" i="11"/>
  <c r="P366" i="11"/>
  <c r="AA366" i="11"/>
  <c r="AK366" i="11"/>
  <c r="Y366" i="11"/>
  <c r="V366" i="11"/>
  <c r="R366" i="11"/>
  <c r="O366" i="11"/>
  <c r="AB366" i="11"/>
  <c r="I366" i="11"/>
  <c r="AJ366" i="11"/>
  <c r="Z366" i="11"/>
  <c r="W366" i="11"/>
  <c r="AN366" i="11"/>
  <c r="AD366" i="11"/>
  <c r="AP366" i="11"/>
  <c r="AM366" i="11"/>
  <c r="AF366" i="11"/>
  <c r="AL366" i="11"/>
  <c r="K366" i="11"/>
  <c r="L366" i="11"/>
  <c r="U366" i="11"/>
  <c r="M366" i="11"/>
  <c r="AC366" i="11"/>
  <c r="Q366" i="11"/>
  <c r="J366" i="11"/>
  <c r="AG366" i="11"/>
  <c r="AH366" i="11"/>
  <c r="AI366" i="11"/>
  <c r="AE366" i="11"/>
  <c r="N366" i="11"/>
  <c r="T366" i="11"/>
  <c r="AP334" i="11"/>
  <c r="AM334" i="11"/>
  <c r="AF334" i="11"/>
  <c r="P334" i="11"/>
  <c r="K334" i="11"/>
  <c r="L334" i="11"/>
  <c r="V334" i="11"/>
  <c r="AJ334" i="11"/>
  <c r="J334" i="11"/>
  <c r="W334" i="11"/>
  <c r="Y334" i="11"/>
  <c r="AL334" i="11"/>
  <c r="R334" i="11"/>
  <c r="AE334" i="11"/>
  <c r="AC334" i="11"/>
  <c r="Q334" i="11"/>
  <c r="Z334" i="11"/>
  <c r="X334" i="11"/>
  <c r="I334" i="11"/>
  <c r="AH334" i="11"/>
  <c r="AK334" i="11"/>
  <c r="AD334" i="11"/>
  <c r="S334" i="11"/>
  <c r="N334" i="11"/>
  <c r="M334" i="11"/>
  <c r="AA334" i="11"/>
  <c r="AB334" i="11"/>
  <c r="AG334" i="11"/>
  <c r="AI334" i="11"/>
  <c r="AN334" i="11"/>
  <c r="U334" i="11"/>
  <c r="O334" i="11"/>
  <c r="T334" i="11"/>
  <c r="AO334" i="11"/>
  <c r="L302" i="11"/>
  <c r="U302" i="11"/>
  <c r="M302" i="11"/>
  <c r="W302" i="11"/>
  <c r="T302" i="11"/>
  <c r="AG302" i="11"/>
  <c r="AE302" i="11"/>
  <c r="AP302" i="11"/>
  <c r="AJ302" i="11"/>
  <c r="O302" i="11"/>
  <c r="AM302" i="11"/>
  <c r="P302" i="11"/>
  <c r="AC302" i="11"/>
  <c r="Y302" i="11"/>
  <c r="X302" i="11"/>
  <c r="AO302" i="11"/>
  <c r="J302" i="11"/>
  <c r="K302" i="11"/>
  <c r="AF302" i="11"/>
  <c r="N302" i="11"/>
  <c r="AD302" i="11"/>
  <c r="S302" i="11"/>
  <c r="AN302" i="11"/>
  <c r="AK302" i="11"/>
  <c r="Z302" i="11"/>
  <c r="AA302" i="11"/>
  <c r="I302" i="11"/>
  <c r="Q302" i="11"/>
  <c r="AH302" i="11"/>
  <c r="AI302" i="11"/>
  <c r="V302" i="11"/>
  <c r="AL302" i="11"/>
  <c r="AB302" i="11"/>
  <c r="R302" i="11"/>
  <c r="L270" i="11"/>
  <c r="J270" i="11"/>
  <c r="O270" i="11"/>
  <c r="Z270" i="11"/>
  <c r="T270" i="11"/>
  <c r="W270" i="11"/>
  <c r="AH270" i="11"/>
  <c r="AD270" i="11"/>
  <c r="S270" i="11"/>
  <c r="AN270" i="11"/>
  <c r="AM270" i="11"/>
  <c r="AO270" i="11"/>
  <c r="AA270" i="11"/>
  <c r="AK270" i="11"/>
  <c r="AC270" i="11"/>
  <c r="AI270" i="11"/>
  <c r="M270" i="11"/>
  <c r="N270" i="11"/>
  <c r="AB270" i="11"/>
  <c r="Y270" i="11"/>
  <c r="U270" i="11"/>
  <c r="AJ270" i="11"/>
  <c r="AL270" i="11"/>
  <c r="V270" i="11"/>
  <c r="P270" i="11"/>
  <c r="R270" i="11"/>
  <c r="AG270" i="11"/>
  <c r="AF270" i="11"/>
  <c r="AP270" i="11"/>
  <c r="X270" i="11"/>
  <c r="AE270" i="11"/>
  <c r="I270" i="11"/>
  <c r="K270" i="11"/>
  <c r="Q270" i="11"/>
  <c r="AB238" i="11"/>
  <c r="AL238" i="11"/>
  <c r="O238" i="11"/>
  <c r="W238" i="11"/>
  <c r="Q238" i="11"/>
  <c r="AO238" i="11"/>
  <c r="AA238" i="11"/>
  <c r="AE238" i="11"/>
  <c r="AD238" i="11"/>
  <c r="X238" i="11"/>
  <c r="AJ238" i="11"/>
  <c r="AM238" i="11"/>
  <c r="S238" i="11"/>
  <c r="N238" i="11"/>
  <c r="P238" i="11"/>
  <c r="M238" i="11"/>
  <c r="J238" i="11"/>
  <c r="AF238" i="11"/>
  <c r="AI238" i="11"/>
  <c r="AG238" i="11"/>
  <c r="Z238" i="11"/>
  <c r="AN238" i="11"/>
  <c r="AH238" i="11"/>
  <c r="V238" i="11"/>
  <c r="U238" i="11"/>
  <c r="R238" i="11"/>
  <c r="L238" i="11"/>
  <c r="I238" i="11"/>
  <c r="T238" i="11"/>
  <c r="AC238" i="11"/>
  <c r="Y238" i="11"/>
  <c r="AK238" i="11"/>
  <c r="K238" i="11"/>
  <c r="AP238" i="11"/>
  <c r="Z658" i="11"/>
  <c r="AE658" i="11"/>
  <c r="AA658" i="11"/>
  <c r="Q658" i="11"/>
  <c r="AD658" i="11"/>
  <c r="AC658" i="11"/>
  <c r="AI658" i="11"/>
  <c r="L658" i="11"/>
  <c r="J658" i="11"/>
  <c r="AO658" i="11"/>
  <c r="AF658" i="11"/>
  <c r="S658" i="11"/>
  <c r="O658" i="11"/>
  <c r="AK658" i="11"/>
  <c r="V658" i="11"/>
  <c r="M658" i="11"/>
  <c r="AJ658" i="11"/>
  <c r="AL658" i="11"/>
  <c r="X658" i="11"/>
  <c r="U658" i="11"/>
  <c r="R658" i="11"/>
  <c r="Y658" i="11"/>
  <c r="AM658" i="11"/>
  <c r="AH658" i="11"/>
  <c r="W658" i="11"/>
  <c r="AP658" i="11"/>
  <c r="AB658" i="11"/>
  <c r="AN658" i="11"/>
  <c r="K658" i="11"/>
  <c r="I658" i="11"/>
  <c r="AG658" i="11"/>
  <c r="N658" i="11"/>
  <c r="T658" i="11"/>
  <c r="P658" i="11"/>
  <c r="P626" i="11"/>
  <c r="AJ626" i="11"/>
  <c r="AC626" i="11"/>
  <c r="N626" i="11"/>
  <c r="O626" i="11"/>
  <c r="AA626" i="11"/>
  <c r="R626" i="11"/>
  <c r="AL626" i="11"/>
  <c r="AH626" i="11"/>
  <c r="AE626" i="11"/>
  <c r="M626" i="11"/>
  <c r="T626" i="11"/>
  <c r="S626" i="11"/>
  <c r="AO626" i="11"/>
  <c r="Q626" i="11"/>
  <c r="L626" i="11"/>
  <c r="V626" i="11"/>
  <c r="Y626" i="11"/>
  <c r="AB626" i="11"/>
  <c r="Z626" i="11"/>
  <c r="AN626" i="11"/>
  <c r="W626" i="11"/>
  <c r="AK626" i="11"/>
  <c r="U626" i="11"/>
  <c r="AM626" i="11"/>
  <c r="AD626" i="11"/>
  <c r="AG626" i="11"/>
  <c r="X626" i="11"/>
  <c r="I626" i="11"/>
  <c r="AP626" i="11"/>
  <c r="K626" i="11"/>
  <c r="J626" i="11"/>
  <c r="AI626" i="11"/>
  <c r="AF626" i="11"/>
  <c r="AE594" i="11"/>
  <c r="AA594" i="11"/>
  <c r="R594" i="11"/>
  <c r="AJ594" i="11"/>
  <c r="AF594" i="11"/>
  <c r="AK594" i="11"/>
  <c r="AG594" i="11"/>
  <c r="AC594" i="11"/>
  <c r="O594" i="11"/>
  <c r="AI594" i="11"/>
  <c r="J594" i="11"/>
  <c r="T594" i="11"/>
  <c r="X594" i="11"/>
  <c r="Z594" i="11"/>
  <c r="U594" i="11"/>
  <c r="AN594" i="11"/>
  <c r="AB594" i="11"/>
  <c r="K594" i="11"/>
  <c r="N594" i="11"/>
  <c r="S594" i="11"/>
  <c r="AH594" i="11"/>
  <c r="L594" i="11"/>
  <c r="Q594" i="11"/>
  <c r="Y594" i="11"/>
  <c r="AP594" i="11"/>
  <c r="W594" i="11"/>
  <c r="M594" i="11"/>
  <c r="V594" i="11"/>
  <c r="AM594" i="11"/>
  <c r="AL594" i="11"/>
  <c r="I594" i="11"/>
  <c r="P594" i="11"/>
  <c r="AD594" i="11"/>
  <c r="AO594" i="11"/>
  <c r="AA562" i="11"/>
  <c r="AM562" i="11"/>
  <c r="Z562" i="11"/>
  <c r="V562" i="11"/>
  <c r="AO562" i="11"/>
  <c r="U562" i="11"/>
  <c r="AH562" i="11"/>
  <c r="AD562" i="11"/>
  <c r="S562" i="11"/>
  <c r="Y562" i="11"/>
  <c r="AF562" i="11"/>
  <c r="L562" i="11"/>
  <c r="N562" i="11"/>
  <c r="I562" i="11"/>
  <c r="X562" i="11"/>
  <c r="AL562" i="11"/>
  <c r="W562" i="11"/>
  <c r="M562" i="11"/>
  <c r="AJ562" i="11"/>
  <c r="J562" i="11"/>
  <c r="P562" i="11"/>
  <c r="AB562" i="11"/>
  <c r="R562" i="11"/>
  <c r="AC562" i="11"/>
  <c r="AG562" i="11"/>
  <c r="AP562" i="11"/>
  <c r="Q562" i="11"/>
  <c r="AK562" i="11"/>
  <c r="K562" i="11"/>
  <c r="AE562" i="11"/>
  <c r="O562" i="11"/>
  <c r="AI562" i="11"/>
  <c r="T562" i="11"/>
  <c r="AN562" i="11"/>
  <c r="I530" i="11"/>
  <c r="AK530" i="11"/>
  <c r="AN530" i="11"/>
  <c r="AH530" i="11"/>
  <c r="AA530" i="11"/>
  <c r="AJ530" i="11"/>
  <c r="AL530" i="11"/>
  <c r="AO530" i="11"/>
  <c r="Z530" i="11"/>
  <c r="V530" i="11"/>
  <c r="J530" i="11"/>
  <c r="AP530" i="11"/>
  <c r="L530" i="11"/>
  <c r="AD530" i="11"/>
  <c r="AE530" i="11"/>
  <c r="S530" i="11"/>
  <c r="T530" i="11"/>
  <c r="P530" i="11"/>
  <c r="K530" i="11"/>
  <c r="AB530" i="11"/>
  <c r="X530" i="11"/>
  <c r="R530" i="11"/>
  <c r="M530" i="11"/>
  <c r="AF530" i="11"/>
  <c r="AM530" i="11"/>
  <c r="U530" i="11"/>
  <c r="Q530" i="11"/>
  <c r="O530" i="11"/>
  <c r="AC530" i="11"/>
  <c r="Y530" i="11"/>
  <c r="W530" i="11"/>
  <c r="N530" i="11"/>
  <c r="AG530" i="11"/>
  <c r="AI530" i="11"/>
  <c r="I498" i="11"/>
  <c r="AJ498" i="11"/>
  <c r="AA498" i="11"/>
  <c r="AM498" i="11"/>
  <c r="P498" i="11"/>
  <c r="AO498" i="11"/>
  <c r="AE498" i="11"/>
  <c r="AH498" i="11"/>
  <c r="N498" i="11"/>
  <c r="Y498" i="11"/>
  <c r="K498" i="11"/>
  <c r="U498" i="11"/>
  <c r="T498" i="11"/>
  <c r="J498" i="11"/>
  <c r="AI498" i="11"/>
  <c r="X498" i="11"/>
  <c r="AB498" i="11"/>
  <c r="AC498" i="11"/>
  <c r="AP498" i="11"/>
  <c r="Q498" i="11"/>
  <c r="S498" i="11"/>
  <c r="AL498" i="11"/>
  <c r="L498" i="11"/>
  <c r="Z498" i="11"/>
  <c r="R498" i="11"/>
  <c r="AD498" i="11"/>
  <c r="W498" i="11"/>
  <c r="AK498" i="11"/>
  <c r="AF498" i="11"/>
  <c r="M498" i="11"/>
  <c r="AN498" i="11"/>
  <c r="O498" i="11"/>
  <c r="AG498" i="11"/>
  <c r="V498" i="11"/>
  <c r="AM466" i="11"/>
  <c r="AI466" i="11"/>
  <c r="AG466" i="11"/>
  <c r="AC466" i="11"/>
  <c r="AN466" i="11"/>
  <c r="N466" i="11"/>
  <c r="AK466" i="11"/>
  <c r="I466" i="11"/>
  <c r="P466" i="11"/>
  <c r="AL466" i="11"/>
  <c r="J466" i="11"/>
  <c r="X466" i="11"/>
  <c r="AB466" i="11"/>
  <c r="L466" i="11"/>
  <c r="AF466" i="11"/>
  <c r="AO466" i="11"/>
  <c r="V466" i="11"/>
  <c r="K466" i="11"/>
  <c r="T466" i="11"/>
  <c r="AD466" i="11"/>
  <c r="S466" i="11"/>
  <c r="Q466" i="11"/>
  <c r="AH466" i="11"/>
  <c r="O466" i="11"/>
  <c r="AA466" i="11"/>
  <c r="AJ466" i="11"/>
  <c r="AP466" i="11"/>
  <c r="W466" i="11"/>
  <c r="M466" i="11"/>
  <c r="R466" i="11"/>
  <c r="U466" i="11"/>
  <c r="AE466" i="11"/>
  <c r="Z466" i="11"/>
  <c r="Y466" i="11"/>
  <c r="S449" i="11"/>
  <c r="AF449" i="11"/>
  <c r="AM449" i="11"/>
  <c r="AB449" i="11"/>
  <c r="M449" i="11"/>
  <c r="AP449" i="11"/>
  <c r="I449" i="11"/>
  <c r="AJ449" i="11"/>
  <c r="Z449" i="11"/>
  <c r="R449" i="11"/>
  <c r="Q449" i="11"/>
  <c r="J449" i="11"/>
  <c r="AL449" i="11"/>
  <c r="AD449" i="11"/>
  <c r="Y449" i="11"/>
  <c r="V449" i="11"/>
  <c r="N449" i="11"/>
  <c r="U449" i="11"/>
  <c r="AG449" i="11"/>
  <c r="AI449" i="11"/>
  <c r="AA449" i="11"/>
  <c r="AH449" i="11"/>
  <c r="O449" i="11"/>
  <c r="AO449" i="11"/>
  <c r="K449" i="11"/>
  <c r="AN449" i="11"/>
  <c r="W449" i="11"/>
  <c r="L449" i="11"/>
  <c r="X449" i="11"/>
  <c r="P449" i="11"/>
  <c r="AE449" i="11"/>
  <c r="T449" i="11"/>
  <c r="AK449" i="11"/>
  <c r="AC449" i="11"/>
  <c r="AG417" i="11"/>
  <c r="V417" i="11"/>
  <c r="S417" i="11"/>
  <c r="U417" i="11"/>
  <c r="AN417" i="11"/>
  <c r="AO417" i="11"/>
  <c r="AD417" i="11"/>
  <c r="AE417" i="11"/>
  <c r="W417" i="11"/>
  <c r="AH417" i="11"/>
  <c r="AC417" i="11"/>
  <c r="AI417" i="11"/>
  <c r="AP417" i="11"/>
  <c r="T417" i="11"/>
  <c r="AJ417" i="11"/>
  <c r="I417" i="11"/>
  <c r="N417" i="11"/>
  <c r="AF417" i="11"/>
  <c r="K417" i="11"/>
  <c r="Q417" i="11"/>
  <c r="AL417" i="11"/>
  <c r="L417" i="11"/>
  <c r="Y417" i="11"/>
  <c r="M417" i="11"/>
  <c r="X417" i="11"/>
  <c r="J417" i="11"/>
  <c r="AA417" i="11"/>
  <c r="AK417" i="11"/>
  <c r="R417" i="11"/>
  <c r="AM417" i="11"/>
  <c r="O417" i="11"/>
  <c r="Z417" i="11"/>
  <c r="P417" i="11"/>
  <c r="AB417" i="11"/>
  <c r="AE385" i="11"/>
  <c r="R385" i="11"/>
  <c r="N385" i="11"/>
  <c r="AF385" i="11"/>
  <c r="AM385" i="11"/>
  <c r="Z385" i="11"/>
  <c r="V385" i="11"/>
  <c r="M385" i="11"/>
  <c r="AG385" i="11"/>
  <c r="AI385" i="11"/>
  <c r="P385" i="11"/>
  <c r="AO385" i="11"/>
  <c r="AD385" i="11"/>
  <c r="AK385" i="11"/>
  <c r="J385" i="11"/>
  <c r="AL385" i="11"/>
  <c r="U385" i="11"/>
  <c r="O385" i="11"/>
  <c r="AH385" i="11"/>
  <c r="X385" i="11"/>
  <c r="AN385" i="11"/>
  <c r="W385" i="11"/>
  <c r="AP385" i="11"/>
  <c r="AB385" i="11"/>
  <c r="T385" i="11"/>
  <c r="I385" i="11"/>
  <c r="K385" i="11"/>
  <c r="AC385" i="11"/>
  <c r="Q385" i="11"/>
  <c r="S385" i="11"/>
  <c r="L385" i="11"/>
  <c r="Y385" i="11"/>
  <c r="AA385" i="11"/>
  <c r="AJ385" i="11"/>
  <c r="M353" i="11"/>
  <c r="AO353" i="11"/>
  <c r="K353" i="11"/>
  <c r="J353" i="11"/>
  <c r="U353" i="11"/>
  <c r="R353" i="11"/>
  <c r="AF353" i="11"/>
  <c r="AD353" i="11"/>
  <c r="AC353" i="11"/>
  <c r="AE353" i="11"/>
  <c r="P353" i="11"/>
  <c r="O353" i="11"/>
  <c r="AK353" i="11"/>
  <c r="V353" i="11"/>
  <c r="AL353" i="11"/>
  <c r="X353" i="11"/>
  <c r="L353" i="11"/>
  <c r="I353" i="11"/>
  <c r="AH353" i="11"/>
  <c r="S353" i="11"/>
  <c r="AA353" i="11"/>
  <c r="T353" i="11"/>
  <c r="Q353" i="11"/>
  <c r="N353" i="11"/>
  <c r="AN353" i="11"/>
  <c r="AI353" i="11"/>
  <c r="AB353" i="11"/>
  <c r="Y353" i="11"/>
  <c r="Z353" i="11"/>
  <c r="W353" i="11"/>
  <c r="AJ353" i="11"/>
  <c r="AG353" i="11"/>
  <c r="AM353" i="11"/>
  <c r="AP353" i="11"/>
  <c r="AC321" i="11"/>
  <c r="Z321" i="11"/>
  <c r="K321" i="11"/>
  <c r="AI321" i="11"/>
  <c r="AK321" i="11"/>
  <c r="AH321" i="11"/>
  <c r="X321" i="11"/>
  <c r="AN321" i="11"/>
  <c r="U321" i="11"/>
  <c r="P321" i="11"/>
  <c r="S321" i="11"/>
  <c r="AA321" i="11"/>
  <c r="N321" i="11"/>
  <c r="AB321" i="11"/>
  <c r="AM321" i="11"/>
  <c r="V321" i="11"/>
  <c r="AO321" i="11"/>
  <c r="Y321" i="11"/>
  <c r="AD321" i="11"/>
  <c r="Q321" i="11"/>
  <c r="I321" i="11"/>
  <c r="AL321" i="11"/>
  <c r="AE321" i="11"/>
  <c r="O321" i="11"/>
  <c r="J321" i="11"/>
  <c r="AJ321" i="11"/>
  <c r="T321" i="11"/>
  <c r="R321" i="11"/>
  <c r="L321" i="11"/>
  <c r="W321" i="11"/>
  <c r="M321" i="11"/>
  <c r="AP321" i="11"/>
  <c r="AG321" i="11"/>
  <c r="AF321" i="11"/>
  <c r="M289" i="11"/>
  <c r="J289" i="11"/>
  <c r="AF289" i="11"/>
  <c r="W289" i="11"/>
  <c r="T289" i="11"/>
  <c r="U289" i="11"/>
  <c r="R289" i="11"/>
  <c r="L289" i="11"/>
  <c r="AB289" i="11"/>
  <c r="O289" i="11"/>
  <c r="AC289" i="11"/>
  <c r="Z289" i="11"/>
  <c r="Y289" i="11"/>
  <c r="AG289" i="11"/>
  <c r="AK289" i="11"/>
  <c r="AH289" i="11"/>
  <c r="AM289" i="11"/>
  <c r="AI289" i="11"/>
  <c r="N289" i="11"/>
  <c r="AP289" i="11"/>
  <c r="X289" i="11"/>
  <c r="I289" i="11"/>
  <c r="V289" i="11"/>
  <c r="Q289" i="11"/>
  <c r="AA289" i="11"/>
  <c r="AN289" i="11"/>
  <c r="AD289" i="11"/>
  <c r="AE289" i="11"/>
  <c r="P289" i="11"/>
  <c r="K289" i="11"/>
  <c r="AL289" i="11"/>
  <c r="S289" i="11"/>
  <c r="AJ289" i="11"/>
  <c r="AO289" i="11"/>
  <c r="AL257" i="11"/>
  <c r="AI257" i="11"/>
  <c r="AF257" i="11"/>
  <c r="P257" i="11"/>
  <c r="O257" i="11"/>
  <c r="J257" i="11"/>
  <c r="T257" i="11"/>
  <c r="AC257" i="11"/>
  <c r="N257" i="11"/>
  <c r="AA257" i="11"/>
  <c r="U257" i="11"/>
  <c r="AN257" i="11"/>
  <c r="V257" i="11"/>
  <c r="X257" i="11"/>
  <c r="AP257" i="11"/>
  <c r="AH257" i="11"/>
  <c r="AD257" i="11"/>
  <c r="AJ257" i="11"/>
  <c r="M257" i="11"/>
  <c r="W257" i="11"/>
  <c r="L257" i="11"/>
  <c r="AG257" i="11"/>
  <c r="AE257" i="11"/>
  <c r="Y257" i="11"/>
  <c r="I257" i="11"/>
  <c r="AM257" i="11"/>
  <c r="AK257" i="11"/>
  <c r="Z257" i="11"/>
  <c r="K257" i="11"/>
  <c r="R257" i="11"/>
  <c r="AB257" i="11"/>
  <c r="S257" i="11"/>
  <c r="AO257" i="11"/>
  <c r="Q257" i="11"/>
  <c r="AJ677" i="11"/>
  <c r="AN677" i="11"/>
  <c r="AE677" i="11"/>
  <c r="AI677" i="11"/>
  <c r="AK677" i="11"/>
  <c r="Q677" i="11"/>
  <c r="V677" i="11"/>
  <c r="U677" i="11"/>
  <c r="AD677" i="11"/>
  <c r="W677" i="11"/>
  <c r="AC677" i="11"/>
  <c r="AP677" i="11"/>
  <c r="N677" i="11"/>
  <c r="P677" i="11"/>
  <c r="R677" i="11"/>
  <c r="Z677" i="11"/>
  <c r="X677" i="11"/>
  <c r="S677" i="11"/>
  <c r="AM677" i="11"/>
  <c r="L677" i="11"/>
  <c r="AF677" i="11"/>
  <c r="AG677" i="11"/>
  <c r="T677" i="11"/>
  <c r="O677" i="11"/>
  <c r="I677" i="11"/>
  <c r="AB677" i="11"/>
  <c r="AA677" i="11"/>
  <c r="AH677" i="11"/>
  <c r="M677" i="11"/>
  <c r="AO677" i="11"/>
  <c r="J677" i="11"/>
  <c r="AL677" i="11"/>
  <c r="K677" i="11"/>
  <c r="Y677" i="11"/>
  <c r="S645" i="11"/>
  <c r="V645" i="11"/>
  <c r="P645" i="11"/>
  <c r="AO645" i="11"/>
  <c r="O645" i="11"/>
  <c r="I645" i="11"/>
  <c r="AJ645" i="11"/>
  <c r="AH645" i="11"/>
  <c r="L645" i="11"/>
  <c r="U645" i="11"/>
  <c r="T645" i="11"/>
  <c r="W645" i="11"/>
  <c r="X645" i="11"/>
  <c r="AB645" i="11"/>
  <c r="K645" i="11"/>
  <c r="AF645" i="11"/>
  <c r="N645" i="11"/>
  <c r="AE645" i="11"/>
  <c r="Z645" i="11"/>
  <c r="AN645" i="11"/>
  <c r="AA645" i="11"/>
  <c r="Q645" i="11"/>
  <c r="AM645" i="11"/>
  <c r="Y645" i="11"/>
  <c r="AC645" i="11"/>
  <c r="AG645" i="11"/>
  <c r="AP645" i="11"/>
  <c r="AL645" i="11"/>
  <c r="R645" i="11"/>
  <c r="M645" i="11"/>
  <c r="J645" i="11"/>
  <c r="AK645" i="11"/>
  <c r="AD645" i="11"/>
  <c r="AI645" i="11"/>
  <c r="N613" i="11"/>
  <c r="P613" i="11"/>
  <c r="Y613" i="11"/>
  <c r="M613" i="11"/>
  <c r="L613" i="11"/>
  <c r="AA613" i="11"/>
  <c r="R613" i="11"/>
  <c r="S613" i="11"/>
  <c r="AJ613" i="11"/>
  <c r="AM613" i="11"/>
  <c r="I613" i="11"/>
  <c r="U613" i="11"/>
  <c r="O613" i="11"/>
  <c r="AB613" i="11"/>
  <c r="AO613" i="11"/>
  <c r="AE613" i="11"/>
  <c r="W613" i="11"/>
  <c r="J613" i="11"/>
  <c r="T613" i="11"/>
  <c r="K613" i="11"/>
  <c r="AP613" i="11"/>
  <c r="AL613" i="11"/>
  <c r="AH613" i="11"/>
  <c r="AI613" i="11"/>
  <c r="AC613" i="11"/>
  <c r="AK613" i="11"/>
  <c r="AF613" i="11"/>
  <c r="X613" i="11"/>
  <c r="Q613" i="11"/>
  <c r="V613" i="11"/>
  <c r="AG613" i="11"/>
  <c r="AN613" i="11"/>
  <c r="Z613" i="11"/>
  <c r="AD613" i="11"/>
  <c r="AJ581" i="11"/>
  <c r="Z581" i="11"/>
  <c r="AB581" i="11"/>
  <c r="L581" i="11"/>
  <c r="AG581" i="11"/>
  <c r="U581" i="11"/>
  <c r="T581" i="11"/>
  <c r="W581" i="11"/>
  <c r="AP581" i="11"/>
  <c r="AF581" i="11"/>
  <c r="AM581" i="11"/>
  <c r="AO581" i="11"/>
  <c r="O581" i="11"/>
  <c r="AL581" i="11"/>
  <c r="Q581" i="11"/>
  <c r="AN581" i="11"/>
  <c r="AD581" i="11"/>
  <c r="Y581" i="11"/>
  <c r="S581" i="11"/>
  <c r="J581" i="11"/>
  <c r="AE581" i="11"/>
  <c r="R581" i="11"/>
  <c r="V581" i="11"/>
  <c r="AH581" i="11"/>
  <c r="AI581" i="11"/>
  <c r="M581" i="11"/>
  <c r="X581" i="11"/>
  <c r="AC581" i="11"/>
  <c r="N581" i="11"/>
  <c r="I581" i="11"/>
  <c r="AK581" i="11"/>
  <c r="AA581" i="11"/>
  <c r="P581" i="11"/>
  <c r="K581" i="11"/>
  <c r="T549" i="11"/>
  <c r="Z549" i="11"/>
  <c r="AP549" i="11"/>
  <c r="AO549" i="11"/>
  <c r="Y549" i="11"/>
  <c r="W549" i="11"/>
  <c r="AL549" i="11"/>
  <c r="AI549" i="11"/>
  <c r="AD549" i="11"/>
  <c r="L549" i="11"/>
  <c r="Q549" i="11"/>
  <c r="V549" i="11"/>
  <c r="M549" i="11"/>
  <c r="AB549" i="11"/>
  <c r="AA549" i="11"/>
  <c r="AN549" i="11"/>
  <c r="AJ549" i="11"/>
  <c r="J549" i="11"/>
  <c r="X549" i="11"/>
  <c r="O549" i="11"/>
  <c r="U549" i="11"/>
  <c r="K549" i="11"/>
  <c r="AE549" i="11"/>
  <c r="AF549" i="11"/>
  <c r="AC549" i="11"/>
  <c r="AM549" i="11"/>
  <c r="N549" i="11"/>
  <c r="R549" i="11"/>
  <c r="P549" i="11"/>
  <c r="AG549" i="11"/>
  <c r="AH549" i="11"/>
  <c r="AK549" i="11"/>
  <c r="S549" i="11"/>
  <c r="I549" i="11"/>
  <c r="S517" i="11"/>
  <c r="W517" i="11"/>
  <c r="AN517" i="11"/>
  <c r="AP517" i="11"/>
  <c r="J517" i="11"/>
  <c r="T517" i="11"/>
  <c r="Y517" i="11"/>
  <c r="AG517" i="11"/>
  <c r="X517" i="11"/>
  <c r="AB517" i="11"/>
  <c r="Z517" i="11"/>
  <c r="AC517" i="11"/>
  <c r="AJ517" i="11"/>
  <c r="R517" i="11"/>
  <c r="AD517" i="11"/>
  <c r="O517" i="11"/>
  <c r="AF517" i="11"/>
  <c r="AH517" i="11"/>
  <c r="AE517" i="11"/>
  <c r="U517" i="11"/>
  <c r="AK517" i="11"/>
  <c r="K517" i="11"/>
  <c r="AM517" i="11"/>
  <c r="P517" i="11"/>
  <c r="I517" i="11"/>
  <c r="AA517" i="11"/>
  <c r="M517" i="11"/>
  <c r="AO517" i="11"/>
  <c r="AI517" i="11"/>
  <c r="AL517" i="11"/>
  <c r="Q517" i="11"/>
  <c r="L517" i="11"/>
  <c r="N517" i="11"/>
  <c r="V517" i="11"/>
  <c r="AF485" i="11"/>
  <c r="T485" i="11"/>
  <c r="W485" i="11"/>
  <c r="S485" i="11"/>
  <c r="Y485" i="11"/>
  <c r="I485" i="11"/>
  <c r="AC485" i="11"/>
  <c r="AE485" i="11"/>
  <c r="AA485" i="11"/>
  <c r="X485" i="11"/>
  <c r="AD485" i="11"/>
  <c r="N485" i="11"/>
  <c r="Z485" i="11"/>
  <c r="AG485" i="11"/>
  <c r="AO485" i="11"/>
  <c r="O485" i="11"/>
  <c r="L485" i="11"/>
  <c r="J485" i="11"/>
  <c r="AM485" i="11"/>
  <c r="AH485" i="11"/>
  <c r="P485" i="11"/>
  <c r="AJ485" i="11"/>
  <c r="AN485" i="11"/>
  <c r="V485" i="11"/>
  <c r="K485" i="11"/>
  <c r="AP485" i="11"/>
  <c r="AI485" i="11"/>
  <c r="Q485" i="11"/>
  <c r="R485" i="11"/>
  <c r="AB485" i="11"/>
  <c r="AK485" i="11"/>
  <c r="AL485" i="11"/>
  <c r="M485" i="11"/>
  <c r="U485" i="11"/>
  <c r="O448" i="11"/>
  <c r="Q448" i="11"/>
  <c r="N448" i="11"/>
  <c r="U448" i="11"/>
  <c r="M448" i="11"/>
  <c r="Y448" i="11"/>
  <c r="V448" i="11"/>
  <c r="AH448" i="11"/>
  <c r="Z448" i="11"/>
  <c r="AI448" i="11"/>
  <c r="W448" i="11"/>
  <c r="AP448" i="11"/>
  <c r="AD448" i="11"/>
  <c r="AJ448" i="11"/>
  <c r="I448" i="11"/>
  <c r="AL448" i="11"/>
  <c r="L448" i="11"/>
  <c r="AG448" i="11"/>
  <c r="R448" i="11"/>
  <c r="X448" i="11"/>
  <c r="AO448" i="11"/>
  <c r="AE448" i="11"/>
  <c r="AK448" i="11"/>
  <c r="K448" i="11"/>
  <c r="T448" i="11"/>
  <c r="AM448" i="11"/>
  <c r="S448" i="11"/>
  <c r="AF448" i="11"/>
  <c r="P448" i="11"/>
  <c r="AA448" i="11"/>
  <c r="J448" i="11"/>
  <c r="AC448" i="11"/>
  <c r="AN448" i="11"/>
  <c r="AB448" i="11"/>
  <c r="AP416" i="11"/>
  <c r="AB416" i="11"/>
  <c r="AH416" i="11"/>
  <c r="AC416" i="11"/>
  <c r="AE416" i="11"/>
  <c r="AJ416" i="11"/>
  <c r="M416" i="11"/>
  <c r="AO416" i="11"/>
  <c r="AK416" i="11"/>
  <c r="K416" i="11"/>
  <c r="P416" i="11"/>
  <c r="Y416" i="11"/>
  <c r="U416" i="11"/>
  <c r="J416" i="11"/>
  <c r="S416" i="11"/>
  <c r="X416" i="11"/>
  <c r="AL416" i="11"/>
  <c r="AG416" i="11"/>
  <c r="AA416" i="11"/>
  <c r="AF416" i="11"/>
  <c r="N416" i="11"/>
  <c r="Q416" i="11"/>
  <c r="AI416" i="11"/>
  <c r="AN416" i="11"/>
  <c r="Z416" i="11"/>
  <c r="R416" i="11"/>
  <c r="L416" i="11"/>
  <c r="I416" i="11"/>
  <c r="AM416" i="11"/>
  <c r="W416" i="11"/>
  <c r="T416" i="11"/>
  <c r="V416" i="11"/>
  <c r="O416" i="11"/>
  <c r="AD416" i="11"/>
  <c r="AG384" i="11"/>
  <c r="AB384" i="11"/>
  <c r="AF384" i="11"/>
  <c r="W384" i="11"/>
  <c r="AO384" i="11"/>
  <c r="AJ384" i="11"/>
  <c r="AN384" i="11"/>
  <c r="Z384" i="11"/>
  <c r="K384" i="11"/>
  <c r="M384" i="11"/>
  <c r="O384" i="11"/>
  <c r="AD384" i="11"/>
  <c r="S384" i="11"/>
  <c r="U384" i="11"/>
  <c r="AL384" i="11"/>
  <c r="N384" i="11"/>
  <c r="AA384" i="11"/>
  <c r="AC384" i="11"/>
  <c r="R384" i="11"/>
  <c r="AH384" i="11"/>
  <c r="I384" i="11"/>
  <c r="AI384" i="11"/>
  <c r="AK384" i="11"/>
  <c r="AM384" i="11"/>
  <c r="J384" i="11"/>
  <c r="Q384" i="11"/>
  <c r="L384" i="11"/>
  <c r="P384" i="11"/>
  <c r="V384" i="11"/>
  <c r="Y384" i="11"/>
  <c r="T384" i="11"/>
  <c r="X384" i="11"/>
  <c r="AP384" i="11"/>
  <c r="AE384" i="11"/>
  <c r="AD352" i="11"/>
  <c r="AA352" i="11"/>
  <c r="I352" i="11"/>
  <c r="P352" i="11"/>
  <c r="AL352" i="11"/>
  <c r="AI352" i="11"/>
  <c r="U352" i="11"/>
  <c r="AJ352" i="11"/>
  <c r="K352" i="11"/>
  <c r="AH352" i="11"/>
  <c r="AO352" i="11"/>
  <c r="S352" i="11"/>
  <c r="Y352" i="11"/>
  <c r="R352" i="11"/>
  <c r="N352" i="11"/>
  <c r="M352" i="11"/>
  <c r="J352" i="11"/>
  <c r="AB352" i="11"/>
  <c r="V352" i="11"/>
  <c r="Z352" i="11"/>
  <c r="AF352" i="11"/>
  <c r="T352" i="11"/>
  <c r="O352" i="11"/>
  <c r="AN352" i="11"/>
  <c r="L352" i="11"/>
  <c r="W352" i="11"/>
  <c r="Q352" i="11"/>
  <c r="AG352" i="11"/>
  <c r="AE352" i="11"/>
  <c r="AC352" i="11"/>
  <c r="X352" i="11"/>
  <c r="AM352" i="11"/>
  <c r="AP352" i="11"/>
  <c r="AK352" i="11"/>
  <c r="AM320" i="11"/>
  <c r="AJ320" i="11"/>
  <c r="AG320" i="11"/>
  <c r="AP320" i="11"/>
  <c r="P320" i="11"/>
  <c r="K320" i="11"/>
  <c r="AA320" i="11"/>
  <c r="N320" i="11"/>
  <c r="X320" i="11"/>
  <c r="M320" i="11"/>
  <c r="AI320" i="11"/>
  <c r="AF320" i="11"/>
  <c r="Z320" i="11"/>
  <c r="I320" i="11"/>
  <c r="AN320" i="11"/>
  <c r="AL320" i="11"/>
  <c r="Q320" i="11"/>
  <c r="L320" i="11"/>
  <c r="S320" i="11"/>
  <c r="U320" i="11"/>
  <c r="T320" i="11"/>
  <c r="J320" i="11"/>
  <c r="V320" i="11"/>
  <c r="O320" i="11"/>
  <c r="AB320" i="11"/>
  <c r="AD320" i="11"/>
  <c r="AH320" i="11"/>
  <c r="W320" i="11"/>
  <c r="Y320" i="11"/>
  <c r="R320" i="11"/>
  <c r="AC320" i="11"/>
  <c r="AE320" i="11"/>
  <c r="AK320" i="11"/>
  <c r="AO320" i="11"/>
  <c r="AN288" i="11"/>
  <c r="N288" i="11"/>
  <c r="S288" i="11"/>
  <c r="K288" i="11"/>
  <c r="O288" i="11"/>
  <c r="L288" i="11"/>
  <c r="AA288" i="11"/>
  <c r="AP288" i="11"/>
  <c r="V288" i="11"/>
  <c r="W288" i="11"/>
  <c r="T288" i="11"/>
  <c r="AO288" i="11"/>
  <c r="J288" i="11"/>
  <c r="Q288" i="11"/>
  <c r="AE288" i="11"/>
  <c r="AB288" i="11"/>
  <c r="I288" i="11"/>
  <c r="AD288" i="11"/>
  <c r="AM288" i="11"/>
  <c r="AJ288" i="11"/>
  <c r="U288" i="11"/>
  <c r="Y288" i="11"/>
  <c r="P288" i="11"/>
  <c r="M288" i="11"/>
  <c r="AH288" i="11"/>
  <c r="AC288" i="11"/>
  <c r="X288" i="11"/>
  <c r="Z288" i="11"/>
  <c r="R288" i="11"/>
  <c r="AG288" i="11"/>
  <c r="AF288" i="11"/>
  <c r="AL288" i="11"/>
  <c r="AK288" i="11"/>
  <c r="AI288" i="11"/>
  <c r="AG256" i="11"/>
  <c r="T256" i="11"/>
  <c r="AJ256" i="11"/>
  <c r="W256" i="11"/>
  <c r="P256" i="11"/>
  <c r="AO256" i="11"/>
  <c r="AH256" i="11"/>
  <c r="Z256" i="11"/>
  <c r="AB256" i="11"/>
  <c r="X256" i="11"/>
  <c r="M256" i="11"/>
  <c r="N256" i="11"/>
  <c r="K256" i="11"/>
  <c r="AP256" i="11"/>
  <c r="AF256" i="11"/>
  <c r="U256" i="11"/>
  <c r="AA256" i="11"/>
  <c r="R256" i="11"/>
  <c r="AN256" i="11"/>
  <c r="AC256" i="11"/>
  <c r="AM256" i="11"/>
  <c r="AD256" i="11"/>
  <c r="I256" i="11"/>
  <c r="AK256" i="11"/>
  <c r="L256" i="11"/>
  <c r="J256" i="11"/>
  <c r="Q256" i="11"/>
  <c r="S256" i="11"/>
  <c r="AI256" i="11"/>
  <c r="AL256" i="11"/>
  <c r="Y256" i="11"/>
  <c r="AE256" i="11"/>
  <c r="O256" i="11"/>
  <c r="V256" i="11"/>
  <c r="AL680" i="11"/>
  <c r="AH680" i="11"/>
  <c r="AF680" i="11"/>
  <c r="AJ680" i="11"/>
  <c r="AM680" i="11"/>
  <c r="AO680" i="11"/>
  <c r="U680" i="11"/>
  <c r="O680" i="11"/>
  <c r="AB680" i="11"/>
  <c r="K680" i="11"/>
  <c r="R680" i="11"/>
  <c r="T680" i="11"/>
  <c r="AN680" i="11"/>
  <c r="AE680" i="11"/>
  <c r="AG680" i="11"/>
  <c r="J680" i="11"/>
  <c r="I680" i="11"/>
  <c r="Z680" i="11"/>
  <c r="AI680" i="11"/>
  <c r="AP680" i="11"/>
  <c r="X680" i="11"/>
  <c r="N680" i="11"/>
  <c r="P680" i="11"/>
  <c r="M680" i="11"/>
  <c r="V680" i="11"/>
  <c r="Q680" i="11"/>
  <c r="AA680" i="11"/>
  <c r="AD680" i="11"/>
  <c r="AC680" i="11"/>
  <c r="W680" i="11"/>
  <c r="S680" i="11"/>
  <c r="AK680" i="11"/>
  <c r="Y680" i="11"/>
  <c r="L680" i="11"/>
  <c r="T648" i="11"/>
  <c r="AE648" i="11"/>
  <c r="AJ648" i="11"/>
  <c r="Y648" i="11"/>
  <c r="J648" i="11"/>
  <c r="AI648" i="11"/>
  <c r="P648" i="11"/>
  <c r="W648" i="11"/>
  <c r="AP648" i="11"/>
  <c r="AL648" i="11"/>
  <c r="AG648" i="11"/>
  <c r="AH648" i="11"/>
  <c r="AB648" i="11"/>
  <c r="K648" i="11"/>
  <c r="AN648" i="11"/>
  <c r="AD648" i="11"/>
  <c r="R648" i="11"/>
  <c r="AC648" i="11"/>
  <c r="Z648" i="11"/>
  <c r="AO648" i="11"/>
  <c r="AA648" i="11"/>
  <c r="X648" i="11"/>
  <c r="N648" i="11"/>
  <c r="L648" i="11"/>
  <c r="V648" i="11"/>
  <c r="AF648" i="11"/>
  <c r="S648" i="11"/>
  <c r="M648" i="11"/>
  <c r="O648" i="11"/>
  <c r="U648" i="11"/>
  <c r="Q648" i="11"/>
  <c r="AK648" i="11"/>
  <c r="I648" i="11"/>
  <c r="AM648" i="11"/>
  <c r="Q616" i="11"/>
  <c r="I616" i="11"/>
  <c r="AB616" i="11"/>
  <c r="U616" i="11"/>
  <c r="AO616" i="11"/>
  <c r="AA616" i="11"/>
  <c r="AE616" i="11"/>
  <c r="AL616" i="11"/>
  <c r="J616" i="11"/>
  <c r="W616" i="11"/>
  <c r="AK616" i="11"/>
  <c r="K616" i="11"/>
  <c r="AM616" i="11"/>
  <c r="V616" i="11"/>
  <c r="R616" i="11"/>
  <c r="Z616" i="11"/>
  <c r="AI616" i="11"/>
  <c r="M616" i="11"/>
  <c r="N616" i="11"/>
  <c r="L616" i="11"/>
  <c r="Y616" i="11"/>
  <c r="T616" i="11"/>
  <c r="P616" i="11"/>
  <c r="AG616" i="11"/>
  <c r="X616" i="11"/>
  <c r="AP616" i="11"/>
  <c r="AD616" i="11"/>
  <c r="S616" i="11"/>
  <c r="AN616" i="11"/>
  <c r="AJ616" i="11"/>
  <c r="O616" i="11"/>
  <c r="AF616" i="11"/>
  <c r="AH616" i="11"/>
  <c r="AC616" i="11"/>
  <c r="T584" i="11"/>
  <c r="AC584" i="11"/>
  <c r="AH584" i="11"/>
  <c r="AN584" i="11"/>
  <c r="K584" i="11"/>
  <c r="O584" i="11"/>
  <c r="AF584" i="11"/>
  <c r="AL584" i="11"/>
  <c r="S584" i="11"/>
  <c r="W584" i="11"/>
  <c r="U584" i="11"/>
  <c r="N584" i="11"/>
  <c r="AA584" i="11"/>
  <c r="AE584" i="11"/>
  <c r="AG584" i="11"/>
  <c r="X584" i="11"/>
  <c r="R584" i="11"/>
  <c r="AP584" i="11"/>
  <c r="AI584" i="11"/>
  <c r="I584" i="11"/>
  <c r="L584" i="11"/>
  <c r="V584" i="11"/>
  <c r="AB584" i="11"/>
  <c r="M584" i="11"/>
  <c r="AJ584" i="11"/>
  <c r="Y584" i="11"/>
  <c r="AM584" i="11"/>
  <c r="Z584" i="11"/>
  <c r="P584" i="11"/>
  <c r="AD584" i="11"/>
  <c r="AO584" i="11"/>
  <c r="AK584" i="11"/>
  <c r="J584" i="11"/>
  <c r="Q584" i="11"/>
  <c r="Y552" i="11"/>
  <c r="U552" i="11"/>
  <c r="AK552" i="11"/>
  <c r="AA552" i="11"/>
  <c r="AG552" i="11"/>
  <c r="AF552" i="11"/>
  <c r="W552" i="11"/>
  <c r="AC552" i="11"/>
  <c r="N552" i="11"/>
  <c r="AO552" i="11"/>
  <c r="O552" i="11"/>
  <c r="AM552" i="11"/>
  <c r="M552" i="11"/>
  <c r="V552" i="11"/>
  <c r="J552" i="11"/>
  <c r="Z552" i="11"/>
  <c r="X552" i="11"/>
  <c r="AI552" i="11"/>
  <c r="AD552" i="11"/>
  <c r="T552" i="11"/>
  <c r="AJ552" i="11"/>
  <c r="AN552" i="11"/>
  <c r="AL552" i="11"/>
  <c r="AE552" i="11"/>
  <c r="P552" i="11"/>
  <c r="L552" i="11"/>
  <c r="I552" i="11"/>
  <c r="AP552" i="11"/>
  <c r="AH552" i="11"/>
  <c r="AB552" i="11"/>
  <c r="Q552" i="11"/>
  <c r="K552" i="11"/>
  <c r="S552" i="11"/>
  <c r="R552" i="11"/>
  <c r="U520" i="11"/>
  <c r="Q520" i="11"/>
  <c r="AA520" i="11"/>
  <c r="AP520" i="11"/>
  <c r="AJ520" i="11"/>
  <c r="AK520" i="11"/>
  <c r="N520" i="11"/>
  <c r="AO520" i="11"/>
  <c r="T520" i="11"/>
  <c r="AE520" i="11"/>
  <c r="AD520" i="11"/>
  <c r="AL520" i="11"/>
  <c r="AM520" i="11"/>
  <c r="AN520" i="11"/>
  <c r="X520" i="11"/>
  <c r="M520" i="11"/>
  <c r="I520" i="11"/>
  <c r="O520" i="11"/>
  <c r="R520" i="11"/>
  <c r="AI520" i="11"/>
  <c r="AC520" i="11"/>
  <c r="AH520" i="11"/>
  <c r="V520" i="11"/>
  <c r="P520" i="11"/>
  <c r="Y520" i="11"/>
  <c r="W520" i="11"/>
  <c r="AG520" i="11"/>
  <c r="AB520" i="11"/>
  <c r="L520" i="11"/>
  <c r="J520" i="11"/>
  <c r="Z520" i="11"/>
  <c r="K520" i="11"/>
  <c r="S520" i="11"/>
  <c r="AF520" i="11"/>
  <c r="AO488" i="11"/>
  <c r="O488" i="11"/>
  <c r="K488" i="11"/>
  <c r="AP488" i="11"/>
  <c r="I488" i="11"/>
  <c r="AK488" i="11"/>
  <c r="AD488" i="11"/>
  <c r="AE488" i="11"/>
  <c r="AM488" i="11"/>
  <c r="AG488" i="11"/>
  <c r="AJ488" i="11"/>
  <c r="AF488" i="11"/>
  <c r="M488" i="11"/>
  <c r="S488" i="11"/>
  <c r="AL488" i="11"/>
  <c r="U488" i="11"/>
  <c r="AN488" i="11"/>
  <c r="P488" i="11"/>
  <c r="AC488" i="11"/>
  <c r="J488" i="11"/>
  <c r="T488" i="11"/>
  <c r="N488" i="11"/>
  <c r="AA488" i="11"/>
  <c r="V488" i="11"/>
  <c r="X488" i="11"/>
  <c r="AB488" i="11"/>
  <c r="W488" i="11"/>
  <c r="Q488" i="11"/>
  <c r="AI488" i="11"/>
  <c r="R488" i="11"/>
  <c r="L488" i="11"/>
  <c r="Y488" i="11"/>
  <c r="Z488" i="11"/>
  <c r="AH488" i="11"/>
  <c r="I459" i="11"/>
  <c r="AF459" i="11"/>
  <c r="AD459" i="11"/>
  <c r="AC459" i="11"/>
  <c r="AA459" i="11"/>
  <c r="X459" i="11"/>
  <c r="V459" i="11"/>
  <c r="U459" i="11"/>
  <c r="S459" i="11"/>
  <c r="AM459" i="11"/>
  <c r="Y459" i="11"/>
  <c r="AI459" i="11"/>
  <c r="AE459" i="11"/>
  <c r="Q459" i="11"/>
  <c r="K459" i="11"/>
  <c r="W459" i="11"/>
  <c r="AK459" i="11"/>
  <c r="AP459" i="11"/>
  <c r="O459" i="11"/>
  <c r="M459" i="11"/>
  <c r="AH459" i="11"/>
  <c r="AL459" i="11"/>
  <c r="AJ459" i="11"/>
  <c r="Z459" i="11"/>
  <c r="N459" i="11"/>
  <c r="AB459" i="11"/>
  <c r="R459" i="11"/>
  <c r="AN459" i="11"/>
  <c r="AO459" i="11"/>
  <c r="T459" i="11"/>
  <c r="J459" i="11"/>
  <c r="P459" i="11"/>
  <c r="AG459" i="11"/>
  <c r="L459" i="11"/>
  <c r="J227" i="11"/>
  <c r="I423" i="11"/>
  <c r="AO423" i="11"/>
  <c r="U423" i="11"/>
  <c r="R423" i="11"/>
  <c r="AE423" i="11"/>
  <c r="P423" i="11"/>
  <c r="AC423" i="11"/>
  <c r="Z423" i="11"/>
  <c r="S423" i="11"/>
  <c r="W423" i="11"/>
  <c r="J423" i="11"/>
  <c r="T423" i="11"/>
  <c r="AJ423" i="11"/>
  <c r="AH423" i="11"/>
  <c r="AG423" i="11"/>
  <c r="K423" i="11"/>
  <c r="M423" i="11"/>
  <c r="AP423" i="11"/>
  <c r="L423" i="11"/>
  <c r="AK423" i="11"/>
  <c r="O423" i="11"/>
  <c r="Y423" i="11"/>
  <c r="N423" i="11"/>
  <c r="AA423" i="11"/>
  <c r="AM423" i="11"/>
  <c r="V423" i="11"/>
  <c r="AN423" i="11"/>
  <c r="X423" i="11"/>
  <c r="AD423" i="11"/>
  <c r="Q423" i="11"/>
  <c r="AB423" i="11"/>
  <c r="AL423" i="11"/>
  <c r="AF423" i="11"/>
  <c r="AI423" i="11"/>
  <c r="AD391" i="11"/>
  <c r="L391" i="11"/>
  <c r="S391" i="11"/>
  <c r="AM391" i="11"/>
  <c r="K391" i="11"/>
  <c r="AL391" i="11"/>
  <c r="AA391" i="11"/>
  <c r="AF391" i="11"/>
  <c r="X391" i="11"/>
  <c r="J391" i="11"/>
  <c r="AO391" i="11"/>
  <c r="Y391" i="11"/>
  <c r="M391" i="11"/>
  <c r="R391" i="11"/>
  <c r="Q391" i="11"/>
  <c r="AJ391" i="11"/>
  <c r="U391" i="11"/>
  <c r="Z391" i="11"/>
  <c r="AE391" i="11"/>
  <c r="AC391" i="11"/>
  <c r="AH391" i="11"/>
  <c r="T391" i="11"/>
  <c r="AK391" i="11"/>
  <c r="AP391" i="11"/>
  <c r="AG391" i="11"/>
  <c r="N391" i="11"/>
  <c r="AN391" i="11"/>
  <c r="W391" i="11"/>
  <c r="V391" i="11"/>
  <c r="P391" i="11"/>
  <c r="AI391" i="11"/>
  <c r="O391" i="11"/>
  <c r="AB391" i="11"/>
  <c r="I391" i="11"/>
  <c r="AN359" i="11"/>
  <c r="AC359" i="11"/>
  <c r="AA359" i="11"/>
  <c r="W359" i="11"/>
  <c r="I359" i="11"/>
  <c r="AK359" i="11"/>
  <c r="AM359" i="11"/>
  <c r="K359" i="11"/>
  <c r="Q359" i="11"/>
  <c r="S359" i="11"/>
  <c r="L359" i="11"/>
  <c r="AD359" i="11"/>
  <c r="Y359" i="11"/>
  <c r="AE359" i="11"/>
  <c r="AH359" i="11"/>
  <c r="O359" i="11"/>
  <c r="AG359" i="11"/>
  <c r="J359" i="11"/>
  <c r="R359" i="11"/>
  <c r="Z359" i="11"/>
  <c r="P359" i="11"/>
  <c r="AO359" i="11"/>
  <c r="V359" i="11"/>
  <c r="AL359" i="11"/>
  <c r="AB359" i="11"/>
  <c r="X359" i="11"/>
  <c r="M359" i="11"/>
  <c r="AI359" i="11"/>
  <c r="T359" i="11"/>
  <c r="AJ359" i="11"/>
  <c r="AF359" i="11"/>
  <c r="U359" i="11"/>
  <c r="N359" i="11"/>
  <c r="AP359" i="11"/>
  <c r="AH327" i="11"/>
  <c r="AG327" i="11"/>
  <c r="AM327" i="11"/>
  <c r="K327" i="11"/>
  <c r="AP327" i="11"/>
  <c r="M327" i="11"/>
  <c r="I327" i="11"/>
  <c r="AK327" i="11"/>
  <c r="N327" i="11"/>
  <c r="X327" i="11"/>
  <c r="AA327" i="11"/>
  <c r="O327" i="11"/>
  <c r="V327" i="11"/>
  <c r="AI327" i="11"/>
  <c r="P327" i="11"/>
  <c r="AO327" i="11"/>
  <c r="AD327" i="11"/>
  <c r="S327" i="11"/>
  <c r="AF327" i="11"/>
  <c r="Q327" i="11"/>
  <c r="J327" i="11"/>
  <c r="AL327" i="11"/>
  <c r="AC327" i="11"/>
  <c r="AB327" i="11"/>
  <c r="Y327" i="11"/>
  <c r="R327" i="11"/>
  <c r="L327" i="11"/>
  <c r="AN327" i="11"/>
  <c r="AE327" i="11"/>
  <c r="T327" i="11"/>
  <c r="Z327" i="11"/>
  <c r="W327" i="11"/>
  <c r="U327" i="11"/>
  <c r="AJ327" i="11"/>
  <c r="J295" i="11"/>
  <c r="AL295" i="11"/>
  <c r="AJ295" i="11"/>
  <c r="S295" i="11"/>
  <c r="I295" i="11"/>
  <c r="AH295" i="11"/>
  <c r="AN295" i="11"/>
  <c r="AE295" i="11"/>
  <c r="T295" i="11"/>
  <c r="Q295" i="11"/>
  <c r="AP295" i="11"/>
  <c r="P295" i="11"/>
  <c r="L295" i="11"/>
  <c r="AM295" i="11"/>
  <c r="Y295" i="11"/>
  <c r="N295" i="11"/>
  <c r="AC295" i="11"/>
  <c r="AF295" i="11"/>
  <c r="V295" i="11"/>
  <c r="M295" i="11"/>
  <c r="AD295" i="11"/>
  <c r="AI295" i="11"/>
  <c r="O295" i="11"/>
  <c r="AK295" i="11"/>
  <c r="AB295" i="11"/>
  <c r="U295" i="11"/>
  <c r="AG295" i="11"/>
  <c r="K295" i="11"/>
  <c r="AO295" i="11"/>
  <c r="W295" i="11"/>
  <c r="R295" i="11"/>
  <c r="X295" i="11"/>
  <c r="Z295" i="11"/>
  <c r="AA295" i="11"/>
  <c r="Y263" i="11"/>
  <c r="V263" i="11"/>
  <c r="L263" i="11"/>
  <c r="S263" i="11"/>
  <c r="AG263" i="11"/>
  <c r="AI263" i="11"/>
  <c r="AE263" i="11"/>
  <c r="Z263" i="11"/>
  <c r="P263" i="11"/>
  <c r="AO263" i="11"/>
  <c r="K263" i="11"/>
  <c r="T263" i="11"/>
  <c r="AL263" i="11"/>
  <c r="X263" i="11"/>
  <c r="M263" i="11"/>
  <c r="W263" i="11"/>
  <c r="AP263" i="11"/>
  <c r="AM263" i="11"/>
  <c r="AF263" i="11"/>
  <c r="U263" i="11"/>
  <c r="AJ263" i="11"/>
  <c r="AA263" i="11"/>
  <c r="AN263" i="11"/>
  <c r="AC263" i="11"/>
  <c r="R263" i="11"/>
  <c r="AH263" i="11"/>
  <c r="I263" i="11"/>
  <c r="AK263" i="11"/>
  <c r="AD263" i="11"/>
  <c r="O263" i="11"/>
  <c r="Q263" i="11"/>
  <c r="J263" i="11"/>
  <c r="AB263" i="11"/>
  <c r="N263" i="11"/>
  <c r="I231" i="11"/>
  <c r="X231" i="11"/>
  <c r="AM231" i="11"/>
  <c r="AA231" i="11"/>
  <c r="AF231" i="11"/>
  <c r="T231" i="11"/>
  <c r="V231" i="11"/>
  <c r="M231" i="11"/>
  <c r="AI231" i="11"/>
  <c r="AN231" i="11"/>
  <c r="AG231" i="11"/>
  <c r="AO231" i="11"/>
  <c r="O231" i="11"/>
  <c r="U231" i="11"/>
  <c r="Y231" i="11"/>
  <c r="AH231" i="11"/>
  <c r="AD231" i="11"/>
  <c r="N231" i="11"/>
  <c r="AP231" i="11"/>
  <c r="K231" i="11"/>
  <c r="Z231" i="11"/>
  <c r="S231" i="11"/>
  <c r="J231" i="11"/>
  <c r="W231" i="11"/>
  <c r="AC231" i="11"/>
  <c r="AL231" i="11"/>
  <c r="Q231" i="11"/>
  <c r="AE231" i="11"/>
  <c r="AK231" i="11"/>
  <c r="AJ231" i="11"/>
  <c r="P231" i="11"/>
  <c r="AB231" i="11"/>
  <c r="R231" i="11"/>
  <c r="L231" i="11"/>
  <c r="Q655" i="11"/>
  <c r="AC655" i="11"/>
  <c r="AG655" i="11"/>
  <c r="AA655" i="11"/>
  <c r="J655" i="11"/>
  <c r="V655" i="11"/>
  <c r="U655" i="11"/>
  <c r="R655" i="11"/>
  <c r="X655" i="11"/>
  <c r="AK655" i="11"/>
  <c r="AE655" i="11"/>
  <c r="T655" i="11"/>
  <c r="Y655" i="11"/>
  <c r="AO655" i="11"/>
  <c r="AM655" i="11"/>
  <c r="AN655" i="11"/>
  <c r="W655" i="11"/>
  <c r="N655" i="11"/>
  <c r="AP655" i="11"/>
  <c r="P655" i="11"/>
  <c r="M655" i="11"/>
  <c r="AF655" i="11"/>
  <c r="AL655" i="11"/>
  <c r="AI655" i="11"/>
  <c r="AH655" i="11"/>
  <c r="O655" i="11"/>
  <c r="K655" i="11"/>
  <c r="Z655" i="11"/>
  <c r="L655" i="11"/>
  <c r="I655" i="11"/>
  <c r="AB655" i="11"/>
  <c r="S655" i="11"/>
  <c r="AJ655" i="11"/>
  <c r="AD655" i="11"/>
  <c r="P623" i="11"/>
  <c r="AI623" i="11"/>
  <c r="AP623" i="11"/>
  <c r="AD623" i="11"/>
  <c r="X623" i="11"/>
  <c r="AB623" i="11"/>
  <c r="AA623" i="11"/>
  <c r="AC623" i="11"/>
  <c r="Y623" i="11"/>
  <c r="AM623" i="11"/>
  <c r="AH623" i="11"/>
  <c r="M623" i="11"/>
  <c r="AG623" i="11"/>
  <c r="W623" i="11"/>
  <c r="U623" i="11"/>
  <c r="AO623" i="11"/>
  <c r="J623" i="11"/>
  <c r="V623" i="11"/>
  <c r="R623" i="11"/>
  <c r="AL623" i="11"/>
  <c r="AE623" i="11"/>
  <c r="I623" i="11"/>
  <c r="AF623" i="11"/>
  <c r="Q623" i="11"/>
  <c r="O623" i="11"/>
  <c r="K623" i="11"/>
  <c r="S623" i="11"/>
  <c r="AJ623" i="11"/>
  <c r="AN623" i="11"/>
  <c r="AK623" i="11"/>
  <c r="L623" i="11"/>
  <c r="T623" i="11"/>
  <c r="N623" i="11"/>
  <c r="Z623" i="11"/>
  <c r="AB591" i="11"/>
  <c r="AN591" i="11"/>
  <c r="AC591" i="11"/>
  <c r="Y591" i="11"/>
  <c r="AM591" i="11"/>
  <c r="P591" i="11"/>
  <c r="AD591" i="11"/>
  <c r="X591" i="11"/>
  <c r="J591" i="11"/>
  <c r="S591" i="11"/>
  <c r="U591" i="11"/>
  <c r="AO591" i="11"/>
  <c r="AF591" i="11"/>
  <c r="AK591" i="11"/>
  <c r="K591" i="11"/>
  <c r="O591" i="11"/>
  <c r="N591" i="11"/>
  <c r="Z591" i="11"/>
  <c r="W591" i="11"/>
  <c r="V591" i="11"/>
  <c r="R591" i="11"/>
  <c r="AL591" i="11"/>
  <c r="AE591" i="11"/>
  <c r="I591" i="11"/>
  <c r="AA591" i="11"/>
  <c r="Q591" i="11"/>
  <c r="AH591" i="11"/>
  <c r="AG591" i="11"/>
  <c r="AI591" i="11"/>
  <c r="AJ591" i="11"/>
  <c r="T591" i="11"/>
  <c r="M591" i="11"/>
  <c r="L591" i="11"/>
  <c r="AP591" i="11"/>
  <c r="AM559" i="11"/>
  <c r="Q559" i="11"/>
  <c r="M559" i="11"/>
  <c r="S559" i="11"/>
  <c r="AK559" i="11"/>
  <c r="Y559" i="11"/>
  <c r="Z559" i="11"/>
  <c r="AE559" i="11"/>
  <c r="K559" i="11"/>
  <c r="X559" i="11"/>
  <c r="AB559" i="11"/>
  <c r="J559" i="11"/>
  <c r="AF559" i="11"/>
  <c r="AJ559" i="11"/>
  <c r="V559" i="11"/>
  <c r="AN559" i="11"/>
  <c r="AL559" i="11"/>
  <c r="AI559" i="11"/>
  <c r="I559" i="11"/>
  <c r="O559" i="11"/>
  <c r="U559" i="11"/>
  <c r="AG559" i="11"/>
  <c r="AC559" i="11"/>
  <c r="AA559" i="11"/>
  <c r="AO559" i="11"/>
  <c r="AP559" i="11"/>
  <c r="AH559" i="11"/>
  <c r="L559" i="11"/>
  <c r="R559" i="11"/>
  <c r="N559" i="11"/>
  <c r="P559" i="11"/>
  <c r="T559" i="11"/>
  <c r="AD559" i="11"/>
  <c r="W559" i="11"/>
  <c r="O527" i="11"/>
  <c r="R527" i="11"/>
  <c r="U527" i="11"/>
  <c r="AJ527" i="11"/>
  <c r="AL527" i="11"/>
  <c r="W527" i="11"/>
  <c r="AC527" i="11"/>
  <c r="AF527" i="11"/>
  <c r="Z527" i="11"/>
  <c r="AG527" i="11"/>
  <c r="AN527" i="11"/>
  <c r="X527" i="11"/>
  <c r="L527" i="11"/>
  <c r="I527" i="11"/>
  <c r="AH527" i="11"/>
  <c r="P527" i="11"/>
  <c r="AE527" i="11"/>
  <c r="T527" i="11"/>
  <c r="N527" i="11"/>
  <c r="AM527" i="11"/>
  <c r="AD527" i="11"/>
  <c r="Y527" i="11"/>
  <c r="K527" i="11"/>
  <c r="AO527" i="11"/>
  <c r="AB527" i="11"/>
  <c r="S527" i="11"/>
  <c r="J527" i="11"/>
  <c r="AK527" i="11"/>
  <c r="AA527" i="11"/>
  <c r="AP527" i="11"/>
  <c r="Q527" i="11"/>
  <c r="AI527" i="11"/>
  <c r="M527" i="11"/>
  <c r="V527" i="11"/>
  <c r="W495" i="11"/>
  <c r="Q495" i="11"/>
  <c r="I495" i="11"/>
  <c r="M495" i="11"/>
  <c r="AE495" i="11"/>
  <c r="AC495" i="11"/>
  <c r="AB495" i="11"/>
  <c r="U495" i="11"/>
  <c r="AM495" i="11"/>
  <c r="S495" i="11"/>
  <c r="L495" i="11"/>
  <c r="Y495" i="11"/>
  <c r="N495" i="11"/>
  <c r="J495" i="11"/>
  <c r="AF495" i="11"/>
  <c r="AG495" i="11"/>
  <c r="AO495" i="11"/>
  <c r="V495" i="11"/>
  <c r="R495" i="11"/>
  <c r="K495" i="11"/>
  <c r="P495" i="11"/>
  <c r="AI495" i="11"/>
  <c r="AD495" i="11"/>
  <c r="Z495" i="11"/>
  <c r="X495" i="11"/>
  <c r="AK495" i="11"/>
  <c r="AL495" i="11"/>
  <c r="AH495" i="11"/>
  <c r="AJ495" i="11"/>
  <c r="T495" i="11"/>
  <c r="O495" i="11"/>
  <c r="AP495" i="11"/>
  <c r="AA495" i="11"/>
  <c r="AN495" i="11"/>
  <c r="V463" i="11"/>
  <c r="L463" i="11"/>
  <c r="P463" i="11"/>
  <c r="W463" i="11"/>
  <c r="AD463" i="11"/>
  <c r="Z463" i="11"/>
  <c r="AI463" i="11"/>
  <c r="AB463" i="11"/>
  <c r="AL463" i="11"/>
  <c r="AM463" i="11"/>
  <c r="R463" i="11"/>
  <c r="AH463" i="11"/>
  <c r="M463" i="11"/>
  <c r="I463" i="11"/>
  <c r="O463" i="11"/>
  <c r="AJ463" i="11"/>
  <c r="J463" i="11"/>
  <c r="U463" i="11"/>
  <c r="Q463" i="11"/>
  <c r="AA463" i="11"/>
  <c r="X463" i="11"/>
  <c r="AP463" i="11"/>
  <c r="AC463" i="11"/>
  <c r="Y463" i="11"/>
  <c r="AN463" i="11"/>
  <c r="K463" i="11"/>
  <c r="AK463" i="11"/>
  <c r="AG463" i="11"/>
  <c r="S463" i="11"/>
  <c r="T463" i="11"/>
  <c r="N463" i="11"/>
  <c r="AO463" i="11"/>
  <c r="AF463" i="11"/>
  <c r="AE463" i="11"/>
  <c r="J426" i="11"/>
  <c r="P426" i="11"/>
  <c r="N426" i="11"/>
  <c r="U426" i="11"/>
  <c r="AC426" i="11"/>
  <c r="X426" i="11"/>
  <c r="AA426" i="11"/>
  <c r="AH426" i="11"/>
  <c r="AI426" i="11"/>
  <c r="AF426" i="11"/>
  <c r="AO426" i="11"/>
  <c r="M426" i="11"/>
  <c r="AK426" i="11"/>
  <c r="AN426" i="11"/>
  <c r="R426" i="11"/>
  <c r="Z426" i="11"/>
  <c r="K426" i="11"/>
  <c r="O426" i="11"/>
  <c r="L426" i="11"/>
  <c r="AD426" i="11"/>
  <c r="AL426" i="11"/>
  <c r="W426" i="11"/>
  <c r="T426" i="11"/>
  <c r="S426" i="11"/>
  <c r="Q426" i="11"/>
  <c r="AE426" i="11"/>
  <c r="AB426" i="11"/>
  <c r="AG426" i="11"/>
  <c r="V426" i="11"/>
  <c r="AM426" i="11"/>
  <c r="AJ426" i="11"/>
  <c r="I426" i="11"/>
  <c r="Y426" i="11"/>
  <c r="AP426" i="11"/>
  <c r="P394" i="11"/>
  <c r="N394" i="11"/>
  <c r="S394" i="11"/>
  <c r="M394" i="11"/>
  <c r="X394" i="11"/>
  <c r="AA394" i="11"/>
  <c r="AG394" i="11"/>
  <c r="Z394" i="11"/>
  <c r="AF394" i="11"/>
  <c r="AO394" i="11"/>
  <c r="I394" i="11"/>
  <c r="AL394" i="11"/>
  <c r="AN394" i="11"/>
  <c r="Q394" i="11"/>
  <c r="U394" i="11"/>
  <c r="K394" i="11"/>
  <c r="O394" i="11"/>
  <c r="L394" i="11"/>
  <c r="AC394" i="11"/>
  <c r="AH394" i="11"/>
  <c r="Y394" i="11"/>
  <c r="W394" i="11"/>
  <c r="T394" i="11"/>
  <c r="AP394" i="11"/>
  <c r="J394" i="11"/>
  <c r="AK394" i="11"/>
  <c r="AE394" i="11"/>
  <c r="AB394" i="11"/>
  <c r="R394" i="11"/>
  <c r="V394" i="11"/>
  <c r="AM394" i="11"/>
  <c r="AJ394" i="11"/>
  <c r="AD394" i="11"/>
  <c r="AI394" i="11"/>
  <c r="AP362" i="11"/>
  <c r="AM362" i="11"/>
  <c r="AN362" i="11"/>
  <c r="K362" i="11"/>
  <c r="T362" i="11"/>
  <c r="M362" i="11"/>
  <c r="AA362" i="11"/>
  <c r="I362" i="11"/>
  <c r="Q362" i="11"/>
  <c r="J362" i="11"/>
  <c r="AI362" i="11"/>
  <c r="V362" i="11"/>
  <c r="AL362" i="11"/>
  <c r="Z362" i="11"/>
  <c r="W362" i="11"/>
  <c r="N362" i="11"/>
  <c r="AO362" i="11"/>
  <c r="AH362" i="11"/>
  <c r="AE362" i="11"/>
  <c r="AB362" i="11"/>
  <c r="X362" i="11"/>
  <c r="AG362" i="11"/>
  <c r="U362" i="11"/>
  <c r="L362" i="11"/>
  <c r="R362" i="11"/>
  <c r="AD362" i="11"/>
  <c r="S362" i="11"/>
  <c r="Y362" i="11"/>
  <c r="O362" i="11"/>
  <c r="AC362" i="11"/>
  <c r="AF362" i="11"/>
  <c r="AK362" i="11"/>
  <c r="AJ362" i="11"/>
  <c r="P362" i="11"/>
  <c r="Z330" i="11"/>
  <c r="W330" i="11"/>
  <c r="N330" i="11"/>
  <c r="AO330" i="11"/>
  <c r="AH330" i="11"/>
  <c r="AE330" i="11"/>
  <c r="AB330" i="11"/>
  <c r="X330" i="11"/>
  <c r="AI330" i="11"/>
  <c r="AN330" i="11"/>
  <c r="M330" i="11"/>
  <c r="O330" i="11"/>
  <c r="P330" i="11"/>
  <c r="AG330" i="11"/>
  <c r="J330" i="11"/>
  <c r="AM330" i="11"/>
  <c r="AK330" i="11"/>
  <c r="L330" i="11"/>
  <c r="R330" i="11"/>
  <c r="T330" i="11"/>
  <c r="Q330" i="11"/>
  <c r="AD330" i="11"/>
  <c r="AP330" i="11"/>
  <c r="AF330" i="11"/>
  <c r="AL330" i="11"/>
  <c r="K330" i="11"/>
  <c r="I330" i="11"/>
  <c r="U330" i="11"/>
  <c r="S330" i="11"/>
  <c r="V330" i="11"/>
  <c r="Y330" i="11"/>
  <c r="AA330" i="11"/>
  <c r="AJ330" i="11"/>
  <c r="AC330" i="11"/>
  <c r="AA298" i="11"/>
  <c r="AF298" i="11"/>
  <c r="J298" i="11"/>
  <c r="AG298" i="11"/>
  <c r="AI298" i="11"/>
  <c r="AN298" i="11"/>
  <c r="W298" i="11"/>
  <c r="N298" i="11"/>
  <c r="T298" i="11"/>
  <c r="Q298" i="11"/>
  <c r="M298" i="11"/>
  <c r="AB298" i="11"/>
  <c r="AD298" i="11"/>
  <c r="AH298" i="11"/>
  <c r="AJ298" i="11"/>
  <c r="AP298" i="11"/>
  <c r="R298" i="11"/>
  <c r="P298" i="11"/>
  <c r="AK298" i="11"/>
  <c r="AL298" i="11"/>
  <c r="X298" i="11"/>
  <c r="Y298" i="11"/>
  <c r="V298" i="11"/>
  <c r="K298" i="11"/>
  <c r="O298" i="11"/>
  <c r="Z298" i="11"/>
  <c r="AM298" i="11"/>
  <c r="L298" i="11"/>
  <c r="AE298" i="11"/>
  <c r="S298" i="11"/>
  <c r="AC298" i="11"/>
  <c r="I298" i="11"/>
  <c r="U298" i="11"/>
  <c r="AO298" i="11"/>
  <c r="AA266" i="11"/>
  <c r="AD266" i="11"/>
  <c r="AK266" i="11"/>
  <c r="M266" i="11"/>
  <c r="AI266" i="11"/>
  <c r="AO266" i="11"/>
  <c r="Y266" i="11"/>
  <c r="AL266" i="11"/>
  <c r="T266" i="11"/>
  <c r="AB266" i="11"/>
  <c r="AG266" i="11"/>
  <c r="K266" i="11"/>
  <c r="J266" i="11"/>
  <c r="R266" i="11"/>
  <c r="AH266" i="11"/>
  <c r="S266" i="11"/>
  <c r="U266" i="11"/>
  <c r="AJ266" i="11"/>
  <c r="AN266" i="11"/>
  <c r="O266" i="11"/>
  <c r="AF266" i="11"/>
  <c r="V266" i="11"/>
  <c r="W266" i="11"/>
  <c r="AP266" i="11"/>
  <c r="X266" i="11"/>
  <c r="AE266" i="11"/>
  <c r="P266" i="11"/>
  <c r="N266" i="11"/>
  <c r="L266" i="11"/>
  <c r="AM266" i="11"/>
  <c r="Z266" i="11"/>
  <c r="Q266" i="11"/>
  <c r="I266" i="11"/>
  <c r="AC266" i="11"/>
  <c r="AN234" i="11"/>
  <c r="AK234" i="11"/>
  <c r="AH234" i="11"/>
  <c r="T234" i="11"/>
  <c r="S234" i="11"/>
  <c r="O234" i="11"/>
  <c r="AP234" i="11"/>
  <c r="AG234" i="11"/>
  <c r="AF234" i="11"/>
  <c r="W234" i="11"/>
  <c r="L234" i="11"/>
  <c r="P234" i="11"/>
  <c r="X234" i="11"/>
  <c r="AE234" i="11"/>
  <c r="Y234" i="11"/>
  <c r="AI234" i="11"/>
  <c r="AD234" i="11"/>
  <c r="J234" i="11"/>
  <c r="AJ234" i="11"/>
  <c r="U234" i="11"/>
  <c r="AA234" i="11"/>
  <c r="AB234" i="11"/>
  <c r="AC234" i="11"/>
  <c r="K234" i="11"/>
  <c r="AM234" i="11"/>
  <c r="AL234" i="11"/>
  <c r="Q234" i="11"/>
  <c r="I234" i="11"/>
  <c r="M234" i="11"/>
  <c r="N234" i="11"/>
  <c r="V234" i="11"/>
  <c r="R234" i="11"/>
  <c r="AO234" i="11"/>
  <c r="Z234" i="11"/>
  <c r="AL654" i="11"/>
  <c r="AA654" i="11"/>
  <c r="X654" i="11"/>
  <c r="K654" i="11"/>
  <c r="Z654" i="11"/>
  <c r="AM654" i="11"/>
  <c r="W654" i="11"/>
  <c r="S654" i="11"/>
  <c r="N654" i="11"/>
  <c r="P654" i="11"/>
  <c r="L654" i="11"/>
  <c r="AN654" i="11"/>
  <c r="O654" i="11"/>
  <c r="AB654" i="11"/>
  <c r="AC654" i="11"/>
  <c r="J654" i="11"/>
  <c r="I654" i="11"/>
  <c r="AG654" i="11"/>
  <c r="AP654" i="11"/>
  <c r="AO654" i="11"/>
  <c r="AJ654" i="11"/>
  <c r="AD654" i="11"/>
  <c r="Y654" i="11"/>
  <c r="R654" i="11"/>
  <c r="AI654" i="11"/>
  <c r="AH654" i="11"/>
  <c r="M654" i="11"/>
  <c r="AK654" i="11"/>
  <c r="T654" i="11"/>
  <c r="Q654" i="11"/>
  <c r="U654" i="11"/>
  <c r="AF654" i="11"/>
  <c r="V654" i="11"/>
  <c r="AE654" i="11"/>
  <c r="P622" i="11"/>
  <c r="T622" i="11"/>
  <c r="Q622" i="11"/>
  <c r="J622" i="11"/>
  <c r="O622" i="11"/>
  <c r="K622" i="11"/>
  <c r="AH622" i="11"/>
  <c r="Y622" i="11"/>
  <c r="AJ622" i="11"/>
  <c r="AE622" i="11"/>
  <c r="AG622" i="11"/>
  <c r="AP622" i="11"/>
  <c r="AN622" i="11"/>
  <c r="Z622" i="11"/>
  <c r="AC622" i="11"/>
  <c r="AI622" i="11"/>
  <c r="L622" i="11"/>
  <c r="I622" i="11"/>
  <c r="AD622" i="11"/>
  <c r="W622" i="11"/>
  <c r="U622" i="11"/>
  <c r="N622" i="11"/>
  <c r="AM622" i="11"/>
  <c r="M622" i="11"/>
  <c r="R622" i="11"/>
  <c r="X622" i="11"/>
  <c r="AL622" i="11"/>
  <c r="AO622" i="11"/>
  <c r="AF622" i="11"/>
  <c r="AK622" i="11"/>
  <c r="S622" i="11"/>
  <c r="V622" i="11"/>
  <c r="AA622" i="11"/>
  <c r="AB622" i="11"/>
  <c r="AE590" i="11"/>
  <c r="AA590" i="11"/>
  <c r="Z590" i="11"/>
  <c r="N590" i="11"/>
  <c r="AF590" i="11"/>
  <c r="I590" i="11"/>
  <c r="Y590" i="11"/>
  <c r="AP590" i="11"/>
  <c r="X590" i="11"/>
  <c r="AH590" i="11"/>
  <c r="AJ590" i="11"/>
  <c r="O590" i="11"/>
  <c r="AI590" i="11"/>
  <c r="AO590" i="11"/>
  <c r="Q590" i="11"/>
  <c r="T590" i="11"/>
  <c r="AC590" i="11"/>
  <c r="AG590" i="11"/>
  <c r="V590" i="11"/>
  <c r="W590" i="11"/>
  <c r="U590" i="11"/>
  <c r="AK590" i="11"/>
  <c r="AM590" i="11"/>
  <c r="M590" i="11"/>
  <c r="L590" i="11"/>
  <c r="P590" i="11"/>
  <c r="AL590" i="11"/>
  <c r="AD590" i="11"/>
  <c r="AN590" i="11"/>
  <c r="R590" i="11"/>
  <c r="K590" i="11"/>
  <c r="AB590" i="11"/>
  <c r="S590" i="11"/>
  <c r="J590" i="11"/>
  <c r="J558" i="11"/>
  <c r="AI558" i="11"/>
  <c r="X558" i="11"/>
  <c r="Q558" i="11"/>
  <c r="AO558" i="11"/>
  <c r="AP558" i="11"/>
  <c r="AL558" i="11"/>
  <c r="AM558" i="11"/>
  <c r="AF558" i="11"/>
  <c r="AH558" i="11"/>
  <c r="AG558" i="11"/>
  <c r="AE558" i="11"/>
  <c r="N558" i="11"/>
  <c r="Y558" i="11"/>
  <c r="I558" i="11"/>
  <c r="S558" i="11"/>
  <c r="O558" i="11"/>
  <c r="AA558" i="11"/>
  <c r="AB558" i="11"/>
  <c r="V558" i="11"/>
  <c r="AN558" i="11"/>
  <c r="AD558" i="11"/>
  <c r="T558" i="11"/>
  <c r="U558" i="11"/>
  <c r="AC558" i="11"/>
  <c r="R558" i="11"/>
  <c r="L558" i="11"/>
  <c r="AJ558" i="11"/>
  <c r="Z558" i="11"/>
  <c r="AK558" i="11"/>
  <c r="P558" i="11"/>
  <c r="K558" i="11"/>
  <c r="M558" i="11"/>
  <c r="W558" i="11"/>
  <c r="AC526" i="11"/>
  <c r="AF526" i="11"/>
  <c r="AA526" i="11"/>
  <c r="S526" i="11"/>
  <c r="AG526" i="11"/>
  <c r="AE526" i="11"/>
  <c r="O526" i="11"/>
  <c r="AI526" i="11"/>
  <c r="AK526" i="11"/>
  <c r="AH526" i="11"/>
  <c r="N526" i="11"/>
  <c r="Y526" i="11"/>
  <c r="K526" i="11"/>
  <c r="AL526" i="11"/>
  <c r="AO526" i="11"/>
  <c r="W526" i="11"/>
  <c r="X526" i="11"/>
  <c r="M526" i="11"/>
  <c r="Z526" i="11"/>
  <c r="R526" i="11"/>
  <c r="U526" i="11"/>
  <c r="AJ526" i="11"/>
  <c r="J526" i="11"/>
  <c r="P526" i="11"/>
  <c r="T526" i="11"/>
  <c r="AB526" i="11"/>
  <c r="AP526" i="11"/>
  <c r="AD526" i="11"/>
  <c r="I526" i="11"/>
  <c r="V526" i="11"/>
  <c r="AM526" i="11"/>
  <c r="Q526" i="11"/>
  <c r="L526" i="11"/>
  <c r="AN526" i="11"/>
  <c r="I494" i="11"/>
  <c r="AJ494" i="11"/>
  <c r="AE494" i="11"/>
  <c r="P494" i="11"/>
  <c r="AO494" i="11"/>
  <c r="N494" i="11"/>
  <c r="W494" i="11"/>
  <c r="T494" i="11"/>
  <c r="U494" i="11"/>
  <c r="AC494" i="11"/>
  <c r="Q494" i="11"/>
  <c r="AL494" i="11"/>
  <c r="AD494" i="11"/>
  <c r="L494" i="11"/>
  <c r="V494" i="11"/>
  <c r="AB494" i="11"/>
  <c r="J494" i="11"/>
  <c r="M494" i="11"/>
  <c r="K494" i="11"/>
  <c r="X494" i="11"/>
  <c r="Z494" i="11"/>
  <c r="AH494" i="11"/>
  <c r="AF494" i="11"/>
  <c r="AA494" i="11"/>
  <c r="R494" i="11"/>
  <c r="AN494" i="11"/>
  <c r="AM494" i="11"/>
  <c r="O494" i="11"/>
  <c r="Y494" i="11"/>
  <c r="S494" i="11"/>
  <c r="AI494" i="11"/>
  <c r="AG494" i="11"/>
  <c r="AP494" i="11"/>
  <c r="AK494" i="11"/>
  <c r="X462" i="11"/>
  <c r="U462" i="11"/>
  <c r="AC462" i="11"/>
  <c r="AF462" i="11"/>
  <c r="AH462" i="11"/>
  <c r="L462" i="11"/>
  <c r="O462" i="11"/>
  <c r="K462" i="11"/>
  <c r="V462" i="11"/>
  <c r="R462" i="11"/>
  <c r="W462" i="11"/>
  <c r="S462" i="11"/>
  <c r="AJ462" i="11"/>
  <c r="AL462" i="11"/>
  <c r="AM462" i="11"/>
  <c r="AI462" i="11"/>
  <c r="AB462" i="11"/>
  <c r="T462" i="11"/>
  <c r="P462" i="11"/>
  <c r="I462" i="11"/>
  <c r="AO462" i="11"/>
  <c r="AG462" i="11"/>
  <c r="Q462" i="11"/>
  <c r="M462" i="11"/>
  <c r="AE462" i="11"/>
  <c r="Z462" i="11"/>
  <c r="AN462" i="11"/>
  <c r="AK462" i="11"/>
  <c r="AA462" i="11"/>
  <c r="AP462" i="11"/>
  <c r="J462" i="11"/>
  <c r="Y462" i="11"/>
  <c r="N462" i="11"/>
  <c r="AD462" i="11"/>
  <c r="AO684" i="11" l="1"/>
  <c r="AH684" i="11"/>
  <c r="AE684" i="11"/>
  <c r="AA684" i="11"/>
  <c r="AP455" i="11"/>
  <c r="AB455" i="11"/>
  <c r="AA455" i="11"/>
  <c r="AN684" i="11"/>
  <c r="M684" i="11"/>
  <c r="AI684" i="11"/>
  <c r="AC684" i="11"/>
  <c r="AJ455" i="11"/>
  <c r="AF455" i="11"/>
  <c r="AC455" i="11"/>
  <c r="Y455" i="11"/>
  <c r="R684" i="11"/>
  <c r="O684" i="11"/>
  <c r="Y684" i="11"/>
  <c r="AD684" i="11"/>
  <c r="AL455" i="11"/>
  <c r="K455" i="11"/>
  <c r="AE455" i="11"/>
  <c r="R455" i="11"/>
  <c r="L684" i="11"/>
  <c r="AB684" i="11"/>
  <c r="AP684" i="11"/>
  <c r="AM684" i="11"/>
  <c r="AF684" i="11"/>
  <c r="AI455" i="11"/>
  <c r="AN455" i="11"/>
  <c r="M455" i="11"/>
  <c r="AG455" i="11"/>
  <c r="N455" i="11"/>
  <c r="AG684" i="11"/>
  <c r="N684" i="11"/>
  <c r="AK684" i="11"/>
  <c r="S684" i="11"/>
  <c r="I684" i="11"/>
  <c r="P455" i="11"/>
  <c r="J455" i="11"/>
  <c r="O455" i="11"/>
  <c r="U455" i="11"/>
  <c r="V455" i="11"/>
  <c r="P684" i="11"/>
  <c r="Z684" i="11"/>
  <c r="W684" i="11"/>
  <c r="U684" i="11"/>
  <c r="T455" i="11"/>
  <c r="L455" i="11"/>
  <c r="Q455" i="11"/>
  <c r="AK455" i="11"/>
  <c r="I455" i="11"/>
  <c r="J684" i="11"/>
  <c r="AJ684" i="11"/>
  <c r="K684" i="11"/>
  <c r="V684" i="11"/>
  <c r="AH455" i="11"/>
  <c r="Z455" i="11"/>
  <c r="S455" i="11"/>
  <c r="AM455" i="11"/>
  <c r="T684" i="11"/>
  <c r="AL684" i="11"/>
  <c r="Q684" i="11"/>
  <c r="X684" i="11"/>
  <c r="AD455" i="11"/>
  <c r="X455" i="11"/>
  <c r="W455" i="11"/>
  <c r="AO455" i="11"/>
  <c r="F2" i="10" l="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C99" i="3"/>
  <c r="B99" i="3"/>
  <c r="C98" i="3"/>
  <c r="B98" i="3"/>
  <c r="H98" i="3" s="1"/>
  <c r="C97" i="3"/>
  <c r="B97" i="3"/>
  <c r="G97" i="3" s="1"/>
  <c r="C96" i="3"/>
  <c r="B96" i="3"/>
  <c r="G96" i="3" s="1"/>
  <c r="C95" i="3"/>
  <c r="B95" i="3"/>
  <c r="C94" i="3"/>
  <c r="B94" i="3"/>
  <c r="H94" i="3" s="1"/>
  <c r="C93" i="3"/>
  <c r="B93" i="3"/>
  <c r="G93" i="3" s="1"/>
  <c r="C92" i="3"/>
  <c r="B92" i="3"/>
  <c r="G92" i="3" s="1"/>
  <c r="C91" i="3"/>
  <c r="B91" i="3"/>
  <c r="C90" i="3"/>
  <c r="B90" i="3"/>
  <c r="H90" i="3" s="1"/>
  <c r="B3" i="3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2" i="3"/>
  <c r="D99" i="3" l="1"/>
  <c r="I99" i="3" s="1"/>
  <c r="D91" i="3"/>
  <c r="I91" i="3" s="1"/>
  <c r="D95" i="3"/>
  <c r="I95" i="3" s="1"/>
  <c r="H96" i="3"/>
  <c r="H97" i="3"/>
  <c r="H95" i="3"/>
  <c r="H93" i="3"/>
  <c r="H92" i="3"/>
  <c r="H99" i="3"/>
  <c r="H91" i="3"/>
  <c r="D90" i="3"/>
  <c r="D94" i="3"/>
  <c r="D98" i="3"/>
  <c r="G98" i="3"/>
  <c r="G95" i="3"/>
  <c r="G94" i="3"/>
  <c r="G99" i="3"/>
  <c r="G91" i="3"/>
  <c r="G90" i="3"/>
  <c r="D92" i="3"/>
  <c r="D96" i="3"/>
  <c r="D93" i="3"/>
  <c r="D97" i="3"/>
  <c r="C100" i="3"/>
  <c r="B100" i="3"/>
  <c r="J99" i="3" l="1"/>
  <c r="J91" i="3"/>
  <c r="J95" i="3"/>
  <c r="H100" i="3"/>
  <c r="I94" i="3"/>
  <c r="J94" i="3"/>
  <c r="I92" i="3"/>
  <c r="J92" i="3"/>
  <c r="I97" i="3"/>
  <c r="J97" i="3"/>
  <c r="I93" i="3"/>
  <c r="J93" i="3"/>
  <c r="I96" i="3"/>
  <c r="J96" i="3"/>
  <c r="I98" i="3"/>
  <c r="J98" i="3"/>
  <c r="I90" i="3"/>
  <c r="J90" i="3"/>
  <c r="G100" i="3"/>
  <c r="D100" i="3"/>
  <c r="I100" i="3" l="1"/>
  <c r="J100" i="3"/>
  <c r="AW5" i="9" l="1"/>
  <c r="AW6" i="9"/>
  <c r="BE6" i="9" s="1"/>
  <c r="AW31" i="9"/>
  <c r="BE31" i="9" s="1"/>
  <c r="AW41" i="9"/>
  <c r="BE41" i="9" s="1"/>
  <c r="AW119" i="9"/>
  <c r="AW147" i="9"/>
  <c r="AW148" i="9"/>
  <c r="AW149" i="9"/>
  <c r="AW150" i="9"/>
  <c r="AW179" i="9"/>
  <c r="BE179" i="9" s="1"/>
  <c r="AW207" i="9"/>
  <c r="BE207" i="9" s="1"/>
  <c r="AW218" i="9"/>
  <c r="BE218" i="9" s="1"/>
  <c r="AW221" i="9"/>
  <c r="AW222" i="9"/>
  <c r="AW223" i="9"/>
  <c r="AW238" i="9"/>
  <c r="BE238" i="9" s="1"/>
  <c r="AW270" i="9"/>
  <c r="BE270" i="9" s="1"/>
  <c r="AW273" i="9"/>
  <c r="BE273" i="9" s="1"/>
  <c r="AW284" i="9"/>
  <c r="BE284" i="9" s="1"/>
  <c r="AW293" i="9"/>
  <c r="AW294" i="9"/>
  <c r="AW391" i="9"/>
  <c r="AW392" i="9"/>
  <c r="AW393" i="9"/>
  <c r="AW394" i="9"/>
  <c r="AW395" i="9"/>
  <c r="AW404" i="9"/>
  <c r="AW405" i="9"/>
  <c r="AW406" i="9"/>
  <c r="AW407" i="9"/>
  <c r="AW408" i="9"/>
  <c r="AW409" i="9"/>
  <c r="AW414" i="9"/>
  <c r="AW415" i="9"/>
  <c r="AW416" i="9"/>
  <c r="AW417" i="9"/>
  <c r="AW446" i="9"/>
  <c r="BE446" i="9" s="1"/>
  <c r="AW2" i="9"/>
  <c r="BE2" i="9" s="1"/>
  <c r="AV3" i="9"/>
  <c r="AV4" i="9"/>
  <c r="AV6" i="9"/>
  <c r="AV7" i="9"/>
  <c r="AV8" i="9"/>
  <c r="AV9" i="9"/>
  <c r="AV10" i="9"/>
  <c r="AV11" i="9"/>
  <c r="AV12" i="9"/>
  <c r="AV18" i="9"/>
  <c r="AV19" i="9"/>
  <c r="AV20" i="9"/>
  <c r="AV22" i="9"/>
  <c r="AV23" i="9"/>
  <c r="AV24" i="9"/>
  <c r="AV25" i="9"/>
  <c r="AV26" i="9"/>
  <c r="AV27" i="9"/>
  <c r="AV28" i="9"/>
  <c r="AV29" i="9"/>
  <c r="AV30" i="9"/>
  <c r="AV32" i="9"/>
  <c r="AV33" i="9"/>
  <c r="AV34" i="9"/>
  <c r="AV35" i="9"/>
  <c r="AV36" i="9"/>
  <c r="AV37" i="9"/>
  <c r="AV38" i="9"/>
  <c r="AV42" i="9"/>
  <c r="AV43" i="9"/>
  <c r="AV44" i="9"/>
  <c r="AV45" i="9"/>
  <c r="AV46" i="9"/>
  <c r="AV47" i="9"/>
  <c r="AV48" i="9"/>
  <c r="AV56" i="9"/>
  <c r="AV57" i="9"/>
  <c r="AV61" i="9"/>
  <c r="AV62" i="9"/>
  <c r="AV68" i="9"/>
  <c r="AV78" i="9"/>
  <c r="AV79" i="9"/>
  <c r="AV80" i="9"/>
  <c r="AV81" i="9"/>
  <c r="AV82" i="9"/>
  <c r="AV83" i="9"/>
  <c r="AV84" i="9"/>
  <c r="AV85" i="9"/>
  <c r="AV94" i="9"/>
  <c r="AV95" i="9"/>
  <c r="AV96" i="9"/>
  <c r="AV97" i="9"/>
  <c r="AV98" i="9"/>
  <c r="AV99" i="9"/>
  <c r="AV100" i="9"/>
  <c r="AV118" i="9"/>
  <c r="AV127" i="9"/>
  <c r="AV128" i="9"/>
  <c r="AV129" i="9"/>
  <c r="AV130" i="9"/>
  <c r="AV138" i="9"/>
  <c r="AV139" i="9"/>
  <c r="AV143" i="9"/>
  <c r="AV144" i="9"/>
  <c r="AV158" i="9"/>
  <c r="AV159" i="9"/>
  <c r="AV160" i="9"/>
  <c r="AV161" i="9"/>
  <c r="AV165" i="9"/>
  <c r="AV166" i="9"/>
  <c r="AV167" i="9"/>
  <c r="AV168" i="9"/>
  <c r="AV169" i="9"/>
  <c r="AV170" i="9"/>
  <c r="AV176" i="9"/>
  <c r="AV180" i="9"/>
  <c r="AV181" i="9"/>
  <c r="AV182" i="9"/>
  <c r="AV183" i="9"/>
  <c r="AV184" i="9"/>
  <c r="AV208" i="9"/>
  <c r="AV209" i="9"/>
  <c r="AV210" i="9"/>
  <c r="AV211" i="9"/>
  <c r="AV212" i="9"/>
  <c r="AV213" i="9"/>
  <c r="AV214" i="9"/>
  <c r="AV215" i="9"/>
  <c r="AV216" i="9"/>
  <c r="AV217" i="9"/>
  <c r="AV219" i="9"/>
  <c r="AV220" i="9"/>
  <c r="AV224" i="9"/>
  <c r="AV228" i="9"/>
  <c r="AV229" i="9"/>
  <c r="AV230" i="9"/>
  <c r="AV231" i="9"/>
  <c r="AV232" i="9"/>
  <c r="AV233" i="9"/>
  <c r="AV236" i="9"/>
  <c r="AV237" i="9"/>
  <c r="AV239" i="9"/>
  <c r="AV242" i="9"/>
  <c r="AV243" i="9"/>
  <c r="AV248" i="9"/>
  <c r="AV249" i="9"/>
  <c r="AV250" i="9"/>
  <c r="AV264" i="9"/>
  <c r="AV265" i="9"/>
  <c r="AV266" i="9"/>
  <c r="AV267" i="9"/>
  <c r="AV268" i="9"/>
  <c r="AV269" i="9"/>
  <c r="AV271" i="9"/>
  <c r="AV272" i="9"/>
  <c r="AV274" i="9"/>
  <c r="AV275" i="9"/>
  <c r="AV276" i="9"/>
  <c r="AV277" i="9"/>
  <c r="AV278" i="9"/>
  <c r="AV279" i="9"/>
  <c r="AV281" i="9"/>
  <c r="AV285" i="9"/>
  <c r="AV286" i="9"/>
  <c r="AV287" i="9"/>
  <c r="AV291" i="9"/>
  <c r="AV292" i="9"/>
  <c r="AV296" i="9"/>
  <c r="AV310" i="9"/>
  <c r="AV311" i="9"/>
  <c r="AV312" i="9"/>
  <c r="AV313" i="9"/>
  <c r="AV314" i="9"/>
  <c r="AV315" i="9"/>
  <c r="AV316" i="9"/>
  <c r="AV317" i="9"/>
  <c r="AV318" i="9"/>
  <c r="AV319" i="9"/>
  <c r="AV320" i="9"/>
  <c r="AV321" i="9"/>
  <c r="AV322" i="9"/>
  <c r="AV323" i="9"/>
  <c r="AV334" i="9"/>
  <c r="AV335" i="9"/>
  <c r="AV338" i="9"/>
  <c r="AV339" i="9"/>
  <c r="AV340" i="9"/>
  <c r="AV341" i="9"/>
  <c r="AV342" i="9"/>
  <c r="AV343" i="9"/>
  <c r="AV344" i="9"/>
  <c r="AV345" i="9"/>
  <c r="AV346" i="9"/>
  <c r="AV347" i="9"/>
  <c r="AV348" i="9"/>
  <c r="AV349" i="9"/>
  <c r="AV350" i="9"/>
  <c r="AV351" i="9"/>
  <c r="AV352" i="9"/>
  <c r="AV360" i="9"/>
  <c r="AV361" i="9"/>
  <c r="AV367" i="9"/>
  <c r="AV378" i="9"/>
  <c r="AV379" i="9"/>
  <c r="AV380" i="9"/>
  <c r="AV381" i="9"/>
  <c r="AV385" i="9"/>
  <c r="AV386" i="9"/>
  <c r="AV387" i="9"/>
  <c r="AV388" i="9"/>
  <c r="AV389" i="9"/>
  <c r="AV390" i="9"/>
  <c r="AV396" i="9"/>
  <c r="AV397" i="9"/>
  <c r="AV398" i="9"/>
  <c r="AV399" i="9"/>
  <c r="AV400" i="9"/>
  <c r="AV401" i="9"/>
  <c r="AV402" i="9"/>
  <c r="AV403" i="9"/>
  <c r="AV411" i="9"/>
  <c r="AV412" i="9"/>
  <c r="AV413" i="9"/>
  <c r="AV424" i="9"/>
  <c r="AV425" i="9"/>
  <c r="AV444" i="9"/>
  <c r="AV445" i="9"/>
  <c r="AV447" i="9"/>
  <c r="AV448" i="9"/>
  <c r="AV449" i="9"/>
  <c r="AV450" i="9"/>
  <c r="AV451" i="9"/>
  <c r="AV452" i="9"/>
  <c r="AV465" i="9"/>
  <c r="AV466" i="9"/>
  <c r="AV467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93" i="9"/>
  <c r="AV494" i="9"/>
  <c r="AV495" i="9"/>
  <c r="AV508" i="9"/>
  <c r="AV509" i="9"/>
  <c r="AV526" i="9"/>
  <c r="AV527" i="9"/>
  <c r="AV535" i="9"/>
  <c r="AV536" i="9"/>
  <c r="AV537" i="9"/>
  <c r="AV538" i="9"/>
  <c r="AV539" i="9"/>
  <c r="AV540" i="9"/>
  <c r="AV541" i="9"/>
  <c r="AV542" i="9"/>
  <c r="AV2" i="9"/>
  <c r="AV31" i="9"/>
  <c r="AV41" i="9"/>
  <c r="AV179" i="9"/>
  <c r="AV207" i="9"/>
  <c r="AV218" i="9"/>
  <c r="AV238" i="9"/>
  <c r="AV270" i="9"/>
  <c r="AV273" i="9"/>
  <c r="AV284" i="9"/>
  <c r="AV446" i="9"/>
  <c r="AU5" i="9"/>
  <c r="BC5" i="9" s="1"/>
  <c r="BF270" i="9" l="1"/>
  <c r="AY2" i="9"/>
  <c r="BF238" i="9"/>
  <c r="BF2" i="9"/>
  <c r="BF446" i="9"/>
  <c r="BF218" i="9"/>
  <c r="BF41" i="9"/>
  <c r="BF207" i="9"/>
  <c r="BF31" i="9"/>
  <c r="BF273" i="9"/>
  <c r="BF179" i="9"/>
  <c r="BF6" i="9"/>
  <c r="BF284" i="9"/>
  <c r="BD5" i="9"/>
  <c r="AV5" i="9"/>
  <c r="AY5" i="9" s="1"/>
  <c r="AZ5" i="9" s="1"/>
  <c r="AY218" i="9"/>
  <c r="AZ218" i="9" s="1"/>
  <c r="AY41" i="9"/>
  <c r="AZ41" i="9" s="1"/>
  <c r="AY179" i="9"/>
  <c r="AZ179" i="9" s="1"/>
  <c r="AY284" i="9"/>
  <c r="AZ284" i="9" s="1"/>
  <c r="AY273" i="9"/>
  <c r="AZ273" i="9" s="1"/>
  <c r="AY6" i="9"/>
  <c r="AZ6" i="9" s="1"/>
  <c r="AY270" i="9"/>
  <c r="AZ270" i="9" s="1"/>
  <c r="AY207" i="9"/>
  <c r="AZ207" i="9" s="1"/>
  <c r="AY31" i="9"/>
  <c r="AZ31" i="9" s="1"/>
  <c r="AY446" i="9"/>
  <c r="AZ446" i="9" s="1"/>
  <c r="AY238" i="9"/>
  <c r="AZ238" i="9" s="1"/>
  <c r="B66" i="3"/>
  <c r="BE5" i="9" l="1"/>
  <c r="AZ2" i="9"/>
  <c r="BI543" i="5"/>
  <c r="BH543" i="5"/>
  <c r="BI542" i="5"/>
  <c r="BH542" i="5"/>
  <c r="BI541" i="5"/>
  <c r="BH541" i="5"/>
  <c r="BI540" i="5"/>
  <c r="BH540" i="5"/>
  <c r="BI539" i="5"/>
  <c r="BH539" i="5"/>
  <c r="BI538" i="5"/>
  <c r="BH538" i="5"/>
  <c r="BI537" i="5"/>
  <c r="BH537" i="5"/>
  <c r="BI536" i="5"/>
  <c r="BH536" i="5"/>
  <c r="BI535" i="5"/>
  <c r="BH535" i="5"/>
  <c r="BI534" i="5"/>
  <c r="BH534" i="5"/>
  <c r="BI533" i="5"/>
  <c r="BH533" i="5"/>
  <c r="BI532" i="5"/>
  <c r="BH532" i="5"/>
  <c r="BI531" i="5"/>
  <c r="BH531" i="5"/>
  <c r="BI530" i="5"/>
  <c r="BH530" i="5"/>
  <c r="BI529" i="5"/>
  <c r="BH529" i="5"/>
  <c r="BI528" i="5"/>
  <c r="BH528" i="5"/>
  <c r="BI525" i="5"/>
  <c r="BH525" i="5"/>
  <c r="BI524" i="5"/>
  <c r="BH524" i="5"/>
  <c r="BI523" i="5"/>
  <c r="BH523" i="5"/>
  <c r="BI522" i="5"/>
  <c r="BH522" i="5"/>
  <c r="BI521" i="5"/>
  <c r="BH521" i="5"/>
  <c r="BI520" i="5"/>
  <c r="BH520" i="5"/>
  <c r="BI519" i="5"/>
  <c r="BH519" i="5"/>
  <c r="BI518" i="5"/>
  <c r="BH518" i="5"/>
  <c r="BI504" i="5"/>
  <c r="BH504" i="5"/>
  <c r="BI503" i="5"/>
  <c r="BH503" i="5"/>
  <c r="BI502" i="5"/>
  <c r="BH502" i="5"/>
  <c r="BI501" i="5"/>
  <c r="BH501" i="5"/>
  <c r="BI500" i="5"/>
  <c r="BH500" i="5"/>
  <c r="BI499" i="5"/>
  <c r="BH499" i="5"/>
  <c r="BI498" i="5"/>
  <c r="BH498" i="5"/>
  <c r="BI497" i="5"/>
  <c r="BH497" i="5"/>
  <c r="BI496" i="5"/>
  <c r="BH496" i="5"/>
  <c r="BI495" i="5"/>
  <c r="BH495" i="5"/>
  <c r="BI494" i="5"/>
  <c r="BH494" i="5"/>
  <c r="BI493" i="5"/>
  <c r="BH493" i="5"/>
  <c r="BI491" i="5"/>
  <c r="BH491" i="5"/>
  <c r="BI490" i="5"/>
  <c r="BH490" i="5"/>
  <c r="BI489" i="5"/>
  <c r="BH489" i="5"/>
  <c r="BI488" i="5"/>
  <c r="BH488" i="5"/>
  <c r="BI487" i="5"/>
  <c r="BH487" i="5"/>
  <c r="BI486" i="5"/>
  <c r="BH486" i="5"/>
  <c r="BI485" i="5"/>
  <c r="BH485" i="5"/>
  <c r="BI484" i="5"/>
  <c r="BH484" i="5"/>
  <c r="BI483" i="5"/>
  <c r="BH483" i="5"/>
  <c r="BI482" i="5"/>
  <c r="BH482" i="5"/>
  <c r="BI481" i="5"/>
  <c r="BH481" i="5"/>
  <c r="BI480" i="5"/>
  <c r="BH480" i="5"/>
  <c r="BI479" i="5"/>
  <c r="BH479" i="5"/>
  <c r="BI476" i="5"/>
  <c r="BH476" i="5"/>
  <c r="BI475" i="5"/>
  <c r="BH475" i="5"/>
  <c r="BI474" i="5"/>
  <c r="BH474" i="5"/>
  <c r="BI469" i="5"/>
  <c r="BH469" i="5"/>
  <c r="BI468" i="5"/>
  <c r="BH468" i="5"/>
  <c r="BI467" i="5"/>
  <c r="BH467" i="5"/>
  <c r="BI466" i="5"/>
  <c r="BH466" i="5"/>
  <c r="BI465" i="5"/>
  <c r="BH465" i="5"/>
  <c r="BI464" i="5"/>
  <c r="BH464" i="5"/>
  <c r="BI463" i="5"/>
  <c r="BH463" i="5"/>
  <c r="BI462" i="5"/>
  <c r="BH462" i="5"/>
  <c r="BI461" i="5"/>
  <c r="BH461" i="5"/>
  <c r="BI460" i="5"/>
  <c r="BH460" i="5"/>
  <c r="BI459" i="5"/>
  <c r="BH459" i="5"/>
  <c r="BI458" i="5"/>
  <c r="BH458" i="5"/>
  <c r="BI457" i="5"/>
  <c r="BH457" i="5"/>
  <c r="BI456" i="5"/>
  <c r="BH456" i="5"/>
  <c r="BI455" i="5"/>
  <c r="BH455" i="5"/>
  <c r="BI454" i="5"/>
  <c r="BH454" i="5"/>
  <c r="BI453" i="5"/>
  <c r="BH453" i="5"/>
  <c r="BI450" i="5"/>
  <c r="BH450" i="5"/>
  <c r="BI449" i="5"/>
  <c r="BH449" i="5"/>
  <c r="BI448" i="5"/>
  <c r="BH448" i="5"/>
  <c r="BI446" i="5"/>
  <c r="BH446" i="5"/>
  <c r="BI445" i="5"/>
  <c r="BH445" i="5"/>
  <c r="BI444" i="5"/>
  <c r="BH444" i="5"/>
  <c r="BI443" i="5"/>
  <c r="BH443" i="5"/>
  <c r="BI442" i="5"/>
  <c r="BH442" i="5"/>
  <c r="BI441" i="5"/>
  <c r="BH441" i="5"/>
  <c r="BI440" i="5"/>
  <c r="BH440" i="5"/>
  <c r="BI439" i="5"/>
  <c r="BH439" i="5"/>
  <c r="BI438" i="5"/>
  <c r="BH438" i="5"/>
  <c r="BI437" i="5"/>
  <c r="BH437" i="5"/>
  <c r="BI436" i="5"/>
  <c r="BH436" i="5"/>
  <c r="BI432" i="5"/>
  <c r="BH432" i="5"/>
  <c r="BI431" i="5"/>
  <c r="BH431" i="5"/>
  <c r="BI430" i="5"/>
  <c r="BH430" i="5"/>
  <c r="BI424" i="5"/>
  <c r="BH424" i="5"/>
  <c r="BI423" i="5"/>
  <c r="BH423" i="5"/>
  <c r="BI422" i="5"/>
  <c r="BH422" i="5"/>
  <c r="BI421" i="5"/>
  <c r="BH421" i="5"/>
  <c r="BI420" i="5"/>
  <c r="BH420" i="5"/>
  <c r="BI418" i="5"/>
  <c r="BH418" i="5"/>
  <c r="BI417" i="5"/>
  <c r="BH417" i="5"/>
  <c r="BI416" i="5"/>
  <c r="BH416" i="5"/>
  <c r="BI413" i="5"/>
  <c r="BH413" i="5"/>
  <c r="BI412" i="5"/>
  <c r="BH412" i="5"/>
  <c r="BI411" i="5"/>
  <c r="BH411" i="5"/>
  <c r="BI410" i="5"/>
  <c r="BH410" i="5"/>
  <c r="BI409" i="5"/>
  <c r="BH409" i="5"/>
  <c r="BI408" i="5"/>
  <c r="BH408" i="5"/>
  <c r="BI407" i="5"/>
  <c r="BH407" i="5"/>
  <c r="BI406" i="5"/>
  <c r="BH406" i="5"/>
  <c r="BI405" i="5"/>
  <c r="BH405" i="5"/>
  <c r="BI404" i="5"/>
  <c r="BH404" i="5"/>
  <c r="BI399" i="5"/>
  <c r="BH399" i="5"/>
  <c r="BI398" i="5"/>
  <c r="BH398" i="5"/>
  <c r="BI397" i="5"/>
  <c r="BH397" i="5"/>
  <c r="BI396" i="5"/>
  <c r="BH396" i="5"/>
  <c r="BI395" i="5"/>
  <c r="BH395" i="5"/>
  <c r="BI394" i="5"/>
  <c r="BH394" i="5"/>
  <c r="BI380" i="5"/>
  <c r="BH380" i="5"/>
  <c r="BI379" i="5"/>
  <c r="BH379" i="5"/>
  <c r="BI378" i="5"/>
  <c r="BH378" i="5"/>
  <c r="BI364" i="5"/>
  <c r="BH364" i="5"/>
  <c r="BI363" i="5"/>
  <c r="BH363" i="5"/>
  <c r="BI362" i="5"/>
  <c r="BH362" i="5"/>
  <c r="BI361" i="5"/>
  <c r="BH361" i="5"/>
  <c r="BI360" i="5"/>
  <c r="BH360" i="5"/>
  <c r="BI359" i="5"/>
  <c r="BH359" i="5"/>
  <c r="BI358" i="5"/>
  <c r="BH358" i="5"/>
  <c r="BI357" i="5"/>
  <c r="BH357" i="5"/>
  <c r="BI356" i="5"/>
  <c r="BH356" i="5"/>
  <c r="BI355" i="5"/>
  <c r="BH355" i="5"/>
  <c r="BI354" i="5"/>
  <c r="BH354" i="5"/>
  <c r="BI353" i="5"/>
  <c r="BH353" i="5"/>
  <c r="BI352" i="5"/>
  <c r="BH352" i="5"/>
  <c r="BI351" i="5"/>
  <c r="BH351" i="5"/>
  <c r="BI350" i="5"/>
  <c r="BH350" i="5"/>
  <c r="BI345" i="5"/>
  <c r="BH345" i="5"/>
  <c r="BI344" i="5"/>
  <c r="BH344" i="5"/>
  <c r="BI343" i="5"/>
  <c r="BH343" i="5"/>
  <c r="BI342" i="5"/>
  <c r="BH342" i="5"/>
  <c r="BI337" i="5"/>
  <c r="BH337" i="5"/>
  <c r="BI336" i="5"/>
  <c r="BH336" i="5"/>
  <c r="BI335" i="5"/>
  <c r="BH335" i="5"/>
  <c r="BI334" i="5"/>
  <c r="BH334" i="5"/>
  <c r="BI332" i="5"/>
  <c r="BH332" i="5"/>
  <c r="BI331" i="5"/>
  <c r="BH331" i="5"/>
  <c r="BI330" i="5"/>
  <c r="BH330" i="5"/>
  <c r="BI329" i="5"/>
  <c r="BH329" i="5"/>
  <c r="BI328" i="5"/>
  <c r="BH328" i="5"/>
  <c r="BI327" i="5"/>
  <c r="BH327" i="5"/>
  <c r="BI326" i="5"/>
  <c r="BH326" i="5"/>
  <c r="BI325" i="5"/>
  <c r="BH325" i="5"/>
  <c r="BI324" i="5"/>
  <c r="BH324" i="5"/>
  <c r="BI323" i="5"/>
  <c r="BH323" i="5"/>
  <c r="BI321" i="5"/>
  <c r="BH321" i="5"/>
  <c r="BI320" i="5"/>
  <c r="BH320" i="5"/>
  <c r="BI311" i="5"/>
  <c r="BH311" i="5"/>
  <c r="BI310" i="5"/>
  <c r="BH310" i="5"/>
  <c r="BI309" i="5"/>
  <c r="BH309" i="5"/>
  <c r="BI308" i="5"/>
  <c r="BH308" i="5"/>
  <c r="BI307" i="5"/>
  <c r="BH307" i="5"/>
  <c r="BI306" i="5"/>
  <c r="BH306" i="5"/>
  <c r="BI305" i="5"/>
  <c r="BH305" i="5"/>
  <c r="BI304" i="5"/>
  <c r="BH304" i="5"/>
  <c r="BI303" i="5"/>
  <c r="BH303" i="5"/>
  <c r="BI302" i="5"/>
  <c r="BH302" i="5"/>
  <c r="BI300" i="5"/>
  <c r="BH300" i="5"/>
  <c r="BI299" i="5"/>
  <c r="BH299" i="5"/>
  <c r="BI298" i="5"/>
  <c r="BH298" i="5"/>
  <c r="BI296" i="5"/>
  <c r="BH296" i="5"/>
  <c r="BI295" i="5"/>
  <c r="BH295" i="5"/>
  <c r="BI294" i="5"/>
  <c r="BH294" i="5"/>
  <c r="BI286" i="5"/>
  <c r="BH286" i="5"/>
  <c r="BI285" i="5"/>
  <c r="BH285" i="5"/>
  <c r="BI284" i="5"/>
  <c r="BH284" i="5"/>
  <c r="BI283" i="5"/>
  <c r="BH283" i="5"/>
  <c r="BI282" i="5"/>
  <c r="BH282" i="5"/>
  <c r="BI281" i="5"/>
  <c r="BH281" i="5"/>
  <c r="BI280" i="5"/>
  <c r="BH280" i="5"/>
  <c r="BI279" i="5"/>
  <c r="BH279" i="5"/>
  <c r="BI278" i="5"/>
  <c r="BH278" i="5"/>
  <c r="BF5" i="9" l="1"/>
  <c r="BH545" i="5"/>
  <c r="BI545" i="5" l="1"/>
  <c r="BI546" i="5" s="1"/>
  <c r="B56" i="3" s="1"/>
  <c r="AQ3" i="9"/>
  <c r="AQ4" i="9"/>
  <c r="AQ5" i="9"/>
  <c r="AQ6" i="9"/>
  <c r="AQ7" i="9"/>
  <c r="AQ8" i="9"/>
  <c r="AQ9" i="9"/>
  <c r="AQ10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2" i="9"/>
  <c r="AP471" i="9"/>
  <c r="AQ471" i="9" s="1"/>
  <c r="AP470" i="9"/>
  <c r="AQ470" i="9" s="1"/>
  <c r="AP469" i="9"/>
  <c r="AQ469" i="9" s="1"/>
  <c r="AP468" i="9"/>
  <c r="AQ468" i="9" s="1"/>
  <c r="AP381" i="9"/>
  <c r="AQ381" i="9" s="1"/>
  <c r="AP380" i="9"/>
  <c r="AQ380" i="9" s="1"/>
  <c r="AP379" i="9"/>
  <c r="AQ379" i="9" s="1"/>
  <c r="AP378" i="9"/>
  <c r="AQ378" i="9" s="1"/>
  <c r="AP375" i="9"/>
  <c r="AQ375" i="9" s="1"/>
  <c r="AP376" i="9"/>
  <c r="AQ376" i="9" s="1"/>
  <c r="AP377" i="9"/>
  <c r="AQ377" i="9" s="1"/>
  <c r="AP374" i="9"/>
  <c r="AQ374" i="9" s="1"/>
  <c r="AP330" i="9"/>
  <c r="AQ330" i="9" s="1"/>
  <c r="AP329" i="9"/>
  <c r="AQ329" i="9" s="1"/>
  <c r="AP328" i="9"/>
  <c r="AQ328" i="9" s="1"/>
  <c r="AP327" i="9"/>
  <c r="AQ327" i="9" s="1"/>
  <c r="AP326" i="9"/>
  <c r="AQ326" i="9" s="1"/>
  <c r="AP306" i="9"/>
  <c r="AQ306" i="9" s="1"/>
  <c r="AP307" i="9"/>
  <c r="AQ307" i="9" s="1"/>
  <c r="AP308" i="9"/>
  <c r="AQ308" i="9" s="1"/>
  <c r="AP309" i="9"/>
  <c r="AQ309" i="9" s="1"/>
  <c r="AP305" i="9"/>
  <c r="AQ305" i="9" s="1"/>
  <c r="AP231" i="9"/>
  <c r="AQ231" i="9" s="1"/>
  <c r="AP232" i="9"/>
  <c r="AQ232" i="9" s="1"/>
  <c r="AP230" i="9"/>
  <c r="AQ230" i="9" s="1"/>
  <c r="AP163" i="9"/>
  <c r="AQ163" i="9" s="1"/>
  <c r="AP164" i="9"/>
  <c r="AQ164" i="9" s="1"/>
  <c r="AP162" i="9"/>
  <c r="AQ162" i="9" s="1"/>
  <c r="AP135" i="9"/>
  <c r="AQ135" i="9" s="1"/>
  <c r="AP134" i="9"/>
  <c r="AQ134" i="9" s="1"/>
  <c r="AP44" i="9"/>
  <c r="AQ44" i="9" s="1"/>
  <c r="AP43" i="9"/>
  <c r="AQ43" i="9" s="1"/>
  <c r="AP18" i="9"/>
  <c r="AQ18" i="9" s="1"/>
  <c r="AP19" i="9"/>
  <c r="AQ19" i="9" s="1"/>
  <c r="AP17" i="9"/>
  <c r="AQ17" i="9" s="1"/>
  <c r="AP16" i="9"/>
  <c r="AQ16" i="9" s="1"/>
  <c r="AP14" i="9"/>
  <c r="AQ14" i="9" s="1"/>
  <c r="AP15" i="9"/>
  <c r="AQ15" i="9" s="1"/>
  <c r="AP13" i="9"/>
  <c r="AQ13" i="9" s="1"/>
  <c r="AP12" i="9"/>
  <c r="AQ12" i="9" s="1"/>
  <c r="AP11" i="9"/>
  <c r="AQ11" i="9" l="1"/>
  <c r="AP543" i="9"/>
  <c r="BA446" i="9"/>
  <c r="BG446" i="9"/>
  <c r="BA284" i="9"/>
  <c r="BG284" i="9"/>
  <c r="BA2" i="9"/>
  <c r="BG2" i="9"/>
  <c r="BA218" i="9"/>
  <c r="BG218" i="9"/>
  <c r="BA41" i="9"/>
  <c r="BG41" i="9"/>
  <c r="BA207" i="9"/>
  <c r="BG207" i="9"/>
  <c r="BA273" i="9"/>
  <c r="BG273" i="9"/>
  <c r="BA31" i="9"/>
  <c r="BG31" i="9"/>
  <c r="BA6" i="9"/>
  <c r="BG6" i="9"/>
  <c r="BA5" i="9"/>
  <c r="BG5" i="9"/>
  <c r="BA270" i="9"/>
  <c r="BG270" i="9"/>
  <c r="BA238" i="9"/>
  <c r="BG238" i="9"/>
  <c r="BA179" i="9"/>
  <c r="BG179" i="9"/>
  <c r="AQ543" i="9"/>
  <c r="R275" i="5" l="1"/>
  <c r="R271" i="5"/>
  <c r="CM271" i="5" l="1"/>
  <c r="CK271" i="5"/>
  <c r="CI271" i="5"/>
  <c r="CG271" i="5"/>
  <c r="CC271" i="5"/>
  <c r="CM275" i="5"/>
  <c r="CK275" i="5"/>
  <c r="CI275" i="5"/>
  <c r="CG275" i="5"/>
  <c r="CC275" i="5"/>
  <c r="X3" i="5"/>
  <c r="AI415" i="9" l="1"/>
  <c r="AU415" i="9" s="1"/>
  <c r="BC415" i="9" s="1"/>
  <c r="AI416" i="9"/>
  <c r="AU416" i="9" s="1"/>
  <c r="BC416" i="9" s="1"/>
  <c r="AI417" i="9"/>
  <c r="AU417" i="9" s="1"/>
  <c r="BC417" i="9" s="1"/>
  <c r="AI414" i="9"/>
  <c r="AU414" i="9" s="1"/>
  <c r="BC414" i="9" s="1"/>
  <c r="AI405" i="9"/>
  <c r="AU405" i="9" s="1"/>
  <c r="BC405" i="9" s="1"/>
  <c r="AI406" i="9"/>
  <c r="AU406" i="9" s="1"/>
  <c r="BC406" i="9" s="1"/>
  <c r="AI407" i="9"/>
  <c r="AU407" i="9" s="1"/>
  <c r="BC407" i="9" s="1"/>
  <c r="AI408" i="9"/>
  <c r="AU408" i="9" s="1"/>
  <c r="BC408" i="9" s="1"/>
  <c r="AI409" i="9"/>
  <c r="AU409" i="9" s="1"/>
  <c r="BC409" i="9" s="1"/>
  <c r="AI404" i="9"/>
  <c r="AU404" i="9" s="1"/>
  <c r="BC404" i="9" s="1"/>
  <c r="AI392" i="9"/>
  <c r="AU392" i="9" s="1"/>
  <c r="BC392" i="9" s="1"/>
  <c r="AI393" i="9"/>
  <c r="AU393" i="9" s="1"/>
  <c r="BC393" i="9" s="1"/>
  <c r="AI394" i="9"/>
  <c r="AU394" i="9" s="1"/>
  <c r="BC394" i="9" s="1"/>
  <c r="AI395" i="9"/>
  <c r="AU395" i="9" s="1"/>
  <c r="BC395" i="9" s="1"/>
  <c r="AI391" i="9"/>
  <c r="AU391" i="9" s="1"/>
  <c r="BC391" i="9" s="1"/>
  <c r="AI294" i="9"/>
  <c r="AU294" i="9" s="1"/>
  <c r="BC294" i="9" s="1"/>
  <c r="AI293" i="9"/>
  <c r="AU293" i="9" s="1"/>
  <c r="BC293" i="9" s="1"/>
  <c r="AI222" i="9"/>
  <c r="AU222" i="9" s="1"/>
  <c r="BC222" i="9" s="1"/>
  <c r="AI223" i="9"/>
  <c r="AU223" i="9" s="1"/>
  <c r="BC223" i="9" s="1"/>
  <c r="AI221" i="9"/>
  <c r="AU221" i="9" s="1"/>
  <c r="BC221" i="9" s="1"/>
  <c r="AI148" i="9"/>
  <c r="AU148" i="9" s="1"/>
  <c r="BC148" i="9" s="1"/>
  <c r="AI149" i="9"/>
  <c r="AU149" i="9" s="1"/>
  <c r="BC149" i="9" s="1"/>
  <c r="AI150" i="9"/>
  <c r="AU150" i="9" s="1"/>
  <c r="BC150" i="9" s="1"/>
  <c r="AI147" i="9"/>
  <c r="AU147" i="9" s="1"/>
  <c r="BC147" i="9" s="1"/>
  <c r="AI119" i="9"/>
  <c r="AU119" i="9" s="1"/>
  <c r="BC119" i="9" s="1"/>
  <c r="AJ5" i="9"/>
  <c r="AV395" i="9" l="1"/>
  <c r="AY395" i="9" s="1"/>
  <c r="AZ395" i="9" s="1"/>
  <c r="BD395" i="9"/>
  <c r="AV394" i="9"/>
  <c r="AY394" i="9" s="1"/>
  <c r="BA394" i="9" s="1"/>
  <c r="BD394" i="9"/>
  <c r="AV393" i="9"/>
  <c r="AY393" i="9" s="1"/>
  <c r="AZ393" i="9" s="1"/>
  <c r="BD393" i="9"/>
  <c r="AV392" i="9"/>
  <c r="AY392" i="9" s="1"/>
  <c r="AZ392" i="9" s="1"/>
  <c r="BD392" i="9"/>
  <c r="AV222" i="9"/>
  <c r="AY222" i="9" s="1"/>
  <c r="AZ222" i="9" s="1"/>
  <c r="BD222" i="9"/>
  <c r="AV416" i="9"/>
  <c r="AY416" i="9" s="1"/>
  <c r="BA416" i="9" s="1"/>
  <c r="BD416" i="9"/>
  <c r="AV415" i="9"/>
  <c r="AY415" i="9" s="1"/>
  <c r="BA415" i="9" s="1"/>
  <c r="BD415" i="9"/>
  <c r="AV147" i="9"/>
  <c r="AY147" i="9" s="1"/>
  <c r="AZ147" i="9" s="1"/>
  <c r="BD147" i="9"/>
  <c r="AV294" i="9"/>
  <c r="AY294" i="9" s="1"/>
  <c r="AZ294" i="9" s="1"/>
  <c r="BD294" i="9"/>
  <c r="AV408" i="9"/>
  <c r="AY408" i="9" s="1"/>
  <c r="BA408" i="9" s="1"/>
  <c r="BD408" i="9"/>
  <c r="AV148" i="9"/>
  <c r="AY148" i="9" s="1"/>
  <c r="BA148" i="9" s="1"/>
  <c r="BD148" i="9"/>
  <c r="AV221" i="9"/>
  <c r="AY221" i="9" s="1"/>
  <c r="AZ221" i="9" s="1"/>
  <c r="BD221" i="9"/>
  <c r="AV223" i="9"/>
  <c r="AY223" i="9" s="1"/>
  <c r="AZ223" i="9" s="1"/>
  <c r="BD223" i="9"/>
  <c r="AV417" i="9"/>
  <c r="AY417" i="9" s="1"/>
  <c r="AZ417" i="9" s="1"/>
  <c r="BD417" i="9"/>
  <c r="AV404" i="9"/>
  <c r="AY404" i="9" s="1"/>
  <c r="BA404" i="9" s="1"/>
  <c r="BD404" i="9"/>
  <c r="AV119" i="9"/>
  <c r="AY119" i="9" s="1"/>
  <c r="AZ119" i="9" s="1"/>
  <c r="BD119" i="9"/>
  <c r="AV293" i="9"/>
  <c r="AY293" i="9" s="1"/>
  <c r="BA293" i="9" s="1"/>
  <c r="BD293" i="9"/>
  <c r="AV409" i="9"/>
  <c r="AY409" i="9" s="1"/>
  <c r="BA409" i="9" s="1"/>
  <c r="BD409" i="9"/>
  <c r="AV150" i="9"/>
  <c r="AY150" i="9" s="1"/>
  <c r="BA150" i="9" s="1"/>
  <c r="BD150" i="9"/>
  <c r="AV391" i="9"/>
  <c r="AY391" i="9" s="1"/>
  <c r="BA391" i="9" s="1"/>
  <c r="BD391" i="9"/>
  <c r="AV407" i="9"/>
  <c r="AY407" i="9" s="1"/>
  <c r="AZ407" i="9" s="1"/>
  <c r="BD407" i="9"/>
  <c r="AV406" i="9"/>
  <c r="AY406" i="9" s="1"/>
  <c r="BA406" i="9" s="1"/>
  <c r="BD406" i="9"/>
  <c r="AV405" i="9"/>
  <c r="AY405" i="9" s="1"/>
  <c r="BA405" i="9" s="1"/>
  <c r="BD405" i="9"/>
  <c r="AV149" i="9"/>
  <c r="AY149" i="9" s="1"/>
  <c r="AZ149" i="9" s="1"/>
  <c r="BD149" i="9"/>
  <c r="AV414" i="9"/>
  <c r="AY414" i="9" s="1"/>
  <c r="BA414" i="9" s="1"/>
  <c r="BD414" i="9"/>
  <c r="AZ408" i="9"/>
  <c r="AH411" i="9"/>
  <c r="AW411" i="9" s="1"/>
  <c r="AH398" i="9"/>
  <c r="AW398" i="9" s="1"/>
  <c r="AH396" i="9"/>
  <c r="AW396" i="9" s="1"/>
  <c r="AH387" i="9"/>
  <c r="AW387" i="9" s="1"/>
  <c r="AH385" i="9"/>
  <c r="AW385" i="9" s="1"/>
  <c r="AH367" i="9"/>
  <c r="AW367" i="9" s="1"/>
  <c r="AH334" i="9"/>
  <c r="AW334" i="9" s="1"/>
  <c r="AJ417" i="9"/>
  <c r="AO417" i="9" s="1"/>
  <c r="AJ415" i="9"/>
  <c r="AO415" i="9" s="1"/>
  <c r="AJ414" i="9"/>
  <c r="AO414" i="9" s="1"/>
  <c r="AJ409" i="9"/>
  <c r="AO409" i="9" s="1"/>
  <c r="AJ407" i="9"/>
  <c r="AO407" i="9" s="1"/>
  <c r="AJ405" i="9"/>
  <c r="AO405" i="9" s="1"/>
  <c r="AJ394" i="9"/>
  <c r="AO394" i="9" s="1"/>
  <c r="AJ387" i="9"/>
  <c r="AJ367" i="9"/>
  <c r="AJ334" i="9"/>
  <c r="AJ294" i="9"/>
  <c r="AO294" i="9" s="1"/>
  <c r="AJ284" i="9"/>
  <c r="AJ273" i="9"/>
  <c r="AJ222" i="9"/>
  <c r="AO222" i="9" s="1"/>
  <c r="AJ221" i="9"/>
  <c r="AO221" i="9" s="1"/>
  <c r="AJ218" i="9"/>
  <c r="AJ149" i="9"/>
  <c r="AO149" i="9" s="1"/>
  <c r="AJ119" i="9"/>
  <c r="AO119" i="9" s="1"/>
  <c r="AJ41" i="9"/>
  <c r="AJ31" i="9"/>
  <c r="AJ6" i="9"/>
  <c r="AO5" i="9"/>
  <c r="AM3" i="9"/>
  <c r="AJ3" i="9"/>
  <c r="AJ4" i="9"/>
  <c r="AJ7" i="9"/>
  <c r="AJ8" i="9"/>
  <c r="AJ9" i="9"/>
  <c r="AJ10" i="9"/>
  <c r="AJ11" i="9"/>
  <c r="AJ12" i="9"/>
  <c r="AJ18" i="9"/>
  <c r="AJ19" i="9"/>
  <c r="AJ20" i="9"/>
  <c r="AJ22" i="9"/>
  <c r="AJ23" i="9"/>
  <c r="AJ24" i="9"/>
  <c r="AJ25" i="9"/>
  <c r="AJ26" i="9"/>
  <c r="AJ27" i="9"/>
  <c r="AJ28" i="9"/>
  <c r="AJ29" i="9"/>
  <c r="AJ30" i="9"/>
  <c r="AJ32" i="9"/>
  <c r="AJ33" i="9"/>
  <c r="AJ34" i="9"/>
  <c r="AJ35" i="9"/>
  <c r="AJ36" i="9"/>
  <c r="AJ37" i="9"/>
  <c r="AJ38" i="9"/>
  <c r="AJ42" i="9"/>
  <c r="AJ43" i="9"/>
  <c r="AJ44" i="9"/>
  <c r="AJ45" i="9"/>
  <c r="AJ46" i="9"/>
  <c r="AJ47" i="9"/>
  <c r="AJ48" i="9"/>
  <c r="AJ56" i="9"/>
  <c r="AJ57" i="9"/>
  <c r="AJ61" i="9"/>
  <c r="AJ62" i="9"/>
  <c r="AJ68" i="9"/>
  <c r="AJ78" i="9"/>
  <c r="AJ79" i="9"/>
  <c r="AJ80" i="9"/>
  <c r="AJ81" i="9"/>
  <c r="AJ82" i="9"/>
  <c r="AJ83" i="9"/>
  <c r="AJ84" i="9"/>
  <c r="AJ85" i="9"/>
  <c r="AJ94" i="9"/>
  <c r="AJ95" i="9"/>
  <c r="AJ96" i="9"/>
  <c r="AJ97" i="9"/>
  <c r="AJ98" i="9"/>
  <c r="AJ99" i="9"/>
  <c r="AJ100" i="9"/>
  <c r="AJ118" i="9"/>
  <c r="AJ127" i="9"/>
  <c r="AJ128" i="9"/>
  <c r="AJ129" i="9"/>
  <c r="AJ130" i="9"/>
  <c r="AJ138" i="9"/>
  <c r="AJ139" i="9"/>
  <c r="AJ143" i="9"/>
  <c r="AJ144" i="9"/>
  <c r="AJ147" i="9"/>
  <c r="AO147" i="9" s="1"/>
  <c r="AJ148" i="9"/>
  <c r="AO148" i="9" s="1"/>
  <c r="AJ150" i="9"/>
  <c r="AO150" i="9" s="1"/>
  <c r="AJ158" i="9"/>
  <c r="AJ159" i="9"/>
  <c r="AJ160" i="9"/>
  <c r="AJ161" i="9"/>
  <c r="AJ165" i="9"/>
  <c r="AJ166" i="9"/>
  <c r="AJ167" i="9"/>
  <c r="AJ168" i="9"/>
  <c r="AJ169" i="9"/>
  <c r="AJ170" i="9"/>
  <c r="AJ176" i="9"/>
  <c r="AJ179" i="9"/>
  <c r="AJ180" i="9"/>
  <c r="AJ181" i="9"/>
  <c r="AJ182" i="9"/>
  <c r="AJ183" i="9"/>
  <c r="AJ184" i="9"/>
  <c r="AJ207" i="9"/>
  <c r="AJ208" i="9"/>
  <c r="AJ209" i="9"/>
  <c r="AJ210" i="9"/>
  <c r="AJ211" i="9"/>
  <c r="AJ212" i="9"/>
  <c r="AJ213" i="9"/>
  <c r="AJ214" i="9"/>
  <c r="AJ215" i="9"/>
  <c r="AJ216" i="9"/>
  <c r="AJ217" i="9"/>
  <c r="AJ219" i="9"/>
  <c r="AJ220" i="9"/>
  <c r="AJ223" i="9"/>
  <c r="AO223" i="9" s="1"/>
  <c r="AJ224" i="9"/>
  <c r="AJ228" i="9"/>
  <c r="AJ229" i="9"/>
  <c r="AJ230" i="9"/>
  <c r="AJ231" i="9"/>
  <c r="AJ232" i="9"/>
  <c r="AJ233" i="9"/>
  <c r="AJ236" i="9"/>
  <c r="AJ237" i="9"/>
  <c r="AJ238" i="9"/>
  <c r="AJ239" i="9"/>
  <c r="AJ242" i="9"/>
  <c r="AJ243" i="9"/>
  <c r="AJ248" i="9"/>
  <c r="AJ249" i="9"/>
  <c r="AJ250" i="9"/>
  <c r="AJ264" i="9"/>
  <c r="AJ265" i="9"/>
  <c r="AJ266" i="9"/>
  <c r="AJ267" i="9"/>
  <c r="AJ268" i="9"/>
  <c r="AJ269" i="9"/>
  <c r="AJ270" i="9"/>
  <c r="AJ271" i="9"/>
  <c r="AJ272" i="9"/>
  <c r="AJ274" i="9"/>
  <c r="AJ275" i="9"/>
  <c r="AJ276" i="9"/>
  <c r="AJ277" i="9"/>
  <c r="AJ278" i="9"/>
  <c r="AJ279" i="9"/>
  <c r="AJ281" i="9"/>
  <c r="AJ285" i="9"/>
  <c r="AJ286" i="9"/>
  <c r="AJ287" i="9"/>
  <c r="AJ291" i="9"/>
  <c r="AJ292" i="9"/>
  <c r="AJ293" i="9"/>
  <c r="AO293" i="9" s="1"/>
  <c r="AJ296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35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60" i="9"/>
  <c r="AJ361" i="9"/>
  <c r="AJ378" i="9"/>
  <c r="AJ379" i="9"/>
  <c r="AJ380" i="9"/>
  <c r="AJ381" i="9"/>
  <c r="AJ385" i="9"/>
  <c r="AJ386" i="9"/>
  <c r="AJ388" i="9"/>
  <c r="AJ389" i="9"/>
  <c r="AJ390" i="9"/>
  <c r="AJ391" i="9"/>
  <c r="AO391" i="9" s="1"/>
  <c r="AJ392" i="9"/>
  <c r="AO392" i="9" s="1"/>
  <c r="AJ393" i="9"/>
  <c r="AO393" i="9" s="1"/>
  <c r="AJ395" i="9"/>
  <c r="AO395" i="9" s="1"/>
  <c r="AJ396" i="9"/>
  <c r="AJ397" i="9"/>
  <c r="AJ398" i="9"/>
  <c r="AJ399" i="9"/>
  <c r="AJ400" i="9"/>
  <c r="AJ401" i="9"/>
  <c r="AJ402" i="9"/>
  <c r="AJ403" i="9"/>
  <c r="AJ404" i="9"/>
  <c r="AO404" i="9" s="1"/>
  <c r="AJ406" i="9"/>
  <c r="AO406" i="9" s="1"/>
  <c r="AJ408" i="9"/>
  <c r="AO408" i="9" s="1"/>
  <c r="AJ411" i="9"/>
  <c r="AJ412" i="9"/>
  <c r="AJ413" i="9"/>
  <c r="AJ416" i="9"/>
  <c r="AO416" i="9" s="1"/>
  <c r="AJ424" i="9"/>
  <c r="AJ425" i="9"/>
  <c r="AJ444" i="9"/>
  <c r="AJ445" i="9"/>
  <c r="AJ446" i="9"/>
  <c r="AJ447" i="9"/>
  <c r="AJ448" i="9"/>
  <c r="AJ449" i="9"/>
  <c r="AJ450" i="9"/>
  <c r="AJ451" i="9"/>
  <c r="AJ452" i="9"/>
  <c r="AJ465" i="9"/>
  <c r="AJ466" i="9"/>
  <c r="AJ467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93" i="9"/>
  <c r="AJ494" i="9"/>
  <c r="AJ495" i="9"/>
  <c r="AJ508" i="9"/>
  <c r="AJ509" i="9"/>
  <c r="AJ526" i="9"/>
  <c r="AJ527" i="9"/>
  <c r="AJ535" i="9"/>
  <c r="AJ536" i="9"/>
  <c r="AJ537" i="9"/>
  <c r="AJ538" i="9"/>
  <c r="AJ539" i="9"/>
  <c r="AJ540" i="9"/>
  <c r="AJ541" i="9"/>
  <c r="AJ542" i="9"/>
  <c r="AJ2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2" i="9"/>
  <c r="AH25" i="9"/>
  <c r="AW25" i="9" s="1"/>
  <c r="AH26" i="9"/>
  <c r="AW26" i="9" s="1"/>
  <c r="AH27" i="9"/>
  <c r="AW27" i="9" s="1"/>
  <c r="AH28" i="9"/>
  <c r="AW28" i="9" s="1"/>
  <c r="AH29" i="9"/>
  <c r="AW29" i="9" s="1"/>
  <c r="AH30" i="9"/>
  <c r="AW30" i="9" s="1"/>
  <c r="AH32" i="9"/>
  <c r="AW32" i="9" s="1"/>
  <c r="AH33" i="9"/>
  <c r="AW33" i="9" s="1"/>
  <c r="AH34" i="9"/>
  <c r="AW34" i="9" s="1"/>
  <c r="AH35" i="9"/>
  <c r="AW35" i="9" s="1"/>
  <c r="AH36" i="9"/>
  <c r="AW36" i="9" s="1"/>
  <c r="AH37" i="9"/>
  <c r="AW37" i="9" s="1"/>
  <c r="AH38" i="9"/>
  <c r="AW38" i="9" s="1"/>
  <c r="AH39" i="9"/>
  <c r="AH40" i="9"/>
  <c r="AW40" i="9" s="1"/>
  <c r="AH42" i="9"/>
  <c r="AW42" i="9" s="1"/>
  <c r="AH43" i="9"/>
  <c r="AW43" i="9" s="1"/>
  <c r="AH44" i="9"/>
  <c r="AW44" i="9" s="1"/>
  <c r="AH45" i="9"/>
  <c r="AW45" i="9" s="1"/>
  <c r="AH46" i="9"/>
  <c r="AW46" i="9" s="1"/>
  <c r="AH47" i="9"/>
  <c r="AW47" i="9" s="1"/>
  <c r="AH48" i="9"/>
  <c r="AW48" i="9" s="1"/>
  <c r="AH49" i="9"/>
  <c r="AH50" i="9"/>
  <c r="AH51" i="9"/>
  <c r="AH52" i="9"/>
  <c r="AW52" i="9" s="1"/>
  <c r="AH53" i="9"/>
  <c r="AW53" i="9" s="1"/>
  <c r="AH54" i="9"/>
  <c r="AW54" i="9" s="1"/>
  <c r="AH55" i="9"/>
  <c r="AW55" i="9" s="1"/>
  <c r="AH56" i="9"/>
  <c r="AW56" i="9" s="1"/>
  <c r="AH57" i="9"/>
  <c r="AW57" i="9" s="1"/>
  <c r="AH58" i="9"/>
  <c r="AH59" i="9"/>
  <c r="AH60" i="9"/>
  <c r="AH61" i="9"/>
  <c r="AW61" i="9" s="1"/>
  <c r="AH62" i="9"/>
  <c r="AW62" i="9" s="1"/>
  <c r="AH63" i="9"/>
  <c r="AW63" i="9" s="1"/>
  <c r="AH64" i="9"/>
  <c r="AW64" i="9" s="1"/>
  <c r="AH65" i="9"/>
  <c r="AW65" i="9" s="1"/>
  <c r="AH66" i="9"/>
  <c r="AW66" i="9" s="1"/>
  <c r="AH67" i="9"/>
  <c r="AW67" i="9" s="1"/>
  <c r="AH68" i="9"/>
  <c r="AW68" i="9" s="1"/>
  <c r="AH69" i="9"/>
  <c r="AH70" i="9"/>
  <c r="AH71" i="9"/>
  <c r="AH72" i="9"/>
  <c r="AH73" i="9"/>
  <c r="AH74" i="9"/>
  <c r="AW74" i="9" s="1"/>
  <c r="AH75" i="9"/>
  <c r="AW75" i="9" s="1"/>
  <c r="AH76" i="9"/>
  <c r="AH77" i="9"/>
  <c r="AH78" i="9"/>
  <c r="AW78" i="9" s="1"/>
  <c r="AH79" i="9"/>
  <c r="AW79" i="9" s="1"/>
  <c r="AH80" i="9"/>
  <c r="AW80" i="9" s="1"/>
  <c r="AH81" i="9"/>
  <c r="AW81" i="9" s="1"/>
  <c r="AH82" i="9"/>
  <c r="AW82" i="9" s="1"/>
  <c r="AH83" i="9"/>
  <c r="AW83" i="9" s="1"/>
  <c r="AH84" i="9"/>
  <c r="AW84" i="9" s="1"/>
  <c r="AH85" i="9"/>
  <c r="AW85" i="9" s="1"/>
  <c r="AH86" i="9"/>
  <c r="AH87" i="9"/>
  <c r="AH88" i="9"/>
  <c r="AH89" i="9"/>
  <c r="AH90" i="9"/>
  <c r="AW90" i="9" s="1"/>
  <c r="AH91" i="9"/>
  <c r="AW91" i="9" s="1"/>
  <c r="AH92" i="9"/>
  <c r="AH93" i="9"/>
  <c r="AH94" i="9"/>
  <c r="AW94" i="9" s="1"/>
  <c r="AH95" i="9"/>
  <c r="AW95" i="9" s="1"/>
  <c r="AH96" i="9"/>
  <c r="AW96" i="9" s="1"/>
  <c r="AH97" i="9"/>
  <c r="AW97" i="9" s="1"/>
  <c r="AH98" i="9"/>
  <c r="AW98" i="9" s="1"/>
  <c r="AH99" i="9"/>
  <c r="AW99" i="9" s="1"/>
  <c r="AH100" i="9"/>
  <c r="AW100" i="9" s="1"/>
  <c r="AH101" i="9"/>
  <c r="AH102" i="9"/>
  <c r="AH103" i="9"/>
  <c r="AH104" i="9"/>
  <c r="AH105" i="9"/>
  <c r="AH106" i="9"/>
  <c r="AH107" i="9"/>
  <c r="AH108" i="9"/>
  <c r="AH109" i="9"/>
  <c r="AH110" i="9"/>
  <c r="AW110" i="9" s="1"/>
  <c r="AH111" i="9"/>
  <c r="AW111" i="9" s="1"/>
  <c r="AH112" i="9"/>
  <c r="AW112" i="9" s="1"/>
  <c r="AH113" i="9"/>
  <c r="AH114" i="9"/>
  <c r="AH115" i="9"/>
  <c r="AH116" i="9"/>
  <c r="AH117" i="9"/>
  <c r="AH118" i="9"/>
  <c r="AW118" i="9" s="1"/>
  <c r="AH120" i="9"/>
  <c r="AH121" i="9"/>
  <c r="AH122" i="9"/>
  <c r="AH123" i="9"/>
  <c r="AH124" i="9"/>
  <c r="AH125" i="9"/>
  <c r="AH126" i="9"/>
  <c r="AH127" i="9"/>
  <c r="AW127" i="9" s="1"/>
  <c r="AH128" i="9"/>
  <c r="AW128" i="9" s="1"/>
  <c r="AH129" i="9"/>
  <c r="AW129" i="9" s="1"/>
  <c r="AH130" i="9"/>
  <c r="AW130" i="9" s="1"/>
  <c r="AH131" i="9"/>
  <c r="AW131" i="9" s="1"/>
  <c r="AH132" i="9"/>
  <c r="AW132" i="9" s="1"/>
  <c r="AH133" i="9"/>
  <c r="AH134" i="9"/>
  <c r="AW134" i="9" s="1"/>
  <c r="AH135" i="9"/>
  <c r="AW135" i="9" s="1"/>
  <c r="AH136" i="9"/>
  <c r="AW136" i="9" s="1"/>
  <c r="AH137" i="9"/>
  <c r="AW137" i="9" s="1"/>
  <c r="AH138" i="9"/>
  <c r="AW138" i="9" s="1"/>
  <c r="AH139" i="9"/>
  <c r="AW139" i="9" s="1"/>
  <c r="AH140" i="9"/>
  <c r="AW140" i="9" s="1"/>
  <c r="AH141" i="9"/>
  <c r="AW141" i="9" s="1"/>
  <c r="AH142" i="9"/>
  <c r="AW142" i="9" s="1"/>
  <c r="AH143" i="9"/>
  <c r="AW143" i="9" s="1"/>
  <c r="AH144" i="9"/>
  <c r="AW144" i="9" s="1"/>
  <c r="AH145" i="9"/>
  <c r="AH146" i="9"/>
  <c r="AH151" i="9"/>
  <c r="AH152" i="9"/>
  <c r="AH153" i="9"/>
  <c r="AH154" i="9"/>
  <c r="AH155" i="9"/>
  <c r="AW155" i="9" s="1"/>
  <c r="AH156" i="9"/>
  <c r="AW156" i="9" s="1"/>
  <c r="AH157" i="9"/>
  <c r="AW157" i="9" s="1"/>
  <c r="AH158" i="9"/>
  <c r="AW158" i="9" s="1"/>
  <c r="AH159" i="9"/>
  <c r="AW159" i="9" s="1"/>
  <c r="AH160" i="9"/>
  <c r="AW160" i="9" s="1"/>
  <c r="AH161" i="9"/>
  <c r="AW161" i="9" s="1"/>
  <c r="AH162" i="9"/>
  <c r="AW162" i="9" s="1"/>
  <c r="AH163" i="9"/>
  <c r="AW163" i="9" s="1"/>
  <c r="AH164" i="9"/>
  <c r="AW164" i="9" s="1"/>
  <c r="AH165" i="9"/>
  <c r="AW165" i="9" s="1"/>
  <c r="AH166" i="9"/>
  <c r="AW166" i="9" s="1"/>
  <c r="AH167" i="9"/>
  <c r="AW167" i="9" s="1"/>
  <c r="AH168" i="9"/>
  <c r="AW168" i="9" s="1"/>
  <c r="AH169" i="9"/>
  <c r="AW169" i="9" s="1"/>
  <c r="AH170" i="9"/>
  <c r="AW170" i="9" s="1"/>
  <c r="AH171" i="9"/>
  <c r="AH172" i="9"/>
  <c r="AH173" i="9"/>
  <c r="AH174" i="9"/>
  <c r="AH175" i="9"/>
  <c r="AH176" i="9"/>
  <c r="AW176" i="9" s="1"/>
  <c r="AH177" i="9"/>
  <c r="AW177" i="9" s="1"/>
  <c r="AH178" i="9"/>
  <c r="AW178" i="9" s="1"/>
  <c r="AH180" i="9"/>
  <c r="AW180" i="9" s="1"/>
  <c r="AH181" i="9"/>
  <c r="AW181" i="9" s="1"/>
  <c r="AH182" i="9"/>
  <c r="AW182" i="9" s="1"/>
  <c r="AH183" i="9"/>
  <c r="AW183" i="9" s="1"/>
  <c r="AH184" i="9"/>
  <c r="AW184" i="9" s="1"/>
  <c r="AH185" i="9"/>
  <c r="AW185" i="9" s="1"/>
  <c r="AH186" i="9"/>
  <c r="AH187" i="9"/>
  <c r="AH188" i="9"/>
  <c r="AW188" i="9" s="1"/>
  <c r="AH189" i="9"/>
  <c r="AW189" i="9" s="1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8" i="9"/>
  <c r="AW208" i="9" s="1"/>
  <c r="AH209" i="9"/>
  <c r="AW209" i="9" s="1"/>
  <c r="AH210" i="9"/>
  <c r="AW210" i="9" s="1"/>
  <c r="AH211" i="9"/>
  <c r="AW211" i="9" s="1"/>
  <c r="AH212" i="9"/>
  <c r="AW212" i="9" s="1"/>
  <c r="AH213" i="9"/>
  <c r="AW213" i="9" s="1"/>
  <c r="AH214" i="9"/>
  <c r="AW214" i="9" s="1"/>
  <c r="AH215" i="9"/>
  <c r="AW215" i="9" s="1"/>
  <c r="AH216" i="9"/>
  <c r="AW216" i="9" s="1"/>
  <c r="AH217" i="9"/>
  <c r="AW217" i="9" s="1"/>
  <c r="AH219" i="9"/>
  <c r="AW219" i="9" s="1"/>
  <c r="AH220" i="9"/>
  <c r="AW220" i="9" s="1"/>
  <c r="AH224" i="9"/>
  <c r="AW224" i="9" s="1"/>
  <c r="AH225" i="9"/>
  <c r="AW225" i="9" s="1"/>
  <c r="AH226" i="9"/>
  <c r="AW226" i="9" s="1"/>
  <c r="AH227" i="9"/>
  <c r="AW227" i="9" s="1"/>
  <c r="AH228" i="9"/>
  <c r="AW228" i="9" s="1"/>
  <c r="AH229" i="9"/>
  <c r="AW229" i="9" s="1"/>
  <c r="AH230" i="9"/>
  <c r="AW230" i="9" s="1"/>
  <c r="AH231" i="9"/>
  <c r="AW231" i="9" s="1"/>
  <c r="AH232" i="9"/>
  <c r="AW232" i="9" s="1"/>
  <c r="AH233" i="9"/>
  <c r="AW233" i="9" s="1"/>
  <c r="AH234" i="9"/>
  <c r="AH235" i="9"/>
  <c r="AH236" i="9"/>
  <c r="AW236" i="9" s="1"/>
  <c r="AH237" i="9"/>
  <c r="AW237" i="9" s="1"/>
  <c r="AH239" i="9"/>
  <c r="AW239" i="9" s="1"/>
  <c r="AH240" i="9"/>
  <c r="AW240" i="9" s="1"/>
  <c r="AH241" i="9"/>
  <c r="AW241" i="9" s="1"/>
  <c r="AH242" i="9"/>
  <c r="AW242" i="9" s="1"/>
  <c r="AH243" i="9"/>
  <c r="AW243" i="9" s="1"/>
  <c r="AH244" i="9"/>
  <c r="AW244" i="9" s="1"/>
  <c r="AH245" i="9"/>
  <c r="AW245" i="9" s="1"/>
  <c r="AH246" i="9"/>
  <c r="AW246" i="9" s="1"/>
  <c r="AH247" i="9"/>
  <c r="AW247" i="9" s="1"/>
  <c r="AH248" i="9"/>
  <c r="AW248" i="9" s="1"/>
  <c r="AH249" i="9"/>
  <c r="AW249" i="9" s="1"/>
  <c r="AH250" i="9"/>
  <c r="AW250" i="9" s="1"/>
  <c r="AH251" i="9"/>
  <c r="AW251" i="9" s="1"/>
  <c r="AH252" i="9"/>
  <c r="AW252" i="9" s="1"/>
  <c r="AH253" i="9"/>
  <c r="AW253" i="9" s="1"/>
  <c r="AH254" i="9"/>
  <c r="AH255" i="9"/>
  <c r="AW255" i="9" s="1"/>
  <c r="AH256" i="9"/>
  <c r="AW256" i="9" s="1"/>
  <c r="AH257" i="9"/>
  <c r="AW257" i="9" s="1"/>
  <c r="AH258" i="9"/>
  <c r="AW258" i="9" s="1"/>
  <c r="AH259" i="9"/>
  <c r="AH260" i="9"/>
  <c r="AW260" i="9" s="1"/>
  <c r="AH261" i="9"/>
  <c r="AW261" i="9" s="1"/>
  <c r="AH262" i="9"/>
  <c r="AW262" i="9" s="1"/>
  <c r="AH263" i="9"/>
  <c r="AW263" i="9" s="1"/>
  <c r="AH264" i="9"/>
  <c r="AW264" i="9" s="1"/>
  <c r="AH265" i="9"/>
  <c r="AW265" i="9" s="1"/>
  <c r="AH266" i="9"/>
  <c r="AW266" i="9" s="1"/>
  <c r="AH267" i="9"/>
  <c r="AW267" i="9" s="1"/>
  <c r="AH268" i="9"/>
  <c r="AW268" i="9" s="1"/>
  <c r="AH269" i="9"/>
  <c r="AW269" i="9" s="1"/>
  <c r="AH271" i="9"/>
  <c r="AW271" i="9" s="1"/>
  <c r="AH272" i="9"/>
  <c r="AW272" i="9" s="1"/>
  <c r="AH274" i="9"/>
  <c r="AW274" i="9" s="1"/>
  <c r="AH275" i="9"/>
  <c r="AW275" i="9" s="1"/>
  <c r="AH276" i="9"/>
  <c r="AW276" i="9" s="1"/>
  <c r="AH277" i="9"/>
  <c r="AW277" i="9" s="1"/>
  <c r="AH278" i="9"/>
  <c r="AW278" i="9" s="1"/>
  <c r="AH279" i="9"/>
  <c r="AW279" i="9" s="1"/>
  <c r="AH280" i="9"/>
  <c r="AH281" i="9"/>
  <c r="AW281" i="9" s="1"/>
  <c r="AH282" i="9"/>
  <c r="AW282" i="9" s="1"/>
  <c r="AH283" i="9"/>
  <c r="AW283" i="9" s="1"/>
  <c r="AH285" i="9"/>
  <c r="AW285" i="9" s="1"/>
  <c r="AH286" i="9"/>
  <c r="AW286" i="9" s="1"/>
  <c r="AH287" i="9"/>
  <c r="AW287" i="9" s="1"/>
  <c r="AH288" i="9"/>
  <c r="AW288" i="9" s="1"/>
  <c r="AH289" i="9"/>
  <c r="AW289" i="9" s="1"/>
  <c r="AH290" i="9"/>
  <c r="AW290" i="9" s="1"/>
  <c r="AH291" i="9"/>
  <c r="AW291" i="9" s="1"/>
  <c r="AH292" i="9"/>
  <c r="AW292" i="9" s="1"/>
  <c r="AH295" i="9"/>
  <c r="AH296" i="9"/>
  <c r="AW296" i="9" s="1"/>
  <c r="AH297" i="9"/>
  <c r="AW297" i="9" s="1"/>
  <c r="AH298" i="9"/>
  <c r="AW298" i="9" s="1"/>
  <c r="AH299" i="9"/>
  <c r="AW299" i="9" s="1"/>
  <c r="AH300" i="9"/>
  <c r="AW300" i="9" s="1"/>
  <c r="AH301" i="9"/>
  <c r="AW301" i="9" s="1"/>
  <c r="AH302" i="9"/>
  <c r="AW302" i="9" s="1"/>
  <c r="AH303" i="9"/>
  <c r="AW303" i="9" s="1"/>
  <c r="AH304" i="9"/>
  <c r="AW304" i="9" s="1"/>
  <c r="AH305" i="9"/>
  <c r="AW305" i="9" s="1"/>
  <c r="AH306" i="9"/>
  <c r="AW306" i="9" s="1"/>
  <c r="AH307" i="9"/>
  <c r="AW307" i="9" s="1"/>
  <c r="AH308" i="9"/>
  <c r="AW308" i="9" s="1"/>
  <c r="AH309" i="9"/>
  <c r="AW309" i="9" s="1"/>
  <c r="AH310" i="9"/>
  <c r="AW310" i="9" s="1"/>
  <c r="AH311" i="9"/>
  <c r="AW311" i="9" s="1"/>
  <c r="AH312" i="9"/>
  <c r="AW312" i="9" s="1"/>
  <c r="AH313" i="9"/>
  <c r="AW313" i="9" s="1"/>
  <c r="AH314" i="9"/>
  <c r="AW314" i="9" s="1"/>
  <c r="AH315" i="9"/>
  <c r="AW315" i="9" s="1"/>
  <c r="AH316" i="9"/>
  <c r="AW316" i="9" s="1"/>
  <c r="AH317" i="9"/>
  <c r="AW317" i="9" s="1"/>
  <c r="AH318" i="9"/>
  <c r="AW318" i="9" s="1"/>
  <c r="AH319" i="9"/>
  <c r="AW319" i="9" s="1"/>
  <c r="AH320" i="9"/>
  <c r="AW320" i="9" s="1"/>
  <c r="AH321" i="9"/>
  <c r="AW321" i="9" s="1"/>
  <c r="AH322" i="9"/>
  <c r="AW322" i="9" s="1"/>
  <c r="AH323" i="9"/>
  <c r="AW323" i="9" s="1"/>
  <c r="AH324" i="9"/>
  <c r="AW324" i="9" s="1"/>
  <c r="AH325" i="9"/>
  <c r="AW325" i="9" s="1"/>
  <c r="AH326" i="9"/>
  <c r="AW326" i="9" s="1"/>
  <c r="AH327" i="9"/>
  <c r="AW327" i="9" s="1"/>
  <c r="AH328" i="9"/>
  <c r="AW328" i="9" s="1"/>
  <c r="AH329" i="9"/>
  <c r="AW329" i="9" s="1"/>
  <c r="AH330" i="9"/>
  <c r="AW330" i="9" s="1"/>
  <c r="AH331" i="9"/>
  <c r="AW331" i="9" s="1"/>
  <c r="AH332" i="9"/>
  <c r="AW332" i="9" s="1"/>
  <c r="AH333" i="9"/>
  <c r="AH335" i="9"/>
  <c r="AW335" i="9" s="1"/>
  <c r="AH336" i="9"/>
  <c r="AW336" i="9" s="1"/>
  <c r="AH337" i="9"/>
  <c r="AW337" i="9" s="1"/>
  <c r="AH338" i="9"/>
  <c r="AW338" i="9" s="1"/>
  <c r="AH339" i="9"/>
  <c r="AW339" i="9" s="1"/>
  <c r="AH340" i="9"/>
  <c r="AW340" i="9" s="1"/>
  <c r="AH341" i="9"/>
  <c r="AW341" i="9" s="1"/>
  <c r="AH342" i="9"/>
  <c r="AW342" i="9" s="1"/>
  <c r="AH343" i="9"/>
  <c r="AW343" i="9" s="1"/>
  <c r="AH344" i="9"/>
  <c r="AW344" i="9" s="1"/>
  <c r="AH345" i="9"/>
  <c r="AW345" i="9" s="1"/>
  <c r="AH346" i="9"/>
  <c r="AW346" i="9" s="1"/>
  <c r="AH347" i="9"/>
  <c r="AW347" i="9" s="1"/>
  <c r="AH348" i="9"/>
  <c r="AW348" i="9" s="1"/>
  <c r="AH349" i="9"/>
  <c r="AW349" i="9" s="1"/>
  <c r="AH350" i="9"/>
  <c r="AW350" i="9" s="1"/>
  <c r="AH351" i="9"/>
  <c r="AW351" i="9" s="1"/>
  <c r="AH352" i="9"/>
  <c r="AW352" i="9" s="1"/>
  <c r="AH353" i="9"/>
  <c r="AH354" i="9"/>
  <c r="AH355" i="9"/>
  <c r="AH356" i="9"/>
  <c r="AH357" i="9"/>
  <c r="AH358" i="9"/>
  <c r="AH359" i="9"/>
  <c r="AH360" i="9"/>
  <c r="AW360" i="9" s="1"/>
  <c r="AH361" i="9"/>
  <c r="AW361" i="9" s="1"/>
  <c r="AH362" i="9"/>
  <c r="AH363" i="9"/>
  <c r="AH364" i="9"/>
  <c r="AH365" i="9"/>
  <c r="AH366" i="9"/>
  <c r="AH368" i="9"/>
  <c r="AW368" i="9" s="1"/>
  <c r="AH369" i="9"/>
  <c r="AW369" i="9" s="1"/>
  <c r="AH370" i="9"/>
  <c r="AW370" i="9" s="1"/>
  <c r="AH371" i="9"/>
  <c r="AW371" i="9" s="1"/>
  <c r="AH372" i="9"/>
  <c r="AW372" i="9" s="1"/>
  <c r="AH373" i="9"/>
  <c r="AW373" i="9" s="1"/>
  <c r="AH374" i="9"/>
  <c r="AW374" i="9" s="1"/>
  <c r="AH375" i="9"/>
  <c r="AW375" i="9" s="1"/>
  <c r="AH376" i="9"/>
  <c r="AW376" i="9" s="1"/>
  <c r="AH377" i="9"/>
  <c r="AW377" i="9" s="1"/>
  <c r="AH378" i="9"/>
  <c r="AW378" i="9" s="1"/>
  <c r="AH379" i="9"/>
  <c r="AW379" i="9" s="1"/>
  <c r="AH380" i="9"/>
  <c r="AW380" i="9" s="1"/>
  <c r="AH381" i="9"/>
  <c r="AW381" i="9" s="1"/>
  <c r="AH382" i="9"/>
  <c r="AH383" i="9"/>
  <c r="AH384" i="9"/>
  <c r="AH386" i="9"/>
  <c r="AW386" i="9" s="1"/>
  <c r="AH388" i="9"/>
  <c r="AW388" i="9" s="1"/>
  <c r="AH389" i="9"/>
  <c r="AW389" i="9" s="1"/>
  <c r="AH390" i="9"/>
  <c r="AW390" i="9" s="1"/>
  <c r="AH397" i="9"/>
  <c r="AW397" i="9" s="1"/>
  <c r="AH399" i="9"/>
  <c r="AW399" i="9" s="1"/>
  <c r="AH400" i="9"/>
  <c r="AW400" i="9" s="1"/>
  <c r="AH401" i="9"/>
  <c r="AW401" i="9" s="1"/>
  <c r="AH402" i="9"/>
  <c r="AW402" i="9" s="1"/>
  <c r="AH403" i="9"/>
  <c r="AW403" i="9" s="1"/>
  <c r="AH410" i="9"/>
  <c r="AH412" i="9"/>
  <c r="AW412" i="9" s="1"/>
  <c r="AH413" i="9"/>
  <c r="AW413" i="9" s="1"/>
  <c r="AH418" i="9"/>
  <c r="AH419" i="9"/>
  <c r="AH420" i="9"/>
  <c r="AW420" i="9" s="1"/>
  <c r="AH421" i="9"/>
  <c r="AW421" i="9" s="1"/>
  <c r="AH422" i="9"/>
  <c r="AW422" i="9" s="1"/>
  <c r="AH423" i="9"/>
  <c r="AW423" i="9" s="1"/>
  <c r="AH424" i="9"/>
  <c r="AW424" i="9" s="1"/>
  <c r="AH425" i="9"/>
  <c r="AW425" i="9" s="1"/>
  <c r="AH426" i="9"/>
  <c r="AW426" i="9" s="1"/>
  <c r="AH427" i="9"/>
  <c r="AW427" i="9" s="1"/>
  <c r="AH428" i="9"/>
  <c r="AH429" i="9"/>
  <c r="AH430" i="9"/>
  <c r="AH431" i="9"/>
  <c r="AH432" i="9"/>
  <c r="AH433" i="9"/>
  <c r="AH434" i="9"/>
  <c r="AH435" i="9"/>
  <c r="AW435" i="9" s="1"/>
  <c r="AH436" i="9"/>
  <c r="AW436" i="9" s="1"/>
  <c r="AH437" i="9"/>
  <c r="AW437" i="9" s="1"/>
  <c r="AH438" i="9"/>
  <c r="AW438" i="9" s="1"/>
  <c r="AH439" i="9"/>
  <c r="AW439" i="9" s="1"/>
  <c r="AH440" i="9"/>
  <c r="AW440" i="9" s="1"/>
  <c r="AH441" i="9"/>
  <c r="AW441" i="9" s="1"/>
  <c r="AH442" i="9"/>
  <c r="AW442" i="9" s="1"/>
  <c r="AH443" i="9"/>
  <c r="AW443" i="9" s="1"/>
  <c r="AH444" i="9"/>
  <c r="AW444" i="9" s="1"/>
  <c r="AH445" i="9"/>
  <c r="AW445" i="9" s="1"/>
  <c r="AH447" i="9"/>
  <c r="AW447" i="9" s="1"/>
  <c r="AH448" i="9"/>
  <c r="AW448" i="9" s="1"/>
  <c r="AH449" i="9"/>
  <c r="AW449" i="9" s="1"/>
  <c r="AH450" i="9"/>
  <c r="AW450" i="9" s="1"/>
  <c r="AH451" i="9"/>
  <c r="AW451" i="9" s="1"/>
  <c r="AH452" i="9"/>
  <c r="AW452" i="9" s="1"/>
  <c r="AH453" i="9"/>
  <c r="AH454" i="9"/>
  <c r="AH455" i="9"/>
  <c r="AH456" i="9"/>
  <c r="AH457" i="9"/>
  <c r="AH458" i="9"/>
  <c r="AH459" i="9"/>
  <c r="AW459" i="9" s="1"/>
  <c r="AH460" i="9"/>
  <c r="AW460" i="9" s="1"/>
  <c r="AH461" i="9"/>
  <c r="AW461" i="9" s="1"/>
  <c r="AH462" i="9"/>
  <c r="AW462" i="9" s="1"/>
  <c r="AH463" i="9"/>
  <c r="AW463" i="9" s="1"/>
  <c r="AH464" i="9"/>
  <c r="AW464" i="9" s="1"/>
  <c r="AH465" i="9"/>
  <c r="AW465" i="9" s="1"/>
  <c r="AH466" i="9"/>
  <c r="AW466" i="9" s="1"/>
  <c r="AH467" i="9"/>
  <c r="AW467" i="9" s="1"/>
  <c r="AH468" i="9"/>
  <c r="AH469" i="9"/>
  <c r="AH470" i="9"/>
  <c r="AH471" i="9"/>
  <c r="AH472" i="9"/>
  <c r="AW472" i="9" s="1"/>
  <c r="AH473" i="9"/>
  <c r="AW473" i="9" s="1"/>
  <c r="AH474" i="9"/>
  <c r="AW474" i="9" s="1"/>
  <c r="AH475" i="9"/>
  <c r="AW475" i="9" s="1"/>
  <c r="AH476" i="9"/>
  <c r="AW476" i="9" s="1"/>
  <c r="AH477" i="9"/>
  <c r="AW477" i="9" s="1"/>
  <c r="AH478" i="9"/>
  <c r="AW478" i="9" s="1"/>
  <c r="AH479" i="9"/>
  <c r="AW479" i="9" s="1"/>
  <c r="AH480" i="9"/>
  <c r="AW480" i="9" s="1"/>
  <c r="AH481" i="9"/>
  <c r="AW481" i="9" s="1"/>
  <c r="AH482" i="9"/>
  <c r="AW482" i="9" s="1"/>
  <c r="AH483" i="9"/>
  <c r="AW483" i="9" s="1"/>
  <c r="AH484" i="9"/>
  <c r="AW484" i="9" s="1"/>
  <c r="AH485" i="9"/>
  <c r="AW485" i="9" s="1"/>
  <c r="AH486" i="9"/>
  <c r="AH487" i="9"/>
  <c r="AH488" i="9"/>
  <c r="AW488" i="9" s="1"/>
  <c r="AH489" i="9"/>
  <c r="AW489" i="9" s="1"/>
  <c r="AH490" i="9"/>
  <c r="AW490" i="9" s="1"/>
  <c r="AH491" i="9"/>
  <c r="AW491" i="9" s="1"/>
  <c r="AH492" i="9"/>
  <c r="AW492" i="9" s="1"/>
  <c r="AH493" i="9"/>
  <c r="AW493" i="9" s="1"/>
  <c r="AH494" i="9"/>
  <c r="AW494" i="9" s="1"/>
  <c r="AH495" i="9"/>
  <c r="AW495" i="9" s="1"/>
  <c r="AH496" i="9"/>
  <c r="AW496" i="9" s="1"/>
  <c r="AH497" i="9"/>
  <c r="AW497" i="9" s="1"/>
  <c r="AH498" i="9"/>
  <c r="AH499" i="9"/>
  <c r="AH500" i="9"/>
  <c r="AH501" i="9"/>
  <c r="AH502" i="9"/>
  <c r="AH503" i="9"/>
  <c r="AH504" i="9"/>
  <c r="AH505" i="9"/>
  <c r="AH506" i="9"/>
  <c r="AH507" i="9"/>
  <c r="AH508" i="9"/>
  <c r="AW508" i="9" s="1"/>
  <c r="AH509" i="9"/>
  <c r="AW509" i="9" s="1"/>
  <c r="AH510" i="9"/>
  <c r="AW510" i="9" s="1"/>
  <c r="AH511" i="9"/>
  <c r="AW511" i="9" s="1"/>
  <c r="AH512" i="9"/>
  <c r="AW512" i="9" s="1"/>
  <c r="AH513" i="9"/>
  <c r="AH514" i="9"/>
  <c r="AW514" i="9" s="1"/>
  <c r="AH515" i="9"/>
  <c r="AW515" i="9" s="1"/>
  <c r="AH516" i="9"/>
  <c r="AW516" i="9" s="1"/>
  <c r="AH517" i="9"/>
  <c r="AH518" i="9"/>
  <c r="AH519" i="9"/>
  <c r="AH520" i="9"/>
  <c r="AH521" i="9"/>
  <c r="AH522" i="9"/>
  <c r="AH523" i="9"/>
  <c r="AW523" i="9" s="1"/>
  <c r="AH524" i="9"/>
  <c r="AW524" i="9" s="1"/>
  <c r="AH525" i="9"/>
  <c r="AW525" i="9" s="1"/>
  <c r="AH526" i="9"/>
  <c r="AW526" i="9" s="1"/>
  <c r="AH527" i="9"/>
  <c r="AW527" i="9" s="1"/>
  <c r="AH528" i="9"/>
  <c r="AH529" i="9"/>
  <c r="AH530" i="9"/>
  <c r="AH531" i="9"/>
  <c r="AH532" i="9"/>
  <c r="AH533" i="9"/>
  <c r="AH534" i="9"/>
  <c r="AH535" i="9"/>
  <c r="AW535" i="9" s="1"/>
  <c r="AH536" i="9"/>
  <c r="AW536" i="9" s="1"/>
  <c r="AH537" i="9"/>
  <c r="AW537" i="9" s="1"/>
  <c r="AH538" i="9"/>
  <c r="AW538" i="9" s="1"/>
  <c r="AH539" i="9"/>
  <c r="AW539" i="9" s="1"/>
  <c r="AH540" i="9"/>
  <c r="AW540" i="9" s="1"/>
  <c r="AH541" i="9"/>
  <c r="AW541" i="9" s="1"/>
  <c r="AH542" i="9"/>
  <c r="AW542" i="9" s="1"/>
  <c r="AH3" i="9"/>
  <c r="AW3" i="9" s="1"/>
  <c r="AH4" i="9"/>
  <c r="AW4" i="9" s="1"/>
  <c r="AH7" i="9"/>
  <c r="AW7" i="9" s="1"/>
  <c r="AH8" i="9"/>
  <c r="AW8" i="9" s="1"/>
  <c r="AH9" i="9"/>
  <c r="AW9" i="9" s="1"/>
  <c r="AH10" i="9"/>
  <c r="AW10" i="9" s="1"/>
  <c r="AH11" i="9"/>
  <c r="AW11" i="9" s="1"/>
  <c r="AH12" i="9"/>
  <c r="AW12" i="9" s="1"/>
  <c r="AH13" i="9"/>
  <c r="AW13" i="9" s="1"/>
  <c r="AH14" i="9"/>
  <c r="AW14" i="9" s="1"/>
  <c r="AH15" i="9"/>
  <c r="AW15" i="9" s="1"/>
  <c r="AH16" i="9"/>
  <c r="AW16" i="9" s="1"/>
  <c r="AH17" i="9"/>
  <c r="AW17" i="9" s="1"/>
  <c r="AH18" i="9"/>
  <c r="AW18" i="9" s="1"/>
  <c r="AH19" i="9"/>
  <c r="AW19" i="9" s="1"/>
  <c r="AH20" i="9"/>
  <c r="AW20" i="9" s="1"/>
  <c r="AH21" i="9"/>
  <c r="AH22" i="9"/>
  <c r="AW22" i="9" s="1"/>
  <c r="AH23" i="9"/>
  <c r="AW23" i="9" s="1"/>
  <c r="AH24" i="9"/>
  <c r="AW24" i="9" s="1"/>
  <c r="AZ416" i="9" l="1"/>
  <c r="BA392" i="9"/>
  <c r="BA221" i="9"/>
  <c r="AZ406" i="9"/>
  <c r="AZ150" i="9"/>
  <c r="AZ148" i="9"/>
  <c r="AZ394" i="9"/>
  <c r="AZ409" i="9"/>
  <c r="BA149" i="9"/>
  <c r="BA417" i="9"/>
  <c r="AZ391" i="9"/>
  <c r="AY24" i="9"/>
  <c r="BA24" i="9" s="1"/>
  <c r="BE24" i="9"/>
  <c r="AY23" i="9"/>
  <c r="BA23" i="9" s="1"/>
  <c r="BE23" i="9"/>
  <c r="AY7" i="9"/>
  <c r="BA7" i="9" s="1"/>
  <c r="BE7" i="9"/>
  <c r="AY537" i="9"/>
  <c r="AZ537" i="9" s="1"/>
  <c r="BE537" i="9"/>
  <c r="AY481" i="9"/>
  <c r="BA481" i="9" s="1"/>
  <c r="BE481" i="9"/>
  <c r="AY473" i="9"/>
  <c r="BA473" i="9" s="1"/>
  <c r="BE473" i="9"/>
  <c r="AY465" i="9"/>
  <c r="AZ465" i="9" s="1"/>
  <c r="BE465" i="9"/>
  <c r="AY449" i="9"/>
  <c r="AZ449" i="9" s="1"/>
  <c r="BE449" i="9"/>
  <c r="AY424" i="9"/>
  <c r="AZ424" i="9" s="1"/>
  <c r="BE424" i="9"/>
  <c r="AY412" i="9"/>
  <c r="BA412" i="9" s="1"/>
  <c r="BE412" i="9"/>
  <c r="AY390" i="9"/>
  <c r="AZ390" i="9" s="1"/>
  <c r="BE390" i="9"/>
  <c r="AY380" i="9"/>
  <c r="AZ380" i="9" s="1"/>
  <c r="BE380" i="9"/>
  <c r="AY347" i="9"/>
  <c r="BA347" i="9" s="1"/>
  <c r="BE347" i="9"/>
  <c r="AY339" i="9"/>
  <c r="BA339" i="9" s="1"/>
  <c r="BE339" i="9"/>
  <c r="AY322" i="9"/>
  <c r="AZ322" i="9" s="1"/>
  <c r="BE322" i="9"/>
  <c r="AY314" i="9"/>
  <c r="AZ314" i="9" s="1"/>
  <c r="BE314" i="9"/>
  <c r="AY279" i="9"/>
  <c r="BA279" i="9" s="1"/>
  <c r="BE279" i="9"/>
  <c r="AY269" i="9"/>
  <c r="AZ269" i="9" s="1"/>
  <c r="BE269" i="9"/>
  <c r="AY236" i="9"/>
  <c r="AZ236" i="9" s="1"/>
  <c r="BE236" i="9"/>
  <c r="AY228" i="9"/>
  <c r="AZ228" i="9" s="1"/>
  <c r="BE228" i="9"/>
  <c r="AY216" i="9"/>
  <c r="BA216" i="9" s="1"/>
  <c r="BE216" i="9"/>
  <c r="AY208" i="9"/>
  <c r="BA208" i="9" s="1"/>
  <c r="BE208" i="9"/>
  <c r="AY183" i="9"/>
  <c r="AZ183" i="9" s="1"/>
  <c r="BE183" i="9"/>
  <c r="AY166" i="9"/>
  <c r="AZ166" i="9" s="1"/>
  <c r="BE166" i="9"/>
  <c r="AY158" i="9"/>
  <c r="AZ158" i="9" s="1"/>
  <c r="BE158" i="9"/>
  <c r="AY138" i="9"/>
  <c r="BA138" i="9" s="1"/>
  <c r="BE138" i="9"/>
  <c r="AY130" i="9"/>
  <c r="AZ130" i="9" s="1"/>
  <c r="BE130" i="9"/>
  <c r="AY97" i="9"/>
  <c r="BA97" i="9" s="1"/>
  <c r="BE97" i="9"/>
  <c r="AY81" i="9"/>
  <c r="BA81" i="9" s="1"/>
  <c r="BE81" i="9"/>
  <c r="AY57" i="9"/>
  <c r="AZ57" i="9" s="1"/>
  <c r="BE57" i="9"/>
  <c r="AY32" i="9"/>
  <c r="AZ32" i="9" s="1"/>
  <c r="BE32" i="9"/>
  <c r="AY398" i="9"/>
  <c r="AZ398" i="9" s="1"/>
  <c r="BE398" i="9"/>
  <c r="AZ405" i="9"/>
  <c r="BA407" i="9"/>
  <c r="BE149" i="9"/>
  <c r="BE391" i="9"/>
  <c r="BE119" i="9"/>
  <c r="BE221" i="9"/>
  <c r="BE147" i="9"/>
  <c r="BE392" i="9"/>
  <c r="AY20" i="9"/>
  <c r="AZ20" i="9" s="1"/>
  <c r="BE20" i="9"/>
  <c r="AY22" i="9"/>
  <c r="BA22" i="9" s="1"/>
  <c r="BE22" i="9"/>
  <c r="AY4" i="9"/>
  <c r="AZ4" i="9" s="1"/>
  <c r="BE4" i="9"/>
  <c r="AY536" i="9"/>
  <c r="AZ536" i="9" s="1"/>
  <c r="BE536" i="9"/>
  <c r="AY480" i="9"/>
  <c r="AZ480" i="9" s="1"/>
  <c r="BE480" i="9"/>
  <c r="AY472" i="9"/>
  <c r="AZ472" i="9" s="1"/>
  <c r="BE472" i="9"/>
  <c r="AY448" i="9"/>
  <c r="AZ448" i="9" s="1"/>
  <c r="BE448" i="9"/>
  <c r="AY389" i="9"/>
  <c r="AZ389" i="9" s="1"/>
  <c r="BE389" i="9"/>
  <c r="AY379" i="9"/>
  <c r="BA379" i="9" s="1"/>
  <c r="BE379" i="9"/>
  <c r="AY346" i="9"/>
  <c r="AZ346" i="9" s="1"/>
  <c r="BE346" i="9"/>
  <c r="AY338" i="9"/>
  <c r="AZ338" i="9" s="1"/>
  <c r="BE338" i="9"/>
  <c r="AY321" i="9"/>
  <c r="BA321" i="9" s="1"/>
  <c r="BE321" i="9"/>
  <c r="AY313" i="9"/>
  <c r="BA313" i="9" s="1"/>
  <c r="BE313" i="9"/>
  <c r="AY287" i="9"/>
  <c r="AZ287" i="9" s="1"/>
  <c r="BE287" i="9"/>
  <c r="AY278" i="9"/>
  <c r="AZ278" i="9" s="1"/>
  <c r="BE278" i="9"/>
  <c r="AY268" i="9"/>
  <c r="AZ268" i="9" s="1"/>
  <c r="BE268" i="9"/>
  <c r="AY215" i="9"/>
  <c r="AZ215" i="9" s="1"/>
  <c r="BE215" i="9"/>
  <c r="AY182" i="9"/>
  <c r="AZ182" i="9" s="1"/>
  <c r="BE182" i="9"/>
  <c r="AY165" i="9"/>
  <c r="BA165" i="9" s="1"/>
  <c r="BE165" i="9"/>
  <c r="AY129" i="9"/>
  <c r="BA129" i="9" s="1"/>
  <c r="BE129" i="9"/>
  <c r="AY96" i="9"/>
  <c r="AZ96" i="9" s="1"/>
  <c r="BE96" i="9"/>
  <c r="AY80" i="9"/>
  <c r="AZ80" i="9" s="1"/>
  <c r="BE80" i="9"/>
  <c r="AY56" i="9"/>
  <c r="AZ56" i="9" s="1"/>
  <c r="BE56" i="9"/>
  <c r="AY48" i="9"/>
  <c r="AZ48" i="9" s="1"/>
  <c r="BE48" i="9"/>
  <c r="AY30" i="9"/>
  <c r="AZ30" i="9" s="1"/>
  <c r="BE30" i="9"/>
  <c r="AY411" i="9"/>
  <c r="BA411" i="9" s="1"/>
  <c r="BE411" i="9"/>
  <c r="AY538" i="9"/>
  <c r="AZ538" i="9" s="1"/>
  <c r="BE538" i="9"/>
  <c r="AY3" i="9"/>
  <c r="AZ3" i="9" s="1"/>
  <c r="BE3" i="9"/>
  <c r="AY535" i="9"/>
  <c r="BA535" i="9" s="1"/>
  <c r="BE535" i="9"/>
  <c r="AY527" i="9"/>
  <c r="BA527" i="9" s="1"/>
  <c r="BE527" i="9"/>
  <c r="AY495" i="9"/>
  <c r="AZ495" i="9" s="1"/>
  <c r="BE495" i="9"/>
  <c r="AY479" i="9"/>
  <c r="BA479" i="9" s="1"/>
  <c r="BE479" i="9"/>
  <c r="AY447" i="9"/>
  <c r="BA447" i="9" s="1"/>
  <c r="BE447" i="9"/>
  <c r="AY403" i="9"/>
  <c r="BA403" i="9" s="1"/>
  <c r="BE403" i="9"/>
  <c r="AY388" i="9"/>
  <c r="AZ388" i="9" s="1"/>
  <c r="BE388" i="9"/>
  <c r="AY378" i="9"/>
  <c r="AZ378" i="9" s="1"/>
  <c r="BE378" i="9"/>
  <c r="AY361" i="9"/>
  <c r="AZ361" i="9" s="1"/>
  <c r="BE361" i="9"/>
  <c r="AY345" i="9"/>
  <c r="AZ345" i="9" s="1"/>
  <c r="BE345" i="9"/>
  <c r="AY320" i="9"/>
  <c r="AZ320" i="9" s="1"/>
  <c r="BE320" i="9"/>
  <c r="AY312" i="9"/>
  <c r="AZ312" i="9" s="1"/>
  <c r="BE312" i="9"/>
  <c r="AY296" i="9"/>
  <c r="AZ296" i="9" s="1"/>
  <c r="BE296" i="9"/>
  <c r="AY286" i="9"/>
  <c r="AZ286" i="9" s="1"/>
  <c r="BE286" i="9"/>
  <c r="AY277" i="9"/>
  <c r="BA277" i="9" s="1"/>
  <c r="BE277" i="9"/>
  <c r="AY267" i="9"/>
  <c r="AZ267" i="9" s="1"/>
  <c r="BE267" i="9"/>
  <c r="AY243" i="9"/>
  <c r="BA243" i="9" s="1"/>
  <c r="BE243" i="9"/>
  <c r="AY214" i="9"/>
  <c r="AZ214" i="9" s="1"/>
  <c r="BE214" i="9"/>
  <c r="AY181" i="9"/>
  <c r="BA181" i="9" s="1"/>
  <c r="BE181" i="9"/>
  <c r="AY144" i="9"/>
  <c r="AZ144" i="9" s="1"/>
  <c r="BE144" i="9"/>
  <c r="AY128" i="9"/>
  <c r="AZ128" i="9" s="1"/>
  <c r="BE128" i="9"/>
  <c r="AY95" i="9"/>
  <c r="AZ95" i="9" s="1"/>
  <c r="BE95" i="9"/>
  <c r="AY79" i="9"/>
  <c r="AZ79" i="9" s="1"/>
  <c r="BE79" i="9"/>
  <c r="AY47" i="9"/>
  <c r="AZ47" i="9" s="1"/>
  <c r="BE47" i="9"/>
  <c r="AY38" i="9"/>
  <c r="AZ38" i="9" s="1"/>
  <c r="BE38" i="9"/>
  <c r="AY29" i="9"/>
  <c r="BA29" i="9" s="1"/>
  <c r="BE29" i="9"/>
  <c r="BE405" i="9"/>
  <c r="BE150" i="9"/>
  <c r="BE404" i="9"/>
  <c r="BE148" i="9"/>
  <c r="BE415" i="9"/>
  <c r="BE393" i="9"/>
  <c r="AY12" i="9"/>
  <c r="AZ12" i="9" s="1"/>
  <c r="BE12" i="9"/>
  <c r="AY478" i="9"/>
  <c r="AZ478" i="9" s="1"/>
  <c r="BE478" i="9"/>
  <c r="AY445" i="9"/>
  <c r="AZ445" i="9" s="1"/>
  <c r="BE445" i="9"/>
  <c r="AY402" i="9"/>
  <c r="AZ402" i="9" s="1"/>
  <c r="BE402" i="9"/>
  <c r="AY386" i="9"/>
  <c r="AZ386" i="9" s="1"/>
  <c r="BE386" i="9"/>
  <c r="AY360" i="9"/>
  <c r="AZ360" i="9" s="1"/>
  <c r="BE360" i="9"/>
  <c r="AY352" i="9"/>
  <c r="AZ352" i="9" s="1"/>
  <c r="BE352" i="9"/>
  <c r="AY344" i="9"/>
  <c r="AZ344" i="9" s="1"/>
  <c r="BE344" i="9"/>
  <c r="AY319" i="9"/>
  <c r="AZ319" i="9" s="1"/>
  <c r="BE319" i="9"/>
  <c r="AY311" i="9"/>
  <c r="AZ311" i="9" s="1"/>
  <c r="BE311" i="9"/>
  <c r="AY285" i="9"/>
  <c r="BA285" i="9" s="1"/>
  <c r="BE285" i="9"/>
  <c r="AY276" i="9"/>
  <c r="AZ276" i="9" s="1"/>
  <c r="BE276" i="9"/>
  <c r="AY266" i="9"/>
  <c r="AZ266" i="9" s="1"/>
  <c r="BE266" i="9"/>
  <c r="AY250" i="9"/>
  <c r="BA250" i="9" s="1"/>
  <c r="BE250" i="9"/>
  <c r="AY242" i="9"/>
  <c r="AZ242" i="9" s="1"/>
  <c r="BE242" i="9"/>
  <c r="AY233" i="9"/>
  <c r="BA233" i="9" s="1"/>
  <c r="BE233" i="9"/>
  <c r="AY213" i="9"/>
  <c r="BA213" i="9" s="1"/>
  <c r="BE213" i="9"/>
  <c r="AY180" i="9"/>
  <c r="AZ180" i="9" s="1"/>
  <c r="BE180" i="9"/>
  <c r="AY143" i="9"/>
  <c r="AZ143" i="9" s="1"/>
  <c r="BE143" i="9"/>
  <c r="AY127" i="9"/>
  <c r="AZ127" i="9" s="1"/>
  <c r="BE127" i="9"/>
  <c r="AY118" i="9"/>
  <c r="AZ118" i="9" s="1"/>
  <c r="BE118" i="9"/>
  <c r="AY94" i="9"/>
  <c r="AZ94" i="9" s="1"/>
  <c r="BE94" i="9"/>
  <c r="AY78" i="9"/>
  <c r="AZ78" i="9" s="1"/>
  <c r="BE78" i="9"/>
  <c r="AY62" i="9"/>
  <c r="AZ62" i="9" s="1"/>
  <c r="BE62" i="9"/>
  <c r="AY46" i="9"/>
  <c r="AZ46" i="9" s="1"/>
  <c r="BE46" i="9"/>
  <c r="AY37" i="9"/>
  <c r="BA37" i="9" s="1"/>
  <c r="BE37" i="9"/>
  <c r="AY28" i="9"/>
  <c r="AZ28" i="9" s="1"/>
  <c r="BE28" i="9"/>
  <c r="AY334" i="9"/>
  <c r="AZ334" i="9" s="1"/>
  <c r="BE334" i="9"/>
  <c r="AY542" i="9"/>
  <c r="AZ542" i="9" s="1"/>
  <c r="BE542" i="9"/>
  <c r="AY11" i="9"/>
  <c r="BA11" i="9" s="1"/>
  <c r="BE11" i="9"/>
  <c r="AY541" i="9"/>
  <c r="AZ541" i="9" s="1"/>
  <c r="BE541" i="9"/>
  <c r="AY509" i="9"/>
  <c r="AZ509" i="9" s="1"/>
  <c r="BE509" i="9"/>
  <c r="AY493" i="9"/>
  <c r="BA493" i="9" s="1"/>
  <c r="BE493" i="9"/>
  <c r="AY485" i="9"/>
  <c r="BA485" i="9" s="1"/>
  <c r="BE485" i="9"/>
  <c r="AY477" i="9"/>
  <c r="AZ477" i="9" s="1"/>
  <c r="BE477" i="9"/>
  <c r="AY444" i="9"/>
  <c r="BA444" i="9" s="1"/>
  <c r="BE444" i="9"/>
  <c r="AY401" i="9"/>
  <c r="AZ401" i="9" s="1"/>
  <c r="BE401" i="9"/>
  <c r="AY351" i="9"/>
  <c r="AZ351" i="9" s="1"/>
  <c r="BE351" i="9"/>
  <c r="AY343" i="9"/>
  <c r="AZ343" i="9" s="1"/>
  <c r="BE343" i="9"/>
  <c r="AY335" i="9"/>
  <c r="AZ335" i="9" s="1"/>
  <c r="BE335" i="9"/>
  <c r="AY318" i="9"/>
  <c r="AZ318" i="9" s="1"/>
  <c r="BE318" i="9"/>
  <c r="AY310" i="9"/>
  <c r="BA310" i="9" s="1"/>
  <c r="BE310" i="9"/>
  <c r="AY292" i="9"/>
  <c r="AZ292" i="9" s="1"/>
  <c r="BE292" i="9"/>
  <c r="AY275" i="9"/>
  <c r="AZ275" i="9" s="1"/>
  <c r="BE275" i="9"/>
  <c r="AY265" i="9"/>
  <c r="BA265" i="9" s="1"/>
  <c r="BE265" i="9"/>
  <c r="AY249" i="9"/>
  <c r="BA249" i="9" s="1"/>
  <c r="BE249" i="9"/>
  <c r="AY232" i="9"/>
  <c r="AZ232" i="9" s="1"/>
  <c r="BE232" i="9"/>
  <c r="AY224" i="9"/>
  <c r="BA224" i="9" s="1"/>
  <c r="BE224" i="9"/>
  <c r="AY212" i="9"/>
  <c r="AZ212" i="9" s="1"/>
  <c r="BE212" i="9"/>
  <c r="AY170" i="9"/>
  <c r="AZ170" i="9" s="1"/>
  <c r="BE170" i="9"/>
  <c r="AY85" i="9"/>
  <c r="BA85" i="9" s="1"/>
  <c r="BE85" i="9"/>
  <c r="AY61" i="9"/>
  <c r="AZ61" i="9" s="1"/>
  <c r="BE61" i="9"/>
  <c r="AY45" i="9"/>
  <c r="AZ45" i="9" s="1"/>
  <c r="BE45" i="9"/>
  <c r="AY36" i="9"/>
  <c r="AZ36" i="9" s="1"/>
  <c r="BE36" i="9"/>
  <c r="AY27" i="9"/>
  <c r="AZ27" i="9" s="1"/>
  <c r="BE27" i="9"/>
  <c r="AY367" i="9"/>
  <c r="BA367" i="9" s="1"/>
  <c r="BE367" i="9"/>
  <c r="BA119" i="9"/>
  <c r="BA147" i="9"/>
  <c r="BE406" i="9"/>
  <c r="BE409" i="9"/>
  <c r="BE417" i="9"/>
  <c r="BE408" i="9"/>
  <c r="BE416" i="9"/>
  <c r="BE394" i="9"/>
  <c r="AY19" i="9"/>
  <c r="BA19" i="9" s="1"/>
  <c r="BE19" i="9"/>
  <c r="AY18" i="9"/>
  <c r="AZ18" i="9" s="1"/>
  <c r="BE18" i="9"/>
  <c r="AY10" i="9"/>
  <c r="AZ10" i="9" s="1"/>
  <c r="BE10" i="9"/>
  <c r="AY540" i="9"/>
  <c r="BA540" i="9" s="1"/>
  <c r="BE540" i="9"/>
  <c r="AY508" i="9"/>
  <c r="AZ508" i="9" s="1"/>
  <c r="BE508" i="9"/>
  <c r="AY484" i="9"/>
  <c r="AZ484" i="9" s="1"/>
  <c r="BE484" i="9"/>
  <c r="AY476" i="9"/>
  <c r="AZ476" i="9" s="1"/>
  <c r="BE476" i="9"/>
  <c r="AY452" i="9"/>
  <c r="BA452" i="9" s="1"/>
  <c r="BE452" i="9"/>
  <c r="AY400" i="9"/>
  <c r="AZ400" i="9" s="1"/>
  <c r="BE400" i="9"/>
  <c r="AY350" i="9"/>
  <c r="AZ350" i="9" s="1"/>
  <c r="BE350" i="9"/>
  <c r="AY342" i="9"/>
  <c r="AZ342" i="9" s="1"/>
  <c r="BE342" i="9"/>
  <c r="AY317" i="9"/>
  <c r="AZ317" i="9" s="1"/>
  <c r="BE317" i="9"/>
  <c r="AY291" i="9"/>
  <c r="AZ291" i="9" s="1"/>
  <c r="BE291" i="9"/>
  <c r="AY274" i="9"/>
  <c r="AZ274" i="9" s="1"/>
  <c r="BE274" i="9"/>
  <c r="AY264" i="9"/>
  <c r="AZ264" i="9" s="1"/>
  <c r="BE264" i="9"/>
  <c r="AY248" i="9"/>
  <c r="BA248" i="9" s="1"/>
  <c r="BE248" i="9"/>
  <c r="AY231" i="9"/>
  <c r="AZ231" i="9" s="1"/>
  <c r="BE231" i="9"/>
  <c r="AY220" i="9"/>
  <c r="AZ220" i="9" s="1"/>
  <c r="BE220" i="9"/>
  <c r="AY211" i="9"/>
  <c r="AZ211" i="9" s="1"/>
  <c r="BE211" i="9"/>
  <c r="AY169" i="9"/>
  <c r="AZ169" i="9" s="1"/>
  <c r="BE169" i="9"/>
  <c r="AY161" i="9"/>
  <c r="BA161" i="9" s="1"/>
  <c r="BE161" i="9"/>
  <c r="AY100" i="9"/>
  <c r="AZ100" i="9" s="1"/>
  <c r="BE100" i="9"/>
  <c r="AY84" i="9"/>
  <c r="AZ84" i="9" s="1"/>
  <c r="BE84" i="9"/>
  <c r="AY68" i="9"/>
  <c r="BA68" i="9" s="1"/>
  <c r="BE68" i="9"/>
  <c r="AY44" i="9"/>
  <c r="AZ44" i="9" s="1"/>
  <c r="BE44" i="9"/>
  <c r="AY35" i="9"/>
  <c r="BA35" i="9" s="1"/>
  <c r="BE35" i="9"/>
  <c r="AY26" i="9"/>
  <c r="AZ26" i="9" s="1"/>
  <c r="BE26" i="9"/>
  <c r="AY385" i="9"/>
  <c r="BA385" i="9" s="1"/>
  <c r="BE385" i="9"/>
  <c r="AY526" i="9"/>
  <c r="AZ526" i="9" s="1"/>
  <c r="BE526" i="9"/>
  <c r="AY494" i="9"/>
  <c r="AZ494" i="9" s="1"/>
  <c r="BE494" i="9"/>
  <c r="AY9" i="9"/>
  <c r="BA9" i="9" s="1"/>
  <c r="BE9" i="9"/>
  <c r="AY539" i="9"/>
  <c r="AZ539" i="9" s="1"/>
  <c r="BE539" i="9"/>
  <c r="AY483" i="9"/>
  <c r="BA483" i="9" s="1"/>
  <c r="BE483" i="9"/>
  <c r="AY475" i="9"/>
  <c r="BA475" i="9" s="1"/>
  <c r="BE475" i="9"/>
  <c r="AY467" i="9"/>
  <c r="BA467" i="9" s="1"/>
  <c r="BE467" i="9"/>
  <c r="AY451" i="9"/>
  <c r="AZ451" i="9" s="1"/>
  <c r="BE451" i="9"/>
  <c r="AY399" i="9"/>
  <c r="BA399" i="9" s="1"/>
  <c r="BE399" i="9"/>
  <c r="AY349" i="9"/>
  <c r="AZ349" i="9" s="1"/>
  <c r="BE349" i="9"/>
  <c r="AY341" i="9"/>
  <c r="BA341" i="9" s="1"/>
  <c r="BE341" i="9"/>
  <c r="AY316" i="9"/>
  <c r="BA316" i="9" s="1"/>
  <c r="BE316" i="9"/>
  <c r="AY281" i="9"/>
  <c r="BA281" i="9" s="1"/>
  <c r="BE281" i="9"/>
  <c r="AY272" i="9"/>
  <c r="AZ272" i="9" s="1"/>
  <c r="BE272" i="9"/>
  <c r="AY239" i="9"/>
  <c r="AZ239" i="9" s="1"/>
  <c r="BE239" i="9"/>
  <c r="AY230" i="9"/>
  <c r="BA230" i="9" s="1"/>
  <c r="BE230" i="9"/>
  <c r="AY219" i="9"/>
  <c r="AZ219" i="9" s="1"/>
  <c r="BE219" i="9"/>
  <c r="AY210" i="9"/>
  <c r="BA210" i="9" s="1"/>
  <c r="BE210" i="9"/>
  <c r="AY176" i="9"/>
  <c r="AZ176" i="9" s="1"/>
  <c r="BE176" i="9"/>
  <c r="AY168" i="9"/>
  <c r="BA168" i="9" s="1"/>
  <c r="BE168" i="9"/>
  <c r="AY160" i="9"/>
  <c r="AZ160" i="9" s="1"/>
  <c r="BE160" i="9"/>
  <c r="AY99" i="9"/>
  <c r="BA99" i="9" s="1"/>
  <c r="BE99" i="9"/>
  <c r="AY83" i="9"/>
  <c r="AZ83" i="9" s="1"/>
  <c r="BE83" i="9"/>
  <c r="AY43" i="9"/>
  <c r="BA43" i="9" s="1"/>
  <c r="BE43" i="9"/>
  <c r="AY34" i="9"/>
  <c r="AZ34" i="9" s="1"/>
  <c r="BE34" i="9"/>
  <c r="AY25" i="9"/>
  <c r="AZ25" i="9" s="1"/>
  <c r="BE25" i="9"/>
  <c r="AY387" i="9"/>
  <c r="BA387" i="9" s="1"/>
  <c r="BE387" i="9"/>
  <c r="BE414" i="9"/>
  <c r="BE407" i="9"/>
  <c r="BE293" i="9"/>
  <c r="BE223" i="9"/>
  <c r="BE294" i="9"/>
  <c r="BE222" i="9"/>
  <c r="BE395" i="9"/>
  <c r="AY8" i="9"/>
  <c r="BA8" i="9" s="1"/>
  <c r="BE8" i="9"/>
  <c r="AY482" i="9"/>
  <c r="AZ482" i="9" s="1"/>
  <c r="BE482" i="9"/>
  <c r="AY474" i="9"/>
  <c r="BA474" i="9" s="1"/>
  <c r="BE474" i="9"/>
  <c r="AY466" i="9"/>
  <c r="BE466" i="9"/>
  <c r="AY450" i="9"/>
  <c r="AZ450" i="9" s="1"/>
  <c r="BE450" i="9"/>
  <c r="AY425" i="9"/>
  <c r="AZ425" i="9" s="1"/>
  <c r="BE425" i="9"/>
  <c r="AY413" i="9"/>
  <c r="BA413" i="9" s="1"/>
  <c r="BE413" i="9"/>
  <c r="AY397" i="9"/>
  <c r="AZ397" i="9" s="1"/>
  <c r="BE397" i="9"/>
  <c r="AY381" i="9"/>
  <c r="AZ381" i="9" s="1"/>
  <c r="BE381" i="9"/>
  <c r="AY348" i="9"/>
  <c r="AZ348" i="9" s="1"/>
  <c r="BE348" i="9"/>
  <c r="AY340" i="9"/>
  <c r="BA340" i="9" s="1"/>
  <c r="BE340" i="9"/>
  <c r="AY323" i="9"/>
  <c r="AZ323" i="9" s="1"/>
  <c r="BE323" i="9"/>
  <c r="AY315" i="9"/>
  <c r="AZ315" i="9" s="1"/>
  <c r="BE315" i="9"/>
  <c r="AY271" i="9"/>
  <c r="AZ271" i="9" s="1"/>
  <c r="BE271" i="9"/>
  <c r="AY237" i="9"/>
  <c r="BA237" i="9" s="1"/>
  <c r="BE237" i="9"/>
  <c r="AY229" i="9"/>
  <c r="BA229" i="9" s="1"/>
  <c r="BE229" i="9"/>
  <c r="AY217" i="9"/>
  <c r="BE217" i="9"/>
  <c r="AY209" i="9"/>
  <c r="BA209" i="9" s="1"/>
  <c r="BE209" i="9"/>
  <c r="AY184" i="9"/>
  <c r="BA184" i="9" s="1"/>
  <c r="BE184" i="9"/>
  <c r="AY167" i="9"/>
  <c r="BE167" i="9"/>
  <c r="AY159" i="9"/>
  <c r="AZ159" i="9" s="1"/>
  <c r="BE159" i="9"/>
  <c r="AY139" i="9"/>
  <c r="AZ139" i="9" s="1"/>
  <c r="BE139" i="9"/>
  <c r="AY98" i="9"/>
  <c r="AZ98" i="9" s="1"/>
  <c r="BE98" i="9"/>
  <c r="AY82" i="9"/>
  <c r="AZ82" i="9" s="1"/>
  <c r="BE82" i="9"/>
  <c r="AY42" i="9"/>
  <c r="BA42" i="9" s="1"/>
  <c r="BE42" i="9"/>
  <c r="AY33" i="9"/>
  <c r="BA33" i="9" s="1"/>
  <c r="BE33" i="9"/>
  <c r="AY396" i="9"/>
  <c r="AZ396" i="9" s="1"/>
  <c r="BE396" i="9"/>
  <c r="BA395" i="9"/>
  <c r="AZ404" i="9"/>
  <c r="AZ414" i="9"/>
  <c r="AZ293" i="9"/>
  <c r="BA294" i="9"/>
  <c r="AZ415" i="9"/>
  <c r="BA223" i="9"/>
  <c r="BA393" i="9"/>
  <c r="BA222" i="9"/>
  <c r="AZ19" i="9"/>
  <c r="BA317" i="9"/>
  <c r="BA451" i="9"/>
  <c r="AZ43" i="9"/>
  <c r="AZ466" i="9"/>
  <c r="BA466" i="9"/>
  <c r="BA381" i="9"/>
  <c r="BA217" i="9"/>
  <c r="AZ217" i="9"/>
  <c r="AZ167" i="9"/>
  <c r="BA167" i="9"/>
  <c r="BA159" i="9"/>
  <c r="AZ444" i="9"/>
  <c r="AZ23" i="9"/>
  <c r="AZ481" i="9"/>
  <c r="AZ473" i="9"/>
  <c r="AZ412" i="9"/>
  <c r="AZ339" i="9"/>
  <c r="AZ279" i="9"/>
  <c r="BA269" i="9"/>
  <c r="AZ216" i="9"/>
  <c r="AZ208" i="9"/>
  <c r="BA57" i="9"/>
  <c r="BA32" i="9"/>
  <c r="BA480" i="9"/>
  <c r="BA346" i="9"/>
  <c r="AZ313" i="9"/>
  <c r="BA287" i="9"/>
  <c r="BA182" i="9"/>
  <c r="BA80" i="9"/>
  <c r="AZ411" i="9"/>
  <c r="AZ479" i="9"/>
  <c r="AZ403" i="9"/>
  <c r="BA378" i="9"/>
  <c r="BA361" i="9"/>
  <c r="BA345" i="9"/>
  <c r="BA312" i="9"/>
  <c r="BA267" i="9"/>
  <c r="AZ243" i="9"/>
  <c r="BA214" i="9"/>
  <c r="BA144" i="9"/>
  <c r="BA95" i="9"/>
  <c r="BA38" i="9"/>
  <c r="AZ29" i="9"/>
  <c r="BA12" i="9"/>
  <c r="BA542" i="9"/>
  <c r="BA402" i="9"/>
  <c r="BA386" i="9"/>
  <c r="BA344" i="9"/>
  <c r="BA276" i="9"/>
  <c r="BA266" i="9"/>
  <c r="AZ233" i="9"/>
  <c r="BA127" i="9"/>
  <c r="BA118" i="9"/>
  <c r="BA334" i="9"/>
  <c r="AI503" i="9"/>
  <c r="AU503" i="9" s="1"/>
  <c r="BC503" i="9" s="1"/>
  <c r="AW503" i="9"/>
  <c r="AI471" i="9"/>
  <c r="AU471" i="9" s="1"/>
  <c r="BC471" i="9" s="1"/>
  <c r="AW471" i="9"/>
  <c r="AI430" i="9"/>
  <c r="AJ430" i="9" s="1"/>
  <c r="AO430" i="9" s="1"/>
  <c r="AR430" i="9" s="1"/>
  <c r="AW430" i="9"/>
  <c r="AI234" i="9"/>
  <c r="AJ234" i="9" s="1"/>
  <c r="AO234" i="9" s="1"/>
  <c r="AR234" i="9" s="1"/>
  <c r="AW234" i="9"/>
  <c r="AI120" i="9"/>
  <c r="AJ120" i="9" s="1"/>
  <c r="AO120" i="9" s="1"/>
  <c r="AS120" i="9" s="1"/>
  <c r="AW120" i="9"/>
  <c r="AI71" i="9"/>
  <c r="AU71" i="9" s="1"/>
  <c r="BC71" i="9" s="1"/>
  <c r="AW71" i="9"/>
  <c r="AI534" i="9"/>
  <c r="AJ534" i="9" s="1"/>
  <c r="AO534" i="9" s="1"/>
  <c r="AR534" i="9" s="1"/>
  <c r="AW534" i="9"/>
  <c r="AI518" i="9"/>
  <c r="AJ518" i="9" s="1"/>
  <c r="AO518" i="9" s="1"/>
  <c r="AW518" i="9"/>
  <c r="AI204" i="9"/>
  <c r="AJ204" i="9" s="1"/>
  <c r="AO204" i="9" s="1"/>
  <c r="AS204" i="9" s="1"/>
  <c r="AW204" i="9"/>
  <c r="AI196" i="9"/>
  <c r="AJ196" i="9" s="1"/>
  <c r="AO196" i="9" s="1"/>
  <c r="AS196" i="9" s="1"/>
  <c r="AW196" i="9"/>
  <c r="AI171" i="9"/>
  <c r="AU171" i="9" s="1"/>
  <c r="BC171" i="9" s="1"/>
  <c r="AW171" i="9"/>
  <c r="AI102" i="9"/>
  <c r="AJ102" i="9" s="1"/>
  <c r="AO102" i="9" s="1"/>
  <c r="AW102" i="9"/>
  <c r="AI86" i="9"/>
  <c r="AU86" i="9" s="1"/>
  <c r="BC86" i="9" s="1"/>
  <c r="AW86" i="9"/>
  <c r="AI70" i="9"/>
  <c r="AU70" i="9" s="1"/>
  <c r="BC70" i="9" s="1"/>
  <c r="AW70" i="9"/>
  <c r="AI197" i="9"/>
  <c r="AJ197" i="9" s="1"/>
  <c r="AO197" i="9" s="1"/>
  <c r="AR197" i="9" s="1"/>
  <c r="AW197" i="9"/>
  <c r="AI470" i="9"/>
  <c r="AJ470" i="9" s="1"/>
  <c r="AO470" i="9" s="1"/>
  <c r="AR470" i="9" s="1"/>
  <c r="AW470" i="9"/>
  <c r="AI533" i="9"/>
  <c r="AJ533" i="9" s="1"/>
  <c r="AO533" i="9" s="1"/>
  <c r="AR533" i="9" s="1"/>
  <c r="AW533" i="9"/>
  <c r="AI517" i="9"/>
  <c r="AJ517" i="9" s="1"/>
  <c r="AO517" i="9" s="1"/>
  <c r="AR517" i="9" s="1"/>
  <c r="AW517" i="9"/>
  <c r="AI469" i="9"/>
  <c r="AJ469" i="9" s="1"/>
  <c r="AO469" i="9" s="1"/>
  <c r="AS469" i="9" s="1"/>
  <c r="AW469" i="9"/>
  <c r="AI203" i="9"/>
  <c r="AJ203" i="9" s="1"/>
  <c r="AO203" i="9" s="1"/>
  <c r="AR203" i="9" s="1"/>
  <c r="AW203" i="9"/>
  <c r="AI195" i="9"/>
  <c r="AU195" i="9" s="1"/>
  <c r="BC195" i="9" s="1"/>
  <c r="AW195" i="9"/>
  <c r="AI187" i="9"/>
  <c r="AU187" i="9" s="1"/>
  <c r="BC187" i="9" s="1"/>
  <c r="AW187" i="9"/>
  <c r="AI154" i="9"/>
  <c r="AJ154" i="9" s="1"/>
  <c r="AO154" i="9" s="1"/>
  <c r="AR154" i="9" s="1"/>
  <c r="AW154" i="9"/>
  <c r="AI126" i="9"/>
  <c r="AJ126" i="9" s="1"/>
  <c r="AO126" i="9" s="1"/>
  <c r="AR126" i="9" s="1"/>
  <c r="AW126" i="9"/>
  <c r="AI117" i="9"/>
  <c r="AJ117" i="9" s="1"/>
  <c r="AO117" i="9" s="1"/>
  <c r="AR117" i="9" s="1"/>
  <c r="AW117" i="9"/>
  <c r="AI109" i="9"/>
  <c r="AJ109" i="9" s="1"/>
  <c r="AO109" i="9" s="1"/>
  <c r="AR109" i="9" s="1"/>
  <c r="AW109" i="9"/>
  <c r="AI101" i="9"/>
  <c r="AJ101" i="9" s="1"/>
  <c r="AO101" i="9" s="1"/>
  <c r="AR101" i="9" s="1"/>
  <c r="AW101" i="9"/>
  <c r="AI93" i="9"/>
  <c r="AJ93" i="9" s="1"/>
  <c r="AO93" i="9" s="1"/>
  <c r="AR93" i="9" s="1"/>
  <c r="AW93" i="9"/>
  <c r="AI77" i="9"/>
  <c r="AJ77" i="9" s="1"/>
  <c r="AO77" i="9" s="1"/>
  <c r="AR77" i="9" s="1"/>
  <c r="AW77" i="9"/>
  <c r="AI69" i="9"/>
  <c r="AJ69" i="9" s="1"/>
  <c r="AO69" i="9" s="1"/>
  <c r="AR69" i="9" s="1"/>
  <c r="AW69" i="9"/>
  <c r="AO2" i="9"/>
  <c r="AI455" i="9"/>
  <c r="AJ455" i="9" s="1"/>
  <c r="AO455" i="9" s="1"/>
  <c r="AW455" i="9"/>
  <c r="AI502" i="9"/>
  <c r="AJ502" i="9" s="1"/>
  <c r="AO502" i="9" s="1"/>
  <c r="AW502" i="9"/>
  <c r="AI486" i="9"/>
  <c r="AJ486" i="9" s="1"/>
  <c r="AO486" i="9" s="1"/>
  <c r="AW486" i="9"/>
  <c r="AI454" i="9"/>
  <c r="AJ454" i="9" s="1"/>
  <c r="AO454" i="9" s="1"/>
  <c r="AR454" i="9" s="1"/>
  <c r="AW454" i="9"/>
  <c r="AI429" i="9"/>
  <c r="AJ429" i="9" s="1"/>
  <c r="AO429" i="9" s="1"/>
  <c r="AR429" i="9" s="1"/>
  <c r="AW429" i="9"/>
  <c r="AI295" i="9"/>
  <c r="AU295" i="9" s="1"/>
  <c r="BC295" i="9" s="1"/>
  <c r="AW295" i="9"/>
  <c r="AI501" i="9"/>
  <c r="AU501" i="9" s="1"/>
  <c r="BC501" i="9" s="1"/>
  <c r="AW501" i="9"/>
  <c r="AI453" i="9"/>
  <c r="AU453" i="9" s="1"/>
  <c r="BC453" i="9" s="1"/>
  <c r="AW453" i="9"/>
  <c r="AI428" i="9"/>
  <c r="AU428" i="9" s="1"/>
  <c r="BC428" i="9" s="1"/>
  <c r="AW428" i="9"/>
  <c r="AI384" i="9"/>
  <c r="AJ384" i="9" s="1"/>
  <c r="AO384" i="9" s="1"/>
  <c r="AW384" i="9"/>
  <c r="AI359" i="9"/>
  <c r="AU359" i="9" s="1"/>
  <c r="BC359" i="9" s="1"/>
  <c r="AW359" i="9"/>
  <c r="AI532" i="9"/>
  <c r="AU532" i="9" s="1"/>
  <c r="BC532" i="9" s="1"/>
  <c r="AW532" i="9"/>
  <c r="AI500" i="9"/>
  <c r="AJ500" i="9" s="1"/>
  <c r="AO500" i="9" s="1"/>
  <c r="AW500" i="9"/>
  <c r="AI468" i="9"/>
  <c r="AU468" i="9" s="1"/>
  <c r="BC468" i="9" s="1"/>
  <c r="AW468" i="9"/>
  <c r="AI419" i="9"/>
  <c r="AJ419" i="9" s="1"/>
  <c r="AO419" i="9" s="1"/>
  <c r="AR419" i="9" s="1"/>
  <c r="AW419" i="9"/>
  <c r="AI383" i="9"/>
  <c r="AU383" i="9" s="1"/>
  <c r="BC383" i="9" s="1"/>
  <c r="AW383" i="9"/>
  <c r="AI366" i="9"/>
  <c r="AJ366" i="9" s="1"/>
  <c r="AO366" i="9" s="1"/>
  <c r="AW366" i="9"/>
  <c r="AI358" i="9"/>
  <c r="AU358" i="9" s="1"/>
  <c r="BC358" i="9" s="1"/>
  <c r="AW358" i="9"/>
  <c r="AI333" i="9"/>
  <c r="AJ333" i="9" s="1"/>
  <c r="AO333" i="9" s="1"/>
  <c r="AR333" i="9" s="1"/>
  <c r="AW333" i="9"/>
  <c r="AI202" i="9"/>
  <c r="AU202" i="9" s="1"/>
  <c r="BC202" i="9" s="1"/>
  <c r="AW202" i="9"/>
  <c r="AI194" i="9"/>
  <c r="AJ194" i="9" s="1"/>
  <c r="AO194" i="9" s="1"/>
  <c r="AW194" i="9"/>
  <c r="AI186" i="9"/>
  <c r="AU186" i="9" s="1"/>
  <c r="BC186" i="9" s="1"/>
  <c r="AW186" i="9"/>
  <c r="AI153" i="9"/>
  <c r="AJ153" i="9" s="1"/>
  <c r="AO153" i="9" s="1"/>
  <c r="AR153" i="9" s="1"/>
  <c r="AW153" i="9"/>
  <c r="AI133" i="9"/>
  <c r="AJ133" i="9" s="1"/>
  <c r="AO133" i="9" s="1"/>
  <c r="AR133" i="9" s="1"/>
  <c r="AW133" i="9"/>
  <c r="AI125" i="9"/>
  <c r="AJ125" i="9" s="1"/>
  <c r="AO125" i="9" s="1"/>
  <c r="AW125" i="9"/>
  <c r="AI116" i="9"/>
  <c r="AU116" i="9" s="1"/>
  <c r="BC116" i="9" s="1"/>
  <c r="AW116" i="9"/>
  <c r="AI108" i="9"/>
  <c r="AJ108" i="9" s="1"/>
  <c r="AO108" i="9" s="1"/>
  <c r="AR108" i="9" s="1"/>
  <c r="AW108" i="9"/>
  <c r="AI92" i="9"/>
  <c r="AJ92" i="9" s="1"/>
  <c r="AO92" i="9" s="1"/>
  <c r="AS92" i="9" s="1"/>
  <c r="AW92" i="9"/>
  <c r="AI76" i="9"/>
  <c r="AJ76" i="9" s="1"/>
  <c r="AO76" i="9" s="1"/>
  <c r="AW76" i="9"/>
  <c r="AI60" i="9"/>
  <c r="AU60" i="9" s="1"/>
  <c r="BC60" i="9" s="1"/>
  <c r="AW60" i="9"/>
  <c r="AI21" i="9"/>
  <c r="AJ21" i="9" s="1"/>
  <c r="AO21" i="9" s="1"/>
  <c r="AW21" i="9"/>
  <c r="AI519" i="9"/>
  <c r="AJ519" i="9" s="1"/>
  <c r="AO519" i="9" s="1"/>
  <c r="AR519" i="9" s="1"/>
  <c r="AW519" i="9"/>
  <c r="AI259" i="9"/>
  <c r="AJ259" i="9" s="1"/>
  <c r="AO259" i="9" s="1"/>
  <c r="AW259" i="9"/>
  <c r="AI531" i="9"/>
  <c r="AU531" i="9" s="1"/>
  <c r="BC531" i="9" s="1"/>
  <c r="AW531" i="9"/>
  <c r="AI507" i="9"/>
  <c r="AJ507" i="9" s="1"/>
  <c r="AO507" i="9" s="1"/>
  <c r="AS507" i="9" s="1"/>
  <c r="AW507" i="9"/>
  <c r="AI499" i="9"/>
  <c r="AJ499" i="9" s="1"/>
  <c r="AO499" i="9" s="1"/>
  <c r="AR499" i="9" s="1"/>
  <c r="AW499" i="9"/>
  <c r="AI434" i="9"/>
  <c r="AJ434" i="9" s="1"/>
  <c r="AO434" i="9" s="1"/>
  <c r="AW434" i="9"/>
  <c r="AI418" i="9"/>
  <c r="AJ418" i="9" s="1"/>
  <c r="AO418" i="9" s="1"/>
  <c r="AW418" i="9"/>
  <c r="AI382" i="9"/>
  <c r="AJ382" i="9" s="1"/>
  <c r="AO382" i="9" s="1"/>
  <c r="AW382" i="9"/>
  <c r="AI365" i="9"/>
  <c r="AU365" i="9" s="1"/>
  <c r="BC365" i="9" s="1"/>
  <c r="AW365" i="9"/>
  <c r="AI357" i="9"/>
  <c r="AJ357" i="9" s="1"/>
  <c r="AO357" i="9" s="1"/>
  <c r="AR357" i="9" s="1"/>
  <c r="AW357" i="9"/>
  <c r="AI201" i="9"/>
  <c r="AJ201" i="9" s="1"/>
  <c r="AO201" i="9" s="1"/>
  <c r="AR201" i="9" s="1"/>
  <c r="AW201" i="9"/>
  <c r="AI193" i="9"/>
  <c r="AJ193" i="9" s="1"/>
  <c r="AO193" i="9" s="1"/>
  <c r="AR193" i="9" s="1"/>
  <c r="AW193" i="9"/>
  <c r="AI152" i="9"/>
  <c r="AU152" i="9" s="1"/>
  <c r="BC152" i="9" s="1"/>
  <c r="AW152" i="9"/>
  <c r="AI124" i="9"/>
  <c r="AJ124" i="9" s="1"/>
  <c r="AO124" i="9" s="1"/>
  <c r="AS124" i="9" s="1"/>
  <c r="AW124" i="9"/>
  <c r="AI115" i="9"/>
  <c r="AU115" i="9" s="1"/>
  <c r="BC115" i="9" s="1"/>
  <c r="AW115" i="9"/>
  <c r="AI107" i="9"/>
  <c r="AJ107" i="9" s="1"/>
  <c r="AO107" i="9" s="1"/>
  <c r="AW107" i="9"/>
  <c r="AI59" i="9"/>
  <c r="AU59" i="9" s="1"/>
  <c r="BC59" i="9" s="1"/>
  <c r="AW59" i="9"/>
  <c r="AI51" i="9"/>
  <c r="AJ51" i="9" s="1"/>
  <c r="AO51" i="9" s="1"/>
  <c r="AR51" i="9" s="1"/>
  <c r="AW51" i="9"/>
  <c r="AI353" i="9"/>
  <c r="AU353" i="9" s="1"/>
  <c r="BC353" i="9" s="1"/>
  <c r="AW353" i="9"/>
  <c r="AI530" i="9"/>
  <c r="AJ530" i="9" s="1"/>
  <c r="AO530" i="9" s="1"/>
  <c r="AW530" i="9"/>
  <c r="AI458" i="9"/>
  <c r="AJ458" i="9" s="1"/>
  <c r="AO458" i="9" s="1"/>
  <c r="AR458" i="9" s="1"/>
  <c r="AW458" i="9"/>
  <c r="AI433" i="9"/>
  <c r="AJ433" i="9" s="1"/>
  <c r="AO433" i="9" s="1"/>
  <c r="AW433" i="9"/>
  <c r="AI280" i="9"/>
  <c r="AJ280" i="9" s="1"/>
  <c r="AO280" i="9" s="1"/>
  <c r="AW280" i="9"/>
  <c r="AI254" i="9"/>
  <c r="AJ254" i="9" s="1"/>
  <c r="AO254" i="9" s="1"/>
  <c r="AR254" i="9" s="1"/>
  <c r="AW254" i="9"/>
  <c r="AI200" i="9"/>
  <c r="AJ200" i="9" s="1"/>
  <c r="AO200" i="9" s="1"/>
  <c r="AR200" i="9" s="1"/>
  <c r="AW200" i="9"/>
  <c r="AI175" i="9"/>
  <c r="AJ175" i="9" s="1"/>
  <c r="AO175" i="9" s="1"/>
  <c r="AR175" i="9" s="1"/>
  <c r="AW175" i="9"/>
  <c r="AI151" i="9"/>
  <c r="AJ151" i="9" s="1"/>
  <c r="AO151" i="9" s="1"/>
  <c r="AW151" i="9"/>
  <c r="AI123" i="9"/>
  <c r="AJ123" i="9" s="1"/>
  <c r="AO123" i="9" s="1"/>
  <c r="AR123" i="9" s="1"/>
  <c r="AW123" i="9"/>
  <c r="AI114" i="9"/>
  <c r="AJ114" i="9" s="1"/>
  <c r="AO114" i="9" s="1"/>
  <c r="AS114" i="9" s="1"/>
  <c r="AW114" i="9"/>
  <c r="AI106" i="9"/>
  <c r="AJ106" i="9" s="1"/>
  <c r="AO106" i="9" s="1"/>
  <c r="AW106" i="9"/>
  <c r="AI58" i="9"/>
  <c r="AJ58" i="9" s="1"/>
  <c r="AO58" i="9" s="1"/>
  <c r="AW58" i="9"/>
  <c r="AI50" i="9"/>
  <c r="AJ50" i="9" s="1"/>
  <c r="AO50" i="9" s="1"/>
  <c r="AR50" i="9" s="1"/>
  <c r="AW50" i="9"/>
  <c r="AI172" i="9"/>
  <c r="AU172" i="9" s="1"/>
  <c r="BC172" i="9" s="1"/>
  <c r="AW172" i="9"/>
  <c r="AI87" i="9"/>
  <c r="AJ87" i="9" s="1"/>
  <c r="AO87" i="9" s="1"/>
  <c r="AW87" i="9"/>
  <c r="AI498" i="9"/>
  <c r="AJ498" i="9" s="1"/>
  <c r="AO498" i="9" s="1"/>
  <c r="AS498" i="9" s="1"/>
  <c r="AW498" i="9"/>
  <c r="AI356" i="9"/>
  <c r="AJ356" i="9" s="1"/>
  <c r="AO356" i="9" s="1"/>
  <c r="AS356" i="9" s="1"/>
  <c r="AW356" i="9"/>
  <c r="AI192" i="9"/>
  <c r="AJ192" i="9" s="1"/>
  <c r="AO192" i="9" s="1"/>
  <c r="AS192" i="9" s="1"/>
  <c r="AW192" i="9"/>
  <c r="AI529" i="9"/>
  <c r="AJ529" i="9" s="1"/>
  <c r="AO529" i="9" s="1"/>
  <c r="AR529" i="9" s="1"/>
  <c r="AW529" i="9"/>
  <c r="AI521" i="9"/>
  <c r="AJ521" i="9" s="1"/>
  <c r="AO521" i="9" s="1"/>
  <c r="AW521" i="9"/>
  <c r="AI513" i="9"/>
  <c r="AJ513" i="9" s="1"/>
  <c r="AO513" i="9" s="1"/>
  <c r="AW513" i="9"/>
  <c r="AI505" i="9"/>
  <c r="AU505" i="9" s="1"/>
  <c r="BC505" i="9" s="1"/>
  <c r="AW505" i="9"/>
  <c r="AI457" i="9"/>
  <c r="AJ457" i="9" s="1"/>
  <c r="AO457" i="9" s="1"/>
  <c r="AR457" i="9" s="1"/>
  <c r="AW457" i="9"/>
  <c r="AI432" i="9"/>
  <c r="AJ432" i="9" s="1"/>
  <c r="AO432" i="9" s="1"/>
  <c r="AW432" i="9"/>
  <c r="AI363" i="9"/>
  <c r="AJ363" i="9" s="1"/>
  <c r="AO363" i="9" s="1"/>
  <c r="AW363" i="9"/>
  <c r="AI355" i="9"/>
  <c r="AU355" i="9" s="1"/>
  <c r="BC355" i="9" s="1"/>
  <c r="AW355" i="9"/>
  <c r="AI199" i="9"/>
  <c r="AJ199" i="9" s="1"/>
  <c r="AO199" i="9" s="1"/>
  <c r="AR199" i="9" s="1"/>
  <c r="AW199" i="9"/>
  <c r="AI191" i="9"/>
  <c r="AJ191" i="9" s="1"/>
  <c r="AO191" i="9" s="1"/>
  <c r="AW191" i="9"/>
  <c r="AI174" i="9"/>
  <c r="AJ174" i="9" s="1"/>
  <c r="AO174" i="9" s="1"/>
  <c r="AW174" i="9"/>
  <c r="AI146" i="9"/>
  <c r="AU146" i="9" s="1"/>
  <c r="BC146" i="9" s="1"/>
  <c r="AW146" i="9"/>
  <c r="AI122" i="9"/>
  <c r="AJ122" i="9" s="1"/>
  <c r="AO122" i="9" s="1"/>
  <c r="AR122" i="9" s="1"/>
  <c r="AW122" i="9"/>
  <c r="AI113" i="9"/>
  <c r="AJ113" i="9" s="1"/>
  <c r="AO113" i="9" s="1"/>
  <c r="AW113" i="9"/>
  <c r="AI105" i="9"/>
  <c r="AJ105" i="9" s="1"/>
  <c r="AO105" i="9" s="1"/>
  <c r="AW105" i="9"/>
  <c r="AI89" i="9"/>
  <c r="AJ89" i="9" s="1"/>
  <c r="AO89" i="9" s="1"/>
  <c r="AR89" i="9" s="1"/>
  <c r="AW89" i="9"/>
  <c r="AI73" i="9"/>
  <c r="AJ73" i="9" s="1"/>
  <c r="AO73" i="9" s="1"/>
  <c r="AR73" i="9" s="1"/>
  <c r="AW73" i="9"/>
  <c r="AI49" i="9"/>
  <c r="AJ49" i="9" s="1"/>
  <c r="AO49" i="9" s="1"/>
  <c r="AW49" i="9"/>
  <c r="AI487" i="9"/>
  <c r="AJ487" i="9" s="1"/>
  <c r="AO487" i="9" s="1"/>
  <c r="AS487" i="9" s="1"/>
  <c r="AW487" i="9"/>
  <c r="AI205" i="9"/>
  <c r="AU205" i="9" s="1"/>
  <c r="BC205" i="9" s="1"/>
  <c r="AW205" i="9"/>
  <c r="AI103" i="9"/>
  <c r="AU103" i="9" s="1"/>
  <c r="BC103" i="9" s="1"/>
  <c r="AW103" i="9"/>
  <c r="AI522" i="9"/>
  <c r="AJ522" i="9" s="1"/>
  <c r="AO522" i="9" s="1"/>
  <c r="AW522" i="9"/>
  <c r="AI506" i="9"/>
  <c r="AU506" i="9" s="1"/>
  <c r="BC506" i="9" s="1"/>
  <c r="AW506" i="9"/>
  <c r="AI364" i="9"/>
  <c r="AU364" i="9" s="1"/>
  <c r="BC364" i="9" s="1"/>
  <c r="AW364" i="9"/>
  <c r="AI528" i="9"/>
  <c r="AJ528" i="9" s="1"/>
  <c r="AO528" i="9" s="1"/>
  <c r="AR528" i="9" s="1"/>
  <c r="AW528" i="9"/>
  <c r="AI520" i="9"/>
  <c r="AJ520" i="9" s="1"/>
  <c r="AO520" i="9" s="1"/>
  <c r="AR520" i="9" s="1"/>
  <c r="AW520" i="9"/>
  <c r="AI504" i="9"/>
  <c r="AJ504" i="9" s="1"/>
  <c r="AO504" i="9" s="1"/>
  <c r="AW504" i="9"/>
  <c r="AI456" i="9"/>
  <c r="AU456" i="9" s="1"/>
  <c r="BC456" i="9" s="1"/>
  <c r="AW456" i="9"/>
  <c r="AI431" i="9"/>
  <c r="AJ431" i="9" s="1"/>
  <c r="AO431" i="9" s="1"/>
  <c r="AW431" i="9"/>
  <c r="AI410" i="9"/>
  <c r="AJ410" i="9" s="1"/>
  <c r="AO410" i="9" s="1"/>
  <c r="AR410" i="9" s="1"/>
  <c r="AW410" i="9"/>
  <c r="AI362" i="9"/>
  <c r="AJ362" i="9" s="1"/>
  <c r="AO362" i="9" s="1"/>
  <c r="AR362" i="9" s="1"/>
  <c r="AW362" i="9"/>
  <c r="AI354" i="9"/>
  <c r="AJ354" i="9" s="1"/>
  <c r="AO354" i="9" s="1"/>
  <c r="AW354" i="9"/>
  <c r="AI235" i="9"/>
  <c r="AJ235" i="9" s="1"/>
  <c r="AO235" i="9" s="1"/>
  <c r="AR235" i="9" s="1"/>
  <c r="AW235" i="9"/>
  <c r="AI206" i="9"/>
  <c r="AJ206" i="9" s="1"/>
  <c r="AO206" i="9" s="1"/>
  <c r="AR206" i="9" s="1"/>
  <c r="AW206" i="9"/>
  <c r="AI198" i="9"/>
  <c r="AJ198" i="9" s="1"/>
  <c r="AO198" i="9" s="1"/>
  <c r="AR198" i="9" s="1"/>
  <c r="AW198" i="9"/>
  <c r="AI190" i="9"/>
  <c r="AJ190" i="9" s="1"/>
  <c r="AO190" i="9" s="1"/>
  <c r="AW190" i="9"/>
  <c r="AI173" i="9"/>
  <c r="AJ173" i="9" s="1"/>
  <c r="AO173" i="9" s="1"/>
  <c r="AR173" i="9" s="1"/>
  <c r="AW173" i="9"/>
  <c r="AI145" i="9"/>
  <c r="AJ145" i="9" s="1"/>
  <c r="AO145" i="9" s="1"/>
  <c r="AR145" i="9" s="1"/>
  <c r="AW145" i="9"/>
  <c r="AI121" i="9"/>
  <c r="AJ121" i="9" s="1"/>
  <c r="AO121" i="9" s="1"/>
  <c r="AW121" i="9"/>
  <c r="AI104" i="9"/>
  <c r="AU104" i="9" s="1"/>
  <c r="BC104" i="9" s="1"/>
  <c r="AW104" i="9"/>
  <c r="AI88" i="9"/>
  <c r="AJ88" i="9" s="1"/>
  <c r="AO88" i="9" s="1"/>
  <c r="AR88" i="9" s="1"/>
  <c r="AW88" i="9"/>
  <c r="AI72" i="9"/>
  <c r="AJ72" i="9" s="1"/>
  <c r="AO72" i="9" s="1"/>
  <c r="AR72" i="9" s="1"/>
  <c r="AW72" i="9"/>
  <c r="AI39" i="9"/>
  <c r="AJ39" i="9" s="1"/>
  <c r="AO39" i="9" s="1"/>
  <c r="AR39" i="9" s="1"/>
  <c r="AW39" i="9"/>
  <c r="AR417" i="9"/>
  <c r="AS417" i="9"/>
  <c r="AO536" i="9"/>
  <c r="AO493" i="9"/>
  <c r="AO478" i="9"/>
  <c r="AO446" i="9"/>
  <c r="AO399" i="9"/>
  <c r="AO390" i="9"/>
  <c r="AO318" i="9"/>
  <c r="AO310" i="9"/>
  <c r="AO281" i="9"/>
  <c r="AO271" i="9"/>
  <c r="AO236" i="9"/>
  <c r="AR223" i="9"/>
  <c r="AS223" i="9"/>
  <c r="AO212" i="9"/>
  <c r="AO182" i="9"/>
  <c r="AO167" i="9"/>
  <c r="AR148" i="9"/>
  <c r="AS148" i="9"/>
  <c r="AO128" i="9"/>
  <c r="AO95" i="9"/>
  <c r="AO79" i="9"/>
  <c r="AO47" i="9"/>
  <c r="AO36" i="9"/>
  <c r="AO3" i="9"/>
  <c r="AR406" i="9"/>
  <c r="AS406" i="9"/>
  <c r="AR222" i="9"/>
  <c r="AS222" i="9"/>
  <c r="AR391" i="9"/>
  <c r="AS391" i="9"/>
  <c r="AR150" i="9"/>
  <c r="AS150" i="9"/>
  <c r="AR149" i="9"/>
  <c r="AS149" i="9"/>
  <c r="AR408" i="9"/>
  <c r="AS408" i="9"/>
  <c r="AR147" i="9"/>
  <c r="AS147" i="9"/>
  <c r="AR221" i="9"/>
  <c r="AS221" i="9"/>
  <c r="AR394" i="9"/>
  <c r="AS394" i="9"/>
  <c r="AR407" i="9"/>
  <c r="AS407" i="9"/>
  <c r="AR395" i="9"/>
  <c r="AS395" i="9"/>
  <c r="AR409" i="9"/>
  <c r="AS409" i="9"/>
  <c r="AR416" i="9"/>
  <c r="AS416" i="9"/>
  <c r="AR393" i="9"/>
  <c r="AS393" i="9"/>
  <c r="AR294" i="9"/>
  <c r="AS294" i="9"/>
  <c r="AR414" i="9"/>
  <c r="AS414" i="9"/>
  <c r="AR293" i="9"/>
  <c r="AS293" i="9"/>
  <c r="AR405" i="9"/>
  <c r="AS405" i="9"/>
  <c r="AR404" i="9"/>
  <c r="AS404" i="9"/>
  <c r="AR392" i="9"/>
  <c r="AS392" i="9"/>
  <c r="AR119" i="9"/>
  <c r="AS119" i="9"/>
  <c r="AR415" i="9"/>
  <c r="AS415" i="9"/>
  <c r="AR5" i="9"/>
  <c r="AS5" i="9"/>
  <c r="AO411" i="9"/>
  <c r="AO347" i="9"/>
  <c r="AO339" i="9"/>
  <c r="AO27" i="9"/>
  <c r="AO387" i="9"/>
  <c r="AO494" i="9"/>
  <c r="AO479" i="9"/>
  <c r="AO447" i="9"/>
  <c r="AO412" i="9"/>
  <c r="AO400" i="9"/>
  <c r="AO348" i="9"/>
  <c r="AO340" i="9"/>
  <c r="AO319" i="9"/>
  <c r="AO311" i="9"/>
  <c r="AO285" i="9"/>
  <c r="AO272" i="9"/>
  <c r="AO264" i="9"/>
  <c r="AO237" i="9"/>
  <c r="AO224" i="9"/>
  <c r="AO213" i="9"/>
  <c r="AO183" i="9"/>
  <c r="AO168" i="9"/>
  <c r="AO96" i="9"/>
  <c r="AO80" i="9"/>
  <c r="AO48" i="9"/>
  <c r="AO37" i="9"/>
  <c r="AO28" i="9"/>
  <c r="AO4" i="9"/>
  <c r="AO535" i="9"/>
  <c r="AO485" i="9"/>
  <c r="AO477" i="9"/>
  <c r="AO445" i="9"/>
  <c r="AO398" i="9"/>
  <c r="AO389" i="9"/>
  <c r="AO317" i="9"/>
  <c r="AO296" i="9"/>
  <c r="AO279" i="9"/>
  <c r="AO270" i="9"/>
  <c r="AO220" i="9"/>
  <c r="AO211" i="9"/>
  <c r="AO181" i="9"/>
  <c r="AO166" i="9"/>
  <c r="AO127" i="9"/>
  <c r="AO94" i="9"/>
  <c r="AO78" i="9"/>
  <c r="AO46" i="9"/>
  <c r="AO35" i="9"/>
  <c r="AO12" i="9"/>
  <c r="AO537" i="9"/>
  <c r="AO467" i="9"/>
  <c r="AO379" i="9"/>
  <c r="AO129" i="9"/>
  <c r="AO19" i="9"/>
  <c r="AO367" i="9"/>
  <c r="AO18" i="9"/>
  <c r="AO346" i="9"/>
  <c r="AO542" i="9"/>
  <c r="AO527" i="9"/>
  <c r="AO484" i="9"/>
  <c r="AO476" i="9"/>
  <c r="AO452" i="9"/>
  <c r="AO444" i="9"/>
  <c r="AO397" i="9"/>
  <c r="AO388" i="9"/>
  <c r="AO360" i="9"/>
  <c r="AO345" i="9"/>
  <c r="AO335" i="9"/>
  <c r="AO316" i="9"/>
  <c r="AO278" i="9"/>
  <c r="AO269" i="9"/>
  <c r="AO248" i="9"/>
  <c r="AO232" i="9"/>
  <c r="AO219" i="9"/>
  <c r="AO210" i="9"/>
  <c r="AO180" i="9"/>
  <c r="AO165" i="9"/>
  <c r="AO144" i="9"/>
  <c r="AO118" i="9"/>
  <c r="AO85" i="9"/>
  <c r="AO68" i="9"/>
  <c r="AO45" i="9"/>
  <c r="AO34" i="9"/>
  <c r="AO25" i="9"/>
  <c r="AO11" i="9"/>
  <c r="AO466" i="9"/>
  <c r="AO378" i="9"/>
  <c r="AO218" i="9"/>
  <c r="AO338" i="9"/>
  <c r="AO26" i="9"/>
  <c r="AO541" i="9"/>
  <c r="AO526" i="9"/>
  <c r="AO483" i="9"/>
  <c r="AO475" i="9"/>
  <c r="AO451" i="9"/>
  <c r="AO425" i="9"/>
  <c r="AO396" i="9"/>
  <c r="AO386" i="9"/>
  <c r="AO352" i="9"/>
  <c r="AO344" i="9"/>
  <c r="AO323" i="9"/>
  <c r="AO315" i="9"/>
  <c r="AO292" i="9"/>
  <c r="AO277" i="9"/>
  <c r="AO268" i="9"/>
  <c r="AO243" i="9"/>
  <c r="AO231" i="9"/>
  <c r="AO217" i="9"/>
  <c r="AO209" i="9"/>
  <c r="AO179" i="9"/>
  <c r="AO161" i="9"/>
  <c r="AO143" i="9"/>
  <c r="AO100" i="9"/>
  <c r="AO84" i="9"/>
  <c r="AO62" i="9"/>
  <c r="AO44" i="9"/>
  <c r="AO33" i="9"/>
  <c r="AO24" i="9"/>
  <c r="AO10" i="9"/>
  <c r="AO6" i="9"/>
  <c r="AO273" i="9"/>
  <c r="AO250" i="9"/>
  <c r="AO249" i="9"/>
  <c r="AO540" i="9"/>
  <c r="AO509" i="9"/>
  <c r="AO482" i="9"/>
  <c r="AO474" i="9"/>
  <c r="AO450" i="9"/>
  <c r="AO424" i="9"/>
  <c r="AO403" i="9"/>
  <c r="AO385" i="9"/>
  <c r="AO351" i="9"/>
  <c r="AO343" i="9"/>
  <c r="AO322" i="9"/>
  <c r="AO314" i="9"/>
  <c r="AO291" i="9"/>
  <c r="AO276" i="9"/>
  <c r="AO267" i="9"/>
  <c r="AO242" i="9"/>
  <c r="AO230" i="9"/>
  <c r="AO216" i="9"/>
  <c r="AO208" i="9"/>
  <c r="AO176" i="9"/>
  <c r="AO160" i="9"/>
  <c r="AO139" i="9"/>
  <c r="AO99" i="9"/>
  <c r="AO83" i="9"/>
  <c r="AO61" i="9"/>
  <c r="AO43" i="9"/>
  <c r="AO32" i="9"/>
  <c r="AO23" i="9"/>
  <c r="AO9" i="9"/>
  <c r="AO31" i="9"/>
  <c r="AO284" i="9"/>
  <c r="AO539" i="9"/>
  <c r="AO508" i="9"/>
  <c r="AO481" i="9"/>
  <c r="AO473" i="9"/>
  <c r="AO449" i="9"/>
  <c r="AO402" i="9"/>
  <c r="AO381" i="9"/>
  <c r="AO350" i="9"/>
  <c r="AO342" i="9"/>
  <c r="AO321" i="9"/>
  <c r="AO313" i="9"/>
  <c r="AO287" i="9"/>
  <c r="AO275" i="9"/>
  <c r="AO266" i="9"/>
  <c r="AO239" i="9"/>
  <c r="AO229" i="9"/>
  <c r="AO215" i="9"/>
  <c r="AO207" i="9"/>
  <c r="AO170" i="9"/>
  <c r="AO159" i="9"/>
  <c r="AO138" i="9"/>
  <c r="AO98" i="9"/>
  <c r="AO82" i="9"/>
  <c r="AO57" i="9"/>
  <c r="AO42" i="9"/>
  <c r="AO30" i="9"/>
  <c r="AO22" i="9"/>
  <c r="AO8" i="9"/>
  <c r="AO41" i="9"/>
  <c r="AO465" i="9"/>
  <c r="AO361" i="9"/>
  <c r="AO233" i="9"/>
  <c r="AO538" i="9"/>
  <c r="AO495" i="9"/>
  <c r="AO480" i="9"/>
  <c r="AO472" i="9"/>
  <c r="AO448" i="9"/>
  <c r="AO413" i="9"/>
  <c r="AO401" i="9"/>
  <c r="AO380" i="9"/>
  <c r="AO349" i="9"/>
  <c r="AO341" i="9"/>
  <c r="AO320" i="9"/>
  <c r="AO312" i="9"/>
  <c r="AO286" i="9"/>
  <c r="AO274" i="9"/>
  <c r="AO265" i="9"/>
  <c r="AO238" i="9"/>
  <c r="AO228" i="9"/>
  <c r="AO214" i="9"/>
  <c r="AO184" i="9"/>
  <c r="AO169" i="9"/>
  <c r="AO158" i="9"/>
  <c r="AO130" i="9"/>
  <c r="AO97" i="9"/>
  <c r="AO81" i="9"/>
  <c r="AO56" i="9"/>
  <c r="AO38" i="9"/>
  <c r="AO29" i="9"/>
  <c r="AO20" i="9"/>
  <c r="AO7" i="9"/>
  <c r="AO334" i="9"/>
  <c r="AM50" i="9"/>
  <c r="AM498" i="9"/>
  <c r="AM434" i="9"/>
  <c r="AM370" i="9"/>
  <c r="AM306" i="9"/>
  <c r="AM242" i="9"/>
  <c r="AM178" i="9"/>
  <c r="AM114" i="9"/>
  <c r="AM11" i="9"/>
  <c r="AM490" i="9"/>
  <c r="AM426" i="9"/>
  <c r="AM362" i="9"/>
  <c r="AM298" i="9"/>
  <c r="AM234" i="9"/>
  <c r="AM170" i="9"/>
  <c r="AM106" i="9"/>
  <c r="AM42" i="9"/>
  <c r="AM482" i="9"/>
  <c r="AM418" i="9"/>
  <c r="AM354" i="9"/>
  <c r="AM290" i="9"/>
  <c r="AM226" i="9"/>
  <c r="AM162" i="9"/>
  <c r="AM98" i="9"/>
  <c r="AM34" i="9"/>
  <c r="AM538" i="9"/>
  <c r="AM474" i="9"/>
  <c r="AM410" i="9"/>
  <c r="AM346" i="9"/>
  <c r="AM282" i="9"/>
  <c r="AM218" i="9"/>
  <c r="AM154" i="9"/>
  <c r="AM90" i="9"/>
  <c r="AM26" i="9"/>
  <c r="AM530" i="9"/>
  <c r="AM466" i="9"/>
  <c r="AM402" i="9"/>
  <c r="AM338" i="9"/>
  <c r="AM274" i="9"/>
  <c r="AM210" i="9"/>
  <c r="AM146" i="9"/>
  <c r="AM82" i="9"/>
  <c r="AM18" i="9"/>
  <c r="AM522" i="9"/>
  <c r="AM458" i="9"/>
  <c r="AM394" i="9"/>
  <c r="AM330" i="9"/>
  <c r="AM266" i="9"/>
  <c r="AM202" i="9"/>
  <c r="AM138" i="9"/>
  <c r="AM74" i="9"/>
  <c r="AM10" i="9"/>
  <c r="AM514" i="9"/>
  <c r="AM450" i="9"/>
  <c r="AM386" i="9"/>
  <c r="AM322" i="9"/>
  <c r="AM258" i="9"/>
  <c r="AM194" i="9"/>
  <c r="AM130" i="9"/>
  <c r="AM66" i="9"/>
  <c r="AM4" i="9"/>
  <c r="AM506" i="9"/>
  <c r="AM442" i="9"/>
  <c r="AM378" i="9"/>
  <c r="AM314" i="9"/>
  <c r="AM250" i="9"/>
  <c r="AM186" i="9"/>
  <c r="AM122" i="9"/>
  <c r="AM58" i="9"/>
  <c r="AM537" i="9"/>
  <c r="AM529" i="9"/>
  <c r="AM521" i="9"/>
  <c r="AM513" i="9"/>
  <c r="AM505" i="9"/>
  <c r="AM497" i="9"/>
  <c r="AM489" i="9"/>
  <c r="AM481" i="9"/>
  <c r="AM473" i="9"/>
  <c r="AM465" i="9"/>
  <c r="AM457" i="9"/>
  <c r="AM449" i="9"/>
  <c r="AM441" i="9"/>
  <c r="AM433" i="9"/>
  <c r="AM425" i="9"/>
  <c r="AM417" i="9"/>
  <c r="AM409" i="9"/>
  <c r="AM401" i="9"/>
  <c r="AM393" i="9"/>
  <c r="AM385" i="9"/>
  <c r="AM377" i="9"/>
  <c r="AM369" i="9"/>
  <c r="AM361" i="9"/>
  <c r="AM353" i="9"/>
  <c r="AM345" i="9"/>
  <c r="AM337" i="9"/>
  <c r="AM329" i="9"/>
  <c r="AM321" i="9"/>
  <c r="AM313" i="9"/>
  <c r="AM305" i="9"/>
  <c r="AM297" i="9"/>
  <c r="AM289" i="9"/>
  <c r="AM281" i="9"/>
  <c r="AM273" i="9"/>
  <c r="AM265" i="9"/>
  <c r="AM257" i="9"/>
  <c r="AM249" i="9"/>
  <c r="AM241" i="9"/>
  <c r="AM233" i="9"/>
  <c r="AM225" i="9"/>
  <c r="AM217" i="9"/>
  <c r="AM209" i="9"/>
  <c r="AM201" i="9"/>
  <c r="AM193" i="9"/>
  <c r="AM185" i="9"/>
  <c r="AM177" i="9"/>
  <c r="AM169" i="9"/>
  <c r="AM161" i="9"/>
  <c r="AM153" i="9"/>
  <c r="AM145" i="9"/>
  <c r="AM137" i="9"/>
  <c r="AM129" i="9"/>
  <c r="AM121" i="9"/>
  <c r="AM113" i="9"/>
  <c r="AM105" i="9"/>
  <c r="AM97" i="9"/>
  <c r="AM89" i="9"/>
  <c r="AM81" i="9"/>
  <c r="AM73" i="9"/>
  <c r="AM65" i="9"/>
  <c r="AM57" i="9"/>
  <c r="AM49" i="9"/>
  <c r="AM41" i="9"/>
  <c r="AM33" i="9"/>
  <c r="AM25" i="9"/>
  <c r="AM17" i="9"/>
  <c r="AM9" i="9"/>
  <c r="AM536" i="9"/>
  <c r="AM528" i="9"/>
  <c r="AM520" i="9"/>
  <c r="AM512" i="9"/>
  <c r="AM504" i="9"/>
  <c r="AM496" i="9"/>
  <c r="AM488" i="9"/>
  <c r="AM480" i="9"/>
  <c r="AM472" i="9"/>
  <c r="AM464" i="9"/>
  <c r="AM456" i="9"/>
  <c r="AM448" i="9"/>
  <c r="AM440" i="9"/>
  <c r="AM432" i="9"/>
  <c r="AM424" i="9"/>
  <c r="AM416" i="9"/>
  <c r="AM408" i="9"/>
  <c r="AM400" i="9"/>
  <c r="AM392" i="9"/>
  <c r="AM384" i="9"/>
  <c r="AM376" i="9"/>
  <c r="AM368" i="9"/>
  <c r="AM360" i="9"/>
  <c r="AM352" i="9"/>
  <c r="AM344" i="9"/>
  <c r="AM336" i="9"/>
  <c r="AM328" i="9"/>
  <c r="AM320" i="9"/>
  <c r="AM312" i="9"/>
  <c r="AM304" i="9"/>
  <c r="AM296" i="9"/>
  <c r="AM288" i="9"/>
  <c r="AM280" i="9"/>
  <c r="AM272" i="9"/>
  <c r="AM264" i="9"/>
  <c r="AM256" i="9"/>
  <c r="AM248" i="9"/>
  <c r="AM240" i="9"/>
  <c r="AM232" i="9"/>
  <c r="AM224" i="9"/>
  <c r="AM216" i="9"/>
  <c r="AM208" i="9"/>
  <c r="AM200" i="9"/>
  <c r="AM192" i="9"/>
  <c r="AM184" i="9"/>
  <c r="AM176" i="9"/>
  <c r="AM168" i="9"/>
  <c r="AM160" i="9"/>
  <c r="AM152" i="9"/>
  <c r="AM144" i="9"/>
  <c r="AM136" i="9"/>
  <c r="AM128" i="9"/>
  <c r="AM120" i="9"/>
  <c r="AM112" i="9"/>
  <c r="AM104" i="9"/>
  <c r="AM96" i="9"/>
  <c r="AM88" i="9"/>
  <c r="AM80" i="9"/>
  <c r="AM72" i="9"/>
  <c r="AM64" i="9"/>
  <c r="AM56" i="9"/>
  <c r="AM48" i="9"/>
  <c r="AM40" i="9"/>
  <c r="AM32" i="9"/>
  <c r="AM24" i="9"/>
  <c r="AM16" i="9"/>
  <c r="AM8" i="9"/>
  <c r="AM2" i="9"/>
  <c r="AM535" i="9"/>
  <c r="AM527" i="9"/>
  <c r="AM519" i="9"/>
  <c r="AM511" i="9"/>
  <c r="AM503" i="9"/>
  <c r="AM495" i="9"/>
  <c r="AM487" i="9"/>
  <c r="AM479" i="9"/>
  <c r="AM471" i="9"/>
  <c r="AM463" i="9"/>
  <c r="AM455" i="9"/>
  <c r="AM447" i="9"/>
  <c r="AM439" i="9"/>
  <c r="AM431" i="9"/>
  <c r="AM423" i="9"/>
  <c r="AM415" i="9"/>
  <c r="AM407" i="9"/>
  <c r="AM399" i="9"/>
  <c r="AM391" i="9"/>
  <c r="AM383" i="9"/>
  <c r="AM375" i="9"/>
  <c r="AM367" i="9"/>
  <c r="AM359" i="9"/>
  <c r="AM351" i="9"/>
  <c r="AM343" i="9"/>
  <c r="AM335" i="9"/>
  <c r="AM327" i="9"/>
  <c r="AM319" i="9"/>
  <c r="AM311" i="9"/>
  <c r="AM303" i="9"/>
  <c r="AM295" i="9"/>
  <c r="AM287" i="9"/>
  <c r="AM279" i="9"/>
  <c r="AM271" i="9"/>
  <c r="AM263" i="9"/>
  <c r="AM255" i="9"/>
  <c r="AM247" i="9"/>
  <c r="AM239" i="9"/>
  <c r="AM231" i="9"/>
  <c r="AM223" i="9"/>
  <c r="AM215" i="9"/>
  <c r="AM207" i="9"/>
  <c r="AM199" i="9"/>
  <c r="AM191" i="9"/>
  <c r="AM183" i="9"/>
  <c r="AM175" i="9"/>
  <c r="AM167" i="9"/>
  <c r="AM159" i="9"/>
  <c r="AM151" i="9"/>
  <c r="AM143" i="9"/>
  <c r="AM135" i="9"/>
  <c r="AM127" i="9"/>
  <c r="AM119" i="9"/>
  <c r="AM111" i="9"/>
  <c r="AM103" i="9"/>
  <c r="AM95" i="9"/>
  <c r="AM87" i="9"/>
  <c r="AM79" i="9"/>
  <c r="AM71" i="9"/>
  <c r="AM63" i="9"/>
  <c r="AM55" i="9"/>
  <c r="AM47" i="9"/>
  <c r="AM39" i="9"/>
  <c r="AM31" i="9"/>
  <c r="AM23" i="9"/>
  <c r="AM15" i="9"/>
  <c r="AM7" i="9"/>
  <c r="AM542" i="9"/>
  <c r="AM534" i="9"/>
  <c r="AM526" i="9"/>
  <c r="AM518" i="9"/>
  <c r="AM510" i="9"/>
  <c r="AM502" i="9"/>
  <c r="AM494" i="9"/>
  <c r="AM486" i="9"/>
  <c r="AM478" i="9"/>
  <c r="AM470" i="9"/>
  <c r="AM462" i="9"/>
  <c r="AM454" i="9"/>
  <c r="AM446" i="9"/>
  <c r="AM438" i="9"/>
  <c r="AM430" i="9"/>
  <c r="AM422" i="9"/>
  <c r="AM414" i="9"/>
  <c r="AM406" i="9"/>
  <c r="AM398" i="9"/>
  <c r="AM390" i="9"/>
  <c r="AM382" i="9"/>
  <c r="AM374" i="9"/>
  <c r="AM366" i="9"/>
  <c r="AM358" i="9"/>
  <c r="AM350" i="9"/>
  <c r="AM342" i="9"/>
  <c r="AM334" i="9"/>
  <c r="AM326" i="9"/>
  <c r="AM318" i="9"/>
  <c r="AM310" i="9"/>
  <c r="AM302" i="9"/>
  <c r="AM294" i="9"/>
  <c r="AM286" i="9"/>
  <c r="AM278" i="9"/>
  <c r="AM270" i="9"/>
  <c r="AM262" i="9"/>
  <c r="AM254" i="9"/>
  <c r="AM246" i="9"/>
  <c r="AM238" i="9"/>
  <c r="AM230" i="9"/>
  <c r="AM222" i="9"/>
  <c r="AM214" i="9"/>
  <c r="AM206" i="9"/>
  <c r="AM198" i="9"/>
  <c r="AM190" i="9"/>
  <c r="AM182" i="9"/>
  <c r="AM174" i="9"/>
  <c r="AM166" i="9"/>
  <c r="AM158" i="9"/>
  <c r="AM150" i="9"/>
  <c r="AM142" i="9"/>
  <c r="AM134" i="9"/>
  <c r="AM126" i="9"/>
  <c r="AM118" i="9"/>
  <c r="AM110" i="9"/>
  <c r="AM102" i="9"/>
  <c r="AM94" i="9"/>
  <c r="AM86" i="9"/>
  <c r="AM78" i="9"/>
  <c r="AM70" i="9"/>
  <c r="AM62" i="9"/>
  <c r="AM54" i="9"/>
  <c r="AM46" i="9"/>
  <c r="AM38" i="9"/>
  <c r="AM30" i="9"/>
  <c r="AM22" i="9"/>
  <c r="AM14" i="9"/>
  <c r="AM6" i="9"/>
  <c r="AM541" i="9"/>
  <c r="AM533" i="9"/>
  <c r="AM525" i="9"/>
  <c r="AM517" i="9"/>
  <c r="AM509" i="9"/>
  <c r="AM501" i="9"/>
  <c r="AM493" i="9"/>
  <c r="AM485" i="9"/>
  <c r="AM477" i="9"/>
  <c r="AM469" i="9"/>
  <c r="AM461" i="9"/>
  <c r="AM453" i="9"/>
  <c r="AM445" i="9"/>
  <c r="AM437" i="9"/>
  <c r="AM429" i="9"/>
  <c r="AM421" i="9"/>
  <c r="AM413" i="9"/>
  <c r="AM405" i="9"/>
  <c r="AM397" i="9"/>
  <c r="AM389" i="9"/>
  <c r="AM381" i="9"/>
  <c r="AM373" i="9"/>
  <c r="AM365" i="9"/>
  <c r="AM357" i="9"/>
  <c r="AM349" i="9"/>
  <c r="AM341" i="9"/>
  <c r="AM333" i="9"/>
  <c r="AM325" i="9"/>
  <c r="AM317" i="9"/>
  <c r="AM309" i="9"/>
  <c r="AM301" i="9"/>
  <c r="AM293" i="9"/>
  <c r="AM285" i="9"/>
  <c r="AM277" i="9"/>
  <c r="AM269" i="9"/>
  <c r="AM261" i="9"/>
  <c r="AM253" i="9"/>
  <c r="AM245" i="9"/>
  <c r="AM237" i="9"/>
  <c r="AM229" i="9"/>
  <c r="AM221" i="9"/>
  <c r="AM213" i="9"/>
  <c r="AM205" i="9"/>
  <c r="AM197" i="9"/>
  <c r="AM189" i="9"/>
  <c r="AM181" i="9"/>
  <c r="AM173" i="9"/>
  <c r="AM165" i="9"/>
  <c r="AM157" i="9"/>
  <c r="AM149" i="9"/>
  <c r="AM141" i="9"/>
  <c r="AM133" i="9"/>
  <c r="AM125" i="9"/>
  <c r="AM117" i="9"/>
  <c r="AM109" i="9"/>
  <c r="AM101" i="9"/>
  <c r="AM93" i="9"/>
  <c r="AM85" i="9"/>
  <c r="AM77" i="9"/>
  <c r="AM69" i="9"/>
  <c r="AM61" i="9"/>
  <c r="AM53" i="9"/>
  <c r="AM45" i="9"/>
  <c r="AM37" i="9"/>
  <c r="AM29" i="9"/>
  <c r="AM21" i="9"/>
  <c r="AM13" i="9"/>
  <c r="AM5" i="9"/>
  <c r="AM540" i="9"/>
  <c r="AM532" i="9"/>
  <c r="AM524" i="9"/>
  <c r="AM516" i="9"/>
  <c r="AM508" i="9"/>
  <c r="AM500" i="9"/>
  <c r="AM492" i="9"/>
  <c r="AM484" i="9"/>
  <c r="AM476" i="9"/>
  <c r="AM468" i="9"/>
  <c r="AM460" i="9"/>
  <c r="AM452" i="9"/>
  <c r="AM444" i="9"/>
  <c r="AM436" i="9"/>
  <c r="AM428" i="9"/>
  <c r="AM420" i="9"/>
  <c r="AM412" i="9"/>
  <c r="AM404" i="9"/>
  <c r="AM396" i="9"/>
  <c r="AM388" i="9"/>
  <c r="AM380" i="9"/>
  <c r="AM372" i="9"/>
  <c r="AM364" i="9"/>
  <c r="AM356" i="9"/>
  <c r="AM348" i="9"/>
  <c r="AM340" i="9"/>
  <c r="AM332" i="9"/>
  <c r="AM324" i="9"/>
  <c r="AM316" i="9"/>
  <c r="AM308" i="9"/>
  <c r="AM300" i="9"/>
  <c r="AM292" i="9"/>
  <c r="AM284" i="9"/>
  <c r="AM276" i="9"/>
  <c r="AM268" i="9"/>
  <c r="AM260" i="9"/>
  <c r="AM252" i="9"/>
  <c r="AM244" i="9"/>
  <c r="AM236" i="9"/>
  <c r="AM228" i="9"/>
  <c r="AM220" i="9"/>
  <c r="AM212" i="9"/>
  <c r="AM204" i="9"/>
  <c r="AM196" i="9"/>
  <c r="AM188" i="9"/>
  <c r="AM180" i="9"/>
  <c r="AM172" i="9"/>
  <c r="AM164" i="9"/>
  <c r="AM156" i="9"/>
  <c r="AM148" i="9"/>
  <c r="AM140" i="9"/>
  <c r="AM132" i="9"/>
  <c r="AM124" i="9"/>
  <c r="AM116" i="9"/>
  <c r="AM108" i="9"/>
  <c r="AM100" i="9"/>
  <c r="AM92" i="9"/>
  <c r="AM84" i="9"/>
  <c r="AM76" i="9"/>
  <c r="AM68" i="9"/>
  <c r="AM60" i="9"/>
  <c r="AM52" i="9"/>
  <c r="AM44" i="9"/>
  <c r="AM36" i="9"/>
  <c r="AM28" i="9"/>
  <c r="AM20" i="9"/>
  <c r="AM12" i="9"/>
  <c r="AM539" i="9"/>
  <c r="AM531" i="9"/>
  <c r="AM523" i="9"/>
  <c r="AM515" i="9"/>
  <c r="AM507" i="9"/>
  <c r="AM499" i="9"/>
  <c r="AM491" i="9"/>
  <c r="AM483" i="9"/>
  <c r="AM475" i="9"/>
  <c r="AM467" i="9"/>
  <c r="AM459" i="9"/>
  <c r="AM451" i="9"/>
  <c r="AM443" i="9"/>
  <c r="AM435" i="9"/>
  <c r="AM427" i="9"/>
  <c r="AM419" i="9"/>
  <c r="AM411" i="9"/>
  <c r="AM403" i="9"/>
  <c r="AM395" i="9"/>
  <c r="AM387" i="9"/>
  <c r="AM379" i="9"/>
  <c r="AM371" i="9"/>
  <c r="AM363" i="9"/>
  <c r="AM355" i="9"/>
  <c r="AM347" i="9"/>
  <c r="AM339" i="9"/>
  <c r="AM331" i="9"/>
  <c r="AM323" i="9"/>
  <c r="AM315" i="9"/>
  <c r="AM307" i="9"/>
  <c r="AM299" i="9"/>
  <c r="AM291" i="9"/>
  <c r="AM283" i="9"/>
  <c r="AM275" i="9"/>
  <c r="AM267" i="9"/>
  <c r="AM259" i="9"/>
  <c r="AM251" i="9"/>
  <c r="AM243" i="9"/>
  <c r="AM235" i="9"/>
  <c r="AM227" i="9"/>
  <c r="AM219" i="9"/>
  <c r="AM211" i="9"/>
  <c r="AM203" i="9"/>
  <c r="AM195" i="9"/>
  <c r="AM187" i="9"/>
  <c r="AM179" i="9"/>
  <c r="AM171" i="9"/>
  <c r="AM163" i="9"/>
  <c r="AM155" i="9"/>
  <c r="AM147" i="9"/>
  <c r="AM139" i="9"/>
  <c r="AM131" i="9"/>
  <c r="AM123" i="9"/>
  <c r="AM115" i="9"/>
  <c r="AM107" i="9"/>
  <c r="AM99" i="9"/>
  <c r="AM91" i="9"/>
  <c r="AM83" i="9"/>
  <c r="AM75" i="9"/>
  <c r="AM67" i="9"/>
  <c r="AM59" i="9"/>
  <c r="AM51" i="9"/>
  <c r="AM43" i="9"/>
  <c r="AM35" i="9"/>
  <c r="AM27" i="9"/>
  <c r="AM19" i="9"/>
  <c r="BA315" i="9" l="1"/>
  <c r="BA539" i="9"/>
  <c r="AZ42" i="9"/>
  <c r="AZ340" i="9"/>
  <c r="BA62" i="9"/>
  <c r="BA275" i="9"/>
  <c r="BA335" i="9"/>
  <c r="BA61" i="9"/>
  <c r="BA450" i="9"/>
  <c r="BA272" i="9"/>
  <c r="AJ503" i="9"/>
  <c r="AO503" i="9" s="1"/>
  <c r="AR503" i="9" s="1"/>
  <c r="BA94" i="9"/>
  <c r="AZ7" i="9"/>
  <c r="AZ184" i="9"/>
  <c r="AZ35" i="9"/>
  <c r="AU77" i="9"/>
  <c r="BC77" i="9" s="1"/>
  <c r="BA338" i="9"/>
  <c r="AU533" i="9"/>
  <c r="BC533" i="9" s="1"/>
  <c r="BA350" i="9"/>
  <c r="AZ485" i="9"/>
  <c r="AZ474" i="9"/>
  <c r="AZ250" i="9"/>
  <c r="BA495" i="9"/>
  <c r="BA390" i="9"/>
  <c r="BA170" i="9"/>
  <c r="AZ181" i="9"/>
  <c r="BA320" i="9"/>
  <c r="AZ165" i="9"/>
  <c r="BA236" i="9"/>
  <c r="AZ11" i="9"/>
  <c r="BA538" i="9"/>
  <c r="BA100" i="9"/>
  <c r="BA478" i="9"/>
  <c r="BA36" i="9"/>
  <c r="AZ249" i="9"/>
  <c r="BA396" i="9"/>
  <c r="BA349" i="9"/>
  <c r="BA484" i="9"/>
  <c r="BA311" i="9"/>
  <c r="BA448" i="9"/>
  <c r="BA130" i="9"/>
  <c r="BA465" i="9"/>
  <c r="AZ413" i="9"/>
  <c r="BA220" i="9"/>
  <c r="BA180" i="9"/>
  <c r="BA494" i="9"/>
  <c r="BA278" i="9"/>
  <c r="AZ310" i="9"/>
  <c r="BA98" i="9"/>
  <c r="AZ237" i="9"/>
  <c r="BA25" i="9"/>
  <c r="BA18" i="9"/>
  <c r="AZ37" i="9"/>
  <c r="BA79" i="9"/>
  <c r="BA183" i="9"/>
  <c r="BA322" i="9"/>
  <c r="BA351" i="9"/>
  <c r="AZ475" i="9"/>
  <c r="BA274" i="9"/>
  <c r="BA360" i="9"/>
  <c r="AZ277" i="9"/>
  <c r="BA388" i="9"/>
  <c r="BA56" i="9"/>
  <c r="BA4" i="9"/>
  <c r="AZ99" i="9"/>
  <c r="AZ210" i="9"/>
  <c r="AJ195" i="9"/>
  <c r="AO195" i="9" s="1"/>
  <c r="AR195" i="9" s="1"/>
  <c r="BA46" i="9"/>
  <c r="AZ213" i="9"/>
  <c r="BA319" i="9"/>
  <c r="AZ265" i="9"/>
  <c r="BA286" i="9"/>
  <c r="BA472" i="9"/>
  <c r="AZ81" i="9"/>
  <c r="AZ316" i="9"/>
  <c r="BA47" i="9"/>
  <c r="AZ527" i="9"/>
  <c r="BA96" i="9"/>
  <c r="AZ22" i="9"/>
  <c r="AZ138" i="9"/>
  <c r="BA323" i="9"/>
  <c r="AJ86" i="9"/>
  <c r="AO86" i="9" s="1"/>
  <c r="AS86" i="9" s="1"/>
  <c r="BA82" i="9"/>
  <c r="AZ229" i="9"/>
  <c r="BA397" i="9"/>
  <c r="BA401" i="9"/>
  <c r="BA45" i="9"/>
  <c r="BA343" i="9"/>
  <c r="AZ493" i="9"/>
  <c r="AU430" i="9"/>
  <c r="BC430" i="9" s="1"/>
  <c r="AJ171" i="9"/>
  <c r="AO171" i="9" s="1"/>
  <c r="AS171" i="9" s="1"/>
  <c r="AZ33" i="9"/>
  <c r="BA139" i="9"/>
  <c r="AZ209" i="9"/>
  <c r="BA271" i="9"/>
  <c r="BA348" i="9"/>
  <c r="BA425" i="9"/>
  <c r="BA482" i="9"/>
  <c r="AU101" i="9"/>
  <c r="BC101" i="9" s="1"/>
  <c r="BA509" i="9"/>
  <c r="BA128" i="9"/>
  <c r="AZ447" i="9"/>
  <c r="BA424" i="9"/>
  <c r="AZ8" i="9"/>
  <c r="AZ540" i="9"/>
  <c r="BA20" i="9"/>
  <c r="AZ24" i="9"/>
  <c r="AZ168" i="9"/>
  <c r="AZ68" i="9"/>
  <c r="BA30" i="9"/>
  <c r="BA215" i="9"/>
  <c r="AZ379" i="9"/>
  <c r="AZ224" i="9"/>
  <c r="AZ347" i="9"/>
  <c r="AU196" i="9"/>
  <c r="BC196" i="9" s="1"/>
  <c r="AZ535" i="9"/>
  <c r="BA296" i="9"/>
  <c r="AZ367" i="9"/>
  <c r="BA158" i="9"/>
  <c r="AZ230" i="9"/>
  <c r="BA169" i="9"/>
  <c r="AJ71" i="9"/>
  <c r="AO71" i="9" s="1"/>
  <c r="AR71" i="9" s="1"/>
  <c r="AZ452" i="9"/>
  <c r="AZ385" i="9"/>
  <c r="AZ248" i="9"/>
  <c r="BA398" i="9"/>
  <c r="AZ97" i="9"/>
  <c r="BA166" i="9"/>
  <c r="BA228" i="9"/>
  <c r="BA314" i="9"/>
  <c r="BA380" i="9"/>
  <c r="BA449" i="9"/>
  <c r="BA537" i="9"/>
  <c r="BA318" i="9"/>
  <c r="BA34" i="9"/>
  <c r="BA160" i="9"/>
  <c r="BA219" i="9"/>
  <c r="AZ281" i="9"/>
  <c r="AZ399" i="9"/>
  <c r="AZ483" i="9"/>
  <c r="BA477" i="9"/>
  <c r="BA44" i="9"/>
  <c r="AZ161" i="9"/>
  <c r="BA231" i="9"/>
  <c r="BA291" i="9"/>
  <c r="BA400" i="9"/>
  <c r="BA508" i="9"/>
  <c r="BA212" i="9"/>
  <c r="AU89" i="9"/>
  <c r="BC89" i="9" s="1"/>
  <c r="BD89" i="9" s="1"/>
  <c r="BA526" i="9"/>
  <c r="BA232" i="9"/>
  <c r="AU458" i="9"/>
  <c r="BC458" i="9" s="1"/>
  <c r="BD458" i="9" s="1"/>
  <c r="AZ9" i="9"/>
  <c r="BA541" i="9"/>
  <c r="BA27" i="9"/>
  <c r="BA292" i="9"/>
  <c r="BA28" i="9"/>
  <c r="BA78" i="9"/>
  <c r="BA143" i="9"/>
  <c r="BA242" i="9"/>
  <c r="AZ285" i="9"/>
  <c r="BA352" i="9"/>
  <c r="BA445" i="9"/>
  <c r="BA3" i="9"/>
  <c r="AJ383" i="9"/>
  <c r="AO383" i="9" s="1"/>
  <c r="AR383" i="9" s="1"/>
  <c r="AZ387" i="9"/>
  <c r="BA83" i="9"/>
  <c r="BA176" i="9"/>
  <c r="BA239" i="9"/>
  <c r="AZ341" i="9"/>
  <c r="AZ467" i="9"/>
  <c r="AZ85" i="9"/>
  <c r="BA26" i="9"/>
  <c r="BA84" i="9"/>
  <c r="BA211" i="9"/>
  <c r="BA264" i="9"/>
  <c r="BA342" i="9"/>
  <c r="BA476" i="9"/>
  <c r="BA10" i="9"/>
  <c r="BA48" i="9"/>
  <c r="AZ129" i="9"/>
  <c r="BA268" i="9"/>
  <c r="AZ321" i="9"/>
  <c r="BA389" i="9"/>
  <c r="BA536" i="9"/>
  <c r="BG82" i="9"/>
  <c r="BF82" i="9"/>
  <c r="BF167" i="9"/>
  <c r="BG167" i="9"/>
  <c r="BF229" i="9"/>
  <c r="BG229" i="9"/>
  <c r="BF323" i="9"/>
  <c r="BG323" i="9"/>
  <c r="BF397" i="9"/>
  <c r="BG397" i="9"/>
  <c r="BF466" i="9"/>
  <c r="BG466" i="9"/>
  <c r="BF25" i="9"/>
  <c r="BG25" i="9"/>
  <c r="BF99" i="9"/>
  <c r="BG99" i="9"/>
  <c r="BG210" i="9"/>
  <c r="BF210" i="9"/>
  <c r="BF272" i="9"/>
  <c r="BG272" i="9"/>
  <c r="BF349" i="9"/>
  <c r="BG349" i="9"/>
  <c r="BF475" i="9"/>
  <c r="BG475" i="9"/>
  <c r="BF494" i="9"/>
  <c r="BG494" i="9"/>
  <c r="BF35" i="9"/>
  <c r="BG35" i="9"/>
  <c r="BF100" i="9"/>
  <c r="BG100" i="9"/>
  <c r="BF220" i="9"/>
  <c r="BG220" i="9"/>
  <c r="BG274" i="9"/>
  <c r="BF274" i="9"/>
  <c r="BF350" i="9"/>
  <c r="BG350" i="9"/>
  <c r="BG484" i="9"/>
  <c r="BF484" i="9"/>
  <c r="BG18" i="9"/>
  <c r="BF18" i="9"/>
  <c r="BF45" i="9"/>
  <c r="BG45" i="9"/>
  <c r="BF212" i="9"/>
  <c r="BG212" i="9"/>
  <c r="BF265" i="9"/>
  <c r="BG265" i="9"/>
  <c r="BG318" i="9"/>
  <c r="BF318" i="9"/>
  <c r="BF401" i="9"/>
  <c r="BG401" i="9"/>
  <c r="BF493" i="9"/>
  <c r="BG493" i="9"/>
  <c r="BF542" i="9"/>
  <c r="BG542" i="9"/>
  <c r="BG46" i="9"/>
  <c r="BF46" i="9"/>
  <c r="BG118" i="9"/>
  <c r="BF118" i="9"/>
  <c r="BF213" i="9"/>
  <c r="BG213" i="9"/>
  <c r="BG266" i="9"/>
  <c r="BF266" i="9"/>
  <c r="BF319" i="9"/>
  <c r="BG319" i="9"/>
  <c r="BF386" i="9"/>
  <c r="BG386" i="9"/>
  <c r="BF12" i="9"/>
  <c r="BG12" i="9"/>
  <c r="BG38" i="9"/>
  <c r="BF38" i="9"/>
  <c r="BF128" i="9"/>
  <c r="BG128" i="9"/>
  <c r="BF243" i="9"/>
  <c r="BG243" i="9"/>
  <c r="BF296" i="9"/>
  <c r="BG296" i="9"/>
  <c r="BF361" i="9"/>
  <c r="BG361" i="9"/>
  <c r="BF447" i="9"/>
  <c r="BG447" i="9"/>
  <c r="BF535" i="9"/>
  <c r="BG535" i="9"/>
  <c r="BG30" i="9"/>
  <c r="BF30" i="9"/>
  <c r="BF96" i="9"/>
  <c r="BG96" i="9"/>
  <c r="BF215" i="9"/>
  <c r="BG215" i="9"/>
  <c r="BF313" i="9"/>
  <c r="BG313" i="9"/>
  <c r="BF379" i="9"/>
  <c r="BG379" i="9"/>
  <c r="BG480" i="9"/>
  <c r="BF480" i="9"/>
  <c r="BF20" i="9"/>
  <c r="BG20" i="9"/>
  <c r="BF398" i="9"/>
  <c r="BG398" i="9"/>
  <c r="BF97" i="9"/>
  <c r="BG97" i="9"/>
  <c r="BG166" i="9"/>
  <c r="BF166" i="9"/>
  <c r="BF228" i="9"/>
  <c r="BG228" i="9"/>
  <c r="BG314" i="9"/>
  <c r="BF314" i="9"/>
  <c r="BG380" i="9"/>
  <c r="BF380" i="9"/>
  <c r="BF449" i="9"/>
  <c r="BG449" i="9"/>
  <c r="BF537" i="9"/>
  <c r="BG537" i="9"/>
  <c r="AU499" i="9"/>
  <c r="BC499" i="9" s="1"/>
  <c r="BF395" i="9"/>
  <c r="BG395" i="9"/>
  <c r="BF293" i="9"/>
  <c r="BG293" i="9"/>
  <c r="BG408" i="9"/>
  <c r="BF408" i="9"/>
  <c r="BG404" i="9"/>
  <c r="BF404" i="9"/>
  <c r="BF119" i="9"/>
  <c r="BG119" i="9"/>
  <c r="BG396" i="9"/>
  <c r="BF396" i="9"/>
  <c r="BG98" i="9"/>
  <c r="BF98" i="9"/>
  <c r="BF184" i="9"/>
  <c r="BG184" i="9"/>
  <c r="BF237" i="9"/>
  <c r="BG237" i="9"/>
  <c r="BF340" i="9"/>
  <c r="BG340" i="9"/>
  <c r="BF413" i="9"/>
  <c r="BG413" i="9"/>
  <c r="BF474" i="9"/>
  <c r="BG474" i="9"/>
  <c r="BG34" i="9"/>
  <c r="BF34" i="9"/>
  <c r="BF160" i="9"/>
  <c r="BG160" i="9"/>
  <c r="BF219" i="9"/>
  <c r="BG219" i="9"/>
  <c r="BF281" i="9"/>
  <c r="BG281" i="9"/>
  <c r="BF399" i="9"/>
  <c r="BG399" i="9"/>
  <c r="BF483" i="9"/>
  <c r="BG483" i="9"/>
  <c r="BF526" i="9"/>
  <c r="BG526" i="9"/>
  <c r="BF44" i="9"/>
  <c r="BG44" i="9"/>
  <c r="BF161" i="9"/>
  <c r="BG161" i="9"/>
  <c r="BF231" i="9"/>
  <c r="BG231" i="9"/>
  <c r="BF291" i="9"/>
  <c r="BG291" i="9"/>
  <c r="BG400" i="9"/>
  <c r="BF400" i="9"/>
  <c r="BG508" i="9"/>
  <c r="BF508" i="9"/>
  <c r="BF19" i="9"/>
  <c r="BG19" i="9"/>
  <c r="BF367" i="9"/>
  <c r="BG367" i="9"/>
  <c r="BF61" i="9"/>
  <c r="BG61" i="9"/>
  <c r="BF224" i="9"/>
  <c r="BG224" i="9"/>
  <c r="BF275" i="9"/>
  <c r="BG275" i="9"/>
  <c r="BG335" i="9"/>
  <c r="BF335" i="9"/>
  <c r="BG444" i="9"/>
  <c r="BF444" i="9"/>
  <c r="BF509" i="9"/>
  <c r="BG509" i="9"/>
  <c r="BG334" i="9"/>
  <c r="BF334" i="9"/>
  <c r="BG62" i="9"/>
  <c r="BF62" i="9"/>
  <c r="BF127" i="9"/>
  <c r="BG127" i="9"/>
  <c r="BF233" i="9"/>
  <c r="BG233" i="9"/>
  <c r="BF276" i="9"/>
  <c r="BG276" i="9"/>
  <c r="BG344" i="9"/>
  <c r="BF344" i="9"/>
  <c r="BF402" i="9"/>
  <c r="BG402" i="9"/>
  <c r="BF47" i="9"/>
  <c r="BG47" i="9"/>
  <c r="BF144" i="9"/>
  <c r="BG144" i="9"/>
  <c r="BF267" i="9"/>
  <c r="BG267" i="9"/>
  <c r="BF312" i="9"/>
  <c r="BG312" i="9"/>
  <c r="BF378" i="9"/>
  <c r="BG378" i="9"/>
  <c r="BF479" i="9"/>
  <c r="BG479" i="9"/>
  <c r="BF3" i="9"/>
  <c r="BG3" i="9"/>
  <c r="BF48" i="9"/>
  <c r="BG48" i="9"/>
  <c r="BF129" i="9"/>
  <c r="BG129" i="9"/>
  <c r="BF268" i="9"/>
  <c r="BG268" i="9"/>
  <c r="BF321" i="9"/>
  <c r="BG321" i="9"/>
  <c r="BF389" i="9"/>
  <c r="BG389" i="9"/>
  <c r="BF536" i="9"/>
  <c r="BG536" i="9"/>
  <c r="BF32" i="9"/>
  <c r="BG32" i="9"/>
  <c r="BG130" i="9"/>
  <c r="BF130" i="9"/>
  <c r="BF183" i="9"/>
  <c r="BG183" i="9"/>
  <c r="BF236" i="9"/>
  <c r="BG236" i="9"/>
  <c r="BG322" i="9"/>
  <c r="BF322" i="9"/>
  <c r="BF390" i="9"/>
  <c r="BG390" i="9"/>
  <c r="BF465" i="9"/>
  <c r="BG465" i="9"/>
  <c r="BF7" i="9"/>
  <c r="BG7" i="9"/>
  <c r="AU133" i="9"/>
  <c r="BC133" i="9" s="1"/>
  <c r="BD133" i="9" s="1"/>
  <c r="BG222" i="9"/>
  <c r="BF222" i="9"/>
  <c r="BF407" i="9"/>
  <c r="BG407" i="9"/>
  <c r="BF417" i="9"/>
  <c r="BG417" i="9"/>
  <c r="BF393" i="9"/>
  <c r="BG393" i="9"/>
  <c r="BG150" i="9"/>
  <c r="BF150" i="9"/>
  <c r="BG392" i="9"/>
  <c r="BF392" i="9"/>
  <c r="BF391" i="9"/>
  <c r="BG391" i="9"/>
  <c r="BF33" i="9"/>
  <c r="BG33" i="9"/>
  <c r="BF139" i="9"/>
  <c r="BG139" i="9"/>
  <c r="BF209" i="9"/>
  <c r="BG209" i="9"/>
  <c r="BF271" i="9"/>
  <c r="BG271" i="9"/>
  <c r="BG348" i="9"/>
  <c r="BF348" i="9"/>
  <c r="BF425" i="9"/>
  <c r="BG425" i="9"/>
  <c r="BF482" i="9"/>
  <c r="BG482" i="9"/>
  <c r="BF43" i="9"/>
  <c r="BG43" i="9"/>
  <c r="BF168" i="9"/>
  <c r="BG168" i="9"/>
  <c r="BG230" i="9"/>
  <c r="BF230" i="9"/>
  <c r="BF316" i="9"/>
  <c r="BG316" i="9"/>
  <c r="BF451" i="9"/>
  <c r="BG451" i="9"/>
  <c r="BF539" i="9"/>
  <c r="BG539" i="9"/>
  <c r="BF385" i="9"/>
  <c r="BG385" i="9"/>
  <c r="BF68" i="9"/>
  <c r="BG68" i="9"/>
  <c r="BF169" i="9"/>
  <c r="BG169" i="9"/>
  <c r="BF248" i="9"/>
  <c r="BG248" i="9"/>
  <c r="BF317" i="9"/>
  <c r="BG317" i="9"/>
  <c r="BG452" i="9"/>
  <c r="BF452" i="9"/>
  <c r="BG540" i="9"/>
  <c r="BF540" i="9"/>
  <c r="BF27" i="9"/>
  <c r="BG27" i="9"/>
  <c r="BF85" i="9"/>
  <c r="BG85" i="9"/>
  <c r="BF232" i="9"/>
  <c r="BG232" i="9"/>
  <c r="BF292" i="9"/>
  <c r="BG292" i="9"/>
  <c r="BF343" i="9"/>
  <c r="BG343" i="9"/>
  <c r="BF477" i="9"/>
  <c r="BG477" i="9"/>
  <c r="BF541" i="9"/>
  <c r="BG541" i="9"/>
  <c r="BF28" i="9"/>
  <c r="BG28" i="9"/>
  <c r="BG78" i="9"/>
  <c r="BF78" i="9"/>
  <c r="BF143" i="9"/>
  <c r="BG143" i="9"/>
  <c r="BG242" i="9"/>
  <c r="BF242" i="9"/>
  <c r="BF285" i="9"/>
  <c r="BG285" i="9"/>
  <c r="BG352" i="9"/>
  <c r="BF352" i="9"/>
  <c r="BF445" i="9"/>
  <c r="BG445" i="9"/>
  <c r="BF79" i="9"/>
  <c r="BG79" i="9"/>
  <c r="BF181" i="9"/>
  <c r="BG181" i="9"/>
  <c r="BF277" i="9"/>
  <c r="BG277" i="9"/>
  <c r="BF320" i="9"/>
  <c r="BG320" i="9"/>
  <c r="BG388" i="9"/>
  <c r="BF388" i="9"/>
  <c r="BF495" i="9"/>
  <c r="BG495" i="9"/>
  <c r="BF538" i="9"/>
  <c r="BG538" i="9"/>
  <c r="BF56" i="9"/>
  <c r="BG56" i="9"/>
  <c r="BF165" i="9"/>
  <c r="BG165" i="9"/>
  <c r="BG278" i="9"/>
  <c r="BF278" i="9"/>
  <c r="BG338" i="9"/>
  <c r="BF338" i="9"/>
  <c r="BG448" i="9"/>
  <c r="BF448" i="9"/>
  <c r="BF4" i="9"/>
  <c r="BG4" i="9"/>
  <c r="BF57" i="9"/>
  <c r="BG57" i="9"/>
  <c r="BG138" i="9"/>
  <c r="BF138" i="9"/>
  <c r="BF208" i="9"/>
  <c r="BG208" i="9"/>
  <c r="BF269" i="9"/>
  <c r="BG269" i="9"/>
  <c r="BF339" i="9"/>
  <c r="BG339" i="9"/>
  <c r="BG412" i="9"/>
  <c r="BF412" i="9"/>
  <c r="BF473" i="9"/>
  <c r="BG473" i="9"/>
  <c r="BF23" i="9"/>
  <c r="BG23" i="9"/>
  <c r="AJ104" i="9"/>
  <c r="AO104" i="9" s="1"/>
  <c r="AR104" i="9" s="1"/>
  <c r="BG294" i="9"/>
  <c r="BF294" i="9"/>
  <c r="BF414" i="9"/>
  <c r="BG414" i="9"/>
  <c r="BF394" i="9"/>
  <c r="BG394" i="9"/>
  <c r="BF409" i="9"/>
  <c r="BG409" i="9"/>
  <c r="BF415" i="9"/>
  <c r="BG415" i="9"/>
  <c r="BF405" i="9"/>
  <c r="BG405" i="9"/>
  <c r="BF147" i="9"/>
  <c r="BG147" i="9"/>
  <c r="BF149" i="9"/>
  <c r="BG149" i="9"/>
  <c r="BG42" i="9"/>
  <c r="BF42" i="9"/>
  <c r="BF159" i="9"/>
  <c r="BG159" i="9"/>
  <c r="BF217" i="9"/>
  <c r="BG217" i="9"/>
  <c r="BF315" i="9"/>
  <c r="BG315" i="9"/>
  <c r="BF381" i="9"/>
  <c r="BG381" i="9"/>
  <c r="BF450" i="9"/>
  <c r="BG450" i="9"/>
  <c r="BF8" i="9"/>
  <c r="BG8" i="9"/>
  <c r="BF387" i="9"/>
  <c r="BG387" i="9"/>
  <c r="BF83" i="9"/>
  <c r="BG83" i="9"/>
  <c r="BF176" i="9"/>
  <c r="BG176" i="9"/>
  <c r="BF239" i="9"/>
  <c r="BG239" i="9"/>
  <c r="BF341" i="9"/>
  <c r="BG341" i="9"/>
  <c r="BF467" i="9"/>
  <c r="BG467" i="9"/>
  <c r="BF9" i="9"/>
  <c r="BG9" i="9"/>
  <c r="BG26" i="9"/>
  <c r="BF26" i="9"/>
  <c r="BF84" i="9"/>
  <c r="BG84" i="9"/>
  <c r="BF211" i="9"/>
  <c r="BG211" i="9"/>
  <c r="BF264" i="9"/>
  <c r="BG264" i="9"/>
  <c r="BF342" i="9"/>
  <c r="BG342" i="9"/>
  <c r="BG476" i="9"/>
  <c r="BF476" i="9"/>
  <c r="BG10" i="9"/>
  <c r="BF10" i="9"/>
  <c r="BF36" i="9"/>
  <c r="BG36" i="9"/>
  <c r="BG170" i="9"/>
  <c r="BF170" i="9"/>
  <c r="BF249" i="9"/>
  <c r="BG249" i="9"/>
  <c r="BG310" i="9"/>
  <c r="BF310" i="9"/>
  <c r="BF351" i="9"/>
  <c r="BG351" i="9"/>
  <c r="BF485" i="9"/>
  <c r="BG485" i="9"/>
  <c r="BF11" i="9"/>
  <c r="BG11" i="9"/>
  <c r="BF37" i="9"/>
  <c r="BG37" i="9"/>
  <c r="BG94" i="9"/>
  <c r="BF94" i="9"/>
  <c r="BF180" i="9"/>
  <c r="BG180" i="9"/>
  <c r="BG250" i="9"/>
  <c r="BF250" i="9"/>
  <c r="BF311" i="9"/>
  <c r="BG311" i="9"/>
  <c r="BG360" i="9"/>
  <c r="BF360" i="9"/>
  <c r="BF478" i="9"/>
  <c r="BG478" i="9"/>
  <c r="BF29" i="9"/>
  <c r="BG29" i="9"/>
  <c r="BF95" i="9"/>
  <c r="BG95" i="9"/>
  <c r="BG214" i="9"/>
  <c r="BF214" i="9"/>
  <c r="BG286" i="9"/>
  <c r="BF286" i="9"/>
  <c r="BF345" i="9"/>
  <c r="BG345" i="9"/>
  <c r="BF403" i="9"/>
  <c r="BG403" i="9"/>
  <c r="BF527" i="9"/>
  <c r="BG527" i="9"/>
  <c r="BF411" i="9"/>
  <c r="BG411" i="9"/>
  <c r="BF80" i="9"/>
  <c r="BG80" i="9"/>
  <c r="BG182" i="9"/>
  <c r="BF182" i="9"/>
  <c r="BF287" i="9"/>
  <c r="BG287" i="9"/>
  <c r="BF346" i="9"/>
  <c r="BG346" i="9"/>
  <c r="BG472" i="9"/>
  <c r="BF472" i="9"/>
  <c r="BG22" i="9"/>
  <c r="BF22" i="9"/>
  <c r="BF81" i="9"/>
  <c r="BG81" i="9"/>
  <c r="BG158" i="9"/>
  <c r="BF158" i="9"/>
  <c r="BF216" i="9"/>
  <c r="BG216" i="9"/>
  <c r="BF279" i="9"/>
  <c r="BG279" i="9"/>
  <c r="BF347" i="9"/>
  <c r="BG347" i="9"/>
  <c r="BG424" i="9"/>
  <c r="BF424" i="9"/>
  <c r="BF481" i="9"/>
  <c r="BG481" i="9"/>
  <c r="BF24" i="9"/>
  <c r="BG24" i="9"/>
  <c r="AU114" i="9"/>
  <c r="BC114" i="9" s="1"/>
  <c r="BD114" i="9" s="1"/>
  <c r="AU454" i="9"/>
  <c r="BC454" i="9" s="1"/>
  <c r="BD454" i="9" s="1"/>
  <c r="BF223" i="9"/>
  <c r="BG223" i="9"/>
  <c r="BG416" i="9"/>
  <c r="BF416" i="9"/>
  <c r="BF406" i="9"/>
  <c r="BG406" i="9"/>
  <c r="BF148" i="9"/>
  <c r="BG148" i="9"/>
  <c r="BF221" i="9"/>
  <c r="BG221" i="9"/>
  <c r="AU357" i="9"/>
  <c r="BC357" i="9" s="1"/>
  <c r="BD357" i="9" s="1"/>
  <c r="AU120" i="9"/>
  <c r="BC120" i="9" s="1"/>
  <c r="BD120" i="9" s="1"/>
  <c r="AU117" i="9"/>
  <c r="AU204" i="9"/>
  <c r="AU124" i="9"/>
  <c r="BC124" i="9" s="1"/>
  <c r="BD124" i="9" s="1"/>
  <c r="AU455" i="9"/>
  <c r="BC455" i="9" s="1"/>
  <c r="BD455" i="9" s="1"/>
  <c r="AJ428" i="9"/>
  <c r="AO428" i="9" s="1"/>
  <c r="AR428" i="9" s="1"/>
  <c r="AV152" i="9"/>
  <c r="AY152" i="9" s="1"/>
  <c r="AZ152" i="9" s="1"/>
  <c r="BD152" i="9"/>
  <c r="AV365" i="9"/>
  <c r="AY365" i="9" s="1"/>
  <c r="BA365" i="9" s="1"/>
  <c r="BD365" i="9"/>
  <c r="AV532" i="9"/>
  <c r="AY532" i="9" s="1"/>
  <c r="AZ532" i="9" s="1"/>
  <c r="BD532" i="9"/>
  <c r="AV383" i="9"/>
  <c r="AY383" i="9" s="1"/>
  <c r="BA383" i="9" s="1"/>
  <c r="BD383" i="9"/>
  <c r="AU519" i="9"/>
  <c r="BC519" i="9" s="1"/>
  <c r="AJ365" i="9"/>
  <c r="AO365" i="9" s="1"/>
  <c r="AR365" i="9" s="1"/>
  <c r="AJ152" i="9"/>
  <c r="AO152" i="9" s="1"/>
  <c r="AR152" i="9" s="1"/>
  <c r="AU92" i="9"/>
  <c r="BC92" i="9" s="1"/>
  <c r="AJ532" i="9"/>
  <c r="AO532" i="9" s="1"/>
  <c r="AR532" i="9" s="1"/>
  <c r="AV506" i="9"/>
  <c r="AY506" i="9" s="1"/>
  <c r="AZ506" i="9" s="1"/>
  <c r="BD506" i="9"/>
  <c r="AV359" i="9"/>
  <c r="AY359" i="9" s="1"/>
  <c r="BA359" i="9" s="1"/>
  <c r="BD359" i="9"/>
  <c r="AV501" i="9"/>
  <c r="AY501" i="9" s="1"/>
  <c r="AZ501" i="9" s="1"/>
  <c r="BD501" i="9"/>
  <c r="AJ172" i="9"/>
  <c r="AO172" i="9" s="1"/>
  <c r="AS172" i="9" s="1"/>
  <c r="AV86" i="9"/>
  <c r="AY86" i="9" s="1"/>
  <c r="AZ86" i="9" s="1"/>
  <c r="BD86" i="9"/>
  <c r="AV77" i="9"/>
  <c r="AY77" i="9" s="1"/>
  <c r="BA77" i="9" s="1"/>
  <c r="BD77" i="9"/>
  <c r="AJ453" i="9"/>
  <c r="AO453" i="9" s="1"/>
  <c r="AR453" i="9" s="1"/>
  <c r="BD499" i="9"/>
  <c r="AV533" i="9"/>
  <c r="AY533" i="9" s="1"/>
  <c r="AZ533" i="9" s="1"/>
  <c r="BD533" i="9"/>
  <c r="AV353" i="9"/>
  <c r="AY353" i="9" s="1"/>
  <c r="BA353" i="9" s="1"/>
  <c r="BD353" i="9"/>
  <c r="AV115" i="9"/>
  <c r="AY115" i="9" s="1"/>
  <c r="AZ115" i="9" s="1"/>
  <c r="BD115" i="9"/>
  <c r="AV531" i="9"/>
  <c r="AY531" i="9" s="1"/>
  <c r="BA531" i="9" s="1"/>
  <c r="BD531" i="9"/>
  <c r="AV60" i="9"/>
  <c r="AY60" i="9" s="1"/>
  <c r="BA60" i="9" s="1"/>
  <c r="BD60" i="9"/>
  <c r="AV116" i="9"/>
  <c r="AY116" i="9" s="1"/>
  <c r="BA116" i="9" s="1"/>
  <c r="BD116" i="9"/>
  <c r="AV186" i="9"/>
  <c r="AY186" i="9" s="1"/>
  <c r="AZ186" i="9" s="1"/>
  <c r="BD186" i="9"/>
  <c r="AV358" i="9"/>
  <c r="AY358" i="9" s="1"/>
  <c r="AZ358" i="9" s="1"/>
  <c r="BD358" i="9"/>
  <c r="AV468" i="9"/>
  <c r="AY468" i="9" s="1"/>
  <c r="AZ468" i="9" s="1"/>
  <c r="BD468" i="9"/>
  <c r="AV295" i="9"/>
  <c r="AY295" i="9" s="1"/>
  <c r="BA295" i="9" s="1"/>
  <c r="BD295" i="9"/>
  <c r="BD101" i="9"/>
  <c r="AJ355" i="9"/>
  <c r="AO355" i="9" s="1"/>
  <c r="AR355" i="9" s="1"/>
  <c r="AU192" i="9"/>
  <c r="BC192" i="9" s="1"/>
  <c r="AJ202" i="9"/>
  <c r="AO202" i="9" s="1"/>
  <c r="AR202" i="9" s="1"/>
  <c r="AV196" i="9"/>
  <c r="AY196" i="9" s="1"/>
  <c r="BA196" i="9" s="1"/>
  <c r="BD196" i="9"/>
  <c r="AV103" i="9"/>
  <c r="AY103" i="9" s="1"/>
  <c r="AZ103" i="9" s="1"/>
  <c r="BD103" i="9"/>
  <c r="AV428" i="9"/>
  <c r="AY428" i="9" s="1"/>
  <c r="AZ428" i="9" s="1"/>
  <c r="BD428" i="9"/>
  <c r="AJ505" i="9"/>
  <c r="AO505" i="9" s="1"/>
  <c r="AR505" i="9" s="1"/>
  <c r="AU200" i="9"/>
  <c r="BC200" i="9" s="1"/>
  <c r="AV171" i="9"/>
  <c r="AY171" i="9" s="1"/>
  <c r="BA171" i="9" s="1"/>
  <c r="BD171" i="9"/>
  <c r="AV503" i="9"/>
  <c r="AY503" i="9" s="1"/>
  <c r="BA503" i="9" s="1"/>
  <c r="BD503" i="9"/>
  <c r="AV195" i="9"/>
  <c r="AY195" i="9" s="1"/>
  <c r="AZ195" i="9" s="1"/>
  <c r="BD195" i="9"/>
  <c r="BD430" i="9"/>
  <c r="AV104" i="9"/>
  <c r="AY104" i="9" s="1"/>
  <c r="BD104" i="9"/>
  <c r="AV456" i="9"/>
  <c r="AY456" i="9" s="1"/>
  <c r="BA456" i="9" s="1"/>
  <c r="BD456" i="9"/>
  <c r="AV364" i="9"/>
  <c r="AY364" i="9" s="1"/>
  <c r="BA364" i="9" s="1"/>
  <c r="BD364" i="9"/>
  <c r="AV205" i="9"/>
  <c r="AY205" i="9" s="1"/>
  <c r="BA205" i="9" s="1"/>
  <c r="BD205" i="9"/>
  <c r="AV146" i="9"/>
  <c r="AY146" i="9" s="1"/>
  <c r="BA146" i="9" s="1"/>
  <c r="BD146" i="9"/>
  <c r="AV355" i="9"/>
  <c r="AY355" i="9" s="1"/>
  <c r="BA355" i="9" s="1"/>
  <c r="BD355" i="9"/>
  <c r="AV505" i="9"/>
  <c r="AY505" i="9" s="1"/>
  <c r="BA505" i="9" s="1"/>
  <c r="BD505" i="9"/>
  <c r="AV172" i="9"/>
  <c r="AY172" i="9" s="1"/>
  <c r="AZ172" i="9" s="1"/>
  <c r="BD172" i="9"/>
  <c r="AV59" i="9"/>
  <c r="AY59" i="9" s="1"/>
  <c r="BA59" i="9" s="1"/>
  <c r="BD59" i="9"/>
  <c r="AV202" i="9"/>
  <c r="AY202" i="9" s="1"/>
  <c r="AZ202" i="9" s="1"/>
  <c r="BD202" i="9"/>
  <c r="AV453" i="9"/>
  <c r="AY453" i="9" s="1"/>
  <c r="AZ453" i="9" s="1"/>
  <c r="BD453" i="9"/>
  <c r="AJ456" i="9"/>
  <c r="AO456" i="9" s="1"/>
  <c r="AS456" i="9" s="1"/>
  <c r="AV187" i="9"/>
  <c r="AY187" i="9" s="1"/>
  <c r="AZ187" i="9" s="1"/>
  <c r="BD187" i="9"/>
  <c r="AV70" i="9"/>
  <c r="AY70" i="9" s="1"/>
  <c r="AZ70" i="9" s="1"/>
  <c r="BD70" i="9"/>
  <c r="AV71" i="9"/>
  <c r="AY71" i="9" s="1"/>
  <c r="BA71" i="9" s="1"/>
  <c r="BD71" i="9"/>
  <c r="AV471" i="9"/>
  <c r="AY471" i="9" s="1"/>
  <c r="AZ471" i="9" s="1"/>
  <c r="BD471" i="9"/>
  <c r="AU354" i="9"/>
  <c r="BC354" i="9" s="1"/>
  <c r="AU199" i="9"/>
  <c r="BC199" i="9" s="1"/>
  <c r="AU194" i="9"/>
  <c r="BC194" i="9" s="1"/>
  <c r="AU434" i="9"/>
  <c r="BC434" i="9" s="1"/>
  <c r="AJ59" i="9"/>
  <c r="AO59" i="9" s="1"/>
  <c r="AR59" i="9" s="1"/>
  <c r="AU107" i="9"/>
  <c r="BC107" i="9" s="1"/>
  <c r="AU108" i="9"/>
  <c r="BC108" i="9" s="1"/>
  <c r="AJ146" i="9"/>
  <c r="AO146" i="9" s="1"/>
  <c r="AR146" i="9" s="1"/>
  <c r="AJ103" i="9"/>
  <c r="AO103" i="9" s="1"/>
  <c r="AR103" i="9" s="1"/>
  <c r="AU382" i="9"/>
  <c r="BC382" i="9" s="1"/>
  <c r="AJ187" i="9"/>
  <c r="AO187" i="9" s="1"/>
  <c r="AR187" i="9" s="1"/>
  <c r="AU530" i="9"/>
  <c r="BC530" i="9" s="1"/>
  <c r="AU193" i="9"/>
  <c r="BC193" i="9" s="1"/>
  <c r="AU333" i="9"/>
  <c r="BC333" i="9" s="1"/>
  <c r="AU109" i="9"/>
  <c r="BC109" i="9" s="1"/>
  <c r="AU534" i="9"/>
  <c r="BC534" i="9" s="1"/>
  <c r="AU197" i="9"/>
  <c r="BC197" i="9" s="1"/>
  <c r="AU469" i="9"/>
  <c r="BC469" i="9" s="1"/>
  <c r="AU154" i="9"/>
  <c r="BC154" i="9" s="1"/>
  <c r="AU125" i="9"/>
  <c r="BC125" i="9" s="1"/>
  <c r="AU486" i="9"/>
  <c r="BC486" i="9" s="1"/>
  <c r="AU126" i="9"/>
  <c r="BC126" i="9" s="1"/>
  <c r="AU507" i="9"/>
  <c r="BC507" i="9" s="1"/>
  <c r="AU76" i="9"/>
  <c r="BC76" i="9" s="1"/>
  <c r="AU21" i="9"/>
  <c r="BC21" i="9" s="1"/>
  <c r="AR120" i="9"/>
  <c r="AU51" i="9"/>
  <c r="BC51" i="9" s="1"/>
  <c r="AU517" i="9"/>
  <c r="BC517" i="9" s="1"/>
  <c r="AU419" i="9"/>
  <c r="BC419" i="9" s="1"/>
  <c r="AJ471" i="9"/>
  <c r="AO471" i="9" s="1"/>
  <c r="AR471" i="9" s="1"/>
  <c r="AJ70" i="9"/>
  <c r="AO70" i="9" s="1"/>
  <c r="AR70" i="9" s="1"/>
  <c r="AU203" i="9"/>
  <c r="BC203" i="9" s="1"/>
  <c r="AU234" i="9"/>
  <c r="BC234" i="9" s="1"/>
  <c r="AU69" i="9"/>
  <c r="BC69" i="9" s="1"/>
  <c r="AU93" i="9"/>
  <c r="BC93" i="9" s="1"/>
  <c r="AU175" i="9"/>
  <c r="BC175" i="9" s="1"/>
  <c r="AS133" i="9"/>
  <c r="AU513" i="9"/>
  <c r="BC513" i="9" s="1"/>
  <c r="AR354" i="9"/>
  <c r="AS354" i="9"/>
  <c r="AU190" i="9"/>
  <c r="BC190" i="9" s="1"/>
  <c r="AS101" i="9"/>
  <c r="AU356" i="9"/>
  <c r="BC356" i="9" s="1"/>
  <c r="AR102" i="9"/>
  <c r="AS102" i="9"/>
  <c r="AR518" i="9"/>
  <c r="AS518" i="9"/>
  <c r="AS190" i="9"/>
  <c r="AR190" i="9"/>
  <c r="AU362" i="9"/>
  <c r="BC362" i="9" s="1"/>
  <c r="AR171" i="9"/>
  <c r="AU173" i="9"/>
  <c r="BC173" i="9" s="1"/>
  <c r="AU528" i="9"/>
  <c r="BC528" i="9" s="1"/>
  <c r="AU518" i="9"/>
  <c r="BC518" i="9" s="1"/>
  <c r="AU102" i="9"/>
  <c r="BC102" i="9" s="1"/>
  <c r="AJ205" i="9"/>
  <c r="AO205" i="9" s="1"/>
  <c r="AR205" i="9" s="1"/>
  <c r="AJ359" i="9"/>
  <c r="AO359" i="9" s="1"/>
  <c r="AR359" i="9" s="1"/>
  <c r="AU470" i="9"/>
  <c r="BC470" i="9" s="1"/>
  <c r="AS154" i="9"/>
  <c r="AJ364" i="9"/>
  <c r="AO364" i="9" s="1"/>
  <c r="AR364" i="9" s="1"/>
  <c r="AU504" i="9"/>
  <c r="BC504" i="9" s="1"/>
  <c r="AS109" i="9"/>
  <c r="AR196" i="9"/>
  <c r="AU39" i="9"/>
  <c r="BC39" i="9" s="1"/>
  <c r="AU235" i="9"/>
  <c r="BC235" i="9" s="1"/>
  <c r="AU105" i="9"/>
  <c r="BC105" i="9" s="1"/>
  <c r="AU457" i="9"/>
  <c r="BC457" i="9" s="1"/>
  <c r="AU50" i="9"/>
  <c r="BC50" i="9" s="1"/>
  <c r="AS152" i="9"/>
  <c r="AS454" i="9"/>
  <c r="AU88" i="9"/>
  <c r="BC88" i="9" s="1"/>
  <c r="AU122" i="9"/>
  <c r="BC122" i="9" s="1"/>
  <c r="AU106" i="9"/>
  <c r="BC106" i="9" s="1"/>
  <c r="AR469" i="9"/>
  <c r="AU487" i="9"/>
  <c r="BC487" i="9" s="1"/>
  <c r="AU254" i="9"/>
  <c r="BC254" i="9" s="1"/>
  <c r="AU121" i="9"/>
  <c r="BC121" i="9" s="1"/>
  <c r="AU174" i="9"/>
  <c r="BC174" i="9" s="1"/>
  <c r="AU123" i="9"/>
  <c r="BC123" i="9" s="1"/>
  <c r="AS504" i="9"/>
  <c r="AR504" i="9"/>
  <c r="AR105" i="9"/>
  <c r="AS105" i="9"/>
  <c r="AS363" i="9"/>
  <c r="AR363" i="9"/>
  <c r="AR513" i="9"/>
  <c r="AS513" i="9"/>
  <c r="AR107" i="9"/>
  <c r="AS107" i="9"/>
  <c r="AS21" i="9"/>
  <c r="AR21" i="9"/>
  <c r="AR431" i="9"/>
  <c r="AS431" i="9"/>
  <c r="AS87" i="9"/>
  <c r="AR87" i="9"/>
  <c r="AR106" i="9"/>
  <c r="AS106" i="9"/>
  <c r="AR433" i="9"/>
  <c r="AS433" i="9"/>
  <c r="AR434" i="9"/>
  <c r="AS434" i="9"/>
  <c r="AR259" i="9"/>
  <c r="AS259" i="9"/>
  <c r="AR76" i="9"/>
  <c r="AS76" i="9"/>
  <c r="AR125" i="9"/>
  <c r="AS125" i="9"/>
  <c r="AR194" i="9"/>
  <c r="AS194" i="9"/>
  <c r="AR366" i="9"/>
  <c r="AS366" i="9"/>
  <c r="AR500" i="9"/>
  <c r="AS500" i="9"/>
  <c r="AS455" i="9"/>
  <c r="AR455" i="9"/>
  <c r="AR530" i="9"/>
  <c r="AS530" i="9"/>
  <c r="AR121" i="9"/>
  <c r="AS121" i="9"/>
  <c r="AS174" i="9"/>
  <c r="AR174" i="9"/>
  <c r="AS382" i="9"/>
  <c r="AR382" i="9"/>
  <c r="AR486" i="9"/>
  <c r="AS486" i="9"/>
  <c r="BA115" i="9"/>
  <c r="AZ59" i="9"/>
  <c r="AJ468" i="9"/>
  <c r="AO468" i="9" s="1"/>
  <c r="AR468" i="9" s="1"/>
  <c r="AZ77" i="9"/>
  <c r="AU433" i="9"/>
  <c r="BC433" i="9" s="1"/>
  <c r="AU500" i="9"/>
  <c r="BC500" i="9" s="1"/>
  <c r="AU87" i="9"/>
  <c r="BC87" i="9" s="1"/>
  <c r="AZ104" i="9"/>
  <c r="BA104" i="9"/>
  <c r="AU198" i="9"/>
  <c r="BC198" i="9" s="1"/>
  <c r="AU431" i="9"/>
  <c r="BC431" i="9" s="1"/>
  <c r="AU73" i="9"/>
  <c r="BC73" i="9" s="1"/>
  <c r="AZ146" i="9"/>
  <c r="AU363" i="9"/>
  <c r="BC363" i="9" s="1"/>
  <c r="AU529" i="9"/>
  <c r="BC529" i="9" s="1"/>
  <c r="AZ365" i="9"/>
  <c r="AU259" i="9"/>
  <c r="BC259" i="9" s="1"/>
  <c r="AU153" i="9"/>
  <c r="BC153" i="9" s="1"/>
  <c r="AU366" i="9"/>
  <c r="BC366" i="9" s="1"/>
  <c r="AU429" i="9"/>
  <c r="BC429" i="9" s="1"/>
  <c r="AZ205" i="9"/>
  <c r="AJ501" i="9"/>
  <c r="AO501" i="9" s="1"/>
  <c r="AR501" i="9" s="1"/>
  <c r="AJ506" i="9"/>
  <c r="AO506" i="9" s="1"/>
  <c r="AR506" i="9" s="1"/>
  <c r="AR124" i="9"/>
  <c r="AR92" i="9"/>
  <c r="AJ358" i="9"/>
  <c r="AO358" i="9" s="1"/>
  <c r="AR358" i="9" s="1"/>
  <c r="AS362" i="9"/>
  <c r="AJ186" i="9"/>
  <c r="AO186" i="9" s="1"/>
  <c r="AS186" i="9" s="1"/>
  <c r="AJ116" i="9"/>
  <c r="AO116" i="9" s="1"/>
  <c r="AS116" i="9" s="1"/>
  <c r="AJ531" i="9"/>
  <c r="AO531" i="9" s="1"/>
  <c r="AR531" i="9" s="1"/>
  <c r="AJ60" i="9"/>
  <c r="AO60" i="9" s="1"/>
  <c r="AR60" i="9" s="1"/>
  <c r="AS254" i="9"/>
  <c r="AJ115" i="9"/>
  <c r="AO115" i="9" s="1"/>
  <c r="AR115" i="9" s="1"/>
  <c r="AJ353" i="9"/>
  <c r="AO353" i="9" s="1"/>
  <c r="AR353" i="9" s="1"/>
  <c r="AJ295" i="9"/>
  <c r="AO295" i="9" s="1"/>
  <c r="AR295" i="9" s="1"/>
  <c r="AR522" i="9"/>
  <c r="AS522" i="9"/>
  <c r="AR49" i="9"/>
  <c r="AS49" i="9"/>
  <c r="AR191" i="9"/>
  <c r="AS191" i="9"/>
  <c r="AS432" i="9"/>
  <c r="AR432" i="9"/>
  <c r="AR521" i="9"/>
  <c r="AS521" i="9"/>
  <c r="AR58" i="9"/>
  <c r="AS58" i="9"/>
  <c r="AS151" i="9"/>
  <c r="AR151" i="9"/>
  <c r="AR280" i="9"/>
  <c r="AS280" i="9"/>
  <c r="AR418" i="9"/>
  <c r="AS418" i="9"/>
  <c r="AR384" i="9"/>
  <c r="AS384" i="9"/>
  <c r="AR502" i="9"/>
  <c r="AS502" i="9"/>
  <c r="AS113" i="9"/>
  <c r="AR113" i="9"/>
  <c r="AS193" i="9"/>
  <c r="AS175" i="9"/>
  <c r="AS534" i="9"/>
  <c r="AU418" i="9"/>
  <c r="BC418" i="9" s="1"/>
  <c r="AU502" i="9"/>
  <c r="BC502" i="9" s="1"/>
  <c r="AU58" i="9"/>
  <c r="BC58" i="9" s="1"/>
  <c r="AU151" i="9"/>
  <c r="BC151" i="9" s="1"/>
  <c r="AU522" i="9"/>
  <c r="BC522" i="9" s="1"/>
  <c r="AS39" i="9"/>
  <c r="AS198" i="9"/>
  <c r="AS458" i="9"/>
  <c r="AS93" i="9"/>
  <c r="AS470" i="9"/>
  <c r="AU49" i="9"/>
  <c r="BC49" i="9" s="1"/>
  <c r="AU113" i="9"/>
  <c r="BC113" i="9" s="1"/>
  <c r="AU191" i="9"/>
  <c r="BC191" i="9" s="1"/>
  <c r="AU432" i="9"/>
  <c r="BC432" i="9" s="1"/>
  <c r="AU521" i="9"/>
  <c r="BC521" i="9" s="1"/>
  <c r="AU280" i="9"/>
  <c r="BC280" i="9" s="1"/>
  <c r="AU384" i="9"/>
  <c r="BC384" i="9" s="1"/>
  <c r="AS533" i="9"/>
  <c r="AS71" i="9"/>
  <c r="AS89" i="9"/>
  <c r="AU72" i="9"/>
  <c r="BC72" i="9" s="1"/>
  <c r="AU145" i="9"/>
  <c r="BC145" i="9" s="1"/>
  <c r="AU206" i="9"/>
  <c r="BC206" i="9" s="1"/>
  <c r="AU410" i="9"/>
  <c r="BC410" i="9" s="1"/>
  <c r="AU520" i="9"/>
  <c r="BC520" i="9" s="1"/>
  <c r="AU201" i="9"/>
  <c r="BC201" i="9" s="1"/>
  <c r="AU498" i="9"/>
  <c r="BC498" i="9" s="1"/>
  <c r="AS51" i="9"/>
  <c r="AS203" i="9"/>
  <c r="AS88" i="9"/>
  <c r="AS528" i="9"/>
  <c r="AS50" i="9"/>
  <c r="AS519" i="9"/>
  <c r="AS235" i="9"/>
  <c r="AS200" i="9"/>
  <c r="AS173" i="9"/>
  <c r="AS123" i="9"/>
  <c r="AR86" i="9"/>
  <c r="AR204" i="9"/>
  <c r="AS153" i="9"/>
  <c r="AR487" i="9"/>
  <c r="AR498" i="9"/>
  <c r="AS429" i="9"/>
  <c r="AS333" i="9"/>
  <c r="AR356" i="9"/>
  <c r="AS69" i="9"/>
  <c r="AS126" i="9"/>
  <c r="AS430" i="9"/>
  <c r="AR192" i="9"/>
  <c r="AR114" i="9"/>
  <c r="AS197" i="9"/>
  <c r="AR507" i="9"/>
  <c r="AS77" i="9"/>
  <c r="AS117" i="9"/>
  <c r="AS195" i="9"/>
  <c r="AS428" i="9"/>
  <c r="AS517" i="9"/>
  <c r="AS503" i="9"/>
  <c r="AS234" i="9"/>
  <c r="AS419" i="9"/>
  <c r="AS201" i="9"/>
  <c r="AS499" i="9"/>
  <c r="AS108" i="9"/>
  <c r="AS72" i="9"/>
  <c r="AS145" i="9"/>
  <c r="AS206" i="9"/>
  <c r="AS410" i="9"/>
  <c r="AS520" i="9"/>
  <c r="AS73" i="9"/>
  <c r="AS122" i="9"/>
  <c r="AS199" i="9"/>
  <c r="AS457" i="9"/>
  <c r="AS529" i="9"/>
  <c r="AS357" i="9"/>
  <c r="AR169" i="9"/>
  <c r="AS169" i="9"/>
  <c r="AR287" i="9"/>
  <c r="AS287" i="9"/>
  <c r="AR482" i="9"/>
  <c r="AS482" i="9"/>
  <c r="AR144" i="9"/>
  <c r="AS144" i="9"/>
  <c r="AR19" i="9"/>
  <c r="AS19" i="9"/>
  <c r="AR311" i="9"/>
  <c r="AS311" i="9"/>
  <c r="AR3" i="9"/>
  <c r="AS3" i="9"/>
  <c r="AR167" i="9"/>
  <c r="AS167" i="9"/>
  <c r="AR184" i="9"/>
  <c r="AS184" i="9"/>
  <c r="AR170" i="9"/>
  <c r="AS170" i="9"/>
  <c r="AR216" i="9"/>
  <c r="AS216" i="9"/>
  <c r="AR33" i="9"/>
  <c r="AS33" i="9"/>
  <c r="AR11" i="9"/>
  <c r="AS11" i="9"/>
  <c r="AR129" i="9"/>
  <c r="AS129" i="9"/>
  <c r="AR387" i="9"/>
  <c r="AS387" i="9"/>
  <c r="AR318" i="9"/>
  <c r="AS318" i="9"/>
  <c r="AR341" i="9"/>
  <c r="AS341" i="9"/>
  <c r="AR508" i="9"/>
  <c r="AS508" i="9"/>
  <c r="AR217" i="9"/>
  <c r="AS217" i="9"/>
  <c r="AR25" i="9"/>
  <c r="AS25" i="9"/>
  <c r="AR379" i="9"/>
  <c r="AS379" i="9"/>
  <c r="AR27" i="9"/>
  <c r="AS27" i="9"/>
  <c r="AR47" i="9"/>
  <c r="AS47" i="9"/>
  <c r="AR56" i="9"/>
  <c r="AS56" i="9"/>
  <c r="AR228" i="9"/>
  <c r="AS228" i="9"/>
  <c r="AR349" i="9"/>
  <c r="AS349" i="9"/>
  <c r="AR538" i="9"/>
  <c r="AS538" i="9"/>
  <c r="AR42" i="9"/>
  <c r="AS42" i="9"/>
  <c r="AR215" i="9"/>
  <c r="AS215" i="9"/>
  <c r="AR342" i="9"/>
  <c r="AS342" i="9"/>
  <c r="AR539" i="9"/>
  <c r="AS539" i="9"/>
  <c r="AR83" i="9"/>
  <c r="AS83" i="9"/>
  <c r="AR242" i="9"/>
  <c r="AS242" i="9"/>
  <c r="AR385" i="9"/>
  <c r="AS385" i="9"/>
  <c r="AR249" i="9"/>
  <c r="AS249" i="9"/>
  <c r="AR62" i="9"/>
  <c r="AS62" i="9"/>
  <c r="AR231" i="9"/>
  <c r="AS231" i="9"/>
  <c r="AR352" i="9"/>
  <c r="AS352" i="9"/>
  <c r="AR541" i="9"/>
  <c r="AS541" i="9"/>
  <c r="AR34" i="9"/>
  <c r="AS34" i="9"/>
  <c r="AR210" i="9"/>
  <c r="AS210" i="9"/>
  <c r="AR345" i="9"/>
  <c r="AS345" i="9"/>
  <c r="AR527" i="9"/>
  <c r="AS527" i="9"/>
  <c r="AR467" i="9"/>
  <c r="AS467" i="9"/>
  <c r="AR166" i="9"/>
  <c r="AS166" i="9"/>
  <c r="AR389" i="9"/>
  <c r="AS389" i="9"/>
  <c r="AR28" i="9"/>
  <c r="AS28" i="9"/>
  <c r="AR224" i="9"/>
  <c r="AS224" i="9"/>
  <c r="AR348" i="9"/>
  <c r="AS348" i="9"/>
  <c r="AR339" i="9"/>
  <c r="AS339" i="9"/>
  <c r="AR79" i="9"/>
  <c r="AS79" i="9"/>
  <c r="AR399" i="9"/>
  <c r="AS399" i="9"/>
  <c r="AR472" i="9"/>
  <c r="AS472" i="9"/>
  <c r="AR473" i="9"/>
  <c r="AS473" i="9"/>
  <c r="AR24" i="9"/>
  <c r="AS24" i="9"/>
  <c r="AR466" i="9"/>
  <c r="AS466" i="9"/>
  <c r="AR279" i="9"/>
  <c r="AS279" i="9"/>
  <c r="AR310" i="9"/>
  <c r="AS310" i="9"/>
  <c r="AR29" i="9"/>
  <c r="AS29" i="9"/>
  <c r="AR480" i="9"/>
  <c r="AS480" i="9"/>
  <c r="AR43" i="9"/>
  <c r="AS43" i="9"/>
  <c r="AR509" i="9"/>
  <c r="AS509" i="9"/>
  <c r="AR483" i="9"/>
  <c r="AS483" i="9"/>
  <c r="AR476" i="9"/>
  <c r="AS476" i="9"/>
  <c r="AR296" i="9"/>
  <c r="AS296" i="9"/>
  <c r="AR319" i="9"/>
  <c r="AS319" i="9"/>
  <c r="AR182" i="9"/>
  <c r="AS182" i="9"/>
  <c r="AR214" i="9"/>
  <c r="AS214" i="9"/>
  <c r="AR207" i="9"/>
  <c r="AS207" i="9"/>
  <c r="AR540" i="9"/>
  <c r="AS540" i="9"/>
  <c r="AR344" i="9"/>
  <c r="AS344" i="9"/>
  <c r="AR484" i="9"/>
  <c r="AS484" i="9"/>
  <c r="AR4" i="9"/>
  <c r="AS4" i="9"/>
  <c r="AR81" i="9"/>
  <c r="AS81" i="9"/>
  <c r="AR238" i="9"/>
  <c r="AS238" i="9"/>
  <c r="AR380" i="9"/>
  <c r="AS380" i="9"/>
  <c r="AR233" i="9"/>
  <c r="AS233" i="9"/>
  <c r="AR57" i="9"/>
  <c r="AS57" i="9"/>
  <c r="AR229" i="9"/>
  <c r="AS229" i="9"/>
  <c r="AR350" i="9"/>
  <c r="AS350" i="9"/>
  <c r="AR284" i="9"/>
  <c r="AS284" i="9"/>
  <c r="AR99" i="9"/>
  <c r="AS99" i="9"/>
  <c r="AR267" i="9"/>
  <c r="AS267" i="9"/>
  <c r="AR403" i="9"/>
  <c r="AS403" i="9"/>
  <c r="AR250" i="9"/>
  <c r="AS250" i="9"/>
  <c r="AR84" i="9"/>
  <c r="AS84" i="9"/>
  <c r="AR243" i="9"/>
  <c r="AS243" i="9"/>
  <c r="AR386" i="9"/>
  <c r="AS386" i="9"/>
  <c r="AR26" i="9"/>
  <c r="AS26" i="9"/>
  <c r="AR45" i="9"/>
  <c r="AS45" i="9"/>
  <c r="AR219" i="9"/>
  <c r="AS219" i="9"/>
  <c r="AR360" i="9"/>
  <c r="AS360" i="9"/>
  <c r="AR542" i="9"/>
  <c r="AS542" i="9"/>
  <c r="AR537" i="9"/>
  <c r="AS537" i="9"/>
  <c r="AR181" i="9"/>
  <c r="AS181" i="9"/>
  <c r="AR398" i="9"/>
  <c r="AS398" i="9"/>
  <c r="AR37" i="9"/>
  <c r="AS37" i="9"/>
  <c r="AR237" i="9"/>
  <c r="AS237" i="9"/>
  <c r="AR400" i="9"/>
  <c r="AS400" i="9"/>
  <c r="AR347" i="9"/>
  <c r="AS347" i="9"/>
  <c r="AR95" i="9"/>
  <c r="AS95" i="9"/>
  <c r="AR446" i="9"/>
  <c r="AS446" i="9"/>
  <c r="AR159" i="9"/>
  <c r="AS159" i="9"/>
  <c r="AR322" i="9"/>
  <c r="AS322" i="9"/>
  <c r="AR475" i="9"/>
  <c r="AS475" i="9"/>
  <c r="AR494" i="9"/>
  <c r="AS494" i="9"/>
  <c r="AR30" i="9"/>
  <c r="AS30" i="9"/>
  <c r="AR230" i="9"/>
  <c r="AS230" i="9"/>
  <c r="AS180" i="9"/>
  <c r="AR180" i="9"/>
  <c r="AR213" i="9"/>
  <c r="AS213" i="9"/>
  <c r="AR212" i="9"/>
  <c r="AS212" i="9"/>
  <c r="AR97" i="9"/>
  <c r="AS97" i="9"/>
  <c r="AR265" i="9"/>
  <c r="AS265" i="9"/>
  <c r="AR401" i="9"/>
  <c r="AS401" i="9"/>
  <c r="AR361" i="9"/>
  <c r="AS361" i="9"/>
  <c r="AR82" i="9"/>
  <c r="AS82" i="9"/>
  <c r="AR239" i="9"/>
  <c r="AS239" i="9"/>
  <c r="AR381" i="9"/>
  <c r="AS381" i="9"/>
  <c r="AR31" i="9"/>
  <c r="AS31" i="9"/>
  <c r="AR139" i="9"/>
  <c r="AS139" i="9"/>
  <c r="AR276" i="9"/>
  <c r="AS276" i="9"/>
  <c r="AR424" i="9"/>
  <c r="AS424" i="9"/>
  <c r="AR273" i="9"/>
  <c r="AS273" i="9"/>
  <c r="AR100" i="9"/>
  <c r="AS100" i="9"/>
  <c r="AR268" i="9"/>
  <c r="AS268" i="9"/>
  <c r="AR396" i="9"/>
  <c r="AS396" i="9"/>
  <c r="AR338" i="9"/>
  <c r="AS338" i="9"/>
  <c r="AR68" i="9"/>
  <c r="AS68" i="9"/>
  <c r="AR232" i="9"/>
  <c r="AS232" i="9"/>
  <c r="AR388" i="9"/>
  <c r="AS388" i="9"/>
  <c r="AR346" i="9"/>
  <c r="AS346" i="9"/>
  <c r="AR12" i="9"/>
  <c r="AS12" i="9"/>
  <c r="AR211" i="9"/>
  <c r="AS211" i="9"/>
  <c r="AR445" i="9"/>
  <c r="AS445" i="9"/>
  <c r="AR48" i="9"/>
  <c r="AS48" i="9"/>
  <c r="AR264" i="9"/>
  <c r="AS264" i="9"/>
  <c r="AR412" i="9"/>
  <c r="AS412" i="9"/>
  <c r="AR411" i="9"/>
  <c r="AS411" i="9"/>
  <c r="AR128" i="9"/>
  <c r="AS128" i="9"/>
  <c r="AR236" i="9"/>
  <c r="AS236" i="9"/>
  <c r="AR478" i="9"/>
  <c r="AS478" i="9"/>
  <c r="AR312" i="9"/>
  <c r="AS312" i="9"/>
  <c r="AR208" i="9"/>
  <c r="AS208" i="9"/>
  <c r="AR315" i="9"/>
  <c r="AS315" i="9"/>
  <c r="AR278" i="9"/>
  <c r="AS278" i="9"/>
  <c r="AR78" i="9"/>
  <c r="AS78" i="9"/>
  <c r="AR535" i="9"/>
  <c r="AS535" i="9"/>
  <c r="AR320" i="9"/>
  <c r="AS320" i="9"/>
  <c r="AR313" i="9"/>
  <c r="AS313" i="9"/>
  <c r="AR343" i="9"/>
  <c r="AS343" i="9"/>
  <c r="AR323" i="9"/>
  <c r="AS323" i="9"/>
  <c r="AR316" i="9"/>
  <c r="AS316" i="9"/>
  <c r="AR94" i="9"/>
  <c r="AS94" i="9"/>
  <c r="AR183" i="9"/>
  <c r="AS183" i="9"/>
  <c r="AR36" i="9"/>
  <c r="AS36" i="9"/>
  <c r="AR38" i="9"/>
  <c r="AS38" i="9"/>
  <c r="AR321" i="9"/>
  <c r="AS321" i="9"/>
  <c r="AR351" i="9"/>
  <c r="AS351" i="9"/>
  <c r="AR526" i="9"/>
  <c r="AS526" i="9"/>
  <c r="AR127" i="9"/>
  <c r="AS127" i="9"/>
  <c r="AR340" i="9"/>
  <c r="AS340" i="9"/>
  <c r="AR390" i="9"/>
  <c r="AS390" i="9"/>
  <c r="AR334" i="9"/>
  <c r="AS334" i="9"/>
  <c r="AR130" i="9"/>
  <c r="AS130" i="9"/>
  <c r="AR274" i="9"/>
  <c r="AS274" i="9"/>
  <c r="AR413" i="9"/>
  <c r="AS413" i="9"/>
  <c r="AR465" i="9"/>
  <c r="AS465" i="9"/>
  <c r="AR98" i="9"/>
  <c r="AS98" i="9"/>
  <c r="AR266" i="9"/>
  <c r="AS266" i="9"/>
  <c r="AR402" i="9"/>
  <c r="AS402" i="9"/>
  <c r="AR9" i="9"/>
  <c r="AS9" i="9"/>
  <c r="AR160" i="9"/>
  <c r="AS160" i="9"/>
  <c r="AR291" i="9"/>
  <c r="AS291" i="9"/>
  <c r="AR450" i="9"/>
  <c r="AS450" i="9"/>
  <c r="AR6" i="9"/>
  <c r="AS6" i="9"/>
  <c r="AR143" i="9"/>
  <c r="AS143" i="9"/>
  <c r="AR277" i="9"/>
  <c r="AS277" i="9"/>
  <c r="AR425" i="9"/>
  <c r="AS425" i="9"/>
  <c r="AR218" i="9"/>
  <c r="AS218" i="9"/>
  <c r="AR85" i="9"/>
  <c r="AS85" i="9"/>
  <c r="AR248" i="9"/>
  <c r="AS248" i="9"/>
  <c r="AR397" i="9"/>
  <c r="AS397" i="9"/>
  <c r="AR18" i="9"/>
  <c r="AS18" i="9"/>
  <c r="AR35" i="9"/>
  <c r="AS35" i="9"/>
  <c r="AR220" i="9"/>
  <c r="AS220" i="9"/>
  <c r="AR477" i="9"/>
  <c r="AS477" i="9"/>
  <c r="AR80" i="9"/>
  <c r="AS80" i="9"/>
  <c r="AR272" i="9"/>
  <c r="AS272" i="9"/>
  <c r="AR447" i="9"/>
  <c r="AS447" i="9"/>
  <c r="AR271" i="9"/>
  <c r="AS271" i="9"/>
  <c r="AR493" i="9"/>
  <c r="AS493" i="9"/>
  <c r="AR20" i="9"/>
  <c r="AS20" i="9"/>
  <c r="AR8" i="9"/>
  <c r="AS8" i="9"/>
  <c r="AR32" i="9"/>
  <c r="AS32" i="9"/>
  <c r="AR179" i="9"/>
  <c r="AS179" i="9"/>
  <c r="AR452" i="9"/>
  <c r="AS452" i="9"/>
  <c r="AR168" i="9"/>
  <c r="AS168" i="9"/>
  <c r="AR22" i="9"/>
  <c r="AS22" i="9"/>
  <c r="AR481" i="9"/>
  <c r="AS481" i="9"/>
  <c r="AR209" i="9"/>
  <c r="AS209" i="9"/>
  <c r="AR165" i="9"/>
  <c r="AS165" i="9"/>
  <c r="AR2" i="9"/>
  <c r="AS2" i="9"/>
  <c r="AR495" i="9"/>
  <c r="AS495" i="9"/>
  <c r="AR61" i="9"/>
  <c r="AS61" i="9"/>
  <c r="AR44" i="9"/>
  <c r="AS44" i="9"/>
  <c r="AR335" i="9"/>
  <c r="AS335" i="9"/>
  <c r="AR317" i="9"/>
  <c r="AS317" i="9"/>
  <c r="AR7" i="9"/>
  <c r="AS7" i="9"/>
  <c r="AR158" i="9"/>
  <c r="AS158" i="9"/>
  <c r="AR286" i="9"/>
  <c r="AS286" i="9"/>
  <c r="AR448" i="9"/>
  <c r="AS448" i="9"/>
  <c r="AR41" i="9"/>
  <c r="AS41" i="9"/>
  <c r="AR138" i="9"/>
  <c r="AS138" i="9"/>
  <c r="AR275" i="9"/>
  <c r="AS275" i="9"/>
  <c r="AR449" i="9"/>
  <c r="AS449" i="9"/>
  <c r="AR23" i="9"/>
  <c r="AS23" i="9"/>
  <c r="AR176" i="9"/>
  <c r="AS176" i="9"/>
  <c r="AR314" i="9"/>
  <c r="AS314" i="9"/>
  <c r="AR474" i="9"/>
  <c r="AS474" i="9"/>
  <c r="AR10" i="9"/>
  <c r="AS10" i="9"/>
  <c r="AR161" i="9"/>
  <c r="AS161" i="9"/>
  <c r="AR292" i="9"/>
  <c r="AS292" i="9"/>
  <c r="AR451" i="9"/>
  <c r="AS451" i="9"/>
  <c r="AR378" i="9"/>
  <c r="AS378" i="9"/>
  <c r="AR118" i="9"/>
  <c r="AS118" i="9"/>
  <c r="AR269" i="9"/>
  <c r="AS269" i="9"/>
  <c r="AR444" i="9"/>
  <c r="AS444" i="9"/>
  <c r="AR367" i="9"/>
  <c r="AS367" i="9"/>
  <c r="AR46" i="9"/>
  <c r="AS46" i="9"/>
  <c r="AR270" i="9"/>
  <c r="AS270" i="9"/>
  <c r="AR485" i="9"/>
  <c r="AS485" i="9"/>
  <c r="AR96" i="9"/>
  <c r="AS96" i="9"/>
  <c r="AR285" i="9"/>
  <c r="AS285" i="9"/>
  <c r="AR479" i="9"/>
  <c r="AS479" i="9"/>
  <c r="AR281" i="9"/>
  <c r="AS281" i="9"/>
  <c r="AR536" i="9"/>
  <c r="AS536" i="9"/>
  <c r="J375" i="9"/>
  <c r="AI375" i="9" s="1"/>
  <c r="J376" i="9"/>
  <c r="AI376" i="9" s="1"/>
  <c r="J377" i="9"/>
  <c r="AI377" i="9" s="1"/>
  <c r="J374" i="9"/>
  <c r="AI374" i="9" s="1"/>
  <c r="J304" i="9"/>
  <c r="AI304" i="9" s="1"/>
  <c r="J326" i="9"/>
  <c r="AI326" i="9" s="1"/>
  <c r="J328" i="9"/>
  <c r="AI328" i="9" s="1"/>
  <c r="J327" i="9"/>
  <c r="AI327" i="9" s="1"/>
  <c r="J64" i="9"/>
  <c r="AI64" i="9" s="1"/>
  <c r="J65" i="9"/>
  <c r="AI65" i="9" s="1"/>
  <c r="J63" i="9"/>
  <c r="AI63" i="9" s="1"/>
  <c r="J443" i="9"/>
  <c r="AI443" i="9" s="1"/>
  <c r="J442" i="9"/>
  <c r="AI442" i="9" s="1"/>
  <c r="BA506" i="9" l="1"/>
  <c r="AS383" i="9"/>
  <c r="BA86" i="9"/>
  <c r="AS59" i="9"/>
  <c r="BA172" i="9"/>
  <c r="AZ353" i="9"/>
  <c r="AZ116" i="9"/>
  <c r="AS146" i="9"/>
  <c r="AV89" i="9"/>
  <c r="AY89" i="9" s="1"/>
  <c r="BA89" i="9" s="1"/>
  <c r="AZ196" i="9"/>
  <c r="AZ383" i="9"/>
  <c r="BA453" i="9"/>
  <c r="BA186" i="9"/>
  <c r="AZ364" i="9"/>
  <c r="AV101" i="9"/>
  <c r="AY101" i="9" s="1"/>
  <c r="BA471" i="9"/>
  <c r="AZ71" i="9"/>
  <c r="AV430" i="9"/>
  <c r="AY430" i="9" s="1"/>
  <c r="AV120" i="9"/>
  <c r="AY120" i="9" s="1"/>
  <c r="BA120" i="9" s="1"/>
  <c r="BA103" i="9"/>
  <c r="AZ295" i="9"/>
  <c r="BA428" i="9"/>
  <c r="AZ89" i="9"/>
  <c r="AR172" i="9"/>
  <c r="AZ503" i="9"/>
  <c r="AV454" i="9"/>
  <c r="AY454" i="9" s="1"/>
  <c r="AZ454" i="9" s="1"/>
  <c r="AZ456" i="9"/>
  <c r="AZ355" i="9"/>
  <c r="BA468" i="9"/>
  <c r="AV458" i="9"/>
  <c r="AY458" i="9" s="1"/>
  <c r="AV455" i="9"/>
  <c r="AY455" i="9" s="1"/>
  <c r="AZ359" i="9"/>
  <c r="AZ505" i="9"/>
  <c r="BA152" i="9"/>
  <c r="AZ60" i="9"/>
  <c r="AS505" i="9"/>
  <c r="BA195" i="9"/>
  <c r="BA533" i="9"/>
  <c r="AS365" i="9"/>
  <c r="BA187" i="9"/>
  <c r="BA70" i="9"/>
  <c r="AV357" i="9"/>
  <c r="AY357" i="9" s="1"/>
  <c r="AR456" i="9"/>
  <c r="AV499" i="9"/>
  <c r="AY499" i="9" s="1"/>
  <c r="AV114" i="9"/>
  <c r="AY114" i="9" s="1"/>
  <c r="AS471" i="9"/>
  <c r="AS532" i="9"/>
  <c r="AS103" i="9"/>
  <c r="AS104" i="9"/>
  <c r="AS202" i="9"/>
  <c r="AV133" i="9"/>
  <c r="AY133" i="9" s="1"/>
  <c r="AV124" i="9"/>
  <c r="AY124" i="9" s="1"/>
  <c r="BE70" i="9"/>
  <c r="BE86" i="9"/>
  <c r="BE152" i="9"/>
  <c r="BE59" i="9"/>
  <c r="BE146" i="9"/>
  <c r="BE104" i="9"/>
  <c r="BE503" i="9"/>
  <c r="BE295" i="9"/>
  <c r="BE116" i="9"/>
  <c r="BE353" i="9"/>
  <c r="BE114" i="9"/>
  <c r="BE506" i="9"/>
  <c r="BE187" i="9"/>
  <c r="BE357" i="9"/>
  <c r="BE383" i="9"/>
  <c r="BE172" i="9"/>
  <c r="BE205" i="9"/>
  <c r="BE430" i="9"/>
  <c r="BE458" i="9"/>
  <c r="BE428" i="9"/>
  <c r="BE120" i="9"/>
  <c r="BE468" i="9"/>
  <c r="BE60" i="9"/>
  <c r="BE533" i="9"/>
  <c r="BE89" i="9"/>
  <c r="BE455" i="9"/>
  <c r="BE471" i="9"/>
  <c r="BE532" i="9"/>
  <c r="BE453" i="9"/>
  <c r="BE505" i="9"/>
  <c r="BE364" i="9"/>
  <c r="BE195" i="9"/>
  <c r="BE124" i="9"/>
  <c r="BE103" i="9"/>
  <c r="BE358" i="9"/>
  <c r="BE531" i="9"/>
  <c r="BE133" i="9"/>
  <c r="BE501" i="9"/>
  <c r="BC204" i="9"/>
  <c r="BD204" i="9" s="1"/>
  <c r="BE71" i="9"/>
  <c r="BE77" i="9"/>
  <c r="BE365" i="9"/>
  <c r="AV117" i="9"/>
  <c r="AY117" i="9" s="1"/>
  <c r="AZ117" i="9" s="1"/>
  <c r="BC117" i="9"/>
  <c r="BD117" i="9" s="1"/>
  <c r="BE202" i="9"/>
  <c r="BE355" i="9"/>
  <c r="BE456" i="9"/>
  <c r="BE454" i="9"/>
  <c r="BE171" i="9"/>
  <c r="BE196" i="9"/>
  <c r="BE101" i="9"/>
  <c r="BE186" i="9"/>
  <c r="BE115" i="9"/>
  <c r="BE499" i="9"/>
  <c r="BE359" i="9"/>
  <c r="AS453" i="9"/>
  <c r="BA501" i="9"/>
  <c r="AZ171" i="9"/>
  <c r="AV204" i="9"/>
  <c r="AY204" i="9" s="1"/>
  <c r="BA532" i="9"/>
  <c r="BA202" i="9"/>
  <c r="AZ531" i="9"/>
  <c r="AS355" i="9"/>
  <c r="BA454" i="9"/>
  <c r="BA358" i="9"/>
  <c r="AV410" i="9"/>
  <c r="AY410" i="9" s="1"/>
  <c r="AZ410" i="9" s="1"/>
  <c r="BD410" i="9"/>
  <c r="AV280" i="9"/>
  <c r="AY280" i="9" s="1"/>
  <c r="AZ280" i="9" s="1"/>
  <c r="BD280" i="9"/>
  <c r="AV529" i="9"/>
  <c r="AY529" i="9" s="1"/>
  <c r="AZ529" i="9" s="1"/>
  <c r="BD529" i="9"/>
  <c r="AV433" i="9"/>
  <c r="AY433" i="9" s="1"/>
  <c r="AZ433" i="9" s="1"/>
  <c r="BD433" i="9"/>
  <c r="AV254" i="9"/>
  <c r="AY254" i="9" s="1"/>
  <c r="BA254" i="9" s="1"/>
  <c r="BD254" i="9"/>
  <c r="AV102" i="9"/>
  <c r="AY102" i="9" s="1"/>
  <c r="AZ102" i="9" s="1"/>
  <c r="BD102" i="9"/>
  <c r="AV507" i="9"/>
  <c r="AY507" i="9" s="1"/>
  <c r="BA507" i="9" s="1"/>
  <c r="BD507" i="9"/>
  <c r="AV109" i="9"/>
  <c r="AY109" i="9" s="1"/>
  <c r="BD109" i="9"/>
  <c r="AV108" i="9"/>
  <c r="AY108" i="9" s="1"/>
  <c r="BD108" i="9"/>
  <c r="AV206" i="9"/>
  <c r="AY206" i="9" s="1"/>
  <c r="BA206" i="9" s="1"/>
  <c r="BD206" i="9"/>
  <c r="AV521" i="9"/>
  <c r="AY521" i="9" s="1"/>
  <c r="AZ521" i="9" s="1"/>
  <c r="BD521" i="9"/>
  <c r="AV429" i="9"/>
  <c r="AY429" i="9" s="1"/>
  <c r="AZ429" i="9" s="1"/>
  <c r="BD429" i="9"/>
  <c r="AV363" i="9"/>
  <c r="AY363" i="9" s="1"/>
  <c r="BA363" i="9" s="1"/>
  <c r="BD363" i="9"/>
  <c r="AV487" i="9"/>
  <c r="AY487" i="9" s="1"/>
  <c r="AZ487" i="9" s="1"/>
  <c r="BD487" i="9"/>
  <c r="AV50" i="9"/>
  <c r="AY50" i="9" s="1"/>
  <c r="BA50" i="9" s="1"/>
  <c r="BD50" i="9"/>
  <c r="AV504" i="9"/>
  <c r="AY504" i="9" s="1"/>
  <c r="BA504" i="9" s="1"/>
  <c r="BD504" i="9"/>
  <c r="AV518" i="9"/>
  <c r="AY518" i="9" s="1"/>
  <c r="BA518" i="9" s="1"/>
  <c r="BD518" i="9"/>
  <c r="AV513" i="9"/>
  <c r="AY513" i="9" s="1"/>
  <c r="AZ513" i="9" s="1"/>
  <c r="BD513" i="9"/>
  <c r="AV126" i="9"/>
  <c r="AY126" i="9" s="1"/>
  <c r="AZ126" i="9" s="1"/>
  <c r="BD126" i="9"/>
  <c r="AV333" i="9"/>
  <c r="AY333" i="9" s="1"/>
  <c r="BD333" i="9"/>
  <c r="AV107" i="9"/>
  <c r="AY107" i="9" s="1"/>
  <c r="BD107" i="9"/>
  <c r="AV145" i="9"/>
  <c r="AY145" i="9" s="1"/>
  <c r="AZ145" i="9" s="1"/>
  <c r="BD145" i="9"/>
  <c r="AV432" i="9"/>
  <c r="AY432" i="9" s="1"/>
  <c r="AZ432" i="9" s="1"/>
  <c r="BD432" i="9"/>
  <c r="AV366" i="9"/>
  <c r="AY366" i="9" s="1"/>
  <c r="BA366" i="9" s="1"/>
  <c r="BD366" i="9"/>
  <c r="AV457" i="9"/>
  <c r="AY457" i="9" s="1"/>
  <c r="BA457" i="9" s="1"/>
  <c r="BD457" i="9"/>
  <c r="AV528" i="9"/>
  <c r="AY528" i="9" s="1"/>
  <c r="AZ528" i="9" s="1"/>
  <c r="BD528" i="9"/>
  <c r="AV419" i="9"/>
  <c r="AY419" i="9" s="1"/>
  <c r="BA419" i="9" s="1"/>
  <c r="BD419" i="9"/>
  <c r="AV486" i="9"/>
  <c r="AY486" i="9" s="1"/>
  <c r="BA486" i="9" s="1"/>
  <c r="BD486" i="9"/>
  <c r="AV193" i="9"/>
  <c r="AY193" i="9" s="1"/>
  <c r="BD193" i="9"/>
  <c r="AV72" i="9"/>
  <c r="AY72" i="9" s="1"/>
  <c r="AZ72" i="9" s="1"/>
  <c r="BD72" i="9"/>
  <c r="AV191" i="9"/>
  <c r="AY191" i="9" s="1"/>
  <c r="BA191" i="9" s="1"/>
  <c r="BD191" i="9"/>
  <c r="AV522" i="9"/>
  <c r="AY522" i="9" s="1"/>
  <c r="AZ522" i="9" s="1"/>
  <c r="BD522" i="9"/>
  <c r="AV153" i="9"/>
  <c r="AY153" i="9" s="1"/>
  <c r="AZ153" i="9" s="1"/>
  <c r="BD153" i="9"/>
  <c r="AV106" i="9"/>
  <c r="AY106" i="9" s="1"/>
  <c r="AZ106" i="9" s="1"/>
  <c r="BD106" i="9"/>
  <c r="AV105" i="9"/>
  <c r="AY105" i="9" s="1"/>
  <c r="BA105" i="9" s="1"/>
  <c r="BD105" i="9"/>
  <c r="AV173" i="9"/>
  <c r="AY173" i="9" s="1"/>
  <c r="BA173" i="9" s="1"/>
  <c r="BD173" i="9"/>
  <c r="AV175" i="9"/>
  <c r="AY175" i="9" s="1"/>
  <c r="AZ175" i="9" s="1"/>
  <c r="BD175" i="9"/>
  <c r="AV517" i="9"/>
  <c r="AY517" i="9" s="1"/>
  <c r="BA517" i="9" s="1"/>
  <c r="BD517" i="9"/>
  <c r="AV125" i="9"/>
  <c r="AY125" i="9" s="1"/>
  <c r="BA125" i="9" s="1"/>
  <c r="BD125" i="9"/>
  <c r="AV530" i="9"/>
  <c r="AY530" i="9" s="1"/>
  <c r="BD530" i="9"/>
  <c r="AV434" i="9"/>
  <c r="AY434" i="9" s="1"/>
  <c r="BD434" i="9"/>
  <c r="AV192" i="9"/>
  <c r="AY192" i="9" s="1"/>
  <c r="BD192" i="9"/>
  <c r="AV113" i="9"/>
  <c r="AY113" i="9" s="1"/>
  <c r="BA113" i="9" s="1"/>
  <c r="BD113" i="9"/>
  <c r="AV151" i="9"/>
  <c r="AY151" i="9" s="1"/>
  <c r="AZ151" i="9" s="1"/>
  <c r="BD151" i="9"/>
  <c r="AV73" i="9"/>
  <c r="AY73" i="9" s="1"/>
  <c r="AZ73" i="9" s="1"/>
  <c r="BD73" i="9"/>
  <c r="AV122" i="9"/>
  <c r="AY122" i="9" s="1"/>
  <c r="AZ122" i="9" s="1"/>
  <c r="BD122" i="9"/>
  <c r="AV235" i="9"/>
  <c r="AY235" i="9" s="1"/>
  <c r="AZ235" i="9" s="1"/>
  <c r="BD235" i="9"/>
  <c r="AV356" i="9"/>
  <c r="AY356" i="9" s="1"/>
  <c r="BA356" i="9" s="1"/>
  <c r="BD356" i="9"/>
  <c r="AV93" i="9"/>
  <c r="AY93" i="9" s="1"/>
  <c r="BA93" i="9" s="1"/>
  <c r="BD93" i="9"/>
  <c r="AV51" i="9"/>
  <c r="AY51" i="9" s="1"/>
  <c r="AZ51" i="9" s="1"/>
  <c r="BD51" i="9"/>
  <c r="AV154" i="9"/>
  <c r="AY154" i="9" s="1"/>
  <c r="BA154" i="9" s="1"/>
  <c r="BD154" i="9"/>
  <c r="AV194" i="9"/>
  <c r="AY194" i="9" s="1"/>
  <c r="BD194" i="9"/>
  <c r="AV200" i="9"/>
  <c r="AY200" i="9" s="1"/>
  <c r="BD200" i="9"/>
  <c r="AV92" i="9"/>
  <c r="AY92" i="9" s="1"/>
  <c r="BD92" i="9"/>
  <c r="AV498" i="9"/>
  <c r="AY498" i="9" s="1"/>
  <c r="AZ498" i="9" s="1"/>
  <c r="BD498" i="9"/>
  <c r="AV49" i="9"/>
  <c r="AY49" i="9" s="1"/>
  <c r="BA49" i="9" s="1"/>
  <c r="BD49" i="9"/>
  <c r="AV58" i="9"/>
  <c r="AY58" i="9" s="1"/>
  <c r="BA58" i="9" s="1"/>
  <c r="BD58" i="9"/>
  <c r="AV431" i="9"/>
  <c r="AY431" i="9" s="1"/>
  <c r="BA431" i="9" s="1"/>
  <c r="BD431" i="9"/>
  <c r="AV123" i="9"/>
  <c r="AY123" i="9" s="1"/>
  <c r="BA123" i="9" s="1"/>
  <c r="BD123" i="9"/>
  <c r="AV88" i="9"/>
  <c r="AY88" i="9" s="1"/>
  <c r="AZ88" i="9" s="1"/>
  <c r="BD88" i="9"/>
  <c r="AV39" i="9"/>
  <c r="AY39" i="9" s="1"/>
  <c r="AZ39" i="9" s="1"/>
  <c r="BD39" i="9"/>
  <c r="AV470" i="9"/>
  <c r="AY470" i="9" s="1"/>
  <c r="AZ470" i="9" s="1"/>
  <c r="BD470" i="9"/>
  <c r="AV362" i="9"/>
  <c r="AY362" i="9" s="1"/>
  <c r="AZ362" i="9" s="1"/>
  <c r="BD362" i="9"/>
  <c r="AV69" i="9"/>
  <c r="AY69" i="9" s="1"/>
  <c r="BA69" i="9" s="1"/>
  <c r="BD69" i="9"/>
  <c r="AV469" i="9"/>
  <c r="AY469" i="9" s="1"/>
  <c r="BD469" i="9"/>
  <c r="AV382" i="9"/>
  <c r="AY382" i="9" s="1"/>
  <c r="BD382" i="9"/>
  <c r="AV199" i="9"/>
  <c r="AY199" i="9" s="1"/>
  <c r="BD199" i="9"/>
  <c r="AV201" i="9"/>
  <c r="AY201" i="9" s="1"/>
  <c r="BA201" i="9" s="1"/>
  <c r="BD201" i="9"/>
  <c r="AV502" i="9"/>
  <c r="AY502" i="9" s="1"/>
  <c r="AZ502" i="9" s="1"/>
  <c r="BD502" i="9"/>
  <c r="AV259" i="9"/>
  <c r="AY259" i="9" s="1"/>
  <c r="BA259" i="9" s="1"/>
  <c r="BD259" i="9"/>
  <c r="AV198" i="9"/>
  <c r="AY198" i="9" s="1"/>
  <c r="AZ198" i="9" s="1"/>
  <c r="BD198" i="9"/>
  <c r="AV87" i="9"/>
  <c r="AY87" i="9" s="1"/>
  <c r="BA87" i="9" s="1"/>
  <c r="BD87" i="9"/>
  <c r="AV174" i="9"/>
  <c r="AY174" i="9" s="1"/>
  <c r="AZ174" i="9" s="1"/>
  <c r="BD174" i="9"/>
  <c r="AV190" i="9"/>
  <c r="AY190" i="9" s="1"/>
  <c r="AZ190" i="9" s="1"/>
  <c r="BD190" i="9"/>
  <c r="AV234" i="9"/>
  <c r="AY234" i="9" s="1"/>
  <c r="AZ234" i="9" s="1"/>
  <c r="BD234" i="9"/>
  <c r="AV21" i="9"/>
  <c r="AY21" i="9" s="1"/>
  <c r="BD21" i="9"/>
  <c r="AV197" i="9"/>
  <c r="AY197" i="9" s="1"/>
  <c r="BD197" i="9"/>
  <c r="AV354" i="9"/>
  <c r="AY354" i="9" s="1"/>
  <c r="BD354" i="9"/>
  <c r="AV520" i="9"/>
  <c r="AY520" i="9" s="1"/>
  <c r="AZ520" i="9" s="1"/>
  <c r="BD520" i="9"/>
  <c r="AV384" i="9"/>
  <c r="AY384" i="9" s="1"/>
  <c r="AZ384" i="9" s="1"/>
  <c r="BD384" i="9"/>
  <c r="AV418" i="9"/>
  <c r="AY418" i="9" s="1"/>
  <c r="AZ418" i="9" s="1"/>
  <c r="BD418" i="9"/>
  <c r="AV500" i="9"/>
  <c r="AY500" i="9" s="1"/>
  <c r="BA500" i="9" s="1"/>
  <c r="BD500" i="9"/>
  <c r="AV121" i="9"/>
  <c r="AY121" i="9" s="1"/>
  <c r="AZ121" i="9" s="1"/>
  <c r="BD121" i="9"/>
  <c r="AV203" i="9"/>
  <c r="AY203" i="9" s="1"/>
  <c r="BA203" i="9" s="1"/>
  <c r="BD203" i="9"/>
  <c r="AV76" i="9"/>
  <c r="AY76" i="9" s="1"/>
  <c r="BD76" i="9"/>
  <c r="AV534" i="9"/>
  <c r="AY534" i="9" s="1"/>
  <c r="BD534" i="9"/>
  <c r="AV519" i="9"/>
  <c r="AY519" i="9" s="1"/>
  <c r="BD519" i="9"/>
  <c r="AS187" i="9"/>
  <c r="AS70" i="9"/>
  <c r="AS506" i="9"/>
  <c r="AS353" i="9"/>
  <c r="AS359" i="9"/>
  <c r="AS364" i="9"/>
  <c r="AS205" i="9"/>
  <c r="AR116" i="9"/>
  <c r="AS60" i="9"/>
  <c r="AS501" i="9"/>
  <c r="AR186" i="9"/>
  <c r="AS468" i="9"/>
  <c r="AS531" i="9"/>
  <c r="AS295" i="9"/>
  <c r="AS358" i="9"/>
  <c r="AS115" i="9"/>
  <c r="AJ326" i="9"/>
  <c r="AO326" i="9" s="1"/>
  <c r="AR326" i="9" s="1"/>
  <c r="AU326" i="9"/>
  <c r="BC326" i="9" s="1"/>
  <c r="AJ442" i="9"/>
  <c r="AO442" i="9" s="1"/>
  <c r="AR442" i="9" s="1"/>
  <c r="AU442" i="9"/>
  <c r="BC442" i="9" s="1"/>
  <c r="AJ304" i="9"/>
  <c r="AO304" i="9" s="1"/>
  <c r="AR304" i="9" s="1"/>
  <c r="AU304" i="9"/>
  <c r="BC304" i="9" s="1"/>
  <c r="AJ63" i="9"/>
  <c r="AO63" i="9" s="1"/>
  <c r="AR63" i="9" s="1"/>
  <c r="AU63" i="9"/>
  <c r="BC63" i="9" s="1"/>
  <c r="AJ443" i="9"/>
  <c r="AO443" i="9" s="1"/>
  <c r="AS443" i="9" s="1"/>
  <c r="AU443" i="9"/>
  <c r="BC443" i="9" s="1"/>
  <c r="AJ377" i="9"/>
  <c r="AO377" i="9" s="1"/>
  <c r="AR377" i="9" s="1"/>
  <c r="AU377" i="9"/>
  <c r="BC377" i="9" s="1"/>
  <c r="AJ65" i="9"/>
  <c r="AO65" i="9" s="1"/>
  <c r="AS65" i="9" s="1"/>
  <c r="AU65" i="9"/>
  <c r="BC65" i="9" s="1"/>
  <c r="AJ376" i="9"/>
  <c r="AO376" i="9" s="1"/>
  <c r="AR376" i="9" s="1"/>
  <c r="AU376" i="9"/>
  <c r="BC376" i="9" s="1"/>
  <c r="AJ374" i="9"/>
  <c r="AO374" i="9" s="1"/>
  <c r="AR374" i="9" s="1"/>
  <c r="AU374" i="9"/>
  <c r="BC374" i="9" s="1"/>
  <c r="AJ64" i="9"/>
  <c r="AO64" i="9" s="1"/>
  <c r="AS64" i="9" s="1"/>
  <c r="AU64" i="9"/>
  <c r="BC64" i="9" s="1"/>
  <c r="AJ375" i="9"/>
  <c r="AO375" i="9" s="1"/>
  <c r="AR375" i="9" s="1"/>
  <c r="AU375" i="9"/>
  <c r="BC375" i="9" s="1"/>
  <c r="AJ327" i="9"/>
  <c r="AO327" i="9" s="1"/>
  <c r="AR327" i="9" s="1"/>
  <c r="AU327" i="9"/>
  <c r="BC327" i="9" s="1"/>
  <c r="AJ328" i="9"/>
  <c r="AO328" i="9" s="1"/>
  <c r="AS328" i="9" s="1"/>
  <c r="AU328" i="9"/>
  <c r="BC328" i="9" s="1"/>
  <c r="BA72" i="9" l="1"/>
  <c r="BA429" i="9"/>
  <c r="BA521" i="9"/>
  <c r="BA101" i="9"/>
  <c r="AZ101" i="9"/>
  <c r="BA117" i="9"/>
  <c r="AZ120" i="9"/>
  <c r="BA51" i="9"/>
  <c r="AZ430" i="9"/>
  <c r="BA430" i="9"/>
  <c r="BA522" i="9"/>
  <c r="AZ201" i="9"/>
  <c r="AZ363" i="9"/>
  <c r="BA498" i="9"/>
  <c r="AZ125" i="9"/>
  <c r="AZ123" i="9"/>
  <c r="BA357" i="9"/>
  <c r="AZ357" i="9"/>
  <c r="AZ191" i="9"/>
  <c r="BA280" i="9"/>
  <c r="BA235" i="9"/>
  <c r="BA455" i="9"/>
  <c r="AZ455" i="9"/>
  <c r="BA145" i="9"/>
  <c r="AZ431" i="9"/>
  <c r="BA102" i="9"/>
  <c r="BA470" i="9"/>
  <c r="AZ458" i="9"/>
  <c r="BA458" i="9"/>
  <c r="AZ507" i="9"/>
  <c r="BA133" i="9"/>
  <c r="AZ133" i="9"/>
  <c r="AZ50" i="9"/>
  <c r="AZ518" i="9"/>
  <c r="AZ154" i="9"/>
  <c r="BA124" i="9"/>
  <c r="AZ124" i="9"/>
  <c r="BA499" i="9"/>
  <c r="AZ499" i="9"/>
  <c r="AZ114" i="9"/>
  <c r="BA114" i="9"/>
  <c r="BE204" i="9"/>
  <c r="BF196" i="9"/>
  <c r="BG196" i="9"/>
  <c r="BF77" i="9"/>
  <c r="BG77" i="9"/>
  <c r="BF124" i="9"/>
  <c r="BG124" i="9"/>
  <c r="BF453" i="9"/>
  <c r="BG453" i="9"/>
  <c r="BF89" i="9"/>
  <c r="BG89" i="9"/>
  <c r="BF120" i="9"/>
  <c r="BG120" i="9"/>
  <c r="BF187" i="9"/>
  <c r="BG187" i="9"/>
  <c r="BE384" i="9"/>
  <c r="BE201" i="9"/>
  <c r="BE88" i="9"/>
  <c r="BE151" i="9"/>
  <c r="BE173" i="9"/>
  <c r="BE366" i="9"/>
  <c r="BE429" i="9"/>
  <c r="BF115" i="9"/>
  <c r="BG115" i="9"/>
  <c r="BF171" i="9"/>
  <c r="BG171" i="9"/>
  <c r="BG202" i="9"/>
  <c r="BF202" i="9"/>
  <c r="BF71" i="9"/>
  <c r="BG71" i="9"/>
  <c r="BF531" i="9"/>
  <c r="BG531" i="9"/>
  <c r="BF195" i="9"/>
  <c r="BG195" i="9"/>
  <c r="BF532" i="9"/>
  <c r="BG532" i="9"/>
  <c r="BF533" i="9"/>
  <c r="BG533" i="9"/>
  <c r="BG428" i="9"/>
  <c r="BF428" i="9"/>
  <c r="BF172" i="9"/>
  <c r="BG172" i="9"/>
  <c r="BE87" i="9"/>
  <c r="BE49" i="9"/>
  <c r="BE522" i="9"/>
  <c r="BE433" i="9"/>
  <c r="BG506" i="9"/>
  <c r="BF506" i="9"/>
  <c r="BF295" i="9"/>
  <c r="BG295" i="9"/>
  <c r="BF59" i="9"/>
  <c r="BG59" i="9"/>
  <c r="BE203" i="9"/>
  <c r="BE21" i="9"/>
  <c r="BE69" i="9"/>
  <c r="BE194" i="9"/>
  <c r="BE530" i="9"/>
  <c r="BE486" i="9"/>
  <c r="BE333" i="9"/>
  <c r="BE504" i="9"/>
  <c r="BE109" i="9"/>
  <c r="BA502" i="9"/>
  <c r="AZ93" i="9"/>
  <c r="BE519" i="9"/>
  <c r="BE121" i="9"/>
  <c r="BE520" i="9"/>
  <c r="BE234" i="9"/>
  <c r="BE198" i="9"/>
  <c r="BE199" i="9"/>
  <c r="BE362" i="9"/>
  <c r="BE123" i="9"/>
  <c r="BE498" i="9"/>
  <c r="BE154" i="9"/>
  <c r="BE235" i="9"/>
  <c r="BE113" i="9"/>
  <c r="BE125" i="9"/>
  <c r="BE105" i="9"/>
  <c r="BE191" i="9"/>
  <c r="BE419" i="9"/>
  <c r="BE432" i="9"/>
  <c r="BE126" i="9"/>
  <c r="BE50" i="9"/>
  <c r="BE521" i="9"/>
  <c r="BE507" i="9"/>
  <c r="BE529" i="9"/>
  <c r="BE117" i="9"/>
  <c r="BA153" i="9"/>
  <c r="BG186" i="9"/>
  <c r="BF186" i="9"/>
  <c r="BF454" i="9"/>
  <c r="BG454" i="9"/>
  <c r="BF358" i="9"/>
  <c r="BG358" i="9"/>
  <c r="BG364" i="9"/>
  <c r="BF364" i="9"/>
  <c r="BF471" i="9"/>
  <c r="BG471" i="9"/>
  <c r="BF60" i="9"/>
  <c r="BG60" i="9"/>
  <c r="BF458" i="9"/>
  <c r="BG458" i="9"/>
  <c r="BF383" i="9"/>
  <c r="BG383" i="9"/>
  <c r="BG114" i="9"/>
  <c r="BF114" i="9"/>
  <c r="BF503" i="9"/>
  <c r="BG503" i="9"/>
  <c r="BF152" i="9"/>
  <c r="BG152" i="9"/>
  <c r="BE534" i="9"/>
  <c r="BE354" i="9"/>
  <c r="BE259" i="9"/>
  <c r="BE382" i="9"/>
  <c r="BE470" i="9"/>
  <c r="BE92" i="9"/>
  <c r="BE51" i="9"/>
  <c r="BE122" i="9"/>
  <c r="BE192" i="9"/>
  <c r="BE517" i="9"/>
  <c r="BE106" i="9"/>
  <c r="BE72" i="9"/>
  <c r="BE528" i="9"/>
  <c r="BE145" i="9"/>
  <c r="BE513" i="9"/>
  <c r="BE487" i="9"/>
  <c r="BE206" i="9"/>
  <c r="BE102" i="9"/>
  <c r="BE280" i="9"/>
  <c r="BA410" i="9"/>
  <c r="BA174" i="9"/>
  <c r="BF359" i="9"/>
  <c r="BG359" i="9"/>
  <c r="BF101" i="9"/>
  <c r="BG101" i="9"/>
  <c r="BG456" i="9"/>
  <c r="BF456" i="9"/>
  <c r="BF365" i="9"/>
  <c r="BG365" i="9"/>
  <c r="BF501" i="9"/>
  <c r="BG501" i="9"/>
  <c r="BF103" i="9"/>
  <c r="BG103" i="9"/>
  <c r="BF505" i="9"/>
  <c r="BG505" i="9"/>
  <c r="BF455" i="9"/>
  <c r="BG455" i="9"/>
  <c r="BG468" i="9"/>
  <c r="BF468" i="9"/>
  <c r="BF430" i="9"/>
  <c r="BG430" i="9"/>
  <c r="BF357" i="9"/>
  <c r="BG357" i="9"/>
  <c r="BE500" i="9"/>
  <c r="BE190" i="9"/>
  <c r="BE431" i="9"/>
  <c r="BE76" i="9"/>
  <c r="BE418" i="9"/>
  <c r="BE197" i="9"/>
  <c r="BE174" i="9"/>
  <c r="BE502" i="9"/>
  <c r="BE469" i="9"/>
  <c r="BE39" i="9"/>
  <c r="BE58" i="9"/>
  <c r="BE200" i="9"/>
  <c r="BE93" i="9"/>
  <c r="BE73" i="9"/>
  <c r="BE434" i="9"/>
  <c r="BE175" i="9"/>
  <c r="BE153" i="9"/>
  <c r="BE193" i="9"/>
  <c r="BE457" i="9"/>
  <c r="BE107" i="9"/>
  <c r="BE518" i="9"/>
  <c r="BE363" i="9"/>
  <c r="BE108" i="9"/>
  <c r="BE254" i="9"/>
  <c r="BE410" i="9"/>
  <c r="BF353" i="9"/>
  <c r="BG353" i="9"/>
  <c r="BF104" i="9"/>
  <c r="BG104" i="9"/>
  <c r="BG86" i="9"/>
  <c r="BF86" i="9"/>
  <c r="BF499" i="9"/>
  <c r="BG499" i="9"/>
  <c r="BF355" i="9"/>
  <c r="BG355" i="9"/>
  <c r="BF133" i="9"/>
  <c r="BG133" i="9"/>
  <c r="BF205" i="9"/>
  <c r="BG205" i="9"/>
  <c r="BE356" i="9"/>
  <c r="BF116" i="9"/>
  <c r="BG116" i="9"/>
  <c r="BG146" i="9"/>
  <c r="BF146" i="9"/>
  <c r="BG70" i="9"/>
  <c r="BF70" i="9"/>
  <c r="BA418" i="9"/>
  <c r="BA73" i="9"/>
  <c r="BA432" i="9"/>
  <c r="BA198" i="9"/>
  <c r="AZ58" i="9"/>
  <c r="AZ254" i="9"/>
  <c r="BA234" i="9"/>
  <c r="AZ113" i="9"/>
  <c r="BA529" i="9"/>
  <c r="BA520" i="9"/>
  <c r="AZ457" i="9"/>
  <c r="AZ419" i="9"/>
  <c r="BA126" i="9"/>
  <c r="BA362" i="9"/>
  <c r="AZ105" i="9"/>
  <c r="BA121" i="9"/>
  <c r="AZ204" i="9"/>
  <c r="BA204" i="9"/>
  <c r="AZ173" i="9"/>
  <c r="BA39" i="9"/>
  <c r="BA175" i="9"/>
  <c r="AZ354" i="9"/>
  <c r="BA354" i="9"/>
  <c r="AV374" i="9"/>
  <c r="AY374" i="9" s="1"/>
  <c r="BA374" i="9" s="1"/>
  <c r="BD374" i="9"/>
  <c r="AV326" i="9"/>
  <c r="AY326" i="9" s="1"/>
  <c r="BA326" i="9" s="1"/>
  <c r="BD326" i="9"/>
  <c r="AZ203" i="9"/>
  <c r="AV327" i="9"/>
  <c r="AY327" i="9" s="1"/>
  <c r="AZ327" i="9" s="1"/>
  <c r="BD327" i="9"/>
  <c r="AV376" i="9"/>
  <c r="AY376" i="9" s="1"/>
  <c r="BA376" i="9" s="1"/>
  <c r="BD376" i="9"/>
  <c r="AV63" i="9"/>
  <c r="AY63" i="9" s="1"/>
  <c r="AZ63" i="9" s="1"/>
  <c r="BD63" i="9"/>
  <c r="AZ500" i="9"/>
  <c r="AZ259" i="9"/>
  <c r="AZ366" i="9"/>
  <c r="BA88" i="9"/>
  <c r="AZ21" i="9"/>
  <c r="BA21" i="9"/>
  <c r="BA333" i="9"/>
  <c r="AZ333" i="9"/>
  <c r="AZ109" i="9"/>
  <c r="BA109" i="9"/>
  <c r="AZ530" i="9"/>
  <c r="BA530" i="9"/>
  <c r="BA433" i="9"/>
  <c r="BA151" i="9"/>
  <c r="AZ87" i="9"/>
  <c r="AZ206" i="9"/>
  <c r="BA384" i="9"/>
  <c r="AZ49" i="9"/>
  <c r="BA122" i="9"/>
  <c r="BA519" i="9"/>
  <c r="AZ519" i="9"/>
  <c r="AZ199" i="9"/>
  <c r="BA199" i="9"/>
  <c r="AZ194" i="9"/>
  <c r="BA194" i="9"/>
  <c r="AV375" i="9"/>
  <c r="AY375" i="9" s="1"/>
  <c r="AZ375" i="9" s="1"/>
  <c r="BD375" i="9"/>
  <c r="AV65" i="9"/>
  <c r="AY65" i="9" s="1"/>
  <c r="BA65" i="9" s="1"/>
  <c r="BD65" i="9"/>
  <c r="AV304" i="9"/>
  <c r="AY304" i="9" s="1"/>
  <c r="BA304" i="9" s="1"/>
  <c r="BD304" i="9"/>
  <c r="AZ504" i="9"/>
  <c r="BA513" i="9"/>
  <c r="AZ517" i="9"/>
  <c r="AV64" i="9"/>
  <c r="AY64" i="9" s="1"/>
  <c r="AZ64" i="9" s="1"/>
  <c r="BD64" i="9"/>
  <c r="AV377" i="9"/>
  <c r="AY377" i="9" s="1"/>
  <c r="AZ377" i="9" s="1"/>
  <c r="BD377" i="9"/>
  <c r="AV442" i="9"/>
  <c r="AY442" i="9" s="1"/>
  <c r="BA442" i="9" s="1"/>
  <c r="BD442" i="9"/>
  <c r="BA190" i="9"/>
  <c r="BA528" i="9"/>
  <c r="AZ486" i="9"/>
  <c r="AZ92" i="9"/>
  <c r="BA92" i="9"/>
  <c r="AV328" i="9"/>
  <c r="AY328" i="9" s="1"/>
  <c r="AZ328" i="9" s="1"/>
  <c r="BD328" i="9"/>
  <c r="AZ356" i="9"/>
  <c r="BA534" i="9"/>
  <c r="AZ534" i="9"/>
  <c r="AZ382" i="9"/>
  <c r="BA382" i="9"/>
  <c r="AZ192" i="9"/>
  <c r="BA192" i="9"/>
  <c r="AV443" i="9"/>
  <c r="AY443" i="9" s="1"/>
  <c r="BA443" i="9" s="1"/>
  <c r="BD443" i="9"/>
  <c r="BA106" i="9"/>
  <c r="BA487" i="9"/>
  <c r="AZ69" i="9"/>
  <c r="AZ76" i="9"/>
  <c r="BA76" i="9"/>
  <c r="AZ197" i="9"/>
  <c r="BA197" i="9"/>
  <c r="AZ469" i="9"/>
  <c r="BA469" i="9"/>
  <c r="AZ200" i="9"/>
  <c r="BA200" i="9"/>
  <c r="BA434" i="9"/>
  <c r="AZ434" i="9"/>
  <c r="BA193" i="9"/>
  <c r="AZ193" i="9"/>
  <c r="AZ107" i="9"/>
  <c r="BA107" i="9"/>
  <c r="AZ108" i="9"/>
  <c r="BA108" i="9"/>
  <c r="AR65" i="9"/>
  <c r="AZ376" i="9"/>
  <c r="AS304" i="9"/>
  <c r="AS63" i="9"/>
  <c r="AS327" i="9"/>
  <c r="AS376" i="9"/>
  <c r="AR64" i="9"/>
  <c r="AS442" i="9"/>
  <c r="AS377" i="9"/>
  <c r="AR328" i="9"/>
  <c r="AS374" i="9"/>
  <c r="AS326" i="9"/>
  <c r="AR443" i="9"/>
  <c r="AS375" i="9"/>
  <c r="T518" i="9"/>
  <c r="T513" i="9" s="1"/>
  <c r="W155" i="9"/>
  <c r="W151" i="9"/>
  <c r="T113" i="9"/>
  <c r="AZ442" i="9" l="1"/>
  <c r="AZ304" i="9"/>
  <c r="BA327" i="9"/>
  <c r="AZ374" i="9"/>
  <c r="BA377" i="9"/>
  <c r="BA63" i="9"/>
  <c r="BE328" i="9"/>
  <c r="BE304" i="9"/>
  <c r="BE374" i="9"/>
  <c r="BG356" i="9"/>
  <c r="BF356" i="9"/>
  <c r="BF410" i="9"/>
  <c r="BG410" i="9"/>
  <c r="BF518" i="9"/>
  <c r="BG518" i="9"/>
  <c r="BF153" i="9"/>
  <c r="BG153" i="9"/>
  <c r="BF93" i="9"/>
  <c r="BG93" i="9"/>
  <c r="BF469" i="9"/>
  <c r="BG469" i="9"/>
  <c r="BF418" i="9"/>
  <c r="BG418" i="9"/>
  <c r="BG500" i="9"/>
  <c r="BF500" i="9"/>
  <c r="BF487" i="9"/>
  <c r="BG487" i="9"/>
  <c r="BF72" i="9"/>
  <c r="BG72" i="9"/>
  <c r="BG122" i="9"/>
  <c r="BF122" i="9"/>
  <c r="BF382" i="9"/>
  <c r="BG382" i="9"/>
  <c r="BE443" i="9"/>
  <c r="BE377" i="9"/>
  <c r="BF529" i="9"/>
  <c r="BG529" i="9"/>
  <c r="BG126" i="9"/>
  <c r="BF126" i="9"/>
  <c r="BF105" i="9"/>
  <c r="BG105" i="9"/>
  <c r="BG154" i="9"/>
  <c r="BF154" i="9"/>
  <c r="BF199" i="9"/>
  <c r="BG199" i="9"/>
  <c r="BF121" i="9"/>
  <c r="BG121" i="9"/>
  <c r="BF504" i="9"/>
  <c r="BG504" i="9"/>
  <c r="BG194" i="9"/>
  <c r="BF194" i="9"/>
  <c r="BG522" i="9"/>
  <c r="BF522" i="9"/>
  <c r="BF151" i="9"/>
  <c r="BG151" i="9"/>
  <c r="BE442" i="9"/>
  <c r="BE63" i="9"/>
  <c r="BE376" i="9"/>
  <c r="BE65" i="9"/>
  <c r="BG254" i="9"/>
  <c r="BF254" i="9"/>
  <c r="BF107" i="9"/>
  <c r="BG107" i="9"/>
  <c r="BF175" i="9"/>
  <c r="BG175" i="9"/>
  <c r="BF200" i="9"/>
  <c r="BG200" i="9"/>
  <c r="BF502" i="9"/>
  <c r="BG502" i="9"/>
  <c r="BF76" i="9"/>
  <c r="BG76" i="9"/>
  <c r="BF280" i="9"/>
  <c r="BG280" i="9"/>
  <c r="BF513" i="9"/>
  <c r="BG513" i="9"/>
  <c r="BG106" i="9"/>
  <c r="BF106" i="9"/>
  <c r="BF51" i="9"/>
  <c r="BG51" i="9"/>
  <c r="BF259" i="9"/>
  <c r="BG259" i="9"/>
  <c r="BF73" i="9"/>
  <c r="BG73" i="9"/>
  <c r="BE64" i="9"/>
  <c r="BE327" i="9"/>
  <c r="BF507" i="9"/>
  <c r="BG507" i="9"/>
  <c r="BG432" i="9"/>
  <c r="BF432" i="9"/>
  <c r="BF125" i="9"/>
  <c r="BG125" i="9"/>
  <c r="BF498" i="9"/>
  <c r="BG498" i="9"/>
  <c r="BG198" i="9"/>
  <c r="BF198" i="9"/>
  <c r="BF519" i="9"/>
  <c r="BG519" i="9"/>
  <c r="BF333" i="9"/>
  <c r="BG333" i="9"/>
  <c r="BF69" i="9"/>
  <c r="BG69" i="9"/>
  <c r="BF49" i="9"/>
  <c r="BG49" i="9"/>
  <c r="BF429" i="9"/>
  <c r="BG429" i="9"/>
  <c r="BF88" i="9"/>
  <c r="BG88" i="9"/>
  <c r="BA375" i="9"/>
  <c r="BE326" i="9"/>
  <c r="BG190" i="9"/>
  <c r="BF190" i="9"/>
  <c r="BE375" i="9"/>
  <c r="BF108" i="9"/>
  <c r="BG108" i="9"/>
  <c r="BF457" i="9"/>
  <c r="BG457" i="9"/>
  <c r="BF434" i="9"/>
  <c r="BG434" i="9"/>
  <c r="BG58" i="9"/>
  <c r="BF58" i="9"/>
  <c r="BG174" i="9"/>
  <c r="BF174" i="9"/>
  <c r="BF431" i="9"/>
  <c r="BG431" i="9"/>
  <c r="BG102" i="9"/>
  <c r="BF102" i="9"/>
  <c r="BF145" i="9"/>
  <c r="BG145" i="9"/>
  <c r="BF517" i="9"/>
  <c r="BG517" i="9"/>
  <c r="BF92" i="9"/>
  <c r="BG92" i="9"/>
  <c r="BF354" i="9"/>
  <c r="BG354" i="9"/>
  <c r="BF521" i="9"/>
  <c r="BG521" i="9"/>
  <c r="BF419" i="9"/>
  <c r="BG419" i="9"/>
  <c r="BF113" i="9"/>
  <c r="BG113" i="9"/>
  <c r="BF123" i="9"/>
  <c r="BG123" i="9"/>
  <c r="BG234" i="9"/>
  <c r="BF234" i="9"/>
  <c r="BF486" i="9"/>
  <c r="BG486" i="9"/>
  <c r="BF21" i="9"/>
  <c r="BG21" i="9"/>
  <c r="BF87" i="9"/>
  <c r="BG87" i="9"/>
  <c r="BF366" i="9"/>
  <c r="BG366" i="9"/>
  <c r="BF201" i="9"/>
  <c r="BG201" i="9"/>
  <c r="BF363" i="9"/>
  <c r="BG363" i="9"/>
  <c r="BF193" i="9"/>
  <c r="BG193" i="9"/>
  <c r="BF39" i="9"/>
  <c r="BG39" i="9"/>
  <c r="BF197" i="9"/>
  <c r="BG197" i="9"/>
  <c r="BG206" i="9"/>
  <c r="BF206" i="9"/>
  <c r="BF528" i="9"/>
  <c r="BG528" i="9"/>
  <c r="BF192" i="9"/>
  <c r="BG192" i="9"/>
  <c r="BF470" i="9"/>
  <c r="BG470" i="9"/>
  <c r="BF534" i="9"/>
  <c r="BG534" i="9"/>
  <c r="BF117" i="9"/>
  <c r="BG117" i="9"/>
  <c r="BG50" i="9"/>
  <c r="BF50" i="9"/>
  <c r="BF191" i="9"/>
  <c r="BG191" i="9"/>
  <c r="BF235" i="9"/>
  <c r="BG235" i="9"/>
  <c r="BF362" i="9"/>
  <c r="BG362" i="9"/>
  <c r="BF520" i="9"/>
  <c r="BG520" i="9"/>
  <c r="BF109" i="9"/>
  <c r="BG109" i="9"/>
  <c r="BF530" i="9"/>
  <c r="BG530" i="9"/>
  <c r="BF203" i="9"/>
  <c r="BG203" i="9"/>
  <c r="BF433" i="9"/>
  <c r="BG433" i="9"/>
  <c r="BF173" i="9"/>
  <c r="BG173" i="9"/>
  <c r="BG384" i="9"/>
  <c r="BF384" i="9"/>
  <c r="BF204" i="9"/>
  <c r="BG204" i="9"/>
  <c r="AZ65" i="9"/>
  <c r="BA64" i="9"/>
  <c r="BA328" i="9"/>
  <c r="AZ443" i="9"/>
  <c r="AZ326" i="9"/>
  <c r="J441" i="9"/>
  <c r="AI441" i="9" s="1"/>
  <c r="J440" i="9"/>
  <c r="AI440" i="9" s="1"/>
  <c r="J330" i="9"/>
  <c r="AI330" i="9" s="1"/>
  <c r="J329" i="9"/>
  <c r="AI329" i="9" s="1"/>
  <c r="J135" i="9"/>
  <c r="AI135" i="9" s="1"/>
  <c r="J134" i="9"/>
  <c r="AI134" i="9" s="1"/>
  <c r="J516" i="9"/>
  <c r="AI516" i="9" s="1"/>
  <c r="J515" i="9"/>
  <c r="AI515" i="9" s="1"/>
  <c r="J514" i="9"/>
  <c r="AI514" i="9" s="1"/>
  <c r="J525" i="9"/>
  <c r="AI525" i="9" s="1"/>
  <c r="J524" i="9"/>
  <c r="AI524" i="9" s="1"/>
  <c r="J523" i="9"/>
  <c r="AI523" i="9" s="1"/>
  <c r="J512" i="9"/>
  <c r="AI512" i="9" s="1"/>
  <c r="J511" i="9"/>
  <c r="AI511" i="9" s="1"/>
  <c r="J510" i="9"/>
  <c r="AI510" i="9" s="1"/>
  <c r="J497" i="9"/>
  <c r="AI497" i="9" s="1"/>
  <c r="J496" i="9"/>
  <c r="AI496" i="9" s="1"/>
  <c r="J303" i="9"/>
  <c r="AI303" i="9" s="1"/>
  <c r="J302" i="9"/>
  <c r="AI302" i="9" s="1"/>
  <c r="J464" i="9"/>
  <c r="AI464" i="9" s="1"/>
  <c r="J463" i="9"/>
  <c r="AI463" i="9" s="1"/>
  <c r="J462" i="9"/>
  <c r="AI462" i="9" s="1"/>
  <c r="J461" i="9"/>
  <c r="AI461" i="9" s="1"/>
  <c r="J460" i="9"/>
  <c r="AI460" i="9" s="1"/>
  <c r="J459" i="9"/>
  <c r="AI459" i="9" s="1"/>
  <c r="J439" i="9"/>
  <c r="AI439" i="9" s="1"/>
  <c r="J438" i="9"/>
  <c r="AI438" i="9" s="1"/>
  <c r="J437" i="9"/>
  <c r="AI437" i="9" s="1"/>
  <c r="J436" i="9"/>
  <c r="AI436" i="9" s="1"/>
  <c r="J435" i="9"/>
  <c r="AI435" i="9" s="1"/>
  <c r="J427" i="9"/>
  <c r="AI427" i="9" s="1"/>
  <c r="J426" i="9"/>
  <c r="AI426" i="9" s="1"/>
  <c r="J423" i="9"/>
  <c r="AI423" i="9" s="1"/>
  <c r="J422" i="9"/>
  <c r="AI422" i="9" s="1"/>
  <c r="J421" i="9"/>
  <c r="AI421" i="9" s="1"/>
  <c r="J420" i="9"/>
  <c r="AI420" i="9" s="1"/>
  <c r="J373" i="9"/>
  <c r="AI373" i="9" s="1"/>
  <c r="J372" i="9"/>
  <c r="AI372" i="9" s="1"/>
  <c r="J371" i="9"/>
  <c r="AI371" i="9" s="1"/>
  <c r="J370" i="9"/>
  <c r="AI370" i="9" s="1"/>
  <c r="J369" i="9"/>
  <c r="AI369" i="9" s="1"/>
  <c r="J368" i="9"/>
  <c r="AI368" i="9" s="1"/>
  <c r="J337" i="9"/>
  <c r="AI337" i="9" s="1"/>
  <c r="J336" i="9"/>
  <c r="AI336" i="9" s="1"/>
  <c r="J301" i="9"/>
  <c r="AI301" i="9" s="1"/>
  <c r="J300" i="9"/>
  <c r="AI300" i="9" s="1"/>
  <c r="J283" i="9"/>
  <c r="AI283" i="9" s="1"/>
  <c r="J282" i="9"/>
  <c r="AI282" i="9" s="1"/>
  <c r="J258" i="9"/>
  <c r="AI258" i="9" s="1"/>
  <c r="J257" i="9"/>
  <c r="AI257" i="9" s="1"/>
  <c r="J247" i="9"/>
  <c r="AI247" i="9" s="1"/>
  <c r="J246" i="9"/>
  <c r="AI246" i="9" s="1"/>
  <c r="J245" i="9"/>
  <c r="AI245" i="9" s="1"/>
  <c r="J244" i="9"/>
  <c r="AI244" i="9" s="1"/>
  <c r="J241" i="9"/>
  <c r="AI241" i="9" s="1"/>
  <c r="J240" i="9"/>
  <c r="AI240" i="9" s="1"/>
  <c r="J227" i="9"/>
  <c r="AI227" i="9" s="1"/>
  <c r="J226" i="9"/>
  <c r="AI226" i="9" s="1"/>
  <c r="J225" i="9"/>
  <c r="AI225" i="9" s="1"/>
  <c r="J189" i="9"/>
  <c r="AI189" i="9" s="1"/>
  <c r="J188" i="9"/>
  <c r="AI188" i="9" s="1"/>
  <c r="J185" i="9"/>
  <c r="AI185" i="9" s="1"/>
  <c r="J178" i="9"/>
  <c r="AI178" i="9" s="1"/>
  <c r="J177" i="9"/>
  <c r="AI177" i="9" s="1"/>
  <c r="J164" i="9"/>
  <c r="AI164" i="9" s="1"/>
  <c r="J163" i="9"/>
  <c r="AI163" i="9" s="1"/>
  <c r="J162" i="9"/>
  <c r="AI162" i="9" s="1"/>
  <c r="J157" i="9"/>
  <c r="AI157" i="9" s="1"/>
  <c r="J156" i="9"/>
  <c r="AI156" i="9" s="1"/>
  <c r="J155" i="9"/>
  <c r="AI155" i="9" s="1"/>
  <c r="J142" i="9"/>
  <c r="AI142" i="9" s="1"/>
  <c r="J141" i="9"/>
  <c r="AI141" i="9" s="1"/>
  <c r="J140" i="9"/>
  <c r="AI140" i="9" s="1"/>
  <c r="J137" i="9"/>
  <c r="AI137" i="9" s="1"/>
  <c r="J136" i="9"/>
  <c r="AI136" i="9" s="1"/>
  <c r="J132" i="9"/>
  <c r="AI132" i="9" s="1"/>
  <c r="J131" i="9"/>
  <c r="AI131" i="9" s="1"/>
  <c r="J111" i="9"/>
  <c r="AI111" i="9" s="1"/>
  <c r="J110" i="9"/>
  <c r="AI110" i="9" s="1"/>
  <c r="J91" i="9"/>
  <c r="AI91" i="9" s="1"/>
  <c r="J90" i="9"/>
  <c r="AI90" i="9" s="1"/>
  <c r="J75" i="9"/>
  <c r="AI75" i="9" s="1"/>
  <c r="J74" i="9"/>
  <c r="AI74" i="9" s="1"/>
  <c r="J67" i="9"/>
  <c r="AI67" i="9" s="1"/>
  <c r="J66" i="9"/>
  <c r="AI66" i="9" s="1"/>
  <c r="J55" i="9"/>
  <c r="AI55" i="9" s="1"/>
  <c r="J54" i="9"/>
  <c r="AI54" i="9" s="1"/>
  <c r="BF64" i="9" l="1"/>
  <c r="BG64" i="9"/>
  <c r="BF442" i="9"/>
  <c r="BG442" i="9"/>
  <c r="BF443" i="9"/>
  <c r="BG443" i="9"/>
  <c r="BF375" i="9"/>
  <c r="BG375" i="9"/>
  <c r="BF65" i="9"/>
  <c r="BG65" i="9"/>
  <c r="BF374" i="9"/>
  <c r="BG374" i="9"/>
  <c r="BG376" i="9"/>
  <c r="BF376" i="9"/>
  <c r="BF304" i="9"/>
  <c r="BG304" i="9"/>
  <c r="BG326" i="9"/>
  <c r="BF326" i="9"/>
  <c r="BG327" i="9"/>
  <c r="BF327" i="9"/>
  <c r="BF63" i="9"/>
  <c r="BG63" i="9"/>
  <c r="BF377" i="9"/>
  <c r="BG377" i="9"/>
  <c r="BF328" i="9"/>
  <c r="BG328" i="9"/>
  <c r="AJ240" i="9"/>
  <c r="AO240" i="9" s="1"/>
  <c r="AR240" i="9" s="1"/>
  <c r="AU240" i="9"/>
  <c r="BC240" i="9" s="1"/>
  <c r="AJ497" i="9"/>
  <c r="AO497" i="9" s="1"/>
  <c r="AR497" i="9" s="1"/>
  <c r="AU497" i="9"/>
  <c r="BC497" i="9" s="1"/>
  <c r="AJ515" i="9"/>
  <c r="AO515" i="9" s="1"/>
  <c r="AR515" i="9" s="1"/>
  <c r="AU515" i="9"/>
  <c r="BC515" i="9" s="1"/>
  <c r="AJ54" i="9"/>
  <c r="AO54" i="9" s="1"/>
  <c r="AR54" i="9" s="1"/>
  <c r="AU54" i="9"/>
  <c r="BC54" i="9" s="1"/>
  <c r="AJ110" i="9"/>
  <c r="AO110" i="9" s="1"/>
  <c r="AR110" i="9" s="1"/>
  <c r="AU110" i="9"/>
  <c r="BC110" i="9" s="1"/>
  <c r="AJ142" i="9"/>
  <c r="AO142" i="9" s="1"/>
  <c r="AR142" i="9" s="1"/>
  <c r="AU142" i="9"/>
  <c r="BC142" i="9" s="1"/>
  <c r="AJ178" i="9"/>
  <c r="AO178" i="9" s="1"/>
  <c r="AR178" i="9" s="1"/>
  <c r="AU178" i="9"/>
  <c r="BC178" i="9" s="1"/>
  <c r="AJ241" i="9"/>
  <c r="AO241" i="9" s="1"/>
  <c r="AR241" i="9" s="1"/>
  <c r="AU241" i="9"/>
  <c r="BC241" i="9" s="1"/>
  <c r="AJ283" i="9"/>
  <c r="AO283" i="9" s="1"/>
  <c r="AR283" i="9" s="1"/>
  <c r="AU283" i="9"/>
  <c r="BC283" i="9" s="1"/>
  <c r="AJ371" i="9"/>
  <c r="AO371" i="9" s="1"/>
  <c r="AR371" i="9" s="1"/>
  <c r="AU371" i="9"/>
  <c r="BC371" i="9" s="1"/>
  <c r="AJ427" i="9"/>
  <c r="AO427" i="9" s="1"/>
  <c r="AR427" i="9" s="1"/>
  <c r="AU427" i="9"/>
  <c r="BC427" i="9" s="1"/>
  <c r="AJ461" i="9"/>
  <c r="AO461" i="9" s="1"/>
  <c r="AR461" i="9" s="1"/>
  <c r="AU461" i="9"/>
  <c r="BC461" i="9" s="1"/>
  <c r="AJ510" i="9"/>
  <c r="AO510" i="9" s="1"/>
  <c r="AR510" i="9" s="1"/>
  <c r="AU510" i="9"/>
  <c r="BC510" i="9" s="1"/>
  <c r="AJ516" i="9"/>
  <c r="AO516" i="9" s="1"/>
  <c r="AR516" i="9" s="1"/>
  <c r="AU516" i="9"/>
  <c r="BC516" i="9" s="1"/>
  <c r="AJ91" i="9"/>
  <c r="AO91" i="9" s="1"/>
  <c r="AS91" i="9" s="1"/>
  <c r="AU91" i="9"/>
  <c r="BC91" i="9" s="1"/>
  <c r="AJ370" i="9"/>
  <c r="AO370" i="9" s="1"/>
  <c r="AR370" i="9" s="1"/>
  <c r="AU370" i="9"/>
  <c r="BC370" i="9" s="1"/>
  <c r="AJ300" i="9"/>
  <c r="AO300" i="9" s="1"/>
  <c r="AR300" i="9" s="1"/>
  <c r="AU300" i="9"/>
  <c r="BC300" i="9" s="1"/>
  <c r="AJ134" i="9"/>
  <c r="AO134" i="9" s="1"/>
  <c r="AR134" i="9" s="1"/>
  <c r="AU134" i="9"/>
  <c r="BC134" i="9" s="1"/>
  <c r="AJ66" i="9"/>
  <c r="AO66" i="9" s="1"/>
  <c r="AR66" i="9" s="1"/>
  <c r="AU66" i="9"/>
  <c r="BC66" i="9" s="1"/>
  <c r="AJ131" i="9"/>
  <c r="AO131" i="9" s="1"/>
  <c r="AS131" i="9" s="1"/>
  <c r="AU131" i="9"/>
  <c r="BC131" i="9" s="1"/>
  <c r="AJ156" i="9"/>
  <c r="AO156" i="9" s="1"/>
  <c r="AR156" i="9" s="1"/>
  <c r="AU156" i="9"/>
  <c r="BC156" i="9" s="1"/>
  <c r="AJ188" i="9"/>
  <c r="AO188" i="9" s="1"/>
  <c r="AR188" i="9" s="1"/>
  <c r="AU188" i="9"/>
  <c r="BC188" i="9" s="1"/>
  <c r="AJ245" i="9"/>
  <c r="AO245" i="9" s="1"/>
  <c r="AR245" i="9" s="1"/>
  <c r="AU245" i="9"/>
  <c r="BC245" i="9" s="1"/>
  <c r="AJ301" i="9"/>
  <c r="AO301" i="9" s="1"/>
  <c r="AR301" i="9" s="1"/>
  <c r="AU301" i="9"/>
  <c r="BC301" i="9" s="1"/>
  <c r="AJ373" i="9"/>
  <c r="AO373" i="9" s="1"/>
  <c r="AR373" i="9" s="1"/>
  <c r="AU373" i="9"/>
  <c r="BC373" i="9" s="1"/>
  <c r="AJ436" i="9"/>
  <c r="AO436" i="9" s="1"/>
  <c r="AS436" i="9" s="1"/>
  <c r="AU436" i="9"/>
  <c r="BC436" i="9" s="1"/>
  <c r="AJ463" i="9"/>
  <c r="AO463" i="9" s="1"/>
  <c r="AR463" i="9" s="1"/>
  <c r="AU463" i="9"/>
  <c r="BC463" i="9" s="1"/>
  <c r="AJ512" i="9"/>
  <c r="AO512" i="9" s="1"/>
  <c r="AR512" i="9" s="1"/>
  <c r="AU512" i="9"/>
  <c r="BC512" i="9" s="1"/>
  <c r="AJ135" i="9"/>
  <c r="AO135" i="9" s="1"/>
  <c r="AR135" i="9" s="1"/>
  <c r="AU135" i="9"/>
  <c r="BC135" i="9" s="1"/>
  <c r="AJ426" i="9"/>
  <c r="AO426" i="9" s="1"/>
  <c r="AR426" i="9" s="1"/>
  <c r="AU426" i="9"/>
  <c r="BC426" i="9" s="1"/>
  <c r="AJ185" i="9"/>
  <c r="AO185" i="9" s="1"/>
  <c r="AR185" i="9" s="1"/>
  <c r="AU185" i="9"/>
  <c r="BC185" i="9" s="1"/>
  <c r="AJ511" i="9"/>
  <c r="AO511" i="9" s="1"/>
  <c r="AR511" i="9" s="1"/>
  <c r="AU511" i="9"/>
  <c r="BC511" i="9" s="1"/>
  <c r="AJ67" i="9"/>
  <c r="AO67" i="9" s="1"/>
  <c r="AR67" i="9" s="1"/>
  <c r="AU67" i="9"/>
  <c r="BC67" i="9" s="1"/>
  <c r="AJ132" i="9"/>
  <c r="AO132" i="9" s="1"/>
  <c r="AR132" i="9" s="1"/>
  <c r="AU132" i="9"/>
  <c r="BC132" i="9" s="1"/>
  <c r="AJ157" i="9"/>
  <c r="AO157" i="9" s="1"/>
  <c r="AR157" i="9" s="1"/>
  <c r="AU157" i="9"/>
  <c r="BC157" i="9" s="1"/>
  <c r="AJ189" i="9"/>
  <c r="AO189" i="9" s="1"/>
  <c r="AR189" i="9" s="1"/>
  <c r="AU189" i="9"/>
  <c r="BC189" i="9" s="1"/>
  <c r="AJ246" i="9"/>
  <c r="AO246" i="9" s="1"/>
  <c r="AS246" i="9" s="1"/>
  <c r="AU246" i="9"/>
  <c r="BC246" i="9" s="1"/>
  <c r="AJ336" i="9"/>
  <c r="AO336" i="9" s="1"/>
  <c r="AR336" i="9" s="1"/>
  <c r="AU336" i="9"/>
  <c r="BC336" i="9" s="1"/>
  <c r="AJ420" i="9"/>
  <c r="AO420" i="9" s="1"/>
  <c r="AR420" i="9" s="1"/>
  <c r="AU420" i="9"/>
  <c r="BC420" i="9" s="1"/>
  <c r="AJ437" i="9"/>
  <c r="AO437" i="9" s="1"/>
  <c r="AR437" i="9" s="1"/>
  <c r="AU437" i="9"/>
  <c r="BC437" i="9" s="1"/>
  <c r="AJ464" i="9"/>
  <c r="AO464" i="9" s="1"/>
  <c r="AR464" i="9" s="1"/>
  <c r="AU464" i="9"/>
  <c r="BC464" i="9" s="1"/>
  <c r="AJ523" i="9"/>
  <c r="AO523" i="9" s="1"/>
  <c r="AR523" i="9" s="1"/>
  <c r="AU523" i="9"/>
  <c r="BC523" i="9" s="1"/>
  <c r="AJ329" i="9"/>
  <c r="AO329" i="9" s="1"/>
  <c r="AR329" i="9" s="1"/>
  <c r="AU329" i="9"/>
  <c r="BC329" i="9" s="1"/>
  <c r="AJ141" i="9"/>
  <c r="AO141" i="9" s="1"/>
  <c r="AS141" i="9" s="1"/>
  <c r="AU141" i="9"/>
  <c r="BC141" i="9" s="1"/>
  <c r="AJ460" i="9"/>
  <c r="AO460" i="9" s="1"/>
  <c r="AR460" i="9" s="1"/>
  <c r="AU460" i="9"/>
  <c r="BC460" i="9" s="1"/>
  <c r="AJ155" i="9"/>
  <c r="AO155" i="9" s="1"/>
  <c r="AS155" i="9" s="1"/>
  <c r="AU155" i="9"/>
  <c r="BC155" i="9" s="1"/>
  <c r="AJ435" i="9"/>
  <c r="AO435" i="9" s="1"/>
  <c r="AS435" i="9" s="1"/>
  <c r="AU435" i="9"/>
  <c r="BC435" i="9" s="1"/>
  <c r="AJ74" i="9"/>
  <c r="AO74" i="9" s="1"/>
  <c r="AR74" i="9" s="1"/>
  <c r="AU74" i="9"/>
  <c r="BC74" i="9" s="1"/>
  <c r="AJ136" i="9"/>
  <c r="AO136" i="9" s="1"/>
  <c r="AR136" i="9" s="1"/>
  <c r="AU136" i="9"/>
  <c r="BC136" i="9" s="1"/>
  <c r="AJ162" i="9"/>
  <c r="AO162" i="9" s="1"/>
  <c r="AS162" i="9" s="1"/>
  <c r="AU162" i="9"/>
  <c r="BC162" i="9" s="1"/>
  <c r="AJ225" i="9"/>
  <c r="AO225" i="9" s="1"/>
  <c r="AR225" i="9" s="1"/>
  <c r="AU225" i="9"/>
  <c r="BC225" i="9" s="1"/>
  <c r="AJ247" i="9"/>
  <c r="AO247" i="9" s="1"/>
  <c r="AR247" i="9" s="1"/>
  <c r="AU247" i="9"/>
  <c r="BC247" i="9" s="1"/>
  <c r="AJ337" i="9"/>
  <c r="AO337" i="9" s="1"/>
  <c r="AS337" i="9" s="1"/>
  <c r="AU337" i="9"/>
  <c r="BC337" i="9" s="1"/>
  <c r="AJ421" i="9"/>
  <c r="AO421" i="9" s="1"/>
  <c r="AR421" i="9" s="1"/>
  <c r="AU421" i="9"/>
  <c r="BC421" i="9" s="1"/>
  <c r="AJ438" i="9"/>
  <c r="AO438" i="9" s="1"/>
  <c r="AR438" i="9" s="1"/>
  <c r="AU438" i="9"/>
  <c r="BC438" i="9" s="1"/>
  <c r="AJ302" i="9"/>
  <c r="AO302" i="9" s="1"/>
  <c r="AR302" i="9" s="1"/>
  <c r="AU302" i="9"/>
  <c r="BC302" i="9" s="1"/>
  <c r="AJ524" i="9"/>
  <c r="AO524" i="9" s="1"/>
  <c r="AR524" i="9" s="1"/>
  <c r="AU524" i="9"/>
  <c r="BC524" i="9" s="1"/>
  <c r="AJ330" i="9"/>
  <c r="AO330" i="9" s="1"/>
  <c r="AS330" i="9" s="1"/>
  <c r="AU330" i="9"/>
  <c r="BC330" i="9" s="1"/>
  <c r="AJ282" i="9"/>
  <c r="AO282" i="9" s="1"/>
  <c r="AR282" i="9" s="1"/>
  <c r="AU282" i="9"/>
  <c r="BC282" i="9" s="1"/>
  <c r="AJ111" i="9"/>
  <c r="AO111" i="9" s="1"/>
  <c r="AR111" i="9" s="1"/>
  <c r="AU111" i="9"/>
  <c r="BC111" i="9" s="1"/>
  <c r="AJ372" i="9"/>
  <c r="AO372" i="9" s="1"/>
  <c r="AR372" i="9" s="1"/>
  <c r="AU372" i="9"/>
  <c r="BC372" i="9" s="1"/>
  <c r="AJ75" i="9"/>
  <c r="AO75" i="9" s="1"/>
  <c r="AS75" i="9" s="1"/>
  <c r="AU75" i="9"/>
  <c r="BC75" i="9" s="1"/>
  <c r="AJ137" i="9"/>
  <c r="AO137" i="9" s="1"/>
  <c r="AR137" i="9" s="1"/>
  <c r="AU137" i="9"/>
  <c r="BC137" i="9" s="1"/>
  <c r="AJ163" i="9"/>
  <c r="AO163" i="9" s="1"/>
  <c r="AR163" i="9" s="1"/>
  <c r="AU163" i="9"/>
  <c r="BC163" i="9" s="1"/>
  <c r="AJ226" i="9"/>
  <c r="AO226" i="9" s="1"/>
  <c r="AR226" i="9" s="1"/>
  <c r="AU226" i="9"/>
  <c r="BC226" i="9" s="1"/>
  <c r="AJ257" i="9"/>
  <c r="AO257" i="9" s="1"/>
  <c r="AR257" i="9" s="1"/>
  <c r="AU257" i="9"/>
  <c r="BC257" i="9" s="1"/>
  <c r="AJ368" i="9"/>
  <c r="AO368" i="9" s="1"/>
  <c r="AS368" i="9" s="1"/>
  <c r="AU368" i="9"/>
  <c r="BC368" i="9" s="1"/>
  <c r="AJ422" i="9"/>
  <c r="AO422" i="9" s="1"/>
  <c r="AR422" i="9" s="1"/>
  <c r="AU422" i="9"/>
  <c r="BC422" i="9" s="1"/>
  <c r="AJ439" i="9"/>
  <c r="AO439" i="9" s="1"/>
  <c r="AR439" i="9" s="1"/>
  <c r="AU439" i="9"/>
  <c r="BC439" i="9" s="1"/>
  <c r="AJ303" i="9"/>
  <c r="AO303" i="9" s="1"/>
  <c r="AR303" i="9" s="1"/>
  <c r="AU303" i="9"/>
  <c r="BC303" i="9" s="1"/>
  <c r="AJ525" i="9"/>
  <c r="AO525" i="9" s="1"/>
  <c r="AR525" i="9" s="1"/>
  <c r="AU525" i="9"/>
  <c r="BC525" i="9" s="1"/>
  <c r="AJ440" i="9"/>
  <c r="AO440" i="9" s="1"/>
  <c r="AR440" i="9" s="1"/>
  <c r="AU440" i="9"/>
  <c r="BC440" i="9" s="1"/>
  <c r="AJ177" i="9"/>
  <c r="AO177" i="9" s="1"/>
  <c r="AR177" i="9" s="1"/>
  <c r="AU177" i="9"/>
  <c r="BC177" i="9" s="1"/>
  <c r="AJ55" i="9"/>
  <c r="AO55" i="9" s="1"/>
  <c r="AS55" i="9" s="1"/>
  <c r="AU55" i="9"/>
  <c r="BC55" i="9" s="1"/>
  <c r="AJ244" i="9"/>
  <c r="AO244" i="9" s="1"/>
  <c r="AS244" i="9" s="1"/>
  <c r="AU244" i="9"/>
  <c r="BC244" i="9" s="1"/>
  <c r="AJ462" i="9"/>
  <c r="AO462" i="9" s="1"/>
  <c r="AR462" i="9" s="1"/>
  <c r="AU462" i="9"/>
  <c r="BC462" i="9" s="1"/>
  <c r="AJ90" i="9"/>
  <c r="AO90" i="9" s="1"/>
  <c r="AR90" i="9" s="1"/>
  <c r="AU90" i="9"/>
  <c r="BC90" i="9" s="1"/>
  <c r="AJ140" i="9"/>
  <c r="AO140" i="9" s="1"/>
  <c r="AR140" i="9" s="1"/>
  <c r="AU140" i="9"/>
  <c r="BC140" i="9" s="1"/>
  <c r="AJ164" i="9"/>
  <c r="AO164" i="9" s="1"/>
  <c r="AR164" i="9" s="1"/>
  <c r="AU164" i="9"/>
  <c r="BC164" i="9" s="1"/>
  <c r="AJ227" i="9"/>
  <c r="AO227" i="9" s="1"/>
  <c r="AR227" i="9" s="1"/>
  <c r="AU227" i="9"/>
  <c r="BC227" i="9" s="1"/>
  <c r="AJ258" i="9"/>
  <c r="AO258" i="9" s="1"/>
  <c r="AR258" i="9" s="1"/>
  <c r="AU258" i="9"/>
  <c r="BC258" i="9" s="1"/>
  <c r="AJ369" i="9"/>
  <c r="AO369" i="9" s="1"/>
  <c r="AR369" i="9" s="1"/>
  <c r="AU369" i="9"/>
  <c r="BC369" i="9" s="1"/>
  <c r="AJ423" i="9"/>
  <c r="AO423" i="9" s="1"/>
  <c r="AS423" i="9" s="1"/>
  <c r="AU423" i="9"/>
  <c r="BC423" i="9" s="1"/>
  <c r="AJ459" i="9"/>
  <c r="AO459" i="9" s="1"/>
  <c r="AR459" i="9" s="1"/>
  <c r="AU459" i="9"/>
  <c r="BC459" i="9" s="1"/>
  <c r="AJ496" i="9"/>
  <c r="AO496" i="9" s="1"/>
  <c r="AR496" i="9" s="1"/>
  <c r="AU496" i="9"/>
  <c r="BC496" i="9" s="1"/>
  <c r="AJ514" i="9"/>
  <c r="AO514" i="9" s="1"/>
  <c r="AR514" i="9" s="1"/>
  <c r="AU514" i="9"/>
  <c r="BC514" i="9" s="1"/>
  <c r="AJ441" i="9"/>
  <c r="AO441" i="9" s="1"/>
  <c r="AR441" i="9" s="1"/>
  <c r="AU441" i="9"/>
  <c r="BC441" i="9" s="1"/>
  <c r="J53" i="9"/>
  <c r="AI53" i="9" s="1"/>
  <c r="J52" i="9"/>
  <c r="AI52" i="9" s="1"/>
  <c r="J40" i="9"/>
  <c r="AI40" i="9" s="1"/>
  <c r="J17" i="9"/>
  <c r="AI17" i="9" s="1"/>
  <c r="J16" i="9"/>
  <c r="AI16" i="9" s="1"/>
  <c r="AV441" i="9" l="1"/>
  <c r="AY441" i="9" s="1"/>
  <c r="BA441" i="9" s="1"/>
  <c r="BD441" i="9"/>
  <c r="AV244" i="9"/>
  <c r="AY244" i="9" s="1"/>
  <c r="BA244" i="9" s="1"/>
  <c r="BD244" i="9"/>
  <c r="AV369" i="9"/>
  <c r="AY369" i="9" s="1"/>
  <c r="BA369" i="9" s="1"/>
  <c r="BD369" i="9"/>
  <c r="AV303" i="9"/>
  <c r="AY303" i="9" s="1"/>
  <c r="BA303" i="9" s="1"/>
  <c r="BD303" i="9"/>
  <c r="AV330" i="9"/>
  <c r="AY330" i="9" s="1"/>
  <c r="AZ330" i="9" s="1"/>
  <c r="BD330" i="9"/>
  <c r="AV155" i="9"/>
  <c r="AY155" i="9" s="1"/>
  <c r="AZ155" i="9" s="1"/>
  <c r="BD155" i="9"/>
  <c r="AV523" i="9"/>
  <c r="AY523" i="9" s="1"/>
  <c r="BA523" i="9" s="1"/>
  <c r="BD523" i="9"/>
  <c r="AV132" i="9"/>
  <c r="AY132" i="9" s="1"/>
  <c r="AZ132" i="9" s="1"/>
  <c r="BD132" i="9"/>
  <c r="AV436" i="9"/>
  <c r="AY436" i="9" s="1"/>
  <c r="AZ436" i="9" s="1"/>
  <c r="BD436" i="9"/>
  <c r="AV371" i="9"/>
  <c r="AY371" i="9" s="1"/>
  <c r="BA371" i="9" s="1"/>
  <c r="BD371" i="9"/>
  <c r="AV497" i="9"/>
  <c r="AY497" i="9" s="1"/>
  <c r="BA497" i="9" s="1"/>
  <c r="BD497" i="9"/>
  <c r="AV258" i="9"/>
  <c r="AY258" i="9" s="1"/>
  <c r="AZ258" i="9" s="1"/>
  <c r="BD258" i="9"/>
  <c r="AV177" i="9"/>
  <c r="AY177" i="9" s="1"/>
  <c r="AZ177" i="9" s="1"/>
  <c r="BD177" i="9"/>
  <c r="AV226" i="9"/>
  <c r="AY226" i="9" s="1"/>
  <c r="BA226" i="9" s="1"/>
  <c r="BD226" i="9"/>
  <c r="AV524" i="9"/>
  <c r="AY524" i="9" s="1"/>
  <c r="BA524" i="9" s="1"/>
  <c r="BD524" i="9"/>
  <c r="AV136" i="9"/>
  <c r="AY136" i="9" s="1"/>
  <c r="BA136" i="9" s="1"/>
  <c r="BD136" i="9"/>
  <c r="AV464" i="9"/>
  <c r="AY464" i="9" s="1"/>
  <c r="AZ464" i="9" s="1"/>
  <c r="BD464" i="9"/>
  <c r="AV67" i="9"/>
  <c r="AY67" i="9" s="1"/>
  <c r="BA67" i="9" s="1"/>
  <c r="BD67" i="9"/>
  <c r="AV373" i="9"/>
  <c r="AY373" i="9" s="1"/>
  <c r="AZ373" i="9" s="1"/>
  <c r="BD373" i="9"/>
  <c r="AV300" i="9"/>
  <c r="AY300" i="9" s="1"/>
  <c r="AZ300" i="9" s="1"/>
  <c r="BD300" i="9"/>
  <c r="AV283" i="9"/>
  <c r="AY283" i="9" s="1"/>
  <c r="AZ283" i="9" s="1"/>
  <c r="BD283" i="9"/>
  <c r="AV110" i="9"/>
  <c r="AY110" i="9" s="1"/>
  <c r="BA110" i="9" s="1"/>
  <c r="BD110" i="9"/>
  <c r="AV459" i="9"/>
  <c r="AY459" i="9" s="1"/>
  <c r="AZ459" i="9" s="1"/>
  <c r="BD459" i="9"/>
  <c r="AV227" i="9"/>
  <c r="AY227" i="9" s="1"/>
  <c r="AZ227" i="9" s="1"/>
  <c r="BD227" i="9"/>
  <c r="AV462" i="9"/>
  <c r="AY462" i="9" s="1"/>
  <c r="AZ462" i="9" s="1"/>
  <c r="BD462" i="9"/>
  <c r="AV440" i="9"/>
  <c r="AY440" i="9" s="1"/>
  <c r="AZ440" i="9" s="1"/>
  <c r="BD440" i="9"/>
  <c r="AV422" i="9"/>
  <c r="AY422" i="9" s="1"/>
  <c r="AZ422" i="9" s="1"/>
  <c r="BD422" i="9"/>
  <c r="AV163" i="9"/>
  <c r="AY163" i="9" s="1"/>
  <c r="BA163" i="9" s="1"/>
  <c r="BD163" i="9"/>
  <c r="AV111" i="9"/>
  <c r="AY111" i="9" s="1"/>
  <c r="AZ111" i="9" s="1"/>
  <c r="BD111" i="9"/>
  <c r="AV302" i="9"/>
  <c r="AY302" i="9" s="1"/>
  <c r="BA302" i="9" s="1"/>
  <c r="BD302" i="9"/>
  <c r="AV247" i="9"/>
  <c r="AY247" i="9" s="1"/>
  <c r="BA247" i="9" s="1"/>
  <c r="BD247" i="9"/>
  <c r="AV74" i="9"/>
  <c r="AY74" i="9" s="1"/>
  <c r="AZ74" i="9" s="1"/>
  <c r="BD74" i="9"/>
  <c r="AV141" i="9"/>
  <c r="AY141" i="9" s="1"/>
  <c r="BA141" i="9" s="1"/>
  <c r="BD141" i="9"/>
  <c r="AV437" i="9"/>
  <c r="AY437" i="9" s="1"/>
  <c r="AZ437" i="9" s="1"/>
  <c r="BD437" i="9"/>
  <c r="AV189" i="9"/>
  <c r="AY189" i="9" s="1"/>
  <c r="BA189" i="9" s="1"/>
  <c r="BD189" i="9"/>
  <c r="AV511" i="9"/>
  <c r="AY511" i="9" s="1"/>
  <c r="BA511" i="9" s="1"/>
  <c r="BD511" i="9"/>
  <c r="AV512" i="9"/>
  <c r="AY512" i="9" s="1"/>
  <c r="AZ512" i="9" s="1"/>
  <c r="BD512" i="9"/>
  <c r="AV301" i="9"/>
  <c r="AY301" i="9" s="1"/>
  <c r="AZ301" i="9" s="1"/>
  <c r="BD301" i="9"/>
  <c r="AV131" i="9"/>
  <c r="AY131" i="9" s="1"/>
  <c r="BA131" i="9" s="1"/>
  <c r="BD131" i="9"/>
  <c r="AV370" i="9"/>
  <c r="AY370" i="9" s="1"/>
  <c r="BA370" i="9" s="1"/>
  <c r="BD370" i="9"/>
  <c r="AV461" i="9"/>
  <c r="AY461" i="9" s="1"/>
  <c r="AZ461" i="9" s="1"/>
  <c r="BD461" i="9"/>
  <c r="AV241" i="9"/>
  <c r="AY241" i="9" s="1"/>
  <c r="BA241" i="9" s="1"/>
  <c r="BD241" i="9"/>
  <c r="AV54" i="9"/>
  <c r="AY54" i="9" s="1"/>
  <c r="AZ54" i="9" s="1"/>
  <c r="BD54" i="9"/>
  <c r="AV525" i="9"/>
  <c r="AY525" i="9" s="1"/>
  <c r="AZ525" i="9" s="1"/>
  <c r="BD525" i="9"/>
  <c r="AV514" i="9"/>
  <c r="AY514" i="9" s="1"/>
  <c r="AZ514" i="9" s="1"/>
  <c r="BD514" i="9"/>
  <c r="AV55" i="9"/>
  <c r="AY55" i="9" s="1"/>
  <c r="AZ55" i="9" s="1"/>
  <c r="BD55" i="9"/>
  <c r="AV75" i="9"/>
  <c r="AY75" i="9" s="1"/>
  <c r="AZ75" i="9" s="1"/>
  <c r="BD75" i="9"/>
  <c r="AV162" i="9"/>
  <c r="AY162" i="9" s="1"/>
  <c r="BA162" i="9" s="1"/>
  <c r="BD162" i="9"/>
  <c r="AV336" i="9"/>
  <c r="AY336" i="9" s="1"/>
  <c r="AZ336" i="9" s="1"/>
  <c r="BD336" i="9"/>
  <c r="AV426" i="9"/>
  <c r="AY426" i="9" s="1"/>
  <c r="AZ426" i="9" s="1"/>
  <c r="BD426" i="9"/>
  <c r="AV188" i="9"/>
  <c r="AY188" i="9" s="1"/>
  <c r="AZ188" i="9" s="1"/>
  <c r="BD188" i="9"/>
  <c r="AV142" i="9"/>
  <c r="AY142" i="9" s="1"/>
  <c r="AZ142" i="9" s="1"/>
  <c r="BD142" i="9"/>
  <c r="AV496" i="9"/>
  <c r="AY496" i="9" s="1"/>
  <c r="AZ496" i="9" s="1"/>
  <c r="BD496" i="9"/>
  <c r="AV90" i="9"/>
  <c r="AY90" i="9" s="1"/>
  <c r="AZ90" i="9" s="1"/>
  <c r="BD90" i="9"/>
  <c r="AV439" i="9"/>
  <c r="AY439" i="9" s="1"/>
  <c r="BA439" i="9" s="1"/>
  <c r="BD439" i="9"/>
  <c r="AV372" i="9"/>
  <c r="AY372" i="9" s="1"/>
  <c r="AZ372" i="9" s="1"/>
  <c r="BD372" i="9"/>
  <c r="AV337" i="9"/>
  <c r="AY337" i="9" s="1"/>
  <c r="AZ337" i="9" s="1"/>
  <c r="BD337" i="9"/>
  <c r="AV460" i="9"/>
  <c r="AY460" i="9" s="1"/>
  <c r="AZ460" i="9" s="1"/>
  <c r="BD460" i="9"/>
  <c r="AV246" i="9"/>
  <c r="AY246" i="9" s="1"/>
  <c r="AZ246" i="9" s="1"/>
  <c r="BD246" i="9"/>
  <c r="AV135" i="9"/>
  <c r="AY135" i="9" s="1"/>
  <c r="BA135" i="9" s="1"/>
  <c r="BD135" i="9"/>
  <c r="AV156" i="9"/>
  <c r="AY156" i="9" s="1"/>
  <c r="AZ156" i="9" s="1"/>
  <c r="BD156" i="9"/>
  <c r="AV510" i="9"/>
  <c r="AY510" i="9" s="1"/>
  <c r="AZ510" i="9" s="1"/>
  <c r="BD510" i="9"/>
  <c r="AV240" i="9"/>
  <c r="AY240" i="9" s="1"/>
  <c r="AZ240" i="9" s="1"/>
  <c r="BD240" i="9"/>
  <c r="AV164" i="9"/>
  <c r="AY164" i="9" s="1"/>
  <c r="BA164" i="9" s="1"/>
  <c r="BD164" i="9"/>
  <c r="AV282" i="9"/>
  <c r="AY282" i="9" s="1"/>
  <c r="AZ282" i="9" s="1"/>
  <c r="BD282" i="9"/>
  <c r="AV438" i="9"/>
  <c r="AY438" i="9" s="1"/>
  <c r="AZ438" i="9" s="1"/>
  <c r="BD438" i="9"/>
  <c r="AV225" i="9"/>
  <c r="AY225" i="9" s="1"/>
  <c r="BA225" i="9" s="1"/>
  <c r="BD225" i="9"/>
  <c r="AV435" i="9"/>
  <c r="AY435" i="9" s="1"/>
  <c r="BA435" i="9" s="1"/>
  <c r="BD435" i="9"/>
  <c r="AV329" i="9"/>
  <c r="AY329" i="9" s="1"/>
  <c r="BA329" i="9" s="1"/>
  <c r="BD329" i="9"/>
  <c r="AV420" i="9"/>
  <c r="AY420" i="9" s="1"/>
  <c r="BA420" i="9" s="1"/>
  <c r="BD420" i="9"/>
  <c r="AV157" i="9"/>
  <c r="AY157" i="9" s="1"/>
  <c r="BA157" i="9" s="1"/>
  <c r="BD157" i="9"/>
  <c r="AV185" i="9"/>
  <c r="AY185" i="9" s="1"/>
  <c r="AZ185" i="9" s="1"/>
  <c r="BD185" i="9"/>
  <c r="AV463" i="9"/>
  <c r="AY463" i="9" s="1"/>
  <c r="BA463" i="9" s="1"/>
  <c r="BD463" i="9"/>
  <c r="AV245" i="9"/>
  <c r="AY245" i="9" s="1"/>
  <c r="BA245" i="9" s="1"/>
  <c r="BD245" i="9"/>
  <c r="AV66" i="9"/>
  <c r="AY66" i="9" s="1"/>
  <c r="AZ66" i="9" s="1"/>
  <c r="BD66" i="9"/>
  <c r="AV91" i="9"/>
  <c r="AY91" i="9" s="1"/>
  <c r="AZ91" i="9" s="1"/>
  <c r="BD91" i="9"/>
  <c r="AV427" i="9"/>
  <c r="AY427" i="9" s="1"/>
  <c r="AZ427" i="9" s="1"/>
  <c r="BD427" i="9"/>
  <c r="AV178" i="9"/>
  <c r="AY178" i="9" s="1"/>
  <c r="AZ178" i="9" s="1"/>
  <c r="BD178" i="9"/>
  <c r="AV515" i="9"/>
  <c r="AY515" i="9" s="1"/>
  <c r="BA515" i="9" s="1"/>
  <c r="BD515" i="9"/>
  <c r="AV137" i="9"/>
  <c r="AY137" i="9" s="1"/>
  <c r="AZ137" i="9" s="1"/>
  <c r="BD137" i="9"/>
  <c r="AV140" i="9"/>
  <c r="AY140" i="9" s="1"/>
  <c r="AZ140" i="9" s="1"/>
  <c r="BD140" i="9"/>
  <c r="AV421" i="9"/>
  <c r="AY421" i="9" s="1"/>
  <c r="BA421" i="9" s="1"/>
  <c r="BD421" i="9"/>
  <c r="AV516" i="9"/>
  <c r="AY516" i="9" s="1"/>
  <c r="AZ516" i="9" s="1"/>
  <c r="BD516" i="9"/>
  <c r="AV423" i="9"/>
  <c r="AY423" i="9" s="1"/>
  <c r="BA423" i="9" s="1"/>
  <c r="BD423" i="9"/>
  <c r="AV368" i="9"/>
  <c r="AY368" i="9" s="1"/>
  <c r="AZ368" i="9" s="1"/>
  <c r="BD368" i="9"/>
  <c r="AV257" i="9"/>
  <c r="AY257" i="9" s="1"/>
  <c r="AZ257" i="9" s="1"/>
  <c r="BD257" i="9"/>
  <c r="AV134" i="9"/>
  <c r="AY134" i="9" s="1"/>
  <c r="BA134" i="9" s="1"/>
  <c r="BD134" i="9"/>
  <c r="AR337" i="9"/>
  <c r="AS282" i="9"/>
  <c r="AS420" i="9"/>
  <c r="AR435" i="9"/>
  <c r="AS245" i="9"/>
  <c r="AR423" i="9"/>
  <c r="AR368" i="9"/>
  <c r="AS225" i="9"/>
  <c r="AR91" i="9"/>
  <c r="AR436" i="9"/>
  <c r="AR244" i="9"/>
  <c r="AS329" i="9"/>
  <c r="AR131" i="9"/>
  <c r="AS247" i="9"/>
  <c r="AS441" i="9"/>
  <c r="AS178" i="9"/>
  <c r="AS185" i="9"/>
  <c r="AS516" i="9"/>
  <c r="AR141" i="9"/>
  <c r="AS137" i="9"/>
  <c r="AZ369" i="9"/>
  <c r="AS257" i="9"/>
  <c r="AS336" i="9"/>
  <c r="AS142" i="9"/>
  <c r="AS497" i="9"/>
  <c r="AR55" i="9"/>
  <c r="AS371" i="9"/>
  <c r="AS226" i="9"/>
  <c r="AS140" i="9"/>
  <c r="AS134" i="9"/>
  <c r="AS132" i="9"/>
  <c r="AS303" i="9"/>
  <c r="AS426" i="9"/>
  <c r="AR162" i="9"/>
  <c r="AR75" i="9"/>
  <c r="AR330" i="9"/>
  <c r="AS523" i="9"/>
  <c r="AR155" i="9"/>
  <c r="AS369" i="9"/>
  <c r="AS421" i="9"/>
  <c r="AS188" i="9"/>
  <c r="AS514" i="9"/>
  <c r="AS240" i="9"/>
  <c r="AS300" i="9"/>
  <c r="AS510" i="9"/>
  <c r="AS460" i="9"/>
  <c r="AS156" i="9"/>
  <c r="AS90" i="9"/>
  <c r="AS110" i="9"/>
  <c r="AS439" i="9"/>
  <c r="AS136" i="9"/>
  <c r="AS67" i="9"/>
  <c r="AS177" i="9"/>
  <c r="AS373" i="9"/>
  <c r="AS258" i="9"/>
  <c r="AS372" i="9"/>
  <c r="AS524" i="9"/>
  <c r="AS135" i="9"/>
  <c r="AR246" i="9"/>
  <c r="AS496" i="9"/>
  <c r="AS164" i="9"/>
  <c r="AS438" i="9"/>
  <c r="AS525" i="9"/>
  <c r="AS427" i="9"/>
  <c r="AS464" i="9"/>
  <c r="AS157" i="9"/>
  <c r="AS66" i="9"/>
  <c r="AS283" i="9"/>
  <c r="AS463" i="9"/>
  <c r="AS515" i="9"/>
  <c r="AJ40" i="9"/>
  <c r="AO40" i="9" s="1"/>
  <c r="AR40" i="9" s="1"/>
  <c r="AU40" i="9"/>
  <c r="BC40" i="9" s="1"/>
  <c r="AJ52" i="9"/>
  <c r="AO52" i="9" s="1"/>
  <c r="AR52" i="9" s="1"/>
  <c r="AU52" i="9"/>
  <c r="BC52" i="9" s="1"/>
  <c r="AS459" i="9"/>
  <c r="AS227" i="9"/>
  <c r="AS74" i="9"/>
  <c r="AS461" i="9"/>
  <c r="AS511" i="9"/>
  <c r="AS512" i="9"/>
  <c r="AS301" i="9"/>
  <c r="AJ53" i="9"/>
  <c r="AO53" i="9" s="1"/>
  <c r="AR53" i="9" s="1"/>
  <c r="AU53" i="9"/>
  <c r="BC53" i="9" s="1"/>
  <c r="AS302" i="9"/>
  <c r="AS370" i="9"/>
  <c r="AS462" i="9"/>
  <c r="AS241" i="9"/>
  <c r="AS440" i="9"/>
  <c r="AS422" i="9"/>
  <c r="AS163" i="9"/>
  <c r="AS111" i="9"/>
  <c r="AS437" i="9"/>
  <c r="AS189" i="9"/>
  <c r="AS54" i="9"/>
  <c r="AJ17" i="9"/>
  <c r="AO17" i="9" s="1"/>
  <c r="AR17" i="9" s="1"/>
  <c r="AU17" i="9"/>
  <c r="BC17" i="9" s="1"/>
  <c r="AJ16" i="9"/>
  <c r="AO16" i="9" s="1"/>
  <c r="AS16" i="9" s="1"/>
  <c r="AU16" i="9"/>
  <c r="BC16" i="9" s="1"/>
  <c r="AZ136" i="9" l="1"/>
  <c r="AZ303" i="9"/>
  <c r="AZ244" i="9"/>
  <c r="BA426" i="9"/>
  <c r="BA74" i="9"/>
  <c r="AZ163" i="9"/>
  <c r="AZ226" i="9"/>
  <c r="BA300" i="9"/>
  <c r="BA185" i="9"/>
  <c r="BA227" i="9"/>
  <c r="BA258" i="9"/>
  <c r="BA132" i="9"/>
  <c r="AZ435" i="9"/>
  <c r="BA525" i="9"/>
  <c r="AZ135" i="9"/>
  <c r="AZ441" i="9"/>
  <c r="BA438" i="9"/>
  <c r="AZ497" i="9"/>
  <c r="BA427" i="9"/>
  <c r="AZ164" i="9"/>
  <c r="AZ329" i="9"/>
  <c r="AZ511" i="9"/>
  <c r="AZ162" i="9"/>
  <c r="BA142" i="9"/>
  <c r="AZ247" i="9"/>
  <c r="BA514" i="9"/>
  <c r="AZ423" i="9"/>
  <c r="BA91" i="9"/>
  <c r="AZ370" i="9"/>
  <c r="AZ524" i="9"/>
  <c r="AZ131" i="9"/>
  <c r="BA337" i="9"/>
  <c r="BA372" i="9"/>
  <c r="BA257" i="9"/>
  <c r="AZ157" i="9"/>
  <c r="BA137" i="9"/>
  <c r="BA177" i="9"/>
  <c r="BA336" i="9"/>
  <c r="BA459" i="9"/>
  <c r="BA464" i="9"/>
  <c r="BA496" i="9"/>
  <c r="BA140" i="9"/>
  <c r="BA75" i="9"/>
  <c r="BA283" i="9"/>
  <c r="BA156" i="9"/>
  <c r="BE516" i="9"/>
  <c r="BE66" i="9"/>
  <c r="BE225" i="9"/>
  <c r="BE439" i="9"/>
  <c r="BE54" i="9"/>
  <c r="BE524" i="9"/>
  <c r="BE257" i="9"/>
  <c r="BE178" i="9"/>
  <c r="BE420" i="9"/>
  <c r="BE510" i="9"/>
  <c r="BE90" i="9"/>
  <c r="BE55" i="9"/>
  <c r="BE301" i="9"/>
  <c r="BE302" i="9"/>
  <c r="BE110" i="9"/>
  <c r="BE226" i="9"/>
  <c r="BE244" i="9"/>
  <c r="BA516" i="9"/>
  <c r="AZ189" i="9"/>
  <c r="AZ439" i="9"/>
  <c r="BA66" i="9"/>
  <c r="AZ110" i="9"/>
  <c r="BE140" i="9"/>
  <c r="BE463" i="9"/>
  <c r="BE282" i="9"/>
  <c r="BE337" i="9"/>
  <c r="BE496" i="9"/>
  <c r="BE514" i="9"/>
  <c r="BE512" i="9"/>
  <c r="BE111" i="9"/>
  <c r="BE283" i="9"/>
  <c r="BE177" i="9"/>
  <c r="BE441" i="9"/>
  <c r="BA155" i="9"/>
  <c r="BA373" i="9"/>
  <c r="AZ134" i="9"/>
  <c r="BA368" i="9"/>
  <c r="AZ463" i="9"/>
  <c r="BE423" i="9"/>
  <c r="BE137" i="9"/>
  <c r="BE91" i="9"/>
  <c r="BE185" i="9"/>
  <c r="BE435" i="9"/>
  <c r="BE164" i="9"/>
  <c r="BE135" i="9"/>
  <c r="BE372" i="9"/>
  <c r="BE142" i="9"/>
  <c r="BE162" i="9"/>
  <c r="BE525" i="9"/>
  <c r="BE370" i="9"/>
  <c r="BE511" i="9"/>
  <c r="BE74" i="9"/>
  <c r="BE163" i="9"/>
  <c r="BE227" i="9"/>
  <c r="BE300" i="9"/>
  <c r="BE136" i="9"/>
  <c r="BE258" i="9"/>
  <c r="BE132" i="9"/>
  <c r="BE303" i="9"/>
  <c r="BE515" i="9"/>
  <c r="BE157" i="9"/>
  <c r="BE246" i="9"/>
  <c r="BE188" i="9"/>
  <c r="BE131" i="9"/>
  <c r="BE373" i="9"/>
  <c r="BE421" i="9"/>
  <c r="BE245" i="9"/>
  <c r="BE438" i="9"/>
  <c r="BE460" i="9"/>
  <c r="BE426" i="9"/>
  <c r="BE241" i="9"/>
  <c r="BE437" i="9"/>
  <c r="BE440" i="9"/>
  <c r="BE67" i="9"/>
  <c r="BE371" i="9"/>
  <c r="BE155" i="9"/>
  <c r="BA54" i="9"/>
  <c r="BA422" i="9"/>
  <c r="BA246" i="9"/>
  <c r="BE368" i="9"/>
  <c r="BE427" i="9"/>
  <c r="BE329" i="9"/>
  <c r="BE156" i="9"/>
  <c r="BE336" i="9"/>
  <c r="BE461" i="9"/>
  <c r="BE141" i="9"/>
  <c r="BE462" i="9"/>
  <c r="BE464" i="9"/>
  <c r="BE436" i="9"/>
  <c r="BE330" i="9"/>
  <c r="AZ225" i="9"/>
  <c r="BA188" i="9"/>
  <c r="BA510" i="9"/>
  <c r="BE134" i="9"/>
  <c r="BE240" i="9"/>
  <c r="BE75" i="9"/>
  <c r="BE189" i="9"/>
  <c r="BE247" i="9"/>
  <c r="BE422" i="9"/>
  <c r="BE459" i="9"/>
  <c r="BE497" i="9"/>
  <c r="BE523" i="9"/>
  <c r="BE369" i="9"/>
  <c r="AV40" i="9"/>
  <c r="AY40" i="9" s="1"/>
  <c r="AZ40" i="9" s="1"/>
  <c r="BD40" i="9"/>
  <c r="AZ245" i="9"/>
  <c r="AZ241" i="9"/>
  <c r="BA437" i="9"/>
  <c r="BA440" i="9"/>
  <c r="AZ67" i="9"/>
  <c r="BA301" i="9"/>
  <c r="AZ302" i="9"/>
  <c r="BA240" i="9"/>
  <c r="BA460" i="9"/>
  <c r="BA90" i="9"/>
  <c r="AZ371" i="9"/>
  <c r="BA436" i="9"/>
  <c r="AZ523" i="9"/>
  <c r="BA330" i="9"/>
  <c r="BA55" i="9"/>
  <c r="BA178" i="9"/>
  <c r="BA282" i="9"/>
  <c r="AZ515" i="9"/>
  <c r="BA461" i="9"/>
  <c r="BA512" i="9"/>
  <c r="AZ141" i="9"/>
  <c r="BA111" i="9"/>
  <c r="BA462" i="9"/>
  <c r="AV17" i="9"/>
  <c r="AY17" i="9" s="1"/>
  <c r="AZ17" i="9" s="1"/>
  <c r="BD17" i="9"/>
  <c r="AZ421" i="9"/>
  <c r="AZ420" i="9"/>
  <c r="AV53" i="9"/>
  <c r="AY53" i="9" s="1"/>
  <c r="BA53" i="9" s="1"/>
  <c r="BD53" i="9"/>
  <c r="AV16" i="9"/>
  <c r="AY16" i="9" s="1"/>
  <c r="AZ16" i="9" s="1"/>
  <c r="BD16" i="9"/>
  <c r="AV52" i="9"/>
  <c r="AY52" i="9" s="1"/>
  <c r="BA52" i="9" s="1"/>
  <c r="BD52" i="9"/>
  <c r="AR16" i="9"/>
  <c r="AS53" i="9"/>
  <c r="AS52" i="9"/>
  <c r="AS40" i="9"/>
  <c r="AS17" i="9"/>
  <c r="J14" i="9"/>
  <c r="AI14" i="9" s="1"/>
  <c r="BA40" i="9" l="1"/>
  <c r="BA17" i="9"/>
  <c r="BE52" i="9"/>
  <c r="BE17" i="9"/>
  <c r="BF497" i="9"/>
  <c r="BG497" i="9"/>
  <c r="BF189" i="9"/>
  <c r="BG189" i="9"/>
  <c r="BE40" i="9"/>
  <c r="BF283" i="9"/>
  <c r="BG283" i="9"/>
  <c r="BG496" i="9"/>
  <c r="BF496" i="9"/>
  <c r="BF140" i="9"/>
  <c r="BG140" i="9"/>
  <c r="BF336" i="9"/>
  <c r="BG336" i="9"/>
  <c r="BF462" i="9"/>
  <c r="BG462" i="9"/>
  <c r="BF156" i="9"/>
  <c r="BG156" i="9"/>
  <c r="BE16" i="9"/>
  <c r="BF459" i="9"/>
  <c r="BG459" i="9"/>
  <c r="BF75" i="9"/>
  <c r="BG75" i="9"/>
  <c r="BG440" i="9"/>
  <c r="BF440" i="9"/>
  <c r="BG460" i="9"/>
  <c r="BF460" i="9"/>
  <c r="BF373" i="9"/>
  <c r="BG373" i="9"/>
  <c r="BF157" i="9"/>
  <c r="BG157" i="9"/>
  <c r="BG258" i="9"/>
  <c r="BF258" i="9"/>
  <c r="BF163" i="9"/>
  <c r="BG163" i="9"/>
  <c r="BF525" i="9"/>
  <c r="BG525" i="9"/>
  <c r="BF135" i="9"/>
  <c r="BG135" i="9"/>
  <c r="BF91" i="9"/>
  <c r="BG91" i="9"/>
  <c r="BG226" i="9"/>
  <c r="BF226" i="9"/>
  <c r="BF55" i="9"/>
  <c r="BG55" i="9"/>
  <c r="BG178" i="9"/>
  <c r="BF178" i="9"/>
  <c r="BF439" i="9"/>
  <c r="BG439" i="9"/>
  <c r="BF111" i="9"/>
  <c r="BG111" i="9"/>
  <c r="BF337" i="9"/>
  <c r="BG337" i="9"/>
  <c r="BF141" i="9"/>
  <c r="BG141" i="9"/>
  <c r="BE53" i="9"/>
  <c r="BF369" i="9"/>
  <c r="BG369" i="9"/>
  <c r="BF422" i="9"/>
  <c r="BG422" i="9"/>
  <c r="BF240" i="9"/>
  <c r="BG240" i="9"/>
  <c r="BF155" i="9"/>
  <c r="BG155" i="9"/>
  <c r="BF437" i="9"/>
  <c r="BG437" i="9"/>
  <c r="BF438" i="9"/>
  <c r="BG438" i="9"/>
  <c r="BF131" i="9"/>
  <c r="BG131" i="9"/>
  <c r="BF515" i="9"/>
  <c r="BG515" i="9"/>
  <c r="BF136" i="9"/>
  <c r="BG136" i="9"/>
  <c r="BG74" i="9"/>
  <c r="BF74" i="9"/>
  <c r="BG162" i="9"/>
  <c r="BF162" i="9"/>
  <c r="BF164" i="9"/>
  <c r="BG164" i="9"/>
  <c r="BF137" i="9"/>
  <c r="BG137" i="9"/>
  <c r="BG110" i="9"/>
  <c r="BF110" i="9"/>
  <c r="BG90" i="9"/>
  <c r="BF90" i="9"/>
  <c r="BF257" i="9"/>
  <c r="BG257" i="9"/>
  <c r="BF225" i="9"/>
  <c r="BG225" i="9"/>
  <c r="BG330" i="9"/>
  <c r="BF330" i="9"/>
  <c r="BF329" i="9"/>
  <c r="BG329" i="9"/>
  <c r="BF441" i="9"/>
  <c r="BG441" i="9"/>
  <c r="BF512" i="9"/>
  <c r="BG512" i="9"/>
  <c r="BG282" i="9"/>
  <c r="BF282" i="9"/>
  <c r="BA16" i="9"/>
  <c r="BF523" i="9"/>
  <c r="BG523" i="9"/>
  <c r="BF247" i="9"/>
  <c r="BG247" i="9"/>
  <c r="BG134" i="9"/>
  <c r="BF134" i="9"/>
  <c r="BF371" i="9"/>
  <c r="BG371" i="9"/>
  <c r="BF241" i="9"/>
  <c r="BG241" i="9"/>
  <c r="BF245" i="9"/>
  <c r="BG245" i="9"/>
  <c r="BF188" i="9"/>
  <c r="BG188" i="9"/>
  <c r="BF303" i="9"/>
  <c r="BG303" i="9"/>
  <c r="BF300" i="9"/>
  <c r="BG300" i="9"/>
  <c r="BF511" i="9"/>
  <c r="BG511" i="9"/>
  <c r="BG142" i="9"/>
  <c r="BF142" i="9"/>
  <c r="BF435" i="9"/>
  <c r="BG435" i="9"/>
  <c r="BF423" i="9"/>
  <c r="BG423" i="9"/>
  <c r="BG302" i="9"/>
  <c r="BF302" i="9"/>
  <c r="BF510" i="9"/>
  <c r="BG510" i="9"/>
  <c r="BF524" i="9"/>
  <c r="BG524" i="9"/>
  <c r="BG66" i="9"/>
  <c r="BF66" i="9"/>
  <c r="BG464" i="9"/>
  <c r="BF464" i="9"/>
  <c r="BG368" i="9"/>
  <c r="BF368" i="9"/>
  <c r="BF177" i="9"/>
  <c r="BG177" i="9"/>
  <c r="BG514" i="9"/>
  <c r="BF514" i="9"/>
  <c r="BF463" i="9"/>
  <c r="BG463" i="9"/>
  <c r="BG436" i="9"/>
  <c r="BF436" i="9"/>
  <c r="BF461" i="9"/>
  <c r="BG461" i="9"/>
  <c r="BF427" i="9"/>
  <c r="BG427" i="9"/>
  <c r="BF67" i="9"/>
  <c r="BG67" i="9"/>
  <c r="BF426" i="9"/>
  <c r="BG426" i="9"/>
  <c r="BF421" i="9"/>
  <c r="BG421" i="9"/>
  <c r="BG246" i="9"/>
  <c r="BF246" i="9"/>
  <c r="BF132" i="9"/>
  <c r="BG132" i="9"/>
  <c r="BF227" i="9"/>
  <c r="BG227" i="9"/>
  <c r="BF370" i="9"/>
  <c r="BG370" i="9"/>
  <c r="BG372" i="9"/>
  <c r="BF372" i="9"/>
  <c r="BF185" i="9"/>
  <c r="BG185" i="9"/>
  <c r="BF244" i="9"/>
  <c r="BG244" i="9"/>
  <c r="BF301" i="9"/>
  <c r="BG301" i="9"/>
  <c r="BG420" i="9"/>
  <c r="BF420" i="9"/>
  <c r="BG54" i="9"/>
  <c r="BF54" i="9"/>
  <c r="BG516" i="9"/>
  <c r="BF516" i="9"/>
  <c r="AZ53" i="9"/>
  <c r="AZ52" i="9"/>
  <c r="AJ14" i="9"/>
  <c r="AO14" i="9" s="1"/>
  <c r="AS14" i="9" s="1"/>
  <c r="AU14" i="9"/>
  <c r="BC14" i="9" s="1"/>
  <c r="BE212" i="5"/>
  <c r="BE214" i="5"/>
  <c r="BE215" i="5"/>
  <c r="BE216" i="5"/>
  <c r="BE217" i="5"/>
  <c r="BE218" i="5"/>
  <c r="BE219" i="5"/>
  <c r="BE220" i="5"/>
  <c r="BE221" i="5"/>
  <c r="BE222" i="5"/>
  <c r="BE223" i="5"/>
  <c r="BE224" i="5"/>
  <c r="BE228" i="5"/>
  <c r="BE229" i="5"/>
  <c r="BE230" i="5"/>
  <c r="BE233" i="5"/>
  <c r="BE240" i="5"/>
  <c r="BE242" i="5"/>
  <c r="BE279" i="5"/>
  <c r="BE280" i="5"/>
  <c r="BE281" i="5"/>
  <c r="BE296" i="5"/>
  <c r="BE302" i="5"/>
  <c r="BE303" i="5"/>
  <c r="BE308" i="5"/>
  <c r="BE309" i="5"/>
  <c r="BE310" i="5"/>
  <c r="BE311" i="5"/>
  <c r="BE323" i="5"/>
  <c r="BE324" i="5"/>
  <c r="BE325" i="5"/>
  <c r="BE326" i="5"/>
  <c r="BE327" i="5"/>
  <c r="BE334" i="5"/>
  <c r="BE335" i="5"/>
  <c r="BE342" i="5"/>
  <c r="BE343" i="5"/>
  <c r="BE344" i="5"/>
  <c r="BE345" i="5"/>
  <c r="BE350" i="5"/>
  <c r="BE351" i="5"/>
  <c r="BE354" i="5"/>
  <c r="BE355" i="5"/>
  <c r="BE356" i="5"/>
  <c r="BE357" i="5"/>
  <c r="BE358" i="5"/>
  <c r="BE359" i="5"/>
  <c r="BE360" i="5"/>
  <c r="BE361" i="5"/>
  <c r="BE362" i="5"/>
  <c r="BE363" i="5"/>
  <c r="BE364" i="5"/>
  <c r="BE394" i="5"/>
  <c r="BE395" i="5"/>
  <c r="BE411" i="5"/>
  <c r="BE412" i="5"/>
  <c r="BE413" i="5"/>
  <c r="BE420" i="5"/>
  <c r="BE421" i="5"/>
  <c r="BE422" i="5"/>
  <c r="BE423" i="5"/>
  <c r="BE424" i="5"/>
  <c r="BE448" i="5"/>
  <c r="BE449" i="5"/>
  <c r="BE450" i="5"/>
  <c r="BE453" i="5"/>
  <c r="BE454" i="5"/>
  <c r="BE462" i="5"/>
  <c r="BE463" i="5"/>
  <c r="BE464" i="5"/>
  <c r="BE465" i="5"/>
  <c r="BE466" i="5"/>
  <c r="BE479" i="5"/>
  <c r="BE480" i="5"/>
  <c r="BE481" i="5"/>
  <c r="BE482" i="5"/>
  <c r="BE483" i="5"/>
  <c r="BE484" i="5"/>
  <c r="BE485" i="5"/>
  <c r="BE518" i="5"/>
  <c r="BE519" i="5"/>
  <c r="BE520" i="5"/>
  <c r="BE521" i="5"/>
  <c r="BE522" i="5"/>
  <c r="BE528" i="5"/>
  <c r="BE529" i="5"/>
  <c r="BE530" i="5"/>
  <c r="BE531" i="5"/>
  <c r="BE532" i="5"/>
  <c r="BE533" i="5"/>
  <c r="BE534" i="5"/>
  <c r="BE535" i="5"/>
  <c r="BE536" i="5"/>
  <c r="BE537" i="5"/>
  <c r="BE538" i="5"/>
  <c r="BE539" i="5"/>
  <c r="BD212" i="5"/>
  <c r="BD214" i="5"/>
  <c r="BD215" i="5"/>
  <c r="BD216" i="5"/>
  <c r="BD217" i="5"/>
  <c r="BD218" i="5"/>
  <c r="BD219" i="5"/>
  <c r="BD220" i="5"/>
  <c r="BD221" i="5"/>
  <c r="BD222" i="5"/>
  <c r="BD223" i="5"/>
  <c r="BD224" i="5"/>
  <c r="BD228" i="5"/>
  <c r="BD229" i="5"/>
  <c r="BD230" i="5"/>
  <c r="BD233" i="5"/>
  <c r="BD240" i="5"/>
  <c r="BD242" i="5"/>
  <c r="BD277" i="5"/>
  <c r="BD279" i="5"/>
  <c r="BD280" i="5"/>
  <c r="BD281" i="5"/>
  <c r="BD282" i="5"/>
  <c r="BD283" i="5"/>
  <c r="BD284" i="5"/>
  <c r="BD285" i="5"/>
  <c r="BD286" i="5"/>
  <c r="BD287" i="5"/>
  <c r="BD288" i="5"/>
  <c r="BD289" i="5"/>
  <c r="BD290" i="5"/>
  <c r="BD296" i="5"/>
  <c r="BD297" i="5"/>
  <c r="BD302" i="5"/>
  <c r="BD303" i="5"/>
  <c r="BD308" i="5"/>
  <c r="BD309" i="5"/>
  <c r="BD310" i="5"/>
  <c r="BD311" i="5"/>
  <c r="BD314" i="5"/>
  <c r="BD315" i="5"/>
  <c r="BD316" i="5"/>
  <c r="BD317" i="5"/>
  <c r="BD318" i="5"/>
  <c r="BD319" i="5"/>
  <c r="BD322" i="5"/>
  <c r="BD323" i="5"/>
  <c r="BD324" i="5"/>
  <c r="BD325" i="5"/>
  <c r="BD326" i="5"/>
  <c r="BD327" i="5"/>
  <c r="BD333" i="5"/>
  <c r="BD334" i="5"/>
  <c r="BD335" i="5"/>
  <c r="BD342" i="5"/>
  <c r="BD343" i="5"/>
  <c r="BD344" i="5"/>
  <c r="BD345" i="5"/>
  <c r="BD350" i="5"/>
  <c r="BD351" i="5"/>
  <c r="BD354" i="5"/>
  <c r="BD355" i="5"/>
  <c r="BD356" i="5"/>
  <c r="BD357" i="5"/>
  <c r="BD358" i="5"/>
  <c r="BD359" i="5"/>
  <c r="BD360" i="5"/>
  <c r="BD361" i="5"/>
  <c r="BD362" i="5"/>
  <c r="BD363" i="5"/>
  <c r="BD364" i="5"/>
  <c r="BD365" i="5"/>
  <c r="BD366" i="5"/>
  <c r="BD367" i="5"/>
  <c r="BD368" i="5"/>
  <c r="BD369" i="5"/>
  <c r="BD370" i="5"/>
  <c r="BD371" i="5"/>
  <c r="BD372" i="5"/>
  <c r="BD373" i="5"/>
  <c r="BD374" i="5"/>
  <c r="BD375" i="5"/>
  <c r="BD376" i="5"/>
  <c r="BD377" i="5"/>
  <c r="BD378" i="5"/>
  <c r="BD381" i="5"/>
  <c r="BD382" i="5"/>
  <c r="BD383" i="5"/>
  <c r="BD384" i="5"/>
  <c r="BD385" i="5"/>
  <c r="BD386" i="5"/>
  <c r="BD387" i="5"/>
  <c r="BD388" i="5"/>
  <c r="BD389" i="5"/>
  <c r="BD394" i="5"/>
  <c r="BD395" i="5"/>
  <c r="BD400" i="5"/>
  <c r="BD401" i="5"/>
  <c r="BD402" i="5"/>
  <c r="BD403" i="5"/>
  <c r="BD408" i="5"/>
  <c r="BD409" i="5"/>
  <c r="BD411" i="5"/>
  <c r="BD412" i="5"/>
  <c r="BD413" i="5"/>
  <c r="BD416" i="5"/>
  <c r="BD417" i="5"/>
  <c r="BD418" i="5"/>
  <c r="BD419" i="5"/>
  <c r="BD420" i="5"/>
  <c r="BD421" i="5"/>
  <c r="BD422" i="5"/>
  <c r="BD423" i="5"/>
  <c r="BD424" i="5"/>
  <c r="BD429" i="5"/>
  <c r="BD435" i="5"/>
  <c r="BD440" i="5"/>
  <c r="BD441" i="5"/>
  <c r="BD442" i="5"/>
  <c r="BD443" i="5"/>
  <c r="BD444" i="5"/>
  <c r="BD445" i="5"/>
  <c r="BD446" i="5"/>
  <c r="BD447" i="5"/>
  <c r="BD448" i="5"/>
  <c r="BD449" i="5"/>
  <c r="BD450" i="5"/>
  <c r="BD453" i="5"/>
  <c r="BD454" i="5"/>
  <c r="BD458" i="5"/>
  <c r="BD459" i="5"/>
  <c r="BD460" i="5"/>
  <c r="BD461" i="5"/>
  <c r="BD462" i="5"/>
  <c r="BD463" i="5"/>
  <c r="BD464" i="5"/>
  <c r="BD465" i="5"/>
  <c r="BD466" i="5"/>
  <c r="BD470" i="5"/>
  <c r="BD471" i="5"/>
  <c r="BD472" i="5"/>
  <c r="BD473" i="5"/>
  <c r="BD479" i="5"/>
  <c r="BD480" i="5"/>
  <c r="BD481" i="5"/>
  <c r="BD482" i="5"/>
  <c r="BD483" i="5"/>
  <c r="BD484" i="5"/>
  <c r="BD485" i="5"/>
  <c r="BD493" i="5"/>
  <c r="BD494" i="5"/>
  <c r="BD495" i="5"/>
  <c r="BD496" i="5"/>
  <c r="BD497" i="5"/>
  <c r="BD498" i="5"/>
  <c r="BD499" i="5"/>
  <c r="BD500" i="5"/>
  <c r="BD501" i="5"/>
  <c r="BD502" i="5"/>
  <c r="BD503" i="5"/>
  <c r="BD504" i="5"/>
  <c r="BD513" i="5"/>
  <c r="BD514" i="5"/>
  <c r="BD515" i="5"/>
  <c r="BD516" i="5"/>
  <c r="BD517" i="5"/>
  <c r="BF52" i="9" l="1"/>
  <c r="BG52" i="9"/>
  <c r="BF17" i="9"/>
  <c r="BG17" i="9"/>
  <c r="BF40" i="9"/>
  <c r="BG40" i="9"/>
  <c r="BF16" i="9"/>
  <c r="BG16" i="9"/>
  <c r="BF53" i="9"/>
  <c r="BG53" i="9"/>
  <c r="AV14" i="9"/>
  <c r="AY14" i="9" s="1"/>
  <c r="AZ14" i="9" s="1"/>
  <c r="BD14" i="9"/>
  <c r="AR14" i="9"/>
  <c r="B527" i="5"/>
  <c r="BA14" i="9" l="1"/>
  <c r="BE14" i="9"/>
  <c r="J492" i="9"/>
  <c r="AI492" i="9" s="1"/>
  <c r="J491" i="9"/>
  <c r="AI491" i="9" s="1"/>
  <c r="J490" i="9"/>
  <c r="AI490" i="9" s="1"/>
  <c r="J489" i="9"/>
  <c r="AI489" i="9" s="1"/>
  <c r="J488" i="9"/>
  <c r="AI488" i="9" s="1"/>
  <c r="J332" i="9"/>
  <c r="AI332" i="9" s="1"/>
  <c r="J331" i="9"/>
  <c r="AI331" i="9" s="1"/>
  <c r="J325" i="9"/>
  <c r="AI325" i="9" s="1"/>
  <c r="J324" i="9"/>
  <c r="AI324" i="9" s="1"/>
  <c r="J309" i="9"/>
  <c r="AI309" i="9" s="1"/>
  <c r="J308" i="9"/>
  <c r="AI308" i="9" s="1"/>
  <c r="J307" i="9"/>
  <c r="AI307" i="9" s="1"/>
  <c r="J306" i="9"/>
  <c r="AI306" i="9" s="1"/>
  <c r="J305" i="9"/>
  <c r="AI305" i="9" s="1"/>
  <c r="J299" i="9"/>
  <c r="AI299" i="9" s="1"/>
  <c r="J298" i="9"/>
  <c r="AI298" i="9" s="1"/>
  <c r="J297" i="9"/>
  <c r="AI297" i="9" s="1"/>
  <c r="J290" i="9"/>
  <c r="AI290" i="9" s="1"/>
  <c r="J289" i="9"/>
  <c r="AI289" i="9" s="1"/>
  <c r="J288" i="9"/>
  <c r="AI288" i="9" s="1"/>
  <c r="J263" i="9"/>
  <c r="AI263" i="9" s="1"/>
  <c r="J262" i="9"/>
  <c r="AI262" i="9" s="1"/>
  <c r="J261" i="9"/>
  <c r="AI261" i="9" s="1"/>
  <c r="J260" i="9"/>
  <c r="AI260" i="9" s="1"/>
  <c r="J256" i="9"/>
  <c r="AI256" i="9" s="1"/>
  <c r="J255" i="9"/>
  <c r="AI255" i="9" s="1"/>
  <c r="J253" i="9"/>
  <c r="AI253" i="9" s="1"/>
  <c r="J252" i="9"/>
  <c r="AI252" i="9" s="1"/>
  <c r="J251" i="9"/>
  <c r="AI251" i="9" s="1"/>
  <c r="J112" i="9"/>
  <c r="AI112" i="9" s="1"/>
  <c r="J15" i="9"/>
  <c r="AI15" i="9" s="1"/>
  <c r="J13" i="9"/>
  <c r="B538" i="9"/>
  <c r="C538" i="9" s="1"/>
  <c r="B537" i="9"/>
  <c r="C537" i="9" s="1"/>
  <c r="B536" i="9"/>
  <c r="C536" i="9" s="1"/>
  <c r="B534" i="9"/>
  <c r="C534" i="9" s="1"/>
  <c r="B533" i="9"/>
  <c r="C533" i="9" s="1"/>
  <c r="B532" i="9"/>
  <c r="C532" i="9" s="1"/>
  <c r="B531" i="9"/>
  <c r="C531" i="9" s="1"/>
  <c r="B530" i="9"/>
  <c r="C530" i="9" s="1"/>
  <c r="B529" i="9"/>
  <c r="C529" i="9" s="1"/>
  <c r="B528" i="9"/>
  <c r="C528" i="9" s="1"/>
  <c r="B522" i="9"/>
  <c r="C522" i="9" s="1"/>
  <c r="B521" i="9"/>
  <c r="C521" i="9" s="1"/>
  <c r="B520" i="9"/>
  <c r="C520" i="9" s="1"/>
  <c r="B519" i="9"/>
  <c r="C519" i="9" s="1"/>
  <c r="B518" i="9"/>
  <c r="C518" i="9" s="1"/>
  <c r="B513" i="9"/>
  <c r="C513" i="9" s="1"/>
  <c r="B509" i="9"/>
  <c r="C509" i="9" s="1"/>
  <c r="B508" i="9"/>
  <c r="C508" i="9" s="1"/>
  <c r="B506" i="9"/>
  <c r="C506" i="9" s="1"/>
  <c r="B505" i="9"/>
  <c r="C505" i="9" s="1"/>
  <c r="B504" i="9"/>
  <c r="C504" i="9" s="1"/>
  <c r="B503" i="9"/>
  <c r="C503" i="9" s="1"/>
  <c r="B502" i="9"/>
  <c r="C502" i="9" s="1"/>
  <c r="B500" i="9"/>
  <c r="C500" i="9" s="1"/>
  <c r="B499" i="9"/>
  <c r="C499" i="9" s="1"/>
  <c r="B498" i="9"/>
  <c r="C498" i="9" s="1"/>
  <c r="B492" i="9"/>
  <c r="C492" i="9" s="1"/>
  <c r="B491" i="9"/>
  <c r="C491" i="9" s="1"/>
  <c r="B490" i="9"/>
  <c r="C490" i="9" s="1"/>
  <c r="B489" i="9"/>
  <c r="C489" i="9" s="1"/>
  <c r="B488" i="9"/>
  <c r="C488" i="9" s="1"/>
  <c r="B487" i="9"/>
  <c r="C487" i="9" s="1"/>
  <c r="B486" i="9"/>
  <c r="C486" i="9" s="1"/>
  <c r="B485" i="9"/>
  <c r="C485" i="9" s="1"/>
  <c r="B484" i="9"/>
  <c r="C484" i="9" s="1"/>
  <c r="B483" i="9"/>
  <c r="C483" i="9" s="1"/>
  <c r="B482" i="9"/>
  <c r="C482" i="9" s="1"/>
  <c r="B476" i="9"/>
  <c r="C476" i="9" s="1"/>
  <c r="B475" i="9"/>
  <c r="C475" i="9" s="1"/>
  <c r="B474" i="9"/>
  <c r="C474" i="9" s="1"/>
  <c r="B473" i="9"/>
  <c r="C473" i="9" s="1"/>
  <c r="B471" i="9"/>
  <c r="C471" i="9" s="1"/>
  <c r="B470" i="9"/>
  <c r="C470" i="9" s="1"/>
  <c r="B469" i="9"/>
  <c r="C469" i="9" s="1"/>
  <c r="B468" i="9"/>
  <c r="C468" i="9" s="1"/>
  <c r="B458" i="9"/>
  <c r="C458" i="9" s="1"/>
  <c r="B457" i="9"/>
  <c r="C457" i="9" s="1"/>
  <c r="B456" i="9"/>
  <c r="C456" i="9" s="1"/>
  <c r="B455" i="9"/>
  <c r="C455" i="9" s="1"/>
  <c r="B454" i="9"/>
  <c r="C454" i="9" s="1"/>
  <c r="B453" i="9"/>
  <c r="C453" i="9" s="1"/>
  <c r="B452" i="9"/>
  <c r="C452" i="9" s="1"/>
  <c r="B451" i="9"/>
  <c r="C451" i="9" s="1"/>
  <c r="B450" i="9"/>
  <c r="C450" i="9" s="1"/>
  <c r="B449" i="9"/>
  <c r="C449" i="9" s="1"/>
  <c r="B448" i="9"/>
  <c r="C448" i="9" s="1"/>
  <c r="B447" i="9"/>
  <c r="C447" i="9" s="1"/>
  <c r="B446" i="9"/>
  <c r="C446" i="9" s="1"/>
  <c r="B443" i="9"/>
  <c r="C443" i="9" s="1"/>
  <c r="B442" i="9"/>
  <c r="C442" i="9" s="1"/>
  <c r="B432" i="9"/>
  <c r="C432" i="9" s="1"/>
  <c r="B431" i="9"/>
  <c r="C431" i="9" s="1"/>
  <c r="B430" i="9"/>
  <c r="C430" i="9" s="1"/>
  <c r="B429" i="9"/>
  <c r="C429" i="9" s="1"/>
  <c r="B428" i="9"/>
  <c r="C428" i="9" s="1"/>
  <c r="B425" i="9"/>
  <c r="C425" i="9" s="1"/>
  <c r="B424" i="9"/>
  <c r="C424" i="9" s="1"/>
  <c r="B419" i="9"/>
  <c r="C419" i="9" s="1"/>
  <c r="B418" i="9"/>
  <c r="C418" i="9" s="1"/>
  <c r="B413" i="9"/>
  <c r="C413" i="9" s="1"/>
  <c r="B409" i="9"/>
  <c r="C409" i="9" s="1"/>
  <c r="B408" i="9"/>
  <c r="C408" i="9" s="1"/>
  <c r="B407" i="9"/>
  <c r="C407" i="9" s="1"/>
  <c r="B406" i="9"/>
  <c r="C406" i="9" s="1"/>
  <c r="B396" i="9"/>
  <c r="C396" i="9" s="1"/>
  <c r="B394" i="9"/>
  <c r="C394" i="9" s="1"/>
  <c r="B393" i="9"/>
  <c r="C393" i="9" s="1"/>
  <c r="B392" i="9"/>
  <c r="C392" i="9" s="1"/>
  <c r="B391" i="9"/>
  <c r="C391" i="9" s="1"/>
  <c r="B384" i="9"/>
  <c r="C384" i="9" s="1"/>
  <c r="B383" i="9"/>
  <c r="C383" i="9" s="1"/>
  <c r="B382" i="9"/>
  <c r="C382" i="9" s="1"/>
  <c r="B377" i="9"/>
  <c r="C377" i="9" s="1"/>
  <c r="B376" i="9"/>
  <c r="C376" i="9" s="1"/>
  <c r="B375" i="9"/>
  <c r="C375" i="9" s="1"/>
  <c r="B374" i="9"/>
  <c r="C374" i="9" s="1"/>
  <c r="B366" i="9"/>
  <c r="C366" i="9" s="1"/>
  <c r="B365" i="9"/>
  <c r="C365" i="9" s="1"/>
  <c r="B364" i="9"/>
  <c r="C364" i="9" s="1"/>
  <c r="B363" i="9"/>
  <c r="C363" i="9" s="1"/>
  <c r="B362" i="9"/>
  <c r="C362" i="9" s="1"/>
  <c r="B361" i="9"/>
  <c r="C361" i="9" s="1"/>
  <c r="B360" i="9"/>
  <c r="C360" i="9" s="1"/>
  <c r="B355" i="9"/>
  <c r="C355" i="9" s="1"/>
  <c r="B354" i="9"/>
  <c r="C354" i="9" s="1"/>
  <c r="B353" i="9"/>
  <c r="C353" i="9" s="1"/>
  <c r="B352" i="9"/>
  <c r="C352" i="9" s="1"/>
  <c r="B344" i="9"/>
  <c r="C344" i="9" s="1"/>
  <c r="B343" i="9"/>
  <c r="C343" i="9" s="1"/>
  <c r="B342" i="9"/>
  <c r="C342" i="9" s="1"/>
  <c r="B341" i="9"/>
  <c r="C341" i="9" s="1"/>
  <c r="B340" i="9"/>
  <c r="C340" i="9" s="1"/>
  <c r="B339" i="9"/>
  <c r="C339" i="9" s="1"/>
  <c r="B338" i="9"/>
  <c r="C338" i="9" s="1"/>
  <c r="B332" i="9"/>
  <c r="C332" i="9" s="1"/>
  <c r="B331" i="9"/>
  <c r="C331" i="9" s="1"/>
  <c r="B328" i="9"/>
  <c r="C328" i="9" s="1"/>
  <c r="B327" i="9"/>
  <c r="C327" i="9" s="1"/>
  <c r="B326" i="9"/>
  <c r="C326" i="9" s="1"/>
  <c r="B325" i="9"/>
  <c r="C325" i="9" s="1"/>
  <c r="B324" i="9"/>
  <c r="C324" i="9" s="1"/>
  <c r="B323" i="9"/>
  <c r="C323" i="9" s="1"/>
  <c r="B322" i="9"/>
  <c r="C322" i="9" s="1"/>
  <c r="B321" i="9"/>
  <c r="C321" i="9" s="1"/>
  <c r="B320" i="9"/>
  <c r="C320" i="9" s="1"/>
  <c r="B317" i="9"/>
  <c r="C317" i="9" s="1"/>
  <c r="B316" i="9"/>
  <c r="C316" i="9" s="1"/>
  <c r="B311" i="9"/>
  <c r="C311" i="9" s="1"/>
  <c r="B310" i="9"/>
  <c r="C310" i="9" s="1"/>
  <c r="B309" i="9"/>
  <c r="C309" i="9" s="1"/>
  <c r="B308" i="9"/>
  <c r="C308" i="9" s="1"/>
  <c r="B307" i="9"/>
  <c r="C307" i="9" s="1"/>
  <c r="B306" i="9"/>
  <c r="C306" i="9" s="1"/>
  <c r="B305" i="9"/>
  <c r="C305" i="9" s="1"/>
  <c r="B304" i="9"/>
  <c r="C304" i="9" s="1"/>
  <c r="B299" i="9"/>
  <c r="C299" i="9" s="1"/>
  <c r="B298" i="9"/>
  <c r="C298" i="9" s="1"/>
  <c r="B297" i="9"/>
  <c r="C297" i="9" s="1"/>
  <c r="B296" i="9"/>
  <c r="C296" i="9" s="1"/>
  <c r="B295" i="9"/>
  <c r="C295" i="9" s="1"/>
  <c r="B290" i="9"/>
  <c r="C290" i="9" s="1"/>
  <c r="B289" i="9"/>
  <c r="C289" i="9" s="1"/>
  <c r="B288" i="9"/>
  <c r="C288" i="9" s="1"/>
  <c r="B282" i="9"/>
  <c r="C282" i="9" s="1"/>
  <c r="B281" i="9"/>
  <c r="C281" i="9" s="1"/>
  <c r="B280" i="9"/>
  <c r="C280" i="9" s="1"/>
  <c r="B267" i="9"/>
  <c r="C267" i="9" s="1"/>
  <c r="B266" i="9"/>
  <c r="C266" i="9" s="1"/>
  <c r="B265" i="9"/>
  <c r="C265" i="9" s="1"/>
  <c r="B264" i="9"/>
  <c r="C264" i="9" s="1"/>
  <c r="B263" i="9"/>
  <c r="C263" i="9" s="1"/>
  <c r="B262" i="9"/>
  <c r="C262" i="9" s="1"/>
  <c r="B261" i="9"/>
  <c r="C261" i="9" s="1"/>
  <c r="B260" i="9"/>
  <c r="C260" i="9" s="1"/>
  <c r="B256" i="9"/>
  <c r="C256" i="9" s="1"/>
  <c r="B255" i="9"/>
  <c r="C255" i="9" s="1"/>
  <c r="B254" i="9"/>
  <c r="C254" i="9" s="1"/>
  <c r="B253" i="9"/>
  <c r="C253" i="9" s="1"/>
  <c r="B252" i="9"/>
  <c r="C252" i="9" s="1"/>
  <c r="B251" i="9"/>
  <c r="C251" i="9" s="1"/>
  <c r="B243" i="9"/>
  <c r="C243" i="9" s="1"/>
  <c r="B242" i="9"/>
  <c r="C242" i="9" s="1"/>
  <c r="B229" i="9"/>
  <c r="C229" i="9" s="1"/>
  <c r="B228" i="9"/>
  <c r="C228" i="9" s="1"/>
  <c r="C224" i="9"/>
  <c r="C223" i="9"/>
  <c r="C222" i="9"/>
  <c r="C221" i="9"/>
  <c r="C220" i="9"/>
  <c r="C219" i="9"/>
  <c r="C218" i="9"/>
  <c r="B216" i="9"/>
  <c r="C216" i="9" s="1"/>
  <c r="B214" i="9"/>
  <c r="C214" i="9" s="1"/>
  <c r="B213" i="9"/>
  <c r="C213" i="9" s="1"/>
  <c r="B212" i="9"/>
  <c r="C212" i="9" s="1"/>
  <c r="B211" i="9"/>
  <c r="C211" i="9" s="1"/>
  <c r="B210" i="9"/>
  <c r="C210" i="9" s="1"/>
  <c r="B209" i="9"/>
  <c r="C209" i="9" s="1"/>
  <c r="B208" i="9"/>
  <c r="C208" i="9" s="1"/>
  <c r="B207" i="9"/>
  <c r="C207" i="9" s="1"/>
  <c r="B205" i="9"/>
  <c r="C205" i="9" s="1"/>
  <c r="B204" i="9"/>
  <c r="C204" i="9" s="1"/>
  <c r="B203" i="9"/>
  <c r="C203" i="9" s="1"/>
  <c r="B202" i="9"/>
  <c r="C202" i="9" s="1"/>
  <c r="B201" i="9"/>
  <c r="C201" i="9" s="1"/>
  <c r="B200" i="9"/>
  <c r="C200" i="9" s="1"/>
  <c r="B199" i="9"/>
  <c r="C199" i="9" s="1"/>
  <c r="B198" i="9"/>
  <c r="C198" i="9" s="1"/>
  <c r="B197" i="9"/>
  <c r="C197" i="9" s="1"/>
  <c r="B192" i="9"/>
  <c r="C192" i="9" s="1"/>
  <c r="B191" i="9"/>
  <c r="C191" i="9" s="1"/>
  <c r="B190" i="9"/>
  <c r="C190" i="9" s="1"/>
  <c r="B187" i="9"/>
  <c r="C187" i="9" s="1"/>
  <c r="B186" i="9"/>
  <c r="C186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C169" i="9" s="1"/>
  <c r="B166" i="9"/>
  <c r="C166" i="9" s="1"/>
  <c r="B165" i="9"/>
  <c r="C16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C148" i="9" s="1"/>
  <c r="B147" i="9"/>
  <c r="C147" i="9" s="1"/>
  <c r="B146" i="9"/>
  <c r="C146" i="9" s="1"/>
  <c r="B145" i="9"/>
  <c r="C145" i="9" s="1"/>
  <c r="B137" i="9"/>
  <c r="C137" i="9" s="1"/>
  <c r="B136" i="9"/>
  <c r="C136" i="9" s="1"/>
  <c r="B133" i="9"/>
  <c r="C133" i="9" s="1"/>
  <c r="B126" i="9"/>
  <c r="C126" i="9" s="1"/>
  <c r="B125" i="9"/>
  <c r="C125" i="9" s="1"/>
  <c r="B124" i="9"/>
  <c r="C124" i="9" s="1"/>
  <c r="B123" i="9"/>
  <c r="C123" i="9" s="1"/>
  <c r="B122" i="9"/>
  <c r="C122" i="9" s="1"/>
  <c r="B121" i="9"/>
  <c r="C121" i="9" s="1"/>
  <c r="B120" i="9"/>
  <c r="C120" i="9" s="1"/>
  <c r="B115" i="9"/>
  <c r="C115" i="9" s="1"/>
  <c r="B114" i="9"/>
  <c r="C114" i="9" s="1"/>
  <c r="B113" i="9"/>
  <c r="C113" i="9" s="1"/>
  <c r="B112" i="9"/>
  <c r="C112" i="9" s="1"/>
  <c r="B109" i="9"/>
  <c r="C109" i="9" s="1"/>
  <c r="B108" i="9"/>
  <c r="C108" i="9" s="1"/>
  <c r="B106" i="9"/>
  <c r="C106" i="9" s="1"/>
  <c r="B105" i="9"/>
  <c r="C105" i="9" s="1"/>
  <c r="B104" i="9"/>
  <c r="C104" i="9" s="1"/>
  <c r="B103" i="9"/>
  <c r="C103" i="9" s="1"/>
  <c r="B102" i="9"/>
  <c r="C102" i="9" s="1"/>
  <c r="B101" i="9"/>
  <c r="C101" i="9" s="1"/>
  <c r="B93" i="9"/>
  <c r="C93" i="9" s="1"/>
  <c r="B92" i="9"/>
  <c r="C92" i="9" s="1"/>
  <c r="B89" i="9"/>
  <c r="C89" i="9" s="1"/>
  <c r="B88" i="9"/>
  <c r="C88" i="9" s="1"/>
  <c r="B87" i="9"/>
  <c r="C87" i="9" s="1"/>
  <c r="B86" i="9"/>
  <c r="C86" i="9" s="1"/>
  <c r="B79" i="9"/>
  <c r="C79" i="9" s="1"/>
  <c r="B78" i="9"/>
  <c r="C78" i="9" s="1"/>
  <c r="B77" i="9"/>
  <c r="C77" i="9" s="1"/>
  <c r="B76" i="9"/>
  <c r="C76" i="9" s="1"/>
  <c r="B70" i="9"/>
  <c r="C70" i="9" s="1"/>
  <c r="B69" i="9"/>
  <c r="C69" i="9" s="1"/>
  <c r="B68" i="9"/>
  <c r="C68" i="9" s="1"/>
  <c r="B65" i="9"/>
  <c r="C65" i="9" s="1"/>
  <c r="B64" i="9"/>
  <c r="C64" i="9" s="1"/>
  <c r="B63" i="9"/>
  <c r="C63" i="9" s="1"/>
  <c r="B59" i="9"/>
  <c r="C59" i="9" s="1"/>
  <c r="B51" i="9"/>
  <c r="C51" i="9" s="1"/>
  <c r="B50" i="9"/>
  <c r="C50" i="9" s="1"/>
  <c r="B49" i="9"/>
  <c r="C49" i="9" s="1"/>
  <c r="B45" i="9"/>
  <c r="C45" i="9" s="1"/>
  <c r="B44" i="9"/>
  <c r="C44" i="9" s="1"/>
  <c r="B43" i="9"/>
  <c r="C43" i="9" s="1"/>
  <c r="B39" i="9"/>
  <c r="C39" i="9" s="1"/>
  <c r="B33" i="9"/>
  <c r="C33" i="9" s="1"/>
  <c r="B32" i="9"/>
  <c r="C32" i="9" s="1"/>
  <c r="B31" i="9"/>
  <c r="C31" i="9" s="1"/>
  <c r="B27" i="9"/>
  <c r="C27" i="9" s="1"/>
  <c r="B26" i="9"/>
  <c r="C26" i="9" s="1"/>
  <c r="B25" i="9"/>
  <c r="C25" i="9" s="1"/>
  <c r="B24" i="9"/>
  <c r="C24" i="9" s="1"/>
  <c r="B23" i="9"/>
  <c r="C23" i="9" s="1"/>
  <c r="B15" i="9"/>
  <c r="C15" i="9" s="1"/>
  <c r="B14" i="9"/>
  <c r="C14" i="9" s="1"/>
  <c r="B13" i="9"/>
  <c r="C13" i="9" s="1"/>
  <c r="B5" i="9"/>
  <c r="C5" i="9" s="1"/>
  <c r="B345" i="9"/>
  <c r="C345" i="9" s="1"/>
  <c r="B283" i="9"/>
  <c r="C283" i="9" s="1"/>
  <c r="B134" i="9"/>
  <c r="C134" i="9" s="1"/>
  <c r="B397" i="9"/>
  <c r="C397" i="9" s="1"/>
  <c r="B329" i="9"/>
  <c r="C329" i="9" s="1"/>
  <c r="B135" i="9"/>
  <c r="C135" i="9" s="1"/>
  <c r="B54" i="9"/>
  <c r="C54" i="9" s="1"/>
  <c r="B404" i="9"/>
  <c r="C404" i="9" s="1"/>
  <c r="B330" i="9"/>
  <c r="C330" i="9" s="1"/>
  <c r="B55" i="9"/>
  <c r="C55" i="9" s="1"/>
  <c r="B80" i="9"/>
  <c r="C80" i="9" s="1"/>
  <c r="B539" i="9"/>
  <c r="C539" i="9" s="1"/>
  <c r="B405" i="9"/>
  <c r="C405" i="9" s="1"/>
  <c r="B386" i="9"/>
  <c r="C386" i="9" s="1"/>
  <c r="B84" i="9"/>
  <c r="C84" i="9" s="1"/>
  <c r="B85" i="9"/>
  <c r="C85" i="9" s="1"/>
  <c r="B540" i="9"/>
  <c r="C540" i="9" s="1"/>
  <c r="B81" i="9"/>
  <c r="C81" i="9" s="1"/>
  <c r="B385" i="9"/>
  <c r="C385" i="9" s="1"/>
  <c r="B6" i="9"/>
  <c r="C6" i="9" s="1"/>
  <c r="B60" i="9"/>
  <c r="C60" i="9" s="1"/>
  <c r="B234" i="9"/>
  <c r="C234" i="9" s="1"/>
  <c r="B334" i="9"/>
  <c r="C334" i="9" s="1"/>
  <c r="B235" i="9"/>
  <c r="C235" i="9" s="1"/>
  <c r="B7" i="9"/>
  <c r="C7" i="9" s="1"/>
  <c r="B378" i="9"/>
  <c r="C378" i="9" s="1"/>
  <c r="B333" i="9"/>
  <c r="C333" i="9" s="1"/>
  <c r="B284" i="9"/>
  <c r="C284" i="9" s="1"/>
  <c r="B335" i="9"/>
  <c r="C335" i="9" s="1"/>
  <c r="B379" i="9"/>
  <c r="C379" i="9" s="1"/>
  <c r="B8" i="9"/>
  <c r="C8" i="9" s="1"/>
  <c r="B10" i="9"/>
  <c r="C10" i="9" s="1"/>
  <c r="B9" i="9"/>
  <c r="C9" i="9" s="1"/>
  <c r="B28" i="9"/>
  <c r="C28" i="9" s="1"/>
  <c r="B61" i="9"/>
  <c r="C61" i="9" s="1"/>
  <c r="B433" i="9"/>
  <c r="C433" i="9" s="1"/>
  <c r="B285" i="9"/>
  <c r="C285" i="9" s="1"/>
  <c r="B193" i="9"/>
  <c r="C193" i="9" s="1"/>
  <c r="B29" i="9"/>
  <c r="C29" i="9" s="1"/>
  <c r="B129" i="9"/>
  <c r="C129" i="9" s="1"/>
  <c r="B66" i="9"/>
  <c r="C66" i="9" s="1"/>
  <c r="B130" i="9"/>
  <c r="C130" i="9" s="1"/>
  <c r="B380" i="9"/>
  <c r="C380" i="9" s="1"/>
  <c r="B40" i="9"/>
  <c r="C40" i="9" s="1"/>
  <c r="B434" i="9"/>
  <c r="C434" i="9" s="1"/>
  <c r="B381" i="9"/>
  <c r="C381" i="9" s="1"/>
  <c r="B67" i="9"/>
  <c r="C67" i="9" s="1"/>
  <c r="B368" i="9"/>
  <c r="C368" i="9" s="1"/>
  <c r="B194" i="9"/>
  <c r="C194" i="9" s="1"/>
  <c r="B356" i="9"/>
  <c r="C356" i="9" s="1"/>
  <c r="B62" i="9"/>
  <c r="C62" i="9" s="1"/>
  <c r="B127" i="9"/>
  <c r="C127" i="9" s="1"/>
  <c r="B99" i="9"/>
  <c r="C99" i="9" s="1"/>
  <c r="B195" i="9"/>
  <c r="C195" i="9" s="1"/>
  <c r="B357" i="9"/>
  <c r="C357" i="9" s="1"/>
  <c r="B369" i="9"/>
  <c r="C369" i="9" s="1"/>
  <c r="B358" i="9"/>
  <c r="C358" i="9" s="1"/>
  <c r="B71" i="9"/>
  <c r="C71" i="9" s="1"/>
  <c r="B72" i="9"/>
  <c r="C72" i="9" s="1"/>
  <c r="B116" i="9"/>
  <c r="C116" i="9" s="1"/>
  <c r="B16" i="9"/>
  <c r="C16" i="9" s="1"/>
  <c r="B117" i="9"/>
  <c r="C117" i="9" s="1"/>
  <c r="B459" i="9"/>
  <c r="C459" i="9" s="1"/>
  <c r="B17" i="9"/>
  <c r="C17" i="9" s="1"/>
  <c r="B286" i="9"/>
  <c r="C286" i="9" s="1"/>
  <c r="B460" i="9"/>
  <c r="C460" i="9" s="1"/>
  <c r="B128" i="9"/>
  <c r="C128" i="9" s="1"/>
  <c r="B100" i="9"/>
  <c r="C100" i="9" s="1"/>
  <c r="B131" i="9"/>
  <c r="C131" i="9" s="1"/>
  <c r="B132" i="9"/>
  <c r="C132" i="9" s="1"/>
  <c r="B73" i="9"/>
  <c r="C73" i="9" s="1"/>
  <c r="B30" i="9"/>
  <c r="C30" i="9" s="1"/>
  <c r="B291" i="9"/>
  <c r="C291" i="9" s="1"/>
  <c r="B523" i="9"/>
  <c r="C523" i="9" s="1"/>
  <c r="B292" i="9"/>
  <c r="C292" i="9" s="1"/>
  <c r="B56" i="9"/>
  <c r="C56" i="9" s="1"/>
  <c r="B524" i="9"/>
  <c r="C524" i="9" s="1"/>
  <c r="B162" i="9"/>
  <c r="C162" i="9" s="1"/>
  <c r="B57" i="9"/>
  <c r="C57" i="9" s="1"/>
  <c r="B163" i="9"/>
  <c r="C163" i="9" s="1"/>
  <c r="B389" i="9"/>
  <c r="C389" i="9" s="1"/>
  <c r="B164" i="9"/>
  <c r="C164" i="9" s="1"/>
  <c r="B497" i="9"/>
  <c r="C497" i="9" s="1"/>
  <c r="B496" i="9"/>
  <c r="C496" i="9" s="1"/>
  <c r="B390" i="9"/>
  <c r="C390" i="9" s="1"/>
  <c r="B420" i="9"/>
  <c r="C420" i="9" s="1"/>
  <c r="B278" i="9"/>
  <c r="C278" i="9" s="1"/>
  <c r="B421" i="9"/>
  <c r="C421" i="9" s="1"/>
  <c r="B461" i="9"/>
  <c r="C461" i="9" s="1"/>
  <c r="B143" i="9"/>
  <c r="C143" i="9" s="1"/>
  <c r="B494" i="9"/>
  <c r="C494" i="9" s="1"/>
  <c r="B279" i="9"/>
  <c r="C279" i="9" s="1"/>
  <c r="B462" i="9"/>
  <c r="C462" i="9" s="1"/>
  <c r="B493" i="9"/>
  <c r="C493" i="9" s="1"/>
  <c r="B144" i="9"/>
  <c r="C144" i="9" s="1"/>
  <c r="B495" i="9"/>
  <c r="C495" i="9" s="1"/>
  <c r="B463" i="9"/>
  <c r="C463" i="9" s="1"/>
  <c r="B464" i="9"/>
  <c r="C464" i="9" s="1"/>
  <c r="B359" i="9"/>
  <c r="C359" i="9" s="1"/>
  <c r="B370" i="9"/>
  <c r="C370" i="9" s="1"/>
  <c r="B268" i="9"/>
  <c r="C268" i="9" s="1"/>
  <c r="B269" i="9"/>
  <c r="C269" i="9" s="1"/>
  <c r="B270" i="9"/>
  <c r="C270" i="9" s="1"/>
  <c r="B272" i="9"/>
  <c r="C272" i="9" s="1"/>
  <c r="B271" i="9"/>
  <c r="C271" i="9" s="1"/>
  <c r="B371" i="9"/>
  <c r="C371" i="9" s="1"/>
  <c r="B525" i="9"/>
  <c r="C525" i="9" s="1"/>
  <c r="B514" i="9"/>
  <c r="C514" i="9" s="1"/>
  <c r="B155" i="9"/>
  <c r="C155" i="9" s="1"/>
  <c r="B395" i="9"/>
  <c r="C395" i="9" s="1"/>
  <c r="B46" i="9"/>
  <c r="C46" i="9" s="1"/>
  <c r="B90" i="9"/>
  <c r="C90" i="9" s="1"/>
  <c r="B156" i="9"/>
  <c r="C156" i="9" s="1"/>
  <c r="B438" i="9"/>
  <c r="C438" i="9" s="1"/>
  <c r="B411" i="9"/>
  <c r="C411" i="9" s="1"/>
  <c r="B439" i="9"/>
  <c r="C439" i="9" s="1"/>
  <c r="B412" i="9"/>
  <c r="C412" i="9" s="1"/>
  <c r="B157" i="9"/>
  <c r="C157" i="9" s="1"/>
  <c r="B107" i="9"/>
  <c r="C107" i="9" s="1"/>
  <c r="B91" i="9"/>
  <c r="C91" i="9" s="1"/>
  <c r="B140" i="9"/>
  <c r="C140" i="9" s="1"/>
  <c r="B302" i="9"/>
  <c r="C302" i="9" s="1"/>
  <c r="B501" i="9"/>
  <c r="C501" i="9" s="1"/>
  <c r="B303" i="9"/>
  <c r="C303" i="9" s="1"/>
  <c r="C158" i="9"/>
  <c r="B141" i="9"/>
  <c r="C141" i="9" s="1"/>
  <c r="B257" i="9"/>
  <c r="C257" i="9" s="1"/>
  <c r="B422" i="9"/>
  <c r="C422" i="9" s="1"/>
  <c r="B196" i="9"/>
  <c r="C196" i="9" s="1"/>
  <c r="B118" i="9"/>
  <c r="C118" i="9" s="1"/>
  <c r="B175" i="9"/>
  <c r="C175" i="9" s="1"/>
  <c r="B53" i="9"/>
  <c r="C53" i="9" s="1"/>
  <c r="B52" i="9"/>
  <c r="C52" i="9" s="1"/>
  <c r="B258" i="9"/>
  <c r="C258" i="9" s="1"/>
  <c r="B246" i="9"/>
  <c r="C246" i="9" s="1"/>
  <c r="B215" i="9"/>
  <c r="C215" i="9" s="1"/>
  <c r="B142" i="9"/>
  <c r="C142" i="9" s="1"/>
  <c r="B177" i="9"/>
  <c r="C177" i="9" s="1"/>
  <c r="B110" i="9"/>
  <c r="C110" i="9" s="1"/>
  <c r="B423" i="9"/>
  <c r="C423" i="9" s="1"/>
  <c r="B510" i="9"/>
  <c r="C510" i="9" s="1"/>
  <c r="B111" i="9"/>
  <c r="C111" i="9" s="1"/>
  <c r="B47" i="9"/>
  <c r="C47" i="9" s="1"/>
  <c r="B247" i="9"/>
  <c r="C247" i="9" s="1"/>
  <c r="B372" i="9"/>
  <c r="C372" i="9" s="1"/>
  <c r="B515" i="9"/>
  <c r="C515" i="9" s="1"/>
  <c r="B511" i="9"/>
  <c r="C511" i="9" s="1"/>
  <c r="B178" i="9"/>
  <c r="C178" i="9" s="1"/>
  <c r="B516" i="9"/>
  <c r="C516" i="9" s="1"/>
  <c r="B206" i="9"/>
  <c r="C206" i="9" s="1"/>
  <c r="B373" i="9"/>
  <c r="C373" i="9" s="1"/>
  <c r="B512" i="9"/>
  <c r="C512" i="9" s="1"/>
  <c r="B244" i="9"/>
  <c r="C244" i="9" s="1"/>
  <c r="B240" i="9"/>
  <c r="C240" i="9" s="1"/>
  <c r="B74" i="9"/>
  <c r="C74" i="9" s="1"/>
  <c r="B241" i="9"/>
  <c r="C241" i="9" s="1"/>
  <c r="B75" i="9"/>
  <c r="C75" i="9" s="1"/>
  <c r="B517" i="9"/>
  <c r="C517" i="9" s="1"/>
  <c r="B387" i="9"/>
  <c r="C387" i="9" s="1"/>
  <c r="B259" i="9"/>
  <c r="C259" i="9" s="1"/>
  <c r="B58" i="9"/>
  <c r="C58" i="9" s="1"/>
  <c r="B245" i="9"/>
  <c r="C245" i="9" s="1"/>
  <c r="B507" i="9"/>
  <c r="C507" i="9" s="1"/>
  <c r="B526" i="9"/>
  <c r="C526" i="9" s="1"/>
  <c r="B388" i="9"/>
  <c r="C388" i="9" s="1"/>
  <c r="B527" i="9"/>
  <c r="C527" i="9" s="1"/>
  <c r="B22" i="9"/>
  <c r="C22" i="9" s="1"/>
  <c r="B444" i="9"/>
  <c r="C444" i="9" s="1"/>
  <c r="B273" i="9"/>
  <c r="C273" i="9" s="1"/>
  <c r="B318" i="9"/>
  <c r="C318" i="9" s="1"/>
  <c r="B274" i="9"/>
  <c r="C274" i="9" s="1"/>
  <c r="B275" i="9"/>
  <c r="C275" i="9" s="1"/>
  <c r="B319" i="9"/>
  <c r="C319" i="9" s="1"/>
  <c r="B276" i="9"/>
  <c r="C276" i="9" s="1"/>
  <c r="B277" i="9"/>
  <c r="C277" i="9" s="1"/>
  <c r="B301" i="9"/>
  <c r="C301" i="9" s="1"/>
  <c r="B348" i="9"/>
  <c r="C348" i="9" s="1"/>
  <c r="B300" i="9"/>
  <c r="C300" i="9" s="1"/>
  <c r="B445" i="9"/>
  <c r="C445" i="9" s="1"/>
  <c r="B349" i="9"/>
  <c r="C349" i="9" s="1"/>
  <c r="B11" i="9"/>
  <c r="C11" i="9" s="1"/>
  <c r="B12" i="9"/>
  <c r="C12" i="9" s="1"/>
  <c r="B3" i="9"/>
  <c r="C3" i="9" s="1"/>
  <c r="B236" i="9"/>
  <c r="C236" i="9" s="1"/>
  <c r="B4" i="9"/>
  <c r="C4" i="9" s="1"/>
  <c r="B414" i="9"/>
  <c r="C414" i="9" s="1"/>
  <c r="B313" i="9"/>
  <c r="C313" i="9" s="1"/>
  <c r="B312" i="9"/>
  <c r="C312" i="9" s="1"/>
  <c r="B37" i="9"/>
  <c r="C37" i="9" s="1"/>
  <c r="B97" i="9"/>
  <c r="C97" i="9" s="1"/>
  <c r="B160" i="9"/>
  <c r="C160" i="9" s="1"/>
  <c r="B336" i="9"/>
  <c r="C336" i="9" s="1"/>
  <c r="B415" i="9"/>
  <c r="C415" i="9" s="1"/>
  <c r="B314" i="9"/>
  <c r="C314" i="9" s="1"/>
  <c r="B315" i="9"/>
  <c r="C315" i="9" s="1"/>
  <c r="B98" i="9"/>
  <c r="C98" i="9" s="1"/>
  <c r="B20" i="9"/>
  <c r="C20" i="9" s="1"/>
  <c r="B38" i="9"/>
  <c r="C38" i="9" s="1"/>
  <c r="B161" i="9"/>
  <c r="C161" i="9" s="1"/>
  <c r="B18" i="9"/>
  <c r="C18" i="9" s="1"/>
  <c r="C159" i="9"/>
  <c r="B337" i="9"/>
  <c r="C337" i="9" s="1"/>
  <c r="B21" i="9"/>
  <c r="C21" i="9" s="1"/>
  <c r="C426" i="9"/>
  <c r="B410" i="9"/>
  <c r="C410" i="9" s="1"/>
  <c r="B19" i="9"/>
  <c r="C19" i="9" s="1"/>
  <c r="B167" i="9"/>
  <c r="C167" i="9" s="1"/>
  <c r="B2" i="9"/>
  <c r="C2" i="9" s="1"/>
  <c r="B168" i="9"/>
  <c r="C168" i="9" s="1"/>
  <c r="C427" i="9"/>
  <c r="B465" i="9"/>
  <c r="C465" i="9" s="1"/>
  <c r="B367" i="9"/>
  <c r="C367" i="9" s="1"/>
  <c r="B466" i="9"/>
  <c r="C466" i="9" s="1"/>
  <c r="B477" i="9"/>
  <c r="C477" i="9" s="1"/>
  <c r="B237" i="9"/>
  <c r="C237" i="9" s="1"/>
  <c r="B467" i="9"/>
  <c r="C467" i="9" s="1"/>
  <c r="B435" i="9"/>
  <c r="C435" i="9" s="1"/>
  <c r="B478" i="9"/>
  <c r="C478" i="9" s="1"/>
  <c r="B238" i="9"/>
  <c r="C238" i="9" s="1"/>
  <c r="B479" i="9"/>
  <c r="C479" i="9" s="1"/>
  <c r="B436" i="9"/>
  <c r="C436" i="9" s="1"/>
  <c r="B239" i="9"/>
  <c r="C239" i="9" s="1"/>
  <c r="B437" i="9"/>
  <c r="C437" i="9" s="1"/>
  <c r="B480" i="9"/>
  <c r="C480" i="9" s="1"/>
  <c r="B188" i="9"/>
  <c r="C188" i="9" s="1"/>
  <c r="B398" i="9"/>
  <c r="C398" i="9" s="1"/>
  <c r="B481" i="9"/>
  <c r="C481" i="9" s="1"/>
  <c r="B350" i="9"/>
  <c r="C350" i="9" s="1"/>
  <c r="B41" i="9"/>
  <c r="C41" i="9" s="1"/>
  <c r="B351" i="9"/>
  <c r="C351" i="9" s="1"/>
  <c r="B399" i="9"/>
  <c r="C399" i="9" s="1"/>
  <c r="B189" i="9"/>
  <c r="C189" i="9" s="1"/>
  <c r="B401" i="9"/>
  <c r="C401" i="9" s="1"/>
  <c r="B400" i="9"/>
  <c r="C400" i="9" s="1"/>
  <c r="B402" i="9"/>
  <c r="C402" i="9" s="1"/>
  <c r="B293" i="9"/>
  <c r="C293" i="9" s="1"/>
  <c r="B185" i="9"/>
  <c r="C185" i="9" s="1"/>
  <c r="B42" i="9"/>
  <c r="C42" i="9" s="1"/>
  <c r="B294" i="9"/>
  <c r="C294" i="9" s="1"/>
  <c r="B403" i="9"/>
  <c r="C403" i="9" s="1"/>
  <c r="B248" i="9"/>
  <c r="C248" i="9" s="1"/>
  <c r="B440" i="9"/>
  <c r="C440" i="9" s="1"/>
  <c r="B35" i="9"/>
  <c r="C35" i="9" s="1"/>
  <c r="B231" i="9"/>
  <c r="C231" i="9" s="1"/>
  <c r="B230" i="9"/>
  <c r="C230" i="9" s="1"/>
  <c r="B232" i="9"/>
  <c r="C232" i="9" s="1"/>
  <c r="B249" i="9"/>
  <c r="C249" i="9" s="1"/>
  <c r="B34" i="9"/>
  <c r="C34" i="9" s="1"/>
  <c r="B82" i="9"/>
  <c r="C82" i="9" s="1"/>
  <c r="B36" i="9"/>
  <c r="C36" i="9" s="1"/>
  <c r="B441" i="9"/>
  <c r="C441" i="9" s="1"/>
  <c r="B346" i="9"/>
  <c r="C346" i="9" s="1"/>
  <c r="B250" i="9"/>
  <c r="C250" i="9" s="1"/>
  <c r="B416" i="9"/>
  <c r="C416" i="9" s="1"/>
  <c r="B347" i="9"/>
  <c r="C347" i="9" s="1"/>
  <c r="B417" i="9"/>
  <c r="C417" i="9" s="1"/>
  <c r="B83" i="9"/>
  <c r="C83" i="9" s="1"/>
  <c r="B138" i="9"/>
  <c r="C138" i="9" s="1"/>
  <c r="B287" i="9"/>
  <c r="C287" i="9" s="1"/>
  <c r="B139" i="9"/>
  <c r="C139" i="9" s="1"/>
  <c r="B472" i="9"/>
  <c r="C472" i="9" s="1"/>
  <c r="B176" i="9"/>
  <c r="C176" i="9" s="1"/>
  <c r="B48" i="9"/>
  <c r="C48" i="9" s="1"/>
  <c r="B94" i="9"/>
  <c r="C94" i="9" s="1"/>
  <c r="B95" i="9"/>
  <c r="C95" i="9" s="1"/>
  <c r="B225" i="9"/>
  <c r="C225" i="9" s="1"/>
  <c r="B226" i="9"/>
  <c r="C226" i="9" s="1"/>
  <c r="B541" i="9"/>
  <c r="C541" i="9" s="1"/>
  <c r="B535" i="9"/>
  <c r="C535" i="9" s="1"/>
  <c r="B227" i="9"/>
  <c r="C227" i="9" s="1"/>
  <c r="B542" i="9"/>
  <c r="C542" i="9" s="1"/>
  <c r="B233" i="9"/>
  <c r="C233" i="9" s="1"/>
  <c r="B217" i="9"/>
  <c r="C217" i="9" s="1"/>
  <c r="B119" i="9"/>
  <c r="C119" i="9" s="1"/>
  <c r="B96" i="9"/>
  <c r="C96" i="9" s="1"/>
  <c r="BG14" i="9" l="1"/>
  <c r="BF14" i="9"/>
  <c r="AJ260" i="9"/>
  <c r="AO260" i="9" s="1"/>
  <c r="AS260" i="9" s="1"/>
  <c r="AU260" i="9"/>
  <c r="BC260" i="9" s="1"/>
  <c r="AJ298" i="9"/>
  <c r="AO298" i="9" s="1"/>
  <c r="AS298" i="9" s="1"/>
  <c r="AU298" i="9"/>
  <c r="BC298" i="9" s="1"/>
  <c r="AJ325" i="9"/>
  <c r="AO325" i="9" s="1"/>
  <c r="AS325" i="9" s="1"/>
  <c r="AU325" i="9"/>
  <c r="BC325" i="9" s="1"/>
  <c r="AJ15" i="9"/>
  <c r="AO15" i="9" s="1"/>
  <c r="AS15" i="9" s="1"/>
  <c r="AU15" i="9"/>
  <c r="BC15" i="9" s="1"/>
  <c r="AJ261" i="9"/>
  <c r="AO261" i="9" s="1"/>
  <c r="AS261" i="9" s="1"/>
  <c r="AU261" i="9"/>
  <c r="BC261" i="9" s="1"/>
  <c r="AJ299" i="9"/>
  <c r="AO299" i="9" s="1"/>
  <c r="AS299" i="9" s="1"/>
  <c r="AU299" i="9"/>
  <c r="BC299" i="9" s="1"/>
  <c r="AJ331" i="9"/>
  <c r="AO331" i="9" s="1"/>
  <c r="AS331" i="9" s="1"/>
  <c r="AU331" i="9"/>
  <c r="BC331" i="9" s="1"/>
  <c r="AJ112" i="9"/>
  <c r="AO112" i="9" s="1"/>
  <c r="AS112" i="9" s="1"/>
  <c r="AU112" i="9"/>
  <c r="BC112" i="9" s="1"/>
  <c r="AJ262" i="9"/>
  <c r="AO262" i="9" s="1"/>
  <c r="AS262" i="9" s="1"/>
  <c r="AU262" i="9"/>
  <c r="BC262" i="9" s="1"/>
  <c r="AJ305" i="9"/>
  <c r="AO305" i="9" s="1"/>
  <c r="AS305" i="9" s="1"/>
  <c r="AU305" i="9"/>
  <c r="BC305" i="9" s="1"/>
  <c r="AJ332" i="9"/>
  <c r="AO332" i="9" s="1"/>
  <c r="AS332" i="9" s="1"/>
  <c r="AU332" i="9"/>
  <c r="BC332" i="9" s="1"/>
  <c r="AJ251" i="9"/>
  <c r="AO251" i="9" s="1"/>
  <c r="AS251" i="9" s="1"/>
  <c r="AU251" i="9"/>
  <c r="BC251" i="9" s="1"/>
  <c r="AJ263" i="9"/>
  <c r="AO263" i="9" s="1"/>
  <c r="AS263" i="9" s="1"/>
  <c r="AU263" i="9"/>
  <c r="BC263" i="9" s="1"/>
  <c r="AJ306" i="9"/>
  <c r="AO306" i="9" s="1"/>
  <c r="AS306" i="9" s="1"/>
  <c r="AU306" i="9"/>
  <c r="BC306" i="9" s="1"/>
  <c r="AJ488" i="9"/>
  <c r="AO488" i="9" s="1"/>
  <c r="AS488" i="9" s="1"/>
  <c r="AU488" i="9"/>
  <c r="BC488" i="9" s="1"/>
  <c r="AJ252" i="9"/>
  <c r="AO252" i="9" s="1"/>
  <c r="AS252" i="9" s="1"/>
  <c r="AU252" i="9"/>
  <c r="BC252" i="9" s="1"/>
  <c r="AJ288" i="9"/>
  <c r="AO288" i="9" s="1"/>
  <c r="AS288" i="9" s="1"/>
  <c r="AU288" i="9"/>
  <c r="BC288" i="9" s="1"/>
  <c r="AJ307" i="9"/>
  <c r="AO307" i="9" s="1"/>
  <c r="AS307" i="9" s="1"/>
  <c r="AU307" i="9"/>
  <c r="BC307" i="9" s="1"/>
  <c r="AJ489" i="9"/>
  <c r="AO489" i="9" s="1"/>
  <c r="AS489" i="9" s="1"/>
  <c r="AU489" i="9"/>
  <c r="BC489" i="9" s="1"/>
  <c r="AJ253" i="9"/>
  <c r="AO253" i="9" s="1"/>
  <c r="AS253" i="9" s="1"/>
  <c r="AU253" i="9"/>
  <c r="BC253" i="9" s="1"/>
  <c r="AJ289" i="9"/>
  <c r="AO289" i="9" s="1"/>
  <c r="AS289" i="9" s="1"/>
  <c r="AU289" i="9"/>
  <c r="BC289" i="9" s="1"/>
  <c r="AJ308" i="9"/>
  <c r="AO308" i="9" s="1"/>
  <c r="AS308" i="9" s="1"/>
  <c r="AU308" i="9"/>
  <c r="BC308" i="9" s="1"/>
  <c r="AJ490" i="9"/>
  <c r="AO490" i="9" s="1"/>
  <c r="AS490" i="9" s="1"/>
  <c r="AU490" i="9"/>
  <c r="BC490" i="9" s="1"/>
  <c r="AJ255" i="9"/>
  <c r="AO255" i="9" s="1"/>
  <c r="AS255" i="9" s="1"/>
  <c r="AU255" i="9"/>
  <c r="BC255" i="9" s="1"/>
  <c r="AJ290" i="9"/>
  <c r="AO290" i="9" s="1"/>
  <c r="AS290" i="9" s="1"/>
  <c r="AU290" i="9"/>
  <c r="BC290" i="9" s="1"/>
  <c r="AJ309" i="9"/>
  <c r="AO309" i="9" s="1"/>
  <c r="AS309" i="9" s="1"/>
  <c r="AU309" i="9"/>
  <c r="BC309" i="9" s="1"/>
  <c r="AJ491" i="9"/>
  <c r="AO491" i="9" s="1"/>
  <c r="AS491" i="9" s="1"/>
  <c r="AU491" i="9"/>
  <c r="BC491" i="9" s="1"/>
  <c r="AJ256" i="9"/>
  <c r="AO256" i="9" s="1"/>
  <c r="AS256" i="9" s="1"/>
  <c r="AU256" i="9"/>
  <c r="BC256" i="9" s="1"/>
  <c r="AJ297" i="9"/>
  <c r="AO297" i="9" s="1"/>
  <c r="AS297" i="9" s="1"/>
  <c r="AU297" i="9"/>
  <c r="BC297" i="9" s="1"/>
  <c r="AJ324" i="9"/>
  <c r="AO324" i="9" s="1"/>
  <c r="AS324" i="9" s="1"/>
  <c r="AU324" i="9"/>
  <c r="BC324" i="9" s="1"/>
  <c r="AJ492" i="9"/>
  <c r="AO492" i="9" s="1"/>
  <c r="AS492" i="9" s="1"/>
  <c r="AU492" i="9"/>
  <c r="BC492" i="9" s="1"/>
  <c r="AI13" i="9"/>
  <c r="BA514" i="5"/>
  <c r="BA515" i="5"/>
  <c r="BA516" i="5"/>
  <c r="BA517" i="5"/>
  <c r="BA513" i="5"/>
  <c r="BA322" i="5"/>
  <c r="BA280" i="5"/>
  <c r="BA281" i="5"/>
  <c r="BA279" i="5"/>
  <c r="AV492" i="9" l="1"/>
  <c r="AY492" i="9" s="1"/>
  <c r="AZ492" i="9" s="1"/>
  <c r="BD492" i="9"/>
  <c r="AV490" i="9"/>
  <c r="AY490" i="9" s="1"/>
  <c r="AZ490" i="9" s="1"/>
  <c r="BD490" i="9"/>
  <c r="AV488" i="9"/>
  <c r="AY488" i="9" s="1"/>
  <c r="BA488" i="9" s="1"/>
  <c r="BD488" i="9"/>
  <c r="AV331" i="9"/>
  <c r="AY331" i="9" s="1"/>
  <c r="BA331" i="9" s="1"/>
  <c r="BD331" i="9"/>
  <c r="AV324" i="9"/>
  <c r="AY324" i="9" s="1"/>
  <c r="BA324" i="9" s="1"/>
  <c r="BD324" i="9"/>
  <c r="AV308" i="9"/>
  <c r="AY308" i="9" s="1"/>
  <c r="AZ308" i="9" s="1"/>
  <c r="BD308" i="9"/>
  <c r="AV306" i="9"/>
  <c r="AY306" i="9" s="1"/>
  <c r="AZ306" i="9" s="1"/>
  <c r="BD306" i="9"/>
  <c r="AV299" i="9"/>
  <c r="AY299" i="9" s="1"/>
  <c r="AZ299" i="9" s="1"/>
  <c r="BD299" i="9"/>
  <c r="AV290" i="9"/>
  <c r="AY290" i="9" s="1"/>
  <c r="AZ290" i="9" s="1"/>
  <c r="BD290" i="9"/>
  <c r="AV288" i="9"/>
  <c r="AY288" i="9" s="1"/>
  <c r="BA288" i="9" s="1"/>
  <c r="BD288" i="9"/>
  <c r="AV263" i="9"/>
  <c r="AY263" i="9" s="1"/>
  <c r="BA263" i="9" s="1"/>
  <c r="BD263" i="9"/>
  <c r="AV261" i="9"/>
  <c r="AY261" i="9" s="1"/>
  <c r="BA261" i="9" s="1"/>
  <c r="BD261" i="9"/>
  <c r="AV256" i="9"/>
  <c r="AY256" i="9" s="1"/>
  <c r="AZ256" i="9" s="1"/>
  <c r="BD256" i="9"/>
  <c r="AV255" i="9"/>
  <c r="AY255" i="9" s="1"/>
  <c r="BA255" i="9" s="1"/>
  <c r="BD255" i="9"/>
  <c r="AV253" i="9"/>
  <c r="AY253" i="9" s="1"/>
  <c r="AZ253" i="9" s="1"/>
  <c r="BD253" i="9"/>
  <c r="AV252" i="9"/>
  <c r="AY252" i="9" s="1"/>
  <c r="AZ252" i="9" s="1"/>
  <c r="BD252" i="9"/>
  <c r="AV251" i="9"/>
  <c r="AY251" i="9" s="1"/>
  <c r="BA251" i="9" s="1"/>
  <c r="BD251" i="9"/>
  <c r="AV112" i="9"/>
  <c r="AY112" i="9" s="1"/>
  <c r="BA112" i="9" s="1"/>
  <c r="BD112" i="9"/>
  <c r="AV15" i="9"/>
  <c r="AY15" i="9" s="1"/>
  <c r="AZ15" i="9" s="1"/>
  <c r="BD15" i="9"/>
  <c r="AV491" i="9"/>
  <c r="AY491" i="9" s="1"/>
  <c r="BA491" i="9" s="1"/>
  <c r="BD491" i="9"/>
  <c r="AV489" i="9"/>
  <c r="AY489" i="9" s="1"/>
  <c r="AZ489" i="9" s="1"/>
  <c r="BD489" i="9"/>
  <c r="AV332" i="9"/>
  <c r="AY332" i="9" s="1"/>
  <c r="AZ332" i="9" s="1"/>
  <c r="BD332" i="9"/>
  <c r="AV325" i="9"/>
  <c r="AY325" i="9" s="1"/>
  <c r="AZ325" i="9" s="1"/>
  <c r="BD325" i="9"/>
  <c r="AV309" i="9"/>
  <c r="AY309" i="9" s="1"/>
  <c r="BA309" i="9" s="1"/>
  <c r="BD309" i="9"/>
  <c r="AV307" i="9"/>
  <c r="AY307" i="9" s="1"/>
  <c r="AZ307" i="9" s="1"/>
  <c r="BD307" i="9"/>
  <c r="AV305" i="9"/>
  <c r="AY305" i="9" s="1"/>
  <c r="BA305" i="9" s="1"/>
  <c r="BD305" i="9"/>
  <c r="AV298" i="9"/>
  <c r="AY298" i="9" s="1"/>
  <c r="AZ298" i="9" s="1"/>
  <c r="BD298" i="9"/>
  <c r="AV297" i="9"/>
  <c r="AY297" i="9" s="1"/>
  <c r="AZ297" i="9" s="1"/>
  <c r="BD297" i="9"/>
  <c r="AV289" i="9"/>
  <c r="AY289" i="9" s="1"/>
  <c r="AZ289" i="9" s="1"/>
  <c r="BD289" i="9"/>
  <c r="AV262" i="9"/>
  <c r="AY262" i="9" s="1"/>
  <c r="BA262" i="9" s="1"/>
  <c r="BD262" i="9"/>
  <c r="AV260" i="9"/>
  <c r="AY260" i="9" s="1"/>
  <c r="AZ260" i="9" s="1"/>
  <c r="BD260" i="9"/>
  <c r="AR331" i="9"/>
  <c r="AR253" i="9"/>
  <c r="AR332" i="9"/>
  <c r="AR306" i="9"/>
  <c r="AR492" i="9"/>
  <c r="AR261" i="9"/>
  <c r="AR491" i="9"/>
  <c r="AR325" i="9"/>
  <c r="AR490" i="9"/>
  <c r="AR489" i="9"/>
  <c r="AR299" i="9"/>
  <c r="AR324" i="9"/>
  <c r="AR252" i="9"/>
  <c r="AR256" i="9"/>
  <c r="AR488" i="9"/>
  <c r="AR15" i="9"/>
  <c r="AR255" i="9"/>
  <c r="AR251" i="9"/>
  <c r="AR308" i="9"/>
  <c r="AR112" i="9"/>
  <c r="AR263" i="9"/>
  <c r="AR289" i="9"/>
  <c r="AR297" i="9"/>
  <c r="AR309" i="9"/>
  <c r="AR307" i="9"/>
  <c r="AR290" i="9"/>
  <c r="AR288" i="9"/>
  <c r="AR262" i="9"/>
  <c r="AR260" i="9"/>
  <c r="AR298" i="9"/>
  <c r="AR305" i="9"/>
  <c r="AJ13" i="9"/>
  <c r="AO13" i="9" s="1"/>
  <c r="AS13" i="9" s="1"/>
  <c r="AS543" i="9" s="1"/>
  <c r="AU13" i="9"/>
  <c r="BC13" i="9" s="1"/>
  <c r="BA439" i="5"/>
  <c r="BA438" i="5"/>
  <c r="B438" i="5"/>
  <c r="BA290" i="9" l="1"/>
  <c r="BA298" i="9"/>
  <c r="AZ331" i="9"/>
  <c r="BA325" i="9"/>
  <c r="BA307" i="9"/>
  <c r="BA256" i="9"/>
  <c r="BA489" i="9"/>
  <c r="BA289" i="9"/>
  <c r="BA299" i="9"/>
  <c r="AZ263" i="9"/>
  <c r="BA332" i="9"/>
  <c r="BA260" i="9"/>
  <c r="BA15" i="9"/>
  <c r="BE307" i="9"/>
  <c r="BE251" i="9"/>
  <c r="BE290" i="9"/>
  <c r="BE492" i="9"/>
  <c r="AZ324" i="9"/>
  <c r="AZ491" i="9"/>
  <c r="AZ251" i="9"/>
  <c r="BE297" i="9"/>
  <c r="BE309" i="9"/>
  <c r="BE491" i="9"/>
  <c r="BE252" i="9"/>
  <c r="BE261" i="9"/>
  <c r="BE299" i="9"/>
  <c r="BE331" i="9"/>
  <c r="BE260" i="9"/>
  <c r="BE298" i="9"/>
  <c r="BE325" i="9"/>
  <c r="BE15" i="9"/>
  <c r="BE253" i="9"/>
  <c r="BE263" i="9"/>
  <c r="BE306" i="9"/>
  <c r="BE488" i="9"/>
  <c r="BA306" i="9"/>
  <c r="BE262" i="9"/>
  <c r="BE305" i="9"/>
  <c r="BE332" i="9"/>
  <c r="BE112" i="9"/>
  <c r="BE255" i="9"/>
  <c r="BE288" i="9"/>
  <c r="BE308" i="9"/>
  <c r="BE490" i="9"/>
  <c r="AZ488" i="9"/>
  <c r="BE289" i="9"/>
  <c r="BE489" i="9"/>
  <c r="BE256" i="9"/>
  <c r="BE324" i="9"/>
  <c r="BA308" i="9"/>
  <c r="BA492" i="9"/>
  <c r="BA253" i="9"/>
  <c r="AZ309" i="9"/>
  <c r="BA252" i="9"/>
  <c r="AZ261" i="9"/>
  <c r="AZ255" i="9"/>
  <c r="AZ112" i="9"/>
  <c r="BA490" i="9"/>
  <c r="AZ305" i="9"/>
  <c r="AZ262" i="9"/>
  <c r="BA297" i="9"/>
  <c r="AZ288" i="9"/>
  <c r="AV13" i="9"/>
  <c r="AY13" i="9" s="1"/>
  <c r="AZ13" i="9" s="1"/>
  <c r="BD13" i="9"/>
  <c r="AR13" i="9"/>
  <c r="AR543" i="9" s="1"/>
  <c r="BA434" i="5"/>
  <c r="BA433" i="5"/>
  <c r="BA421" i="5"/>
  <c r="BA422" i="5"/>
  <c r="BA423" i="5"/>
  <c r="BA424" i="5"/>
  <c r="BA420" i="5"/>
  <c r="BA417" i="5"/>
  <c r="BA418" i="5"/>
  <c r="BA416" i="5"/>
  <c r="BA412" i="5"/>
  <c r="BA413" i="5"/>
  <c r="BA411" i="5"/>
  <c r="BA401" i="5"/>
  <c r="BA402" i="5"/>
  <c r="BA403" i="5"/>
  <c r="BA400" i="5"/>
  <c r="AZ543" i="9" l="1"/>
  <c r="BF490" i="9"/>
  <c r="BG490" i="9"/>
  <c r="BF112" i="9"/>
  <c r="BG112" i="9"/>
  <c r="BG488" i="9"/>
  <c r="BF488" i="9"/>
  <c r="BF15" i="9"/>
  <c r="BG15" i="9"/>
  <c r="BF331" i="9"/>
  <c r="BG331" i="9"/>
  <c r="BF491" i="9"/>
  <c r="BG491" i="9"/>
  <c r="BG492" i="9"/>
  <c r="BF492" i="9"/>
  <c r="BF256" i="9"/>
  <c r="BG256" i="9"/>
  <c r="BF308" i="9"/>
  <c r="BG308" i="9"/>
  <c r="BF332" i="9"/>
  <c r="BG332" i="9"/>
  <c r="BF489" i="9"/>
  <c r="BG489" i="9"/>
  <c r="BG306" i="9"/>
  <c r="BF306" i="9"/>
  <c r="BF325" i="9"/>
  <c r="BG325" i="9"/>
  <c r="BF299" i="9"/>
  <c r="BG299" i="9"/>
  <c r="BF309" i="9"/>
  <c r="BG309" i="9"/>
  <c r="BG290" i="9"/>
  <c r="BF290" i="9"/>
  <c r="BF288" i="9"/>
  <c r="BG288" i="9"/>
  <c r="BF305" i="9"/>
  <c r="BG305" i="9"/>
  <c r="BF289" i="9"/>
  <c r="BG289" i="9"/>
  <c r="BF263" i="9"/>
  <c r="BG263" i="9"/>
  <c r="BG298" i="9"/>
  <c r="BF298" i="9"/>
  <c r="BF261" i="9"/>
  <c r="BG261" i="9"/>
  <c r="BF297" i="9"/>
  <c r="BG297" i="9"/>
  <c r="BF255" i="9"/>
  <c r="BG255" i="9"/>
  <c r="BG262" i="9"/>
  <c r="BF262" i="9"/>
  <c r="BF251" i="9"/>
  <c r="BG251" i="9"/>
  <c r="BF253" i="9"/>
  <c r="BG253" i="9"/>
  <c r="BF260" i="9"/>
  <c r="BG260" i="9"/>
  <c r="BF252" i="9"/>
  <c r="BG252" i="9"/>
  <c r="BE13" i="9"/>
  <c r="BF324" i="9"/>
  <c r="BG324" i="9"/>
  <c r="BF307" i="9"/>
  <c r="BG307" i="9"/>
  <c r="BA13" i="9"/>
  <c r="BA543" i="9" s="1"/>
  <c r="BA399" i="5"/>
  <c r="BA398" i="5"/>
  <c r="BA395" i="5"/>
  <c r="BA396" i="5"/>
  <c r="BA394" i="5"/>
  <c r="BF13" i="9" l="1"/>
  <c r="BG13" i="9"/>
  <c r="BG543" i="9" s="1"/>
  <c r="D40" i="3"/>
  <c r="E40" i="3"/>
  <c r="B40" i="3"/>
  <c r="C40" i="3"/>
  <c r="H551" i="5"/>
  <c r="BK546" i="5" s="1"/>
  <c r="C27" i="6"/>
  <c r="D22" i="6" s="1"/>
  <c r="D20" i="6" l="1"/>
  <c r="D27" i="6"/>
  <c r="D25" i="6"/>
  <c r="D24" i="6"/>
  <c r="D21" i="6"/>
  <c r="D19" i="6"/>
  <c r="D26" i="6"/>
  <c r="D23" i="6"/>
  <c r="H51" i="3" l="1"/>
  <c r="H52" i="3"/>
  <c r="H39" i="3"/>
  <c r="H40" i="3"/>
  <c r="H41" i="3"/>
  <c r="H42" i="3"/>
  <c r="H43" i="3"/>
  <c r="H44" i="3"/>
  <c r="H45" i="3"/>
  <c r="H46" i="3"/>
  <c r="H47" i="3"/>
  <c r="H48" i="3"/>
  <c r="H49" i="3"/>
  <c r="H37" i="3"/>
  <c r="H27" i="3"/>
  <c r="H28" i="3"/>
  <c r="H29" i="3"/>
  <c r="H30" i="3"/>
  <c r="H31" i="3"/>
  <c r="H32" i="3"/>
  <c r="H33" i="3"/>
  <c r="H34" i="3"/>
  <c r="H35" i="3"/>
  <c r="H36" i="3"/>
  <c r="H15" i="3"/>
  <c r="H16" i="3"/>
  <c r="H17" i="3"/>
  <c r="H18" i="3"/>
  <c r="H19" i="3"/>
  <c r="H20" i="3"/>
  <c r="H21" i="3"/>
  <c r="H22" i="3"/>
  <c r="H23" i="3"/>
  <c r="H24" i="3"/>
  <c r="H25" i="3"/>
  <c r="H3" i="3"/>
  <c r="H4" i="3"/>
  <c r="H5" i="3"/>
  <c r="H6" i="3"/>
  <c r="H7" i="3"/>
  <c r="H8" i="3"/>
  <c r="H9" i="3"/>
  <c r="H10" i="3"/>
  <c r="H11" i="3"/>
  <c r="H12" i="3"/>
  <c r="H13" i="3"/>
  <c r="D389" i="5"/>
  <c r="D388" i="5"/>
  <c r="D387" i="5"/>
  <c r="D386" i="5"/>
  <c r="D385" i="5"/>
  <c r="D384" i="5"/>
  <c r="D383" i="5"/>
  <c r="D68" i="5"/>
  <c r="D74" i="5"/>
  <c r="D77" i="5"/>
  <c r="D153" i="5"/>
  <c r="H14" i="3" l="1"/>
  <c r="H26" i="3"/>
  <c r="H38" i="3"/>
  <c r="H50" i="3"/>
  <c r="H2" i="3"/>
  <c r="AR15" i="5"/>
  <c r="AR18" i="5"/>
  <c r="AR20" i="5"/>
  <c r="AR48" i="5"/>
  <c r="AR50" i="5"/>
  <c r="AR79" i="5"/>
  <c r="AR87" i="5"/>
  <c r="AR290" i="5"/>
  <c r="AR341" i="5"/>
  <c r="AR504" i="5"/>
  <c r="AR503" i="5"/>
  <c r="AR461" i="5"/>
  <c r="AR460" i="5"/>
  <c r="AR459" i="5"/>
  <c r="AR458" i="5"/>
  <c r="AR167" i="5" l="1"/>
  <c r="AR135" i="5"/>
  <c r="AR294" i="5"/>
  <c r="AR295" i="5"/>
  <c r="AR296" i="5"/>
  <c r="AR145" i="5"/>
  <c r="AR146" i="5"/>
  <c r="AR271" i="5"/>
  <c r="AR268" i="5"/>
  <c r="AR257" i="5"/>
  <c r="AR243" i="5"/>
  <c r="AR227" i="5"/>
  <c r="AR237" i="5"/>
  <c r="AR231" i="5"/>
  <c r="AR302" i="5"/>
  <c r="AR303" i="5"/>
  <c r="AR220" i="5"/>
  <c r="AR219" i="5"/>
  <c r="AR207" i="5"/>
  <c r="AR123" i="5"/>
  <c r="AR121" i="5"/>
  <c r="AR304" i="5"/>
  <c r="AR305" i="5"/>
  <c r="AR306" i="5"/>
  <c r="AR307" i="5"/>
  <c r="AR267" i="5"/>
  <c r="AR260" i="5"/>
  <c r="AR29" i="5"/>
  <c r="AR21" i="5"/>
  <c r="AR308" i="5"/>
  <c r="AR309" i="5"/>
  <c r="AR310" i="5"/>
  <c r="AR311" i="5"/>
  <c r="AR166" i="5"/>
  <c r="AR158" i="5"/>
  <c r="AR312" i="5"/>
  <c r="AR313" i="5"/>
  <c r="AR14" i="5"/>
  <c r="AR13" i="5"/>
  <c r="AR88" i="5"/>
  <c r="AR82" i="5"/>
  <c r="AR225" i="5"/>
  <c r="AR210" i="5"/>
  <c r="AR314" i="5"/>
  <c r="AR315" i="5"/>
  <c r="AR316" i="5"/>
  <c r="AR317" i="5"/>
  <c r="AR318" i="5"/>
  <c r="AR319" i="5"/>
  <c r="AR159" i="5"/>
  <c r="AR320" i="5"/>
  <c r="AR321" i="5"/>
  <c r="AR139" i="5"/>
  <c r="AR136" i="5"/>
  <c r="AR322" i="5"/>
  <c r="AR323" i="5"/>
  <c r="AR324" i="5"/>
  <c r="AR325" i="5"/>
  <c r="AR218" i="5"/>
  <c r="AR216" i="5"/>
  <c r="AR148" i="5"/>
  <c r="AR4" i="5"/>
  <c r="AR326" i="5"/>
  <c r="AR327" i="5"/>
  <c r="AR328" i="5"/>
  <c r="AR329" i="5"/>
  <c r="AR330" i="5"/>
  <c r="AR331" i="5"/>
  <c r="AR332" i="5"/>
  <c r="AR226" i="5"/>
  <c r="AR211" i="5"/>
  <c r="AR238" i="5"/>
  <c r="AR236" i="5"/>
  <c r="AR333" i="5"/>
  <c r="AR275" i="5"/>
  <c r="AR272" i="5"/>
  <c r="AR334" i="5"/>
  <c r="AR335" i="5"/>
  <c r="AR157" i="5"/>
  <c r="AR152" i="5"/>
  <c r="AR141" i="5"/>
  <c r="AR188" i="5"/>
  <c r="AR183" i="5"/>
  <c r="AR338" i="5"/>
  <c r="AR342" i="5"/>
  <c r="AR343" i="5"/>
  <c r="AR344" i="5"/>
  <c r="AR345" i="5"/>
  <c r="AR169" i="5"/>
  <c r="AR165" i="5"/>
  <c r="AR160" i="5"/>
  <c r="AR153" i="5"/>
  <c r="AR77" i="5"/>
  <c r="AR200" i="5"/>
  <c r="AR198" i="5"/>
  <c r="AR196" i="5"/>
  <c r="AR346" i="5"/>
  <c r="AR347" i="5"/>
  <c r="AR71" i="5"/>
  <c r="AR69" i="5"/>
  <c r="AR348" i="5"/>
  <c r="AR349" i="5"/>
  <c r="AR350" i="5"/>
  <c r="AR351" i="5"/>
  <c r="AR352" i="5"/>
  <c r="AR353" i="5"/>
  <c r="AR147" i="5"/>
  <c r="AR16" i="5"/>
  <c r="AR140" i="5"/>
  <c r="AR130" i="5"/>
  <c r="AR354" i="5"/>
  <c r="AR355" i="5"/>
  <c r="AR356" i="5"/>
  <c r="AR357" i="5"/>
  <c r="AR358" i="5"/>
  <c r="AR359" i="5"/>
  <c r="AR41" i="5"/>
  <c r="AR360" i="5"/>
  <c r="AR361" i="5"/>
  <c r="AR53" i="5"/>
  <c r="AR46" i="5"/>
  <c r="AR362" i="5"/>
  <c r="AR363" i="5"/>
  <c r="AR364" i="5"/>
  <c r="AR240" i="5"/>
  <c r="AR229" i="5"/>
  <c r="AR224" i="5"/>
  <c r="AR149" i="5"/>
  <c r="AR365" i="5"/>
  <c r="AR366" i="5"/>
  <c r="AR367" i="5"/>
  <c r="AR368" i="5"/>
  <c r="AR369" i="5"/>
  <c r="AR370" i="5"/>
  <c r="AR371" i="5"/>
  <c r="AR372" i="5"/>
  <c r="AR373" i="5"/>
  <c r="AR128" i="5"/>
  <c r="AR374" i="5"/>
  <c r="AR375" i="5"/>
  <c r="AR376" i="5"/>
  <c r="AR377" i="5"/>
  <c r="AR378" i="5"/>
  <c r="AR379" i="5"/>
  <c r="AR380" i="5"/>
  <c r="AR381" i="5"/>
  <c r="AR142" i="5"/>
  <c r="AR382" i="5"/>
  <c r="AR5" i="5"/>
  <c r="AR383" i="5"/>
  <c r="AR384" i="5"/>
  <c r="AR385" i="5"/>
  <c r="AR386" i="5"/>
  <c r="AR387" i="5"/>
  <c r="AR388" i="5"/>
  <c r="AR389" i="5"/>
  <c r="AR12" i="5"/>
  <c r="AR11" i="5"/>
  <c r="AR8" i="5"/>
  <c r="AR390" i="5"/>
  <c r="AR391" i="5"/>
  <c r="AR33" i="5"/>
  <c r="AR34" i="5"/>
  <c r="AR32" i="5"/>
  <c r="AR6" i="5"/>
  <c r="AR256" i="5"/>
  <c r="AR254" i="5"/>
  <c r="AR59" i="5"/>
  <c r="AR56" i="5"/>
  <c r="AR124" i="5"/>
  <c r="AR122" i="5"/>
  <c r="AR392" i="5"/>
  <c r="AR393" i="5"/>
  <c r="AR125" i="5"/>
  <c r="AR116" i="5"/>
  <c r="AR143" i="5"/>
  <c r="AR134" i="5"/>
  <c r="AR37" i="5"/>
  <c r="AR31" i="5"/>
  <c r="AR25" i="5"/>
  <c r="AR394" i="5"/>
  <c r="AR395" i="5"/>
  <c r="AR396" i="5"/>
  <c r="AR397" i="5"/>
  <c r="AR398" i="5"/>
  <c r="AR399" i="5"/>
  <c r="AR151" i="5"/>
  <c r="AR144" i="5"/>
  <c r="AR118" i="5"/>
  <c r="AR400" i="5"/>
  <c r="AR401" i="5"/>
  <c r="AR402" i="5"/>
  <c r="AR403" i="5"/>
  <c r="AR404" i="5"/>
  <c r="AR405" i="5"/>
  <c r="AR406" i="5"/>
  <c r="AR407" i="5"/>
  <c r="AR177" i="5"/>
  <c r="AR176" i="5"/>
  <c r="AR175" i="5"/>
  <c r="AR173" i="5"/>
  <c r="AR174" i="5"/>
  <c r="AR109" i="5"/>
  <c r="AR107" i="5"/>
  <c r="AR106" i="5"/>
  <c r="AR104" i="5"/>
  <c r="AR103" i="5"/>
  <c r="AR191" i="5"/>
  <c r="AR186" i="5"/>
  <c r="AR408" i="5"/>
  <c r="AR409" i="5"/>
  <c r="AR410" i="5"/>
  <c r="AR276" i="5"/>
  <c r="AR250" i="5"/>
  <c r="AR241" i="5"/>
  <c r="AR213" i="5"/>
  <c r="AR19" i="5"/>
  <c r="AR411" i="5"/>
  <c r="AR412" i="5"/>
  <c r="AR413" i="5"/>
  <c r="AR205" i="5"/>
  <c r="AR203" i="5"/>
  <c r="AR42" i="5"/>
  <c r="AR39" i="5"/>
  <c r="AR416" i="5"/>
  <c r="AR417" i="5"/>
  <c r="AR418" i="5"/>
  <c r="AR100" i="5"/>
  <c r="AR102" i="5"/>
  <c r="AR156" i="5"/>
  <c r="AR154" i="5"/>
  <c r="AR419" i="5"/>
  <c r="AR420" i="5"/>
  <c r="AR421" i="5"/>
  <c r="AR422" i="5"/>
  <c r="AR423" i="5"/>
  <c r="AR424" i="5"/>
  <c r="AR90" i="5"/>
  <c r="AR91" i="5"/>
  <c r="AR84" i="5"/>
  <c r="AR83" i="5"/>
  <c r="AR108" i="5"/>
  <c r="AR105" i="5"/>
  <c r="AR429" i="5"/>
  <c r="AR430" i="5"/>
  <c r="AR431" i="5"/>
  <c r="AR432" i="5"/>
  <c r="AR433" i="5"/>
  <c r="AR434" i="5"/>
  <c r="AR435" i="5"/>
  <c r="AR436" i="5"/>
  <c r="AR437" i="5"/>
  <c r="AR273" i="5"/>
  <c r="AR269" i="5"/>
  <c r="AR438" i="5"/>
  <c r="AR439" i="5"/>
  <c r="AR251" i="5"/>
  <c r="AR255" i="5"/>
  <c r="AR249" i="5"/>
  <c r="AR86" i="5"/>
  <c r="AR76" i="5"/>
  <c r="AR440" i="5"/>
  <c r="AR441" i="5"/>
  <c r="AR442" i="5"/>
  <c r="AR443" i="5"/>
  <c r="AR444" i="5"/>
  <c r="AR445" i="5"/>
  <c r="AR446" i="5"/>
  <c r="AR277" i="5"/>
  <c r="AR101" i="5"/>
  <c r="AR98" i="5"/>
  <c r="AR447" i="5"/>
  <c r="AR448" i="5"/>
  <c r="AR449" i="5"/>
  <c r="AR450" i="5"/>
  <c r="AR228" i="5"/>
  <c r="AR223" i="5"/>
  <c r="AR221" i="5"/>
  <c r="AR179" i="5"/>
  <c r="AR451" i="5"/>
  <c r="AR452" i="5"/>
  <c r="AR453" i="5"/>
  <c r="AR454" i="5"/>
  <c r="AR455" i="5"/>
  <c r="AR456" i="5"/>
  <c r="AR457" i="5"/>
  <c r="AR66" i="5"/>
  <c r="AR230" i="5"/>
  <c r="AR222" i="5"/>
  <c r="AR178" i="5"/>
  <c r="AR172" i="5"/>
  <c r="AR133" i="5"/>
  <c r="AR127" i="5"/>
  <c r="AR252" i="5"/>
  <c r="AR248" i="5"/>
  <c r="AR235" i="5"/>
  <c r="AR232" i="5"/>
  <c r="AR462" i="5"/>
  <c r="AR463" i="5"/>
  <c r="AR464" i="5"/>
  <c r="AR259" i="5"/>
  <c r="AR264" i="5"/>
  <c r="AR119" i="5"/>
  <c r="AR113" i="5"/>
  <c r="AR197" i="5"/>
  <c r="AR193" i="5"/>
  <c r="AR465" i="5"/>
  <c r="AR466" i="5"/>
  <c r="AR467" i="5"/>
  <c r="AR468" i="5"/>
  <c r="AR168" i="5"/>
  <c r="AR469" i="5"/>
  <c r="AR274" i="5"/>
  <c r="AR52" i="5"/>
  <c r="AR47" i="5"/>
  <c r="AR44" i="5"/>
  <c r="AR45" i="5"/>
  <c r="AR43" i="5"/>
  <c r="AR38" i="5"/>
  <c r="AR270" i="5"/>
  <c r="AR265" i="5"/>
  <c r="AR470" i="5"/>
  <c r="AR471" i="5"/>
  <c r="AR472" i="5"/>
  <c r="AR473" i="5"/>
  <c r="AR73" i="5"/>
  <c r="AR92" i="5"/>
  <c r="AR85" i="5"/>
  <c r="AR475" i="5"/>
  <c r="AR476" i="5"/>
  <c r="AR192" i="5"/>
  <c r="AR190" i="5"/>
  <c r="AR150" i="5"/>
  <c r="AR138" i="5"/>
  <c r="AR74" i="5"/>
  <c r="AR68" i="5"/>
  <c r="AR479" i="5"/>
  <c r="AR480" i="5"/>
  <c r="AR481" i="5"/>
  <c r="AR482" i="5"/>
  <c r="AR483" i="5"/>
  <c r="AR242" i="5"/>
  <c r="AR233" i="5"/>
  <c r="AR61" i="5"/>
  <c r="AR57" i="5"/>
  <c r="AR55" i="5"/>
  <c r="AR164" i="5"/>
  <c r="AR162" i="5"/>
  <c r="AR36" i="5"/>
  <c r="AR27" i="5"/>
  <c r="AR110" i="5"/>
  <c r="AR99" i="5"/>
  <c r="AR486" i="5"/>
  <c r="AR487" i="5"/>
  <c r="AR488" i="5"/>
  <c r="AR489" i="5"/>
  <c r="AR490" i="5"/>
  <c r="AR491" i="5"/>
  <c r="AR493" i="5"/>
  <c r="AR494" i="5"/>
  <c r="AR495" i="5"/>
  <c r="AR496" i="5"/>
  <c r="AR497" i="5"/>
  <c r="AR498" i="5"/>
  <c r="AR215" i="5"/>
  <c r="AR212" i="5"/>
  <c r="AR189" i="5"/>
  <c r="AR185" i="5"/>
  <c r="AR181" i="5"/>
  <c r="AR180" i="5"/>
  <c r="AR67" i="5"/>
  <c r="AR65" i="5"/>
  <c r="AR62" i="5"/>
  <c r="AR499" i="5"/>
  <c r="AR500" i="5"/>
  <c r="AR501" i="5"/>
  <c r="AR502" i="5"/>
  <c r="AR17" i="5"/>
  <c r="AR64" i="5"/>
  <c r="AR60" i="5"/>
  <c r="AR58" i="5"/>
  <c r="AR54" i="5"/>
  <c r="AR51" i="5"/>
  <c r="AR511" i="5"/>
  <c r="AR512" i="5"/>
  <c r="AR513" i="5"/>
  <c r="AR514" i="5"/>
  <c r="AR515" i="5"/>
  <c r="AR516" i="5"/>
  <c r="AR517" i="5"/>
  <c r="AR184" i="5"/>
  <c r="AR187" i="5"/>
  <c r="AR194" i="5"/>
  <c r="AR195" i="5"/>
  <c r="AR518" i="5"/>
  <c r="AR519" i="5"/>
  <c r="AR520" i="5"/>
  <c r="AR155" i="5"/>
  <c r="AR521" i="5"/>
  <c r="AR522" i="5"/>
  <c r="AR523" i="5"/>
  <c r="AR524" i="5"/>
  <c r="AR525" i="5"/>
  <c r="AR115" i="5"/>
  <c r="AR526" i="5"/>
  <c r="AR527" i="5"/>
  <c r="AR137" i="5"/>
  <c r="AR131" i="5"/>
  <c r="AR126" i="5"/>
  <c r="AR528" i="5"/>
  <c r="AR170" i="5"/>
  <c r="AR132" i="5"/>
  <c r="AR129" i="5"/>
  <c r="AR120" i="5"/>
  <c r="AR529" i="5"/>
  <c r="AR530" i="5"/>
  <c r="AR531" i="5"/>
  <c r="AR532" i="5"/>
  <c r="AR533" i="5"/>
  <c r="AR204" i="5"/>
  <c r="AR201" i="5"/>
  <c r="AR171" i="5"/>
  <c r="AR114" i="5"/>
  <c r="AR112" i="5"/>
  <c r="AR534" i="5"/>
  <c r="AR535" i="5"/>
  <c r="AR536" i="5"/>
  <c r="AR537" i="5"/>
  <c r="AR538" i="5"/>
  <c r="AR539" i="5"/>
  <c r="AR540" i="5"/>
  <c r="AR9" i="5"/>
  <c r="AR266" i="5"/>
  <c r="AR261" i="5"/>
  <c r="AR10" i="5"/>
  <c r="AR7" i="5"/>
  <c r="AR95" i="5"/>
  <c r="AR93" i="5"/>
  <c r="AR278" i="5"/>
  <c r="AR258" i="5"/>
  <c r="AR253" i="5"/>
  <c r="AR247" i="5"/>
  <c r="AR245" i="5"/>
  <c r="AR246" i="5"/>
  <c r="AR97" i="5"/>
  <c r="AR96" i="5"/>
  <c r="AR279" i="5"/>
  <c r="AR280" i="5"/>
  <c r="AR281" i="5"/>
  <c r="AR217" i="5"/>
  <c r="AR214" i="5"/>
  <c r="AR78" i="5"/>
  <c r="AR72" i="5"/>
  <c r="AR81" i="5"/>
  <c r="AR75" i="5"/>
  <c r="AR111" i="5"/>
  <c r="AR282" i="5"/>
  <c r="AR283" i="5"/>
  <c r="AR284" i="5"/>
  <c r="AR285" i="5"/>
  <c r="AR286" i="5"/>
  <c r="AR244" i="5"/>
  <c r="AR239" i="5"/>
  <c r="AR206" i="5"/>
  <c r="AR287" i="5"/>
  <c r="AR288" i="5"/>
  <c r="AR289" i="5"/>
  <c r="AR30" i="5"/>
  <c r="AR35" i="5"/>
  <c r="AR28" i="5"/>
  <c r="AR89" i="5"/>
  <c r="AR80" i="5"/>
  <c r="AR49" i="5"/>
  <c r="AR40" i="5"/>
  <c r="AR291" i="5"/>
  <c r="AR292" i="5"/>
  <c r="AR70" i="5"/>
  <c r="AN5" i="5" l="1"/>
  <c r="AN7" i="5"/>
  <c r="AN10" i="5"/>
  <c r="AN16" i="5"/>
  <c r="AN38" i="5"/>
  <c r="AN40" i="5"/>
  <c r="AN43" i="5"/>
  <c r="AN44" i="5"/>
  <c r="AN45" i="5"/>
  <c r="AN47" i="5"/>
  <c r="AN49" i="5"/>
  <c r="AN52" i="5"/>
  <c r="AN68" i="5"/>
  <c r="AN74" i="5"/>
  <c r="AN77" i="5"/>
  <c r="AN103" i="5"/>
  <c r="AN104" i="5"/>
  <c r="AN106" i="5"/>
  <c r="AN107" i="5"/>
  <c r="AN109" i="5"/>
  <c r="AN111" i="5"/>
  <c r="AN117" i="5"/>
  <c r="AN118" i="5"/>
  <c r="AN142" i="5"/>
  <c r="AN153" i="5"/>
  <c r="AN154" i="5"/>
  <c r="AN156" i="5"/>
  <c r="AN161" i="5"/>
  <c r="AN163" i="5"/>
  <c r="AN179" i="5"/>
  <c r="AN183" i="5"/>
  <c r="AN186" i="5"/>
  <c r="AN188" i="5"/>
  <c r="AN191" i="5"/>
  <c r="AN193" i="5"/>
  <c r="AN194" i="5"/>
  <c r="AN195" i="5"/>
  <c r="AN197" i="5"/>
  <c r="AN221" i="5"/>
  <c r="AN223" i="5"/>
  <c r="AN228" i="5"/>
  <c r="AN321" i="5"/>
  <c r="AN293" i="5"/>
  <c r="AN320" i="5"/>
  <c r="AN428" i="5"/>
  <c r="AN427" i="5"/>
  <c r="AN426" i="5"/>
  <c r="AN425" i="5"/>
  <c r="AN474" i="5"/>
  <c r="AN381" i="5"/>
  <c r="AN382" i="5"/>
  <c r="AN347" i="5"/>
  <c r="AN346" i="5"/>
  <c r="AN341" i="5"/>
  <c r="AN340" i="5"/>
  <c r="AN339" i="5"/>
  <c r="AN527" i="5"/>
  <c r="AN391" i="5"/>
  <c r="AN526" i="5"/>
  <c r="AN292" i="5"/>
  <c r="AN390" i="5"/>
  <c r="AN393" i="5"/>
  <c r="AN338" i="5"/>
  <c r="AN291" i="5"/>
  <c r="AN349" i="5"/>
  <c r="AN392" i="5"/>
  <c r="AN348" i="5"/>
  <c r="AN415" i="5"/>
  <c r="AN510" i="5"/>
  <c r="AN509" i="5"/>
  <c r="AN452" i="5"/>
  <c r="AN492" i="5"/>
  <c r="AN414" i="5"/>
  <c r="AN451" i="5"/>
  <c r="AN297" i="5"/>
  <c r="AN301" i="5"/>
  <c r="AN512" i="5"/>
  <c r="AN478" i="5"/>
  <c r="AN511" i="5"/>
  <c r="AN477" i="5"/>
  <c r="AN506" i="5"/>
  <c r="AN505" i="5"/>
  <c r="AN450" i="5"/>
  <c r="AN449" i="5"/>
  <c r="AN448" i="5"/>
  <c r="AN464" i="5"/>
  <c r="AN389" i="5"/>
  <c r="AN463" i="5"/>
  <c r="AN508" i="5"/>
  <c r="AN507" i="5"/>
  <c r="AN388" i="5"/>
  <c r="AN387" i="5"/>
  <c r="AN386" i="5"/>
  <c r="AN462" i="5"/>
  <c r="AN447" i="5"/>
  <c r="AN385" i="5"/>
  <c r="AN384" i="5"/>
  <c r="AN383" i="5"/>
  <c r="AN547" i="5"/>
  <c r="AN3" i="5"/>
  <c r="AD5" i="5"/>
  <c r="AD7" i="5"/>
  <c r="AD10" i="5"/>
  <c r="AD16" i="5"/>
  <c r="AD38" i="5"/>
  <c r="AD40" i="5"/>
  <c r="AD43" i="5"/>
  <c r="AD44" i="5"/>
  <c r="AD45" i="5"/>
  <c r="AD47" i="5"/>
  <c r="AD49" i="5"/>
  <c r="AD52" i="5"/>
  <c r="AD68" i="5"/>
  <c r="AD74" i="5"/>
  <c r="AD77" i="5"/>
  <c r="AD103" i="5"/>
  <c r="AD104" i="5"/>
  <c r="AD106" i="5"/>
  <c r="AD107" i="5"/>
  <c r="AD109" i="5"/>
  <c r="AD111" i="5"/>
  <c r="AD117" i="5"/>
  <c r="AD118" i="5"/>
  <c r="AD142" i="5"/>
  <c r="AD153" i="5"/>
  <c r="AD154" i="5"/>
  <c r="AD156" i="5"/>
  <c r="AD161" i="5"/>
  <c r="AD163" i="5"/>
  <c r="AD179" i="5"/>
  <c r="AD183" i="5"/>
  <c r="AD186" i="5"/>
  <c r="AD188" i="5"/>
  <c r="AD191" i="5"/>
  <c r="AD193" i="5"/>
  <c r="AD194" i="5"/>
  <c r="AD195" i="5"/>
  <c r="AD197" i="5"/>
  <c r="AD221" i="5"/>
  <c r="AD223" i="5"/>
  <c r="AD228" i="5"/>
  <c r="AD321" i="5"/>
  <c r="AD293" i="5"/>
  <c r="AD320" i="5"/>
  <c r="AD428" i="5"/>
  <c r="AD427" i="5"/>
  <c r="AD426" i="5"/>
  <c r="AD425" i="5"/>
  <c r="AD474" i="5"/>
  <c r="AD381" i="5"/>
  <c r="AD382" i="5"/>
  <c r="AD347" i="5"/>
  <c r="AD346" i="5"/>
  <c r="AD341" i="5"/>
  <c r="AD340" i="5"/>
  <c r="AD339" i="5"/>
  <c r="AD527" i="5"/>
  <c r="AD391" i="5"/>
  <c r="AD526" i="5"/>
  <c r="AD292" i="5"/>
  <c r="AD390" i="5"/>
  <c r="AD393" i="5"/>
  <c r="AD338" i="5"/>
  <c r="AD291" i="5"/>
  <c r="AD349" i="5"/>
  <c r="AD392" i="5"/>
  <c r="AD348" i="5"/>
  <c r="AD415" i="5"/>
  <c r="AD510" i="5"/>
  <c r="AD509" i="5"/>
  <c r="AD452" i="5"/>
  <c r="AD492" i="5"/>
  <c r="AD414" i="5"/>
  <c r="AD451" i="5"/>
  <c r="AD297" i="5"/>
  <c r="AD301" i="5"/>
  <c r="AD512" i="5"/>
  <c r="AD478" i="5"/>
  <c r="AD511" i="5"/>
  <c r="AD477" i="5"/>
  <c r="AD506" i="5"/>
  <c r="AD505" i="5"/>
  <c r="AD450" i="5"/>
  <c r="AD449" i="5"/>
  <c r="AD448" i="5"/>
  <c r="AD464" i="5"/>
  <c r="AD389" i="5"/>
  <c r="AD463" i="5"/>
  <c r="AD508" i="5"/>
  <c r="AD507" i="5"/>
  <c r="AD388" i="5"/>
  <c r="AD387" i="5"/>
  <c r="AD386" i="5"/>
  <c r="AD462" i="5"/>
  <c r="AD447" i="5"/>
  <c r="AD385" i="5"/>
  <c r="AD384" i="5"/>
  <c r="AD383" i="5"/>
  <c r="AD3" i="5"/>
  <c r="V111" i="5"/>
  <c r="V3" i="5"/>
  <c r="AD547" i="5" l="1"/>
  <c r="BO546" i="5"/>
  <c r="BN546" i="5"/>
  <c r="AC41" i="5"/>
  <c r="AD41" i="5" s="1"/>
  <c r="AC120" i="5"/>
  <c r="AD120" i="5" s="1"/>
  <c r="AC129" i="5"/>
  <c r="AD129" i="5" s="1"/>
  <c r="AC132" i="5"/>
  <c r="AD132" i="5" s="1"/>
  <c r="AC170" i="5"/>
  <c r="AD170" i="5" s="1"/>
  <c r="AC265" i="5"/>
  <c r="AD265" i="5" s="1"/>
  <c r="AC270" i="5"/>
  <c r="AD270" i="5" s="1"/>
  <c r="AC423" i="5"/>
  <c r="AD423" i="5" s="1"/>
  <c r="AC422" i="5"/>
  <c r="AD422" i="5" s="1"/>
  <c r="AC420" i="5"/>
  <c r="AD420" i="5" s="1"/>
  <c r="AC421" i="5"/>
  <c r="AD421" i="5" s="1"/>
  <c r="V547" i="5" l="1"/>
  <c r="L305" i="5"/>
  <c r="M305" i="5" s="1"/>
  <c r="AV305" i="5" s="1"/>
  <c r="L434" i="5"/>
  <c r="L439" i="5"/>
  <c r="L304" i="5"/>
  <c r="M304" i="5" s="1"/>
  <c r="AV304" i="5" s="1"/>
  <c r="L306" i="5"/>
  <c r="M306" i="5" s="1"/>
  <c r="AV306" i="5" s="1"/>
  <c r="L300" i="5"/>
  <c r="M300" i="5" s="1"/>
  <c r="AV300" i="5" s="1"/>
  <c r="L491" i="5"/>
  <c r="L295" i="5"/>
  <c r="M295" i="5" s="1"/>
  <c r="AV295" i="5" s="1"/>
  <c r="L469" i="5"/>
  <c r="L410" i="5"/>
  <c r="L332" i="5"/>
  <c r="L294" i="5"/>
  <c r="M294" i="5" s="1"/>
  <c r="AV294" i="5" s="1"/>
  <c r="L331" i="5"/>
  <c r="M331" i="5" s="1"/>
  <c r="AV331" i="5" s="1"/>
  <c r="L321" i="5"/>
  <c r="M321" i="5" s="1"/>
  <c r="AV321" i="5" s="1"/>
  <c r="L293" i="5"/>
  <c r="L457" i="5"/>
  <c r="M457" i="5" s="1"/>
  <c r="AV457" i="5" s="1"/>
  <c r="L398" i="5"/>
  <c r="L433" i="5"/>
  <c r="M433" i="5" s="1"/>
  <c r="AV433" i="5" s="1"/>
  <c r="L320" i="5"/>
  <c r="L399" i="5"/>
  <c r="M399" i="5" s="1"/>
  <c r="AV399" i="5" s="1"/>
  <c r="L428" i="5"/>
  <c r="L438" i="5"/>
  <c r="L427" i="5"/>
  <c r="L426" i="5"/>
  <c r="M426" i="5" s="1"/>
  <c r="AV426" i="5" s="1"/>
  <c r="L425" i="5"/>
  <c r="L282" i="5"/>
  <c r="M282" i="5" s="1"/>
  <c r="AV282" i="5" s="1"/>
  <c r="L278" i="5"/>
  <c r="L286" i="5"/>
  <c r="M286" i="5" s="1"/>
  <c r="AV286" i="5" s="1"/>
  <c r="L456" i="5"/>
  <c r="M456" i="5" s="1"/>
  <c r="AV456" i="5" s="1"/>
  <c r="L380" i="5"/>
  <c r="M380" i="5" s="1"/>
  <c r="AV380" i="5" s="1"/>
  <c r="L432" i="5"/>
  <c r="L431" i="5"/>
  <c r="M431" i="5" s="1"/>
  <c r="AV431" i="5" s="1"/>
  <c r="L455" i="5"/>
  <c r="M455" i="5" s="1"/>
  <c r="AV455" i="5" s="1"/>
  <c r="L437" i="5"/>
  <c r="M437" i="5" s="1"/>
  <c r="AV437" i="5" s="1"/>
  <c r="L290" i="5"/>
  <c r="L525" i="5"/>
  <c r="M525" i="5" s="1"/>
  <c r="AV525" i="5" s="1"/>
  <c r="L436" i="5"/>
  <c r="L490" i="5"/>
  <c r="M490" i="5" s="1"/>
  <c r="AV490" i="5" s="1"/>
  <c r="L409" i="5"/>
  <c r="M409" i="5" s="1"/>
  <c r="AV409" i="5" s="1"/>
  <c r="L489" i="5"/>
  <c r="M489" i="5" s="1"/>
  <c r="AV489" i="5" s="1"/>
  <c r="L488" i="5"/>
  <c r="M488" i="5" s="1"/>
  <c r="AV488" i="5" s="1"/>
  <c r="L474" i="5"/>
  <c r="L543" i="5"/>
  <c r="L542" i="5"/>
  <c r="M542" i="5" s="1"/>
  <c r="AV542" i="5" s="1"/>
  <c r="L408" i="5"/>
  <c r="M408" i="5" s="1"/>
  <c r="AV408" i="5" s="1"/>
  <c r="L541" i="5"/>
  <c r="M541" i="5" s="1"/>
  <c r="AV541" i="5" s="1"/>
  <c r="L397" i="5"/>
  <c r="L446" i="5"/>
  <c r="M446" i="5" s="1"/>
  <c r="AV446" i="5" s="1"/>
  <c r="L487" i="5"/>
  <c r="L299" i="5"/>
  <c r="L379" i="5"/>
  <c r="L430" i="5"/>
  <c r="M430" i="5" s="1"/>
  <c r="AV430" i="5" s="1"/>
  <c r="L285" i="5"/>
  <c r="L486" i="5"/>
  <c r="M486" i="5" s="1"/>
  <c r="AV486" i="5" s="1"/>
  <c r="L381" i="5"/>
  <c r="M381" i="5" s="1"/>
  <c r="AV381" i="5" s="1"/>
  <c r="L298" i="5"/>
  <c r="M298" i="5" s="1"/>
  <c r="AV298" i="5" s="1"/>
  <c r="L284" i="5"/>
  <c r="L353" i="5"/>
  <c r="L407" i="5"/>
  <c r="L406" i="5"/>
  <c r="L382" i="5"/>
  <c r="M382" i="5" s="1"/>
  <c r="AV382" i="5" s="1"/>
  <c r="L352" i="5"/>
  <c r="M352" i="5" s="1"/>
  <c r="AV352" i="5" s="1"/>
  <c r="L347" i="5"/>
  <c r="L346" i="5"/>
  <c r="M346" i="5" s="1"/>
  <c r="AV346" i="5" s="1"/>
  <c r="L468" i="5"/>
  <c r="L341" i="5"/>
  <c r="M341" i="5" s="1"/>
  <c r="AV341" i="5" s="1"/>
  <c r="L405" i="5"/>
  <c r="M405" i="5" s="1"/>
  <c r="AV405" i="5" s="1"/>
  <c r="L445" i="5"/>
  <c r="M445" i="5" s="1"/>
  <c r="AV445" i="5" s="1"/>
  <c r="L283" i="5"/>
  <c r="M283" i="5" s="1"/>
  <c r="AV283" i="5" s="1"/>
  <c r="L524" i="5"/>
  <c r="M524" i="5" s="1"/>
  <c r="AV524" i="5" s="1"/>
  <c r="L340" i="5"/>
  <c r="L467" i="5"/>
  <c r="M467" i="5" s="1"/>
  <c r="AV467" i="5" s="1"/>
  <c r="L307" i="5"/>
  <c r="R237" i="5"/>
  <c r="N252" i="5"/>
  <c r="R219" i="5"/>
  <c r="N233" i="5"/>
  <c r="N321" i="5"/>
  <c r="B548" i="5"/>
  <c r="B547" i="5"/>
  <c r="T287" i="5"/>
  <c r="L287" i="5"/>
  <c r="I287" i="5"/>
  <c r="E287" i="5"/>
  <c r="C287" i="5"/>
  <c r="D287" i="5" s="1"/>
  <c r="B287" i="5"/>
  <c r="T288" i="5"/>
  <c r="L288" i="5"/>
  <c r="I288" i="5"/>
  <c r="E288" i="5"/>
  <c r="C288" i="5"/>
  <c r="D288" i="5" s="1"/>
  <c r="B288" i="5"/>
  <c r="T365" i="5"/>
  <c r="L365" i="5"/>
  <c r="I365" i="5"/>
  <c r="E365" i="5"/>
  <c r="C365" i="5"/>
  <c r="D365" i="5" s="1"/>
  <c r="B365" i="5"/>
  <c r="L419" i="5"/>
  <c r="M419" i="5" s="1"/>
  <c r="AV419" i="5" s="1"/>
  <c r="I419" i="5"/>
  <c r="C419" i="5"/>
  <c r="D419" i="5" s="1"/>
  <c r="B419" i="5"/>
  <c r="T383" i="5"/>
  <c r="L383" i="5"/>
  <c r="I383" i="5"/>
  <c r="E383" i="5"/>
  <c r="B383" i="5"/>
  <c r="T384" i="5"/>
  <c r="L384" i="5"/>
  <c r="M384" i="5" s="1"/>
  <c r="AV384" i="5" s="1"/>
  <c r="I384" i="5"/>
  <c r="E384" i="5"/>
  <c r="CD384" i="5" s="1"/>
  <c r="B384" i="5"/>
  <c r="T366" i="5"/>
  <c r="L366" i="5"/>
  <c r="I366" i="5"/>
  <c r="E366" i="5"/>
  <c r="C366" i="5"/>
  <c r="D366" i="5" s="1"/>
  <c r="B366" i="5"/>
  <c r="T385" i="5"/>
  <c r="L385" i="5"/>
  <c r="I385" i="5"/>
  <c r="E385" i="5"/>
  <c r="B385" i="5"/>
  <c r="T367" i="5"/>
  <c r="L367" i="5"/>
  <c r="I367" i="5"/>
  <c r="E367" i="5"/>
  <c r="C367" i="5"/>
  <c r="D367" i="5" s="1"/>
  <c r="B367" i="5"/>
  <c r="T493" i="5"/>
  <c r="L493" i="5"/>
  <c r="I493" i="5"/>
  <c r="E493" i="5"/>
  <c r="C493" i="5"/>
  <c r="D493" i="5" s="1"/>
  <c r="B493" i="5"/>
  <c r="T494" i="5"/>
  <c r="L494" i="5"/>
  <c r="I494" i="5"/>
  <c r="E494" i="5"/>
  <c r="C494" i="5"/>
  <c r="D494" i="5" s="1"/>
  <c r="B494" i="5"/>
  <c r="T495" i="5"/>
  <c r="L495" i="5"/>
  <c r="M495" i="5" s="1"/>
  <c r="AV495" i="5" s="1"/>
  <c r="I495" i="5"/>
  <c r="E495" i="5"/>
  <c r="C495" i="5"/>
  <c r="D495" i="5" s="1"/>
  <c r="B495" i="5"/>
  <c r="T447" i="5"/>
  <c r="L447" i="5"/>
  <c r="I447" i="5"/>
  <c r="E447" i="5"/>
  <c r="C447" i="5"/>
  <c r="D447" i="5" s="1"/>
  <c r="B447" i="5"/>
  <c r="T496" i="5"/>
  <c r="L496" i="5"/>
  <c r="I496" i="5"/>
  <c r="E496" i="5"/>
  <c r="C496" i="5"/>
  <c r="D496" i="5" s="1"/>
  <c r="B496" i="5"/>
  <c r="T462" i="5"/>
  <c r="L462" i="5"/>
  <c r="I462" i="5"/>
  <c r="E462" i="5"/>
  <c r="C462" i="5"/>
  <c r="D462" i="5" s="1"/>
  <c r="B462" i="5"/>
  <c r="T497" i="5"/>
  <c r="L497" i="5"/>
  <c r="I497" i="5"/>
  <c r="E497" i="5"/>
  <c r="C497" i="5"/>
  <c r="D497" i="5" s="1"/>
  <c r="B497" i="5"/>
  <c r="T498" i="5"/>
  <c r="L498" i="5"/>
  <c r="I498" i="5"/>
  <c r="E498" i="5"/>
  <c r="C498" i="5"/>
  <c r="D498" i="5" s="1"/>
  <c r="B498" i="5"/>
  <c r="T386" i="5"/>
  <c r="L386" i="5"/>
  <c r="I386" i="5"/>
  <c r="E386" i="5"/>
  <c r="B386" i="5"/>
  <c r="T387" i="5"/>
  <c r="L387" i="5"/>
  <c r="M387" i="5" s="1"/>
  <c r="AV387" i="5" s="1"/>
  <c r="I387" i="5"/>
  <c r="B387" i="5"/>
  <c r="T368" i="5"/>
  <c r="L368" i="5"/>
  <c r="I368" i="5"/>
  <c r="E368" i="5"/>
  <c r="C368" i="5"/>
  <c r="D368" i="5" s="1"/>
  <c r="B368" i="5"/>
  <c r="T333" i="5"/>
  <c r="L333" i="5"/>
  <c r="I333" i="5"/>
  <c r="E333" i="5"/>
  <c r="C333" i="5"/>
  <c r="D333" i="5" s="1"/>
  <c r="B333" i="5"/>
  <c r="T388" i="5"/>
  <c r="L388" i="5"/>
  <c r="I388" i="5"/>
  <c r="E388" i="5"/>
  <c r="B388" i="5"/>
  <c r="T507" i="5"/>
  <c r="L507" i="5"/>
  <c r="I507" i="5"/>
  <c r="E507" i="5"/>
  <c r="C507" i="5"/>
  <c r="D507" i="5" s="1"/>
  <c r="B507" i="5"/>
  <c r="T508" i="5"/>
  <c r="L508" i="5"/>
  <c r="I508" i="5"/>
  <c r="E508" i="5"/>
  <c r="C508" i="5"/>
  <c r="D508" i="5" s="1"/>
  <c r="B508" i="5"/>
  <c r="T463" i="5"/>
  <c r="L463" i="5"/>
  <c r="I463" i="5"/>
  <c r="E463" i="5"/>
  <c r="C463" i="5"/>
  <c r="D463" i="5" s="1"/>
  <c r="B463" i="5"/>
  <c r="T389" i="5"/>
  <c r="L389" i="5"/>
  <c r="I389" i="5"/>
  <c r="B389" i="5"/>
  <c r="T369" i="5"/>
  <c r="L369" i="5"/>
  <c r="M369" i="5" s="1"/>
  <c r="AV369" i="5" s="1"/>
  <c r="I369" i="5"/>
  <c r="E369" i="5"/>
  <c r="C369" i="5"/>
  <c r="D369" i="5" s="1"/>
  <c r="B369" i="5"/>
  <c r="T374" i="5"/>
  <c r="L374" i="5"/>
  <c r="I374" i="5"/>
  <c r="E374" i="5"/>
  <c r="C374" i="5"/>
  <c r="D374" i="5" s="1"/>
  <c r="B374" i="5"/>
  <c r="T375" i="5"/>
  <c r="L375" i="5"/>
  <c r="I375" i="5"/>
  <c r="E375" i="5"/>
  <c r="C375" i="5"/>
  <c r="D375" i="5" s="1"/>
  <c r="B375" i="5"/>
  <c r="T464" i="5"/>
  <c r="L464" i="5"/>
  <c r="I464" i="5"/>
  <c r="E464" i="5"/>
  <c r="C464" i="5"/>
  <c r="D464" i="5" s="1"/>
  <c r="B464" i="5"/>
  <c r="T435" i="5"/>
  <c r="L435" i="5"/>
  <c r="I435" i="5"/>
  <c r="E435" i="5"/>
  <c r="C435" i="5"/>
  <c r="D435" i="5" s="1"/>
  <c r="B435" i="5"/>
  <c r="T513" i="5"/>
  <c r="L513" i="5"/>
  <c r="I513" i="5"/>
  <c r="E513" i="5"/>
  <c r="C513" i="5"/>
  <c r="D513" i="5" s="1"/>
  <c r="B513" i="5"/>
  <c r="T518" i="5"/>
  <c r="L518" i="5"/>
  <c r="I518" i="5"/>
  <c r="E518" i="5"/>
  <c r="C518" i="5"/>
  <c r="D518" i="5" s="1"/>
  <c r="B518" i="5"/>
  <c r="T519" i="5"/>
  <c r="L519" i="5"/>
  <c r="M519" i="5" s="1"/>
  <c r="AV519" i="5" s="1"/>
  <c r="I519" i="5"/>
  <c r="E519" i="5"/>
  <c r="C519" i="5"/>
  <c r="D519" i="5" s="1"/>
  <c r="B519" i="5"/>
  <c r="T514" i="5"/>
  <c r="L514" i="5"/>
  <c r="M514" i="5" s="1"/>
  <c r="AV514" i="5" s="1"/>
  <c r="I514" i="5"/>
  <c r="E514" i="5"/>
  <c r="C514" i="5"/>
  <c r="D514" i="5" s="1"/>
  <c r="B514" i="5"/>
  <c r="T515" i="5"/>
  <c r="L515" i="5"/>
  <c r="I515" i="5"/>
  <c r="E515" i="5"/>
  <c r="C515" i="5"/>
  <c r="D515" i="5" s="1"/>
  <c r="B515" i="5"/>
  <c r="U421" i="5"/>
  <c r="T421" i="5"/>
  <c r="L421" i="5"/>
  <c r="I421" i="5"/>
  <c r="E421" i="5"/>
  <c r="CD421" i="5" s="1"/>
  <c r="C421" i="5"/>
  <c r="D421" i="5" s="1"/>
  <c r="T485" i="5"/>
  <c r="L485" i="5"/>
  <c r="I485" i="5"/>
  <c r="E485" i="5"/>
  <c r="C485" i="5"/>
  <c r="D485" i="5" s="1"/>
  <c r="B485" i="5"/>
  <c r="U420" i="5"/>
  <c r="T420" i="5"/>
  <c r="L420" i="5"/>
  <c r="I420" i="5"/>
  <c r="E420" i="5"/>
  <c r="C420" i="5"/>
  <c r="D420" i="5" s="1"/>
  <c r="T499" i="5"/>
  <c r="L499" i="5"/>
  <c r="I499" i="5"/>
  <c r="E499" i="5"/>
  <c r="C499" i="5"/>
  <c r="D499" i="5" s="1"/>
  <c r="B499" i="5"/>
  <c r="T470" i="5"/>
  <c r="L470" i="5"/>
  <c r="M470" i="5" s="1"/>
  <c r="AV470" i="5" s="1"/>
  <c r="I470" i="5"/>
  <c r="E470" i="5"/>
  <c r="C470" i="5"/>
  <c r="D470" i="5" s="1"/>
  <c r="B470" i="5"/>
  <c r="T484" i="5"/>
  <c r="L484" i="5"/>
  <c r="I484" i="5"/>
  <c r="E484" i="5"/>
  <c r="C484" i="5"/>
  <c r="D484" i="5" s="1"/>
  <c r="B484" i="5"/>
  <c r="T534" i="5"/>
  <c r="L534" i="5"/>
  <c r="I534" i="5"/>
  <c r="E534" i="5"/>
  <c r="C534" i="5"/>
  <c r="D534" i="5" s="1"/>
  <c r="B534" i="5"/>
  <c r="T500" i="5"/>
  <c r="L500" i="5"/>
  <c r="I500" i="5"/>
  <c r="E500" i="5"/>
  <c r="C500" i="5"/>
  <c r="D500" i="5" s="1"/>
  <c r="B500" i="5"/>
  <c r="T411" i="5"/>
  <c r="L411" i="5"/>
  <c r="I411" i="5"/>
  <c r="E411" i="5"/>
  <c r="C411" i="5"/>
  <c r="D411" i="5" s="1"/>
  <c r="B411" i="5"/>
  <c r="T424" i="5"/>
  <c r="L424" i="5"/>
  <c r="I424" i="5"/>
  <c r="E424" i="5"/>
  <c r="C424" i="5"/>
  <c r="D424" i="5" s="1"/>
  <c r="B424" i="5"/>
  <c r="T314" i="5"/>
  <c r="L314" i="5"/>
  <c r="I314" i="5"/>
  <c r="E314" i="5"/>
  <c r="C314" i="5"/>
  <c r="D314" i="5" s="1"/>
  <c r="B314" i="5"/>
  <c r="T535" i="5"/>
  <c r="L535" i="5"/>
  <c r="M535" i="5" s="1"/>
  <c r="AV535" i="5" s="1"/>
  <c r="I535" i="5"/>
  <c r="E535" i="5"/>
  <c r="C535" i="5"/>
  <c r="D535" i="5" s="1"/>
  <c r="B535" i="5"/>
  <c r="U422" i="5"/>
  <c r="T422" i="5"/>
  <c r="L422" i="5"/>
  <c r="M422" i="5" s="1"/>
  <c r="AV422" i="5" s="1"/>
  <c r="I422" i="5"/>
  <c r="E422" i="5"/>
  <c r="CD422" i="5" s="1"/>
  <c r="C422" i="5"/>
  <c r="D422" i="5" s="1"/>
  <c r="T360" i="5"/>
  <c r="L360" i="5"/>
  <c r="I360" i="5"/>
  <c r="E360" i="5"/>
  <c r="C360" i="5"/>
  <c r="D360" i="5" s="1"/>
  <c r="B360" i="5"/>
  <c r="T501" i="5"/>
  <c r="L501" i="5"/>
  <c r="I501" i="5"/>
  <c r="E501" i="5"/>
  <c r="C501" i="5"/>
  <c r="D501" i="5" s="1"/>
  <c r="B501" i="5"/>
  <c r="T412" i="5"/>
  <c r="L412" i="5"/>
  <c r="I412" i="5"/>
  <c r="E412" i="5"/>
  <c r="C412" i="5"/>
  <c r="D412" i="5" s="1"/>
  <c r="B412" i="5"/>
  <c r="T471" i="5"/>
  <c r="L471" i="5"/>
  <c r="M471" i="5" s="1"/>
  <c r="AV471" i="5" s="1"/>
  <c r="I471" i="5"/>
  <c r="E471" i="5"/>
  <c r="C471" i="5"/>
  <c r="D471" i="5" s="1"/>
  <c r="B471" i="5"/>
  <c r="T315" i="5"/>
  <c r="L315" i="5"/>
  <c r="I315" i="5"/>
  <c r="E315" i="5"/>
  <c r="C315" i="5"/>
  <c r="D315" i="5" s="1"/>
  <c r="B315" i="5"/>
  <c r="T479" i="5"/>
  <c r="L479" i="5"/>
  <c r="I479" i="5"/>
  <c r="E479" i="5"/>
  <c r="C479" i="5"/>
  <c r="D479" i="5" s="1"/>
  <c r="B479" i="5"/>
  <c r="T361" i="5"/>
  <c r="L361" i="5"/>
  <c r="M361" i="5" s="1"/>
  <c r="AV361" i="5" s="1"/>
  <c r="I361" i="5"/>
  <c r="E361" i="5"/>
  <c r="C361" i="5"/>
  <c r="D361" i="5" s="1"/>
  <c r="B361" i="5"/>
  <c r="T413" i="5"/>
  <c r="L413" i="5"/>
  <c r="I413" i="5"/>
  <c r="E413" i="5"/>
  <c r="C413" i="5"/>
  <c r="D413" i="5" s="1"/>
  <c r="B413" i="5"/>
  <c r="T536" i="5"/>
  <c r="L536" i="5"/>
  <c r="I536" i="5"/>
  <c r="E536" i="5"/>
  <c r="C536" i="5"/>
  <c r="D536" i="5" s="1"/>
  <c r="B536" i="5"/>
  <c r="U423" i="5"/>
  <c r="T423" i="5"/>
  <c r="L423" i="5"/>
  <c r="M423" i="5" s="1"/>
  <c r="AV423" i="5" s="1"/>
  <c r="I423" i="5"/>
  <c r="E423" i="5"/>
  <c r="C423" i="5"/>
  <c r="D423" i="5" s="1"/>
  <c r="T296" i="5"/>
  <c r="L296" i="5"/>
  <c r="I296" i="5"/>
  <c r="E296" i="5"/>
  <c r="C296" i="5"/>
  <c r="D296" i="5" s="1"/>
  <c r="B296" i="5"/>
  <c r="T480" i="5"/>
  <c r="L480" i="5"/>
  <c r="I480" i="5"/>
  <c r="E480" i="5"/>
  <c r="C480" i="5"/>
  <c r="D480" i="5" s="1"/>
  <c r="B480" i="5"/>
  <c r="T362" i="5"/>
  <c r="L362" i="5"/>
  <c r="M362" i="5" s="1"/>
  <c r="AV362" i="5" s="1"/>
  <c r="I362" i="5"/>
  <c r="E362" i="5"/>
  <c r="C362" i="5"/>
  <c r="D362" i="5" s="1"/>
  <c r="B362" i="5"/>
  <c r="T481" i="5"/>
  <c r="L481" i="5"/>
  <c r="I481" i="5"/>
  <c r="E481" i="5"/>
  <c r="C481" i="5"/>
  <c r="D481" i="5" s="1"/>
  <c r="B481" i="5"/>
  <c r="T520" i="5"/>
  <c r="L520" i="5"/>
  <c r="I520" i="5"/>
  <c r="E520" i="5"/>
  <c r="C520" i="5"/>
  <c r="D520" i="5" s="1"/>
  <c r="B520" i="5"/>
  <c r="T448" i="5"/>
  <c r="L448" i="5"/>
  <c r="M448" i="5" s="1"/>
  <c r="AV448" i="5" s="1"/>
  <c r="I448" i="5"/>
  <c r="E448" i="5"/>
  <c r="C448" i="5"/>
  <c r="D448" i="5" s="1"/>
  <c r="B448" i="5"/>
  <c r="T363" i="5"/>
  <c r="L363" i="5"/>
  <c r="I363" i="5"/>
  <c r="E363" i="5"/>
  <c r="C363" i="5"/>
  <c r="D363" i="5" s="1"/>
  <c r="B363" i="5"/>
  <c r="T482" i="5"/>
  <c r="L482" i="5"/>
  <c r="I482" i="5"/>
  <c r="E482" i="5"/>
  <c r="C482" i="5"/>
  <c r="D482" i="5" s="1"/>
  <c r="B482" i="5"/>
  <c r="T289" i="5"/>
  <c r="L289" i="5"/>
  <c r="I289" i="5"/>
  <c r="E289" i="5"/>
  <c r="C289" i="5"/>
  <c r="D289" i="5" s="1"/>
  <c r="B289" i="5"/>
  <c r="T483" i="5"/>
  <c r="L483" i="5"/>
  <c r="M483" i="5" s="1"/>
  <c r="AV483" i="5" s="1"/>
  <c r="I483" i="5"/>
  <c r="E483" i="5"/>
  <c r="C483" i="5"/>
  <c r="D483" i="5" s="1"/>
  <c r="B483" i="5"/>
  <c r="T364" i="5"/>
  <c r="L364" i="5"/>
  <c r="I364" i="5"/>
  <c r="E364" i="5"/>
  <c r="C364" i="5"/>
  <c r="D364" i="5" s="1"/>
  <c r="B364" i="5"/>
  <c r="T472" i="5"/>
  <c r="L472" i="5"/>
  <c r="I472" i="5"/>
  <c r="E472" i="5"/>
  <c r="C472" i="5"/>
  <c r="D472" i="5" s="1"/>
  <c r="B472" i="5"/>
  <c r="T400" i="5"/>
  <c r="L400" i="5"/>
  <c r="I400" i="5"/>
  <c r="E400" i="5"/>
  <c r="C400" i="5"/>
  <c r="D400" i="5" s="1"/>
  <c r="B400" i="5"/>
  <c r="T449" i="5"/>
  <c r="L449" i="5"/>
  <c r="I449" i="5"/>
  <c r="E449" i="5"/>
  <c r="C449" i="5"/>
  <c r="D449" i="5" s="1"/>
  <c r="B449" i="5"/>
  <c r="T450" i="5"/>
  <c r="L450" i="5"/>
  <c r="I450" i="5"/>
  <c r="E450" i="5"/>
  <c r="C450" i="5"/>
  <c r="D450" i="5" s="1"/>
  <c r="B450" i="5"/>
  <c r="T322" i="5"/>
  <c r="L322" i="5"/>
  <c r="I322" i="5"/>
  <c r="E322" i="5"/>
  <c r="C322" i="5"/>
  <c r="D322" i="5" s="1"/>
  <c r="B322" i="5"/>
  <c r="T357" i="5"/>
  <c r="L357" i="5"/>
  <c r="I357" i="5"/>
  <c r="E357" i="5"/>
  <c r="C357" i="5"/>
  <c r="D357" i="5" s="1"/>
  <c r="B357" i="5"/>
  <c r="T401" i="5"/>
  <c r="L401" i="5"/>
  <c r="I401" i="5"/>
  <c r="E401" i="5"/>
  <c r="C401" i="5"/>
  <c r="D401" i="5" s="1"/>
  <c r="B401" i="5"/>
  <c r="T473" i="5"/>
  <c r="L473" i="5"/>
  <c r="I473" i="5"/>
  <c r="E473" i="5"/>
  <c r="C473" i="5"/>
  <c r="D473" i="5" s="1"/>
  <c r="B473" i="5"/>
  <c r="T371" i="5"/>
  <c r="L371" i="5"/>
  <c r="I371" i="5"/>
  <c r="E371" i="5"/>
  <c r="C371" i="5"/>
  <c r="D371" i="5" s="1"/>
  <c r="B371" i="5"/>
  <c r="T370" i="5"/>
  <c r="L370" i="5"/>
  <c r="M370" i="5" s="1"/>
  <c r="AV370" i="5" s="1"/>
  <c r="I370" i="5"/>
  <c r="E370" i="5"/>
  <c r="C370" i="5"/>
  <c r="D370" i="5" s="1"/>
  <c r="B370" i="5"/>
  <c r="T440" i="5"/>
  <c r="L440" i="5"/>
  <c r="I440" i="5"/>
  <c r="E440" i="5"/>
  <c r="C440" i="5"/>
  <c r="D440" i="5" s="1"/>
  <c r="B440" i="5"/>
  <c r="T372" i="5"/>
  <c r="L372" i="5"/>
  <c r="I372" i="5"/>
  <c r="E372" i="5"/>
  <c r="C372" i="5"/>
  <c r="D372" i="5" s="1"/>
  <c r="B372" i="5"/>
  <c r="T537" i="5"/>
  <c r="L537" i="5"/>
  <c r="I537" i="5"/>
  <c r="E537" i="5"/>
  <c r="C537" i="5"/>
  <c r="D537" i="5" s="1"/>
  <c r="B537" i="5"/>
  <c r="T402" i="5"/>
  <c r="L402" i="5"/>
  <c r="I402" i="5"/>
  <c r="E402" i="5"/>
  <c r="C402" i="5"/>
  <c r="D402" i="5" s="1"/>
  <c r="B402" i="5"/>
  <c r="T538" i="5"/>
  <c r="L538" i="5"/>
  <c r="I538" i="5"/>
  <c r="E538" i="5"/>
  <c r="C538" i="5"/>
  <c r="D538" i="5" s="1"/>
  <c r="B538" i="5"/>
  <c r="T403" i="5"/>
  <c r="L403" i="5"/>
  <c r="I403" i="5"/>
  <c r="E403" i="5"/>
  <c r="C403" i="5"/>
  <c r="D403" i="5" s="1"/>
  <c r="B403" i="5"/>
  <c r="T302" i="5"/>
  <c r="L302" i="5"/>
  <c r="I302" i="5"/>
  <c r="E302" i="5"/>
  <c r="C302" i="5"/>
  <c r="D302" i="5" s="1"/>
  <c r="B302" i="5"/>
  <c r="T323" i="5"/>
  <c r="L323" i="5"/>
  <c r="M323" i="5" s="1"/>
  <c r="AV323" i="5" s="1"/>
  <c r="I323" i="5"/>
  <c r="E323" i="5"/>
  <c r="C323" i="5"/>
  <c r="D323" i="5" s="1"/>
  <c r="B323" i="5"/>
  <c r="T539" i="5"/>
  <c r="L539" i="5"/>
  <c r="I539" i="5"/>
  <c r="E539" i="5"/>
  <c r="C539" i="5"/>
  <c r="D539" i="5" s="1"/>
  <c r="B539" i="5"/>
  <c r="T303" i="5"/>
  <c r="L303" i="5"/>
  <c r="I303" i="5"/>
  <c r="E303" i="5"/>
  <c r="C303" i="5"/>
  <c r="D303" i="5" s="1"/>
  <c r="B303" i="5"/>
  <c r="T324" i="5"/>
  <c r="L324" i="5"/>
  <c r="I324" i="5"/>
  <c r="E324" i="5"/>
  <c r="C324" i="5"/>
  <c r="D324" i="5" s="1"/>
  <c r="B324" i="5"/>
  <c r="T356" i="5"/>
  <c r="L356" i="5"/>
  <c r="I356" i="5"/>
  <c r="E356" i="5"/>
  <c r="C356" i="5"/>
  <c r="D356" i="5" s="1"/>
  <c r="B356" i="5"/>
  <c r="T325" i="5"/>
  <c r="L325" i="5"/>
  <c r="I325" i="5"/>
  <c r="E325" i="5"/>
  <c r="C325" i="5"/>
  <c r="D325" i="5" s="1"/>
  <c r="B325" i="5"/>
  <c r="T441" i="5"/>
  <c r="L441" i="5"/>
  <c r="M441" i="5" s="1"/>
  <c r="AV441" i="5" s="1"/>
  <c r="I441" i="5"/>
  <c r="E441" i="5"/>
  <c r="C441" i="5"/>
  <c r="D441" i="5" s="1"/>
  <c r="B441" i="5"/>
  <c r="T373" i="5"/>
  <c r="L373" i="5"/>
  <c r="M373" i="5" s="1"/>
  <c r="AV373" i="5" s="1"/>
  <c r="I373" i="5"/>
  <c r="E373" i="5"/>
  <c r="C373" i="5"/>
  <c r="D373" i="5" s="1"/>
  <c r="B373" i="5"/>
  <c r="T279" i="5"/>
  <c r="L279" i="5"/>
  <c r="M279" i="5" s="1"/>
  <c r="AV279" i="5" s="1"/>
  <c r="I279" i="5"/>
  <c r="E279" i="5"/>
  <c r="C279" i="5"/>
  <c r="D279" i="5" s="1"/>
  <c r="B279" i="5"/>
  <c r="T505" i="5"/>
  <c r="L505" i="5"/>
  <c r="I505" i="5"/>
  <c r="E505" i="5"/>
  <c r="C505" i="5"/>
  <c r="D505" i="5" s="1"/>
  <c r="B505" i="5"/>
  <c r="T506" i="5"/>
  <c r="L506" i="5"/>
  <c r="I506" i="5"/>
  <c r="E506" i="5"/>
  <c r="C506" i="5"/>
  <c r="D506" i="5" s="1"/>
  <c r="B506" i="5"/>
  <c r="T477" i="5"/>
  <c r="L477" i="5"/>
  <c r="I477" i="5"/>
  <c r="E477" i="5"/>
  <c r="C477" i="5"/>
  <c r="D477" i="5" s="1"/>
  <c r="B477" i="5"/>
  <c r="T280" i="5"/>
  <c r="L280" i="5"/>
  <c r="I280" i="5"/>
  <c r="E280" i="5"/>
  <c r="C280" i="5"/>
  <c r="D280" i="5" s="1"/>
  <c r="B280" i="5"/>
  <c r="T326" i="5"/>
  <c r="L326" i="5"/>
  <c r="I326" i="5"/>
  <c r="E326" i="5"/>
  <c r="C326" i="5"/>
  <c r="D326" i="5" s="1"/>
  <c r="B326" i="5"/>
  <c r="T511" i="5"/>
  <c r="L511" i="5"/>
  <c r="I511" i="5"/>
  <c r="E511" i="5"/>
  <c r="C511" i="5"/>
  <c r="D511" i="5" s="1"/>
  <c r="B511" i="5"/>
  <c r="T517" i="5"/>
  <c r="L517" i="5"/>
  <c r="I517" i="5"/>
  <c r="E517" i="5"/>
  <c r="C517" i="5"/>
  <c r="D517" i="5" s="1"/>
  <c r="B517" i="5"/>
  <c r="T528" i="5"/>
  <c r="L528" i="5"/>
  <c r="I528" i="5"/>
  <c r="E528" i="5"/>
  <c r="C528" i="5"/>
  <c r="D528" i="5" s="1"/>
  <c r="B528" i="5"/>
  <c r="T478" i="5"/>
  <c r="L478" i="5"/>
  <c r="M478" i="5" s="1"/>
  <c r="AV478" i="5" s="1"/>
  <c r="I478" i="5"/>
  <c r="E478" i="5"/>
  <c r="C478" i="5"/>
  <c r="D478" i="5" s="1"/>
  <c r="B478" i="5"/>
  <c r="T458" i="5"/>
  <c r="L458" i="5"/>
  <c r="I458" i="5"/>
  <c r="E458" i="5"/>
  <c r="C458" i="5"/>
  <c r="D458" i="5" s="1"/>
  <c r="B458" i="5"/>
  <c r="T281" i="5"/>
  <c r="L281" i="5"/>
  <c r="I281" i="5"/>
  <c r="E281" i="5"/>
  <c r="C281" i="5"/>
  <c r="D281" i="5" s="1"/>
  <c r="B281" i="5"/>
  <c r="T350" i="5"/>
  <c r="L350" i="5"/>
  <c r="I350" i="5"/>
  <c r="E350" i="5"/>
  <c r="C350" i="5"/>
  <c r="D350" i="5" s="1"/>
  <c r="B350" i="5"/>
  <c r="T516" i="5"/>
  <c r="L516" i="5"/>
  <c r="I516" i="5"/>
  <c r="E516" i="5"/>
  <c r="C516" i="5"/>
  <c r="D516" i="5" s="1"/>
  <c r="B516" i="5"/>
  <c r="T529" i="5"/>
  <c r="L529" i="5"/>
  <c r="M529" i="5" s="1"/>
  <c r="AV529" i="5" s="1"/>
  <c r="I529" i="5"/>
  <c r="E529" i="5"/>
  <c r="C529" i="5"/>
  <c r="D529" i="5" s="1"/>
  <c r="B529" i="5"/>
  <c r="T521" i="5"/>
  <c r="L521" i="5"/>
  <c r="M521" i="5" s="1"/>
  <c r="AV521" i="5" s="1"/>
  <c r="I521" i="5"/>
  <c r="E521" i="5"/>
  <c r="C521" i="5"/>
  <c r="D521" i="5" s="1"/>
  <c r="B521" i="5"/>
  <c r="T376" i="5"/>
  <c r="L376" i="5"/>
  <c r="M376" i="5" s="1"/>
  <c r="AV376" i="5" s="1"/>
  <c r="I376" i="5"/>
  <c r="E376" i="5"/>
  <c r="C376" i="5"/>
  <c r="D376" i="5" s="1"/>
  <c r="B376" i="5"/>
  <c r="T522" i="5"/>
  <c r="L522" i="5"/>
  <c r="M522" i="5" s="1"/>
  <c r="AV522" i="5" s="1"/>
  <c r="I522" i="5"/>
  <c r="E522" i="5"/>
  <c r="C522" i="5"/>
  <c r="D522" i="5" s="1"/>
  <c r="B522" i="5"/>
  <c r="T459" i="5"/>
  <c r="L459" i="5"/>
  <c r="I459" i="5"/>
  <c r="E459" i="5"/>
  <c r="C459" i="5"/>
  <c r="D459" i="5" s="1"/>
  <c r="B459" i="5"/>
  <c r="T530" i="5"/>
  <c r="L530" i="5"/>
  <c r="I530" i="5"/>
  <c r="E530" i="5"/>
  <c r="C530" i="5"/>
  <c r="D530" i="5" s="1"/>
  <c r="B530" i="5"/>
  <c r="T429" i="5"/>
  <c r="L429" i="5"/>
  <c r="I429" i="5"/>
  <c r="E429" i="5"/>
  <c r="C429" i="5"/>
  <c r="D429" i="5" s="1"/>
  <c r="B429" i="5"/>
  <c r="T351" i="5"/>
  <c r="L351" i="5"/>
  <c r="I351" i="5"/>
  <c r="E351" i="5"/>
  <c r="C351" i="5"/>
  <c r="D351" i="5" s="1"/>
  <c r="B351" i="5"/>
  <c r="T377" i="5"/>
  <c r="L377" i="5"/>
  <c r="I377" i="5"/>
  <c r="E377" i="5"/>
  <c r="C377" i="5"/>
  <c r="D377" i="5" s="1"/>
  <c r="B377" i="5"/>
  <c r="T316" i="5"/>
  <c r="L316" i="5"/>
  <c r="M316" i="5" s="1"/>
  <c r="AV316" i="5" s="1"/>
  <c r="I316" i="5"/>
  <c r="E316" i="5"/>
  <c r="C316" i="5"/>
  <c r="D316" i="5" s="1"/>
  <c r="B316" i="5"/>
  <c r="T531" i="5"/>
  <c r="L531" i="5"/>
  <c r="M531" i="5" s="1"/>
  <c r="AV531" i="5" s="1"/>
  <c r="I531" i="5"/>
  <c r="E531" i="5"/>
  <c r="C531" i="5"/>
  <c r="D531" i="5" s="1"/>
  <c r="B531" i="5"/>
  <c r="T532" i="5"/>
  <c r="L532" i="5"/>
  <c r="I532" i="5"/>
  <c r="E532" i="5"/>
  <c r="C532" i="5"/>
  <c r="D532" i="5" s="1"/>
  <c r="B532" i="5"/>
  <c r="T502" i="5"/>
  <c r="L502" i="5"/>
  <c r="I502" i="5"/>
  <c r="E502" i="5"/>
  <c r="C502" i="5"/>
  <c r="D502" i="5" s="1"/>
  <c r="B502" i="5"/>
  <c r="T327" i="5"/>
  <c r="L327" i="5"/>
  <c r="I327" i="5"/>
  <c r="E327" i="5"/>
  <c r="C327" i="5"/>
  <c r="D327" i="5" s="1"/>
  <c r="B327" i="5"/>
  <c r="T355" i="5"/>
  <c r="L355" i="5"/>
  <c r="I355" i="5"/>
  <c r="E355" i="5"/>
  <c r="C355" i="5"/>
  <c r="D355" i="5" s="1"/>
  <c r="B355" i="5"/>
  <c r="T317" i="5"/>
  <c r="L317" i="5"/>
  <c r="I317" i="5"/>
  <c r="E317" i="5"/>
  <c r="C317" i="5"/>
  <c r="D317" i="5" s="1"/>
  <c r="B317" i="5"/>
  <c r="T512" i="5"/>
  <c r="L512" i="5"/>
  <c r="I512" i="5"/>
  <c r="E512" i="5"/>
  <c r="C512" i="5"/>
  <c r="D512" i="5" s="1"/>
  <c r="B512" i="5"/>
  <c r="T533" i="5"/>
  <c r="L533" i="5"/>
  <c r="I533" i="5"/>
  <c r="E533" i="5"/>
  <c r="C533" i="5"/>
  <c r="D533" i="5" s="1"/>
  <c r="B533" i="5"/>
  <c r="T359" i="5"/>
  <c r="L359" i="5"/>
  <c r="I359" i="5"/>
  <c r="E359" i="5"/>
  <c r="C359" i="5"/>
  <c r="D359" i="5" s="1"/>
  <c r="B359" i="5"/>
  <c r="T442" i="5"/>
  <c r="L442" i="5"/>
  <c r="M442" i="5" s="1"/>
  <c r="AV442" i="5" s="1"/>
  <c r="I442" i="5"/>
  <c r="E442" i="5"/>
  <c r="C442" i="5"/>
  <c r="D442" i="5" s="1"/>
  <c r="B442" i="5"/>
  <c r="T308" i="5"/>
  <c r="L308" i="5"/>
  <c r="I308" i="5"/>
  <c r="E308" i="5"/>
  <c r="C308" i="5"/>
  <c r="D308" i="5" s="1"/>
  <c r="B308" i="5"/>
  <c r="T312" i="5"/>
  <c r="L312" i="5"/>
  <c r="I312" i="5"/>
  <c r="E312" i="5"/>
  <c r="C312" i="5"/>
  <c r="D312" i="5" s="1"/>
  <c r="B312" i="5"/>
  <c r="T313" i="5"/>
  <c r="L313" i="5"/>
  <c r="I313" i="5"/>
  <c r="E313" i="5"/>
  <c r="C313" i="5"/>
  <c r="D313" i="5" s="1"/>
  <c r="B313" i="5"/>
  <c r="T460" i="5"/>
  <c r="L460" i="5"/>
  <c r="I460" i="5"/>
  <c r="E460" i="5"/>
  <c r="C460" i="5"/>
  <c r="D460" i="5" s="1"/>
  <c r="B460" i="5"/>
  <c r="T342" i="5"/>
  <c r="L342" i="5"/>
  <c r="M342" i="5" s="1"/>
  <c r="AV342" i="5" s="1"/>
  <c r="I342" i="5"/>
  <c r="E342" i="5"/>
  <c r="C342" i="5"/>
  <c r="D342" i="5" s="1"/>
  <c r="B342" i="5"/>
  <c r="T309" i="5"/>
  <c r="L309" i="5"/>
  <c r="I309" i="5"/>
  <c r="E309" i="5"/>
  <c r="C309" i="5"/>
  <c r="D309" i="5" s="1"/>
  <c r="B309" i="5"/>
  <c r="T310" i="5"/>
  <c r="L310" i="5"/>
  <c r="I310" i="5"/>
  <c r="E310" i="5"/>
  <c r="C310" i="5"/>
  <c r="D310" i="5" s="1"/>
  <c r="B310" i="5"/>
  <c r="T336" i="5"/>
  <c r="L336" i="5"/>
  <c r="M336" i="5" s="1"/>
  <c r="AV336" i="5" s="1"/>
  <c r="I336" i="5"/>
  <c r="E336" i="5"/>
  <c r="C336" i="5"/>
  <c r="D336" i="5" s="1"/>
  <c r="B336" i="5"/>
  <c r="X301" i="5"/>
  <c r="T301" i="5"/>
  <c r="L301" i="5"/>
  <c r="I301" i="5"/>
  <c r="E301" i="5"/>
  <c r="C301" i="5"/>
  <c r="D301" i="5" s="1"/>
  <c r="B301" i="5"/>
  <c r="T354" i="5"/>
  <c r="L354" i="5"/>
  <c r="I354" i="5"/>
  <c r="E354" i="5"/>
  <c r="C354" i="5"/>
  <c r="D354" i="5" s="1"/>
  <c r="B354" i="5"/>
  <c r="T418" i="5"/>
  <c r="L418" i="5"/>
  <c r="M418" i="5" s="1"/>
  <c r="AV418" i="5" s="1"/>
  <c r="I418" i="5"/>
  <c r="E418" i="5"/>
  <c r="CD418" i="5" s="1"/>
  <c r="C418" i="5"/>
  <c r="D418" i="5" s="1"/>
  <c r="B418" i="5"/>
  <c r="T466" i="5"/>
  <c r="L466" i="5"/>
  <c r="I466" i="5"/>
  <c r="E466" i="5"/>
  <c r="C466" i="5"/>
  <c r="D466" i="5" s="1"/>
  <c r="B466" i="5"/>
  <c r="T465" i="5"/>
  <c r="L465" i="5"/>
  <c r="I465" i="5"/>
  <c r="E465" i="5"/>
  <c r="C465" i="5"/>
  <c r="D465" i="5" s="1"/>
  <c r="B465" i="5"/>
  <c r="T461" i="5"/>
  <c r="L461" i="5"/>
  <c r="I461" i="5"/>
  <c r="E461" i="5"/>
  <c r="C461" i="5"/>
  <c r="D461" i="5" s="1"/>
  <c r="B461" i="5"/>
  <c r="T311" i="5"/>
  <c r="L311" i="5"/>
  <c r="M311" i="5" s="1"/>
  <c r="AV311" i="5" s="1"/>
  <c r="I311" i="5"/>
  <c r="E311" i="5"/>
  <c r="CD311" i="5" s="1"/>
  <c r="C311" i="5"/>
  <c r="D311" i="5" s="1"/>
  <c r="B311" i="5"/>
  <c r="T297" i="5"/>
  <c r="L297" i="5"/>
  <c r="I297" i="5"/>
  <c r="E297" i="5"/>
  <c r="C297" i="5"/>
  <c r="D297" i="5" s="1"/>
  <c r="B297" i="5"/>
  <c r="T337" i="5"/>
  <c r="L337" i="5"/>
  <c r="I337" i="5"/>
  <c r="E337" i="5"/>
  <c r="C337" i="5"/>
  <c r="D337" i="5" s="1"/>
  <c r="B337" i="5"/>
  <c r="T358" i="5"/>
  <c r="L358" i="5"/>
  <c r="M358" i="5" s="1"/>
  <c r="AV358" i="5" s="1"/>
  <c r="I358" i="5"/>
  <c r="E358" i="5"/>
  <c r="C358" i="5"/>
  <c r="D358" i="5" s="1"/>
  <c r="B358" i="5"/>
  <c r="X451" i="5"/>
  <c r="T451" i="5"/>
  <c r="L451" i="5"/>
  <c r="M451" i="5" s="1"/>
  <c r="AV451" i="5" s="1"/>
  <c r="I451" i="5"/>
  <c r="E451" i="5"/>
  <c r="C451" i="5"/>
  <c r="D451" i="5" s="1"/>
  <c r="B451" i="5"/>
  <c r="T453" i="5"/>
  <c r="L453" i="5"/>
  <c r="I453" i="5"/>
  <c r="E453" i="5"/>
  <c r="C453" i="5"/>
  <c r="D453" i="5" s="1"/>
  <c r="B453" i="5"/>
  <c r="T378" i="5"/>
  <c r="L378" i="5"/>
  <c r="I378" i="5"/>
  <c r="E378" i="5"/>
  <c r="C378" i="5"/>
  <c r="D378" i="5" s="1"/>
  <c r="B378" i="5"/>
  <c r="T343" i="5"/>
  <c r="L343" i="5"/>
  <c r="M343" i="5" s="1"/>
  <c r="AV343" i="5" s="1"/>
  <c r="I343" i="5"/>
  <c r="E343" i="5"/>
  <c r="C343" i="5"/>
  <c r="D343" i="5" s="1"/>
  <c r="B343" i="5"/>
  <c r="T318" i="5"/>
  <c r="L318" i="5"/>
  <c r="M318" i="5" s="1"/>
  <c r="AV318" i="5" s="1"/>
  <c r="I318" i="5"/>
  <c r="E318" i="5"/>
  <c r="C318" i="5"/>
  <c r="D318" i="5" s="1"/>
  <c r="B318" i="5"/>
  <c r="X414" i="5"/>
  <c r="T414" i="5"/>
  <c r="L414" i="5"/>
  <c r="I414" i="5"/>
  <c r="E414" i="5"/>
  <c r="CD414" i="5" s="1"/>
  <c r="C414" i="5"/>
  <c r="D414" i="5" s="1"/>
  <c r="B414" i="5"/>
  <c r="T334" i="5"/>
  <c r="L334" i="5"/>
  <c r="I334" i="5"/>
  <c r="E334" i="5"/>
  <c r="C334" i="5"/>
  <c r="D334" i="5" s="1"/>
  <c r="B334" i="5"/>
  <c r="X492" i="5"/>
  <c r="T492" i="5"/>
  <c r="L492" i="5"/>
  <c r="I492" i="5"/>
  <c r="E492" i="5"/>
  <c r="C492" i="5"/>
  <c r="D492" i="5" s="1"/>
  <c r="B492" i="5"/>
  <c r="T443" i="5"/>
  <c r="L443" i="5"/>
  <c r="M443" i="5" s="1"/>
  <c r="AV443" i="5" s="1"/>
  <c r="I443" i="5"/>
  <c r="E443" i="5"/>
  <c r="C443" i="5"/>
  <c r="D443" i="5" s="1"/>
  <c r="B443" i="5"/>
  <c r="T454" i="5"/>
  <c r="L454" i="5"/>
  <c r="M454" i="5" s="1"/>
  <c r="AV454" i="5" s="1"/>
  <c r="I454" i="5"/>
  <c r="E454" i="5"/>
  <c r="C454" i="5"/>
  <c r="D454" i="5" s="1"/>
  <c r="B454" i="5"/>
  <c r="T319" i="5"/>
  <c r="L319" i="5"/>
  <c r="I319" i="5"/>
  <c r="E319" i="5"/>
  <c r="C319" i="5"/>
  <c r="D319" i="5" s="1"/>
  <c r="B319" i="5"/>
  <c r="T344" i="5"/>
  <c r="L344" i="5"/>
  <c r="I344" i="5"/>
  <c r="E344" i="5"/>
  <c r="C344" i="5"/>
  <c r="D344" i="5" s="1"/>
  <c r="B344" i="5"/>
  <c r="T328" i="5"/>
  <c r="L328" i="5"/>
  <c r="M328" i="5" s="1"/>
  <c r="AV328" i="5" s="1"/>
  <c r="I328" i="5"/>
  <c r="E328" i="5"/>
  <c r="C328" i="5"/>
  <c r="D328" i="5" s="1"/>
  <c r="B328" i="5"/>
  <c r="X452" i="5"/>
  <c r="T452" i="5"/>
  <c r="L452" i="5"/>
  <c r="I452" i="5"/>
  <c r="E452" i="5"/>
  <c r="C452" i="5"/>
  <c r="D452" i="5" s="1"/>
  <c r="B452" i="5"/>
  <c r="T335" i="5"/>
  <c r="L335" i="5"/>
  <c r="I335" i="5"/>
  <c r="E335" i="5"/>
  <c r="CD335" i="5" s="1"/>
  <c r="C335" i="5"/>
  <c r="D335" i="5" s="1"/>
  <c r="B335" i="5"/>
  <c r="T540" i="5"/>
  <c r="L540" i="5"/>
  <c r="I540" i="5"/>
  <c r="E540" i="5"/>
  <c r="C540" i="5"/>
  <c r="D540" i="5" s="1"/>
  <c r="B540" i="5"/>
  <c r="T394" i="5"/>
  <c r="L394" i="5"/>
  <c r="M394" i="5" s="1"/>
  <c r="AV394" i="5" s="1"/>
  <c r="I394" i="5"/>
  <c r="E394" i="5"/>
  <c r="C394" i="5"/>
  <c r="D394" i="5" s="1"/>
  <c r="B394" i="5"/>
  <c r="T345" i="5"/>
  <c r="L345" i="5"/>
  <c r="I345" i="5"/>
  <c r="E345" i="5"/>
  <c r="C345" i="5"/>
  <c r="D345" i="5" s="1"/>
  <c r="B345" i="5"/>
  <c r="T509" i="5"/>
  <c r="L509" i="5"/>
  <c r="I509" i="5"/>
  <c r="E509" i="5"/>
  <c r="CD509" i="5" s="1"/>
  <c r="C509" i="5"/>
  <c r="D509" i="5" s="1"/>
  <c r="B509" i="5"/>
  <c r="T416" i="5"/>
  <c r="L416" i="5"/>
  <c r="M416" i="5" s="1"/>
  <c r="AV416" i="5" s="1"/>
  <c r="I416" i="5"/>
  <c r="E416" i="5"/>
  <c r="C416" i="5"/>
  <c r="D416" i="5" s="1"/>
  <c r="B416" i="5"/>
  <c r="T503" i="5"/>
  <c r="L503" i="5"/>
  <c r="M503" i="5" s="1"/>
  <c r="AV503" i="5" s="1"/>
  <c r="I503" i="5"/>
  <c r="E503" i="5"/>
  <c r="C503" i="5"/>
  <c r="D503" i="5" s="1"/>
  <c r="B503" i="5"/>
  <c r="T510" i="5"/>
  <c r="L510" i="5"/>
  <c r="I510" i="5"/>
  <c r="E510" i="5"/>
  <c r="C510" i="5"/>
  <c r="D510" i="5" s="1"/>
  <c r="B510" i="5"/>
  <c r="T475" i="5"/>
  <c r="L475" i="5"/>
  <c r="I475" i="5"/>
  <c r="E475" i="5"/>
  <c r="C475" i="5"/>
  <c r="D475" i="5" s="1"/>
  <c r="B475" i="5"/>
  <c r="T417" i="5"/>
  <c r="L417" i="5"/>
  <c r="I417" i="5"/>
  <c r="E417" i="5"/>
  <c r="C417" i="5"/>
  <c r="D417" i="5" s="1"/>
  <c r="B417" i="5"/>
  <c r="T395" i="5"/>
  <c r="L395" i="5"/>
  <c r="M395" i="5" s="1"/>
  <c r="AV395" i="5" s="1"/>
  <c r="I395" i="5"/>
  <c r="E395" i="5"/>
  <c r="C395" i="5"/>
  <c r="D395" i="5" s="1"/>
  <c r="B395" i="5"/>
  <c r="T476" i="5"/>
  <c r="L476" i="5"/>
  <c r="I476" i="5"/>
  <c r="E476" i="5"/>
  <c r="C476" i="5"/>
  <c r="D476" i="5" s="1"/>
  <c r="B476" i="5"/>
  <c r="T504" i="5"/>
  <c r="L504" i="5"/>
  <c r="I504" i="5"/>
  <c r="E504" i="5"/>
  <c r="C504" i="5"/>
  <c r="D504" i="5" s="1"/>
  <c r="B504" i="5"/>
  <c r="X415" i="5"/>
  <c r="T415" i="5"/>
  <c r="L415" i="5"/>
  <c r="I415" i="5"/>
  <c r="E415" i="5"/>
  <c r="C415" i="5"/>
  <c r="D415" i="5" s="1"/>
  <c r="B415" i="5"/>
  <c r="T329" i="5"/>
  <c r="L329" i="5"/>
  <c r="M329" i="5" s="1"/>
  <c r="AV329" i="5" s="1"/>
  <c r="I329" i="5"/>
  <c r="E329" i="5"/>
  <c r="C329" i="5"/>
  <c r="D329" i="5" s="1"/>
  <c r="B329" i="5"/>
  <c r="T396" i="5"/>
  <c r="L396" i="5"/>
  <c r="I396" i="5"/>
  <c r="E396" i="5"/>
  <c r="C396" i="5"/>
  <c r="D396" i="5" s="1"/>
  <c r="B396" i="5"/>
  <c r="T348" i="5"/>
  <c r="L348" i="5"/>
  <c r="I348" i="5"/>
  <c r="E348" i="5"/>
  <c r="C348" i="5"/>
  <c r="D348" i="5" s="1"/>
  <c r="B348" i="5"/>
  <c r="T392" i="5"/>
  <c r="L392" i="5"/>
  <c r="I392" i="5"/>
  <c r="E392" i="5"/>
  <c r="C392" i="5"/>
  <c r="D392" i="5" s="1"/>
  <c r="B392" i="5"/>
  <c r="T349" i="5"/>
  <c r="L349" i="5"/>
  <c r="I349" i="5"/>
  <c r="E349" i="5"/>
  <c r="C349" i="5"/>
  <c r="D349" i="5" s="1"/>
  <c r="B349" i="5"/>
  <c r="T291" i="5"/>
  <c r="L291" i="5"/>
  <c r="I291" i="5"/>
  <c r="E291" i="5"/>
  <c r="C291" i="5"/>
  <c r="D291" i="5" s="1"/>
  <c r="B291" i="5"/>
  <c r="T338" i="5"/>
  <c r="L338" i="5"/>
  <c r="I338" i="5"/>
  <c r="E338" i="5"/>
  <c r="C338" i="5"/>
  <c r="D338" i="5" s="1"/>
  <c r="B338" i="5"/>
  <c r="T393" i="5"/>
  <c r="L393" i="5"/>
  <c r="M393" i="5" s="1"/>
  <c r="AV393" i="5" s="1"/>
  <c r="I393" i="5"/>
  <c r="E393" i="5"/>
  <c r="C393" i="5"/>
  <c r="D393" i="5" s="1"/>
  <c r="B393" i="5"/>
  <c r="T390" i="5"/>
  <c r="L390" i="5"/>
  <c r="M390" i="5" s="1"/>
  <c r="AV390" i="5" s="1"/>
  <c r="I390" i="5"/>
  <c r="E390" i="5"/>
  <c r="C390" i="5"/>
  <c r="D390" i="5" s="1"/>
  <c r="B390" i="5"/>
  <c r="T292" i="5"/>
  <c r="L292" i="5"/>
  <c r="I292" i="5"/>
  <c r="E292" i="5"/>
  <c r="C292" i="5"/>
  <c r="D292" i="5" s="1"/>
  <c r="B292" i="5"/>
  <c r="T526" i="5"/>
  <c r="L526" i="5"/>
  <c r="I526" i="5"/>
  <c r="E526" i="5"/>
  <c r="C526" i="5"/>
  <c r="D526" i="5" s="1"/>
  <c r="B526" i="5"/>
  <c r="T391" i="5"/>
  <c r="L391" i="5"/>
  <c r="I391" i="5"/>
  <c r="E391" i="5"/>
  <c r="C391" i="5"/>
  <c r="D391" i="5" s="1"/>
  <c r="B391" i="5"/>
  <c r="T527" i="5"/>
  <c r="L527" i="5"/>
  <c r="I527" i="5"/>
  <c r="E527" i="5"/>
  <c r="C527" i="5"/>
  <c r="D527" i="5" s="1"/>
  <c r="T523" i="5"/>
  <c r="L523" i="5"/>
  <c r="I523" i="5"/>
  <c r="E523" i="5"/>
  <c r="C523" i="5"/>
  <c r="D523" i="5" s="1"/>
  <c r="B523" i="5"/>
  <c r="T330" i="5"/>
  <c r="L330" i="5"/>
  <c r="M330" i="5" s="1"/>
  <c r="AV330" i="5" s="1"/>
  <c r="I330" i="5"/>
  <c r="E330" i="5"/>
  <c r="C330" i="5"/>
  <c r="D330" i="5" s="1"/>
  <c r="B330" i="5"/>
  <c r="T339" i="5"/>
  <c r="L339" i="5"/>
  <c r="M339" i="5" s="1"/>
  <c r="AV339" i="5" s="1"/>
  <c r="I339" i="5"/>
  <c r="E339" i="5"/>
  <c r="C339" i="5"/>
  <c r="D339" i="5" s="1"/>
  <c r="B339" i="5"/>
  <c r="T404" i="5"/>
  <c r="L404" i="5"/>
  <c r="I404" i="5"/>
  <c r="E404" i="5"/>
  <c r="C404" i="5"/>
  <c r="D404" i="5" s="1"/>
  <c r="B404" i="5"/>
  <c r="T444" i="5"/>
  <c r="L444" i="5"/>
  <c r="I444" i="5"/>
  <c r="E444" i="5"/>
  <c r="C444" i="5"/>
  <c r="D444" i="5" s="1"/>
  <c r="B444" i="5"/>
  <c r="T467" i="5"/>
  <c r="I467" i="5"/>
  <c r="E467" i="5"/>
  <c r="C467" i="5"/>
  <c r="D467" i="5" s="1"/>
  <c r="B467" i="5"/>
  <c r="T340" i="5"/>
  <c r="I340" i="5"/>
  <c r="E340" i="5"/>
  <c r="C340" i="5"/>
  <c r="D340" i="5" s="1"/>
  <c r="B340" i="5"/>
  <c r="T524" i="5"/>
  <c r="I524" i="5"/>
  <c r="E524" i="5"/>
  <c r="C524" i="5"/>
  <c r="D524" i="5" s="1"/>
  <c r="B524" i="5"/>
  <c r="T283" i="5"/>
  <c r="R283" i="5"/>
  <c r="AY283" i="5" s="1"/>
  <c r="I283" i="5"/>
  <c r="E283" i="5"/>
  <c r="C283" i="5"/>
  <c r="D283" i="5" s="1"/>
  <c r="B283" i="5"/>
  <c r="T445" i="5"/>
  <c r="R445" i="5"/>
  <c r="AY445" i="5" s="1"/>
  <c r="I445" i="5"/>
  <c r="E445" i="5"/>
  <c r="C445" i="5"/>
  <c r="D445" i="5" s="1"/>
  <c r="B445" i="5"/>
  <c r="T405" i="5"/>
  <c r="I405" i="5"/>
  <c r="E405" i="5"/>
  <c r="C405" i="5"/>
  <c r="D405" i="5" s="1"/>
  <c r="B405" i="5"/>
  <c r="T341" i="5"/>
  <c r="N341" i="5"/>
  <c r="I341" i="5"/>
  <c r="E341" i="5"/>
  <c r="C341" i="5"/>
  <c r="D341" i="5" s="1"/>
  <c r="B341" i="5"/>
  <c r="T468" i="5"/>
  <c r="I468" i="5"/>
  <c r="E468" i="5"/>
  <c r="C468" i="5"/>
  <c r="D468" i="5" s="1"/>
  <c r="B468" i="5"/>
  <c r="X346" i="5"/>
  <c r="T346" i="5"/>
  <c r="N346" i="5"/>
  <c r="I346" i="5"/>
  <c r="E346" i="5"/>
  <c r="C346" i="5"/>
  <c r="D346" i="5" s="1"/>
  <c r="B346" i="5"/>
  <c r="X347" i="5"/>
  <c r="T347" i="5"/>
  <c r="I347" i="5"/>
  <c r="E347" i="5"/>
  <c r="C347" i="5"/>
  <c r="D347" i="5" s="1"/>
  <c r="B347" i="5"/>
  <c r="T352" i="5"/>
  <c r="R352" i="5"/>
  <c r="AY352" i="5" s="1"/>
  <c r="I352" i="5"/>
  <c r="E352" i="5"/>
  <c r="C352" i="5"/>
  <c r="D352" i="5" s="1"/>
  <c r="B352" i="5"/>
  <c r="T382" i="5"/>
  <c r="I382" i="5"/>
  <c r="E382" i="5"/>
  <c r="C382" i="5"/>
  <c r="D382" i="5" s="1"/>
  <c r="B382" i="5"/>
  <c r="T406" i="5"/>
  <c r="I406" i="5"/>
  <c r="E406" i="5"/>
  <c r="C406" i="5"/>
  <c r="D406" i="5" s="1"/>
  <c r="B406" i="5"/>
  <c r="T407" i="5"/>
  <c r="I407" i="5"/>
  <c r="E407" i="5"/>
  <c r="C407" i="5"/>
  <c r="D407" i="5" s="1"/>
  <c r="B407" i="5"/>
  <c r="T353" i="5"/>
  <c r="I353" i="5"/>
  <c r="E353" i="5"/>
  <c r="C353" i="5"/>
  <c r="D353" i="5" s="1"/>
  <c r="B353" i="5"/>
  <c r="T284" i="5"/>
  <c r="I284" i="5"/>
  <c r="E284" i="5"/>
  <c r="C284" i="5"/>
  <c r="D284" i="5" s="1"/>
  <c r="B284" i="5"/>
  <c r="T298" i="5"/>
  <c r="R298" i="5"/>
  <c r="AY298" i="5" s="1"/>
  <c r="I298" i="5"/>
  <c r="E298" i="5"/>
  <c r="C298" i="5"/>
  <c r="D298" i="5" s="1"/>
  <c r="B298" i="5"/>
  <c r="U381" i="5"/>
  <c r="T381" i="5"/>
  <c r="I381" i="5"/>
  <c r="E381" i="5"/>
  <c r="C381" i="5"/>
  <c r="D381" i="5" s="1"/>
  <c r="T486" i="5"/>
  <c r="I486" i="5"/>
  <c r="E486" i="5"/>
  <c r="C486" i="5"/>
  <c r="D486" i="5" s="1"/>
  <c r="B486" i="5"/>
  <c r="T285" i="5"/>
  <c r="I285" i="5"/>
  <c r="E285" i="5"/>
  <c r="C285" i="5"/>
  <c r="D285" i="5" s="1"/>
  <c r="B285" i="5"/>
  <c r="T430" i="5"/>
  <c r="R430" i="5"/>
  <c r="AY430" i="5" s="1"/>
  <c r="I430" i="5"/>
  <c r="E430" i="5"/>
  <c r="C430" i="5"/>
  <c r="D430" i="5" s="1"/>
  <c r="B430" i="5"/>
  <c r="T379" i="5"/>
  <c r="I379" i="5"/>
  <c r="E379" i="5"/>
  <c r="C379" i="5"/>
  <c r="D379" i="5" s="1"/>
  <c r="B379" i="5"/>
  <c r="T299" i="5"/>
  <c r="I299" i="5"/>
  <c r="E299" i="5"/>
  <c r="C299" i="5"/>
  <c r="D299" i="5" s="1"/>
  <c r="B299" i="5"/>
  <c r="T487" i="5"/>
  <c r="I487" i="5"/>
  <c r="E487" i="5"/>
  <c r="C487" i="5"/>
  <c r="D487" i="5" s="1"/>
  <c r="B487" i="5"/>
  <c r="T446" i="5"/>
  <c r="N446" i="5"/>
  <c r="I446" i="5"/>
  <c r="E446" i="5"/>
  <c r="C446" i="5"/>
  <c r="D446" i="5" s="1"/>
  <c r="B446" i="5"/>
  <c r="T397" i="5"/>
  <c r="I397" i="5"/>
  <c r="E397" i="5"/>
  <c r="C397" i="5"/>
  <c r="D397" i="5" s="1"/>
  <c r="B397" i="5"/>
  <c r="T541" i="5"/>
  <c r="I541" i="5"/>
  <c r="E541" i="5"/>
  <c r="C541" i="5"/>
  <c r="D541" i="5" s="1"/>
  <c r="B541" i="5"/>
  <c r="T408" i="5"/>
  <c r="N408" i="5"/>
  <c r="I408" i="5"/>
  <c r="E408" i="5"/>
  <c r="C408" i="5"/>
  <c r="D408" i="5" s="1"/>
  <c r="B408" i="5"/>
  <c r="T542" i="5"/>
  <c r="N542" i="5"/>
  <c r="I542" i="5"/>
  <c r="E542" i="5"/>
  <c r="C542" i="5"/>
  <c r="D542" i="5" s="1"/>
  <c r="B542" i="5"/>
  <c r="T543" i="5"/>
  <c r="I543" i="5"/>
  <c r="E543" i="5"/>
  <c r="C543" i="5"/>
  <c r="D543" i="5" s="1"/>
  <c r="B543" i="5"/>
  <c r="X474" i="5"/>
  <c r="T474" i="5"/>
  <c r="I474" i="5"/>
  <c r="E474" i="5"/>
  <c r="C474" i="5"/>
  <c r="D474" i="5" s="1"/>
  <c r="B474" i="5"/>
  <c r="T488" i="5"/>
  <c r="I488" i="5"/>
  <c r="E488" i="5"/>
  <c r="C488" i="5"/>
  <c r="D488" i="5" s="1"/>
  <c r="B488" i="5"/>
  <c r="T489" i="5"/>
  <c r="N489" i="5"/>
  <c r="I489" i="5"/>
  <c r="E489" i="5"/>
  <c r="C489" i="5"/>
  <c r="D489" i="5" s="1"/>
  <c r="B489" i="5"/>
  <c r="T409" i="5"/>
  <c r="I409" i="5"/>
  <c r="E409" i="5"/>
  <c r="C409" i="5"/>
  <c r="D409" i="5" s="1"/>
  <c r="B409" i="5"/>
  <c r="T490" i="5"/>
  <c r="R490" i="5"/>
  <c r="AY490" i="5" s="1"/>
  <c r="I490" i="5"/>
  <c r="E490" i="5"/>
  <c r="C490" i="5"/>
  <c r="D490" i="5" s="1"/>
  <c r="B490" i="5"/>
  <c r="T436" i="5"/>
  <c r="I436" i="5"/>
  <c r="E436" i="5"/>
  <c r="C436" i="5"/>
  <c r="D436" i="5" s="1"/>
  <c r="B436" i="5"/>
  <c r="T525" i="5"/>
  <c r="I525" i="5"/>
  <c r="E525" i="5"/>
  <c r="C525" i="5"/>
  <c r="D525" i="5" s="1"/>
  <c r="B525" i="5"/>
  <c r="X290" i="5"/>
  <c r="T290" i="5"/>
  <c r="I290" i="5"/>
  <c r="E290" i="5"/>
  <c r="C290" i="5"/>
  <c r="D290" i="5" s="1"/>
  <c r="B290" i="5"/>
  <c r="T437" i="5"/>
  <c r="I437" i="5"/>
  <c r="E437" i="5"/>
  <c r="C437" i="5"/>
  <c r="D437" i="5" s="1"/>
  <c r="B437" i="5"/>
  <c r="T455" i="5"/>
  <c r="I455" i="5"/>
  <c r="E455" i="5"/>
  <c r="C455" i="5"/>
  <c r="D455" i="5" s="1"/>
  <c r="B455" i="5"/>
  <c r="T431" i="5"/>
  <c r="I431" i="5"/>
  <c r="E431" i="5"/>
  <c r="C431" i="5"/>
  <c r="D431" i="5" s="1"/>
  <c r="B431" i="5"/>
  <c r="T432" i="5"/>
  <c r="I432" i="5"/>
  <c r="E432" i="5"/>
  <c r="C432" i="5"/>
  <c r="D432" i="5" s="1"/>
  <c r="B432" i="5"/>
  <c r="T380" i="5"/>
  <c r="N380" i="5"/>
  <c r="I380" i="5"/>
  <c r="E380" i="5"/>
  <c r="C380" i="5"/>
  <c r="D380" i="5" s="1"/>
  <c r="B380" i="5"/>
  <c r="T456" i="5"/>
  <c r="N456" i="5"/>
  <c r="I456" i="5"/>
  <c r="E456" i="5"/>
  <c r="C456" i="5"/>
  <c r="D456" i="5" s="1"/>
  <c r="B456" i="5"/>
  <c r="T286" i="5"/>
  <c r="N286" i="5"/>
  <c r="I286" i="5"/>
  <c r="E286" i="5"/>
  <c r="C286" i="5"/>
  <c r="D286" i="5" s="1"/>
  <c r="B286" i="5"/>
  <c r="T278" i="5"/>
  <c r="I278" i="5"/>
  <c r="E278" i="5"/>
  <c r="C278" i="5"/>
  <c r="D278" i="5" s="1"/>
  <c r="B278" i="5"/>
  <c r="T282" i="5"/>
  <c r="I282" i="5"/>
  <c r="E282" i="5"/>
  <c r="C282" i="5"/>
  <c r="D282" i="5" s="1"/>
  <c r="B282" i="5"/>
  <c r="T425" i="5"/>
  <c r="I425" i="5"/>
  <c r="E425" i="5"/>
  <c r="C425" i="5"/>
  <c r="D425" i="5" s="1"/>
  <c r="B425" i="5"/>
  <c r="T426" i="5"/>
  <c r="I426" i="5"/>
  <c r="E426" i="5"/>
  <c r="C426" i="5"/>
  <c r="D426" i="5" s="1"/>
  <c r="B426" i="5"/>
  <c r="T427" i="5"/>
  <c r="I427" i="5"/>
  <c r="E427" i="5"/>
  <c r="C427" i="5"/>
  <c r="D427" i="5" s="1"/>
  <c r="B427" i="5"/>
  <c r="T438" i="5"/>
  <c r="I438" i="5"/>
  <c r="E438" i="5"/>
  <c r="C438" i="5"/>
  <c r="D438" i="5" s="1"/>
  <c r="T428" i="5"/>
  <c r="I428" i="5"/>
  <c r="E428" i="5"/>
  <c r="C428" i="5"/>
  <c r="D428" i="5" s="1"/>
  <c r="B428" i="5"/>
  <c r="T399" i="5"/>
  <c r="R399" i="5"/>
  <c r="AY399" i="5" s="1"/>
  <c r="I399" i="5"/>
  <c r="E399" i="5"/>
  <c r="C399" i="5"/>
  <c r="D399" i="5" s="1"/>
  <c r="B399" i="5"/>
  <c r="T320" i="5"/>
  <c r="I320" i="5"/>
  <c r="E320" i="5"/>
  <c r="C320" i="5"/>
  <c r="D320" i="5" s="1"/>
  <c r="B320" i="5"/>
  <c r="T433" i="5"/>
  <c r="I433" i="5"/>
  <c r="E433" i="5"/>
  <c r="C433" i="5"/>
  <c r="D433" i="5" s="1"/>
  <c r="B433" i="5"/>
  <c r="T398" i="5"/>
  <c r="I398" i="5"/>
  <c r="E398" i="5"/>
  <c r="C398" i="5"/>
  <c r="D398" i="5" s="1"/>
  <c r="B398" i="5"/>
  <c r="T321" i="5"/>
  <c r="I321" i="5"/>
  <c r="E321" i="5"/>
  <c r="C321" i="5"/>
  <c r="D321" i="5" s="1"/>
  <c r="B321" i="5"/>
  <c r="T331" i="5"/>
  <c r="I331" i="5"/>
  <c r="E331" i="5"/>
  <c r="C331" i="5"/>
  <c r="D331" i="5" s="1"/>
  <c r="B331" i="5"/>
  <c r="T457" i="5"/>
  <c r="R457" i="5"/>
  <c r="AY457" i="5" s="1"/>
  <c r="N457" i="5"/>
  <c r="I457" i="5"/>
  <c r="E457" i="5"/>
  <c r="C457" i="5"/>
  <c r="D457" i="5" s="1"/>
  <c r="B457" i="5"/>
  <c r="T294" i="5"/>
  <c r="R294" i="5"/>
  <c r="AY294" i="5" s="1"/>
  <c r="N294" i="5"/>
  <c r="I294" i="5"/>
  <c r="E294" i="5"/>
  <c r="C294" i="5"/>
  <c r="D294" i="5" s="1"/>
  <c r="B294" i="5"/>
  <c r="T332" i="5"/>
  <c r="I332" i="5"/>
  <c r="E332" i="5"/>
  <c r="C332" i="5"/>
  <c r="D332" i="5" s="1"/>
  <c r="B332" i="5"/>
  <c r="T242" i="5"/>
  <c r="N242" i="5"/>
  <c r="I242" i="5"/>
  <c r="E242" i="5"/>
  <c r="C242" i="5"/>
  <c r="D242" i="5" s="1"/>
  <c r="B242" i="5"/>
  <c r="T240" i="5"/>
  <c r="R240" i="5"/>
  <c r="N240" i="5"/>
  <c r="I240" i="5"/>
  <c r="E240" i="5"/>
  <c r="C240" i="5"/>
  <c r="D240" i="5" s="1"/>
  <c r="B240" i="5"/>
  <c r="T469" i="5"/>
  <c r="I469" i="5"/>
  <c r="E469" i="5"/>
  <c r="C469" i="5"/>
  <c r="D469" i="5" s="1"/>
  <c r="B469" i="5"/>
  <c r="T233" i="5"/>
  <c r="I233" i="5"/>
  <c r="E233" i="5"/>
  <c r="C233" i="5"/>
  <c r="D233" i="5" s="1"/>
  <c r="B233" i="5"/>
  <c r="X293" i="5"/>
  <c r="T293" i="5"/>
  <c r="I293" i="5"/>
  <c r="E293" i="5"/>
  <c r="C293" i="5"/>
  <c r="D293" i="5" s="1"/>
  <c r="B293" i="5"/>
  <c r="T295" i="5"/>
  <c r="N295" i="5"/>
  <c r="I295" i="5"/>
  <c r="E295" i="5"/>
  <c r="C295" i="5"/>
  <c r="D295" i="5" s="1"/>
  <c r="B295" i="5"/>
  <c r="T491" i="5"/>
  <c r="I491" i="5"/>
  <c r="E491" i="5"/>
  <c r="C491" i="5"/>
  <c r="D491" i="5" s="1"/>
  <c r="B491" i="5"/>
  <c r="T300" i="5"/>
  <c r="I300" i="5"/>
  <c r="E300" i="5"/>
  <c r="C300" i="5"/>
  <c r="D300" i="5" s="1"/>
  <c r="B300" i="5"/>
  <c r="T306" i="5"/>
  <c r="R306" i="5"/>
  <c r="AY306" i="5" s="1"/>
  <c r="N306" i="5"/>
  <c r="I306" i="5"/>
  <c r="E306" i="5"/>
  <c r="C306" i="5"/>
  <c r="D306" i="5" s="1"/>
  <c r="B306" i="5"/>
  <c r="T230" i="5"/>
  <c r="N230" i="5"/>
  <c r="I230" i="5"/>
  <c r="E230" i="5"/>
  <c r="C230" i="5"/>
  <c r="D230" i="5" s="1"/>
  <c r="B230" i="5"/>
  <c r="T229" i="5"/>
  <c r="R229" i="5"/>
  <c r="N229" i="5"/>
  <c r="I229" i="5"/>
  <c r="E229" i="5"/>
  <c r="C229" i="5"/>
  <c r="D229" i="5" s="1"/>
  <c r="B229" i="5"/>
  <c r="T304" i="5"/>
  <c r="I304" i="5"/>
  <c r="E304" i="5"/>
  <c r="C304" i="5"/>
  <c r="D304" i="5" s="1"/>
  <c r="B304" i="5"/>
  <c r="T228" i="5"/>
  <c r="R228" i="5"/>
  <c r="N228" i="5"/>
  <c r="I228" i="5"/>
  <c r="E228" i="5"/>
  <c r="C228" i="5"/>
  <c r="D228" i="5" s="1"/>
  <c r="B228" i="5"/>
  <c r="T439" i="5"/>
  <c r="I439" i="5"/>
  <c r="E439" i="5"/>
  <c r="C439" i="5"/>
  <c r="D439" i="5" s="1"/>
  <c r="B439" i="5"/>
  <c r="T434" i="5"/>
  <c r="I434" i="5"/>
  <c r="E434" i="5"/>
  <c r="C434" i="5"/>
  <c r="D434" i="5" s="1"/>
  <c r="B434" i="5"/>
  <c r="T305" i="5"/>
  <c r="I305" i="5"/>
  <c r="E305" i="5"/>
  <c r="C305" i="5"/>
  <c r="D305" i="5" s="1"/>
  <c r="B305" i="5"/>
  <c r="T410" i="5"/>
  <c r="I410" i="5"/>
  <c r="E410" i="5"/>
  <c r="C410" i="5"/>
  <c r="D410" i="5" s="1"/>
  <c r="B410" i="5"/>
  <c r="T224" i="5"/>
  <c r="N224" i="5"/>
  <c r="I224" i="5"/>
  <c r="E224" i="5"/>
  <c r="C224" i="5"/>
  <c r="D224" i="5" s="1"/>
  <c r="B224" i="5"/>
  <c r="T223" i="5"/>
  <c r="R223" i="5"/>
  <c r="N223" i="5"/>
  <c r="I223" i="5"/>
  <c r="E223" i="5"/>
  <c r="C223" i="5"/>
  <c r="D223" i="5" s="1"/>
  <c r="B223" i="5"/>
  <c r="T222" i="5"/>
  <c r="I222" i="5"/>
  <c r="E222" i="5"/>
  <c r="C222" i="5"/>
  <c r="D222" i="5" s="1"/>
  <c r="B222" i="5"/>
  <c r="T221" i="5"/>
  <c r="R221" i="5"/>
  <c r="N221" i="5"/>
  <c r="I221" i="5"/>
  <c r="E221" i="5"/>
  <c r="C221" i="5"/>
  <c r="D221" i="5" s="1"/>
  <c r="B221" i="5"/>
  <c r="T307" i="5"/>
  <c r="I307" i="5"/>
  <c r="E307" i="5"/>
  <c r="C307" i="5"/>
  <c r="D307" i="5" s="1"/>
  <c r="B307" i="5"/>
  <c r="T277" i="5"/>
  <c r="R277" i="5"/>
  <c r="N277" i="5"/>
  <c r="I277" i="5"/>
  <c r="E277" i="5"/>
  <c r="C277" i="5"/>
  <c r="D277" i="5" s="1"/>
  <c r="B277" i="5"/>
  <c r="T276" i="5"/>
  <c r="R276" i="5"/>
  <c r="N276" i="5"/>
  <c r="I276" i="5"/>
  <c r="E276" i="5"/>
  <c r="C276" i="5"/>
  <c r="D276" i="5" s="1"/>
  <c r="B276" i="5"/>
  <c r="T275" i="5"/>
  <c r="AQ275" i="5"/>
  <c r="N275" i="5"/>
  <c r="I275" i="5"/>
  <c r="E275" i="5"/>
  <c r="C275" i="5"/>
  <c r="D275" i="5" s="1"/>
  <c r="B275" i="5"/>
  <c r="T274" i="5"/>
  <c r="N274" i="5"/>
  <c r="R274" i="5"/>
  <c r="I274" i="5"/>
  <c r="E274" i="5"/>
  <c r="C274" i="5"/>
  <c r="D274" i="5" s="1"/>
  <c r="B274" i="5"/>
  <c r="T266" i="5"/>
  <c r="R266" i="5"/>
  <c r="N266" i="5"/>
  <c r="I266" i="5"/>
  <c r="E266" i="5"/>
  <c r="C266" i="5"/>
  <c r="D266" i="5" s="1"/>
  <c r="B266" i="5"/>
  <c r="T264" i="5"/>
  <c r="I264" i="5"/>
  <c r="E264" i="5"/>
  <c r="C264" i="5"/>
  <c r="D264" i="5" s="1"/>
  <c r="B264" i="5"/>
  <c r="T263" i="5"/>
  <c r="R263" i="5"/>
  <c r="I263" i="5"/>
  <c r="E263" i="5"/>
  <c r="C263" i="5"/>
  <c r="D263" i="5" s="1"/>
  <c r="B263" i="5"/>
  <c r="T220" i="5"/>
  <c r="I220" i="5"/>
  <c r="E220" i="5"/>
  <c r="C220" i="5"/>
  <c r="D220" i="5" s="1"/>
  <c r="B220" i="5"/>
  <c r="T261" i="5"/>
  <c r="R261" i="5"/>
  <c r="N261" i="5"/>
  <c r="I261" i="5"/>
  <c r="E261" i="5"/>
  <c r="C261" i="5"/>
  <c r="D261" i="5" s="1"/>
  <c r="B261" i="5"/>
  <c r="T273" i="5"/>
  <c r="I273" i="5"/>
  <c r="E273" i="5"/>
  <c r="C273" i="5"/>
  <c r="D273" i="5" s="1"/>
  <c r="B273" i="5"/>
  <c r="T272" i="5"/>
  <c r="R272" i="5"/>
  <c r="N272" i="5"/>
  <c r="I272" i="5"/>
  <c r="E272" i="5"/>
  <c r="C272" i="5"/>
  <c r="D272" i="5" s="1"/>
  <c r="B272" i="5"/>
  <c r="T259" i="5"/>
  <c r="R259" i="5"/>
  <c r="N259" i="5"/>
  <c r="I259" i="5"/>
  <c r="E259" i="5"/>
  <c r="C259" i="5"/>
  <c r="D259" i="5" s="1"/>
  <c r="B259" i="5"/>
  <c r="T271" i="5"/>
  <c r="AQ271" i="5"/>
  <c r="N271" i="5"/>
  <c r="I271" i="5"/>
  <c r="E271" i="5"/>
  <c r="C271" i="5"/>
  <c r="D271" i="5" s="1"/>
  <c r="B271" i="5"/>
  <c r="T219" i="5"/>
  <c r="I219" i="5"/>
  <c r="E219" i="5"/>
  <c r="C219" i="5"/>
  <c r="D219" i="5" s="1"/>
  <c r="B219" i="5"/>
  <c r="U270" i="5"/>
  <c r="T270" i="5"/>
  <c r="R270" i="5"/>
  <c r="N270" i="5"/>
  <c r="I270" i="5"/>
  <c r="E270" i="5"/>
  <c r="C270" i="5"/>
  <c r="D270" i="5" s="1"/>
  <c r="T269" i="5"/>
  <c r="R269" i="5"/>
  <c r="N269" i="5"/>
  <c r="I269" i="5"/>
  <c r="E269" i="5"/>
  <c r="C269" i="5"/>
  <c r="D269" i="5" s="1"/>
  <c r="B269" i="5"/>
  <c r="T268" i="5"/>
  <c r="R268" i="5"/>
  <c r="N268" i="5"/>
  <c r="I268" i="5"/>
  <c r="E268" i="5"/>
  <c r="C268" i="5"/>
  <c r="D268" i="5" s="1"/>
  <c r="B268" i="5"/>
  <c r="T255" i="5"/>
  <c r="R255" i="5"/>
  <c r="N255" i="5"/>
  <c r="I255" i="5"/>
  <c r="E255" i="5"/>
  <c r="C255" i="5"/>
  <c r="D255" i="5" s="1"/>
  <c r="B255" i="5"/>
  <c r="T267" i="5"/>
  <c r="R267" i="5"/>
  <c r="N267" i="5"/>
  <c r="I267" i="5"/>
  <c r="E267" i="5"/>
  <c r="C267" i="5"/>
  <c r="D267" i="5" s="1"/>
  <c r="B267" i="5"/>
  <c r="U265" i="5"/>
  <c r="T265" i="5"/>
  <c r="R265" i="5"/>
  <c r="N265" i="5"/>
  <c r="I265" i="5"/>
  <c r="E265" i="5"/>
  <c r="C265" i="5"/>
  <c r="D265" i="5" s="1"/>
  <c r="T218" i="5"/>
  <c r="I218" i="5"/>
  <c r="E218" i="5"/>
  <c r="C218" i="5"/>
  <c r="D218" i="5" s="1"/>
  <c r="B218" i="5"/>
  <c r="T252" i="5"/>
  <c r="I252" i="5"/>
  <c r="E252" i="5"/>
  <c r="C252" i="5"/>
  <c r="D252" i="5" s="1"/>
  <c r="B252" i="5"/>
  <c r="T249" i="5"/>
  <c r="I249" i="5"/>
  <c r="E249" i="5"/>
  <c r="C249" i="5"/>
  <c r="D249" i="5" s="1"/>
  <c r="B249" i="5"/>
  <c r="T262" i="5"/>
  <c r="R262" i="5"/>
  <c r="I262" i="5"/>
  <c r="E262" i="5"/>
  <c r="C262" i="5"/>
  <c r="D262" i="5" s="1"/>
  <c r="B262" i="5"/>
  <c r="T260" i="5"/>
  <c r="R260" i="5"/>
  <c r="N260" i="5"/>
  <c r="I260" i="5"/>
  <c r="E260" i="5"/>
  <c r="C260" i="5"/>
  <c r="D260" i="5" s="1"/>
  <c r="B260" i="5"/>
  <c r="T258" i="5"/>
  <c r="N258" i="5"/>
  <c r="I258" i="5"/>
  <c r="E258" i="5"/>
  <c r="C258" i="5"/>
  <c r="D258" i="5" s="1"/>
  <c r="B258" i="5"/>
  <c r="T217" i="5"/>
  <c r="N217" i="5"/>
  <c r="I217" i="5"/>
  <c r="E217" i="5"/>
  <c r="C217" i="5"/>
  <c r="D217" i="5" s="1"/>
  <c r="B217" i="5"/>
  <c r="T257" i="5"/>
  <c r="R257" i="5"/>
  <c r="N257" i="5"/>
  <c r="I257" i="5"/>
  <c r="E257" i="5"/>
  <c r="C257" i="5"/>
  <c r="D257" i="5" s="1"/>
  <c r="B257" i="5"/>
  <c r="T256" i="5"/>
  <c r="R256" i="5"/>
  <c r="N256" i="5"/>
  <c r="I256" i="5"/>
  <c r="E256" i="5"/>
  <c r="C256" i="5"/>
  <c r="D256" i="5" s="1"/>
  <c r="B256" i="5"/>
  <c r="T216" i="5"/>
  <c r="I216" i="5"/>
  <c r="E216" i="5"/>
  <c r="C216" i="5"/>
  <c r="D216" i="5" s="1"/>
  <c r="B216" i="5"/>
  <c r="T254" i="5"/>
  <c r="I254" i="5"/>
  <c r="E254" i="5"/>
  <c r="C254" i="5"/>
  <c r="D254" i="5" s="1"/>
  <c r="B254" i="5"/>
  <c r="T253" i="5"/>
  <c r="R253" i="5"/>
  <c r="N253" i="5"/>
  <c r="I253" i="5"/>
  <c r="E253" i="5"/>
  <c r="C253" i="5"/>
  <c r="D253" i="5" s="1"/>
  <c r="B253" i="5"/>
  <c r="T215" i="5"/>
  <c r="R215" i="5"/>
  <c r="N215" i="5"/>
  <c r="I215" i="5"/>
  <c r="E215" i="5"/>
  <c r="C215" i="5"/>
  <c r="D215" i="5" s="1"/>
  <c r="B215" i="5"/>
  <c r="T214" i="5"/>
  <c r="I214" i="5"/>
  <c r="E214" i="5"/>
  <c r="C214" i="5"/>
  <c r="D214" i="5" s="1"/>
  <c r="B214" i="5"/>
  <c r="T251" i="5"/>
  <c r="I251" i="5"/>
  <c r="E251" i="5"/>
  <c r="C251" i="5"/>
  <c r="D251" i="5" s="1"/>
  <c r="B251" i="5"/>
  <c r="T250" i="5"/>
  <c r="R250" i="5"/>
  <c r="N250" i="5"/>
  <c r="I250" i="5"/>
  <c r="E250" i="5"/>
  <c r="C250" i="5"/>
  <c r="D250" i="5" s="1"/>
  <c r="B250" i="5"/>
  <c r="T248" i="5"/>
  <c r="R248" i="5"/>
  <c r="N248" i="5"/>
  <c r="I248" i="5"/>
  <c r="E248" i="5"/>
  <c r="C248" i="5"/>
  <c r="D248" i="5" s="1"/>
  <c r="B248" i="5"/>
  <c r="T247" i="5"/>
  <c r="I247" i="5"/>
  <c r="E247" i="5"/>
  <c r="C247" i="5"/>
  <c r="D247" i="5" s="1"/>
  <c r="B247" i="5"/>
  <c r="T246" i="5"/>
  <c r="N246" i="5"/>
  <c r="I246" i="5"/>
  <c r="E246" i="5"/>
  <c r="C246" i="5"/>
  <c r="D246" i="5" s="1"/>
  <c r="B246" i="5"/>
  <c r="T245" i="5"/>
  <c r="N245" i="5"/>
  <c r="I245" i="5"/>
  <c r="E245" i="5"/>
  <c r="C245" i="5"/>
  <c r="D245" i="5" s="1"/>
  <c r="B245" i="5"/>
  <c r="T244" i="5"/>
  <c r="R244" i="5"/>
  <c r="N244" i="5"/>
  <c r="I244" i="5"/>
  <c r="E244" i="5"/>
  <c r="C244" i="5"/>
  <c r="D244" i="5" s="1"/>
  <c r="B244" i="5"/>
  <c r="T243" i="5"/>
  <c r="R243" i="5"/>
  <c r="N243" i="5"/>
  <c r="I243" i="5"/>
  <c r="E243" i="5"/>
  <c r="C243" i="5"/>
  <c r="D243" i="5" s="1"/>
  <c r="B243" i="5"/>
  <c r="T241" i="5"/>
  <c r="I241" i="5"/>
  <c r="E241" i="5"/>
  <c r="C241" i="5"/>
  <c r="D241" i="5" s="1"/>
  <c r="B241" i="5"/>
  <c r="T239" i="5"/>
  <c r="N239" i="5"/>
  <c r="I239" i="5"/>
  <c r="E239" i="5"/>
  <c r="C239" i="5"/>
  <c r="D239" i="5" s="1"/>
  <c r="B239" i="5"/>
  <c r="T238" i="5"/>
  <c r="R238" i="5"/>
  <c r="N238" i="5"/>
  <c r="I238" i="5"/>
  <c r="E238" i="5"/>
  <c r="C238" i="5"/>
  <c r="D238" i="5" s="1"/>
  <c r="B238" i="5"/>
  <c r="T237" i="5"/>
  <c r="I237" i="5"/>
  <c r="E237" i="5"/>
  <c r="C237" i="5"/>
  <c r="D237" i="5" s="1"/>
  <c r="B237" i="5"/>
  <c r="T236" i="5"/>
  <c r="N236" i="5"/>
  <c r="I236" i="5"/>
  <c r="E236" i="5"/>
  <c r="C236" i="5"/>
  <c r="D236" i="5" s="1"/>
  <c r="B236" i="5"/>
  <c r="T235" i="5"/>
  <c r="R235" i="5"/>
  <c r="N235" i="5"/>
  <c r="I235" i="5"/>
  <c r="E235" i="5"/>
  <c r="C235" i="5"/>
  <c r="D235" i="5" s="1"/>
  <c r="B235" i="5"/>
  <c r="X234" i="5"/>
  <c r="W234" i="5"/>
  <c r="T234" i="5"/>
  <c r="R234" i="5"/>
  <c r="N234" i="5"/>
  <c r="I234" i="5"/>
  <c r="E234" i="5"/>
  <c r="C234" i="5"/>
  <c r="D234" i="5" s="1"/>
  <c r="B234" i="5"/>
  <c r="T232" i="5"/>
  <c r="N232" i="5"/>
  <c r="R232" i="5"/>
  <c r="I232" i="5"/>
  <c r="E232" i="5"/>
  <c r="C232" i="5"/>
  <c r="D232" i="5" s="1"/>
  <c r="B232" i="5"/>
  <c r="T231" i="5"/>
  <c r="R231" i="5"/>
  <c r="N231" i="5"/>
  <c r="I231" i="5"/>
  <c r="E231" i="5"/>
  <c r="C231" i="5"/>
  <c r="D231" i="5" s="1"/>
  <c r="B231" i="5"/>
  <c r="T227" i="5"/>
  <c r="R227" i="5"/>
  <c r="N227" i="5"/>
  <c r="I227" i="5"/>
  <c r="E227" i="5"/>
  <c r="C227" i="5"/>
  <c r="D227" i="5" s="1"/>
  <c r="B227" i="5"/>
  <c r="T226" i="5"/>
  <c r="R226" i="5"/>
  <c r="N226" i="5"/>
  <c r="I226" i="5"/>
  <c r="E226" i="5"/>
  <c r="C226" i="5"/>
  <c r="D226" i="5" s="1"/>
  <c r="B226" i="5"/>
  <c r="T225" i="5"/>
  <c r="R225" i="5"/>
  <c r="N225" i="5"/>
  <c r="I225" i="5"/>
  <c r="E225" i="5"/>
  <c r="C225" i="5"/>
  <c r="D225" i="5" s="1"/>
  <c r="B225" i="5"/>
  <c r="T213" i="5"/>
  <c r="L213" i="5"/>
  <c r="M213" i="5" s="1"/>
  <c r="AV213" i="5" s="1"/>
  <c r="I213" i="5"/>
  <c r="E213" i="5"/>
  <c r="C213" i="5"/>
  <c r="D213" i="5" s="1"/>
  <c r="B213" i="5"/>
  <c r="T212" i="5"/>
  <c r="L212" i="5"/>
  <c r="M212" i="5" s="1"/>
  <c r="AV212" i="5" s="1"/>
  <c r="I212" i="5"/>
  <c r="E212" i="5"/>
  <c r="C212" i="5"/>
  <c r="D212" i="5" s="1"/>
  <c r="B212" i="5"/>
  <c r="T211" i="5"/>
  <c r="L211" i="5"/>
  <c r="M211" i="5" s="1"/>
  <c r="AV211" i="5" s="1"/>
  <c r="I211" i="5"/>
  <c r="E211" i="5"/>
  <c r="C211" i="5"/>
  <c r="D211" i="5" s="1"/>
  <c r="B211" i="5"/>
  <c r="T210" i="5"/>
  <c r="L210" i="5"/>
  <c r="M210" i="5" s="1"/>
  <c r="AV210" i="5" s="1"/>
  <c r="I210" i="5"/>
  <c r="E210" i="5"/>
  <c r="C210" i="5"/>
  <c r="D210" i="5" s="1"/>
  <c r="B210" i="5"/>
  <c r="T209" i="5"/>
  <c r="L209" i="5"/>
  <c r="M209" i="5" s="1"/>
  <c r="AV209" i="5" s="1"/>
  <c r="I209" i="5"/>
  <c r="E209" i="5"/>
  <c r="C209" i="5"/>
  <c r="D209" i="5" s="1"/>
  <c r="B209" i="5"/>
  <c r="T208" i="5"/>
  <c r="L208" i="5"/>
  <c r="M208" i="5" s="1"/>
  <c r="AV208" i="5" s="1"/>
  <c r="I208" i="5"/>
  <c r="E208" i="5"/>
  <c r="C208" i="5"/>
  <c r="D208" i="5" s="1"/>
  <c r="B208" i="5"/>
  <c r="T207" i="5"/>
  <c r="L207" i="5"/>
  <c r="M207" i="5" s="1"/>
  <c r="AV207" i="5" s="1"/>
  <c r="I207" i="5"/>
  <c r="E207" i="5"/>
  <c r="C207" i="5"/>
  <c r="D207" i="5" s="1"/>
  <c r="B207" i="5"/>
  <c r="T206" i="5"/>
  <c r="L206" i="5"/>
  <c r="M206" i="5" s="1"/>
  <c r="AV206" i="5" s="1"/>
  <c r="I206" i="5"/>
  <c r="E206" i="5"/>
  <c r="C206" i="5"/>
  <c r="D206" i="5" s="1"/>
  <c r="B206" i="5"/>
  <c r="T205" i="5"/>
  <c r="L205" i="5"/>
  <c r="M205" i="5" s="1"/>
  <c r="AV205" i="5" s="1"/>
  <c r="I205" i="5"/>
  <c r="E205" i="5"/>
  <c r="C205" i="5"/>
  <c r="D205" i="5" s="1"/>
  <c r="B205" i="5"/>
  <c r="T204" i="5"/>
  <c r="L204" i="5"/>
  <c r="M204" i="5" s="1"/>
  <c r="AV204" i="5" s="1"/>
  <c r="I204" i="5"/>
  <c r="E204" i="5"/>
  <c r="C204" i="5"/>
  <c r="D204" i="5" s="1"/>
  <c r="B204" i="5"/>
  <c r="T203" i="5"/>
  <c r="L203" i="5"/>
  <c r="M203" i="5" s="1"/>
  <c r="AV203" i="5" s="1"/>
  <c r="I203" i="5"/>
  <c r="E203" i="5"/>
  <c r="C203" i="5"/>
  <c r="D203" i="5" s="1"/>
  <c r="B203" i="5"/>
  <c r="T202" i="5"/>
  <c r="L202" i="5"/>
  <c r="M202" i="5" s="1"/>
  <c r="AV202" i="5" s="1"/>
  <c r="I202" i="5"/>
  <c r="E202" i="5"/>
  <c r="C202" i="5"/>
  <c r="D202" i="5" s="1"/>
  <c r="B202" i="5"/>
  <c r="T201" i="5"/>
  <c r="L201" i="5"/>
  <c r="M201" i="5" s="1"/>
  <c r="AV201" i="5" s="1"/>
  <c r="I201" i="5"/>
  <c r="E201" i="5"/>
  <c r="C201" i="5"/>
  <c r="D201" i="5" s="1"/>
  <c r="B201" i="5"/>
  <c r="T200" i="5"/>
  <c r="L200" i="5"/>
  <c r="M200" i="5" s="1"/>
  <c r="AV200" i="5" s="1"/>
  <c r="I200" i="5"/>
  <c r="E200" i="5"/>
  <c r="C200" i="5"/>
  <c r="D200" i="5" s="1"/>
  <c r="B200" i="5"/>
  <c r="T199" i="5"/>
  <c r="L199" i="5"/>
  <c r="M199" i="5" s="1"/>
  <c r="AV199" i="5" s="1"/>
  <c r="I199" i="5"/>
  <c r="E199" i="5"/>
  <c r="C199" i="5"/>
  <c r="D199" i="5" s="1"/>
  <c r="B199" i="5"/>
  <c r="T198" i="5"/>
  <c r="L198" i="5"/>
  <c r="M198" i="5" s="1"/>
  <c r="AV198" i="5" s="1"/>
  <c r="I198" i="5"/>
  <c r="E198" i="5"/>
  <c r="C198" i="5"/>
  <c r="D198" i="5" s="1"/>
  <c r="B198" i="5"/>
  <c r="T197" i="5"/>
  <c r="L197" i="5"/>
  <c r="M197" i="5" s="1"/>
  <c r="AV197" i="5" s="1"/>
  <c r="I197" i="5"/>
  <c r="E197" i="5"/>
  <c r="C197" i="5"/>
  <c r="D197" i="5" s="1"/>
  <c r="B197" i="5"/>
  <c r="T196" i="5"/>
  <c r="L196" i="5"/>
  <c r="M196" i="5" s="1"/>
  <c r="AV196" i="5" s="1"/>
  <c r="I196" i="5"/>
  <c r="E196" i="5"/>
  <c r="C196" i="5"/>
  <c r="D196" i="5" s="1"/>
  <c r="B196" i="5"/>
  <c r="T195" i="5"/>
  <c r="L195" i="5"/>
  <c r="M195" i="5" s="1"/>
  <c r="AV195" i="5" s="1"/>
  <c r="I195" i="5"/>
  <c r="E195" i="5"/>
  <c r="C195" i="5"/>
  <c r="D195" i="5" s="1"/>
  <c r="B195" i="5"/>
  <c r="T194" i="5"/>
  <c r="L194" i="5"/>
  <c r="M194" i="5" s="1"/>
  <c r="AV194" i="5" s="1"/>
  <c r="I194" i="5"/>
  <c r="E194" i="5"/>
  <c r="C194" i="5"/>
  <c r="D194" i="5" s="1"/>
  <c r="B194" i="5"/>
  <c r="T193" i="5"/>
  <c r="L193" i="5"/>
  <c r="M193" i="5" s="1"/>
  <c r="AV193" i="5" s="1"/>
  <c r="I193" i="5"/>
  <c r="E193" i="5"/>
  <c r="C193" i="5"/>
  <c r="D193" i="5" s="1"/>
  <c r="B193" i="5"/>
  <c r="T192" i="5"/>
  <c r="L192" i="5"/>
  <c r="M192" i="5" s="1"/>
  <c r="AV192" i="5" s="1"/>
  <c r="I192" i="5"/>
  <c r="E192" i="5"/>
  <c r="C192" i="5"/>
  <c r="D192" i="5" s="1"/>
  <c r="B192" i="5"/>
  <c r="T191" i="5"/>
  <c r="L191" i="5"/>
  <c r="M191" i="5" s="1"/>
  <c r="AV191" i="5" s="1"/>
  <c r="I191" i="5"/>
  <c r="E191" i="5"/>
  <c r="C191" i="5"/>
  <c r="D191" i="5" s="1"/>
  <c r="B191" i="5"/>
  <c r="T190" i="5"/>
  <c r="L190" i="5"/>
  <c r="M190" i="5" s="1"/>
  <c r="AV190" i="5" s="1"/>
  <c r="I190" i="5"/>
  <c r="E190" i="5"/>
  <c r="C190" i="5"/>
  <c r="D190" i="5" s="1"/>
  <c r="B190" i="5"/>
  <c r="T189" i="5"/>
  <c r="L189" i="5"/>
  <c r="M189" i="5" s="1"/>
  <c r="AV189" i="5" s="1"/>
  <c r="I189" i="5"/>
  <c r="E189" i="5"/>
  <c r="C189" i="5"/>
  <c r="D189" i="5" s="1"/>
  <c r="B189" i="5"/>
  <c r="T188" i="5"/>
  <c r="L188" i="5"/>
  <c r="M188" i="5" s="1"/>
  <c r="AV188" i="5" s="1"/>
  <c r="I188" i="5"/>
  <c r="E188" i="5"/>
  <c r="C188" i="5"/>
  <c r="D188" i="5" s="1"/>
  <c r="B188" i="5"/>
  <c r="T187" i="5"/>
  <c r="L187" i="5"/>
  <c r="M187" i="5" s="1"/>
  <c r="AV187" i="5" s="1"/>
  <c r="I187" i="5"/>
  <c r="E187" i="5"/>
  <c r="C187" i="5"/>
  <c r="D187" i="5" s="1"/>
  <c r="B187" i="5"/>
  <c r="T186" i="5"/>
  <c r="L186" i="5"/>
  <c r="M186" i="5" s="1"/>
  <c r="AV186" i="5" s="1"/>
  <c r="I186" i="5"/>
  <c r="E186" i="5"/>
  <c r="C186" i="5"/>
  <c r="D186" i="5" s="1"/>
  <c r="B186" i="5"/>
  <c r="T185" i="5"/>
  <c r="L185" i="5"/>
  <c r="M185" i="5" s="1"/>
  <c r="AV185" i="5" s="1"/>
  <c r="I185" i="5"/>
  <c r="E185" i="5"/>
  <c r="C185" i="5"/>
  <c r="D185" i="5" s="1"/>
  <c r="B185" i="5"/>
  <c r="T184" i="5"/>
  <c r="L184" i="5"/>
  <c r="M184" i="5" s="1"/>
  <c r="AV184" i="5" s="1"/>
  <c r="I184" i="5"/>
  <c r="E184" i="5"/>
  <c r="C184" i="5"/>
  <c r="D184" i="5" s="1"/>
  <c r="B184" i="5"/>
  <c r="T183" i="5"/>
  <c r="L183" i="5"/>
  <c r="M183" i="5" s="1"/>
  <c r="AV183" i="5" s="1"/>
  <c r="I183" i="5"/>
  <c r="E183" i="5"/>
  <c r="C183" i="5"/>
  <c r="D183" i="5" s="1"/>
  <c r="B183" i="5"/>
  <c r="T182" i="5"/>
  <c r="L182" i="5"/>
  <c r="M182" i="5" s="1"/>
  <c r="AV182" i="5" s="1"/>
  <c r="I182" i="5"/>
  <c r="E182" i="5"/>
  <c r="C182" i="5"/>
  <c r="D182" i="5" s="1"/>
  <c r="B182" i="5"/>
  <c r="T181" i="5"/>
  <c r="L181" i="5"/>
  <c r="M181" i="5" s="1"/>
  <c r="AV181" i="5" s="1"/>
  <c r="I181" i="5"/>
  <c r="E181" i="5"/>
  <c r="C181" i="5"/>
  <c r="D181" i="5" s="1"/>
  <c r="B181" i="5"/>
  <c r="T180" i="5"/>
  <c r="L180" i="5"/>
  <c r="M180" i="5" s="1"/>
  <c r="AV180" i="5" s="1"/>
  <c r="I180" i="5"/>
  <c r="E180" i="5"/>
  <c r="C180" i="5"/>
  <c r="D180" i="5" s="1"/>
  <c r="B180" i="5"/>
  <c r="T179" i="5"/>
  <c r="L179" i="5"/>
  <c r="M179" i="5" s="1"/>
  <c r="AV179" i="5" s="1"/>
  <c r="I179" i="5"/>
  <c r="E179" i="5"/>
  <c r="C179" i="5"/>
  <c r="D179" i="5" s="1"/>
  <c r="B179" i="5"/>
  <c r="T178" i="5"/>
  <c r="L178" i="5"/>
  <c r="M178" i="5" s="1"/>
  <c r="AV178" i="5" s="1"/>
  <c r="I178" i="5"/>
  <c r="E178" i="5"/>
  <c r="C178" i="5"/>
  <c r="D178" i="5" s="1"/>
  <c r="B178" i="5"/>
  <c r="T177" i="5"/>
  <c r="L177" i="5"/>
  <c r="M177" i="5" s="1"/>
  <c r="AV177" i="5" s="1"/>
  <c r="I177" i="5"/>
  <c r="E177" i="5"/>
  <c r="C177" i="5"/>
  <c r="D177" i="5" s="1"/>
  <c r="B177" i="5"/>
  <c r="T176" i="5"/>
  <c r="L176" i="5"/>
  <c r="M176" i="5" s="1"/>
  <c r="AV176" i="5" s="1"/>
  <c r="I176" i="5"/>
  <c r="E176" i="5"/>
  <c r="C176" i="5"/>
  <c r="D176" i="5" s="1"/>
  <c r="B176" i="5"/>
  <c r="T175" i="5"/>
  <c r="L175" i="5"/>
  <c r="M175" i="5" s="1"/>
  <c r="AV175" i="5" s="1"/>
  <c r="I175" i="5"/>
  <c r="E175" i="5"/>
  <c r="C175" i="5"/>
  <c r="D175" i="5" s="1"/>
  <c r="B175" i="5"/>
  <c r="T174" i="5"/>
  <c r="L174" i="5"/>
  <c r="M174" i="5" s="1"/>
  <c r="AV174" i="5" s="1"/>
  <c r="I174" i="5"/>
  <c r="E174" i="5"/>
  <c r="C174" i="5"/>
  <c r="D174" i="5" s="1"/>
  <c r="B174" i="5"/>
  <c r="T173" i="5"/>
  <c r="L173" i="5"/>
  <c r="M173" i="5" s="1"/>
  <c r="AV173" i="5" s="1"/>
  <c r="I173" i="5"/>
  <c r="E173" i="5"/>
  <c r="C173" i="5"/>
  <c r="D173" i="5" s="1"/>
  <c r="B173" i="5"/>
  <c r="T172" i="5"/>
  <c r="L172" i="5"/>
  <c r="M172" i="5" s="1"/>
  <c r="AV172" i="5" s="1"/>
  <c r="I172" i="5"/>
  <c r="E172" i="5"/>
  <c r="C172" i="5"/>
  <c r="D172" i="5" s="1"/>
  <c r="B172" i="5"/>
  <c r="T171" i="5"/>
  <c r="L171" i="5"/>
  <c r="M171" i="5" s="1"/>
  <c r="AV171" i="5" s="1"/>
  <c r="I171" i="5"/>
  <c r="E171" i="5"/>
  <c r="C171" i="5"/>
  <c r="D171" i="5" s="1"/>
  <c r="B171" i="5"/>
  <c r="U170" i="5"/>
  <c r="T170" i="5"/>
  <c r="L170" i="5"/>
  <c r="M170" i="5" s="1"/>
  <c r="AV170" i="5" s="1"/>
  <c r="I170" i="5"/>
  <c r="E170" i="5"/>
  <c r="C170" i="5"/>
  <c r="D170" i="5" s="1"/>
  <c r="T169" i="5"/>
  <c r="L169" i="5"/>
  <c r="M169" i="5" s="1"/>
  <c r="AV169" i="5" s="1"/>
  <c r="I169" i="5"/>
  <c r="E169" i="5"/>
  <c r="C169" i="5"/>
  <c r="D169" i="5" s="1"/>
  <c r="B169" i="5"/>
  <c r="T168" i="5"/>
  <c r="L168" i="5"/>
  <c r="M168" i="5" s="1"/>
  <c r="AV168" i="5" s="1"/>
  <c r="I168" i="5"/>
  <c r="E168" i="5"/>
  <c r="C168" i="5"/>
  <c r="D168" i="5" s="1"/>
  <c r="B168" i="5"/>
  <c r="T167" i="5"/>
  <c r="L167" i="5"/>
  <c r="M167" i="5" s="1"/>
  <c r="AV167" i="5" s="1"/>
  <c r="I167" i="5"/>
  <c r="E167" i="5"/>
  <c r="C167" i="5"/>
  <c r="D167" i="5" s="1"/>
  <c r="B167" i="5"/>
  <c r="T166" i="5"/>
  <c r="L166" i="5"/>
  <c r="M166" i="5" s="1"/>
  <c r="AV166" i="5" s="1"/>
  <c r="I166" i="5"/>
  <c r="E166" i="5"/>
  <c r="C166" i="5"/>
  <c r="D166" i="5" s="1"/>
  <c r="B166" i="5"/>
  <c r="T165" i="5"/>
  <c r="L165" i="5"/>
  <c r="M165" i="5" s="1"/>
  <c r="AV165" i="5" s="1"/>
  <c r="I165" i="5"/>
  <c r="E165" i="5"/>
  <c r="C165" i="5"/>
  <c r="D165" i="5" s="1"/>
  <c r="B165" i="5"/>
  <c r="T164" i="5"/>
  <c r="L164" i="5"/>
  <c r="M164" i="5" s="1"/>
  <c r="AV164" i="5" s="1"/>
  <c r="I164" i="5"/>
  <c r="E164" i="5"/>
  <c r="C164" i="5"/>
  <c r="D164" i="5" s="1"/>
  <c r="B164" i="5"/>
  <c r="T163" i="5"/>
  <c r="L163" i="5"/>
  <c r="M163" i="5" s="1"/>
  <c r="AV163" i="5" s="1"/>
  <c r="I163" i="5"/>
  <c r="E163" i="5"/>
  <c r="C163" i="5"/>
  <c r="D163" i="5" s="1"/>
  <c r="B163" i="5"/>
  <c r="T162" i="5"/>
  <c r="L162" i="5"/>
  <c r="M162" i="5" s="1"/>
  <c r="AV162" i="5" s="1"/>
  <c r="I162" i="5"/>
  <c r="E162" i="5"/>
  <c r="C162" i="5"/>
  <c r="D162" i="5" s="1"/>
  <c r="B162" i="5"/>
  <c r="T161" i="5"/>
  <c r="L161" i="5"/>
  <c r="M161" i="5" s="1"/>
  <c r="AV161" i="5" s="1"/>
  <c r="I161" i="5"/>
  <c r="E161" i="5"/>
  <c r="C161" i="5"/>
  <c r="D161" i="5" s="1"/>
  <c r="B161" i="5"/>
  <c r="T160" i="5"/>
  <c r="L160" i="5"/>
  <c r="M160" i="5" s="1"/>
  <c r="AV160" i="5" s="1"/>
  <c r="I160" i="5"/>
  <c r="E160" i="5"/>
  <c r="C160" i="5"/>
  <c r="D160" i="5" s="1"/>
  <c r="B160" i="5"/>
  <c r="T159" i="5"/>
  <c r="L159" i="5"/>
  <c r="M159" i="5" s="1"/>
  <c r="AV159" i="5" s="1"/>
  <c r="I159" i="5"/>
  <c r="E159" i="5"/>
  <c r="C159" i="5"/>
  <c r="D159" i="5" s="1"/>
  <c r="B159" i="5"/>
  <c r="T158" i="5"/>
  <c r="L158" i="5"/>
  <c r="M158" i="5" s="1"/>
  <c r="AV158" i="5" s="1"/>
  <c r="I158" i="5"/>
  <c r="E158" i="5"/>
  <c r="C158" i="5"/>
  <c r="D158" i="5" s="1"/>
  <c r="B158" i="5"/>
  <c r="T157" i="5"/>
  <c r="L157" i="5"/>
  <c r="M157" i="5" s="1"/>
  <c r="AV157" i="5" s="1"/>
  <c r="I157" i="5"/>
  <c r="E157" i="5"/>
  <c r="C157" i="5"/>
  <c r="D157" i="5" s="1"/>
  <c r="B157" i="5"/>
  <c r="T156" i="5"/>
  <c r="L156" i="5"/>
  <c r="M156" i="5" s="1"/>
  <c r="AV156" i="5" s="1"/>
  <c r="I156" i="5"/>
  <c r="E156" i="5"/>
  <c r="C156" i="5"/>
  <c r="D156" i="5" s="1"/>
  <c r="B156" i="5"/>
  <c r="T155" i="5"/>
  <c r="L155" i="5"/>
  <c r="M155" i="5" s="1"/>
  <c r="AV155" i="5" s="1"/>
  <c r="I155" i="5"/>
  <c r="E155" i="5"/>
  <c r="C155" i="5"/>
  <c r="D155" i="5" s="1"/>
  <c r="B155" i="5"/>
  <c r="T154" i="5"/>
  <c r="L154" i="5"/>
  <c r="M154" i="5" s="1"/>
  <c r="AV154" i="5" s="1"/>
  <c r="I154" i="5"/>
  <c r="E154" i="5"/>
  <c r="C154" i="5"/>
  <c r="D154" i="5" s="1"/>
  <c r="B154" i="5"/>
  <c r="T153" i="5"/>
  <c r="L153" i="5"/>
  <c r="M153" i="5" s="1"/>
  <c r="AV153" i="5" s="1"/>
  <c r="I153" i="5"/>
  <c r="E153" i="5"/>
  <c r="B153" i="5"/>
  <c r="T152" i="5"/>
  <c r="L152" i="5"/>
  <c r="M152" i="5" s="1"/>
  <c r="AV152" i="5" s="1"/>
  <c r="I152" i="5"/>
  <c r="E152" i="5"/>
  <c r="C152" i="5"/>
  <c r="D152" i="5" s="1"/>
  <c r="B152" i="5"/>
  <c r="T151" i="5"/>
  <c r="L151" i="5"/>
  <c r="M151" i="5" s="1"/>
  <c r="AV151" i="5" s="1"/>
  <c r="I151" i="5"/>
  <c r="E151" i="5"/>
  <c r="C151" i="5"/>
  <c r="D151" i="5" s="1"/>
  <c r="B151" i="5"/>
  <c r="T150" i="5"/>
  <c r="L150" i="5"/>
  <c r="M150" i="5" s="1"/>
  <c r="AV150" i="5" s="1"/>
  <c r="I150" i="5"/>
  <c r="E150" i="5"/>
  <c r="C150" i="5"/>
  <c r="D150" i="5" s="1"/>
  <c r="B150" i="5"/>
  <c r="T149" i="5"/>
  <c r="L149" i="5"/>
  <c r="M149" i="5" s="1"/>
  <c r="AV149" i="5" s="1"/>
  <c r="I149" i="5"/>
  <c r="E149" i="5"/>
  <c r="C149" i="5"/>
  <c r="D149" i="5" s="1"/>
  <c r="B149" i="5"/>
  <c r="T148" i="5"/>
  <c r="L148" i="5"/>
  <c r="M148" i="5" s="1"/>
  <c r="AV148" i="5" s="1"/>
  <c r="I148" i="5"/>
  <c r="E148" i="5"/>
  <c r="C148" i="5"/>
  <c r="D148" i="5" s="1"/>
  <c r="B148" i="5"/>
  <c r="T147" i="5"/>
  <c r="L147" i="5"/>
  <c r="M147" i="5" s="1"/>
  <c r="AV147" i="5" s="1"/>
  <c r="I147" i="5"/>
  <c r="E147" i="5"/>
  <c r="C147" i="5"/>
  <c r="D147" i="5" s="1"/>
  <c r="B147" i="5"/>
  <c r="T146" i="5"/>
  <c r="L146" i="5"/>
  <c r="M146" i="5" s="1"/>
  <c r="AV146" i="5" s="1"/>
  <c r="I146" i="5"/>
  <c r="E146" i="5"/>
  <c r="C146" i="5"/>
  <c r="D146" i="5" s="1"/>
  <c r="B146" i="5"/>
  <c r="T145" i="5"/>
  <c r="L145" i="5"/>
  <c r="M145" i="5" s="1"/>
  <c r="AV145" i="5" s="1"/>
  <c r="I145" i="5"/>
  <c r="E145" i="5"/>
  <c r="C145" i="5"/>
  <c r="D145" i="5" s="1"/>
  <c r="B145" i="5"/>
  <c r="T144" i="5"/>
  <c r="L144" i="5"/>
  <c r="M144" i="5" s="1"/>
  <c r="AV144" i="5" s="1"/>
  <c r="I144" i="5"/>
  <c r="E144" i="5"/>
  <c r="C144" i="5"/>
  <c r="D144" i="5" s="1"/>
  <c r="B144" i="5"/>
  <c r="T143" i="5"/>
  <c r="L143" i="5"/>
  <c r="M143" i="5" s="1"/>
  <c r="AV143" i="5" s="1"/>
  <c r="I143" i="5"/>
  <c r="E143" i="5"/>
  <c r="C143" i="5"/>
  <c r="D143" i="5" s="1"/>
  <c r="B143" i="5"/>
  <c r="U142" i="5"/>
  <c r="T142" i="5"/>
  <c r="L142" i="5"/>
  <c r="M142" i="5" s="1"/>
  <c r="AV142" i="5" s="1"/>
  <c r="I142" i="5"/>
  <c r="E142" i="5"/>
  <c r="C142" i="5"/>
  <c r="D142" i="5" s="1"/>
  <c r="T141" i="5"/>
  <c r="L141" i="5"/>
  <c r="M141" i="5" s="1"/>
  <c r="AV141" i="5" s="1"/>
  <c r="I141" i="5"/>
  <c r="E141" i="5"/>
  <c r="C141" i="5"/>
  <c r="D141" i="5" s="1"/>
  <c r="B141" i="5"/>
  <c r="T140" i="5"/>
  <c r="L140" i="5"/>
  <c r="M140" i="5" s="1"/>
  <c r="AV140" i="5" s="1"/>
  <c r="I140" i="5"/>
  <c r="E140" i="5"/>
  <c r="C140" i="5"/>
  <c r="D140" i="5" s="1"/>
  <c r="B140" i="5"/>
  <c r="T139" i="5"/>
  <c r="L139" i="5"/>
  <c r="M139" i="5" s="1"/>
  <c r="AV139" i="5" s="1"/>
  <c r="I139" i="5"/>
  <c r="E139" i="5"/>
  <c r="C139" i="5"/>
  <c r="D139" i="5" s="1"/>
  <c r="B139" i="5"/>
  <c r="T138" i="5"/>
  <c r="L138" i="5"/>
  <c r="M138" i="5" s="1"/>
  <c r="AV138" i="5" s="1"/>
  <c r="I138" i="5"/>
  <c r="E138" i="5"/>
  <c r="C138" i="5"/>
  <c r="D138" i="5" s="1"/>
  <c r="B138" i="5"/>
  <c r="T137" i="5"/>
  <c r="L137" i="5"/>
  <c r="M137" i="5" s="1"/>
  <c r="AV137" i="5" s="1"/>
  <c r="I137" i="5"/>
  <c r="E137" i="5"/>
  <c r="C137" i="5"/>
  <c r="D137" i="5" s="1"/>
  <c r="B137" i="5"/>
  <c r="T136" i="5"/>
  <c r="L136" i="5"/>
  <c r="M136" i="5" s="1"/>
  <c r="AV136" i="5" s="1"/>
  <c r="I136" i="5"/>
  <c r="E136" i="5"/>
  <c r="C136" i="5"/>
  <c r="D136" i="5" s="1"/>
  <c r="B136" i="5"/>
  <c r="T135" i="5"/>
  <c r="L135" i="5"/>
  <c r="M135" i="5" s="1"/>
  <c r="AV135" i="5" s="1"/>
  <c r="I135" i="5"/>
  <c r="E135" i="5"/>
  <c r="C135" i="5"/>
  <c r="D135" i="5" s="1"/>
  <c r="B135" i="5"/>
  <c r="T134" i="5"/>
  <c r="L134" i="5"/>
  <c r="M134" i="5" s="1"/>
  <c r="AV134" i="5" s="1"/>
  <c r="I134" i="5"/>
  <c r="E134" i="5"/>
  <c r="C134" i="5"/>
  <c r="D134" i="5" s="1"/>
  <c r="B134" i="5"/>
  <c r="T133" i="5"/>
  <c r="L133" i="5"/>
  <c r="M133" i="5" s="1"/>
  <c r="AV133" i="5" s="1"/>
  <c r="I133" i="5"/>
  <c r="E133" i="5"/>
  <c r="C133" i="5"/>
  <c r="D133" i="5" s="1"/>
  <c r="B133" i="5"/>
  <c r="U132" i="5"/>
  <c r="T132" i="5"/>
  <c r="L132" i="5"/>
  <c r="M132" i="5" s="1"/>
  <c r="AV132" i="5" s="1"/>
  <c r="I132" i="5"/>
  <c r="E132" i="5"/>
  <c r="C132" i="5"/>
  <c r="D132" i="5" s="1"/>
  <c r="T131" i="5"/>
  <c r="L131" i="5"/>
  <c r="M131" i="5" s="1"/>
  <c r="AV131" i="5" s="1"/>
  <c r="I131" i="5"/>
  <c r="E131" i="5"/>
  <c r="C131" i="5"/>
  <c r="D131" i="5" s="1"/>
  <c r="B131" i="5"/>
  <c r="T130" i="5"/>
  <c r="L130" i="5"/>
  <c r="M130" i="5" s="1"/>
  <c r="AV130" i="5" s="1"/>
  <c r="I130" i="5"/>
  <c r="E130" i="5"/>
  <c r="C130" i="5"/>
  <c r="D130" i="5" s="1"/>
  <c r="B130" i="5"/>
  <c r="U129" i="5"/>
  <c r="T129" i="5"/>
  <c r="L129" i="5"/>
  <c r="M129" i="5" s="1"/>
  <c r="AV129" i="5" s="1"/>
  <c r="I129" i="5"/>
  <c r="E129" i="5"/>
  <c r="C129" i="5"/>
  <c r="D129" i="5" s="1"/>
  <c r="T128" i="5"/>
  <c r="L128" i="5"/>
  <c r="M128" i="5" s="1"/>
  <c r="AV128" i="5" s="1"/>
  <c r="I128" i="5"/>
  <c r="E128" i="5"/>
  <c r="C128" i="5"/>
  <c r="D128" i="5" s="1"/>
  <c r="B128" i="5"/>
  <c r="T127" i="5"/>
  <c r="L127" i="5"/>
  <c r="M127" i="5" s="1"/>
  <c r="AV127" i="5" s="1"/>
  <c r="I127" i="5"/>
  <c r="E127" i="5"/>
  <c r="C127" i="5"/>
  <c r="D127" i="5" s="1"/>
  <c r="B127" i="5"/>
  <c r="T126" i="5"/>
  <c r="L126" i="5"/>
  <c r="M126" i="5" s="1"/>
  <c r="AV126" i="5" s="1"/>
  <c r="I126" i="5"/>
  <c r="E126" i="5"/>
  <c r="C126" i="5"/>
  <c r="D126" i="5" s="1"/>
  <c r="B126" i="5"/>
  <c r="T125" i="5"/>
  <c r="L125" i="5"/>
  <c r="M125" i="5" s="1"/>
  <c r="AV125" i="5" s="1"/>
  <c r="I125" i="5"/>
  <c r="E125" i="5"/>
  <c r="C125" i="5"/>
  <c r="D125" i="5" s="1"/>
  <c r="B125" i="5"/>
  <c r="T124" i="5"/>
  <c r="L124" i="5"/>
  <c r="M124" i="5" s="1"/>
  <c r="AV124" i="5" s="1"/>
  <c r="I124" i="5"/>
  <c r="E124" i="5"/>
  <c r="C124" i="5"/>
  <c r="D124" i="5" s="1"/>
  <c r="B124" i="5"/>
  <c r="T123" i="5"/>
  <c r="L123" i="5"/>
  <c r="M123" i="5" s="1"/>
  <c r="AV123" i="5" s="1"/>
  <c r="I123" i="5"/>
  <c r="E123" i="5"/>
  <c r="C123" i="5"/>
  <c r="D123" i="5" s="1"/>
  <c r="B123" i="5"/>
  <c r="T122" i="5"/>
  <c r="L122" i="5"/>
  <c r="M122" i="5" s="1"/>
  <c r="AV122" i="5" s="1"/>
  <c r="I122" i="5"/>
  <c r="E122" i="5"/>
  <c r="C122" i="5"/>
  <c r="D122" i="5" s="1"/>
  <c r="B122" i="5"/>
  <c r="T121" i="5"/>
  <c r="L121" i="5"/>
  <c r="M121" i="5" s="1"/>
  <c r="AV121" i="5" s="1"/>
  <c r="I121" i="5"/>
  <c r="E121" i="5"/>
  <c r="C121" i="5"/>
  <c r="D121" i="5" s="1"/>
  <c r="B121" i="5"/>
  <c r="U120" i="5"/>
  <c r="T120" i="5"/>
  <c r="L120" i="5"/>
  <c r="M120" i="5" s="1"/>
  <c r="AV120" i="5" s="1"/>
  <c r="I120" i="5"/>
  <c r="E120" i="5"/>
  <c r="C120" i="5"/>
  <c r="D120" i="5" s="1"/>
  <c r="T119" i="5"/>
  <c r="L119" i="5"/>
  <c r="M119" i="5" s="1"/>
  <c r="AV119" i="5" s="1"/>
  <c r="I119" i="5"/>
  <c r="E119" i="5"/>
  <c r="C119" i="5"/>
  <c r="D119" i="5" s="1"/>
  <c r="B119" i="5"/>
  <c r="T118" i="5"/>
  <c r="L118" i="5"/>
  <c r="M118" i="5" s="1"/>
  <c r="AV118" i="5" s="1"/>
  <c r="I118" i="5"/>
  <c r="E118" i="5"/>
  <c r="C118" i="5"/>
  <c r="D118" i="5" s="1"/>
  <c r="B118" i="5"/>
  <c r="T117" i="5"/>
  <c r="L117" i="5"/>
  <c r="M117" i="5" s="1"/>
  <c r="AV117" i="5" s="1"/>
  <c r="I117" i="5"/>
  <c r="E117" i="5"/>
  <c r="C117" i="5"/>
  <c r="D117" i="5" s="1"/>
  <c r="B117" i="5"/>
  <c r="T116" i="5"/>
  <c r="L116" i="5"/>
  <c r="M116" i="5" s="1"/>
  <c r="AV116" i="5" s="1"/>
  <c r="I116" i="5"/>
  <c r="E116" i="5"/>
  <c r="C116" i="5"/>
  <c r="D116" i="5" s="1"/>
  <c r="B116" i="5"/>
  <c r="T115" i="5"/>
  <c r="L115" i="5"/>
  <c r="M115" i="5" s="1"/>
  <c r="AV115" i="5" s="1"/>
  <c r="I115" i="5"/>
  <c r="E115" i="5"/>
  <c r="C115" i="5"/>
  <c r="D115" i="5" s="1"/>
  <c r="B115" i="5"/>
  <c r="T114" i="5"/>
  <c r="L114" i="5"/>
  <c r="M114" i="5" s="1"/>
  <c r="AV114" i="5" s="1"/>
  <c r="I114" i="5"/>
  <c r="E114" i="5"/>
  <c r="C114" i="5"/>
  <c r="D114" i="5" s="1"/>
  <c r="B114" i="5"/>
  <c r="T113" i="5"/>
  <c r="L113" i="5"/>
  <c r="M113" i="5" s="1"/>
  <c r="AV113" i="5" s="1"/>
  <c r="I113" i="5"/>
  <c r="E113" i="5"/>
  <c r="C113" i="5"/>
  <c r="D113" i="5" s="1"/>
  <c r="B113" i="5"/>
  <c r="T112" i="5"/>
  <c r="L112" i="5"/>
  <c r="M112" i="5" s="1"/>
  <c r="AV112" i="5" s="1"/>
  <c r="I112" i="5"/>
  <c r="E112" i="5"/>
  <c r="C112" i="5"/>
  <c r="D112" i="5" s="1"/>
  <c r="B112" i="5"/>
  <c r="X111" i="5"/>
  <c r="T111" i="5"/>
  <c r="P111" i="5"/>
  <c r="L111" i="5"/>
  <c r="M111" i="5" s="1"/>
  <c r="AV111" i="5" s="1"/>
  <c r="I111" i="5"/>
  <c r="E111" i="5"/>
  <c r="C111" i="5"/>
  <c r="D111" i="5" s="1"/>
  <c r="B111" i="5"/>
  <c r="T110" i="5"/>
  <c r="P110" i="5"/>
  <c r="L110" i="5"/>
  <c r="M110" i="5" s="1"/>
  <c r="AV110" i="5" s="1"/>
  <c r="I110" i="5"/>
  <c r="E110" i="5"/>
  <c r="C110" i="5"/>
  <c r="D110" i="5" s="1"/>
  <c r="B110" i="5"/>
  <c r="T109" i="5"/>
  <c r="L109" i="5"/>
  <c r="M109" i="5" s="1"/>
  <c r="AV109" i="5" s="1"/>
  <c r="I109" i="5"/>
  <c r="E109" i="5"/>
  <c r="C109" i="5"/>
  <c r="D109" i="5" s="1"/>
  <c r="B109" i="5"/>
  <c r="T108" i="5"/>
  <c r="L108" i="5"/>
  <c r="M108" i="5" s="1"/>
  <c r="AV108" i="5" s="1"/>
  <c r="I108" i="5"/>
  <c r="E108" i="5"/>
  <c r="C108" i="5"/>
  <c r="D108" i="5" s="1"/>
  <c r="B108" i="5"/>
  <c r="T107" i="5"/>
  <c r="L107" i="5"/>
  <c r="M107" i="5" s="1"/>
  <c r="AV107" i="5" s="1"/>
  <c r="I107" i="5"/>
  <c r="E107" i="5"/>
  <c r="C107" i="5"/>
  <c r="D107" i="5" s="1"/>
  <c r="B107" i="5"/>
  <c r="T106" i="5"/>
  <c r="L106" i="5"/>
  <c r="M106" i="5" s="1"/>
  <c r="AV106" i="5" s="1"/>
  <c r="I106" i="5"/>
  <c r="E106" i="5"/>
  <c r="C106" i="5"/>
  <c r="D106" i="5" s="1"/>
  <c r="B106" i="5"/>
  <c r="T105" i="5"/>
  <c r="L105" i="5"/>
  <c r="M105" i="5" s="1"/>
  <c r="AV105" i="5" s="1"/>
  <c r="I105" i="5"/>
  <c r="E105" i="5"/>
  <c r="C105" i="5"/>
  <c r="D105" i="5" s="1"/>
  <c r="B105" i="5"/>
  <c r="T104" i="5"/>
  <c r="L104" i="5"/>
  <c r="M104" i="5" s="1"/>
  <c r="AV104" i="5" s="1"/>
  <c r="I104" i="5"/>
  <c r="E104" i="5"/>
  <c r="C104" i="5"/>
  <c r="D104" i="5" s="1"/>
  <c r="B104" i="5"/>
  <c r="T103" i="5"/>
  <c r="L103" i="5"/>
  <c r="M103" i="5" s="1"/>
  <c r="AV103" i="5" s="1"/>
  <c r="I103" i="5"/>
  <c r="E103" i="5"/>
  <c r="C103" i="5"/>
  <c r="D103" i="5" s="1"/>
  <c r="B103" i="5"/>
  <c r="T102" i="5"/>
  <c r="L102" i="5"/>
  <c r="M102" i="5" s="1"/>
  <c r="AV102" i="5" s="1"/>
  <c r="I102" i="5"/>
  <c r="E102" i="5"/>
  <c r="C102" i="5"/>
  <c r="D102" i="5" s="1"/>
  <c r="B102" i="5"/>
  <c r="T101" i="5"/>
  <c r="L101" i="5"/>
  <c r="M101" i="5" s="1"/>
  <c r="AV101" i="5" s="1"/>
  <c r="I101" i="5"/>
  <c r="E101" i="5"/>
  <c r="C101" i="5"/>
  <c r="D101" i="5" s="1"/>
  <c r="B101" i="5"/>
  <c r="T100" i="5"/>
  <c r="L100" i="5"/>
  <c r="M100" i="5" s="1"/>
  <c r="AV100" i="5" s="1"/>
  <c r="I100" i="5"/>
  <c r="E100" i="5"/>
  <c r="C100" i="5"/>
  <c r="D100" i="5" s="1"/>
  <c r="B100" i="5"/>
  <c r="T99" i="5"/>
  <c r="P99" i="5"/>
  <c r="L99" i="5"/>
  <c r="M99" i="5" s="1"/>
  <c r="AV99" i="5" s="1"/>
  <c r="I99" i="5"/>
  <c r="E99" i="5"/>
  <c r="C99" i="5"/>
  <c r="D99" i="5" s="1"/>
  <c r="B99" i="5"/>
  <c r="T98" i="5"/>
  <c r="L98" i="5"/>
  <c r="M98" i="5" s="1"/>
  <c r="AV98" i="5" s="1"/>
  <c r="I98" i="5"/>
  <c r="E98" i="5"/>
  <c r="C98" i="5"/>
  <c r="D98" i="5" s="1"/>
  <c r="B98" i="5"/>
  <c r="T97" i="5"/>
  <c r="L97" i="5"/>
  <c r="M97" i="5" s="1"/>
  <c r="AV97" i="5" s="1"/>
  <c r="I97" i="5"/>
  <c r="E97" i="5"/>
  <c r="C97" i="5"/>
  <c r="D97" i="5" s="1"/>
  <c r="B97" i="5"/>
  <c r="T96" i="5"/>
  <c r="L96" i="5"/>
  <c r="M96" i="5" s="1"/>
  <c r="AV96" i="5" s="1"/>
  <c r="I96" i="5"/>
  <c r="E96" i="5"/>
  <c r="C96" i="5"/>
  <c r="D96" i="5" s="1"/>
  <c r="B96" i="5"/>
  <c r="T95" i="5"/>
  <c r="L95" i="5"/>
  <c r="M95" i="5" s="1"/>
  <c r="AV95" i="5" s="1"/>
  <c r="I95" i="5"/>
  <c r="E95" i="5"/>
  <c r="C95" i="5"/>
  <c r="D95" i="5" s="1"/>
  <c r="B95" i="5"/>
  <c r="T94" i="5"/>
  <c r="L94" i="5"/>
  <c r="M94" i="5" s="1"/>
  <c r="AV94" i="5" s="1"/>
  <c r="I94" i="5"/>
  <c r="E94" i="5"/>
  <c r="C94" i="5"/>
  <c r="D94" i="5" s="1"/>
  <c r="B94" i="5"/>
  <c r="T93" i="5"/>
  <c r="L93" i="5"/>
  <c r="M93" i="5" s="1"/>
  <c r="AV93" i="5" s="1"/>
  <c r="I93" i="5"/>
  <c r="E93" i="5"/>
  <c r="C93" i="5"/>
  <c r="D93" i="5" s="1"/>
  <c r="B93" i="5"/>
  <c r="T92" i="5"/>
  <c r="L92" i="5"/>
  <c r="M92" i="5" s="1"/>
  <c r="AV92" i="5" s="1"/>
  <c r="I92" i="5"/>
  <c r="E92" i="5"/>
  <c r="C92" i="5"/>
  <c r="D92" i="5" s="1"/>
  <c r="B92" i="5"/>
  <c r="T91" i="5"/>
  <c r="L91" i="5"/>
  <c r="M91" i="5" s="1"/>
  <c r="AV91" i="5" s="1"/>
  <c r="I91" i="5"/>
  <c r="E91" i="5"/>
  <c r="C91" i="5"/>
  <c r="D91" i="5" s="1"/>
  <c r="B91" i="5"/>
  <c r="T90" i="5"/>
  <c r="L90" i="5"/>
  <c r="M90" i="5" s="1"/>
  <c r="AV90" i="5" s="1"/>
  <c r="I90" i="5"/>
  <c r="E90" i="5"/>
  <c r="C90" i="5"/>
  <c r="D90" i="5" s="1"/>
  <c r="B90" i="5"/>
  <c r="T89" i="5"/>
  <c r="L89" i="5"/>
  <c r="M89" i="5" s="1"/>
  <c r="AV89" i="5" s="1"/>
  <c r="I89" i="5"/>
  <c r="E89" i="5"/>
  <c r="C89" i="5"/>
  <c r="D89" i="5" s="1"/>
  <c r="B89" i="5"/>
  <c r="T88" i="5"/>
  <c r="L88" i="5"/>
  <c r="M88" i="5" s="1"/>
  <c r="AV88" i="5" s="1"/>
  <c r="I88" i="5"/>
  <c r="E88" i="5"/>
  <c r="C88" i="5"/>
  <c r="D88" i="5" s="1"/>
  <c r="B88" i="5"/>
  <c r="T87" i="5"/>
  <c r="L87" i="5"/>
  <c r="M87" i="5" s="1"/>
  <c r="AV87" i="5" s="1"/>
  <c r="I87" i="5"/>
  <c r="E87" i="5"/>
  <c r="C87" i="5"/>
  <c r="D87" i="5" s="1"/>
  <c r="B87" i="5"/>
  <c r="T86" i="5"/>
  <c r="L86" i="5"/>
  <c r="M86" i="5" s="1"/>
  <c r="AV86" i="5" s="1"/>
  <c r="I86" i="5"/>
  <c r="E86" i="5"/>
  <c r="C86" i="5"/>
  <c r="D86" i="5" s="1"/>
  <c r="B86" i="5"/>
  <c r="T85" i="5"/>
  <c r="L85" i="5"/>
  <c r="M85" i="5" s="1"/>
  <c r="AV85" i="5" s="1"/>
  <c r="I85" i="5"/>
  <c r="E85" i="5"/>
  <c r="C85" i="5"/>
  <c r="D85" i="5" s="1"/>
  <c r="B85" i="5"/>
  <c r="T84" i="5"/>
  <c r="L84" i="5"/>
  <c r="M84" i="5" s="1"/>
  <c r="AV84" i="5" s="1"/>
  <c r="I84" i="5"/>
  <c r="E84" i="5"/>
  <c r="C84" i="5"/>
  <c r="D84" i="5" s="1"/>
  <c r="B84" i="5"/>
  <c r="T83" i="5"/>
  <c r="L83" i="5"/>
  <c r="M83" i="5" s="1"/>
  <c r="AV83" i="5" s="1"/>
  <c r="I83" i="5"/>
  <c r="E83" i="5"/>
  <c r="C83" i="5"/>
  <c r="D83" i="5" s="1"/>
  <c r="B83" i="5"/>
  <c r="T82" i="5"/>
  <c r="L82" i="5"/>
  <c r="M82" i="5" s="1"/>
  <c r="AV82" i="5" s="1"/>
  <c r="I82" i="5"/>
  <c r="E82" i="5"/>
  <c r="C82" i="5"/>
  <c r="D82" i="5" s="1"/>
  <c r="B82" i="5"/>
  <c r="T81" i="5"/>
  <c r="L81" i="5"/>
  <c r="M81" i="5" s="1"/>
  <c r="AV81" i="5" s="1"/>
  <c r="I81" i="5"/>
  <c r="E81" i="5"/>
  <c r="C81" i="5"/>
  <c r="D81" i="5" s="1"/>
  <c r="B81" i="5"/>
  <c r="T80" i="5"/>
  <c r="L80" i="5"/>
  <c r="M80" i="5" s="1"/>
  <c r="AV80" i="5" s="1"/>
  <c r="I80" i="5"/>
  <c r="E80" i="5"/>
  <c r="C80" i="5"/>
  <c r="D80" i="5" s="1"/>
  <c r="B80" i="5"/>
  <c r="T79" i="5"/>
  <c r="L79" i="5"/>
  <c r="M79" i="5" s="1"/>
  <c r="AV79" i="5" s="1"/>
  <c r="I79" i="5"/>
  <c r="E79" i="5"/>
  <c r="C79" i="5"/>
  <c r="D79" i="5" s="1"/>
  <c r="B79" i="5"/>
  <c r="T78" i="5"/>
  <c r="L78" i="5"/>
  <c r="M78" i="5" s="1"/>
  <c r="AV78" i="5" s="1"/>
  <c r="I78" i="5"/>
  <c r="E78" i="5"/>
  <c r="C78" i="5"/>
  <c r="D78" i="5" s="1"/>
  <c r="B78" i="5"/>
  <c r="T77" i="5"/>
  <c r="L77" i="5"/>
  <c r="M77" i="5" s="1"/>
  <c r="AV77" i="5" s="1"/>
  <c r="I77" i="5"/>
  <c r="E77" i="5"/>
  <c r="B77" i="5"/>
  <c r="T76" i="5"/>
  <c r="L76" i="5"/>
  <c r="M76" i="5" s="1"/>
  <c r="AV76" i="5" s="1"/>
  <c r="I76" i="5"/>
  <c r="E76" i="5"/>
  <c r="C76" i="5"/>
  <c r="D76" i="5" s="1"/>
  <c r="B76" i="5"/>
  <c r="T75" i="5"/>
  <c r="L75" i="5"/>
  <c r="M75" i="5" s="1"/>
  <c r="AV75" i="5" s="1"/>
  <c r="I75" i="5"/>
  <c r="E75" i="5"/>
  <c r="C75" i="5"/>
  <c r="D75" i="5" s="1"/>
  <c r="B75" i="5"/>
  <c r="T74" i="5"/>
  <c r="L74" i="5"/>
  <c r="M74" i="5" s="1"/>
  <c r="AV74" i="5" s="1"/>
  <c r="I74" i="5"/>
  <c r="E74" i="5"/>
  <c r="B74" i="5"/>
  <c r="T73" i="5"/>
  <c r="L73" i="5"/>
  <c r="M73" i="5" s="1"/>
  <c r="AV73" i="5" s="1"/>
  <c r="I73" i="5"/>
  <c r="E73" i="5"/>
  <c r="C73" i="5"/>
  <c r="D73" i="5" s="1"/>
  <c r="B73" i="5"/>
  <c r="T72" i="5"/>
  <c r="L72" i="5"/>
  <c r="M72" i="5" s="1"/>
  <c r="AV72" i="5" s="1"/>
  <c r="I72" i="5"/>
  <c r="E72" i="5"/>
  <c r="C72" i="5"/>
  <c r="D72" i="5" s="1"/>
  <c r="B72" i="5"/>
  <c r="T71" i="5"/>
  <c r="L71" i="5"/>
  <c r="M71" i="5" s="1"/>
  <c r="AV71" i="5" s="1"/>
  <c r="I71" i="5"/>
  <c r="E71" i="5"/>
  <c r="C71" i="5"/>
  <c r="D71" i="5" s="1"/>
  <c r="B71" i="5"/>
  <c r="T70" i="5"/>
  <c r="L70" i="5"/>
  <c r="M70" i="5" s="1"/>
  <c r="AV70" i="5" s="1"/>
  <c r="I70" i="5"/>
  <c r="E70" i="5"/>
  <c r="C70" i="5"/>
  <c r="D70" i="5" s="1"/>
  <c r="B70" i="5"/>
  <c r="T69" i="5"/>
  <c r="L69" i="5"/>
  <c r="M69" i="5" s="1"/>
  <c r="AV69" i="5" s="1"/>
  <c r="I69" i="5"/>
  <c r="E69" i="5"/>
  <c r="C69" i="5"/>
  <c r="D69" i="5" s="1"/>
  <c r="B69" i="5"/>
  <c r="T68" i="5"/>
  <c r="L68" i="5"/>
  <c r="M68" i="5" s="1"/>
  <c r="AV68" i="5" s="1"/>
  <c r="I68" i="5"/>
  <c r="E68" i="5"/>
  <c r="B68" i="5"/>
  <c r="T67" i="5"/>
  <c r="L67" i="5"/>
  <c r="M67" i="5" s="1"/>
  <c r="AV67" i="5" s="1"/>
  <c r="I67" i="5"/>
  <c r="E67" i="5"/>
  <c r="C67" i="5"/>
  <c r="D67" i="5" s="1"/>
  <c r="B67" i="5"/>
  <c r="T66" i="5"/>
  <c r="L66" i="5"/>
  <c r="M66" i="5" s="1"/>
  <c r="AV66" i="5" s="1"/>
  <c r="I66" i="5"/>
  <c r="E66" i="5"/>
  <c r="C66" i="5"/>
  <c r="D66" i="5" s="1"/>
  <c r="B66" i="5"/>
  <c r="T65" i="5"/>
  <c r="L65" i="5"/>
  <c r="M65" i="5" s="1"/>
  <c r="AV65" i="5" s="1"/>
  <c r="I65" i="5"/>
  <c r="E65" i="5"/>
  <c r="C65" i="5"/>
  <c r="D65" i="5" s="1"/>
  <c r="B65" i="5"/>
  <c r="T64" i="5"/>
  <c r="L64" i="5"/>
  <c r="M64" i="5" s="1"/>
  <c r="AV64" i="5" s="1"/>
  <c r="I64" i="5"/>
  <c r="E64" i="5"/>
  <c r="C64" i="5"/>
  <c r="D64" i="5" s="1"/>
  <c r="B64" i="5"/>
  <c r="T63" i="5"/>
  <c r="L63" i="5"/>
  <c r="M63" i="5" s="1"/>
  <c r="AV63" i="5" s="1"/>
  <c r="I63" i="5"/>
  <c r="E63" i="5"/>
  <c r="C63" i="5"/>
  <c r="D63" i="5" s="1"/>
  <c r="B63" i="5"/>
  <c r="T62" i="5"/>
  <c r="L62" i="5"/>
  <c r="M62" i="5" s="1"/>
  <c r="AV62" i="5" s="1"/>
  <c r="I62" i="5"/>
  <c r="E62" i="5"/>
  <c r="C62" i="5"/>
  <c r="D62" i="5" s="1"/>
  <c r="B62" i="5"/>
  <c r="T61" i="5"/>
  <c r="L61" i="5"/>
  <c r="M61" i="5" s="1"/>
  <c r="AV61" i="5" s="1"/>
  <c r="I61" i="5"/>
  <c r="E61" i="5"/>
  <c r="C61" i="5"/>
  <c r="D61" i="5" s="1"/>
  <c r="B61" i="5"/>
  <c r="T60" i="5"/>
  <c r="L60" i="5"/>
  <c r="M60" i="5" s="1"/>
  <c r="AV60" i="5" s="1"/>
  <c r="I60" i="5"/>
  <c r="E60" i="5"/>
  <c r="C60" i="5"/>
  <c r="D60" i="5" s="1"/>
  <c r="B60" i="5"/>
  <c r="T59" i="5"/>
  <c r="L59" i="5"/>
  <c r="M59" i="5" s="1"/>
  <c r="AV59" i="5" s="1"/>
  <c r="I59" i="5"/>
  <c r="E59" i="5"/>
  <c r="C59" i="5"/>
  <c r="D59" i="5" s="1"/>
  <c r="B59" i="5"/>
  <c r="T58" i="5"/>
  <c r="L58" i="5"/>
  <c r="M58" i="5" s="1"/>
  <c r="AV58" i="5" s="1"/>
  <c r="I58" i="5"/>
  <c r="E58" i="5"/>
  <c r="C58" i="5"/>
  <c r="D58" i="5" s="1"/>
  <c r="B58" i="5"/>
  <c r="T57" i="5"/>
  <c r="L57" i="5"/>
  <c r="M57" i="5" s="1"/>
  <c r="AV57" i="5" s="1"/>
  <c r="I57" i="5"/>
  <c r="E57" i="5"/>
  <c r="C57" i="5"/>
  <c r="D57" i="5" s="1"/>
  <c r="B57" i="5"/>
  <c r="T56" i="5"/>
  <c r="L56" i="5"/>
  <c r="M56" i="5" s="1"/>
  <c r="AV56" i="5" s="1"/>
  <c r="I56" i="5"/>
  <c r="E56" i="5"/>
  <c r="C56" i="5"/>
  <c r="D56" i="5" s="1"/>
  <c r="B56" i="5"/>
  <c r="T55" i="5"/>
  <c r="L55" i="5"/>
  <c r="M55" i="5" s="1"/>
  <c r="AV55" i="5" s="1"/>
  <c r="I55" i="5"/>
  <c r="E55" i="5"/>
  <c r="C55" i="5"/>
  <c r="D55" i="5" s="1"/>
  <c r="B55" i="5"/>
  <c r="T54" i="5"/>
  <c r="L54" i="5"/>
  <c r="M54" i="5" s="1"/>
  <c r="AV54" i="5" s="1"/>
  <c r="I54" i="5"/>
  <c r="E54" i="5"/>
  <c r="C54" i="5"/>
  <c r="D54" i="5" s="1"/>
  <c r="B54" i="5"/>
  <c r="T53" i="5"/>
  <c r="L53" i="5"/>
  <c r="M53" i="5" s="1"/>
  <c r="AV53" i="5" s="1"/>
  <c r="I53" i="5"/>
  <c r="E53" i="5"/>
  <c r="C53" i="5"/>
  <c r="D53" i="5" s="1"/>
  <c r="B53" i="5"/>
  <c r="T52" i="5"/>
  <c r="L52" i="5"/>
  <c r="M52" i="5" s="1"/>
  <c r="AV52" i="5" s="1"/>
  <c r="I52" i="5"/>
  <c r="E52" i="5"/>
  <c r="C52" i="5"/>
  <c r="D52" i="5" s="1"/>
  <c r="B52" i="5"/>
  <c r="T51" i="5"/>
  <c r="L51" i="5"/>
  <c r="M51" i="5" s="1"/>
  <c r="AV51" i="5" s="1"/>
  <c r="I51" i="5"/>
  <c r="E51" i="5"/>
  <c r="C51" i="5"/>
  <c r="D51" i="5" s="1"/>
  <c r="B51" i="5"/>
  <c r="T50" i="5"/>
  <c r="L50" i="5"/>
  <c r="M50" i="5" s="1"/>
  <c r="AV50" i="5" s="1"/>
  <c r="I50" i="5"/>
  <c r="E50" i="5"/>
  <c r="C50" i="5"/>
  <c r="D50" i="5" s="1"/>
  <c r="B50" i="5"/>
  <c r="T49" i="5"/>
  <c r="L49" i="5"/>
  <c r="M49" i="5" s="1"/>
  <c r="AV49" i="5" s="1"/>
  <c r="I49" i="5"/>
  <c r="E49" i="5"/>
  <c r="C49" i="5"/>
  <c r="D49" i="5" s="1"/>
  <c r="B49" i="5"/>
  <c r="T48" i="5"/>
  <c r="L48" i="5"/>
  <c r="M48" i="5" s="1"/>
  <c r="AV48" i="5" s="1"/>
  <c r="I48" i="5"/>
  <c r="E48" i="5"/>
  <c r="C48" i="5"/>
  <c r="D48" i="5" s="1"/>
  <c r="B48" i="5"/>
  <c r="T47" i="5"/>
  <c r="L47" i="5"/>
  <c r="M47" i="5" s="1"/>
  <c r="AV47" i="5" s="1"/>
  <c r="I47" i="5"/>
  <c r="E47" i="5"/>
  <c r="C47" i="5"/>
  <c r="D47" i="5" s="1"/>
  <c r="B47" i="5"/>
  <c r="T46" i="5"/>
  <c r="L46" i="5"/>
  <c r="M46" i="5" s="1"/>
  <c r="AV46" i="5" s="1"/>
  <c r="I46" i="5"/>
  <c r="E46" i="5"/>
  <c r="C46" i="5"/>
  <c r="D46" i="5" s="1"/>
  <c r="B46" i="5"/>
  <c r="T45" i="5"/>
  <c r="L45" i="5"/>
  <c r="M45" i="5" s="1"/>
  <c r="AV45" i="5" s="1"/>
  <c r="I45" i="5"/>
  <c r="E45" i="5"/>
  <c r="C45" i="5"/>
  <c r="D45" i="5" s="1"/>
  <c r="B45" i="5"/>
  <c r="T44" i="5"/>
  <c r="L44" i="5"/>
  <c r="M44" i="5" s="1"/>
  <c r="AV44" i="5" s="1"/>
  <c r="I44" i="5"/>
  <c r="E44" i="5"/>
  <c r="C44" i="5"/>
  <c r="D44" i="5" s="1"/>
  <c r="B44" i="5"/>
  <c r="T43" i="5"/>
  <c r="L43" i="5"/>
  <c r="M43" i="5" s="1"/>
  <c r="AV43" i="5" s="1"/>
  <c r="I43" i="5"/>
  <c r="E43" i="5"/>
  <c r="C43" i="5"/>
  <c r="D43" i="5" s="1"/>
  <c r="B43" i="5"/>
  <c r="T42" i="5"/>
  <c r="L42" i="5"/>
  <c r="M42" i="5" s="1"/>
  <c r="AV42" i="5" s="1"/>
  <c r="I42" i="5"/>
  <c r="E42" i="5"/>
  <c r="C42" i="5"/>
  <c r="D42" i="5" s="1"/>
  <c r="B42" i="5"/>
  <c r="U41" i="5"/>
  <c r="T41" i="5"/>
  <c r="L41" i="5"/>
  <c r="M41" i="5" s="1"/>
  <c r="AV41" i="5" s="1"/>
  <c r="I41" i="5"/>
  <c r="E41" i="5"/>
  <c r="C41" i="5"/>
  <c r="D41" i="5" s="1"/>
  <c r="T40" i="5"/>
  <c r="L40" i="5"/>
  <c r="M40" i="5" s="1"/>
  <c r="AV40" i="5" s="1"/>
  <c r="I40" i="5"/>
  <c r="E40" i="5"/>
  <c r="C40" i="5"/>
  <c r="D40" i="5" s="1"/>
  <c r="B40" i="5"/>
  <c r="T39" i="5"/>
  <c r="L39" i="5"/>
  <c r="M39" i="5" s="1"/>
  <c r="AV39" i="5" s="1"/>
  <c r="I39" i="5"/>
  <c r="E39" i="5"/>
  <c r="C39" i="5"/>
  <c r="D39" i="5" s="1"/>
  <c r="B39" i="5"/>
  <c r="T38" i="5"/>
  <c r="L38" i="5"/>
  <c r="M38" i="5" s="1"/>
  <c r="AV38" i="5" s="1"/>
  <c r="I38" i="5"/>
  <c r="E38" i="5"/>
  <c r="C38" i="5"/>
  <c r="D38" i="5" s="1"/>
  <c r="B38" i="5"/>
  <c r="T37" i="5"/>
  <c r="L37" i="5"/>
  <c r="M37" i="5" s="1"/>
  <c r="AV37" i="5" s="1"/>
  <c r="I37" i="5"/>
  <c r="E37" i="5"/>
  <c r="C37" i="5"/>
  <c r="D37" i="5" s="1"/>
  <c r="B37" i="5"/>
  <c r="T36" i="5"/>
  <c r="L36" i="5"/>
  <c r="M36" i="5" s="1"/>
  <c r="AV36" i="5" s="1"/>
  <c r="I36" i="5"/>
  <c r="E36" i="5"/>
  <c r="C36" i="5"/>
  <c r="D36" i="5" s="1"/>
  <c r="B36" i="5"/>
  <c r="T35" i="5"/>
  <c r="L35" i="5"/>
  <c r="M35" i="5" s="1"/>
  <c r="AV35" i="5" s="1"/>
  <c r="I35" i="5"/>
  <c r="E35" i="5"/>
  <c r="C35" i="5"/>
  <c r="D35" i="5" s="1"/>
  <c r="B35" i="5"/>
  <c r="T34" i="5"/>
  <c r="L34" i="5"/>
  <c r="M34" i="5" s="1"/>
  <c r="AV34" i="5" s="1"/>
  <c r="I34" i="5"/>
  <c r="E34" i="5"/>
  <c r="C34" i="5"/>
  <c r="D34" i="5" s="1"/>
  <c r="B34" i="5"/>
  <c r="T33" i="5"/>
  <c r="L33" i="5"/>
  <c r="M33" i="5" s="1"/>
  <c r="AV33" i="5" s="1"/>
  <c r="I33" i="5"/>
  <c r="E33" i="5"/>
  <c r="C33" i="5"/>
  <c r="D33" i="5" s="1"/>
  <c r="B33" i="5"/>
  <c r="T32" i="5"/>
  <c r="L32" i="5"/>
  <c r="M32" i="5" s="1"/>
  <c r="AV32" i="5" s="1"/>
  <c r="I32" i="5"/>
  <c r="E32" i="5"/>
  <c r="C32" i="5"/>
  <c r="D32" i="5" s="1"/>
  <c r="B32" i="5"/>
  <c r="T31" i="5"/>
  <c r="L31" i="5"/>
  <c r="M31" i="5" s="1"/>
  <c r="AV31" i="5" s="1"/>
  <c r="I31" i="5"/>
  <c r="E31" i="5"/>
  <c r="C31" i="5"/>
  <c r="D31" i="5" s="1"/>
  <c r="B31" i="5"/>
  <c r="T30" i="5"/>
  <c r="L30" i="5"/>
  <c r="M30" i="5" s="1"/>
  <c r="AV30" i="5" s="1"/>
  <c r="I30" i="5"/>
  <c r="E30" i="5"/>
  <c r="C30" i="5"/>
  <c r="D30" i="5" s="1"/>
  <c r="B30" i="5"/>
  <c r="T29" i="5"/>
  <c r="L29" i="5"/>
  <c r="M29" i="5" s="1"/>
  <c r="AV29" i="5" s="1"/>
  <c r="I29" i="5"/>
  <c r="E29" i="5"/>
  <c r="C29" i="5"/>
  <c r="D29" i="5" s="1"/>
  <c r="B29" i="5"/>
  <c r="T28" i="5"/>
  <c r="L28" i="5"/>
  <c r="M28" i="5" s="1"/>
  <c r="AV28" i="5" s="1"/>
  <c r="I28" i="5"/>
  <c r="E28" i="5"/>
  <c r="C28" i="5"/>
  <c r="D28" i="5" s="1"/>
  <c r="B28" i="5"/>
  <c r="T27" i="5"/>
  <c r="L27" i="5"/>
  <c r="M27" i="5" s="1"/>
  <c r="AV27" i="5" s="1"/>
  <c r="I27" i="5"/>
  <c r="E27" i="5"/>
  <c r="C27" i="5"/>
  <c r="D27" i="5" s="1"/>
  <c r="B27" i="5"/>
  <c r="T26" i="5"/>
  <c r="L26" i="5"/>
  <c r="M26" i="5" s="1"/>
  <c r="AV26" i="5" s="1"/>
  <c r="I26" i="5"/>
  <c r="E26" i="5"/>
  <c r="C26" i="5"/>
  <c r="D26" i="5" s="1"/>
  <c r="B26" i="5"/>
  <c r="T25" i="5"/>
  <c r="L25" i="5"/>
  <c r="M25" i="5" s="1"/>
  <c r="AV25" i="5" s="1"/>
  <c r="I25" i="5"/>
  <c r="E25" i="5"/>
  <c r="C25" i="5"/>
  <c r="D25" i="5" s="1"/>
  <c r="B25" i="5"/>
  <c r="T24" i="5"/>
  <c r="L24" i="5"/>
  <c r="M24" i="5" s="1"/>
  <c r="AV24" i="5" s="1"/>
  <c r="I24" i="5"/>
  <c r="E24" i="5"/>
  <c r="C24" i="5"/>
  <c r="D24" i="5" s="1"/>
  <c r="B24" i="5"/>
  <c r="T23" i="5"/>
  <c r="L23" i="5"/>
  <c r="M23" i="5" s="1"/>
  <c r="AV23" i="5" s="1"/>
  <c r="I23" i="5"/>
  <c r="E23" i="5"/>
  <c r="C23" i="5"/>
  <c r="D23" i="5" s="1"/>
  <c r="B23" i="5"/>
  <c r="T22" i="5"/>
  <c r="L22" i="5"/>
  <c r="M22" i="5" s="1"/>
  <c r="AV22" i="5" s="1"/>
  <c r="I22" i="5"/>
  <c r="E22" i="5"/>
  <c r="C22" i="5"/>
  <c r="D22" i="5" s="1"/>
  <c r="B22" i="5"/>
  <c r="T21" i="5"/>
  <c r="L21" i="5"/>
  <c r="M21" i="5" s="1"/>
  <c r="AV21" i="5" s="1"/>
  <c r="I21" i="5"/>
  <c r="E21" i="5"/>
  <c r="C21" i="5"/>
  <c r="D21" i="5" s="1"/>
  <c r="B21" i="5"/>
  <c r="T20" i="5"/>
  <c r="L20" i="5"/>
  <c r="M20" i="5" s="1"/>
  <c r="AV20" i="5" s="1"/>
  <c r="I20" i="5"/>
  <c r="E20" i="5"/>
  <c r="C20" i="5"/>
  <c r="D20" i="5" s="1"/>
  <c r="B20" i="5"/>
  <c r="T19" i="5"/>
  <c r="L19" i="5"/>
  <c r="M19" i="5" s="1"/>
  <c r="AV19" i="5" s="1"/>
  <c r="I19" i="5"/>
  <c r="E19" i="5"/>
  <c r="C19" i="5"/>
  <c r="D19" i="5" s="1"/>
  <c r="B19" i="5"/>
  <c r="T18" i="5"/>
  <c r="L18" i="5"/>
  <c r="M18" i="5" s="1"/>
  <c r="AV18" i="5" s="1"/>
  <c r="I18" i="5"/>
  <c r="E18" i="5"/>
  <c r="C18" i="5"/>
  <c r="D18" i="5" s="1"/>
  <c r="B18" i="5"/>
  <c r="T17" i="5"/>
  <c r="L17" i="5"/>
  <c r="M17" i="5" s="1"/>
  <c r="AV17" i="5" s="1"/>
  <c r="I17" i="5"/>
  <c r="E17" i="5"/>
  <c r="C17" i="5"/>
  <c r="D17" i="5" s="1"/>
  <c r="B17" i="5"/>
  <c r="T16" i="5"/>
  <c r="L16" i="5"/>
  <c r="M16" i="5" s="1"/>
  <c r="AV16" i="5" s="1"/>
  <c r="I16" i="5"/>
  <c r="E16" i="5"/>
  <c r="C16" i="5"/>
  <c r="D16" i="5" s="1"/>
  <c r="B16" i="5"/>
  <c r="T15" i="5"/>
  <c r="L15" i="5"/>
  <c r="M15" i="5" s="1"/>
  <c r="AV15" i="5" s="1"/>
  <c r="I15" i="5"/>
  <c r="E15" i="5"/>
  <c r="C15" i="5"/>
  <c r="D15" i="5" s="1"/>
  <c r="B15" i="5"/>
  <c r="T14" i="5"/>
  <c r="L14" i="5"/>
  <c r="M14" i="5" s="1"/>
  <c r="AV14" i="5" s="1"/>
  <c r="I14" i="5"/>
  <c r="E14" i="5"/>
  <c r="C14" i="5"/>
  <c r="D14" i="5" s="1"/>
  <c r="B14" i="5"/>
  <c r="T13" i="5"/>
  <c r="L13" i="5"/>
  <c r="M13" i="5" s="1"/>
  <c r="AV13" i="5" s="1"/>
  <c r="I13" i="5"/>
  <c r="E13" i="5"/>
  <c r="C13" i="5"/>
  <c r="D13" i="5" s="1"/>
  <c r="B13" i="5"/>
  <c r="T12" i="5"/>
  <c r="L12" i="5"/>
  <c r="M12" i="5" s="1"/>
  <c r="AV12" i="5" s="1"/>
  <c r="I12" i="5"/>
  <c r="E12" i="5"/>
  <c r="C12" i="5"/>
  <c r="D12" i="5" s="1"/>
  <c r="B12" i="5"/>
  <c r="T11" i="5"/>
  <c r="L11" i="5"/>
  <c r="M11" i="5" s="1"/>
  <c r="AV11" i="5" s="1"/>
  <c r="I11" i="5"/>
  <c r="E11" i="5"/>
  <c r="C11" i="5"/>
  <c r="D11" i="5" s="1"/>
  <c r="B11" i="5"/>
  <c r="T10" i="5"/>
  <c r="L10" i="5"/>
  <c r="M10" i="5" s="1"/>
  <c r="AV10" i="5" s="1"/>
  <c r="I10" i="5"/>
  <c r="E10" i="5"/>
  <c r="C10" i="5"/>
  <c r="D10" i="5" s="1"/>
  <c r="B10" i="5"/>
  <c r="T9" i="5"/>
  <c r="P9" i="5"/>
  <c r="L9" i="5"/>
  <c r="M9" i="5" s="1"/>
  <c r="AV9" i="5" s="1"/>
  <c r="I9" i="5"/>
  <c r="E9" i="5"/>
  <c r="C9" i="5"/>
  <c r="D9" i="5" s="1"/>
  <c r="B9" i="5"/>
  <c r="T8" i="5"/>
  <c r="L8" i="5"/>
  <c r="M8" i="5" s="1"/>
  <c r="AV8" i="5" s="1"/>
  <c r="I8" i="5"/>
  <c r="E8" i="5"/>
  <c r="C8" i="5"/>
  <c r="D8" i="5" s="1"/>
  <c r="B8" i="5"/>
  <c r="T7" i="5"/>
  <c r="P7" i="5"/>
  <c r="L7" i="5"/>
  <c r="M7" i="5" s="1"/>
  <c r="AV7" i="5" s="1"/>
  <c r="I7" i="5"/>
  <c r="E7" i="5"/>
  <c r="C7" i="5"/>
  <c r="D7" i="5" s="1"/>
  <c r="B7" i="5"/>
  <c r="T6" i="5"/>
  <c r="L6" i="5"/>
  <c r="M6" i="5" s="1"/>
  <c r="AV6" i="5" s="1"/>
  <c r="I6" i="5"/>
  <c r="CJ6" i="5" s="1"/>
  <c r="E6" i="5"/>
  <c r="C6" i="5"/>
  <c r="D6" i="5" s="1"/>
  <c r="B6" i="5"/>
  <c r="U5" i="5"/>
  <c r="T5" i="5"/>
  <c r="L5" i="5"/>
  <c r="I5" i="5"/>
  <c r="E5" i="5"/>
  <c r="C5" i="5"/>
  <c r="D5" i="5" s="1"/>
  <c r="T4" i="5"/>
  <c r="L4" i="5"/>
  <c r="M4" i="5" s="1"/>
  <c r="AV4" i="5" s="1"/>
  <c r="I4" i="5"/>
  <c r="E4" i="5"/>
  <c r="C4" i="5"/>
  <c r="D4" i="5" s="1"/>
  <c r="B4" i="5"/>
  <c r="T3" i="5"/>
  <c r="P3" i="5"/>
  <c r="L3" i="5"/>
  <c r="M3" i="5" s="1"/>
  <c r="AV3" i="5" s="1"/>
  <c r="I3" i="5"/>
  <c r="C3" i="5"/>
  <c r="B3" i="5"/>
  <c r="M5" i="5" l="1"/>
  <c r="AV5" i="5" s="1"/>
  <c r="W5" i="5"/>
  <c r="CD474" i="5"/>
  <c r="CD406" i="5"/>
  <c r="CD347" i="5"/>
  <c r="CD405" i="5"/>
  <c r="CD444" i="5"/>
  <c r="CD523" i="5"/>
  <c r="CD476" i="5"/>
  <c r="CD510" i="5"/>
  <c r="CD345" i="5"/>
  <c r="CD452" i="5"/>
  <c r="CD358" i="5"/>
  <c r="CD461" i="5"/>
  <c r="CD354" i="5"/>
  <c r="AP3" i="5"/>
  <c r="BV3" i="5"/>
  <c r="AA3" i="5"/>
  <c r="CD456" i="5"/>
  <c r="CD290" i="5"/>
  <c r="CD490" i="5"/>
  <c r="CD352" i="5"/>
  <c r="CD341" i="5"/>
  <c r="CD330" i="5"/>
  <c r="CD504" i="5"/>
  <c r="CD475" i="5"/>
  <c r="CD304" i="5"/>
  <c r="CD433" i="5"/>
  <c r="CD428" i="5"/>
  <c r="CD282" i="5"/>
  <c r="CD491" i="5"/>
  <c r="CD332" i="5"/>
  <c r="CD321" i="5"/>
  <c r="CD426" i="5"/>
  <c r="CD380" i="5"/>
  <c r="CD455" i="5"/>
  <c r="CD525" i="5"/>
  <c r="CD409" i="5"/>
  <c r="CD333" i="5"/>
  <c r="CD339" i="5"/>
  <c r="CD417" i="5"/>
  <c r="CD416" i="5"/>
  <c r="CD540" i="5"/>
  <c r="CD334" i="5"/>
  <c r="CD297" i="5"/>
  <c r="CD466" i="5"/>
  <c r="CD423" i="5"/>
  <c r="CD420" i="5"/>
  <c r="CD368" i="5"/>
  <c r="CD305" i="5"/>
  <c r="CD306" i="5"/>
  <c r="CD457" i="5"/>
  <c r="CD399" i="5"/>
  <c r="CD286" i="5"/>
  <c r="CD397" i="5"/>
  <c r="CD285" i="5"/>
  <c r="CD299" i="5"/>
  <c r="CD495" i="5"/>
  <c r="CD432" i="5"/>
  <c r="CD543" i="5"/>
  <c r="CD430" i="5"/>
  <c r="CD353" i="5"/>
  <c r="CD346" i="5"/>
  <c r="CD340" i="5"/>
  <c r="CD404" i="5"/>
  <c r="CD395" i="5"/>
  <c r="CD503" i="5"/>
  <c r="CD394" i="5"/>
  <c r="CD337" i="5"/>
  <c r="CD465" i="5"/>
  <c r="CD301" i="5"/>
  <c r="CL82" i="5"/>
  <c r="CJ82" i="5"/>
  <c r="CH82" i="5"/>
  <c r="CF82" i="5"/>
  <c r="CL86" i="5"/>
  <c r="CJ86" i="5"/>
  <c r="CH86" i="5"/>
  <c r="CF86" i="5"/>
  <c r="CL90" i="5"/>
  <c r="CJ90" i="5"/>
  <c r="CH90" i="5"/>
  <c r="CF90" i="5"/>
  <c r="CL94" i="5"/>
  <c r="CJ94" i="5"/>
  <c r="CH94" i="5"/>
  <c r="CF94" i="5"/>
  <c r="CL98" i="5"/>
  <c r="CJ98" i="5"/>
  <c r="CH98" i="5"/>
  <c r="CF98" i="5"/>
  <c r="CL111" i="5"/>
  <c r="CJ111" i="5"/>
  <c r="CH111" i="5"/>
  <c r="CF111" i="5"/>
  <c r="CL112" i="5"/>
  <c r="CJ112" i="5"/>
  <c r="CH112" i="5"/>
  <c r="CF112" i="5"/>
  <c r="CL116" i="5"/>
  <c r="CJ116" i="5"/>
  <c r="CH116" i="5"/>
  <c r="CF116" i="5"/>
  <c r="CL124" i="5"/>
  <c r="CJ124" i="5"/>
  <c r="CH124" i="5"/>
  <c r="CF124" i="5"/>
  <c r="CL128" i="5"/>
  <c r="CJ128" i="5"/>
  <c r="CH128" i="5"/>
  <c r="CF128" i="5"/>
  <c r="CL136" i="5"/>
  <c r="CJ136" i="5"/>
  <c r="CH136" i="5"/>
  <c r="CF136" i="5"/>
  <c r="CL140" i="5"/>
  <c r="CJ140" i="5"/>
  <c r="CH140" i="5"/>
  <c r="CF140" i="5"/>
  <c r="CL144" i="5"/>
  <c r="CJ144" i="5"/>
  <c r="CH144" i="5"/>
  <c r="CF144" i="5"/>
  <c r="CL148" i="5"/>
  <c r="CJ148" i="5"/>
  <c r="CF148" i="5"/>
  <c r="CH148" i="5"/>
  <c r="CL152" i="5"/>
  <c r="CJ152" i="5"/>
  <c r="CH152" i="5"/>
  <c r="CF152" i="5"/>
  <c r="CL231" i="5"/>
  <c r="CJ231" i="5"/>
  <c r="CH231" i="5"/>
  <c r="CF231" i="5"/>
  <c r="CM232" i="5"/>
  <c r="CK232" i="5"/>
  <c r="CI232" i="5"/>
  <c r="CG232" i="5"/>
  <c r="CC232" i="5"/>
  <c r="CM234" i="5"/>
  <c r="CK234" i="5"/>
  <c r="CI234" i="5"/>
  <c r="CG234" i="5"/>
  <c r="CC234" i="5"/>
  <c r="CL239" i="5"/>
  <c r="CJ239" i="5"/>
  <c r="CH239" i="5"/>
  <c r="CF239" i="5"/>
  <c r="CL251" i="5"/>
  <c r="CJ251" i="5"/>
  <c r="CF251" i="5"/>
  <c r="CH251" i="5"/>
  <c r="CL254" i="5"/>
  <c r="CJ254" i="5"/>
  <c r="CH254" i="5"/>
  <c r="CF254" i="5"/>
  <c r="CL217" i="5"/>
  <c r="CJ217" i="5"/>
  <c r="CH217" i="5"/>
  <c r="CF217" i="5"/>
  <c r="CM255" i="5"/>
  <c r="CK255" i="5"/>
  <c r="CI255" i="5"/>
  <c r="CG255" i="5"/>
  <c r="CC255" i="5"/>
  <c r="CM259" i="5"/>
  <c r="CK259" i="5"/>
  <c r="CI259" i="5"/>
  <c r="CG259" i="5"/>
  <c r="CC259" i="5"/>
  <c r="CL220" i="5"/>
  <c r="CJ220" i="5"/>
  <c r="CF220" i="5"/>
  <c r="CH220" i="5"/>
  <c r="CL266" i="5"/>
  <c r="CJ266" i="5"/>
  <c r="CH266" i="5"/>
  <c r="CF266" i="5"/>
  <c r="CM274" i="5"/>
  <c r="CK274" i="5"/>
  <c r="CI274" i="5"/>
  <c r="CG274" i="5"/>
  <c r="CC274" i="5"/>
  <c r="CL221" i="5"/>
  <c r="CJ221" i="5"/>
  <c r="CH221" i="5"/>
  <c r="CF221" i="5"/>
  <c r="CJ439" i="5"/>
  <c r="CL439" i="5"/>
  <c r="CH439" i="5"/>
  <c r="CF439" i="5"/>
  <c r="CL230" i="5"/>
  <c r="CJ230" i="5"/>
  <c r="CH230" i="5"/>
  <c r="CF230" i="5"/>
  <c r="CL469" i="5"/>
  <c r="CJ469" i="5"/>
  <c r="CH469" i="5"/>
  <c r="CF469" i="5"/>
  <c r="CL438" i="5"/>
  <c r="CH438" i="5"/>
  <c r="CJ438" i="5"/>
  <c r="CF438" i="5"/>
  <c r="CL432" i="5"/>
  <c r="CJ432" i="5"/>
  <c r="CH432" i="5"/>
  <c r="CF432" i="5"/>
  <c r="CL543" i="5"/>
  <c r="CJ543" i="5"/>
  <c r="CH543" i="5"/>
  <c r="CF543" i="5"/>
  <c r="CL430" i="5"/>
  <c r="CH430" i="5"/>
  <c r="CJ430" i="5"/>
  <c r="CF430" i="5"/>
  <c r="CL353" i="5"/>
  <c r="CJ353" i="5"/>
  <c r="CH353" i="5"/>
  <c r="CF353" i="5"/>
  <c r="CL346" i="5"/>
  <c r="CJ346" i="5"/>
  <c r="CH346" i="5"/>
  <c r="CF346" i="5"/>
  <c r="CL340" i="5"/>
  <c r="CJ340" i="5"/>
  <c r="CF340" i="5"/>
  <c r="CH340" i="5"/>
  <c r="CL404" i="5"/>
  <c r="CJ404" i="5"/>
  <c r="CH404" i="5"/>
  <c r="CF404" i="5"/>
  <c r="BX415" i="5"/>
  <c r="CL395" i="5"/>
  <c r="CJ395" i="5"/>
  <c r="CH395" i="5"/>
  <c r="CF395" i="5"/>
  <c r="CJ503" i="5"/>
  <c r="CL503" i="5"/>
  <c r="CH503" i="5"/>
  <c r="CF503" i="5"/>
  <c r="CL394" i="5"/>
  <c r="CJ394" i="5"/>
  <c r="CH394" i="5"/>
  <c r="CF394" i="5"/>
  <c r="CL337" i="5"/>
  <c r="CJ337" i="5"/>
  <c r="CH337" i="5"/>
  <c r="CF337" i="5"/>
  <c r="CL465" i="5"/>
  <c r="CJ465" i="5"/>
  <c r="CH465" i="5"/>
  <c r="CF465" i="5"/>
  <c r="CL301" i="5"/>
  <c r="CJ301" i="5"/>
  <c r="CH301" i="5"/>
  <c r="CF301" i="5"/>
  <c r="CL365" i="5"/>
  <c r="CJ365" i="5"/>
  <c r="CH365" i="5"/>
  <c r="CF365" i="5"/>
  <c r="CL12" i="5"/>
  <c r="CJ12" i="5"/>
  <c r="CH12" i="5"/>
  <c r="CF12" i="5"/>
  <c r="CL16" i="5"/>
  <c r="CJ16" i="5"/>
  <c r="CH16" i="5"/>
  <c r="CF16" i="5"/>
  <c r="CL24" i="5"/>
  <c r="CJ24" i="5"/>
  <c r="CH24" i="5"/>
  <c r="CF24" i="5"/>
  <c r="CL71" i="5"/>
  <c r="CJ71" i="5"/>
  <c r="CH71" i="5"/>
  <c r="CF71" i="5"/>
  <c r="CL15" i="5"/>
  <c r="CH15" i="5"/>
  <c r="CJ15" i="5"/>
  <c r="CF15" i="5"/>
  <c r="CL19" i="5"/>
  <c r="CJ19" i="5"/>
  <c r="CH19" i="5"/>
  <c r="CF19" i="5"/>
  <c r="CL55" i="5"/>
  <c r="CJ55" i="5"/>
  <c r="CH55" i="5"/>
  <c r="CF55" i="5"/>
  <c r="CL67" i="5"/>
  <c r="CJ67" i="5"/>
  <c r="CH67" i="5"/>
  <c r="CF67" i="5"/>
  <c r="CL102" i="5"/>
  <c r="CJ102" i="5"/>
  <c r="CH102" i="5"/>
  <c r="CF102" i="5"/>
  <c r="CL167" i="5"/>
  <c r="CJ167" i="5"/>
  <c r="CH167" i="5"/>
  <c r="CF167" i="5"/>
  <c r="CL175" i="5"/>
  <c r="CJ175" i="5"/>
  <c r="CH175" i="5"/>
  <c r="CF175" i="5"/>
  <c r="CL187" i="5"/>
  <c r="CJ187" i="5"/>
  <c r="CF187" i="5"/>
  <c r="CH187" i="5"/>
  <c r="CL211" i="5"/>
  <c r="CJ211" i="5"/>
  <c r="CH211" i="5"/>
  <c r="CF211" i="5"/>
  <c r="CL261" i="5"/>
  <c r="CJ261" i="5"/>
  <c r="CH261" i="5"/>
  <c r="CF261" i="5"/>
  <c r="CL410" i="5"/>
  <c r="CJ410" i="5"/>
  <c r="CH410" i="5"/>
  <c r="CF410" i="5"/>
  <c r="CL229" i="5"/>
  <c r="CJ229" i="5"/>
  <c r="CH229" i="5"/>
  <c r="CF229" i="5"/>
  <c r="CL320" i="5"/>
  <c r="CJ320" i="5"/>
  <c r="CH320" i="5"/>
  <c r="CF320" i="5"/>
  <c r="CL278" i="5"/>
  <c r="CH278" i="5"/>
  <c r="CJ278" i="5"/>
  <c r="CF278" i="5"/>
  <c r="CL541" i="5"/>
  <c r="CJ541" i="5"/>
  <c r="CH541" i="5"/>
  <c r="CF541" i="5"/>
  <c r="CJ487" i="5"/>
  <c r="CL487" i="5"/>
  <c r="CH487" i="5"/>
  <c r="CF487" i="5"/>
  <c r="CL292" i="5"/>
  <c r="CJ292" i="5"/>
  <c r="CH292" i="5"/>
  <c r="CF292" i="5"/>
  <c r="CL291" i="5"/>
  <c r="CJ291" i="5"/>
  <c r="CH291" i="5"/>
  <c r="CF291" i="5"/>
  <c r="CL396" i="5"/>
  <c r="CJ396" i="5"/>
  <c r="CH396" i="5"/>
  <c r="CF396" i="5"/>
  <c r="CL328" i="5"/>
  <c r="CJ328" i="5"/>
  <c r="CH328" i="5"/>
  <c r="CF328" i="5"/>
  <c r="CL443" i="5"/>
  <c r="CJ443" i="5"/>
  <c r="CH443" i="5"/>
  <c r="CF443" i="5"/>
  <c r="CL343" i="5"/>
  <c r="CJ343" i="5"/>
  <c r="CH343" i="5"/>
  <c r="CF343" i="5"/>
  <c r="CL342" i="5"/>
  <c r="CH342" i="5"/>
  <c r="CJ342" i="5"/>
  <c r="CF342" i="5"/>
  <c r="CL308" i="5"/>
  <c r="CJ308" i="5"/>
  <c r="CF308" i="5"/>
  <c r="CH308" i="5"/>
  <c r="CL512" i="5"/>
  <c r="CJ512" i="5"/>
  <c r="CH512" i="5"/>
  <c r="CF512" i="5"/>
  <c r="CL502" i="5"/>
  <c r="CH502" i="5"/>
  <c r="CJ502" i="5"/>
  <c r="CF502" i="5"/>
  <c r="CL377" i="5"/>
  <c r="CJ377" i="5"/>
  <c r="CH377" i="5"/>
  <c r="CF377" i="5"/>
  <c r="CL459" i="5"/>
  <c r="CJ459" i="5"/>
  <c r="CH459" i="5"/>
  <c r="CF459" i="5"/>
  <c r="CL529" i="5"/>
  <c r="CJ529" i="5"/>
  <c r="CH529" i="5"/>
  <c r="CF529" i="5"/>
  <c r="CL458" i="5"/>
  <c r="CJ458" i="5"/>
  <c r="CH458" i="5"/>
  <c r="CF458" i="5"/>
  <c r="CJ511" i="5"/>
  <c r="CL511" i="5"/>
  <c r="CH511" i="5"/>
  <c r="CF511" i="5"/>
  <c r="CL506" i="5"/>
  <c r="CJ506" i="5"/>
  <c r="CH506" i="5"/>
  <c r="CF506" i="5"/>
  <c r="CL441" i="5"/>
  <c r="CJ441" i="5"/>
  <c r="CH441" i="5"/>
  <c r="CF441" i="5"/>
  <c r="CL303" i="5"/>
  <c r="CJ303" i="5"/>
  <c r="CH303" i="5"/>
  <c r="CF303" i="5"/>
  <c r="CL403" i="5"/>
  <c r="CJ403" i="5"/>
  <c r="CH403" i="5"/>
  <c r="CF403" i="5"/>
  <c r="CL372" i="5"/>
  <c r="CJ372" i="5"/>
  <c r="CH372" i="5"/>
  <c r="CF372" i="5"/>
  <c r="CL473" i="5"/>
  <c r="CJ473" i="5"/>
  <c r="CH473" i="5"/>
  <c r="CF473" i="5"/>
  <c r="CL450" i="5"/>
  <c r="CJ450" i="5"/>
  <c r="CH450" i="5"/>
  <c r="CF450" i="5"/>
  <c r="CL364" i="5"/>
  <c r="CJ364" i="5"/>
  <c r="CH364" i="5"/>
  <c r="CF364" i="5"/>
  <c r="CL363" i="5"/>
  <c r="CJ363" i="5"/>
  <c r="CH363" i="5"/>
  <c r="CF363" i="5"/>
  <c r="CL362" i="5"/>
  <c r="CJ362" i="5"/>
  <c r="CH362" i="5"/>
  <c r="CF362" i="5"/>
  <c r="CL536" i="5"/>
  <c r="CJ536" i="5"/>
  <c r="CH536" i="5"/>
  <c r="CF536" i="5"/>
  <c r="CL315" i="5"/>
  <c r="CJ315" i="5"/>
  <c r="CF315" i="5"/>
  <c r="CH315" i="5"/>
  <c r="CL360" i="5"/>
  <c r="CJ360" i="5"/>
  <c r="CH360" i="5"/>
  <c r="CF360" i="5"/>
  <c r="CL424" i="5"/>
  <c r="CJ424" i="5"/>
  <c r="CH424" i="5"/>
  <c r="CF424" i="5"/>
  <c r="CL484" i="5"/>
  <c r="CJ484" i="5"/>
  <c r="CH484" i="5"/>
  <c r="CF484" i="5"/>
  <c r="CL485" i="5"/>
  <c r="CJ485" i="5"/>
  <c r="CH485" i="5"/>
  <c r="CF485" i="5"/>
  <c r="CJ519" i="5"/>
  <c r="CL519" i="5"/>
  <c r="CH519" i="5"/>
  <c r="CF519" i="5"/>
  <c r="CL464" i="5"/>
  <c r="CJ464" i="5"/>
  <c r="CH464" i="5"/>
  <c r="CF464" i="5"/>
  <c r="CL507" i="5"/>
  <c r="CJ507" i="5"/>
  <c r="CH507" i="5"/>
  <c r="CF507" i="5"/>
  <c r="CL498" i="5"/>
  <c r="CJ498" i="5"/>
  <c r="CH498" i="5"/>
  <c r="CF498" i="5"/>
  <c r="CJ447" i="5"/>
  <c r="CL447" i="5"/>
  <c r="CH447" i="5"/>
  <c r="CF447" i="5"/>
  <c r="CL367" i="5"/>
  <c r="CJ367" i="5"/>
  <c r="CH367" i="5"/>
  <c r="CF367" i="5"/>
  <c r="CL384" i="5"/>
  <c r="CJ384" i="5"/>
  <c r="CH384" i="5"/>
  <c r="CF384" i="5"/>
  <c r="CL70" i="5"/>
  <c r="CJ70" i="5"/>
  <c r="CH70" i="5"/>
  <c r="CF70" i="5"/>
  <c r="CL77" i="5"/>
  <c r="CJ77" i="5"/>
  <c r="CH77" i="5"/>
  <c r="CF77" i="5"/>
  <c r="CL81" i="5"/>
  <c r="CJ81" i="5"/>
  <c r="CH81" i="5"/>
  <c r="CF81" i="5"/>
  <c r="CL85" i="5"/>
  <c r="CJ85" i="5"/>
  <c r="CH85" i="5"/>
  <c r="CF85" i="5"/>
  <c r="CL89" i="5"/>
  <c r="CJ89" i="5"/>
  <c r="CH89" i="5"/>
  <c r="CF89" i="5"/>
  <c r="CL93" i="5"/>
  <c r="CJ93" i="5"/>
  <c r="CH93" i="5"/>
  <c r="CF93" i="5"/>
  <c r="CL97" i="5"/>
  <c r="CJ97" i="5"/>
  <c r="CH97" i="5"/>
  <c r="CF97" i="5"/>
  <c r="CL115" i="5"/>
  <c r="CJ115" i="5"/>
  <c r="CH115" i="5"/>
  <c r="CF115" i="5"/>
  <c r="CL119" i="5"/>
  <c r="CJ119" i="5"/>
  <c r="CH119" i="5"/>
  <c r="CF119" i="5"/>
  <c r="CL123" i="5"/>
  <c r="CJ123" i="5"/>
  <c r="CF123" i="5"/>
  <c r="CH123" i="5"/>
  <c r="CL127" i="5"/>
  <c r="CJ127" i="5"/>
  <c r="CH127" i="5"/>
  <c r="CF127" i="5"/>
  <c r="CL131" i="5"/>
  <c r="CJ131" i="5"/>
  <c r="CH131" i="5"/>
  <c r="CF131" i="5"/>
  <c r="CL135" i="5"/>
  <c r="CJ135" i="5"/>
  <c r="CH135" i="5"/>
  <c r="CF135" i="5"/>
  <c r="CL139" i="5"/>
  <c r="CJ139" i="5"/>
  <c r="CH139" i="5"/>
  <c r="CF139" i="5"/>
  <c r="CL143" i="5"/>
  <c r="CJ143" i="5"/>
  <c r="CH143" i="5"/>
  <c r="CF143" i="5"/>
  <c r="CL147" i="5"/>
  <c r="CJ147" i="5"/>
  <c r="CH147" i="5"/>
  <c r="CF147" i="5"/>
  <c r="CL151" i="5"/>
  <c r="CJ151" i="5"/>
  <c r="CH151" i="5"/>
  <c r="CF151" i="5"/>
  <c r="CL170" i="5"/>
  <c r="CJ170" i="5"/>
  <c r="CH170" i="5"/>
  <c r="CF170" i="5"/>
  <c r="CL226" i="5"/>
  <c r="CJ226" i="5"/>
  <c r="CH226" i="5"/>
  <c r="CF226" i="5"/>
  <c r="CM231" i="5"/>
  <c r="CK231" i="5"/>
  <c r="CI231" i="5"/>
  <c r="CG231" i="5"/>
  <c r="CC231" i="5"/>
  <c r="BY234" i="5"/>
  <c r="CL244" i="5"/>
  <c r="CJ244" i="5"/>
  <c r="CH244" i="5"/>
  <c r="CF244" i="5"/>
  <c r="CL248" i="5"/>
  <c r="CJ248" i="5"/>
  <c r="CH248" i="5"/>
  <c r="CF248" i="5"/>
  <c r="CL215" i="5"/>
  <c r="CJ215" i="5"/>
  <c r="CH215" i="5"/>
  <c r="CF215" i="5"/>
  <c r="CL256" i="5"/>
  <c r="CJ256" i="5"/>
  <c r="CH256" i="5"/>
  <c r="CF256" i="5"/>
  <c r="CL270" i="5"/>
  <c r="CJ270" i="5"/>
  <c r="CH270" i="5"/>
  <c r="CF270" i="5"/>
  <c r="CL219" i="5"/>
  <c r="CJ219" i="5"/>
  <c r="CF219" i="5"/>
  <c r="CH219" i="5"/>
  <c r="CM266" i="5"/>
  <c r="CK266" i="5"/>
  <c r="CI266" i="5"/>
  <c r="CG266" i="5"/>
  <c r="CC266" i="5"/>
  <c r="CM221" i="5"/>
  <c r="CK221" i="5"/>
  <c r="CI221" i="5"/>
  <c r="CG221" i="5"/>
  <c r="CC221" i="5"/>
  <c r="CL491" i="5"/>
  <c r="CJ491" i="5"/>
  <c r="CH491" i="5"/>
  <c r="CF491" i="5"/>
  <c r="CL332" i="5"/>
  <c r="CJ332" i="5"/>
  <c r="CH332" i="5"/>
  <c r="CF332" i="5"/>
  <c r="CL321" i="5"/>
  <c r="CJ321" i="5"/>
  <c r="CH321" i="5"/>
  <c r="CF321" i="5"/>
  <c r="CL426" i="5"/>
  <c r="CJ426" i="5"/>
  <c r="CH426" i="5"/>
  <c r="CF426" i="5"/>
  <c r="CL380" i="5"/>
  <c r="CJ380" i="5"/>
  <c r="CH380" i="5"/>
  <c r="CF380" i="5"/>
  <c r="CJ455" i="5"/>
  <c r="CL455" i="5"/>
  <c r="CH455" i="5"/>
  <c r="CF455" i="5"/>
  <c r="CL525" i="5"/>
  <c r="CJ525" i="5"/>
  <c r="CH525" i="5"/>
  <c r="CF525" i="5"/>
  <c r="CL409" i="5"/>
  <c r="CJ409" i="5"/>
  <c r="CH409" i="5"/>
  <c r="CF409" i="5"/>
  <c r="CL474" i="5"/>
  <c r="CJ474" i="5"/>
  <c r="CH474" i="5"/>
  <c r="CF474" i="5"/>
  <c r="CL406" i="5"/>
  <c r="CH406" i="5"/>
  <c r="CJ406" i="5"/>
  <c r="CF406" i="5"/>
  <c r="CL347" i="5"/>
  <c r="CJ347" i="5"/>
  <c r="CF347" i="5"/>
  <c r="CH347" i="5"/>
  <c r="CL405" i="5"/>
  <c r="CJ405" i="5"/>
  <c r="CH405" i="5"/>
  <c r="CF405" i="5"/>
  <c r="CL444" i="5"/>
  <c r="CJ444" i="5"/>
  <c r="CF444" i="5"/>
  <c r="CH444" i="5"/>
  <c r="CL523" i="5"/>
  <c r="CJ523" i="5"/>
  <c r="CH523" i="5"/>
  <c r="CF523" i="5"/>
  <c r="CL476" i="5"/>
  <c r="CJ476" i="5"/>
  <c r="CF476" i="5"/>
  <c r="CH476" i="5"/>
  <c r="CL510" i="5"/>
  <c r="CJ510" i="5"/>
  <c r="CH510" i="5"/>
  <c r="CF510" i="5"/>
  <c r="CL345" i="5"/>
  <c r="CJ345" i="5"/>
  <c r="CH345" i="5"/>
  <c r="CF345" i="5"/>
  <c r="CL452" i="5"/>
  <c r="CJ452" i="5"/>
  <c r="CH452" i="5"/>
  <c r="CF452" i="5"/>
  <c r="BX492" i="5"/>
  <c r="CL358" i="5"/>
  <c r="CH358" i="5"/>
  <c r="CJ358" i="5"/>
  <c r="CF358" i="5"/>
  <c r="CL461" i="5"/>
  <c r="CJ461" i="5"/>
  <c r="CH461" i="5"/>
  <c r="CF461" i="5"/>
  <c r="CL354" i="5"/>
  <c r="CJ354" i="5"/>
  <c r="CH354" i="5"/>
  <c r="CF354" i="5"/>
  <c r="CJ423" i="5"/>
  <c r="CL423" i="5"/>
  <c r="CH423" i="5"/>
  <c r="CF423" i="5"/>
  <c r="CL420" i="5"/>
  <c r="CJ420" i="5"/>
  <c r="CH420" i="5"/>
  <c r="CF420" i="5"/>
  <c r="CL368" i="5"/>
  <c r="CJ368" i="5"/>
  <c r="CH368" i="5"/>
  <c r="CF368" i="5"/>
  <c r="CL11" i="5"/>
  <c r="CJ11" i="5"/>
  <c r="CH11" i="5"/>
  <c r="CF11" i="5"/>
  <c r="CL27" i="5"/>
  <c r="CJ27" i="5"/>
  <c r="CH27" i="5"/>
  <c r="CF27" i="5"/>
  <c r="CL63" i="5"/>
  <c r="CJ63" i="5"/>
  <c r="CH63" i="5"/>
  <c r="CF63" i="5"/>
  <c r="CL106" i="5"/>
  <c r="CJ106" i="5"/>
  <c r="CH106" i="5"/>
  <c r="CF106" i="5"/>
  <c r="CL110" i="5"/>
  <c r="CJ110" i="5"/>
  <c r="CH110" i="5"/>
  <c r="CF110" i="5"/>
  <c r="CL179" i="5"/>
  <c r="CJ179" i="5"/>
  <c r="CH179" i="5"/>
  <c r="CF179" i="5"/>
  <c r="CL183" i="5"/>
  <c r="CJ183" i="5"/>
  <c r="CH183" i="5"/>
  <c r="CF183" i="5"/>
  <c r="CL207" i="5"/>
  <c r="CJ207" i="5"/>
  <c r="CH207" i="5"/>
  <c r="CF207" i="5"/>
  <c r="CL253" i="5"/>
  <c r="CJ253" i="5"/>
  <c r="CH253" i="5"/>
  <c r="CF253" i="5"/>
  <c r="CL10" i="5"/>
  <c r="CJ10" i="5"/>
  <c r="CH10" i="5"/>
  <c r="CF10" i="5"/>
  <c r="CL9" i="5"/>
  <c r="CJ9" i="5"/>
  <c r="CH9" i="5"/>
  <c r="CF9" i="5"/>
  <c r="CL14" i="5"/>
  <c r="CJ14" i="5"/>
  <c r="CH14" i="5"/>
  <c r="CF14" i="5"/>
  <c r="CL22" i="5"/>
  <c r="CJ22" i="5"/>
  <c r="CH22" i="5"/>
  <c r="CF22" i="5"/>
  <c r="CL34" i="5"/>
  <c r="CJ34" i="5"/>
  <c r="CH34" i="5"/>
  <c r="CF34" i="5"/>
  <c r="CL38" i="5"/>
  <c r="CJ38" i="5"/>
  <c r="CH38" i="5"/>
  <c r="CF38" i="5"/>
  <c r="CL50" i="5"/>
  <c r="CJ50" i="5"/>
  <c r="CH50" i="5"/>
  <c r="CF50" i="5"/>
  <c r="CL54" i="5"/>
  <c r="CJ54" i="5"/>
  <c r="CH54" i="5"/>
  <c r="CF54" i="5"/>
  <c r="CL105" i="5"/>
  <c r="CJ105" i="5"/>
  <c r="CH105" i="5"/>
  <c r="CF105" i="5"/>
  <c r="CL142" i="5"/>
  <c r="CJ142" i="5"/>
  <c r="CH142" i="5"/>
  <c r="CF142" i="5"/>
  <c r="CL162" i="5"/>
  <c r="CJ162" i="5"/>
  <c r="CH162" i="5"/>
  <c r="CF162" i="5"/>
  <c r="CL194" i="5"/>
  <c r="CJ194" i="5"/>
  <c r="CH194" i="5"/>
  <c r="CF194" i="5"/>
  <c r="CL198" i="5"/>
  <c r="CJ198" i="5"/>
  <c r="CH198" i="5"/>
  <c r="CF198" i="5"/>
  <c r="CL206" i="5"/>
  <c r="CJ206" i="5"/>
  <c r="CH206" i="5"/>
  <c r="CF206" i="5"/>
  <c r="CM238" i="5"/>
  <c r="CK238" i="5"/>
  <c r="CI238" i="5"/>
  <c r="CG238" i="5"/>
  <c r="CC238" i="5"/>
  <c r="CL243" i="5"/>
  <c r="CJ243" i="5"/>
  <c r="CH243" i="5"/>
  <c r="CF243" i="5"/>
  <c r="CM250" i="5"/>
  <c r="CK250" i="5"/>
  <c r="CI250" i="5"/>
  <c r="CG250" i="5"/>
  <c r="CC250" i="5"/>
  <c r="CM253" i="5"/>
  <c r="CK253" i="5"/>
  <c r="CI253" i="5"/>
  <c r="CG253" i="5"/>
  <c r="CC253" i="5"/>
  <c r="CM257" i="5"/>
  <c r="CK257" i="5"/>
  <c r="CI257" i="5"/>
  <c r="CG257" i="5"/>
  <c r="CC257" i="5"/>
  <c r="CL262" i="5"/>
  <c r="CJ262" i="5"/>
  <c r="CH262" i="5"/>
  <c r="CF262" i="5"/>
  <c r="CL218" i="5"/>
  <c r="CJ218" i="5"/>
  <c r="CH218" i="5"/>
  <c r="CF218" i="5"/>
  <c r="CM261" i="5"/>
  <c r="CK261" i="5"/>
  <c r="CI261" i="5"/>
  <c r="CG261" i="5"/>
  <c r="CC261" i="5"/>
  <c r="CL264" i="5"/>
  <c r="CJ264" i="5"/>
  <c r="CH264" i="5"/>
  <c r="CF264" i="5"/>
  <c r="CL307" i="5"/>
  <c r="CJ307" i="5"/>
  <c r="CH307" i="5"/>
  <c r="CF307" i="5"/>
  <c r="CL224" i="5"/>
  <c r="CJ224" i="5"/>
  <c r="CH224" i="5"/>
  <c r="CF224" i="5"/>
  <c r="CL434" i="5"/>
  <c r="CJ434" i="5"/>
  <c r="CH434" i="5"/>
  <c r="CF434" i="5"/>
  <c r="CM229" i="5"/>
  <c r="CK229" i="5"/>
  <c r="CI229" i="5"/>
  <c r="CG229" i="5"/>
  <c r="CC229" i="5"/>
  <c r="CL233" i="5"/>
  <c r="CJ233" i="5"/>
  <c r="CH233" i="5"/>
  <c r="CF233" i="5"/>
  <c r="CL408" i="5"/>
  <c r="CJ408" i="5"/>
  <c r="CH408" i="5"/>
  <c r="CF408" i="5"/>
  <c r="CL446" i="5"/>
  <c r="CJ446" i="5"/>
  <c r="CH446" i="5"/>
  <c r="CF446" i="5"/>
  <c r="CL379" i="5"/>
  <c r="CJ379" i="5"/>
  <c r="CH379" i="5"/>
  <c r="CF379" i="5"/>
  <c r="CL486" i="5"/>
  <c r="CH486" i="5"/>
  <c r="CJ486" i="5"/>
  <c r="CF486" i="5"/>
  <c r="CL284" i="5"/>
  <c r="CJ284" i="5"/>
  <c r="CF284" i="5"/>
  <c r="CH284" i="5"/>
  <c r="BX346" i="5"/>
  <c r="CL524" i="5"/>
  <c r="CJ524" i="5"/>
  <c r="CH524" i="5"/>
  <c r="CF524" i="5"/>
  <c r="CL526" i="5"/>
  <c r="CH526" i="5"/>
  <c r="CJ526" i="5"/>
  <c r="CF526" i="5"/>
  <c r="CL338" i="5"/>
  <c r="CJ338" i="5"/>
  <c r="CH338" i="5"/>
  <c r="CF338" i="5"/>
  <c r="CL348" i="5"/>
  <c r="CJ348" i="5"/>
  <c r="CF348" i="5"/>
  <c r="CH348" i="5"/>
  <c r="CL454" i="5"/>
  <c r="CJ454" i="5"/>
  <c r="CH454" i="5"/>
  <c r="CF454" i="5"/>
  <c r="CL318" i="5"/>
  <c r="CJ318" i="5"/>
  <c r="CH318" i="5"/>
  <c r="CF318" i="5"/>
  <c r="CL451" i="5"/>
  <c r="CJ451" i="5"/>
  <c r="CH451" i="5"/>
  <c r="CF451" i="5"/>
  <c r="BX301" i="5"/>
  <c r="CL309" i="5"/>
  <c r="CJ309" i="5"/>
  <c r="CH309" i="5"/>
  <c r="CF309" i="5"/>
  <c r="CL312" i="5"/>
  <c r="CJ312" i="5"/>
  <c r="CH312" i="5"/>
  <c r="CF312" i="5"/>
  <c r="CL533" i="5"/>
  <c r="CJ533" i="5"/>
  <c r="CH533" i="5"/>
  <c r="CF533" i="5"/>
  <c r="CL327" i="5"/>
  <c r="CJ327" i="5"/>
  <c r="CH327" i="5"/>
  <c r="CF327" i="5"/>
  <c r="CL316" i="5"/>
  <c r="CJ316" i="5"/>
  <c r="CF316" i="5"/>
  <c r="CH316" i="5"/>
  <c r="CL530" i="5"/>
  <c r="CJ530" i="5"/>
  <c r="CH530" i="5"/>
  <c r="CF530" i="5"/>
  <c r="CL521" i="5"/>
  <c r="CJ521" i="5"/>
  <c r="CH521" i="5"/>
  <c r="CF521" i="5"/>
  <c r="CL281" i="5"/>
  <c r="CJ281" i="5"/>
  <c r="CH281" i="5"/>
  <c r="CF281" i="5"/>
  <c r="CL517" i="5"/>
  <c r="CJ517" i="5"/>
  <c r="CH517" i="5"/>
  <c r="CF517" i="5"/>
  <c r="CL477" i="5"/>
  <c r="CJ477" i="5"/>
  <c r="CH477" i="5"/>
  <c r="CF477" i="5"/>
  <c r="CL373" i="5"/>
  <c r="CJ373" i="5"/>
  <c r="CH373" i="5"/>
  <c r="CF373" i="5"/>
  <c r="CL324" i="5"/>
  <c r="CJ324" i="5"/>
  <c r="CH324" i="5"/>
  <c r="CF324" i="5"/>
  <c r="CL302" i="5"/>
  <c r="CH302" i="5"/>
  <c r="CJ302" i="5"/>
  <c r="CF302" i="5"/>
  <c r="CL537" i="5"/>
  <c r="CJ537" i="5"/>
  <c r="CH537" i="5"/>
  <c r="CF537" i="5"/>
  <c r="CL371" i="5"/>
  <c r="CJ371" i="5"/>
  <c r="CH371" i="5"/>
  <c r="CF371" i="5"/>
  <c r="CL322" i="5"/>
  <c r="CJ322" i="5"/>
  <c r="CH322" i="5"/>
  <c r="CF322" i="5"/>
  <c r="CL472" i="5"/>
  <c r="CJ472" i="5"/>
  <c r="CH472" i="5"/>
  <c r="CF472" i="5"/>
  <c r="CL482" i="5"/>
  <c r="CJ482" i="5"/>
  <c r="CH482" i="5"/>
  <c r="CF482" i="5"/>
  <c r="CL481" i="5"/>
  <c r="CJ481" i="5"/>
  <c r="CH481" i="5"/>
  <c r="CF481" i="5"/>
  <c r="CL479" i="5"/>
  <c r="CJ479" i="5"/>
  <c r="CH479" i="5"/>
  <c r="CF479" i="5"/>
  <c r="CL501" i="5"/>
  <c r="CJ501" i="5"/>
  <c r="CH501" i="5"/>
  <c r="CF501" i="5"/>
  <c r="CL314" i="5"/>
  <c r="CJ314" i="5"/>
  <c r="CH314" i="5"/>
  <c r="CF314" i="5"/>
  <c r="CL534" i="5"/>
  <c r="CH534" i="5"/>
  <c r="CJ534" i="5"/>
  <c r="CF534" i="5"/>
  <c r="CL514" i="5"/>
  <c r="CJ514" i="5"/>
  <c r="CH514" i="5"/>
  <c r="CF514" i="5"/>
  <c r="CL435" i="5"/>
  <c r="CJ435" i="5"/>
  <c r="CH435" i="5"/>
  <c r="CF435" i="5"/>
  <c r="CL369" i="5"/>
  <c r="CJ369" i="5"/>
  <c r="CH369" i="5"/>
  <c r="CF369" i="5"/>
  <c r="CL508" i="5"/>
  <c r="CJ508" i="5"/>
  <c r="CH508" i="5"/>
  <c r="CF508" i="5"/>
  <c r="CL386" i="5"/>
  <c r="CJ386" i="5"/>
  <c r="CH386" i="5"/>
  <c r="CF386" i="5"/>
  <c r="CL496" i="5"/>
  <c r="CJ496" i="5"/>
  <c r="CH496" i="5"/>
  <c r="CF496" i="5"/>
  <c r="CL493" i="5"/>
  <c r="CJ493" i="5"/>
  <c r="CH493" i="5"/>
  <c r="CF493" i="5"/>
  <c r="CL419" i="5"/>
  <c r="CJ419" i="5"/>
  <c r="CH419" i="5"/>
  <c r="CF419" i="5"/>
  <c r="CM219" i="5"/>
  <c r="CK219" i="5"/>
  <c r="CI219" i="5"/>
  <c r="CG219" i="5"/>
  <c r="CC219" i="5"/>
  <c r="CL20" i="5"/>
  <c r="CJ20" i="5"/>
  <c r="CH20" i="5"/>
  <c r="CF20" i="5"/>
  <c r="CL6" i="5"/>
  <c r="CH6" i="5"/>
  <c r="CF6" i="5"/>
  <c r="CL23" i="5"/>
  <c r="CH23" i="5"/>
  <c r="CJ23" i="5"/>
  <c r="CF23" i="5"/>
  <c r="CL31" i="5"/>
  <c r="CH31" i="5"/>
  <c r="CJ31" i="5"/>
  <c r="CF31" i="5"/>
  <c r="CL35" i="5"/>
  <c r="CJ35" i="5"/>
  <c r="CH35" i="5"/>
  <c r="CF35" i="5"/>
  <c r="CL51" i="5"/>
  <c r="CJ51" i="5"/>
  <c r="CH51" i="5"/>
  <c r="CF51" i="5"/>
  <c r="CL74" i="5"/>
  <c r="CJ74" i="5"/>
  <c r="CH74" i="5"/>
  <c r="CF74" i="5"/>
  <c r="CL163" i="5"/>
  <c r="CJ163" i="5"/>
  <c r="CH163" i="5"/>
  <c r="CF163" i="5"/>
  <c r="CL171" i="5"/>
  <c r="CJ171" i="5"/>
  <c r="CH171" i="5"/>
  <c r="CF171" i="5"/>
  <c r="CL203" i="5"/>
  <c r="CJ203" i="5"/>
  <c r="CH203" i="5"/>
  <c r="CF203" i="5"/>
  <c r="CL227" i="5"/>
  <c r="CJ227" i="5"/>
  <c r="CH227" i="5"/>
  <c r="CF227" i="5"/>
  <c r="CM235" i="5"/>
  <c r="CK235" i="5"/>
  <c r="CI235" i="5"/>
  <c r="CG235" i="5"/>
  <c r="CC235" i="5"/>
  <c r="CL245" i="5"/>
  <c r="CJ245" i="5"/>
  <c r="CH245" i="5"/>
  <c r="CF245" i="5"/>
  <c r="CL257" i="5"/>
  <c r="CJ257" i="5"/>
  <c r="CH257" i="5"/>
  <c r="CF257" i="5"/>
  <c r="CM265" i="5"/>
  <c r="CI265" i="5"/>
  <c r="CK265" i="5"/>
  <c r="CG265" i="5"/>
  <c r="CC265" i="5"/>
  <c r="CL18" i="5"/>
  <c r="CJ18" i="5"/>
  <c r="CH18" i="5"/>
  <c r="CF18" i="5"/>
  <c r="CL26" i="5"/>
  <c r="CJ26" i="5"/>
  <c r="CH26" i="5"/>
  <c r="CF26" i="5"/>
  <c r="CL30" i="5"/>
  <c r="CJ30" i="5"/>
  <c r="CH30" i="5"/>
  <c r="CF30" i="5"/>
  <c r="CL42" i="5"/>
  <c r="CJ42" i="5"/>
  <c r="CH42" i="5"/>
  <c r="CF42" i="5"/>
  <c r="CL46" i="5"/>
  <c r="CJ46" i="5"/>
  <c r="CH46" i="5"/>
  <c r="CF46" i="5"/>
  <c r="CL58" i="5"/>
  <c r="CJ58" i="5"/>
  <c r="CH58" i="5"/>
  <c r="CF58" i="5"/>
  <c r="CL62" i="5"/>
  <c r="CJ62" i="5"/>
  <c r="CH62" i="5"/>
  <c r="CF62" i="5"/>
  <c r="CL66" i="5"/>
  <c r="CJ66" i="5"/>
  <c r="CH66" i="5"/>
  <c r="CF66" i="5"/>
  <c r="CL101" i="5"/>
  <c r="CJ101" i="5"/>
  <c r="CH101" i="5"/>
  <c r="CF101" i="5"/>
  <c r="CL109" i="5"/>
  <c r="CJ109" i="5"/>
  <c r="CH109" i="5"/>
  <c r="CF109" i="5"/>
  <c r="CL154" i="5"/>
  <c r="CJ154" i="5"/>
  <c r="CH154" i="5"/>
  <c r="CF154" i="5"/>
  <c r="CL158" i="5"/>
  <c r="CJ158" i="5"/>
  <c r="CH158" i="5"/>
  <c r="CF158" i="5"/>
  <c r="CL166" i="5"/>
  <c r="CJ166" i="5"/>
  <c r="CH166" i="5"/>
  <c r="CF166" i="5"/>
  <c r="CL174" i="5"/>
  <c r="CJ174" i="5"/>
  <c r="CH174" i="5"/>
  <c r="CF174" i="5"/>
  <c r="CL178" i="5"/>
  <c r="CJ178" i="5"/>
  <c r="CH178" i="5"/>
  <c r="CF178" i="5"/>
  <c r="CL182" i="5"/>
  <c r="CJ182" i="5"/>
  <c r="CH182" i="5"/>
  <c r="CF182" i="5"/>
  <c r="CL186" i="5"/>
  <c r="CJ186" i="5"/>
  <c r="CH186" i="5"/>
  <c r="CF186" i="5"/>
  <c r="CL190" i="5"/>
  <c r="CJ190" i="5"/>
  <c r="CH190" i="5"/>
  <c r="CF190" i="5"/>
  <c r="CL202" i="5"/>
  <c r="CJ202" i="5"/>
  <c r="CH202" i="5"/>
  <c r="CF202" i="5"/>
  <c r="CL210" i="5"/>
  <c r="CJ210" i="5"/>
  <c r="CH210" i="5"/>
  <c r="CF210" i="5"/>
  <c r="CL225" i="5"/>
  <c r="CJ225" i="5"/>
  <c r="CH225" i="5"/>
  <c r="CF225" i="5"/>
  <c r="CM227" i="5"/>
  <c r="CK227" i="5"/>
  <c r="CI227" i="5"/>
  <c r="CG227" i="5"/>
  <c r="CC227" i="5"/>
  <c r="BX234" i="5"/>
  <c r="CL4" i="5"/>
  <c r="CJ4" i="5"/>
  <c r="CH4" i="5"/>
  <c r="CF4" i="5"/>
  <c r="CL41" i="5"/>
  <c r="CJ41" i="5"/>
  <c r="CH41" i="5"/>
  <c r="CF41" i="5"/>
  <c r="CL69" i="5"/>
  <c r="CJ69" i="5"/>
  <c r="CH69" i="5"/>
  <c r="CF69" i="5"/>
  <c r="CL73" i="5"/>
  <c r="CJ73" i="5"/>
  <c r="CH73" i="5"/>
  <c r="CF73" i="5"/>
  <c r="CL80" i="5"/>
  <c r="CJ80" i="5"/>
  <c r="CH80" i="5"/>
  <c r="CF80" i="5"/>
  <c r="CL84" i="5"/>
  <c r="CJ84" i="5"/>
  <c r="CF84" i="5"/>
  <c r="CH84" i="5"/>
  <c r="CL88" i="5"/>
  <c r="CJ88" i="5"/>
  <c r="CH88" i="5"/>
  <c r="CF88" i="5"/>
  <c r="CL92" i="5"/>
  <c r="CJ92" i="5"/>
  <c r="CF92" i="5"/>
  <c r="CH92" i="5"/>
  <c r="CL96" i="5"/>
  <c r="CJ96" i="5"/>
  <c r="CH96" i="5"/>
  <c r="CF96" i="5"/>
  <c r="BX111" i="5"/>
  <c r="CL114" i="5"/>
  <c r="CJ114" i="5"/>
  <c r="CH114" i="5"/>
  <c r="CF114" i="5"/>
  <c r="CL118" i="5"/>
  <c r="CJ118" i="5"/>
  <c r="CH118" i="5"/>
  <c r="CF118" i="5"/>
  <c r="CL122" i="5"/>
  <c r="CJ122" i="5"/>
  <c r="CH122" i="5"/>
  <c r="CF122" i="5"/>
  <c r="CL126" i="5"/>
  <c r="CJ126" i="5"/>
  <c r="CH126" i="5"/>
  <c r="CF126" i="5"/>
  <c r="CL130" i="5"/>
  <c r="CJ130" i="5"/>
  <c r="CH130" i="5"/>
  <c r="CF130" i="5"/>
  <c r="CL134" i="5"/>
  <c r="CJ134" i="5"/>
  <c r="CH134" i="5"/>
  <c r="CF134" i="5"/>
  <c r="CL138" i="5"/>
  <c r="CJ138" i="5"/>
  <c r="CH138" i="5"/>
  <c r="CF138" i="5"/>
  <c r="CL146" i="5"/>
  <c r="CJ146" i="5"/>
  <c r="CH146" i="5"/>
  <c r="CF146" i="5"/>
  <c r="CL150" i="5"/>
  <c r="CJ150" i="5"/>
  <c r="CH150" i="5"/>
  <c r="CF150" i="5"/>
  <c r="CM226" i="5"/>
  <c r="CK226" i="5"/>
  <c r="CI226" i="5"/>
  <c r="CG226" i="5"/>
  <c r="CC226" i="5"/>
  <c r="CL237" i="5"/>
  <c r="CJ237" i="5"/>
  <c r="CH237" i="5"/>
  <c r="CF237" i="5"/>
  <c r="CM244" i="5"/>
  <c r="CK244" i="5"/>
  <c r="CI244" i="5"/>
  <c r="CG244" i="5"/>
  <c r="CC244" i="5"/>
  <c r="CM248" i="5"/>
  <c r="CK248" i="5"/>
  <c r="CI248" i="5"/>
  <c r="CG248" i="5"/>
  <c r="CC248" i="5"/>
  <c r="CM215" i="5"/>
  <c r="CK215" i="5"/>
  <c r="CI215" i="5"/>
  <c r="CG215" i="5"/>
  <c r="CC215" i="5"/>
  <c r="CM256" i="5"/>
  <c r="CK256" i="5"/>
  <c r="CI256" i="5"/>
  <c r="CG256" i="5"/>
  <c r="CC256" i="5"/>
  <c r="CL260" i="5"/>
  <c r="CJ260" i="5"/>
  <c r="CH260" i="5"/>
  <c r="CF260" i="5"/>
  <c r="CM262" i="5"/>
  <c r="CK262" i="5"/>
  <c r="CI262" i="5"/>
  <c r="CG262" i="5"/>
  <c r="CC262" i="5"/>
  <c r="CL269" i="5"/>
  <c r="CJ269" i="5"/>
  <c r="CH269" i="5"/>
  <c r="CF269" i="5"/>
  <c r="CM270" i="5"/>
  <c r="CK270" i="5"/>
  <c r="CI270" i="5"/>
  <c r="CG270" i="5"/>
  <c r="CC270" i="5"/>
  <c r="CL273" i="5"/>
  <c r="CJ273" i="5"/>
  <c r="CH273" i="5"/>
  <c r="CF273" i="5"/>
  <c r="CL277" i="5"/>
  <c r="CJ277" i="5"/>
  <c r="CH277" i="5"/>
  <c r="CF277" i="5"/>
  <c r="CL223" i="5"/>
  <c r="CJ223" i="5"/>
  <c r="CH223" i="5"/>
  <c r="CF223" i="5"/>
  <c r="CL304" i="5"/>
  <c r="CJ304" i="5"/>
  <c r="CH304" i="5"/>
  <c r="CF304" i="5"/>
  <c r="CL242" i="5"/>
  <c r="CJ242" i="5"/>
  <c r="CH242" i="5"/>
  <c r="CF242" i="5"/>
  <c r="CL433" i="5"/>
  <c r="CJ433" i="5"/>
  <c r="CH433" i="5"/>
  <c r="CF433" i="5"/>
  <c r="CL428" i="5"/>
  <c r="CJ428" i="5"/>
  <c r="CH428" i="5"/>
  <c r="CF428" i="5"/>
  <c r="CL282" i="5"/>
  <c r="CJ282" i="5"/>
  <c r="CH282" i="5"/>
  <c r="CF282" i="5"/>
  <c r="CL456" i="5"/>
  <c r="CJ456" i="5"/>
  <c r="CH456" i="5"/>
  <c r="CF456" i="5"/>
  <c r="CL290" i="5"/>
  <c r="CJ290" i="5"/>
  <c r="CH290" i="5"/>
  <c r="CF290" i="5"/>
  <c r="CL490" i="5"/>
  <c r="CJ490" i="5"/>
  <c r="CH490" i="5"/>
  <c r="CF490" i="5"/>
  <c r="BX474" i="5"/>
  <c r="CL352" i="5"/>
  <c r="CJ352" i="5"/>
  <c r="CH352" i="5"/>
  <c r="CF352" i="5"/>
  <c r="BX347" i="5"/>
  <c r="CL341" i="5"/>
  <c r="CJ341" i="5"/>
  <c r="CH341" i="5"/>
  <c r="CF341" i="5"/>
  <c r="CL330" i="5"/>
  <c r="CJ330" i="5"/>
  <c r="CH330" i="5"/>
  <c r="CF330" i="5"/>
  <c r="CL504" i="5"/>
  <c r="CJ504" i="5"/>
  <c r="CH504" i="5"/>
  <c r="CF504" i="5"/>
  <c r="CL475" i="5"/>
  <c r="CJ475" i="5"/>
  <c r="CH475" i="5"/>
  <c r="CF475" i="5"/>
  <c r="CL509" i="5"/>
  <c r="CJ509" i="5"/>
  <c r="CH509" i="5"/>
  <c r="CF509" i="5"/>
  <c r="CL335" i="5"/>
  <c r="CJ335" i="5"/>
  <c r="CH335" i="5"/>
  <c r="CF335" i="5"/>
  <c r="CL414" i="5"/>
  <c r="CH414" i="5"/>
  <c r="CJ414" i="5"/>
  <c r="CF414" i="5"/>
  <c r="CL311" i="5"/>
  <c r="CJ311" i="5"/>
  <c r="CH311" i="5"/>
  <c r="CF311" i="5"/>
  <c r="CL418" i="5"/>
  <c r="CJ418" i="5"/>
  <c r="CH418" i="5"/>
  <c r="CF418" i="5"/>
  <c r="CL333" i="5"/>
  <c r="CJ333" i="5"/>
  <c r="CH333" i="5"/>
  <c r="CF333" i="5"/>
  <c r="CL366" i="5"/>
  <c r="CH366" i="5"/>
  <c r="CJ366" i="5"/>
  <c r="CF366" i="5"/>
  <c r="CL287" i="5"/>
  <c r="CJ287" i="5"/>
  <c r="CH287" i="5"/>
  <c r="CF287" i="5"/>
  <c r="CL78" i="5"/>
  <c r="CJ78" i="5"/>
  <c r="CH78" i="5"/>
  <c r="CF78" i="5"/>
  <c r="CL5" i="5"/>
  <c r="CJ5" i="5"/>
  <c r="CH5" i="5"/>
  <c r="CF5" i="5"/>
  <c r="CL39" i="5"/>
  <c r="CH39" i="5"/>
  <c r="CJ39" i="5"/>
  <c r="CF39" i="5"/>
  <c r="CL47" i="5"/>
  <c r="CJ47" i="5"/>
  <c r="CH47" i="5"/>
  <c r="CF47" i="5"/>
  <c r="CL59" i="5"/>
  <c r="CJ59" i="5"/>
  <c r="CF59" i="5"/>
  <c r="CH59" i="5"/>
  <c r="CL155" i="5"/>
  <c r="CJ155" i="5"/>
  <c r="CF155" i="5"/>
  <c r="CH155" i="5"/>
  <c r="CL159" i="5"/>
  <c r="CJ159" i="5"/>
  <c r="CH159" i="5"/>
  <c r="CF159" i="5"/>
  <c r="CL199" i="5"/>
  <c r="CJ199" i="5"/>
  <c r="CH199" i="5"/>
  <c r="CF199" i="5"/>
  <c r="CL250" i="5"/>
  <c r="CJ250" i="5"/>
  <c r="CH250" i="5"/>
  <c r="CF250" i="5"/>
  <c r="CL249" i="5"/>
  <c r="CJ249" i="5"/>
  <c r="CH249" i="5"/>
  <c r="CF249" i="5"/>
  <c r="CL8" i="5"/>
  <c r="CJ8" i="5"/>
  <c r="CH8" i="5"/>
  <c r="CF8" i="5"/>
  <c r="CL29" i="5"/>
  <c r="CJ29" i="5"/>
  <c r="CH29" i="5"/>
  <c r="CF29" i="5"/>
  <c r="CL45" i="5"/>
  <c r="CJ45" i="5"/>
  <c r="CH45" i="5"/>
  <c r="CF45" i="5"/>
  <c r="CL49" i="5"/>
  <c r="CJ49" i="5"/>
  <c r="CH49" i="5"/>
  <c r="CF49" i="5"/>
  <c r="CL61" i="5"/>
  <c r="CJ61" i="5"/>
  <c r="CH61" i="5"/>
  <c r="CF61" i="5"/>
  <c r="CL76" i="5"/>
  <c r="CJ76" i="5"/>
  <c r="CH76" i="5"/>
  <c r="CF76" i="5"/>
  <c r="CL153" i="5"/>
  <c r="CJ153" i="5"/>
  <c r="CH153" i="5"/>
  <c r="CF153" i="5"/>
  <c r="CL165" i="5"/>
  <c r="CJ165" i="5"/>
  <c r="CH165" i="5"/>
  <c r="CF165" i="5"/>
  <c r="CL169" i="5"/>
  <c r="CJ169" i="5"/>
  <c r="CH169" i="5"/>
  <c r="CF169" i="5"/>
  <c r="CL173" i="5"/>
  <c r="CJ173" i="5"/>
  <c r="CH173" i="5"/>
  <c r="CF173" i="5"/>
  <c r="CL181" i="5"/>
  <c r="CJ181" i="5"/>
  <c r="CH181" i="5"/>
  <c r="CF181" i="5"/>
  <c r="CL185" i="5"/>
  <c r="CJ185" i="5"/>
  <c r="CH185" i="5"/>
  <c r="CF185" i="5"/>
  <c r="CL189" i="5"/>
  <c r="CJ189" i="5"/>
  <c r="CH189" i="5"/>
  <c r="CF189" i="5"/>
  <c r="CL197" i="5"/>
  <c r="CJ197" i="5"/>
  <c r="CH197" i="5"/>
  <c r="CF197" i="5"/>
  <c r="CL201" i="5"/>
  <c r="CJ201" i="5"/>
  <c r="CH201" i="5"/>
  <c r="CF201" i="5"/>
  <c r="CL205" i="5"/>
  <c r="CJ205" i="5"/>
  <c r="CH205" i="5"/>
  <c r="CF205" i="5"/>
  <c r="CL209" i="5"/>
  <c r="CJ209" i="5"/>
  <c r="CH209" i="5"/>
  <c r="CF209" i="5"/>
  <c r="CL213" i="5"/>
  <c r="CJ213" i="5"/>
  <c r="CH213" i="5"/>
  <c r="CF213" i="5"/>
  <c r="CM225" i="5"/>
  <c r="CI225" i="5"/>
  <c r="CK225" i="5"/>
  <c r="CG225" i="5"/>
  <c r="CC225" i="5"/>
  <c r="CM243" i="5"/>
  <c r="CK243" i="5"/>
  <c r="CI243" i="5"/>
  <c r="CG243" i="5"/>
  <c r="CC243" i="5"/>
  <c r="CL247" i="5"/>
  <c r="CJ247" i="5"/>
  <c r="CH247" i="5"/>
  <c r="CF247" i="5"/>
  <c r="CL214" i="5"/>
  <c r="CJ214" i="5"/>
  <c r="CH214" i="5"/>
  <c r="CF214" i="5"/>
  <c r="CL216" i="5"/>
  <c r="CJ216" i="5"/>
  <c r="CH216" i="5"/>
  <c r="CF216" i="5"/>
  <c r="CL268" i="5"/>
  <c r="CJ268" i="5"/>
  <c r="CH268" i="5"/>
  <c r="CF268" i="5"/>
  <c r="CL272" i="5"/>
  <c r="CJ272" i="5"/>
  <c r="CH272" i="5"/>
  <c r="CF272" i="5"/>
  <c r="CL263" i="5"/>
  <c r="CJ263" i="5"/>
  <c r="CH263" i="5"/>
  <c r="CF263" i="5"/>
  <c r="CL276" i="5"/>
  <c r="CJ276" i="5"/>
  <c r="CF276" i="5"/>
  <c r="CH276" i="5"/>
  <c r="CL228" i="5"/>
  <c r="CJ228" i="5"/>
  <c r="CH228" i="5"/>
  <c r="CF228" i="5"/>
  <c r="CL300" i="5"/>
  <c r="CJ300" i="5"/>
  <c r="CH300" i="5"/>
  <c r="CF300" i="5"/>
  <c r="CL293" i="5"/>
  <c r="CJ293" i="5"/>
  <c r="CH293" i="5"/>
  <c r="CF293" i="5"/>
  <c r="CL240" i="5"/>
  <c r="CJ240" i="5"/>
  <c r="CH240" i="5"/>
  <c r="CF240" i="5"/>
  <c r="CL331" i="5"/>
  <c r="CJ331" i="5"/>
  <c r="CH331" i="5"/>
  <c r="CF331" i="5"/>
  <c r="CL427" i="5"/>
  <c r="CJ427" i="5"/>
  <c r="CH427" i="5"/>
  <c r="CF427" i="5"/>
  <c r="CJ431" i="5"/>
  <c r="CL431" i="5"/>
  <c r="CH431" i="5"/>
  <c r="CF431" i="5"/>
  <c r="CL488" i="5"/>
  <c r="CJ488" i="5"/>
  <c r="CH488" i="5"/>
  <c r="CF488" i="5"/>
  <c r="CL542" i="5"/>
  <c r="CH542" i="5"/>
  <c r="CJ542" i="5"/>
  <c r="CF542" i="5"/>
  <c r="CL298" i="5"/>
  <c r="CJ298" i="5"/>
  <c r="CH298" i="5"/>
  <c r="CF298" i="5"/>
  <c r="CL407" i="5"/>
  <c r="CJ407" i="5"/>
  <c r="CH407" i="5"/>
  <c r="CF407" i="5"/>
  <c r="CL283" i="5"/>
  <c r="CJ283" i="5"/>
  <c r="CF283" i="5"/>
  <c r="CH283" i="5"/>
  <c r="CL467" i="5"/>
  <c r="CJ467" i="5"/>
  <c r="CH467" i="5"/>
  <c r="CF467" i="5"/>
  <c r="CL391" i="5"/>
  <c r="CJ391" i="5"/>
  <c r="CH391" i="5"/>
  <c r="CF391" i="5"/>
  <c r="CL393" i="5"/>
  <c r="CJ393" i="5"/>
  <c r="CH393" i="5"/>
  <c r="CF393" i="5"/>
  <c r="CL392" i="5"/>
  <c r="CJ392" i="5"/>
  <c r="CH392" i="5"/>
  <c r="CF392" i="5"/>
  <c r="CL415" i="5"/>
  <c r="CJ415" i="5"/>
  <c r="CH415" i="5"/>
  <c r="CF415" i="5"/>
  <c r="BX452" i="5"/>
  <c r="CL319" i="5"/>
  <c r="CJ319" i="5"/>
  <c r="CH319" i="5"/>
  <c r="CF319" i="5"/>
  <c r="CL453" i="5"/>
  <c r="CJ453" i="5"/>
  <c r="CH453" i="5"/>
  <c r="CF453" i="5"/>
  <c r="CL310" i="5"/>
  <c r="CH310" i="5"/>
  <c r="CJ310" i="5"/>
  <c r="CF310" i="5"/>
  <c r="CL313" i="5"/>
  <c r="CJ313" i="5"/>
  <c r="CH313" i="5"/>
  <c r="CF313" i="5"/>
  <c r="CL359" i="5"/>
  <c r="CJ359" i="5"/>
  <c r="CH359" i="5"/>
  <c r="CF359" i="5"/>
  <c r="CL355" i="5"/>
  <c r="CJ355" i="5"/>
  <c r="CH355" i="5"/>
  <c r="CF355" i="5"/>
  <c r="CL531" i="5"/>
  <c r="CJ531" i="5"/>
  <c r="CH531" i="5"/>
  <c r="CF531" i="5"/>
  <c r="CL429" i="5"/>
  <c r="CJ429" i="5"/>
  <c r="CH429" i="5"/>
  <c r="CF429" i="5"/>
  <c r="CL376" i="5"/>
  <c r="CJ376" i="5"/>
  <c r="CH376" i="5"/>
  <c r="CF376" i="5"/>
  <c r="CL350" i="5"/>
  <c r="CH350" i="5"/>
  <c r="CJ350" i="5"/>
  <c r="CF350" i="5"/>
  <c r="CL528" i="5"/>
  <c r="CJ528" i="5"/>
  <c r="CH528" i="5"/>
  <c r="CF528" i="5"/>
  <c r="CL280" i="5"/>
  <c r="CJ280" i="5"/>
  <c r="CH280" i="5"/>
  <c r="CF280" i="5"/>
  <c r="CL279" i="5"/>
  <c r="CJ279" i="5"/>
  <c r="CH279" i="5"/>
  <c r="CF279" i="5"/>
  <c r="CL356" i="5"/>
  <c r="CJ356" i="5"/>
  <c r="CH356" i="5"/>
  <c r="CF356" i="5"/>
  <c r="CL323" i="5"/>
  <c r="CJ323" i="5"/>
  <c r="CH323" i="5"/>
  <c r="CF323" i="5"/>
  <c r="CL402" i="5"/>
  <c r="CJ402" i="5"/>
  <c r="CH402" i="5"/>
  <c r="CF402" i="5"/>
  <c r="CL370" i="5"/>
  <c r="CJ370" i="5"/>
  <c r="CH370" i="5"/>
  <c r="CF370" i="5"/>
  <c r="CL357" i="5"/>
  <c r="CJ357" i="5"/>
  <c r="CH357" i="5"/>
  <c r="CF357" i="5"/>
  <c r="CL400" i="5"/>
  <c r="CJ400" i="5"/>
  <c r="CH400" i="5"/>
  <c r="CF400" i="5"/>
  <c r="CL289" i="5"/>
  <c r="CJ289" i="5"/>
  <c r="CH289" i="5"/>
  <c r="CF289" i="5"/>
  <c r="CL520" i="5"/>
  <c r="CJ520" i="5"/>
  <c r="CH520" i="5"/>
  <c r="CF520" i="5"/>
  <c r="CL296" i="5"/>
  <c r="CJ296" i="5"/>
  <c r="CH296" i="5"/>
  <c r="CF296" i="5"/>
  <c r="CL361" i="5"/>
  <c r="CJ361" i="5"/>
  <c r="CH361" i="5"/>
  <c r="CF361" i="5"/>
  <c r="CL412" i="5"/>
  <c r="CJ412" i="5"/>
  <c r="CF412" i="5"/>
  <c r="CH412" i="5"/>
  <c r="CJ535" i="5"/>
  <c r="CL535" i="5"/>
  <c r="CH535" i="5"/>
  <c r="CF535" i="5"/>
  <c r="CL500" i="5"/>
  <c r="CJ500" i="5"/>
  <c r="CH500" i="5"/>
  <c r="CF500" i="5"/>
  <c r="CL499" i="5"/>
  <c r="CJ499" i="5"/>
  <c r="CH499" i="5"/>
  <c r="CF499" i="5"/>
  <c r="CL515" i="5"/>
  <c r="CJ515" i="5"/>
  <c r="CH515" i="5"/>
  <c r="CF515" i="5"/>
  <c r="CL513" i="5"/>
  <c r="CJ513" i="5"/>
  <c r="CH513" i="5"/>
  <c r="CF513" i="5"/>
  <c r="CL374" i="5"/>
  <c r="CH374" i="5"/>
  <c r="CJ374" i="5"/>
  <c r="CF374" i="5"/>
  <c r="CJ463" i="5"/>
  <c r="CL463" i="5"/>
  <c r="CH463" i="5"/>
  <c r="CF463" i="5"/>
  <c r="CL462" i="5"/>
  <c r="CH462" i="5"/>
  <c r="CJ462" i="5"/>
  <c r="CF462" i="5"/>
  <c r="CL494" i="5"/>
  <c r="CH494" i="5"/>
  <c r="CJ494" i="5"/>
  <c r="CF494" i="5"/>
  <c r="CM237" i="5"/>
  <c r="CK237" i="5"/>
  <c r="CI237" i="5"/>
  <c r="CG237" i="5"/>
  <c r="CC237" i="5"/>
  <c r="CL43" i="5"/>
  <c r="CJ43" i="5"/>
  <c r="CH43" i="5"/>
  <c r="CF43" i="5"/>
  <c r="CL191" i="5"/>
  <c r="CJ191" i="5"/>
  <c r="CH191" i="5"/>
  <c r="CF191" i="5"/>
  <c r="CL195" i="5"/>
  <c r="CJ195" i="5"/>
  <c r="CH195" i="5"/>
  <c r="CF195" i="5"/>
  <c r="CL238" i="5"/>
  <c r="CJ238" i="5"/>
  <c r="CH238" i="5"/>
  <c r="CF238" i="5"/>
  <c r="CM267" i="5"/>
  <c r="CK267" i="5"/>
  <c r="CI267" i="5"/>
  <c r="CG267" i="5"/>
  <c r="CC267" i="5"/>
  <c r="CL3" i="5"/>
  <c r="CJ3" i="5"/>
  <c r="CH3" i="5"/>
  <c r="CF3" i="5"/>
  <c r="BX3" i="5"/>
  <c r="CL13" i="5"/>
  <c r="CJ13" i="5"/>
  <c r="CH13" i="5"/>
  <c r="CF13" i="5"/>
  <c r="CL17" i="5"/>
  <c r="CJ17" i="5"/>
  <c r="CH17" i="5"/>
  <c r="CF17" i="5"/>
  <c r="CL21" i="5"/>
  <c r="CJ21" i="5"/>
  <c r="CH21" i="5"/>
  <c r="CF21" i="5"/>
  <c r="CL25" i="5"/>
  <c r="CJ25" i="5"/>
  <c r="CH25" i="5"/>
  <c r="CF25" i="5"/>
  <c r="CL33" i="5"/>
  <c r="CJ33" i="5"/>
  <c r="CH33" i="5"/>
  <c r="CF33" i="5"/>
  <c r="CL37" i="5"/>
  <c r="CJ37" i="5"/>
  <c r="CH37" i="5"/>
  <c r="CF37" i="5"/>
  <c r="CL53" i="5"/>
  <c r="CJ53" i="5"/>
  <c r="CH53" i="5"/>
  <c r="CF53" i="5"/>
  <c r="CL57" i="5"/>
  <c r="CJ57" i="5"/>
  <c r="CH57" i="5"/>
  <c r="CF57" i="5"/>
  <c r="CL65" i="5"/>
  <c r="CJ65" i="5"/>
  <c r="CH65" i="5"/>
  <c r="CF65" i="5"/>
  <c r="CL100" i="5"/>
  <c r="CJ100" i="5"/>
  <c r="CH100" i="5"/>
  <c r="CF100" i="5"/>
  <c r="CL104" i="5"/>
  <c r="CJ104" i="5"/>
  <c r="CH104" i="5"/>
  <c r="CF104" i="5"/>
  <c r="CL108" i="5"/>
  <c r="CJ108" i="5"/>
  <c r="CH108" i="5"/>
  <c r="CF108" i="5"/>
  <c r="CL129" i="5"/>
  <c r="CJ129" i="5"/>
  <c r="CH129" i="5"/>
  <c r="CF129" i="5"/>
  <c r="CL157" i="5"/>
  <c r="CJ157" i="5"/>
  <c r="CH157" i="5"/>
  <c r="CF157" i="5"/>
  <c r="CL161" i="5"/>
  <c r="CJ161" i="5"/>
  <c r="CH161" i="5"/>
  <c r="CF161" i="5"/>
  <c r="CL177" i="5"/>
  <c r="CJ177" i="5"/>
  <c r="CH177" i="5"/>
  <c r="CF177" i="5"/>
  <c r="CL193" i="5"/>
  <c r="CJ193" i="5"/>
  <c r="CH193" i="5"/>
  <c r="CF193" i="5"/>
  <c r="CL7" i="5"/>
  <c r="CH7" i="5"/>
  <c r="CJ7" i="5"/>
  <c r="CF7" i="5"/>
  <c r="CL68" i="5"/>
  <c r="CJ68" i="5"/>
  <c r="CH68" i="5"/>
  <c r="CF68" i="5"/>
  <c r="CL72" i="5"/>
  <c r="CJ72" i="5"/>
  <c r="CH72" i="5"/>
  <c r="CF72" i="5"/>
  <c r="CL79" i="5"/>
  <c r="CJ79" i="5"/>
  <c r="CH79" i="5"/>
  <c r="CF79" i="5"/>
  <c r="CL83" i="5"/>
  <c r="CJ83" i="5"/>
  <c r="CH83" i="5"/>
  <c r="CF83" i="5"/>
  <c r="CL87" i="5"/>
  <c r="CJ87" i="5"/>
  <c r="CH87" i="5"/>
  <c r="CF87" i="5"/>
  <c r="CL91" i="5"/>
  <c r="CJ91" i="5"/>
  <c r="CF91" i="5"/>
  <c r="CH91" i="5"/>
  <c r="CL95" i="5"/>
  <c r="CJ95" i="5"/>
  <c r="CH95" i="5"/>
  <c r="CF95" i="5"/>
  <c r="CL99" i="5"/>
  <c r="CJ99" i="5"/>
  <c r="CH99" i="5"/>
  <c r="CF99" i="5"/>
  <c r="CL113" i="5"/>
  <c r="CJ113" i="5"/>
  <c r="CH113" i="5"/>
  <c r="CF113" i="5"/>
  <c r="CL117" i="5"/>
  <c r="CJ117" i="5"/>
  <c r="CH117" i="5"/>
  <c r="CF117" i="5"/>
  <c r="CL121" i="5"/>
  <c r="CJ121" i="5"/>
  <c r="CH121" i="5"/>
  <c r="CF121" i="5"/>
  <c r="CL125" i="5"/>
  <c r="CJ125" i="5"/>
  <c r="CH125" i="5"/>
  <c r="CF125" i="5"/>
  <c r="CL133" i="5"/>
  <c r="CJ133" i="5"/>
  <c r="CH133" i="5"/>
  <c r="CF133" i="5"/>
  <c r="CL137" i="5"/>
  <c r="CJ137" i="5"/>
  <c r="CH137" i="5"/>
  <c r="CF137" i="5"/>
  <c r="CL141" i="5"/>
  <c r="CJ141" i="5"/>
  <c r="CH141" i="5"/>
  <c r="CF141" i="5"/>
  <c r="CL145" i="5"/>
  <c r="CJ145" i="5"/>
  <c r="CH145" i="5"/>
  <c r="CF145" i="5"/>
  <c r="CL149" i="5"/>
  <c r="CJ149" i="5"/>
  <c r="CH149" i="5"/>
  <c r="CF149" i="5"/>
  <c r="CL234" i="5"/>
  <c r="CJ234" i="5"/>
  <c r="CH234" i="5"/>
  <c r="CF234" i="5"/>
  <c r="CL236" i="5"/>
  <c r="CJ236" i="5"/>
  <c r="CH236" i="5"/>
  <c r="CF236" i="5"/>
  <c r="CL241" i="5"/>
  <c r="CJ241" i="5"/>
  <c r="CH241" i="5"/>
  <c r="CF241" i="5"/>
  <c r="CL258" i="5"/>
  <c r="CJ258" i="5"/>
  <c r="CH258" i="5"/>
  <c r="CF258" i="5"/>
  <c r="CM260" i="5"/>
  <c r="CK260" i="5"/>
  <c r="CI260" i="5"/>
  <c r="CG260" i="5"/>
  <c r="CC260" i="5"/>
  <c r="CL252" i="5"/>
  <c r="CJ252" i="5"/>
  <c r="CH252" i="5"/>
  <c r="CF252" i="5"/>
  <c r="CL255" i="5"/>
  <c r="CJ255" i="5"/>
  <c r="CH255" i="5"/>
  <c r="CF255" i="5"/>
  <c r="CM269" i="5"/>
  <c r="CK269" i="5"/>
  <c r="CI269" i="5"/>
  <c r="CG269" i="5"/>
  <c r="CC269" i="5"/>
  <c r="CL259" i="5"/>
  <c r="CJ259" i="5"/>
  <c r="CH259" i="5"/>
  <c r="CF259" i="5"/>
  <c r="CM263" i="5"/>
  <c r="CK263" i="5"/>
  <c r="CI263" i="5"/>
  <c r="CG263" i="5"/>
  <c r="CC263" i="5"/>
  <c r="CL275" i="5"/>
  <c r="CJ275" i="5"/>
  <c r="CH275" i="5"/>
  <c r="CF275" i="5"/>
  <c r="CM277" i="5"/>
  <c r="CK277" i="5"/>
  <c r="CI277" i="5"/>
  <c r="CG277" i="5"/>
  <c r="CC277" i="5"/>
  <c r="CM223" i="5"/>
  <c r="CK223" i="5"/>
  <c r="CI223" i="5"/>
  <c r="CG223" i="5"/>
  <c r="CC223" i="5"/>
  <c r="CL305" i="5"/>
  <c r="CJ305" i="5"/>
  <c r="CH305" i="5"/>
  <c r="CF305" i="5"/>
  <c r="CL306" i="5"/>
  <c r="CJ306" i="5"/>
  <c r="CH306" i="5"/>
  <c r="CF306" i="5"/>
  <c r="CL457" i="5"/>
  <c r="CJ457" i="5"/>
  <c r="CH457" i="5"/>
  <c r="CF457" i="5"/>
  <c r="CL399" i="5"/>
  <c r="CJ399" i="5"/>
  <c r="CH399" i="5"/>
  <c r="CF399" i="5"/>
  <c r="CL286" i="5"/>
  <c r="CH286" i="5"/>
  <c r="CJ286" i="5"/>
  <c r="CF286" i="5"/>
  <c r="BX290" i="5"/>
  <c r="CL397" i="5"/>
  <c r="CJ397" i="5"/>
  <c r="CH397" i="5"/>
  <c r="CF397" i="5"/>
  <c r="CL299" i="5"/>
  <c r="CJ299" i="5"/>
  <c r="CH299" i="5"/>
  <c r="CF299" i="5"/>
  <c r="CL285" i="5"/>
  <c r="CJ285" i="5"/>
  <c r="CH285" i="5"/>
  <c r="CF285" i="5"/>
  <c r="CL339" i="5"/>
  <c r="CJ339" i="5"/>
  <c r="CH339" i="5"/>
  <c r="CF339" i="5"/>
  <c r="CL417" i="5"/>
  <c r="CJ417" i="5"/>
  <c r="CH417" i="5"/>
  <c r="CF417" i="5"/>
  <c r="CL416" i="5"/>
  <c r="CJ416" i="5"/>
  <c r="CH416" i="5"/>
  <c r="CF416" i="5"/>
  <c r="CL540" i="5"/>
  <c r="CJ540" i="5"/>
  <c r="CF540" i="5"/>
  <c r="CH540" i="5"/>
  <c r="CL334" i="5"/>
  <c r="CH334" i="5"/>
  <c r="CJ334" i="5"/>
  <c r="CF334" i="5"/>
  <c r="BX451" i="5"/>
  <c r="CL297" i="5"/>
  <c r="CJ297" i="5"/>
  <c r="CH297" i="5"/>
  <c r="CF297" i="5"/>
  <c r="CL466" i="5"/>
  <c r="CJ466" i="5"/>
  <c r="CH466" i="5"/>
  <c r="CF466" i="5"/>
  <c r="CL422" i="5"/>
  <c r="CH422" i="5"/>
  <c r="CJ422" i="5"/>
  <c r="CF422" i="5"/>
  <c r="CL421" i="5"/>
  <c r="CJ421" i="5"/>
  <c r="CH421" i="5"/>
  <c r="CF421" i="5"/>
  <c r="CL388" i="5"/>
  <c r="CJ388" i="5"/>
  <c r="CH388" i="5"/>
  <c r="CF388" i="5"/>
  <c r="CL387" i="5"/>
  <c r="CJ387" i="5"/>
  <c r="CH387" i="5"/>
  <c r="CF387" i="5"/>
  <c r="CL385" i="5"/>
  <c r="CJ385" i="5"/>
  <c r="CH385" i="5"/>
  <c r="CF385" i="5"/>
  <c r="CL383" i="5"/>
  <c r="CJ383" i="5"/>
  <c r="CH383" i="5"/>
  <c r="CF383" i="5"/>
  <c r="CL288" i="5"/>
  <c r="CJ288" i="5"/>
  <c r="CH288" i="5"/>
  <c r="CF288" i="5"/>
  <c r="CL28" i="5"/>
  <c r="CJ28" i="5"/>
  <c r="CH28" i="5"/>
  <c r="CF28" i="5"/>
  <c r="CL32" i="5"/>
  <c r="CJ32" i="5"/>
  <c r="CH32" i="5"/>
  <c r="CF32" i="5"/>
  <c r="CL36" i="5"/>
  <c r="CJ36" i="5"/>
  <c r="CH36" i="5"/>
  <c r="CF36" i="5"/>
  <c r="CL40" i="5"/>
  <c r="CJ40" i="5"/>
  <c r="CH40" i="5"/>
  <c r="CF40" i="5"/>
  <c r="CL44" i="5"/>
  <c r="CJ44" i="5"/>
  <c r="CH44" i="5"/>
  <c r="CF44" i="5"/>
  <c r="CL48" i="5"/>
  <c r="CJ48" i="5"/>
  <c r="CH48" i="5"/>
  <c r="CF48" i="5"/>
  <c r="CL52" i="5"/>
  <c r="CJ52" i="5"/>
  <c r="CF52" i="5"/>
  <c r="CH52" i="5"/>
  <c r="CL56" i="5"/>
  <c r="CJ56" i="5"/>
  <c r="CH56" i="5"/>
  <c r="CF56" i="5"/>
  <c r="CL60" i="5"/>
  <c r="CJ60" i="5"/>
  <c r="CF60" i="5"/>
  <c r="CH60" i="5"/>
  <c r="CL64" i="5"/>
  <c r="CJ64" i="5"/>
  <c r="CH64" i="5"/>
  <c r="CF64" i="5"/>
  <c r="CL75" i="5"/>
  <c r="CJ75" i="5"/>
  <c r="CH75" i="5"/>
  <c r="CF75" i="5"/>
  <c r="CL103" i="5"/>
  <c r="CH103" i="5"/>
  <c r="CF103" i="5"/>
  <c r="CJ103" i="5"/>
  <c r="CL107" i="5"/>
  <c r="CJ107" i="5"/>
  <c r="CH107" i="5"/>
  <c r="CF107" i="5"/>
  <c r="CL120" i="5"/>
  <c r="CJ120" i="5"/>
  <c r="CH120" i="5"/>
  <c r="CF120" i="5"/>
  <c r="CL132" i="5"/>
  <c r="CJ132" i="5"/>
  <c r="CH132" i="5"/>
  <c r="CF132" i="5"/>
  <c r="CL156" i="5"/>
  <c r="CJ156" i="5"/>
  <c r="CF156" i="5"/>
  <c r="CH156" i="5"/>
  <c r="CL160" i="5"/>
  <c r="CJ160" i="5"/>
  <c r="CH160" i="5"/>
  <c r="CF160" i="5"/>
  <c r="CL164" i="5"/>
  <c r="CJ164" i="5"/>
  <c r="CH164" i="5"/>
  <c r="CF164" i="5"/>
  <c r="CL168" i="5"/>
  <c r="CJ168" i="5"/>
  <c r="CH168" i="5"/>
  <c r="CF168" i="5"/>
  <c r="CL172" i="5"/>
  <c r="CJ172" i="5"/>
  <c r="CH172" i="5"/>
  <c r="CF172" i="5"/>
  <c r="CL176" i="5"/>
  <c r="CJ176" i="5"/>
  <c r="CH176" i="5"/>
  <c r="CF176" i="5"/>
  <c r="CL180" i="5"/>
  <c r="CJ180" i="5"/>
  <c r="CF180" i="5"/>
  <c r="CH180" i="5"/>
  <c r="CL184" i="5"/>
  <c r="CJ184" i="5"/>
  <c r="CH184" i="5"/>
  <c r="CF184" i="5"/>
  <c r="CL188" i="5"/>
  <c r="CJ188" i="5"/>
  <c r="CF188" i="5"/>
  <c r="CH188" i="5"/>
  <c r="CL192" i="5"/>
  <c r="CJ192" i="5"/>
  <c r="CH192" i="5"/>
  <c r="CF192" i="5"/>
  <c r="CL196" i="5"/>
  <c r="CJ196" i="5"/>
  <c r="CH196" i="5"/>
  <c r="CF196" i="5"/>
  <c r="CL200" i="5"/>
  <c r="CJ200" i="5"/>
  <c r="CH200" i="5"/>
  <c r="CF200" i="5"/>
  <c r="CL204" i="5"/>
  <c r="CJ204" i="5"/>
  <c r="CH204" i="5"/>
  <c r="CF204" i="5"/>
  <c r="CL208" i="5"/>
  <c r="CJ208" i="5"/>
  <c r="CH208" i="5"/>
  <c r="CF208" i="5"/>
  <c r="CL212" i="5"/>
  <c r="CJ212" i="5"/>
  <c r="CF212" i="5"/>
  <c r="CH212" i="5"/>
  <c r="CL232" i="5"/>
  <c r="CJ232" i="5"/>
  <c r="CH232" i="5"/>
  <c r="CF232" i="5"/>
  <c r="CL235" i="5"/>
  <c r="CJ235" i="5"/>
  <c r="CH235" i="5"/>
  <c r="CF235" i="5"/>
  <c r="CL246" i="5"/>
  <c r="CJ246" i="5"/>
  <c r="CH246" i="5"/>
  <c r="CF246" i="5"/>
  <c r="CL265" i="5"/>
  <c r="CJ265" i="5"/>
  <c r="CH265" i="5"/>
  <c r="CF265" i="5"/>
  <c r="CL267" i="5"/>
  <c r="CJ267" i="5"/>
  <c r="CH267" i="5"/>
  <c r="CF267" i="5"/>
  <c r="CM268" i="5"/>
  <c r="CK268" i="5"/>
  <c r="CI268" i="5"/>
  <c r="CG268" i="5"/>
  <c r="CC268" i="5"/>
  <c r="CL271" i="5"/>
  <c r="CJ271" i="5"/>
  <c r="CH271" i="5"/>
  <c r="CF271" i="5"/>
  <c r="CM272" i="5"/>
  <c r="CK272" i="5"/>
  <c r="CI272" i="5"/>
  <c r="CG272" i="5"/>
  <c r="CC272" i="5"/>
  <c r="CL274" i="5"/>
  <c r="CJ274" i="5"/>
  <c r="CH274" i="5"/>
  <c r="CF274" i="5"/>
  <c r="CM276" i="5"/>
  <c r="CK276" i="5"/>
  <c r="CI276" i="5"/>
  <c r="CG276" i="5"/>
  <c r="CC276" i="5"/>
  <c r="CL222" i="5"/>
  <c r="CJ222" i="5"/>
  <c r="CH222" i="5"/>
  <c r="CF222" i="5"/>
  <c r="CD439" i="5"/>
  <c r="CM228" i="5"/>
  <c r="CK228" i="5"/>
  <c r="CI228" i="5"/>
  <c r="CG228" i="5"/>
  <c r="CC228" i="5"/>
  <c r="CL295" i="5"/>
  <c r="CJ295" i="5"/>
  <c r="CH295" i="5"/>
  <c r="CF295" i="5"/>
  <c r="BX293" i="5"/>
  <c r="CD469" i="5"/>
  <c r="CM240" i="5"/>
  <c r="CK240" i="5"/>
  <c r="CI240" i="5"/>
  <c r="CG240" i="5"/>
  <c r="CC240" i="5"/>
  <c r="CL294" i="5"/>
  <c r="CH294" i="5"/>
  <c r="CJ294" i="5"/>
  <c r="CF294" i="5"/>
  <c r="CL398" i="5"/>
  <c r="CH398" i="5"/>
  <c r="CJ398" i="5"/>
  <c r="CF398" i="5"/>
  <c r="CD438" i="5"/>
  <c r="CL425" i="5"/>
  <c r="CJ425" i="5"/>
  <c r="CH425" i="5"/>
  <c r="CF425" i="5"/>
  <c r="CL437" i="5"/>
  <c r="CJ437" i="5"/>
  <c r="CH437" i="5"/>
  <c r="CF437" i="5"/>
  <c r="CL436" i="5"/>
  <c r="CJ436" i="5"/>
  <c r="CF436" i="5"/>
  <c r="CH436" i="5"/>
  <c r="CL489" i="5"/>
  <c r="CJ489" i="5"/>
  <c r="CH489" i="5"/>
  <c r="CF489" i="5"/>
  <c r="CL381" i="5"/>
  <c r="CJ381" i="5"/>
  <c r="CH381" i="5"/>
  <c r="CF381" i="5"/>
  <c r="CL382" i="5"/>
  <c r="CJ382" i="5"/>
  <c r="CH382" i="5"/>
  <c r="CF382" i="5"/>
  <c r="CL468" i="5"/>
  <c r="CJ468" i="5"/>
  <c r="CF468" i="5"/>
  <c r="CH468" i="5"/>
  <c r="CL445" i="5"/>
  <c r="CJ445" i="5"/>
  <c r="CH445" i="5"/>
  <c r="CF445" i="5"/>
  <c r="CJ527" i="5"/>
  <c r="CL527" i="5"/>
  <c r="CH527" i="5"/>
  <c r="CF527" i="5"/>
  <c r="CL390" i="5"/>
  <c r="CJ390" i="5"/>
  <c r="CH390" i="5"/>
  <c r="CF390" i="5"/>
  <c r="CL349" i="5"/>
  <c r="CJ349" i="5"/>
  <c r="CH349" i="5"/>
  <c r="CF349" i="5"/>
  <c r="CL329" i="5"/>
  <c r="CJ329" i="5"/>
  <c r="CH329" i="5"/>
  <c r="CF329" i="5"/>
  <c r="CL344" i="5"/>
  <c r="CJ344" i="5"/>
  <c r="CH344" i="5"/>
  <c r="CF344" i="5"/>
  <c r="CL492" i="5"/>
  <c r="CJ492" i="5"/>
  <c r="CH492" i="5"/>
  <c r="CF492" i="5"/>
  <c r="BX414" i="5"/>
  <c r="CL378" i="5"/>
  <c r="CJ378" i="5"/>
  <c r="CH378" i="5"/>
  <c r="CF378" i="5"/>
  <c r="CL336" i="5"/>
  <c r="CJ336" i="5"/>
  <c r="CH336" i="5"/>
  <c r="CF336" i="5"/>
  <c r="CL460" i="5"/>
  <c r="CJ460" i="5"/>
  <c r="CH460" i="5"/>
  <c r="CF460" i="5"/>
  <c r="CL442" i="5"/>
  <c r="CJ442" i="5"/>
  <c r="CH442" i="5"/>
  <c r="CF442" i="5"/>
  <c r="CL317" i="5"/>
  <c r="CJ317" i="5"/>
  <c r="CH317" i="5"/>
  <c r="CF317" i="5"/>
  <c r="CL532" i="5"/>
  <c r="CJ532" i="5"/>
  <c r="CH532" i="5"/>
  <c r="CF532" i="5"/>
  <c r="CL351" i="5"/>
  <c r="CJ351" i="5"/>
  <c r="CH351" i="5"/>
  <c r="CF351" i="5"/>
  <c r="CL522" i="5"/>
  <c r="CJ522" i="5"/>
  <c r="CH522" i="5"/>
  <c r="CF522" i="5"/>
  <c r="CL516" i="5"/>
  <c r="CJ516" i="5"/>
  <c r="CH516" i="5"/>
  <c r="CF516" i="5"/>
  <c r="CL478" i="5"/>
  <c r="CH478" i="5"/>
  <c r="CJ478" i="5"/>
  <c r="CF478" i="5"/>
  <c r="CL326" i="5"/>
  <c r="CJ326" i="5"/>
  <c r="CH326" i="5"/>
  <c r="CF326" i="5"/>
  <c r="CL505" i="5"/>
  <c r="CJ505" i="5"/>
  <c r="CH505" i="5"/>
  <c r="CF505" i="5"/>
  <c r="CL325" i="5"/>
  <c r="CJ325" i="5"/>
  <c r="CH325" i="5"/>
  <c r="CF325" i="5"/>
  <c r="CL539" i="5"/>
  <c r="CJ539" i="5"/>
  <c r="CH539" i="5"/>
  <c r="CF539" i="5"/>
  <c r="CL538" i="5"/>
  <c r="CJ538" i="5"/>
  <c r="CH538" i="5"/>
  <c r="CF538" i="5"/>
  <c r="CL440" i="5"/>
  <c r="CJ440" i="5"/>
  <c r="CH440" i="5"/>
  <c r="CF440" i="5"/>
  <c r="CL401" i="5"/>
  <c r="CJ401" i="5"/>
  <c r="CH401" i="5"/>
  <c r="CF401" i="5"/>
  <c r="CL449" i="5"/>
  <c r="CJ449" i="5"/>
  <c r="CH449" i="5"/>
  <c r="CF449" i="5"/>
  <c r="CL483" i="5"/>
  <c r="CJ483" i="5"/>
  <c r="CH483" i="5"/>
  <c r="CF483" i="5"/>
  <c r="CL448" i="5"/>
  <c r="CJ448" i="5"/>
  <c r="CH448" i="5"/>
  <c r="CF448" i="5"/>
  <c r="CL480" i="5"/>
  <c r="CJ480" i="5"/>
  <c r="CH480" i="5"/>
  <c r="CF480" i="5"/>
  <c r="CL413" i="5"/>
  <c r="CJ413" i="5"/>
  <c r="CH413" i="5"/>
  <c r="CF413" i="5"/>
  <c r="CJ471" i="5"/>
  <c r="CL471" i="5"/>
  <c r="CH471" i="5"/>
  <c r="CF471" i="5"/>
  <c r="CL411" i="5"/>
  <c r="CJ411" i="5"/>
  <c r="CH411" i="5"/>
  <c r="CF411" i="5"/>
  <c r="CL470" i="5"/>
  <c r="CH470" i="5"/>
  <c r="CJ470" i="5"/>
  <c r="CF470" i="5"/>
  <c r="CL518" i="5"/>
  <c r="CJ518" i="5"/>
  <c r="CH518" i="5"/>
  <c r="CF518" i="5"/>
  <c r="CL375" i="5"/>
  <c r="CJ375" i="5"/>
  <c r="CH375" i="5"/>
  <c r="CF375" i="5"/>
  <c r="CL389" i="5"/>
  <c r="CJ389" i="5"/>
  <c r="CH389" i="5"/>
  <c r="CF389" i="5"/>
  <c r="CL497" i="5"/>
  <c r="CJ497" i="5"/>
  <c r="CH497" i="5"/>
  <c r="CF497" i="5"/>
  <c r="CJ495" i="5"/>
  <c r="CL495" i="5"/>
  <c r="CH495" i="5"/>
  <c r="CF495" i="5"/>
  <c r="CD447" i="5"/>
  <c r="CD367" i="5"/>
  <c r="CD366" i="5"/>
  <c r="CD388" i="5"/>
  <c r="CD287" i="5"/>
  <c r="CD365" i="5"/>
  <c r="CB24" i="5"/>
  <c r="CD82" i="5"/>
  <c r="CD136" i="5"/>
  <c r="CD144" i="5"/>
  <c r="CD148" i="5"/>
  <c r="CB12" i="5"/>
  <c r="CB103" i="5"/>
  <c r="CB27" i="5"/>
  <c r="CB31" i="5"/>
  <c r="CB67" i="5"/>
  <c r="CB74" i="5"/>
  <c r="CD77" i="5"/>
  <c r="CD81" i="5"/>
  <c r="CB56" i="5"/>
  <c r="CD94" i="5"/>
  <c r="CB107" i="5"/>
  <c r="CD111" i="5"/>
  <c r="CD10" i="5"/>
  <c r="CB11" i="5"/>
  <c r="CB39" i="5"/>
  <c r="CD70" i="5"/>
  <c r="CD85" i="5"/>
  <c r="CB40" i="5"/>
  <c r="CD71" i="5"/>
  <c r="CD86" i="5"/>
  <c r="CD98" i="5"/>
  <c r="CD112" i="5"/>
  <c r="CB5" i="5"/>
  <c r="CB51" i="5"/>
  <c r="CB59" i="5"/>
  <c r="CB63" i="5"/>
  <c r="CD4" i="5"/>
  <c r="CD6" i="5"/>
  <c r="CB16" i="5"/>
  <c r="CB36" i="5"/>
  <c r="CB75" i="5"/>
  <c r="CD90" i="5"/>
  <c r="CB15" i="5"/>
  <c r="CB19" i="5"/>
  <c r="CB23" i="5"/>
  <c r="CB35" i="5"/>
  <c r="CB43" i="5"/>
  <c r="CB47" i="5"/>
  <c r="CB55" i="5"/>
  <c r="CB9" i="5"/>
  <c r="CB28" i="5"/>
  <c r="CB32" i="5"/>
  <c r="CB17" i="5"/>
  <c r="CB21" i="5"/>
  <c r="CB25" i="5"/>
  <c r="CB45" i="5"/>
  <c r="CB49" i="5"/>
  <c r="CB53" i="5"/>
  <c r="CB61" i="5"/>
  <c r="CB3" i="5"/>
  <c r="CD7" i="5"/>
  <c r="CB8" i="5"/>
  <c r="CB13" i="5"/>
  <c r="CB29" i="5"/>
  <c r="CB33" i="5"/>
  <c r="CB37" i="5"/>
  <c r="CB57" i="5"/>
  <c r="CB20" i="5"/>
  <c r="CB44" i="5"/>
  <c r="CB48" i="5"/>
  <c r="CB52" i="5"/>
  <c r="CB60" i="5"/>
  <c r="CB64" i="5"/>
  <c r="CD78" i="5"/>
  <c r="CD116" i="5"/>
  <c r="CB120" i="5"/>
  <c r="CD124" i="5"/>
  <c r="CD128" i="5"/>
  <c r="CB132" i="5"/>
  <c r="CD140" i="5"/>
  <c r="CD152" i="5"/>
  <c r="CB156" i="5"/>
  <c r="CB160" i="5"/>
  <c r="CB164" i="5"/>
  <c r="CB184" i="5"/>
  <c r="CB188" i="5"/>
  <c r="CB192" i="5"/>
  <c r="CB196" i="5"/>
  <c r="CB208" i="5"/>
  <c r="CB212" i="5"/>
  <c r="CE231" i="5"/>
  <c r="CD231" i="5"/>
  <c r="CB235" i="5"/>
  <c r="CD239" i="5"/>
  <c r="CB246" i="5"/>
  <c r="CD5" i="5"/>
  <c r="CB6" i="5"/>
  <c r="CD11" i="5"/>
  <c r="CD15" i="5"/>
  <c r="CD19" i="5"/>
  <c r="CD23" i="5"/>
  <c r="CD27" i="5"/>
  <c r="CD31" i="5"/>
  <c r="CD35" i="5"/>
  <c r="CD39" i="5"/>
  <c r="CD43" i="5"/>
  <c r="CD47" i="5"/>
  <c r="CD51" i="5"/>
  <c r="CD55" i="5"/>
  <c r="CD59" i="5"/>
  <c r="CD63" i="5"/>
  <c r="CD67" i="5"/>
  <c r="CB71" i="5"/>
  <c r="CD74" i="5"/>
  <c r="CB78" i="5"/>
  <c r="CB82" i="5"/>
  <c r="CB86" i="5"/>
  <c r="CB90" i="5"/>
  <c r="CB94" i="5"/>
  <c r="CB98" i="5"/>
  <c r="CD102" i="5"/>
  <c r="CD106" i="5"/>
  <c r="CD110" i="5"/>
  <c r="CB111" i="5"/>
  <c r="CB112" i="5"/>
  <c r="CB116" i="5"/>
  <c r="CB124" i="5"/>
  <c r="CB128" i="5"/>
  <c r="CB136" i="5"/>
  <c r="CB140" i="5"/>
  <c r="CB144" i="5"/>
  <c r="CB148" i="5"/>
  <c r="CB152" i="5"/>
  <c r="CD155" i="5"/>
  <c r="CD159" i="5"/>
  <c r="CD163" i="5"/>
  <c r="CD167" i="5"/>
  <c r="CD171" i="5"/>
  <c r="CD175" i="5"/>
  <c r="CD179" i="5"/>
  <c r="CD183" i="5"/>
  <c r="CD187" i="5"/>
  <c r="CD191" i="5"/>
  <c r="CD195" i="5"/>
  <c r="CD199" i="5"/>
  <c r="CD203" i="5"/>
  <c r="CD207" i="5"/>
  <c r="CD211" i="5"/>
  <c r="CE227" i="5"/>
  <c r="CD227" i="5"/>
  <c r="CB231" i="5"/>
  <c r="CE238" i="5"/>
  <c r="CD238" i="5"/>
  <c r="CB239" i="5"/>
  <c r="CD245" i="5"/>
  <c r="CE250" i="5"/>
  <c r="CD250" i="5"/>
  <c r="CB251" i="5"/>
  <c r="CD253" i="5"/>
  <c r="CE253" i="5"/>
  <c r="CB254" i="5"/>
  <c r="CE257" i="5"/>
  <c r="CD257" i="5"/>
  <c r="CB217" i="5"/>
  <c r="CD249" i="5"/>
  <c r="CD261" i="5"/>
  <c r="CE261" i="5"/>
  <c r="CB220" i="5"/>
  <c r="CB266" i="5"/>
  <c r="CB221" i="5"/>
  <c r="CD410" i="5"/>
  <c r="CB439" i="5"/>
  <c r="CE229" i="5"/>
  <c r="CD229" i="5"/>
  <c r="CB230" i="5"/>
  <c r="CB469" i="5"/>
  <c r="CD320" i="5"/>
  <c r="CB438" i="5"/>
  <c r="CD278" i="5"/>
  <c r="CB432" i="5"/>
  <c r="CB543" i="5"/>
  <c r="CD541" i="5"/>
  <c r="CD487" i="5"/>
  <c r="CB430" i="5"/>
  <c r="CB353" i="5"/>
  <c r="CB346" i="5"/>
  <c r="CB340" i="5"/>
  <c r="CB404" i="5"/>
  <c r="CD292" i="5"/>
  <c r="CD291" i="5"/>
  <c r="CD396" i="5"/>
  <c r="CB395" i="5"/>
  <c r="CB503" i="5"/>
  <c r="CB394" i="5"/>
  <c r="CD328" i="5"/>
  <c r="CD443" i="5"/>
  <c r="CD343" i="5"/>
  <c r="CB337" i="5"/>
  <c r="CB465" i="5"/>
  <c r="CB301" i="5"/>
  <c r="CD342" i="5"/>
  <c r="CD308" i="5"/>
  <c r="CD512" i="5"/>
  <c r="CD502" i="5"/>
  <c r="CD377" i="5"/>
  <c r="CD459" i="5"/>
  <c r="CD529" i="5"/>
  <c r="CD458" i="5"/>
  <c r="CD511" i="5"/>
  <c r="CD506" i="5"/>
  <c r="CD441" i="5"/>
  <c r="CD303" i="5"/>
  <c r="CD403" i="5"/>
  <c r="CD372" i="5"/>
  <c r="CD473" i="5"/>
  <c r="CD450" i="5"/>
  <c r="CD364" i="5"/>
  <c r="CD363" i="5"/>
  <c r="CD362" i="5"/>
  <c r="CD536" i="5"/>
  <c r="CD315" i="5"/>
  <c r="CD360" i="5"/>
  <c r="CD424" i="5"/>
  <c r="CD484" i="5"/>
  <c r="CD485" i="5"/>
  <c r="CD519" i="5"/>
  <c r="CD464" i="5"/>
  <c r="CD507" i="5"/>
  <c r="CD498" i="5"/>
  <c r="CB365" i="5"/>
  <c r="CD89" i="5"/>
  <c r="CD93" i="5"/>
  <c r="CD97" i="5"/>
  <c r="CB102" i="5"/>
  <c r="CB106" i="5"/>
  <c r="CB110" i="5"/>
  <c r="CD115" i="5"/>
  <c r="CD119" i="5"/>
  <c r="CD123" i="5"/>
  <c r="CD139" i="5"/>
  <c r="CD143" i="5"/>
  <c r="CD147" i="5"/>
  <c r="CD151" i="5"/>
  <c r="CB167" i="5"/>
  <c r="CD170" i="5"/>
  <c r="CB171" i="5"/>
  <c r="CB199" i="5"/>
  <c r="CE226" i="5"/>
  <c r="CD226" i="5"/>
  <c r="CB238" i="5"/>
  <c r="CE244" i="5"/>
  <c r="CD244" i="5"/>
  <c r="CE248" i="5"/>
  <c r="CD248" i="5"/>
  <c r="CB250" i="5"/>
  <c r="CE215" i="5"/>
  <c r="CD215" i="5"/>
  <c r="CB253" i="5"/>
  <c r="CE256" i="5"/>
  <c r="CD256" i="5"/>
  <c r="CE270" i="5"/>
  <c r="CD270" i="5"/>
  <c r="CE219" i="5"/>
  <c r="CD219" i="5"/>
  <c r="CB261" i="5"/>
  <c r="CB229" i="5"/>
  <c r="CB320" i="5"/>
  <c r="CB278" i="5"/>
  <c r="CB541" i="5"/>
  <c r="CB487" i="5"/>
  <c r="CB292" i="5"/>
  <c r="CB291" i="5"/>
  <c r="CB396" i="5"/>
  <c r="CB328" i="5"/>
  <c r="CB443" i="5"/>
  <c r="CB343" i="5"/>
  <c r="CB342" i="5"/>
  <c r="CB308" i="5"/>
  <c r="CB512" i="5"/>
  <c r="CB502" i="5"/>
  <c r="CB377" i="5"/>
  <c r="CB459" i="5"/>
  <c r="CB529" i="5"/>
  <c r="CB458" i="5"/>
  <c r="CB511" i="5"/>
  <c r="CB506" i="5"/>
  <c r="CB441" i="5"/>
  <c r="CB303" i="5"/>
  <c r="CB403" i="5"/>
  <c r="CB372" i="5"/>
  <c r="CB473" i="5"/>
  <c r="CB450" i="5"/>
  <c r="CB364" i="5"/>
  <c r="CB363" i="5"/>
  <c r="CB362" i="5"/>
  <c r="CB536" i="5"/>
  <c r="CB315" i="5"/>
  <c r="CB360" i="5"/>
  <c r="CB424" i="5"/>
  <c r="CB484" i="5"/>
  <c r="CB485" i="5"/>
  <c r="CB519" i="5"/>
  <c r="CB464" i="5"/>
  <c r="CB507" i="5"/>
  <c r="CB498" i="5"/>
  <c r="CB447" i="5"/>
  <c r="CB367" i="5"/>
  <c r="CB384" i="5"/>
  <c r="CD127" i="5"/>
  <c r="CD131" i="5"/>
  <c r="CD135" i="5"/>
  <c r="CB155" i="5"/>
  <c r="CB159" i="5"/>
  <c r="CB163" i="5"/>
  <c r="CB175" i="5"/>
  <c r="CB179" i="5"/>
  <c r="CB183" i="5"/>
  <c r="CB187" i="5"/>
  <c r="CB191" i="5"/>
  <c r="CB195" i="5"/>
  <c r="CB203" i="5"/>
  <c r="CB207" i="5"/>
  <c r="CB211" i="5"/>
  <c r="CB227" i="5"/>
  <c r="CB245" i="5"/>
  <c r="CB257" i="5"/>
  <c r="CB249" i="5"/>
  <c r="CB410" i="5"/>
  <c r="CD9" i="5"/>
  <c r="CB10" i="5"/>
  <c r="CD14" i="5"/>
  <c r="CD18" i="5"/>
  <c r="CD22" i="5"/>
  <c r="CD26" i="5"/>
  <c r="CD30" i="5"/>
  <c r="CD34" i="5"/>
  <c r="CD38" i="5"/>
  <c r="CD42" i="5"/>
  <c r="CD46" i="5"/>
  <c r="CD50" i="5"/>
  <c r="CD54" i="5"/>
  <c r="CD58" i="5"/>
  <c r="CD62" i="5"/>
  <c r="CD66" i="5"/>
  <c r="CB70" i="5"/>
  <c r="CB77" i="5"/>
  <c r="CB81" i="5"/>
  <c r="CB85" i="5"/>
  <c r="CB89" i="5"/>
  <c r="CB93" i="5"/>
  <c r="CB97" i="5"/>
  <c r="CD101" i="5"/>
  <c r="CD105" i="5"/>
  <c r="CD109" i="5"/>
  <c r="CB115" i="5"/>
  <c r="CB119" i="5"/>
  <c r="CB123" i="5"/>
  <c r="CB127" i="5"/>
  <c r="CB131" i="5"/>
  <c r="CB135" i="5"/>
  <c r="CB139" i="5"/>
  <c r="CD142" i="5"/>
  <c r="CB143" i="5"/>
  <c r="CB147" i="5"/>
  <c r="CB151" i="5"/>
  <c r="CD154" i="5"/>
  <c r="CD158" i="5"/>
  <c r="CD162" i="5"/>
  <c r="CD166" i="5"/>
  <c r="CB170" i="5"/>
  <c r="CD174" i="5"/>
  <c r="CD178" i="5"/>
  <c r="CD182" i="5"/>
  <c r="CD186" i="5"/>
  <c r="CD190" i="5"/>
  <c r="CD194" i="5"/>
  <c r="CD198" i="5"/>
  <c r="CD202" i="5"/>
  <c r="CD206" i="5"/>
  <c r="CD210" i="5"/>
  <c r="CD225" i="5"/>
  <c r="CE225" i="5"/>
  <c r="CB226" i="5"/>
  <c r="CE243" i="5"/>
  <c r="CD243" i="5"/>
  <c r="CB244" i="5"/>
  <c r="CB248" i="5"/>
  <c r="CB215" i="5"/>
  <c r="CB256" i="5"/>
  <c r="CE262" i="5"/>
  <c r="CD262" i="5"/>
  <c r="CD218" i="5"/>
  <c r="CB270" i="5"/>
  <c r="CB219" i="5"/>
  <c r="CD264" i="5"/>
  <c r="CD307" i="5"/>
  <c r="CD224" i="5"/>
  <c r="CD434" i="5"/>
  <c r="CB491" i="5"/>
  <c r="CD233" i="5"/>
  <c r="CB332" i="5"/>
  <c r="CB321" i="5"/>
  <c r="CB426" i="5"/>
  <c r="CB380" i="5"/>
  <c r="CB455" i="5"/>
  <c r="CB525" i="5"/>
  <c r="CB409" i="5"/>
  <c r="CB474" i="5"/>
  <c r="CD408" i="5"/>
  <c r="CD446" i="5"/>
  <c r="CD379" i="5"/>
  <c r="CD486" i="5"/>
  <c r="CD284" i="5"/>
  <c r="CB406" i="5"/>
  <c r="CB347" i="5"/>
  <c r="CB405" i="5"/>
  <c r="CD524" i="5"/>
  <c r="CB444" i="5"/>
  <c r="CB523" i="5"/>
  <c r="CD526" i="5"/>
  <c r="CD338" i="5"/>
  <c r="CD348" i="5"/>
  <c r="CB476" i="5"/>
  <c r="CB510" i="5"/>
  <c r="CB345" i="5"/>
  <c r="CB452" i="5"/>
  <c r="CD454" i="5"/>
  <c r="CD318" i="5"/>
  <c r="CD451" i="5"/>
  <c r="CB358" i="5"/>
  <c r="CB461" i="5"/>
  <c r="CB354" i="5"/>
  <c r="CD309" i="5"/>
  <c r="CD312" i="5"/>
  <c r="CD533" i="5"/>
  <c r="CD327" i="5"/>
  <c r="CD316" i="5"/>
  <c r="CD530" i="5"/>
  <c r="CD521" i="5"/>
  <c r="CD281" i="5"/>
  <c r="CD517" i="5"/>
  <c r="CD477" i="5"/>
  <c r="CD373" i="5"/>
  <c r="CD324" i="5"/>
  <c r="CD302" i="5"/>
  <c r="CD537" i="5"/>
  <c r="CD371" i="5"/>
  <c r="CD322" i="5"/>
  <c r="CD472" i="5"/>
  <c r="CD482" i="5"/>
  <c r="CD481" i="5"/>
  <c r="CB423" i="5"/>
  <c r="CD479" i="5"/>
  <c r="CD501" i="5"/>
  <c r="CD314" i="5"/>
  <c r="CD534" i="5"/>
  <c r="CB420" i="5"/>
  <c r="CD514" i="5"/>
  <c r="CD435" i="5"/>
  <c r="CD369" i="5"/>
  <c r="CD508" i="5"/>
  <c r="CB368" i="5"/>
  <c r="CD386" i="5"/>
  <c r="CD496" i="5"/>
  <c r="CD493" i="5"/>
  <c r="CB18" i="5"/>
  <c r="CB26" i="5"/>
  <c r="CB30" i="5"/>
  <c r="CD41" i="5"/>
  <c r="CB42" i="5"/>
  <c r="CB46" i="5"/>
  <c r="CB58" i="5"/>
  <c r="CD69" i="5"/>
  <c r="CD73" i="5"/>
  <c r="CD80" i="5"/>
  <c r="CD88" i="5"/>
  <c r="CD92" i="5"/>
  <c r="CD96" i="5"/>
  <c r="CB101" i="5"/>
  <c r="CD114" i="5"/>
  <c r="CD122" i="5"/>
  <c r="CD126" i="5"/>
  <c r="CD134" i="5"/>
  <c r="CB142" i="5"/>
  <c r="CD146" i="5"/>
  <c r="CD150" i="5"/>
  <c r="CB154" i="5"/>
  <c r="CB162" i="5"/>
  <c r="CB178" i="5"/>
  <c r="CB186" i="5"/>
  <c r="CB206" i="5"/>
  <c r="CB210" i="5"/>
  <c r="CB225" i="5"/>
  <c r="CB243" i="5"/>
  <c r="CE260" i="5"/>
  <c r="CD260" i="5"/>
  <c r="CB262" i="5"/>
  <c r="CD269" i="5"/>
  <c r="CE269" i="5"/>
  <c r="CD273" i="5"/>
  <c r="CB264" i="5"/>
  <c r="CD277" i="5"/>
  <c r="CE277" i="5"/>
  <c r="CB307" i="5"/>
  <c r="CE223" i="5"/>
  <c r="CD223" i="5"/>
  <c r="CB224" i="5"/>
  <c r="CB434" i="5"/>
  <c r="CB233" i="5"/>
  <c r="CD242" i="5"/>
  <c r="CB408" i="5"/>
  <c r="CB446" i="5"/>
  <c r="CB379" i="5"/>
  <c r="CB486" i="5"/>
  <c r="CB284" i="5"/>
  <c r="CB524" i="5"/>
  <c r="CB526" i="5"/>
  <c r="CB338" i="5"/>
  <c r="CB348" i="5"/>
  <c r="CB454" i="5"/>
  <c r="CB318" i="5"/>
  <c r="CB451" i="5"/>
  <c r="CB309" i="5"/>
  <c r="CB312" i="5"/>
  <c r="CB533" i="5"/>
  <c r="CB327" i="5"/>
  <c r="CB316" i="5"/>
  <c r="CB530" i="5"/>
  <c r="CB521" i="5"/>
  <c r="CB281" i="5"/>
  <c r="CB517" i="5"/>
  <c r="CB477" i="5"/>
  <c r="CB373" i="5"/>
  <c r="CB324" i="5"/>
  <c r="CB302" i="5"/>
  <c r="CB537" i="5"/>
  <c r="CB371" i="5"/>
  <c r="CB322" i="5"/>
  <c r="CB472" i="5"/>
  <c r="CB482" i="5"/>
  <c r="CB481" i="5"/>
  <c r="CB479" i="5"/>
  <c r="CB501" i="5"/>
  <c r="CB314" i="5"/>
  <c r="CB534" i="5"/>
  <c r="CB514" i="5"/>
  <c r="CB435" i="5"/>
  <c r="CB369" i="5"/>
  <c r="CB508" i="5"/>
  <c r="CB386" i="5"/>
  <c r="CB496" i="5"/>
  <c r="CB493" i="5"/>
  <c r="CD419" i="5"/>
  <c r="CB419" i="5"/>
  <c r="CB14" i="5"/>
  <c r="CB22" i="5"/>
  <c r="CB34" i="5"/>
  <c r="CB38" i="5"/>
  <c r="CB50" i="5"/>
  <c r="CB54" i="5"/>
  <c r="CB62" i="5"/>
  <c r="CB66" i="5"/>
  <c r="CD84" i="5"/>
  <c r="CB105" i="5"/>
  <c r="CB109" i="5"/>
  <c r="CD118" i="5"/>
  <c r="CD130" i="5"/>
  <c r="CD138" i="5"/>
  <c r="CB158" i="5"/>
  <c r="CB166" i="5"/>
  <c r="CB174" i="5"/>
  <c r="CB182" i="5"/>
  <c r="CB190" i="5"/>
  <c r="CB194" i="5"/>
  <c r="CB198" i="5"/>
  <c r="CB202" i="5"/>
  <c r="CD237" i="5"/>
  <c r="CE237" i="5"/>
  <c r="CB218" i="5"/>
  <c r="CD3" i="5"/>
  <c r="CB4" i="5"/>
  <c r="CD8" i="5"/>
  <c r="CD13" i="5"/>
  <c r="CD17" i="5"/>
  <c r="CD21" i="5"/>
  <c r="CD25" i="5"/>
  <c r="CD29" i="5"/>
  <c r="CD33" i="5"/>
  <c r="CD37" i="5"/>
  <c r="CB41" i="5"/>
  <c r="CD45" i="5"/>
  <c r="CD49" i="5"/>
  <c r="CD53" i="5"/>
  <c r="CD57" i="5"/>
  <c r="CD61" i="5"/>
  <c r="CD65" i="5"/>
  <c r="CB69" i="5"/>
  <c r="CB73" i="5"/>
  <c r="CD76" i="5"/>
  <c r="CB80" i="5"/>
  <c r="CB84" i="5"/>
  <c r="CB88" i="5"/>
  <c r="CB92" i="5"/>
  <c r="CB96" i="5"/>
  <c r="CD100" i="5"/>
  <c r="CD104" i="5"/>
  <c r="CD108" i="5"/>
  <c r="CB114" i="5"/>
  <c r="CB118" i="5"/>
  <c r="CB122" i="5"/>
  <c r="CB126" i="5"/>
  <c r="CD129" i="5"/>
  <c r="CB130" i="5"/>
  <c r="CB134" i="5"/>
  <c r="CB138" i="5"/>
  <c r="CB146" i="5"/>
  <c r="CB150" i="5"/>
  <c r="CD153" i="5"/>
  <c r="CD157" i="5"/>
  <c r="CD161" i="5"/>
  <c r="CD165" i="5"/>
  <c r="CD169" i="5"/>
  <c r="CD173" i="5"/>
  <c r="CD177" i="5"/>
  <c r="CD181" i="5"/>
  <c r="CD185" i="5"/>
  <c r="CD189" i="5"/>
  <c r="CD193" i="5"/>
  <c r="CD197" i="5"/>
  <c r="CD201" i="5"/>
  <c r="CD205" i="5"/>
  <c r="CD209" i="5"/>
  <c r="CD213" i="5"/>
  <c r="CB237" i="5"/>
  <c r="CD247" i="5"/>
  <c r="CD214" i="5"/>
  <c r="CD216" i="5"/>
  <c r="CB260" i="5"/>
  <c r="CD268" i="5"/>
  <c r="CE268" i="5"/>
  <c r="CB269" i="5"/>
  <c r="CE272" i="5"/>
  <c r="CD272" i="5"/>
  <c r="CB273" i="5"/>
  <c r="CE263" i="5"/>
  <c r="CD263" i="5"/>
  <c r="CE276" i="5"/>
  <c r="CD276" i="5"/>
  <c r="CB277" i="5"/>
  <c r="CB223" i="5"/>
  <c r="CD228" i="5"/>
  <c r="CE228" i="5"/>
  <c r="CB304" i="5"/>
  <c r="CD300" i="5"/>
  <c r="CD293" i="5"/>
  <c r="CE240" i="5"/>
  <c r="CD240" i="5"/>
  <c r="CB242" i="5"/>
  <c r="CD331" i="5"/>
  <c r="CB433" i="5"/>
  <c r="CB428" i="5"/>
  <c r="CD427" i="5"/>
  <c r="CB282" i="5"/>
  <c r="CB456" i="5"/>
  <c r="CD431" i="5"/>
  <c r="CB290" i="5"/>
  <c r="CB490" i="5"/>
  <c r="CD488" i="5"/>
  <c r="CD542" i="5"/>
  <c r="CD298" i="5"/>
  <c r="CD407" i="5"/>
  <c r="CB352" i="5"/>
  <c r="CB341" i="5"/>
  <c r="CD283" i="5"/>
  <c r="CD467" i="5"/>
  <c r="CB330" i="5"/>
  <c r="CD391" i="5"/>
  <c r="CD393" i="5"/>
  <c r="CD392" i="5"/>
  <c r="CD415" i="5"/>
  <c r="CB504" i="5"/>
  <c r="CB475" i="5"/>
  <c r="CB509" i="5"/>
  <c r="CB335" i="5"/>
  <c r="CD319" i="5"/>
  <c r="CB414" i="5"/>
  <c r="CD453" i="5"/>
  <c r="CB311" i="5"/>
  <c r="CB418" i="5"/>
  <c r="CD310" i="5"/>
  <c r="CD313" i="5"/>
  <c r="CD359" i="5"/>
  <c r="CD355" i="5"/>
  <c r="CD531" i="5"/>
  <c r="CD429" i="5"/>
  <c r="CD376" i="5"/>
  <c r="CD350" i="5"/>
  <c r="CD528" i="5"/>
  <c r="CD280" i="5"/>
  <c r="CD279" i="5"/>
  <c r="CD356" i="5"/>
  <c r="CD323" i="5"/>
  <c r="CD402" i="5"/>
  <c r="CD370" i="5"/>
  <c r="CD357" i="5"/>
  <c r="CD400" i="5"/>
  <c r="CD289" i="5"/>
  <c r="CD520" i="5"/>
  <c r="CD296" i="5"/>
  <c r="CD361" i="5"/>
  <c r="CD412" i="5"/>
  <c r="CD535" i="5"/>
  <c r="CD500" i="5"/>
  <c r="CD499" i="5"/>
  <c r="CD515" i="5"/>
  <c r="CD513" i="5"/>
  <c r="CD374" i="5"/>
  <c r="CD463" i="5"/>
  <c r="CB333" i="5"/>
  <c r="CD462" i="5"/>
  <c r="CD494" i="5"/>
  <c r="CB366" i="5"/>
  <c r="CB287" i="5"/>
  <c r="CD72" i="5"/>
  <c r="CD79" i="5"/>
  <c r="CD91" i="5"/>
  <c r="CD95" i="5"/>
  <c r="CD99" i="5"/>
  <c r="CB100" i="5"/>
  <c r="CB104" i="5"/>
  <c r="CB108" i="5"/>
  <c r="CD121" i="5"/>
  <c r="CD125" i="5"/>
  <c r="CB129" i="5"/>
  <c r="CD141" i="5"/>
  <c r="CD145" i="5"/>
  <c r="CB153" i="5"/>
  <c r="CB169" i="5"/>
  <c r="CB177" i="5"/>
  <c r="CB181" i="5"/>
  <c r="CB185" i="5"/>
  <c r="CB197" i="5"/>
  <c r="CB201" i="5"/>
  <c r="CB205" i="5"/>
  <c r="CB214" i="5"/>
  <c r="CB216" i="5"/>
  <c r="CE259" i="5"/>
  <c r="CD259" i="5"/>
  <c r="CB263" i="5"/>
  <c r="CE275" i="5"/>
  <c r="CD275" i="5"/>
  <c r="CB276" i="5"/>
  <c r="CB228" i="5"/>
  <c r="CB300" i="5"/>
  <c r="CB293" i="5"/>
  <c r="CB240" i="5"/>
  <c r="CB331" i="5"/>
  <c r="CB427" i="5"/>
  <c r="CB431" i="5"/>
  <c r="CB488" i="5"/>
  <c r="CB542" i="5"/>
  <c r="CB298" i="5"/>
  <c r="CB407" i="5"/>
  <c r="CB283" i="5"/>
  <c r="CB467" i="5"/>
  <c r="CB391" i="5"/>
  <c r="CB393" i="5"/>
  <c r="CB392" i="5"/>
  <c r="CB415" i="5"/>
  <c r="CB319" i="5"/>
  <c r="CB453" i="5"/>
  <c r="CB310" i="5"/>
  <c r="CB313" i="5"/>
  <c r="CB359" i="5"/>
  <c r="CB355" i="5"/>
  <c r="CB531" i="5"/>
  <c r="CB429" i="5"/>
  <c r="CB376" i="5"/>
  <c r="CB350" i="5"/>
  <c r="CB528" i="5"/>
  <c r="CB280" i="5"/>
  <c r="CB279" i="5"/>
  <c r="CB356" i="5"/>
  <c r="CB323" i="5"/>
  <c r="CB402" i="5"/>
  <c r="CB370" i="5"/>
  <c r="CB357" i="5"/>
  <c r="CB400" i="5"/>
  <c r="CB289" i="5"/>
  <c r="CB520" i="5"/>
  <c r="CB296" i="5"/>
  <c r="CB361" i="5"/>
  <c r="CB412" i="5"/>
  <c r="CB535" i="5"/>
  <c r="CB500" i="5"/>
  <c r="CB499" i="5"/>
  <c r="CB515" i="5"/>
  <c r="CB513" i="5"/>
  <c r="CB374" i="5"/>
  <c r="CB463" i="5"/>
  <c r="CB462" i="5"/>
  <c r="CB494" i="5"/>
  <c r="CD385" i="5"/>
  <c r="CD383" i="5"/>
  <c r="CD288" i="5"/>
  <c r="CB65" i="5"/>
  <c r="CD68" i="5"/>
  <c r="CB76" i="5"/>
  <c r="CD83" i="5"/>
  <c r="CD87" i="5"/>
  <c r="CD113" i="5"/>
  <c r="CD117" i="5"/>
  <c r="CD133" i="5"/>
  <c r="CD137" i="5"/>
  <c r="CD149" i="5"/>
  <c r="CB157" i="5"/>
  <c r="CB161" i="5"/>
  <c r="CB165" i="5"/>
  <c r="CB173" i="5"/>
  <c r="CB189" i="5"/>
  <c r="CB193" i="5"/>
  <c r="CB209" i="5"/>
  <c r="CB213" i="5"/>
  <c r="CE234" i="5"/>
  <c r="CD234" i="5"/>
  <c r="CD236" i="5"/>
  <c r="CD241" i="5"/>
  <c r="CB247" i="5"/>
  <c r="CD258" i="5"/>
  <c r="CD252" i="5"/>
  <c r="CE255" i="5"/>
  <c r="CD255" i="5"/>
  <c r="CB268" i="5"/>
  <c r="CB272" i="5"/>
  <c r="CB7" i="5"/>
  <c r="CD12" i="5"/>
  <c r="CD16" i="5"/>
  <c r="CD20" i="5"/>
  <c r="CD24" i="5"/>
  <c r="CD28" i="5"/>
  <c r="CD32" i="5"/>
  <c r="CD36" i="5"/>
  <c r="CD40" i="5"/>
  <c r="CD44" i="5"/>
  <c r="CD48" i="5"/>
  <c r="CD52" i="5"/>
  <c r="CD56" i="5"/>
  <c r="CD60" i="5"/>
  <c r="CD64" i="5"/>
  <c r="CB68" i="5"/>
  <c r="CB72" i="5"/>
  <c r="CD75" i="5"/>
  <c r="CB79" i="5"/>
  <c r="CB83" i="5"/>
  <c r="CB87" i="5"/>
  <c r="CB91" i="5"/>
  <c r="CB95" i="5"/>
  <c r="CB99" i="5"/>
  <c r="CD103" i="5"/>
  <c r="CD107" i="5"/>
  <c r="CB113" i="5"/>
  <c r="CB117" i="5"/>
  <c r="CD120" i="5"/>
  <c r="CB121" i="5"/>
  <c r="CB125" i="5"/>
  <c r="CD132" i="5"/>
  <c r="CB133" i="5"/>
  <c r="CB137" i="5"/>
  <c r="CB141" i="5"/>
  <c r="CB145" i="5"/>
  <c r="CB149" i="5"/>
  <c r="CD156" i="5"/>
  <c r="CD160" i="5"/>
  <c r="CD164" i="5"/>
  <c r="CD168" i="5"/>
  <c r="CD172" i="5"/>
  <c r="CD176" i="5"/>
  <c r="CD180" i="5"/>
  <c r="CD184" i="5"/>
  <c r="CD188" i="5"/>
  <c r="CD192" i="5"/>
  <c r="CD196" i="5"/>
  <c r="CD200" i="5"/>
  <c r="CD204" i="5"/>
  <c r="CD208" i="5"/>
  <c r="CD212" i="5"/>
  <c r="CE232" i="5"/>
  <c r="CD232" i="5"/>
  <c r="CB234" i="5"/>
  <c r="CD235" i="5"/>
  <c r="CE235" i="5"/>
  <c r="CB236" i="5"/>
  <c r="CB241" i="5"/>
  <c r="CD246" i="5"/>
  <c r="CB258" i="5"/>
  <c r="CB252" i="5"/>
  <c r="CE265" i="5"/>
  <c r="CD265" i="5"/>
  <c r="CD267" i="5"/>
  <c r="CE267" i="5"/>
  <c r="CB255" i="5"/>
  <c r="CE271" i="5"/>
  <c r="CD271" i="5"/>
  <c r="CB259" i="5"/>
  <c r="CD274" i="5"/>
  <c r="CE274" i="5"/>
  <c r="CB275" i="5"/>
  <c r="CD222" i="5"/>
  <c r="CB305" i="5"/>
  <c r="CB306" i="5"/>
  <c r="CD295" i="5"/>
  <c r="CD294" i="5"/>
  <c r="CB457" i="5"/>
  <c r="CD398" i="5"/>
  <c r="CB399" i="5"/>
  <c r="CD425" i="5"/>
  <c r="CB286" i="5"/>
  <c r="CD437" i="5"/>
  <c r="CD436" i="5"/>
  <c r="CD489" i="5"/>
  <c r="CB397" i="5"/>
  <c r="CB299" i="5"/>
  <c r="CB285" i="5"/>
  <c r="CD381" i="5"/>
  <c r="CD382" i="5"/>
  <c r="CD468" i="5"/>
  <c r="CD445" i="5"/>
  <c r="CB339" i="5"/>
  <c r="CD527" i="5"/>
  <c r="CD390" i="5"/>
  <c r="CD349" i="5"/>
  <c r="CD329" i="5"/>
  <c r="CB417" i="5"/>
  <c r="CB416" i="5"/>
  <c r="CB540" i="5"/>
  <c r="CD344" i="5"/>
  <c r="CD492" i="5"/>
  <c r="CB334" i="5"/>
  <c r="CD378" i="5"/>
  <c r="CB297" i="5"/>
  <c r="CB466" i="5"/>
  <c r="CD336" i="5"/>
  <c r="CD460" i="5"/>
  <c r="CD442" i="5"/>
  <c r="CD317" i="5"/>
  <c r="CD532" i="5"/>
  <c r="CD351" i="5"/>
  <c r="CD522" i="5"/>
  <c r="CD516" i="5"/>
  <c r="CD478" i="5"/>
  <c r="CD326" i="5"/>
  <c r="CD505" i="5"/>
  <c r="CD325" i="5"/>
  <c r="CD539" i="5"/>
  <c r="CD538" i="5"/>
  <c r="CD440" i="5"/>
  <c r="CD401" i="5"/>
  <c r="CD449" i="5"/>
  <c r="CD483" i="5"/>
  <c r="CD448" i="5"/>
  <c r="CD480" i="5"/>
  <c r="CD413" i="5"/>
  <c r="CD471" i="5"/>
  <c r="CB422" i="5"/>
  <c r="CD411" i="5"/>
  <c r="CD470" i="5"/>
  <c r="CB421" i="5"/>
  <c r="CD518" i="5"/>
  <c r="CD375" i="5"/>
  <c r="CB388" i="5"/>
  <c r="CD387" i="5"/>
  <c r="CB387" i="5"/>
  <c r="CD497" i="5"/>
  <c r="CB385" i="5"/>
  <c r="CB383" i="5"/>
  <c r="CB288" i="5"/>
  <c r="CB168" i="5"/>
  <c r="CB172" i="5"/>
  <c r="CB176" i="5"/>
  <c r="CB180" i="5"/>
  <c r="CB200" i="5"/>
  <c r="CB204" i="5"/>
  <c r="CB232" i="5"/>
  <c r="CD251" i="5"/>
  <c r="CD254" i="5"/>
  <c r="CD217" i="5"/>
  <c r="CB265" i="5"/>
  <c r="CB267" i="5"/>
  <c r="CB271" i="5"/>
  <c r="CD220" i="5"/>
  <c r="CE266" i="5"/>
  <c r="CD266" i="5"/>
  <c r="CB274" i="5"/>
  <c r="CE221" i="5"/>
  <c r="CD221" i="5"/>
  <c r="CB222" i="5"/>
  <c r="CD230" i="5"/>
  <c r="CB295" i="5"/>
  <c r="CB294" i="5"/>
  <c r="CB398" i="5"/>
  <c r="CB425" i="5"/>
  <c r="CB437" i="5"/>
  <c r="CB436" i="5"/>
  <c r="CB489" i="5"/>
  <c r="CB381" i="5"/>
  <c r="CB382" i="5"/>
  <c r="CB468" i="5"/>
  <c r="CB445" i="5"/>
  <c r="CB527" i="5"/>
  <c r="CB390" i="5"/>
  <c r="CB349" i="5"/>
  <c r="CB329" i="5"/>
  <c r="CB344" i="5"/>
  <c r="CB492" i="5"/>
  <c r="CB378" i="5"/>
  <c r="CB336" i="5"/>
  <c r="CB460" i="5"/>
  <c r="CB442" i="5"/>
  <c r="CB317" i="5"/>
  <c r="CB532" i="5"/>
  <c r="CB351" i="5"/>
  <c r="CB522" i="5"/>
  <c r="CB516" i="5"/>
  <c r="CB478" i="5"/>
  <c r="CB326" i="5"/>
  <c r="CB505" i="5"/>
  <c r="CB325" i="5"/>
  <c r="CB539" i="5"/>
  <c r="CB538" i="5"/>
  <c r="CB440" i="5"/>
  <c r="CB401" i="5"/>
  <c r="CB449" i="5"/>
  <c r="CB483" i="5"/>
  <c r="CB448" i="5"/>
  <c r="CB480" i="5"/>
  <c r="CB413" i="5"/>
  <c r="CB471" i="5"/>
  <c r="CB411" i="5"/>
  <c r="CB470" i="5"/>
  <c r="CB518" i="5"/>
  <c r="CB375" i="5"/>
  <c r="CD389" i="5"/>
  <c r="CB389" i="5"/>
  <c r="CB497" i="5"/>
  <c r="CB495" i="5"/>
  <c r="AQ232" i="5"/>
  <c r="AQ234" i="5"/>
  <c r="AQ255" i="5"/>
  <c r="AQ259" i="5"/>
  <c r="AQ274" i="5"/>
  <c r="AQ235" i="5"/>
  <c r="AQ265" i="5"/>
  <c r="AQ267" i="5"/>
  <c r="AQ231" i="5"/>
  <c r="AQ266" i="5"/>
  <c r="AQ221" i="5"/>
  <c r="AQ227" i="5"/>
  <c r="AQ250" i="5"/>
  <c r="AQ253" i="5"/>
  <c r="AQ219" i="5"/>
  <c r="AQ238" i="5"/>
  <c r="AQ257" i="5"/>
  <c r="AQ261" i="5"/>
  <c r="AQ229" i="5"/>
  <c r="AQ226" i="5"/>
  <c r="AQ244" i="5"/>
  <c r="AQ248" i="5"/>
  <c r="AQ215" i="5"/>
  <c r="AQ256" i="5"/>
  <c r="AQ262" i="5"/>
  <c r="AQ270" i="5"/>
  <c r="AQ243" i="5"/>
  <c r="AQ237" i="5"/>
  <c r="AQ225" i="5"/>
  <c r="AQ260" i="5"/>
  <c r="AQ269" i="5"/>
  <c r="AQ263" i="5"/>
  <c r="AQ277" i="5"/>
  <c r="AQ223" i="5"/>
  <c r="AQ268" i="5"/>
  <c r="AQ272" i="5"/>
  <c r="AQ276" i="5"/>
  <c r="AQ228" i="5"/>
  <c r="AQ240" i="5"/>
  <c r="AP94" i="5"/>
  <c r="AP337" i="5"/>
  <c r="AP365" i="5"/>
  <c r="AP227" i="5"/>
  <c r="AP257" i="5"/>
  <c r="AP541" i="5"/>
  <c r="AP292" i="5"/>
  <c r="AP291" i="5"/>
  <c r="AP459" i="5"/>
  <c r="AP458" i="5"/>
  <c r="AP506" i="5"/>
  <c r="AP473" i="5"/>
  <c r="AP360" i="5"/>
  <c r="AP484" i="5"/>
  <c r="AP485" i="5"/>
  <c r="AP507" i="5"/>
  <c r="AP447" i="5"/>
  <c r="AP367" i="5"/>
  <c r="AP543" i="5"/>
  <c r="AP23" i="5"/>
  <c r="AP63" i="5"/>
  <c r="AP163" i="5"/>
  <c r="AP199" i="5"/>
  <c r="AP332" i="5"/>
  <c r="AP426" i="5"/>
  <c r="AP409" i="5"/>
  <c r="AP510" i="5"/>
  <c r="AP461" i="5"/>
  <c r="AP354" i="5"/>
  <c r="AP423" i="5"/>
  <c r="AP430" i="5"/>
  <c r="AP22" i="5"/>
  <c r="AP182" i="5"/>
  <c r="AP202" i="5"/>
  <c r="AP526" i="5"/>
  <c r="AP348" i="5"/>
  <c r="AP477" i="5"/>
  <c r="AP322" i="5"/>
  <c r="AP435" i="5"/>
  <c r="AP508" i="5"/>
  <c r="AP340" i="5"/>
  <c r="AP26" i="5"/>
  <c r="AP243" i="5"/>
  <c r="AP262" i="5"/>
  <c r="AP264" i="5"/>
  <c r="AP428" i="5"/>
  <c r="AP330" i="5"/>
  <c r="AP509" i="5"/>
  <c r="AP333" i="5"/>
  <c r="AP366" i="5"/>
  <c r="AP287" i="5"/>
  <c r="AP24" i="5"/>
  <c r="AP427" i="5"/>
  <c r="AP542" i="5"/>
  <c r="AP298" i="5"/>
  <c r="AP392" i="5"/>
  <c r="AP429" i="5"/>
  <c r="AP356" i="5"/>
  <c r="AP296" i="5"/>
  <c r="AP361" i="5"/>
  <c r="AP374" i="5"/>
  <c r="AP161" i="5"/>
  <c r="AP209" i="5"/>
  <c r="AP263" i="5"/>
  <c r="AP300" i="5"/>
  <c r="AP391" i="5"/>
  <c r="AP393" i="5"/>
  <c r="AP117" i="5"/>
  <c r="AP259" i="5"/>
  <c r="AP299" i="5"/>
  <c r="AP339" i="5"/>
  <c r="AP297" i="5"/>
  <c r="AP422" i="5"/>
  <c r="AP288" i="5"/>
  <c r="AP208" i="5"/>
  <c r="AP425" i="5"/>
  <c r="AP527" i="5"/>
  <c r="AP390" i="5"/>
  <c r="AP349" i="5"/>
  <c r="AP329" i="5"/>
  <c r="AP336" i="5"/>
  <c r="AP460" i="5"/>
  <c r="AP478" i="5"/>
  <c r="AP505" i="5"/>
  <c r="AP413" i="5"/>
  <c r="BF3" i="5"/>
  <c r="R527" i="5"/>
  <c r="AY527" i="5" s="1"/>
  <c r="M527" i="5"/>
  <c r="AV527" i="5" s="1"/>
  <c r="N526" i="5"/>
  <c r="O526" i="5" s="1"/>
  <c r="M526" i="5"/>
  <c r="AV526" i="5" s="1"/>
  <c r="R338" i="5"/>
  <c r="AY338" i="5" s="1"/>
  <c r="M338" i="5"/>
  <c r="AV338" i="5" s="1"/>
  <c r="R349" i="5"/>
  <c r="AY349" i="5" s="1"/>
  <c r="M349" i="5"/>
  <c r="AV349" i="5" s="1"/>
  <c r="N348" i="5"/>
  <c r="M348" i="5"/>
  <c r="AV348" i="5" s="1"/>
  <c r="N344" i="5"/>
  <c r="O344" i="5" s="1"/>
  <c r="M344" i="5"/>
  <c r="AV344" i="5" s="1"/>
  <c r="W492" i="5"/>
  <c r="Y492" i="5" s="1"/>
  <c r="M492" i="5"/>
  <c r="AV492" i="5" s="1"/>
  <c r="R378" i="5"/>
  <c r="AY378" i="5" s="1"/>
  <c r="M378" i="5"/>
  <c r="AV378" i="5" s="1"/>
  <c r="N309" i="5"/>
  <c r="M309" i="5"/>
  <c r="AV309" i="5" s="1"/>
  <c r="N460" i="5"/>
  <c r="O460" i="5" s="1"/>
  <c r="M460" i="5"/>
  <c r="AV460" i="5" s="1"/>
  <c r="N312" i="5"/>
  <c r="M312" i="5"/>
  <c r="AV312" i="5" s="1"/>
  <c r="R533" i="5"/>
  <c r="AY533" i="5" s="1"/>
  <c r="M533" i="5"/>
  <c r="AV533" i="5" s="1"/>
  <c r="N317" i="5"/>
  <c r="M317" i="5"/>
  <c r="AV317" i="5" s="1"/>
  <c r="R327" i="5"/>
  <c r="AY327" i="5" s="1"/>
  <c r="M327" i="5"/>
  <c r="AV327" i="5" s="1"/>
  <c r="R532" i="5"/>
  <c r="AY532" i="5" s="1"/>
  <c r="M532" i="5"/>
  <c r="AV532" i="5" s="1"/>
  <c r="N351" i="5"/>
  <c r="O351" i="5" s="1"/>
  <c r="M351" i="5"/>
  <c r="AV351" i="5" s="1"/>
  <c r="R530" i="5"/>
  <c r="AY530" i="5" s="1"/>
  <c r="M530" i="5"/>
  <c r="AV530" i="5" s="1"/>
  <c r="N516" i="5"/>
  <c r="Q516" i="5" s="1"/>
  <c r="M516" i="5"/>
  <c r="AV516" i="5" s="1"/>
  <c r="N281" i="5"/>
  <c r="M281" i="5"/>
  <c r="AV281" i="5" s="1"/>
  <c r="N517" i="5"/>
  <c r="Q517" i="5" s="1"/>
  <c r="M517" i="5"/>
  <c r="AV517" i="5" s="1"/>
  <c r="N326" i="5"/>
  <c r="M326" i="5"/>
  <c r="AV326" i="5" s="1"/>
  <c r="N477" i="5"/>
  <c r="Q477" i="5" s="1"/>
  <c r="M477" i="5"/>
  <c r="AV477" i="5" s="1"/>
  <c r="R505" i="5"/>
  <c r="AY505" i="5" s="1"/>
  <c r="M505" i="5"/>
  <c r="AV505" i="5" s="1"/>
  <c r="R325" i="5"/>
  <c r="AY325" i="5" s="1"/>
  <c r="M325" i="5"/>
  <c r="AV325" i="5" s="1"/>
  <c r="R324" i="5"/>
  <c r="AY324" i="5" s="1"/>
  <c r="M324" i="5"/>
  <c r="AV324" i="5" s="1"/>
  <c r="R539" i="5"/>
  <c r="AY539" i="5" s="1"/>
  <c r="M539" i="5"/>
  <c r="AV539" i="5" s="1"/>
  <c r="R302" i="5"/>
  <c r="AY302" i="5" s="1"/>
  <c r="M302" i="5"/>
  <c r="AV302" i="5" s="1"/>
  <c r="N538" i="5"/>
  <c r="O538" i="5" s="1"/>
  <c r="M538" i="5"/>
  <c r="AV538" i="5" s="1"/>
  <c r="R537" i="5"/>
  <c r="AY537" i="5" s="1"/>
  <c r="M537" i="5"/>
  <c r="AV537" i="5" s="1"/>
  <c r="R440" i="5"/>
  <c r="AY440" i="5" s="1"/>
  <c r="M440" i="5"/>
  <c r="AV440" i="5" s="1"/>
  <c r="R371" i="5"/>
  <c r="AY371" i="5" s="1"/>
  <c r="M371" i="5"/>
  <c r="AV371" i="5" s="1"/>
  <c r="N401" i="5"/>
  <c r="O401" i="5" s="1"/>
  <c r="M401" i="5"/>
  <c r="AV401" i="5" s="1"/>
  <c r="N322" i="5"/>
  <c r="M322" i="5"/>
  <c r="AV322" i="5" s="1"/>
  <c r="N449" i="5"/>
  <c r="O449" i="5" s="1"/>
  <c r="M449" i="5"/>
  <c r="AV449" i="5" s="1"/>
  <c r="N472" i="5"/>
  <c r="M472" i="5"/>
  <c r="AV472" i="5" s="1"/>
  <c r="N482" i="5"/>
  <c r="Q482" i="5" s="1"/>
  <c r="M482" i="5"/>
  <c r="AV482" i="5" s="1"/>
  <c r="R481" i="5"/>
  <c r="AY481" i="5" s="1"/>
  <c r="M481" i="5"/>
  <c r="AV481" i="5" s="1"/>
  <c r="R480" i="5"/>
  <c r="AY480" i="5" s="1"/>
  <c r="M480" i="5"/>
  <c r="AV480" i="5" s="1"/>
  <c r="R413" i="5"/>
  <c r="AY413" i="5" s="1"/>
  <c r="M413" i="5"/>
  <c r="AV413" i="5" s="1"/>
  <c r="R479" i="5"/>
  <c r="AY479" i="5" s="1"/>
  <c r="M479" i="5"/>
  <c r="AV479" i="5" s="1"/>
  <c r="R501" i="5"/>
  <c r="AY501" i="5" s="1"/>
  <c r="M501" i="5"/>
  <c r="AV501" i="5" s="1"/>
  <c r="R314" i="5"/>
  <c r="AY314" i="5" s="1"/>
  <c r="M314" i="5"/>
  <c r="AV314" i="5" s="1"/>
  <c r="N411" i="5"/>
  <c r="M411" i="5"/>
  <c r="AV411" i="5" s="1"/>
  <c r="N534" i="5"/>
  <c r="Q534" i="5" s="1"/>
  <c r="M534" i="5"/>
  <c r="AV534" i="5" s="1"/>
  <c r="R518" i="5"/>
  <c r="AY518" i="5" s="1"/>
  <c r="M518" i="5"/>
  <c r="AV518" i="5" s="1"/>
  <c r="N435" i="5"/>
  <c r="O435" i="5" s="1"/>
  <c r="AF435" i="5" s="1"/>
  <c r="M435" i="5"/>
  <c r="AV435" i="5" s="1"/>
  <c r="N375" i="5"/>
  <c r="M375" i="5"/>
  <c r="AV375" i="5" s="1"/>
  <c r="R389" i="5"/>
  <c r="AY389" i="5" s="1"/>
  <c r="M389" i="5"/>
  <c r="AV389" i="5" s="1"/>
  <c r="N508" i="5"/>
  <c r="M508" i="5"/>
  <c r="AV508" i="5" s="1"/>
  <c r="R386" i="5"/>
  <c r="AY386" i="5" s="1"/>
  <c r="M386" i="5"/>
  <c r="AV386" i="5" s="1"/>
  <c r="N497" i="5"/>
  <c r="M497" i="5"/>
  <c r="AV497" i="5" s="1"/>
  <c r="R496" i="5"/>
  <c r="AY496" i="5" s="1"/>
  <c r="M496" i="5"/>
  <c r="AV496" i="5" s="1"/>
  <c r="R493" i="5"/>
  <c r="AY493" i="5" s="1"/>
  <c r="M493" i="5"/>
  <c r="AV493" i="5" s="1"/>
  <c r="N340" i="5"/>
  <c r="O340" i="5" s="1"/>
  <c r="M340" i="5"/>
  <c r="AV340" i="5" s="1"/>
  <c r="W347" i="5"/>
  <c r="Y347" i="5" s="1"/>
  <c r="M347" i="5"/>
  <c r="AV347" i="5" s="1"/>
  <c r="R407" i="5"/>
  <c r="AY407" i="5" s="1"/>
  <c r="M407" i="5"/>
  <c r="AV407" i="5" s="1"/>
  <c r="N379" i="5"/>
  <c r="M379" i="5"/>
  <c r="AV379" i="5" s="1"/>
  <c r="R397" i="5"/>
  <c r="AY397" i="5" s="1"/>
  <c r="M397" i="5"/>
  <c r="AV397" i="5" s="1"/>
  <c r="N543" i="5"/>
  <c r="M543" i="5"/>
  <c r="AV543" i="5" s="1"/>
  <c r="W290" i="5"/>
  <c r="Y290" i="5" s="1"/>
  <c r="M290" i="5"/>
  <c r="AV290" i="5" s="1"/>
  <c r="N432" i="5"/>
  <c r="M432" i="5"/>
  <c r="AV432" i="5" s="1"/>
  <c r="R278" i="5"/>
  <c r="AY278" i="5" s="1"/>
  <c r="M278" i="5"/>
  <c r="AV278" i="5" s="1"/>
  <c r="R427" i="5"/>
  <c r="AY427" i="5" s="1"/>
  <c r="M427" i="5"/>
  <c r="AV427" i="5" s="1"/>
  <c r="N320" i="5"/>
  <c r="O320" i="5" s="1"/>
  <c r="M320" i="5"/>
  <c r="AV320" i="5" s="1"/>
  <c r="R293" i="5"/>
  <c r="AY293" i="5" s="1"/>
  <c r="M293" i="5"/>
  <c r="AV293" i="5" s="1"/>
  <c r="N332" i="5"/>
  <c r="O332" i="5" s="1"/>
  <c r="M332" i="5"/>
  <c r="AV332" i="5" s="1"/>
  <c r="N491" i="5"/>
  <c r="M491" i="5"/>
  <c r="AV491" i="5" s="1"/>
  <c r="R439" i="5"/>
  <c r="AY439" i="5" s="1"/>
  <c r="M439" i="5"/>
  <c r="AV439" i="5" s="1"/>
  <c r="R404" i="5"/>
  <c r="AY404" i="5" s="1"/>
  <c r="M404" i="5"/>
  <c r="AV404" i="5" s="1"/>
  <c r="R504" i="5"/>
  <c r="AY504" i="5" s="1"/>
  <c r="M504" i="5"/>
  <c r="AV504" i="5" s="1"/>
  <c r="R475" i="5"/>
  <c r="AY475" i="5" s="1"/>
  <c r="M475" i="5"/>
  <c r="AV475" i="5" s="1"/>
  <c r="N509" i="5"/>
  <c r="Q509" i="5" s="1"/>
  <c r="M509" i="5"/>
  <c r="AV509" i="5" s="1"/>
  <c r="N335" i="5"/>
  <c r="M335" i="5"/>
  <c r="AV335" i="5" s="1"/>
  <c r="N414" i="5"/>
  <c r="Q414" i="5" s="1"/>
  <c r="M414" i="5"/>
  <c r="AV414" i="5" s="1"/>
  <c r="N337" i="5"/>
  <c r="M337" i="5"/>
  <c r="AV337" i="5" s="1"/>
  <c r="R465" i="5"/>
  <c r="AY465" i="5" s="1"/>
  <c r="M465" i="5"/>
  <c r="AV465" i="5" s="1"/>
  <c r="N301" i="5"/>
  <c r="M301" i="5"/>
  <c r="AV301" i="5" s="1"/>
  <c r="N333" i="5"/>
  <c r="O333" i="5" s="1"/>
  <c r="M333" i="5"/>
  <c r="AV333" i="5" s="1"/>
  <c r="N366" i="5"/>
  <c r="M366" i="5"/>
  <c r="AV366" i="5" s="1"/>
  <c r="N365" i="5"/>
  <c r="O365" i="5" s="1"/>
  <c r="M365" i="5"/>
  <c r="AV365" i="5" s="1"/>
  <c r="N287" i="5"/>
  <c r="M287" i="5"/>
  <c r="AV287" i="5" s="1"/>
  <c r="N353" i="5"/>
  <c r="O353" i="5" s="1"/>
  <c r="M353" i="5"/>
  <c r="AV353" i="5" s="1"/>
  <c r="N299" i="5"/>
  <c r="M299" i="5"/>
  <c r="AV299" i="5" s="1"/>
  <c r="W474" i="5"/>
  <c r="Y474" i="5" s="1"/>
  <c r="M474" i="5"/>
  <c r="AV474" i="5" s="1"/>
  <c r="R438" i="5"/>
  <c r="AY438" i="5" s="1"/>
  <c r="M438" i="5"/>
  <c r="AV438" i="5" s="1"/>
  <c r="R410" i="5"/>
  <c r="AY410" i="5" s="1"/>
  <c r="M410" i="5"/>
  <c r="AV410" i="5" s="1"/>
  <c r="R434" i="5"/>
  <c r="AY434" i="5" s="1"/>
  <c r="M434" i="5"/>
  <c r="AV434" i="5" s="1"/>
  <c r="N391" i="5"/>
  <c r="Q391" i="5" s="1"/>
  <c r="M391" i="5"/>
  <c r="AV391" i="5" s="1"/>
  <c r="N292" i="5"/>
  <c r="M292" i="5"/>
  <c r="AV292" i="5" s="1"/>
  <c r="N291" i="5"/>
  <c r="Q291" i="5" s="1"/>
  <c r="M291" i="5"/>
  <c r="AV291" i="5" s="1"/>
  <c r="N392" i="5"/>
  <c r="M392" i="5"/>
  <c r="AV392" i="5" s="1"/>
  <c r="N396" i="5"/>
  <c r="Q396" i="5" s="1"/>
  <c r="M396" i="5"/>
  <c r="AV396" i="5" s="1"/>
  <c r="W415" i="5"/>
  <c r="Y415" i="5" s="1"/>
  <c r="M415" i="5"/>
  <c r="AV415" i="5" s="1"/>
  <c r="R319" i="5"/>
  <c r="AY319" i="5" s="1"/>
  <c r="M319" i="5"/>
  <c r="AV319" i="5" s="1"/>
  <c r="R453" i="5"/>
  <c r="AY453" i="5" s="1"/>
  <c r="M453" i="5"/>
  <c r="AV453" i="5" s="1"/>
  <c r="R310" i="5"/>
  <c r="AY310" i="5" s="1"/>
  <c r="M310" i="5"/>
  <c r="AV310" i="5" s="1"/>
  <c r="N313" i="5"/>
  <c r="M313" i="5"/>
  <c r="AV313" i="5" s="1"/>
  <c r="R308" i="5"/>
  <c r="AY308" i="5" s="1"/>
  <c r="M308" i="5"/>
  <c r="AV308" i="5" s="1"/>
  <c r="R359" i="5"/>
  <c r="AY359" i="5" s="1"/>
  <c r="M359" i="5"/>
  <c r="AV359" i="5" s="1"/>
  <c r="N512" i="5"/>
  <c r="Q512" i="5" s="1"/>
  <c r="M512" i="5"/>
  <c r="AV512" i="5" s="1"/>
  <c r="N355" i="5"/>
  <c r="M355" i="5"/>
  <c r="AV355" i="5" s="1"/>
  <c r="R502" i="5"/>
  <c r="AY502" i="5" s="1"/>
  <c r="M502" i="5"/>
  <c r="AV502" i="5" s="1"/>
  <c r="N377" i="5"/>
  <c r="M377" i="5"/>
  <c r="AV377" i="5" s="1"/>
  <c r="N429" i="5"/>
  <c r="Q429" i="5" s="1"/>
  <c r="M429" i="5"/>
  <c r="AV429" i="5" s="1"/>
  <c r="N459" i="5"/>
  <c r="M459" i="5"/>
  <c r="AV459" i="5" s="1"/>
  <c r="N350" i="5"/>
  <c r="Q350" i="5" s="1"/>
  <c r="M350" i="5"/>
  <c r="AV350" i="5" s="1"/>
  <c r="N458" i="5"/>
  <c r="M458" i="5"/>
  <c r="AV458" i="5" s="1"/>
  <c r="R528" i="5"/>
  <c r="AY528" i="5" s="1"/>
  <c r="M528" i="5"/>
  <c r="AV528" i="5" s="1"/>
  <c r="R511" i="5"/>
  <c r="AY511" i="5" s="1"/>
  <c r="M511" i="5"/>
  <c r="AV511" i="5" s="1"/>
  <c r="N280" i="5"/>
  <c r="O280" i="5" s="1"/>
  <c r="M280" i="5"/>
  <c r="AV280" i="5" s="1"/>
  <c r="N506" i="5"/>
  <c r="M506" i="5"/>
  <c r="AV506" i="5" s="1"/>
  <c r="N356" i="5"/>
  <c r="O356" i="5" s="1"/>
  <c r="P356" i="5" s="1"/>
  <c r="M356" i="5"/>
  <c r="AV356" i="5" s="1"/>
  <c r="N303" i="5"/>
  <c r="M303" i="5"/>
  <c r="AV303" i="5" s="1"/>
  <c r="R403" i="5"/>
  <c r="AY403" i="5" s="1"/>
  <c r="M403" i="5"/>
  <c r="AV403" i="5" s="1"/>
  <c r="N402" i="5"/>
  <c r="M402" i="5"/>
  <c r="AV402" i="5" s="1"/>
  <c r="N372" i="5"/>
  <c r="O372" i="5" s="1"/>
  <c r="M372" i="5"/>
  <c r="AV372" i="5" s="1"/>
  <c r="R473" i="5"/>
  <c r="AY473" i="5" s="1"/>
  <c r="M473" i="5"/>
  <c r="AV473" i="5" s="1"/>
  <c r="N357" i="5"/>
  <c r="O357" i="5" s="1"/>
  <c r="M357" i="5"/>
  <c r="AV357" i="5" s="1"/>
  <c r="N450" i="5"/>
  <c r="M450" i="5"/>
  <c r="AV450" i="5" s="1"/>
  <c r="N400" i="5"/>
  <c r="O400" i="5" s="1"/>
  <c r="M400" i="5"/>
  <c r="AV400" i="5" s="1"/>
  <c r="R364" i="5"/>
  <c r="AY364" i="5" s="1"/>
  <c r="M364" i="5"/>
  <c r="AV364" i="5" s="1"/>
  <c r="N289" i="5"/>
  <c r="O289" i="5" s="1"/>
  <c r="M289" i="5"/>
  <c r="AV289" i="5" s="1"/>
  <c r="R363" i="5"/>
  <c r="AY363" i="5" s="1"/>
  <c r="M363" i="5"/>
  <c r="AV363" i="5" s="1"/>
  <c r="N520" i="5"/>
  <c r="O520" i="5" s="1"/>
  <c r="M520" i="5"/>
  <c r="AV520" i="5" s="1"/>
  <c r="N296" i="5"/>
  <c r="M296" i="5"/>
  <c r="AV296" i="5" s="1"/>
  <c r="N536" i="5"/>
  <c r="Q536" i="5" s="1"/>
  <c r="M536" i="5"/>
  <c r="AV536" i="5" s="1"/>
  <c r="R315" i="5"/>
  <c r="AY315" i="5" s="1"/>
  <c r="M315" i="5"/>
  <c r="AV315" i="5" s="1"/>
  <c r="N412" i="5"/>
  <c r="O412" i="5" s="1"/>
  <c r="M412" i="5"/>
  <c r="AV412" i="5" s="1"/>
  <c r="N360" i="5"/>
  <c r="M360" i="5"/>
  <c r="AV360" i="5" s="1"/>
  <c r="R424" i="5"/>
  <c r="AY424" i="5" s="1"/>
  <c r="M424" i="5"/>
  <c r="AV424" i="5" s="1"/>
  <c r="R500" i="5"/>
  <c r="AY500" i="5" s="1"/>
  <c r="M500" i="5"/>
  <c r="AV500" i="5" s="1"/>
  <c r="N484" i="5"/>
  <c r="M484" i="5"/>
  <c r="AV484" i="5" s="1"/>
  <c r="N499" i="5"/>
  <c r="M499" i="5"/>
  <c r="AV499" i="5" s="1"/>
  <c r="R485" i="5"/>
  <c r="AY485" i="5" s="1"/>
  <c r="M485" i="5"/>
  <c r="AV485" i="5" s="1"/>
  <c r="R515" i="5"/>
  <c r="AY515" i="5" s="1"/>
  <c r="M515" i="5"/>
  <c r="AV515" i="5" s="1"/>
  <c r="R513" i="5"/>
  <c r="AY513" i="5" s="1"/>
  <c r="M513" i="5"/>
  <c r="AV513" i="5" s="1"/>
  <c r="R464" i="5"/>
  <c r="AY464" i="5" s="1"/>
  <c r="M464" i="5"/>
  <c r="AV464" i="5" s="1"/>
  <c r="R374" i="5"/>
  <c r="AY374" i="5" s="1"/>
  <c r="M374" i="5"/>
  <c r="AV374" i="5" s="1"/>
  <c r="R463" i="5"/>
  <c r="AY463" i="5" s="1"/>
  <c r="M463" i="5"/>
  <c r="AV463" i="5" s="1"/>
  <c r="N507" i="5"/>
  <c r="O507" i="5" s="1"/>
  <c r="M507" i="5"/>
  <c r="AV507" i="5" s="1"/>
  <c r="N498" i="5"/>
  <c r="M498" i="5"/>
  <c r="AV498" i="5" s="1"/>
  <c r="N462" i="5"/>
  <c r="O462" i="5" s="1"/>
  <c r="M462" i="5"/>
  <c r="AV462" i="5" s="1"/>
  <c r="R447" i="5"/>
  <c r="AY447" i="5" s="1"/>
  <c r="M447" i="5"/>
  <c r="AV447" i="5" s="1"/>
  <c r="R494" i="5"/>
  <c r="AY494" i="5" s="1"/>
  <c r="M494" i="5"/>
  <c r="AV494" i="5" s="1"/>
  <c r="N367" i="5"/>
  <c r="M367" i="5"/>
  <c r="AV367" i="5" s="1"/>
  <c r="N307" i="5"/>
  <c r="O307" i="5" s="1"/>
  <c r="M307" i="5"/>
  <c r="AV307" i="5" s="1"/>
  <c r="N468" i="5"/>
  <c r="M468" i="5"/>
  <c r="AV468" i="5" s="1"/>
  <c r="N284" i="5"/>
  <c r="Q284" i="5" s="1"/>
  <c r="M284" i="5"/>
  <c r="AV284" i="5" s="1"/>
  <c r="R285" i="5"/>
  <c r="AY285" i="5" s="1"/>
  <c r="M285" i="5"/>
  <c r="AV285" i="5" s="1"/>
  <c r="R487" i="5"/>
  <c r="AY487" i="5" s="1"/>
  <c r="M487" i="5"/>
  <c r="AV487" i="5" s="1"/>
  <c r="N436" i="5"/>
  <c r="M436" i="5"/>
  <c r="AV436" i="5" s="1"/>
  <c r="R425" i="5"/>
  <c r="AY425" i="5" s="1"/>
  <c r="M425" i="5"/>
  <c r="AV425" i="5" s="1"/>
  <c r="R428" i="5"/>
  <c r="AY428" i="5" s="1"/>
  <c r="M428" i="5"/>
  <c r="AV428" i="5" s="1"/>
  <c r="N398" i="5"/>
  <c r="Q398" i="5" s="1"/>
  <c r="M398" i="5"/>
  <c r="AV398" i="5" s="1"/>
  <c r="N469" i="5"/>
  <c r="M469" i="5"/>
  <c r="AV469" i="5" s="1"/>
  <c r="R444" i="5"/>
  <c r="AY444" i="5" s="1"/>
  <c r="M444" i="5"/>
  <c r="AV444" i="5" s="1"/>
  <c r="R523" i="5"/>
  <c r="AY523" i="5" s="1"/>
  <c r="M523" i="5"/>
  <c r="AV523" i="5" s="1"/>
  <c r="R476" i="5"/>
  <c r="AY476" i="5" s="1"/>
  <c r="M476" i="5"/>
  <c r="AV476" i="5" s="1"/>
  <c r="R417" i="5"/>
  <c r="AY417" i="5" s="1"/>
  <c r="M417" i="5"/>
  <c r="AV417" i="5" s="1"/>
  <c r="N510" i="5"/>
  <c r="O510" i="5" s="1"/>
  <c r="M510" i="5"/>
  <c r="AV510" i="5" s="1"/>
  <c r="R345" i="5"/>
  <c r="AY345" i="5" s="1"/>
  <c r="M345" i="5"/>
  <c r="AV345" i="5" s="1"/>
  <c r="R540" i="5"/>
  <c r="AY540" i="5" s="1"/>
  <c r="M540" i="5"/>
  <c r="AV540" i="5" s="1"/>
  <c r="N452" i="5"/>
  <c r="M452" i="5"/>
  <c r="AV452" i="5" s="1"/>
  <c r="N334" i="5"/>
  <c r="Q334" i="5" s="1"/>
  <c r="M334" i="5"/>
  <c r="AV334" i="5" s="1"/>
  <c r="R297" i="5"/>
  <c r="AY297" i="5" s="1"/>
  <c r="M297" i="5"/>
  <c r="AV297" i="5" s="1"/>
  <c r="R461" i="5"/>
  <c r="AY461" i="5" s="1"/>
  <c r="M461" i="5"/>
  <c r="AV461" i="5" s="1"/>
  <c r="N466" i="5"/>
  <c r="M466" i="5"/>
  <c r="AV466" i="5" s="1"/>
  <c r="N354" i="5"/>
  <c r="O354" i="5" s="1"/>
  <c r="M354" i="5"/>
  <c r="AV354" i="5" s="1"/>
  <c r="R420" i="5"/>
  <c r="AY420" i="5" s="1"/>
  <c r="M420" i="5"/>
  <c r="AV420" i="5" s="1"/>
  <c r="N421" i="5"/>
  <c r="O421" i="5" s="1"/>
  <c r="M421" i="5"/>
  <c r="AV421" i="5" s="1"/>
  <c r="N388" i="5"/>
  <c r="M388" i="5"/>
  <c r="AV388" i="5" s="1"/>
  <c r="N368" i="5"/>
  <c r="O368" i="5" s="1"/>
  <c r="M368" i="5"/>
  <c r="AV368" i="5" s="1"/>
  <c r="N385" i="5"/>
  <c r="M385" i="5"/>
  <c r="AV385" i="5" s="1"/>
  <c r="N383" i="5"/>
  <c r="Q383" i="5" s="1"/>
  <c r="M383" i="5"/>
  <c r="AV383" i="5" s="1"/>
  <c r="R288" i="5"/>
  <c r="AY288" i="5" s="1"/>
  <c r="M288" i="5"/>
  <c r="AV288" i="5" s="1"/>
  <c r="R406" i="5"/>
  <c r="AY406" i="5" s="1"/>
  <c r="M406" i="5"/>
  <c r="AV406" i="5" s="1"/>
  <c r="R3" i="3"/>
  <c r="R4" i="3"/>
  <c r="R8" i="3"/>
  <c r="R12" i="3"/>
  <c r="R16" i="3"/>
  <c r="R15" i="3"/>
  <c r="R5" i="3"/>
  <c r="R9" i="3"/>
  <c r="R13" i="3"/>
  <c r="R17" i="3"/>
  <c r="R11" i="3"/>
  <c r="R6" i="3"/>
  <c r="R10" i="3"/>
  <c r="R14" i="3"/>
  <c r="R18" i="3"/>
  <c r="R7" i="3"/>
  <c r="R2" i="3"/>
  <c r="AA111" i="5"/>
  <c r="BF111" i="5" s="1"/>
  <c r="AA346" i="5"/>
  <c r="H165" i="9" s="1"/>
  <c r="AA347" i="5"/>
  <c r="H166" i="9" s="1"/>
  <c r="AA452" i="5"/>
  <c r="AP301" i="5"/>
  <c r="AA301" i="5"/>
  <c r="H68" i="9" s="1"/>
  <c r="AP474" i="5"/>
  <c r="AA474" i="5"/>
  <c r="AP451" i="5"/>
  <c r="AA451" i="5"/>
  <c r="H360" i="9" s="1"/>
  <c r="AP293" i="5"/>
  <c r="AA293" i="5"/>
  <c r="H45" i="9" s="1"/>
  <c r="AP290" i="5"/>
  <c r="AP414" i="5"/>
  <c r="AA414" i="5"/>
  <c r="AP415" i="5"/>
  <c r="AA415" i="5"/>
  <c r="H296" i="9" s="1"/>
  <c r="AP234" i="5"/>
  <c r="AP492" i="5"/>
  <c r="AA492" i="5"/>
  <c r="H452" i="9" s="1"/>
  <c r="W293" i="5"/>
  <c r="Y293" i="5" s="1"/>
  <c r="W3" i="5"/>
  <c r="J19" i="3"/>
  <c r="J27" i="3"/>
  <c r="J35" i="3"/>
  <c r="J43" i="3"/>
  <c r="J51" i="3"/>
  <c r="J17" i="3"/>
  <c r="J4" i="3"/>
  <c r="J20" i="3"/>
  <c r="J28" i="3"/>
  <c r="J36" i="3"/>
  <c r="J44" i="3"/>
  <c r="J52" i="3"/>
  <c r="J18" i="3"/>
  <c r="J3" i="3"/>
  <c r="J26" i="3"/>
  <c r="J34" i="3"/>
  <c r="J50" i="3"/>
  <c r="J10" i="3"/>
  <c r="J42" i="3"/>
  <c r="J21" i="3"/>
  <c r="J29" i="3"/>
  <c r="J37" i="3"/>
  <c r="J45" i="3"/>
  <c r="J11" i="3"/>
  <c r="J5" i="3"/>
  <c r="J2" i="3"/>
  <c r="J22" i="3"/>
  <c r="J30" i="3"/>
  <c r="J38" i="3"/>
  <c r="J46" i="3"/>
  <c r="J12" i="3"/>
  <c r="J6" i="3"/>
  <c r="J7" i="3"/>
  <c r="J33" i="3"/>
  <c r="J9" i="3"/>
  <c r="J49" i="3"/>
  <c r="J23" i="3"/>
  <c r="J31" i="3"/>
  <c r="J39" i="3"/>
  <c r="J47" i="3"/>
  <c r="J13" i="3"/>
  <c r="J25" i="3"/>
  <c r="J15" i="3"/>
  <c r="J24" i="3"/>
  <c r="J32" i="3"/>
  <c r="J40" i="3"/>
  <c r="J48" i="3"/>
  <c r="J14" i="3"/>
  <c r="J8" i="3"/>
  <c r="J41" i="3"/>
  <c r="J16" i="3"/>
  <c r="N410" i="5"/>
  <c r="Q410" i="5" s="1"/>
  <c r="AP38" i="5"/>
  <c r="AP28" i="5"/>
  <c r="AP32" i="5"/>
  <c r="AP52" i="5"/>
  <c r="AP60" i="5"/>
  <c r="AP75" i="5"/>
  <c r="AP107" i="5"/>
  <c r="AP164" i="5"/>
  <c r="AP168" i="5"/>
  <c r="AP172" i="5"/>
  <c r="AP180" i="5"/>
  <c r="AP188" i="5"/>
  <c r="AP196" i="5"/>
  <c r="AP6" i="5"/>
  <c r="AP71" i="5"/>
  <c r="AP78" i="5"/>
  <c r="AP82" i="5"/>
  <c r="AP86" i="5"/>
  <c r="AP90" i="5"/>
  <c r="AP98" i="5"/>
  <c r="AP111" i="5"/>
  <c r="AP112" i="5"/>
  <c r="AP116" i="5"/>
  <c r="AP124" i="5"/>
  <c r="AP128" i="5"/>
  <c r="AP136" i="5"/>
  <c r="AP140" i="5"/>
  <c r="AP144" i="5"/>
  <c r="AP148" i="5"/>
  <c r="AP152" i="5"/>
  <c r="AP231" i="5"/>
  <c r="AP239" i="5"/>
  <c r="AP251" i="5"/>
  <c r="AP254" i="5"/>
  <c r="AP217" i="5"/>
  <c r="AP220" i="5"/>
  <c r="AP266" i="5"/>
  <c r="AP221" i="5"/>
  <c r="AP240" i="5"/>
  <c r="AP331" i="5"/>
  <c r="AP278" i="5"/>
  <c r="AP283" i="5"/>
  <c r="AP467" i="5"/>
  <c r="AP504" i="5"/>
  <c r="AP475" i="5"/>
  <c r="AP335" i="5"/>
  <c r="AP311" i="5"/>
  <c r="AP418" i="5"/>
  <c r="AP105" i="5"/>
  <c r="AP109" i="5"/>
  <c r="AP174" i="5"/>
  <c r="AP186" i="5"/>
  <c r="AP5" i="5"/>
  <c r="AP11" i="5"/>
  <c r="AP27" i="5"/>
  <c r="AP39" i="5"/>
  <c r="AP43" i="5"/>
  <c r="AP51" i="5"/>
  <c r="AP55" i="5"/>
  <c r="AP74" i="5"/>
  <c r="AP106" i="5"/>
  <c r="AP171" i="5"/>
  <c r="AP183" i="5"/>
  <c r="AP187" i="5"/>
  <c r="AP203" i="5"/>
  <c r="AP207" i="5"/>
  <c r="AP211" i="5"/>
  <c r="AP253" i="5"/>
  <c r="AP261" i="5"/>
  <c r="AP410" i="5"/>
  <c r="AP439" i="5"/>
  <c r="AP230" i="5"/>
  <c r="AP295" i="5"/>
  <c r="AP457" i="5"/>
  <c r="AP399" i="5"/>
  <c r="AP380" i="5"/>
  <c r="AP455" i="5"/>
  <c r="AP525" i="5"/>
  <c r="AP381" i="5"/>
  <c r="AP319" i="5"/>
  <c r="AP453" i="5"/>
  <c r="AP310" i="5"/>
  <c r="AP313" i="5"/>
  <c r="AP359" i="5"/>
  <c r="AP355" i="5"/>
  <c r="AP531" i="5"/>
  <c r="AP376" i="5"/>
  <c r="AP350" i="5"/>
  <c r="AP528" i="5"/>
  <c r="AP280" i="5"/>
  <c r="AP279" i="5"/>
  <c r="AP323" i="5"/>
  <c r="AP402" i="5"/>
  <c r="AP370" i="5"/>
  <c r="AP357" i="5"/>
  <c r="AP400" i="5"/>
  <c r="AP289" i="5"/>
  <c r="AP520" i="5"/>
  <c r="AP412" i="5"/>
  <c r="AP535" i="5"/>
  <c r="AP500" i="5"/>
  <c r="AP499" i="5"/>
  <c r="AP515" i="5"/>
  <c r="AP513" i="5"/>
  <c r="AP463" i="5"/>
  <c r="AP462" i="5"/>
  <c r="AP494" i="5"/>
  <c r="AP18" i="5"/>
  <c r="AP15" i="5"/>
  <c r="AP19" i="5"/>
  <c r="AP31" i="5"/>
  <c r="AP35" i="5"/>
  <c r="AP47" i="5"/>
  <c r="AP59" i="5"/>
  <c r="AP67" i="5"/>
  <c r="AP102" i="5"/>
  <c r="AP110" i="5"/>
  <c r="AP155" i="5"/>
  <c r="AP159" i="5"/>
  <c r="AP167" i="5"/>
  <c r="AP175" i="5"/>
  <c r="AP179" i="5"/>
  <c r="AP191" i="5"/>
  <c r="AP195" i="5"/>
  <c r="AP238" i="5"/>
  <c r="AP245" i="5"/>
  <c r="AP250" i="5"/>
  <c r="AP249" i="5"/>
  <c r="AP10" i="5"/>
  <c r="AP70" i="5"/>
  <c r="AP77" i="5"/>
  <c r="AP81" i="5"/>
  <c r="AP85" i="5"/>
  <c r="AP89" i="5"/>
  <c r="AP93" i="5"/>
  <c r="AP97" i="5"/>
  <c r="AP115" i="5"/>
  <c r="AP119" i="5"/>
  <c r="AP123" i="5"/>
  <c r="AP127" i="5"/>
  <c r="AP131" i="5"/>
  <c r="AP135" i="5"/>
  <c r="AP139" i="5"/>
  <c r="AP143" i="5"/>
  <c r="AP147" i="5"/>
  <c r="AP151" i="5"/>
  <c r="AP170" i="5"/>
  <c r="AP226" i="5"/>
  <c r="AP244" i="5"/>
  <c r="AP248" i="5"/>
  <c r="AP215" i="5"/>
  <c r="AP256" i="5"/>
  <c r="AP270" i="5"/>
  <c r="AP219" i="5"/>
  <c r="AP229" i="5"/>
  <c r="AP294" i="5"/>
  <c r="AP398" i="5"/>
  <c r="AP487" i="5"/>
  <c r="AP353" i="5"/>
  <c r="AP382" i="5"/>
  <c r="AP468" i="5"/>
  <c r="AP445" i="5"/>
  <c r="AP417" i="5"/>
  <c r="AP416" i="5"/>
  <c r="AP540" i="5"/>
  <c r="AP334" i="5"/>
  <c r="AP466" i="5"/>
  <c r="AP421" i="5"/>
  <c r="AP388" i="5"/>
  <c r="AP387" i="5"/>
  <c r="AP385" i="5"/>
  <c r="AP383" i="5"/>
  <c r="AP42" i="5"/>
  <c r="AP46" i="5"/>
  <c r="AP66" i="5"/>
  <c r="AP154" i="5"/>
  <c r="AP166" i="5"/>
  <c r="AP178" i="5"/>
  <c r="AP198" i="5"/>
  <c r="AP206" i="5"/>
  <c r="AP218" i="5"/>
  <c r="AP307" i="5"/>
  <c r="AP224" i="5"/>
  <c r="AP456" i="5"/>
  <c r="AP346" i="5"/>
  <c r="AP404" i="5"/>
  <c r="AP442" i="5"/>
  <c r="AP317" i="5"/>
  <c r="AP532" i="5"/>
  <c r="AP351" i="5"/>
  <c r="AP522" i="5"/>
  <c r="AP326" i="5"/>
  <c r="AP325" i="5"/>
  <c r="AP539" i="5"/>
  <c r="AP538" i="5"/>
  <c r="AP440" i="5"/>
  <c r="AP401" i="5"/>
  <c r="AP449" i="5"/>
  <c r="AP483" i="5"/>
  <c r="AP448" i="5"/>
  <c r="AP480" i="5"/>
  <c r="AP471" i="5"/>
  <c r="AP411" i="5"/>
  <c r="AP470" i="5"/>
  <c r="AP518" i="5"/>
  <c r="AP375" i="5"/>
  <c r="AP389" i="5"/>
  <c r="AP497" i="5"/>
  <c r="AP495" i="5"/>
  <c r="AP30" i="5"/>
  <c r="AP58" i="5"/>
  <c r="AP62" i="5"/>
  <c r="AP158" i="5"/>
  <c r="AP190" i="5"/>
  <c r="AP194" i="5"/>
  <c r="AP210" i="5"/>
  <c r="AP225" i="5"/>
  <c r="AP491" i="5"/>
  <c r="AP469" i="5"/>
  <c r="AP282" i="5"/>
  <c r="AP344" i="5"/>
  <c r="AP378" i="5"/>
  <c r="AP516" i="5"/>
  <c r="AP4" i="5"/>
  <c r="AP41" i="5"/>
  <c r="AP69" i="5"/>
  <c r="AP73" i="5"/>
  <c r="AP80" i="5"/>
  <c r="AP84" i="5"/>
  <c r="AP88" i="5"/>
  <c r="AP92" i="5"/>
  <c r="AP96" i="5"/>
  <c r="AP114" i="5"/>
  <c r="AP118" i="5"/>
  <c r="AP122" i="5"/>
  <c r="AP126" i="5"/>
  <c r="AP130" i="5"/>
  <c r="AP134" i="5"/>
  <c r="AP138" i="5"/>
  <c r="AP146" i="5"/>
  <c r="AP150" i="5"/>
  <c r="AP237" i="5"/>
  <c r="AP260" i="5"/>
  <c r="AP269" i="5"/>
  <c r="AP273" i="5"/>
  <c r="AP277" i="5"/>
  <c r="AP223" i="5"/>
  <c r="AP434" i="5"/>
  <c r="AP320" i="5"/>
  <c r="AP431" i="5"/>
  <c r="AP490" i="5"/>
  <c r="AP408" i="5"/>
  <c r="AP446" i="5"/>
  <c r="AP379" i="5"/>
  <c r="AP406" i="5"/>
  <c r="AP395" i="5"/>
  <c r="AP503" i="5"/>
  <c r="AP394" i="5"/>
  <c r="AP465" i="5"/>
  <c r="AP9" i="5"/>
  <c r="AP34" i="5"/>
  <c r="AP101" i="5"/>
  <c r="AP8" i="5"/>
  <c r="AP13" i="5"/>
  <c r="AP17" i="5"/>
  <c r="AP25" i="5"/>
  <c r="AP29" i="5"/>
  <c r="AP33" i="5"/>
  <c r="AP37" i="5"/>
  <c r="AP45" i="5"/>
  <c r="AP57" i="5"/>
  <c r="AP100" i="5"/>
  <c r="AP108" i="5"/>
  <c r="AP153" i="5"/>
  <c r="AP165" i="5"/>
  <c r="AP177" i="5"/>
  <c r="AP193" i="5"/>
  <c r="AP205" i="5"/>
  <c r="AP214" i="5"/>
  <c r="AP216" i="5"/>
  <c r="AP268" i="5"/>
  <c r="AP272" i="5"/>
  <c r="AP276" i="5"/>
  <c r="AP304" i="5"/>
  <c r="AP321" i="5"/>
  <c r="AP438" i="5"/>
  <c r="AP286" i="5"/>
  <c r="AP488" i="5"/>
  <c r="AP486" i="5"/>
  <c r="AP284" i="5"/>
  <c r="AP347" i="5"/>
  <c r="AP405" i="5"/>
  <c r="AP444" i="5"/>
  <c r="AP523" i="5"/>
  <c r="AP396" i="5"/>
  <c r="AP328" i="5"/>
  <c r="AP443" i="5"/>
  <c r="AP343" i="5"/>
  <c r="AP342" i="5"/>
  <c r="AP308" i="5"/>
  <c r="AP512" i="5"/>
  <c r="AP502" i="5"/>
  <c r="AP377" i="5"/>
  <c r="AP529" i="5"/>
  <c r="AP511" i="5"/>
  <c r="AP441" i="5"/>
  <c r="AP303" i="5"/>
  <c r="AP403" i="5"/>
  <c r="AP372" i="5"/>
  <c r="AP450" i="5"/>
  <c r="AP364" i="5"/>
  <c r="AP363" i="5"/>
  <c r="AP362" i="5"/>
  <c r="AP536" i="5"/>
  <c r="AP315" i="5"/>
  <c r="AP424" i="5"/>
  <c r="AP519" i="5"/>
  <c r="AP464" i="5"/>
  <c r="AP498" i="5"/>
  <c r="AP384" i="5"/>
  <c r="AP14" i="5"/>
  <c r="AP142" i="5"/>
  <c r="AP162" i="5"/>
  <c r="AP21" i="5"/>
  <c r="AP49" i="5"/>
  <c r="AP53" i="5"/>
  <c r="AP61" i="5"/>
  <c r="AP65" i="5"/>
  <c r="AP76" i="5"/>
  <c r="AP104" i="5"/>
  <c r="AP129" i="5"/>
  <c r="AP157" i="5"/>
  <c r="AP169" i="5"/>
  <c r="AP173" i="5"/>
  <c r="AP181" i="5"/>
  <c r="AP185" i="5"/>
  <c r="AP189" i="5"/>
  <c r="AP197" i="5"/>
  <c r="AP201" i="5"/>
  <c r="AP213" i="5"/>
  <c r="AP247" i="5"/>
  <c r="AP7" i="5"/>
  <c r="AP68" i="5"/>
  <c r="AP72" i="5"/>
  <c r="AP79" i="5"/>
  <c r="AP83" i="5"/>
  <c r="AP87" i="5"/>
  <c r="AP91" i="5"/>
  <c r="AP95" i="5"/>
  <c r="AP99" i="5"/>
  <c r="AP113" i="5"/>
  <c r="AP121" i="5"/>
  <c r="AP125" i="5"/>
  <c r="AP133" i="5"/>
  <c r="AP137" i="5"/>
  <c r="AP141" i="5"/>
  <c r="AP145" i="5"/>
  <c r="AP149" i="5"/>
  <c r="AP236" i="5"/>
  <c r="AP241" i="5"/>
  <c r="AP258" i="5"/>
  <c r="AP252" i="5"/>
  <c r="AP255" i="5"/>
  <c r="AP275" i="5"/>
  <c r="AP228" i="5"/>
  <c r="AP233" i="5"/>
  <c r="AP437" i="5"/>
  <c r="AP436" i="5"/>
  <c r="AP524" i="5"/>
  <c r="AP476" i="5"/>
  <c r="AP345" i="5"/>
  <c r="AP452" i="5"/>
  <c r="AP358" i="5"/>
  <c r="AP420" i="5"/>
  <c r="AP368" i="5"/>
  <c r="AP50" i="5"/>
  <c r="AP54" i="5"/>
  <c r="AP12" i="5"/>
  <c r="AP16" i="5"/>
  <c r="AP20" i="5"/>
  <c r="AP36" i="5"/>
  <c r="AP40" i="5"/>
  <c r="AP44" i="5"/>
  <c r="AP48" i="5"/>
  <c r="AP56" i="5"/>
  <c r="AP64" i="5"/>
  <c r="AP103" i="5"/>
  <c r="AP120" i="5"/>
  <c r="AP132" i="5"/>
  <c r="AP156" i="5"/>
  <c r="AP160" i="5"/>
  <c r="AP176" i="5"/>
  <c r="AP184" i="5"/>
  <c r="AP192" i="5"/>
  <c r="AP200" i="5"/>
  <c r="AP204" i="5"/>
  <c r="AP212" i="5"/>
  <c r="AP232" i="5"/>
  <c r="AP235" i="5"/>
  <c r="AP246" i="5"/>
  <c r="AP265" i="5"/>
  <c r="AP267" i="5"/>
  <c r="AP271" i="5"/>
  <c r="AP274" i="5"/>
  <c r="AP222" i="5"/>
  <c r="AP305" i="5"/>
  <c r="AP306" i="5"/>
  <c r="AP242" i="5"/>
  <c r="AP433" i="5"/>
  <c r="AP432" i="5"/>
  <c r="AP489" i="5"/>
  <c r="AP397" i="5"/>
  <c r="AP285" i="5"/>
  <c r="AP407" i="5"/>
  <c r="AP352" i="5"/>
  <c r="AP341" i="5"/>
  <c r="AP338" i="5"/>
  <c r="AP454" i="5"/>
  <c r="AP318" i="5"/>
  <c r="AP309" i="5"/>
  <c r="AP312" i="5"/>
  <c r="AP533" i="5"/>
  <c r="AP327" i="5"/>
  <c r="AP316" i="5"/>
  <c r="AP530" i="5"/>
  <c r="AP521" i="5"/>
  <c r="AP281" i="5"/>
  <c r="AP517" i="5"/>
  <c r="AP373" i="5"/>
  <c r="AP324" i="5"/>
  <c r="AP302" i="5"/>
  <c r="AP537" i="5"/>
  <c r="AP371" i="5"/>
  <c r="AP472" i="5"/>
  <c r="AP482" i="5"/>
  <c r="AP481" i="5"/>
  <c r="AP479" i="5"/>
  <c r="AP501" i="5"/>
  <c r="AP314" i="5"/>
  <c r="AP534" i="5"/>
  <c r="AP514" i="5"/>
  <c r="AP369" i="5"/>
  <c r="AP386" i="5"/>
  <c r="AP496" i="5"/>
  <c r="AP493" i="5"/>
  <c r="AP419" i="5"/>
  <c r="K14" i="3"/>
  <c r="K50" i="3"/>
  <c r="K27" i="3"/>
  <c r="K51" i="3"/>
  <c r="K36" i="3"/>
  <c r="K44" i="3"/>
  <c r="K52" i="3"/>
  <c r="K13" i="3"/>
  <c r="K17" i="3"/>
  <c r="K37" i="3"/>
  <c r="D3" i="5"/>
  <c r="P15" i="3" s="1"/>
  <c r="N434" i="5"/>
  <c r="Q434" i="5" s="1"/>
  <c r="R41" i="5"/>
  <c r="CE41" i="5" s="1"/>
  <c r="N8" i="5"/>
  <c r="O8" i="5" s="1"/>
  <c r="R13" i="5"/>
  <c r="R17" i="5"/>
  <c r="CE17" i="5" s="1"/>
  <c r="N21" i="5"/>
  <c r="Q21" i="5" s="1"/>
  <c r="S21" i="5" s="1"/>
  <c r="N25" i="5"/>
  <c r="Q25" i="5" s="1"/>
  <c r="S25" i="5" s="1"/>
  <c r="N29" i="5"/>
  <c r="O29" i="5" s="1"/>
  <c r="R33" i="5"/>
  <c r="CE33" i="5" s="1"/>
  <c r="R37" i="5"/>
  <c r="R45" i="5"/>
  <c r="R49" i="5"/>
  <c r="CE49" i="5" s="1"/>
  <c r="R53" i="5"/>
  <c r="R57" i="5"/>
  <c r="R61" i="5"/>
  <c r="CE61" i="5" s="1"/>
  <c r="R65" i="5"/>
  <c r="CE65" i="5" s="1"/>
  <c r="R69" i="5"/>
  <c r="CE69" i="5" s="1"/>
  <c r="R73" i="5"/>
  <c r="CE73" i="5" s="1"/>
  <c r="R77" i="5"/>
  <c r="R81" i="5"/>
  <c r="CE81" i="5" s="1"/>
  <c r="R89" i="5"/>
  <c r="R93" i="5"/>
  <c r="N97" i="5"/>
  <c r="O97" i="5" s="1"/>
  <c r="N119" i="5"/>
  <c r="Q119" i="5" s="1"/>
  <c r="S119" i="5" s="1"/>
  <c r="R123" i="5"/>
  <c r="R127" i="5"/>
  <c r="CE127" i="5" s="1"/>
  <c r="R131" i="5"/>
  <c r="R135" i="5"/>
  <c r="R139" i="5"/>
  <c r="R143" i="5"/>
  <c r="R147" i="5"/>
  <c r="N151" i="5"/>
  <c r="Q151" i="5" s="1"/>
  <c r="S151" i="5" s="1"/>
  <c r="N159" i="5"/>
  <c r="Q159" i="5" s="1"/>
  <c r="S159" i="5" s="1"/>
  <c r="N163" i="5"/>
  <c r="Q163" i="5" s="1"/>
  <c r="S163" i="5" s="1"/>
  <c r="N167" i="5"/>
  <c r="Q167" i="5" s="1"/>
  <c r="S167" i="5" s="1"/>
  <c r="N175" i="5"/>
  <c r="O175" i="5" s="1"/>
  <c r="N179" i="5"/>
  <c r="Q179" i="5" s="1"/>
  <c r="S179" i="5" s="1"/>
  <c r="R183" i="5"/>
  <c r="N191" i="5"/>
  <c r="O191" i="5" s="1"/>
  <c r="N195" i="5"/>
  <c r="Q195" i="5" s="1"/>
  <c r="S195" i="5" s="1"/>
  <c r="N203" i="5"/>
  <c r="O203" i="5" s="1"/>
  <c r="R211" i="5"/>
  <c r="CE211" i="5" s="1"/>
  <c r="R109" i="5"/>
  <c r="CE109" i="5" s="1"/>
  <c r="N142" i="5"/>
  <c r="Q142" i="5" s="1"/>
  <c r="S142" i="5" s="1"/>
  <c r="R12" i="5"/>
  <c r="R16" i="5"/>
  <c r="R20" i="5"/>
  <c r="N28" i="5"/>
  <c r="Q28" i="5" s="1"/>
  <c r="S28" i="5" s="1"/>
  <c r="N32" i="5"/>
  <c r="O32" i="5" s="1"/>
  <c r="R36" i="5"/>
  <c r="R40" i="5"/>
  <c r="R84" i="5"/>
  <c r="N88" i="5"/>
  <c r="Q88" i="5" s="1"/>
  <c r="S88" i="5" s="1"/>
  <c r="R96" i="5"/>
  <c r="R114" i="5"/>
  <c r="R126" i="5"/>
  <c r="CE126" i="5" s="1"/>
  <c r="R130" i="5"/>
  <c r="N138" i="5"/>
  <c r="O138" i="5" s="1"/>
  <c r="N146" i="5"/>
  <c r="Q146" i="5" s="1"/>
  <c r="S146" i="5" s="1"/>
  <c r="N150" i="5"/>
  <c r="Q150" i="5" s="1"/>
  <c r="S150" i="5" s="1"/>
  <c r="N154" i="5"/>
  <c r="Q154" i="5" s="1"/>
  <c r="S154" i="5" s="1"/>
  <c r="N162" i="5"/>
  <c r="Q162" i="5" s="1"/>
  <c r="S162" i="5" s="1"/>
  <c r="N166" i="5"/>
  <c r="Q166" i="5" s="1"/>
  <c r="S166" i="5" s="1"/>
  <c r="N174" i="5"/>
  <c r="Q174" i="5" s="1"/>
  <c r="S174" i="5" s="1"/>
  <c r="N178" i="5"/>
  <c r="Q178" i="5" s="1"/>
  <c r="S178" i="5" s="1"/>
  <c r="R186" i="5"/>
  <c r="CE186" i="5" s="1"/>
  <c r="R202" i="5"/>
  <c r="N206" i="5"/>
  <c r="Q206" i="5" s="1"/>
  <c r="S206" i="5" s="1"/>
  <c r="N210" i="5"/>
  <c r="Q210" i="5" s="1"/>
  <c r="S210" i="5" s="1"/>
  <c r="R104" i="5"/>
  <c r="R102" i="5"/>
  <c r="CE102" i="5" s="1"/>
  <c r="N110" i="5"/>
  <c r="Q110" i="5" s="1"/>
  <c r="S110" i="5" s="1"/>
  <c r="N7" i="5"/>
  <c r="Q7" i="5" s="1"/>
  <c r="S7" i="5" s="1"/>
  <c r="R11" i="5"/>
  <c r="CE11" i="5" s="1"/>
  <c r="R15" i="5"/>
  <c r="CE15" i="5" s="1"/>
  <c r="R23" i="5"/>
  <c r="N27" i="5"/>
  <c r="Q27" i="5" s="1"/>
  <c r="S27" i="5" s="1"/>
  <c r="N35" i="5"/>
  <c r="Q35" i="5" s="1"/>
  <c r="S35" i="5" s="1"/>
  <c r="N39" i="5"/>
  <c r="O39" i="5" s="1"/>
  <c r="N83" i="5"/>
  <c r="Q83" i="5" s="1"/>
  <c r="S83" i="5" s="1"/>
  <c r="N87" i="5"/>
  <c r="O87" i="5" s="1"/>
  <c r="R95" i="5"/>
  <c r="CE95" i="5" s="1"/>
  <c r="N117" i="5"/>
  <c r="Q117" i="5" s="1"/>
  <c r="S117" i="5" s="1"/>
  <c r="N133" i="5"/>
  <c r="Q133" i="5" s="1"/>
  <c r="S133" i="5" s="1"/>
  <c r="N137" i="5"/>
  <c r="Q137" i="5" s="1"/>
  <c r="S137" i="5" s="1"/>
  <c r="N141" i="5"/>
  <c r="O141" i="5" s="1"/>
  <c r="N169" i="5"/>
  <c r="Q169" i="5" s="1"/>
  <c r="S169" i="5" s="1"/>
  <c r="N177" i="5"/>
  <c r="O177" i="5" s="1"/>
  <c r="N185" i="5"/>
  <c r="Q185" i="5" s="1"/>
  <c r="S185" i="5" s="1"/>
  <c r="N189" i="5"/>
  <c r="Q189" i="5" s="1"/>
  <c r="S189" i="5" s="1"/>
  <c r="N197" i="5"/>
  <c r="Q197" i="5" s="1"/>
  <c r="S197" i="5" s="1"/>
  <c r="N201" i="5"/>
  <c r="O201" i="5" s="1"/>
  <c r="N205" i="5"/>
  <c r="Q205" i="5" s="1"/>
  <c r="S205" i="5" s="1"/>
  <c r="N209" i="5"/>
  <c r="Q209" i="5" s="1"/>
  <c r="S209" i="5" s="1"/>
  <c r="N213" i="5"/>
  <c r="O213" i="5" s="1"/>
  <c r="R4" i="5"/>
  <c r="CE4" i="5" s="1"/>
  <c r="N10" i="5"/>
  <c r="R120" i="5"/>
  <c r="R132" i="5"/>
  <c r="R107" i="5"/>
  <c r="N9" i="5"/>
  <c r="Q9" i="5" s="1"/>
  <c r="S9" i="5" s="1"/>
  <c r="R14" i="5"/>
  <c r="R18" i="5"/>
  <c r="CE18" i="5" s="1"/>
  <c r="N26" i="5"/>
  <c r="Q26" i="5" s="1"/>
  <c r="S26" i="5" s="1"/>
  <c r="N30" i="5"/>
  <c r="O30" i="5" s="1"/>
  <c r="R34" i="5"/>
  <c r="R38" i="5"/>
  <c r="R42" i="5"/>
  <c r="CE42" i="5" s="1"/>
  <c r="R46" i="5"/>
  <c r="R50" i="5"/>
  <c r="R54" i="5"/>
  <c r="CE54" i="5" s="1"/>
  <c r="R58" i="5"/>
  <c r="CE58" i="5" s="1"/>
  <c r="R62" i="5"/>
  <c r="R66" i="5"/>
  <c r="R70" i="5"/>
  <c r="R74" i="5"/>
  <c r="R78" i="5"/>
  <c r="R82" i="5"/>
  <c r="R90" i="5"/>
  <c r="CE90" i="5" s="1"/>
  <c r="R94" i="5"/>
  <c r="R98" i="5"/>
  <c r="CE98" i="5" s="1"/>
  <c r="N116" i="5"/>
  <c r="Q116" i="5" s="1"/>
  <c r="S116" i="5" s="1"/>
  <c r="R124" i="5"/>
  <c r="R136" i="5"/>
  <c r="N144" i="5"/>
  <c r="O144" i="5" s="1"/>
  <c r="N148" i="5"/>
  <c r="O148" i="5" s="1"/>
  <c r="N152" i="5"/>
  <c r="Q152" i="5" s="1"/>
  <c r="S152" i="5" s="1"/>
  <c r="N156" i="5"/>
  <c r="Q156" i="5" s="1"/>
  <c r="S156" i="5" s="1"/>
  <c r="N160" i="5"/>
  <c r="O160" i="5" s="1"/>
  <c r="N164" i="5"/>
  <c r="Q164" i="5" s="1"/>
  <c r="S164" i="5" s="1"/>
  <c r="R176" i="5"/>
  <c r="CE176" i="5" s="1"/>
  <c r="N184" i="5"/>
  <c r="Q184" i="5" s="1"/>
  <c r="S184" i="5" s="1"/>
  <c r="R192" i="5"/>
  <c r="R200" i="5"/>
  <c r="R208" i="5"/>
  <c r="CE208" i="5" s="1"/>
  <c r="R307" i="5"/>
  <c r="AY307" i="5" s="1"/>
  <c r="R332" i="5"/>
  <c r="AY332" i="5" s="1"/>
  <c r="AG99" i="5"/>
  <c r="AH99" i="5"/>
  <c r="AI99" i="5"/>
  <c r="AJ99" i="5"/>
  <c r="AK99" i="5"/>
  <c r="AL99" i="5"/>
  <c r="AF99" i="5"/>
  <c r="AM99" i="5"/>
  <c r="AF9" i="5"/>
  <c r="AG9" i="5"/>
  <c r="AH9" i="5"/>
  <c r="AI9" i="5"/>
  <c r="AJ9" i="5"/>
  <c r="AK9" i="5"/>
  <c r="AL9" i="5"/>
  <c r="AM9" i="5"/>
  <c r="AG110" i="5"/>
  <c r="AH110" i="5"/>
  <c r="AI110" i="5"/>
  <c r="AJ110" i="5"/>
  <c r="AK110" i="5"/>
  <c r="AL110" i="5"/>
  <c r="AF110" i="5"/>
  <c r="AM110" i="5"/>
  <c r="N439" i="5"/>
  <c r="O439" i="5" s="1"/>
  <c r="X142" i="5"/>
  <c r="X170" i="5"/>
  <c r="X270" i="5"/>
  <c r="X381" i="5"/>
  <c r="X423" i="5"/>
  <c r="X420" i="5"/>
  <c r="X129" i="5"/>
  <c r="X5" i="5"/>
  <c r="X132" i="5"/>
  <c r="X422" i="5"/>
  <c r="X421" i="5"/>
  <c r="X41" i="5"/>
  <c r="AC290" i="5"/>
  <c r="AD290" i="5" s="1"/>
  <c r="AC234" i="5"/>
  <c r="H413" i="9"/>
  <c r="R507" i="5"/>
  <c r="AY507" i="5" s="1"/>
  <c r="H295" i="9"/>
  <c r="U65" i="5"/>
  <c r="AC65" i="5"/>
  <c r="AD65" i="5" s="1"/>
  <c r="U69" i="5"/>
  <c r="AC69" i="5"/>
  <c r="AD69" i="5" s="1"/>
  <c r="U155" i="5"/>
  <c r="AC155" i="5"/>
  <c r="AD155" i="5" s="1"/>
  <c r="U159" i="5"/>
  <c r="AC159" i="5"/>
  <c r="AD159" i="5" s="1"/>
  <c r="U163" i="5"/>
  <c r="U167" i="5"/>
  <c r="AC167" i="5"/>
  <c r="AD167" i="5" s="1"/>
  <c r="U171" i="5"/>
  <c r="AC171" i="5"/>
  <c r="AD171" i="5" s="1"/>
  <c r="U175" i="5"/>
  <c r="AC175" i="5"/>
  <c r="AD175" i="5" s="1"/>
  <c r="U179" i="5"/>
  <c r="U183" i="5"/>
  <c r="U187" i="5"/>
  <c r="AC187" i="5"/>
  <c r="AD187" i="5" s="1"/>
  <c r="U191" i="5"/>
  <c r="U195" i="5"/>
  <c r="U199" i="5"/>
  <c r="AC199" i="5"/>
  <c r="AD199" i="5" s="1"/>
  <c r="U203" i="5"/>
  <c r="AC203" i="5"/>
  <c r="AD203" i="5" s="1"/>
  <c r="U207" i="5"/>
  <c r="AC207" i="5"/>
  <c r="AD207" i="5" s="1"/>
  <c r="U211" i="5"/>
  <c r="AC211" i="5"/>
  <c r="AD211" i="5" s="1"/>
  <c r="U227" i="5"/>
  <c r="AC227" i="5"/>
  <c r="AD227" i="5" s="1"/>
  <c r="U238" i="5"/>
  <c r="AC238" i="5"/>
  <c r="AD238" i="5" s="1"/>
  <c r="U245" i="5"/>
  <c r="AC245" i="5"/>
  <c r="AD245" i="5" s="1"/>
  <c r="U250" i="5"/>
  <c r="AC250" i="5"/>
  <c r="AD250" i="5" s="1"/>
  <c r="U253" i="5"/>
  <c r="AC253" i="5"/>
  <c r="AD253" i="5" s="1"/>
  <c r="U257" i="5"/>
  <c r="AC257" i="5"/>
  <c r="AD257" i="5" s="1"/>
  <c r="U249" i="5"/>
  <c r="AC249" i="5"/>
  <c r="AD249" i="5" s="1"/>
  <c r="U261" i="5"/>
  <c r="AC261" i="5"/>
  <c r="AD261" i="5" s="1"/>
  <c r="U222" i="5"/>
  <c r="AC222" i="5"/>
  <c r="AD222" i="5" s="1"/>
  <c r="U229" i="5"/>
  <c r="AC229" i="5"/>
  <c r="AD229" i="5" s="1"/>
  <c r="U438" i="5"/>
  <c r="AC438" i="5"/>
  <c r="AD438" i="5" s="1"/>
  <c r="U456" i="5"/>
  <c r="AC456" i="5"/>
  <c r="AD456" i="5" s="1"/>
  <c r="U409" i="5"/>
  <c r="AC409" i="5"/>
  <c r="AD409" i="5" s="1"/>
  <c r="U285" i="5"/>
  <c r="AC285" i="5"/>
  <c r="AD285" i="5" s="1"/>
  <c r="U298" i="5"/>
  <c r="AC298" i="5"/>
  <c r="AD298" i="5" s="1"/>
  <c r="U406" i="5"/>
  <c r="BG406" i="5" s="1"/>
  <c r="AC406" i="5"/>
  <c r="AD406" i="5" s="1"/>
  <c r="U340" i="5"/>
  <c r="U404" i="5"/>
  <c r="AC404" i="5"/>
  <c r="AD404" i="5" s="1"/>
  <c r="U527" i="5"/>
  <c r="U390" i="5"/>
  <c r="U349" i="5"/>
  <c r="U329" i="5"/>
  <c r="AC329" i="5"/>
  <c r="AD329" i="5" s="1"/>
  <c r="U344" i="5"/>
  <c r="AC344" i="5"/>
  <c r="AD344" i="5" s="1"/>
  <c r="U378" i="5"/>
  <c r="AC378" i="5"/>
  <c r="AD378" i="5" s="1"/>
  <c r="U336" i="5"/>
  <c r="AC336" i="5"/>
  <c r="AD336" i="5" s="1"/>
  <c r="U460" i="5"/>
  <c r="AC460" i="5"/>
  <c r="AD460" i="5" s="1"/>
  <c r="U442" i="5"/>
  <c r="AC442" i="5"/>
  <c r="AD442" i="5" s="1"/>
  <c r="U317" i="5"/>
  <c r="AC317" i="5"/>
  <c r="AD317" i="5" s="1"/>
  <c r="U532" i="5"/>
  <c r="AC532" i="5"/>
  <c r="AD532" i="5" s="1"/>
  <c r="U351" i="5"/>
  <c r="AC351" i="5"/>
  <c r="AD351" i="5" s="1"/>
  <c r="U522" i="5"/>
  <c r="AC522" i="5"/>
  <c r="AD522" i="5" s="1"/>
  <c r="U516" i="5"/>
  <c r="AC516" i="5"/>
  <c r="AD516" i="5" s="1"/>
  <c r="U478" i="5"/>
  <c r="U326" i="5"/>
  <c r="AC326" i="5"/>
  <c r="AD326" i="5" s="1"/>
  <c r="U505" i="5"/>
  <c r="BG505" i="5" s="1"/>
  <c r="U325" i="5"/>
  <c r="AC325" i="5"/>
  <c r="AD325" i="5" s="1"/>
  <c r="U539" i="5"/>
  <c r="AC539" i="5"/>
  <c r="AD539" i="5" s="1"/>
  <c r="U538" i="5"/>
  <c r="AC538" i="5"/>
  <c r="AD538" i="5" s="1"/>
  <c r="U440" i="5"/>
  <c r="AC440" i="5"/>
  <c r="AD440" i="5" s="1"/>
  <c r="U401" i="5"/>
  <c r="AC401" i="5"/>
  <c r="AD401" i="5" s="1"/>
  <c r="U449" i="5"/>
  <c r="U483" i="5"/>
  <c r="AC483" i="5"/>
  <c r="AD483" i="5" s="1"/>
  <c r="U448" i="5"/>
  <c r="U480" i="5"/>
  <c r="AC480" i="5"/>
  <c r="AD480" i="5" s="1"/>
  <c r="U413" i="5"/>
  <c r="AC413" i="5"/>
  <c r="AD413" i="5" s="1"/>
  <c r="U471" i="5"/>
  <c r="BG471" i="5" s="1"/>
  <c r="AC471" i="5"/>
  <c r="AD471" i="5" s="1"/>
  <c r="U411" i="5"/>
  <c r="BG411" i="5" s="1"/>
  <c r="AC411" i="5"/>
  <c r="AD411" i="5" s="1"/>
  <c r="U470" i="5"/>
  <c r="AC470" i="5"/>
  <c r="AD470" i="5" s="1"/>
  <c r="U518" i="5"/>
  <c r="AC518" i="5"/>
  <c r="AD518" i="5" s="1"/>
  <c r="U375" i="5"/>
  <c r="AC375" i="5"/>
  <c r="AD375" i="5" s="1"/>
  <c r="U333" i="5"/>
  <c r="BG333" i="5" s="1"/>
  <c r="AC333" i="5"/>
  <c r="AD333" i="5" s="1"/>
  <c r="U102" i="5"/>
  <c r="AC102" i="5"/>
  <c r="AD102" i="5" s="1"/>
  <c r="U110" i="5"/>
  <c r="AC110" i="5"/>
  <c r="AD110" i="5" s="1"/>
  <c r="U17" i="5"/>
  <c r="AC17" i="5"/>
  <c r="AD17" i="5" s="1"/>
  <c r="U127" i="5"/>
  <c r="AC127" i="5"/>
  <c r="AD127" i="5" s="1"/>
  <c r="U7" i="5"/>
  <c r="U226" i="5"/>
  <c r="AC226" i="5"/>
  <c r="AD226" i="5" s="1"/>
  <c r="U244" i="5"/>
  <c r="AC244" i="5"/>
  <c r="AD244" i="5" s="1"/>
  <c r="U248" i="5"/>
  <c r="AC248" i="5"/>
  <c r="AD248" i="5" s="1"/>
  <c r="U215" i="5"/>
  <c r="AC215" i="5"/>
  <c r="AD215" i="5" s="1"/>
  <c r="U256" i="5"/>
  <c r="AC256" i="5"/>
  <c r="AD256" i="5" s="1"/>
  <c r="U219" i="5"/>
  <c r="AC219" i="5"/>
  <c r="AD219" i="5" s="1"/>
  <c r="U221" i="5"/>
  <c r="U305" i="5"/>
  <c r="AC305" i="5"/>
  <c r="AD305" i="5" s="1"/>
  <c r="U491" i="5"/>
  <c r="BG491" i="5" s="1"/>
  <c r="AC491" i="5"/>
  <c r="AD491" i="5" s="1"/>
  <c r="U469" i="5"/>
  <c r="AC469" i="5"/>
  <c r="AD469" i="5" s="1"/>
  <c r="U331" i="5"/>
  <c r="BG331" i="5" s="1"/>
  <c r="AC331" i="5"/>
  <c r="AD331" i="5" s="1"/>
  <c r="U433" i="5"/>
  <c r="AC433" i="5"/>
  <c r="AD433" i="5" s="1"/>
  <c r="U425" i="5"/>
  <c r="U431" i="5"/>
  <c r="BG431" i="5" s="1"/>
  <c r="AC431" i="5"/>
  <c r="AD431" i="5" s="1"/>
  <c r="U541" i="5"/>
  <c r="AC541" i="5"/>
  <c r="AD541" i="5" s="1"/>
  <c r="U487" i="5"/>
  <c r="AC487" i="5"/>
  <c r="AD487" i="5" s="1"/>
  <c r="U395" i="5"/>
  <c r="AC395" i="5"/>
  <c r="AD395" i="5" s="1"/>
  <c r="U503" i="5"/>
  <c r="BG503" i="5" s="1"/>
  <c r="AC503" i="5"/>
  <c r="AD503" i="5" s="1"/>
  <c r="U394" i="5"/>
  <c r="BG394" i="5" s="1"/>
  <c r="AC394" i="5"/>
  <c r="AD394" i="5" s="1"/>
  <c r="U337" i="5"/>
  <c r="AC337" i="5"/>
  <c r="AD337" i="5" s="1"/>
  <c r="U465" i="5"/>
  <c r="AC465" i="5"/>
  <c r="AD465" i="5" s="1"/>
  <c r="U386" i="5"/>
  <c r="U496" i="5"/>
  <c r="AC496" i="5"/>
  <c r="AD496" i="5" s="1"/>
  <c r="U493" i="5"/>
  <c r="AC493" i="5"/>
  <c r="AD493" i="5" s="1"/>
  <c r="U384" i="5"/>
  <c r="U365" i="5"/>
  <c r="AC365" i="5"/>
  <c r="AD365" i="5" s="1"/>
  <c r="U37" i="5"/>
  <c r="AC37" i="5"/>
  <c r="AD37" i="5" s="1"/>
  <c r="U57" i="5"/>
  <c r="AC57" i="5"/>
  <c r="AD57" i="5" s="1"/>
  <c r="U93" i="5"/>
  <c r="AC93" i="5"/>
  <c r="AD93" i="5" s="1"/>
  <c r="U101" i="5"/>
  <c r="AC101" i="5"/>
  <c r="AD101" i="5" s="1"/>
  <c r="U105" i="5"/>
  <c r="AC105" i="5"/>
  <c r="AD105" i="5" s="1"/>
  <c r="U109" i="5"/>
  <c r="U12" i="5"/>
  <c r="AC12" i="5"/>
  <c r="AD12" i="5" s="1"/>
  <c r="U16" i="5"/>
  <c r="U20" i="5"/>
  <c r="AC20" i="5"/>
  <c r="AD20" i="5" s="1"/>
  <c r="U24" i="5"/>
  <c r="AC24" i="5"/>
  <c r="AD24" i="5" s="1"/>
  <c r="U28" i="5"/>
  <c r="AC28" i="5"/>
  <c r="AD28" i="5" s="1"/>
  <c r="U32" i="5"/>
  <c r="AC32" i="5"/>
  <c r="AD32" i="5" s="1"/>
  <c r="U36" i="5"/>
  <c r="AC36" i="5"/>
  <c r="AD36" i="5" s="1"/>
  <c r="U40" i="5"/>
  <c r="U44" i="5"/>
  <c r="U48" i="5"/>
  <c r="AC48" i="5"/>
  <c r="AD48" i="5" s="1"/>
  <c r="U52" i="5"/>
  <c r="U56" i="5"/>
  <c r="AC56" i="5"/>
  <c r="AD56" i="5" s="1"/>
  <c r="U60" i="5"/>
  <c r="AC60" i="5"/>
  <c r="AD60" i="5" s="1"/>
  <c r="U64" i="5"/>
  <c r="AC64" i="5"/>
  <c r="AD64" i="5" s="1"/>
  <c r="U68" i="5"/>
  <c r="U72" i="5"/>
  <c r="AC72" i="5"/>
  <c r="AD72" i="5" s="1"/>
  <c r="U76" i="5"/>
  <c r="AC76" i="5"/>
  <c r="AD76" i="5" s="1"/>
  <c r="U80" i="5"/>
  <c r="AC80" i="5"/>
  <c r="AD80" i="5" s="1"/>
  <c r="U84" i="5"/>
  <c r="AC84" i="5"/>
  <c r="AD84" i="5" s="1"/>
  <c r="U88" i="5"/>
  <c r="AC88" i="5"/>
  <c r="AD88" i="5" s="1"/>
  <c r="U92" i="5"/>
  <c r="AC92" i="5"/>
  <c r="AD92" i="5" s="1"/>
  <c r="U96" i="5"/>
  <c r="AC96" i="5"/>
  <c r="AD96" i="5" s="1"/>
  <c r="U114" i="5"/>
  <c r="AC114" i="5"/>
  <c r="AD114" i="5" s="1"/>
  <c r="U118" i="5"/>
  <c r="U122" i="5"/>
  <c r="AC122" i="5"/>
  <c r="AD122" i="5" s="1"/>
  <c r="U126" i="5"/>
  <c r="AC126" i="5"/>
  <c r="AD126" i="5" s="1"/>
  <c r="U130" i="5"/>
  <c r="AC130" i="5"/>
  <c r="AD130" i="5" s="1"/>
  <c r="U134" i="5"/>
  <c r="AC134" i="5"/>
  <c r="AD134" i="5" s="1"/>
  <c r="U138" i="5"/>
  <c r="AC138" i="5"/>
  <c r="AD138" i="5" s="1"/>
  <c r="U146" i="5"/>
  <c r="AC146" i="5"/>
  <c r="AD146" i="5" s="1"/>
  <c r="U150" i="5"/>
  <c r="AC150" i="5"/>
  <c r="AD150" i="5" s="1"/>
  <c r="U154" i="5"/>
  <c r="U158" i="5"/>
  <c r="AC158" i="5"/>
  <c r="AD158" i="5" s="1"/>
  <c r="U162" i="5"/>
  <c r="AC162" i="5"/>
  <c r="AD162" i="5" s="1"/>
  <c r="U166" i="5"/>
  <c r="AC166" i="5"/>
  <c r="AD166" i="5" s="1"/>
  <c r="U174" i="5"/>
  <c r="AC174" i="5"/>
  <c r="AD174" i="5" s="1"/>
  <c r="U178" i="5"/>
  <c r="AC178" i="5"/>
  <c r="AD178" i="5" s="1"/>
  <c r="U182" i="5"/>
  <c r="AC182" i="5"/>
  <c r="AD182" i="5" s="1"/>
  <c r="U186" i="5"/>
  <c r="U190" i="5"/>
  <c r="AC190" i="5"/>
  <c r="AD190" i="5" s="1"/>
  <c r="U194" i="5"/>
  <c r="U198" i="5"/>
  <c r="AC198" i="5"/>
  <c r="AD198" i="5" s="1"/>
  <c r="U202" i="5"/>
  <c r="AC202" i="5"/>
  <c r="AD202" i="5" s="1"/>
  <c r="U206" i="5"/>
  <c r="AC206" i="5"/>
  <c r="AD206" i="5" s="1"/>
  <c r="U210" i="5"/>
  <c r="AC210" i="5"/>
  <c r="AD210" i="5" s="1"/>
  <c r="U225" i="5"/>
  <c r="AC225" i="5"/>
  <c r="AD225" i="5" s="1"/>
  <c r="U243" i="5"/>
  <c r="AC243" i="5"/>
  <c r="AD243" i="5" s="1"/>
  <c r="U262" i="5"/>
  <c r="AC262" i="5"/>
  <c r="AD262" i="5" s="1"/>
  <c r="U218" i="5"/>
  <c r="AC218" i="5"/>
  <c r="AD218" i="5" s="1"/>
  <c r="U264" i="5"/>
  <c r="AC264" i="5"/>
  <c r="AD264" i="5" s="1"/>
  <c r="U307" i="5"/>
  <c r="BG307" i="5" s="1"/>
  <c r="AC307" i="5"/>
  <c r="AD307" i="5" s="1"/>
  <c r="U410" i="5"/>
  <c r="BG410" i="5" s="1"/>
  <c r="AC410" i="5"/>
  <c r="AD410" i="5" s="1"/>
  <c r="U457" i="5"/>
  <c r="AC457" i="5"/>
  <c r="AD457" i="5" s="1"/>
  <c r="U428" i="5"/>
  <c r="U286" i="5"/>
  <c r="AC286" i="5"/>
  <c r="AD286" i="5" s="1"/>
  <c r="U490" i="5"/>
  <c r="AC490" i="5"/>
  <c r="AD490" i="5" s="1"/>
  <c r="U430" i="5"/>
  <c r="BG430" i="5" s="1"/>
  <c r="AC430" i="5"/>
  <c r="AD430" i="5" s="1"/>
  <c r="U407" i="5"/>
  <c r="BG407" i="5" s="1"/>
  <c r="AC407" i="5"/>
  <c r="AD407" i="5" s="1"/>
  <c r="U405" i="5"/>
  <c r="AC405" i="5"/>
  <c r="AD405" i="5" s="1"/>
  <c r="U444" i="5"/>
  <c r="AC444" i="5"/>
  <c r="AD444" i="5" s="1"/>
  <c r="U523" i="5"/>
  <c r="BG523" i="5" s="1"/>
  <c r="AC523" i="5"/>
  <c r="AD523" i="5" s="1"/>
  <c r="U292" i="5"/>
  <c r="U291" i="5"/>
  <c r="BG291" i="5" s="1"/>
  <c r="U396" i="5"/>
  <c r="BG396" i="5" s="1"/>
  <c r="AC396" i="5"/>
  <c r="AD396" i="5" s="1"/>
  <c r="U328" i="5"/>
  <c r="AC328" i="5"/>
  <c r="AD328" i="5" s="1"/>
  <c r="U443" i="5"/>
  <c r="BG443" i="5" s="1"/>
  <c r="AC443" i="5"/>
  <c r="AD443" i="5" s="1"/>
  <c r="U343" i="5"/>
  <c r="AC343" i="5"/>
  <c r="AD343" i="5" s="1"/>
  <c r="U342" i="5"/>
  <c r="BG342" i="5" s="1"/>
  <c r="AC342" i="5"/>
  <c r="AD342" i="5" s="1"/>
  <c r="U308" i="5"/>
  <c r="AC308" i="5"/>
  <c r="AD308" i="5" s="1"/>
  <c r="U512" i="5"/>
  <c r="U502" i="5"/>
  <c r="AC502" i="5"/>
  <c r="AD502" i="5" s="1"/>
  <c r="U377" i="5"/>
  <c r="AC377" i="5"/>
  <c r="AD377" i="5" s="1"/>
  <c r="U459" i="5"/>
  <c r="BG459" i="5" s="1"/>
  <c r="AC459" i="5"/>
  <c r="AD459" i="5" s="1"/>
  <c r="U529" i="5"/>
  <c r="AC529" i="5"/>
  <c r="AD529" i="5" s="1"/>
  <c r="U458" i="5"/>
  <c r="AC458" i="5"/>
  <c r="AD458" i="5" s="1"/>
  <c r="U511" i="5"/>
  <c r="BG511" i="5" s="1"/>
  <c r="U506" i="5"/>
  <c r="U441" i="5"/>
  <c r="AC441" i="5"/>
  <c r="AD441" i="5" s="1"/>
  <c r="U303" i="5"/>
  <c r="AC303" i="5"/>
  <c r="AD303" i="5" s="1"/>
  <c r="U403" i="5"/>
  <c r="AC403" i="5"/>
  <c r="AD403" i="5" s="1"/>
  <c r="U372" i="5"/>
  <c r="BG372" i="5" s="1"/>
  <c r="AC372" i="5"/>
  <c r="AD372" i="5" s="1"/>
  <c r="U473" i="5"/>
  <c r="AC473" i="5"/>
  <c r="AD473" i="5" s="1"/>
  <c r="U450" i="5"/>
  <c r="BG450" i="5" s="1"/>
  <c r="U364" i="5"/>
  <c r="AC364" i="5"/>
  <c r="AD364" i="5" s="1"/>
  <c r="U363" i="5"/>
  <c r="BG363" i="5" s="1"/>
  <c r="AC363" i="5"/>
  <c r="AD363" i="5" s="1"/>
  <c r="U362" i="5"/>
  <c r="AC362" i="5"/>
  <c r="AD362" i="5" s="1"/>
  <c r="U536" i="5"/>
  <c r="AC536" i="5"/>
  <c r="AD536" i="5" s="1"/>
  <c r="U315" i="5"/>
  <c r="AC315" i="5"/>
  <c r="AD315" i="5" s="1"/>
  <c r="U360" i="5"/>
  <c r="BG360" i="5" s="1"/>
  <c r="AC360" i="5"/>
  <c r="AD360" i="5" s="1"/>
  <c r="U424" i="5"/>
  <c r="AC424" i="5"/>
  <c r="AD424" i="5" s="1"/>
  <c r="U484" i="5"/>
  <c r="AC484" i="5"/>
  <c r="AD484" i="5" s="1"/>
  <c r="U485" i="5"/>
  <c r="BG485" i="5" s="1"/>
  <c r="AC485" i="5"/>
  <c r="AD485" i="5" s="1"/>
  <c r="U519" i="5"/>
  <c r="AC519" i="5"/>
  <c r="AD519" i="5" s="1"/>
  <c r="U464" i="5"/>
  <c r="U389" i="5"/>
  <c r="BG389" i="5" s="1"/>
  <c r="U388" i="5"/>
  <c r="BG388" i="5" s="1"/>
  <c r="U33" i="5"/>
  <c r="AC33" i="5"/>
  <c r="AD33" i="5" s="1"/>
  <c r="U49" i="5"/>
  <c r="U53" i="5"/>
  <c r="AC53" i="5"/>
  <c r="AD53" i="5" s="1"/>
  <c r="U81" i="5"/>
  <c r="AC81" i="5"/>
  <c r="AD81" i="5" s="1"/>
  <c r="U147" i="5"/>
  <c r="AC147" i="5"/>
  <c r="AD147" i="5" s="1"/>
  <c r="U151" i="5"/>
  <c r="AC151" i="5"/>
  <c r="AD151" i="5" s="1"/>
  <c r="U104" i="5"/>
  <c r="U108" i="5"/>
  <c r="AC108" i="5"/>
  <c r="AD108" i="5" s="1"/>
  <c r="U237" i="5"/>
  <c r="AC237" i="5"/>
  <c r="AD237" i="5" s="1"/>
  <c r="U260" i="5"/>
  <c r="AC260" i="5"/>
  <c r="AD260" i="5" s="1"/>
  <c r="U269" i="5"/>
  <c r="AC269" i="5"/>
  <c r="AD269" i="5" s="1"/>
  <c r="U273" i="5"/>
  <c r="AC273" i="5"/>
  <c r="AD273" i="5" s="1"/>
  <c r="U277" i="5"/>
  <c r="AC277" i="5"/>
  <c r="AD277" i="5" s="1"/>
  <c r="U304" i="5"/>
  <c r="AC304" i="5"/>
  <c r="AD304" i="5" s="1"/>
  <c r="U294" i="5"/>
  <c r="AC294" i="5"/>
  <c r="AD294" i="5" s="1"/>
  <c r="U398" i="5"/>
  <c r="BG398" i="5" s="1"/>
  <c r="AC398" i="5"/>
  <c r="AD398" i="5" s="1"/>
  <c r="U437" i="5"/>
  <c r="AC437" i="5"/>
  <c r="AD437" i="5" s="1"/>
  <c r="U488" i="5"/>
  <c r="AC488" i="5"/>
  <c r="AD488" i="5" s="1"/>
  <c r="U408" i="5"/>
  <c r="AC408" i="5"/>
  <c r="AD408" i="5" s="1"/>
  <c r="U446" i="5"/>
  <c r="BG446" i="5" s="1"/>
  <c r="AC446" i="5"/>
  <c r="AD446" i="5" s="1"/>
  <c r="U352" i="5"/>
  <c r="BG352" i="5" s="1"/>
  <c r="AC352" i="5"/>
  <c r="AD352" i="5" s="1"/>
  <c r="U524" i="5"/>
  <c r="AC524" i="5"/>
  <c r="AD524" i="5" s="1"/>
  <c r="U476" i="5"/>
  <c r="AC476" i="5"/>
  <c r="AD476" i="5" s="1"/>
  <c r="U510" i="5"/>
  <c r="BG510" i="5" s="1"/>
  <c r="U345" i="5"/>
  <c r="BG345" i="5" s="1"/>
  <c r="AC345" i="5"/>
  <c r="AD345" i="5" s="1"/>
  <c r="U358" i="5"/>
  <c r="AC358" i="5"/>
  <c r="AD358" i="5" s="1"/>
  <c r="U461" i="5"/>
  <c r="AC461" i="5"/>
  <c r="AD461" i="5" s="1"/>
  <c r="U354" i="5"/>
  <c r="AC354" i="5"/>
  <c r="AD354" i="5" s="1"/>
  <c r="U507" i="5"/>
  <c r="BG507" i="5" s="1"/>
  <c r="U462" i="5"/>
  <c r="BG462" i="5" s="1"/>
  <c r="U494" i="5"/>
  <c r="BG494" i="5" s="1"/>
  <c r="AC494" i="5"/>
  <c r="AD494" i="5" s="1"/>
  <c r="U366" i="5"/>
  <c r="AC366" i="5"/>
  <c r="AD366" i="5" s="1"/>
  <c r="U4" i="5"/>
  <c r="AC4" i="5"/>
  <c r="AD4" i="5" s="1"/>
  <c r="U106" i="5"/>
  <c r="U8" i="5"/>
  <c r="AC8" i="5"/>
  <c r="AD8" i="5" s="1"/>
  <c r="U61" i="5"/>
  <c r="AC61" i="5"/>
  <c r="AD61" i="5" s="1"/>
  <c r="U73" i="5"/>
  <c r="AC73" i="5"/>
  <c r="AD73" i="5" s="1"/>
  <c r="U77" i="5"/>
  <c r="U131" i="5"/>
  <c r="AC131" i="5"/>
  <c r="AD131" i="5" s="1"/>
  <c r="U135" i="5"/>
  <c r="AC135" i="5"/>
  <c r="AD135" i="5" s="1"/>
  <c r="U139" i="5"/>
  <c r="AC139" i="5"/>
  <c r="AD139" i="5" s="1"/>
  <c r="U6" i="5"/>
  <c r="AC6" i="5"/>
  <c r="U100" i="5"/>
  <c r="AC100" i="5"/>
  <c r="AD100" i="5" s="1"/>
  <c r="U11" i="5"/>
  <c r="AC11" i="5"/>
  <c r="AD11" i="5" s="1"/>
  <c r="U15" i="5"/>
  <c r="AC15" i="5"/>
  <c r="AD15" i="5" s="1"/>
  <c r="U19" i="5"/>
  <c r="AC19" i="5"/>
  <c r="AD19" i="5" s="1"/>
  <c r="U23" i="5"/>
  <c r="AC23" i="5"/>
  <c r="AD23" i="5" s="1"/>
  <c r="U27" i="5"/>
  <c r="AC27" i="5"/>
  <c r="AD27" i="5" s="1"/>
  <c r="U31" i="5"/>
  <c r="AC31" i="5"/>
  <c r="AD31" i="5" s="1"/>
  <c r="U35" i="5"/>
  <c r="AC35" i="5"/>
  <c r="AD35" i="5" s="1"/>
  <c r="U39" i="5"/>
  <c r="AC39" i="5"/>
  <c r="AD39" i="5" s="1"/>
  <c r="U43" i="5"/>
  <c r="U47" i="5"/>
  <c r="U51" i="5"/>
  <c r="AC51" i="5"/>
  <c r="AD51" i="5" s="1"/>
  <c r="U55" i="5"/>
  <c r="AC55" i="5"/>
  <c r="AD55" i="5" s="1"/>
  <c r="U59" i="5"/>
  <c r="AC59" i="5"/>
  <c r="AD59" i="5" s="1"/>
  <c r="U63" i="5"/>
  <c r="AC63" i="5"/>
  <c r="AD63" i="5" s="1"/>
  <c r="U67" i="5"/>
  <c r="AC67" i="5"/>
  <c r="AD67" i="5" s="1"/>
  <c r="U71" i="5"/>
  <c r="AC71" i="5"/>
  <c r="AD71" i="5" s="1"/>
  <c r="U75" i="5"/>
  <c r="AC75" i="5"/>
  <c r="AD75" i="5" s="1"/>
  <c r="U79" i="5"/>
  <c r="AC79" i="5"/>
  <c r="AD79" i="5" s="1"/>
  <c r="U83" i="5"/>
  <c r="AC83" i="5"/>
  <c r="AD83" i="5" s="1"/>
  <c r="U87" i="5"/>
  <c r="AC87" i="5"/>
  <c r="AD87" i="5" s="1"/>
  <c r="U91" i="5"/>
  <c r="AC91" i="5"/>
  <c r="AD91" i="5" s="1"/>
  <c r="U95" i="5"/>
  <c r="AC95" i="5"/>
  <c r="AD95" i="5" s="1"/>
  <c r="U99" i="5"/>
  <c r="AC99" i="5"/>
  <c r="AD99" i="5" s="1"/>
  <c r="U113" i="5"/>
  <c r="AC113" i="5"/>
  <c r="AD113" i="5" s="1"/>
  <c r="U117" i="5"/>
  <c r="U121" i="5"/>
  <c r="AC121" i="5"/>
  <c r="AD121" i="5" s="1"/>
  <c r="U125" i="5"/>
  <c r="AC125" i="5"/>
  <c r="AD125" i="5" s="1"/>
  <c r="U133" i="5"/>
  <c r="AC133" i="5"/>
  <c r="AD133" i="5" s="1"/>
  <c r="U137" i="5"/>
  <c r="AC137" i="5"/>
  <c r="AD137" i="5" s="1"/>
  <c r="U141" i="5"/>
  <c r="AC141" i="5"/>
  <c r="AD141" i="5" s="1"/>
  <c r="U145" i="5"/>
  <c r="AC145" i="5"/>
  <c r="AD145" i="5" s="1"/>
  <c r="U149" i="5"/>
  <c r="AC149" i="5"/>
  <c r="AD149" i="5" s="1"/>
  <c r="U153" i="5"/>
  <c r="U157" i="5"/>
  <c r="AC157" i="5"/>
  <c r="AD157" i="5" s="1"/>
  <c r="U161" i="5"/>
  <c r="U165" i="5"/>
  <c r="AC165" i="5"/>
  <c r="AD165" i="5" s="1"/>
  <c r="U169" i="5"/>
  <c r="AC169" i="5"/>
  <c r="AD169" i="5" s="1"/>
  <c r="U173" i="5"/>
  <c r="AC173" i="5"/>
  <c r="AD173" i="5" s="1"/>
  <c r="U177" i="5"/>
  <c r="AC177" i="5"/>
  <c r="AD177" i="5" s="1"/>
  <c r="U181" i="5"/>
  <c r="AC181" i="5"/>
  <c r="AD181" i="5" s="1"/>
  <c r="U185" i="5"/>
  <c r="AC185" i="5"/>
  <c r="AD185" i="5" s="1"/>
  <c r="U189" i="5"/>
  <c r="AC189" i="5"/>
  <c r="AD189" i="5" s="1"/>
  <c r="U193" i="5"/>
  <c r="U197" i="5"/>
  <c r="U201" i="5"/>
  <c r="AC201" i="5"/>
  <c r="AD201" i="5" s="1"/>
  <c r="U205" i="5"/>
  <c r="AC205" i="5"/>
  <c r="AD205" i="5" s="1"/>
  <c r="U209" i="5"/>
  <c r="AC209" i="5"/>
  <c r="AD209" i="5" s="1"/>
  <c r="U213" i="5"/>
  <c r="AC213" i="5"/>
  <c r="AD213" i="5" s="1"/>
  <c r="Y234" i="5"/>
  <c r="U247" i="5"/>
  <c r="AC247" i="5"/>
  <c r="AD247" i="5" s="1"/>
  <c r="U214" i="5"/>
  <c r="AC214" i="5"/>
  <c r="AD214" i="5" s="1"/>
  <c r="U216" i="5"/>
  <c r="AC216" i="5"/>
  <c r="AD216" i="5" s="1"/>
  <c r="U268" i="5"/>
  <c r="AC268" i="5"/>
  <c r="AD268" i="5" s="1"/>
  <c r="U272" i="5"/>
  <c r="AC272" i="5"/>
  <c r="AD272" i="5" s="1"/>
  <c r="U263" i="5"/>
  <c r="AC263" i="5"/>
  <c r="AD263" i="5" s="1"/>
  <c r="U276" i="5"/>
  <c r="AC276" i="5"/>
  <c r="AD276" i="5" s="1"/>
  <c r="U224" i="5"/>
  <c r="AC224" i="5"/>
  <c r="AD224" i="5" s="1"/>
  <c r="U228" i="5"/>
  <c r="U300" i="5"/>
  <c r="AC300" i="5"/>
  <c r="AD300" i="5" s="1"/>
  <c r="U233" i="5"/>
  <c r="AC233" i="5"/>
  <c r="AD233" i="5" s="1"/>
  <c r="U332" i="5"/>
  <c r="AC332" i="5"/>
  <c r="AD332" i="5" s="1"/>
  <c r="U399" i="5"/>
  <c r="AC399" i="5"/>
  <c r="AD399" i="5" s="1"/>
  <c r="U426" i="5"/>
  <c r="BG426" i="5" s="1"/>
  <c r="U278" i="5"/>
  <c r="BG278" i="5" s="1"/>
  <c r="AC278" i="5"/>
  <c r="AD278" i="5" s="1"/>
  <c r="U432" i="5"/>
  <c r="AC432" i="5"/>
  <c r="AD432" i="5" s="1"/>
  <c r="U436" i="5"/>
  <c r="AC436" i="5"/>
  <c r="AD436" i="5" s="1"/>
  <c r="U379" i="5"/>
  <c r="BG379" i="5" s="1"/>
  <c r="AC379" i="5"/>
  <c r="AD379" i="5" s="1"/>
  <c r="U353" i="5"/>
  <c r="AC353" i="5"/>
  <c r="AD353" i="5" s="1"/>
  <c r="U341" i="5"/>
  <c r="BG341" i="5" s="1"/>
  <c r="U330" i="5"/>
  <c r="BG330" i="5" s="1"/>
  <c r="AC330" i="5"/>
  <c r="AD330" i="5" s="1"/>
  <c r="U526" i="5"/>
  <c r="BG526" i="5" s="1"/>
  <c r="U338" i="5"/>
  <c r="BG338" i="5" s="1"/>
  <c r="U348" i="5"/>
  <c r="BG348" i="5" s="1"/>
  <c r="U454" i="5"/>
  <c r="BG454" i="5" s="1"/>
  <c r="AC454" i="5"/>
  <c r="AD454" i="5" s="1"/>
  <c r="U318" i="5"/>
  <c r="AC318" i="5"/>
  <c r="AD318" i="5" s="1"/>
  <c r="U309" i="5"/>
  <c r="AC309" i="5"/>
  <c r="AD309" i="5" s="1"/>
  <c r="U312" i="5"/>
  <c r="BG312" i="5" s="1"/>
  <c r="AC312" i="5"/>
  <c r="AD312" i="5" s="1"/>
  <c r="U533" i="5"/>
  <c r="BG533" i="5" s="1"/>
  <c r="AC533" i="5"/>
  <c r="AD533" i="5" s="1"/>
  <c r="U327" i="5"/>
  <c r="BG327" i="5" s="1"/>
  <c r="AC327" i="5"/>
  <c r="AD327" i="5" s="1"/>
  <c r="U316" i="5"/>
  <c r="AC316" i="5"/>
  <c r="AD316" i="5" s="1"/>
  <c r="U530" i="5"/>
  <c r="BG530" i="5" s="1"/>
  <c r="AC530" i="5"/>
  <c r="AD530" i="5" s="1"/>
  <c r="U521" i="5"/>
  <c r="BG521" i="5" s="1"/>
  <c r="AC521" i="5"/>
  <c r="AD521" i="5" s="1"/>
  <c r="U281" i="5"/>
  <c r="AC281" i="5"/>
  <c r="AD281" i="5" s="1"/>
  <c r="U517" i="5"/>
  <c r="AC517" i="5"/>
  <c r="AD517" i="5" s="1"/>
  <c r="U477" i="5"/>
  <c r="U373" i="5"/>
  <c r="AC373" i="5"/>
  <c r="AD373" i="5" s="1"/>
  <c r="U324" i="5"/>
  <c r="AC324" i="5"/>
  <c r="AD324" i="5" s="1"/>
  <c r="U302" i="5"/>
  <c r="AC302" i="5"/>
  <c r="AD302" i="5" s="1"/>
  <c r="U537" i="5"/>
  <c r="BG537" i="5" s="1"/>
  <c r="AC537" i="5"/>
  <c r="AD537" i="5" s="1"/>
  <c r="U371" i="5"/>
  <c r="BG371" i="5" s="1"/>
  <c r="AC371" i="5"/>
  <c r="AD371" i="5" s="1"/>
  <c r="U322" i="5"/>
  <c r="AC322" i="5"/>
  <c r="AD322" i="5" s="1"/>
  <c r="U472" i="5"/>
  <c r="AC472" i="5"/>
  <c r="AD472" i="5" s="1"/>
  <c r="U482" i="5"/>
  <c r="BG482" i="5" s="1"/>
  <c r="AC482" i="5"/>
  <c r="AD482" i="5" s="1"/>
  <c r="U481" i="5"/>
  <c r="BG481" i="5" s="1"/>
  <c r="AC481" i="5"/>
  <c r="AD481" i="5" s="1"/>
  <c r="U479" i="5"/>
  <c r="BG479" i="5" s="1"/>
  <c r="AC479" i="5"/>
  <c r="AD479" i="5" s="1"/>
  <c r="U501" i="5"/>
  <c r="BG501" i="5" s="1"/>
  <c r="AC501" i="5"/>
  <c r="AD501" i="5" s="1"/>
  <c r="U314" i="5"/>
  <c r="AC314" i="5"/>
  <c r="AD314" i="5" s="1"/>
  <c r="U534" i="5"/>
  <c r="BG534" i="5" s="1"/>
  <c r="AC534" i="5"/>
  <c r="AD534" i="5" s="1"/>
  <c r="U514" i="5"/>
  <c r="BG514" i="5" s="1"/>
  <c r="AC514" i="5"/>
  <c r="AD514" i="5" s="1"/>
  <c r="U435" i="5"/>
  <c r="BG435" i="5" s="1"/>
  <c r="AC435" i="5"/>
  <c r="AD435" i="5" s="1"/>
  <c r="U369" i="5"/>
  <c r="BG369" i="5" s="1"/>
  <c r="AC369" i="5"/>
  <c r="AD369" i="5" s="1"/>
  <c r="U387" i="5"/>
  <c r="BG387" i="5" s="1"/>
  <c r="U13" i="5"/>
  <c r="AC13" i="5"/>
  <c r="AD13" i="5" s="1"/>
  <c r="U21" i="5"/>
  <c r="AC21" i="5"/>
  <c r="AD21" i="5" s="1"/>
  <c r="U97" i="5"/>
  <c r="AC97" i="5"/>
  <c r="AD97" i="5" s="1"/>
  <c r="U115" i="5"/>
  <c r="AC115" i="5"/>
  <c r="AD115" i="5" s="1"/>
  <c r="U119" i="5"/>
  <c r="AC119" i="5"/>
  <c r="AD119" i="5" s="1"/>
  <c r="U123" i="5"/>
  <c r="AC123" i="5"/>
  <c r="AD123" i="5" s="1"/>
  <c r="U143" i="5"/>
  <c r="AC143" i="5"/>
  <c r="AD143" i="5" s="1"/>
  <c r="U10" i="5"/>
  <c r="U236" i="5"/>
  <c r="AC236" i="5"/>
  <c r="AD236" i="5" s="1"/>
  <c r="U241" i="5"/>
  <c r="AC241" i="5"/>
  <c r="AD241" i="5" s="1"/>
  <c r="U258" i="5"/>
  <c r="AC258" i="5"/>
  <c r="AD258" i="5" s="1"/>
  <c r="U252" i="5"/>
  <c r="AC252" i="5"/>
  <c r="AD252" i="5" s="1"/>
  <c r="U255" i="5"/>
  <c r="AC255" i="5"/>
  <c r="AD255" i="5" s="1"/>
  <c r="U259" i="5"/>
  <c r="AC259" i="5"/>
  <c r="AD259" i="5" s="1"/>
  <c r="U275" i="5"/>
  <c r="AC275" i="5"/>
  <c r="AD275" i="5" s="1"/>
  <c r="U223" i="5"/>
  <c r="U439" i="5"/>
  <c r="BG439" i="5" s="1"/>
  <c r="AC439" i="5"/>
  <c r="AD439" i="5" s="1"/>
  <c r="U306" i="5"/>
  <c r="AC306" i="5"/>
  <c r="AD306" i="5" s="1"/>
  <c r="U489" i="5"/>
  <c r="BG489" i="5" s="1"/>
  <c r="AC489" i="5"/>
  <c r="AD489" i="5" s="1"/>
  <c r="U542" i="5"/>
  <c r="AC542" i="5"/>
  <c r="AD542" i="5" s="1"/>
  <c r="U283" i="5"/>
  <c r="AC283" i="5"/>
  <c r="AD283" i="5" s="1"/>
  <c r="U467" i="5"/>
  <c r="AC467" i="5"/>
  <c r="AD467" i="5" s="1"/>
  <c r="U504" i="5"/>
  <c r="AC504" i="5"/>
  <c r="AD504" i="5" s="1"/>
  <c r="U475" i="5"/>
  <c r="BG475" i="5" s="1"/>
  <c r="AC475" i="5"/>
  <c r="AD475" i="5" s="1"/>
  <c r="U509" i="5"/>
  <c r="BG509" i="5" s="1"/>
  <c r="U335" i="5"/>
  <c r="AC335" i="5"/>
  <c r="AD335" i="5" s="1"/>
  <c r="U311" i="5"/>
  <c r="AC311" i="5"/>
  <c r="AD311" i="5" s="1"/>
  <c r="U418" i="5"/>
  <c r="BG418" i="5" s="1"/>
  <c r="AC418" i="5"/>
  <c r="AD418" i="5" s="1"/>
  <c r="U508" i="5"/>
  <c r="U497" i="5"/>
  <c r="BG497" i="5" s="1"/>
  <c r="AC497" i="5"/>
  <c r="AD497" i="5" s="1"/>
  <c r="U495" i="5"/>
  <c r="BG495" i="5" s="1"/>
  <c r="AC495" i="5"/>
  <c r="AD495" i="5" s="1"/>
  <c r="U385" i="5"/>
  <c r="BG385" i="5" s="1"/>
  <c r="U419" i="5"/>
  <c r="BG419" i="5" s="1"/>
  <c r="AC419" i="5"/>
  <c r="AD419" i="5" s="1"/>
  <c r="U287" i="5"/>
  <c r="AC287" i="5"/>
  <c r="AD287" i="5" s="1"/>
  <c r="U25" i="5"/>
  <c r="AC25" i="5"/>
  <c r="AD25" i="5" s="1"/>
  <c r="U29" i="5"/>
  <c r="AC29" i="5"/>
  <c r="AD29" i="5" s="1"/>
  <c r="U45" i="5"/>
  <c r="U85" i="5"/>
  <c r="AC85" i="5"/>
  <c r="AD85" i="5" s="1"/>
  <c r="U89" i="5"/>
  <c r="AC89" i="5"/>
  <c r="AD89" i="5" s="1"/>
  <c r="U103" i="5"/>
  <c r="U107" i="5"/>
  <c r="U9" i="5"/>
  <c r="V9" i="5" s="1"/>
  <c r="AC9" i="5"/>
  <c r="AD9" i="5" s="1"/>
  <c r="U14" i="5"/>
  <c r="AC14" i="5"/>
  <c r="AD14" i="5" s="1"/>
  <c r="U18" i="5"/>
  <c r="AC18" i="5"/>
  <c r="AD18" i="5" s="1"/>
  <c r="U22" i="5"/>
  <c r="AC22" i="5"/>
  <c r="AD22" i="5" s="1"/>
  <c r="U26" i="5"/>
  <c r="AC26" i="5"/>
  <c r="AD26" i="5" s="1"/>
  <c r="U30" i="5"/>
  <c r="AC30" i="5"/>
  <c r="AD30" i="5" s="1"/>
  <c r="U34" i="5"/>
  <c r="AC34" i="5"/>
  <c r="AD34" i="5" s="1"/>
  <c r="U38" i="5"/>
  <c r="U42" i="5"/>
  <c r="AC42" i="5"/>
  <c r="AD42" i="5" s="1"/>
  <c r="U46" i="5"/>
  <c r="AC46" i="5"/>
  <c r="AD46" i="5" s="1"/>
  <c r="U50" i="5"/>
  <c r="AC50" i="5"/>
  <c r="AD50" i="5" s="1"/>
  <c r="U54" i="5"/>
  <c r="AC54" i="5"/>
  <c r="AD54" i="5" s="1"/>
  <c r="U58" i="5"/>
  <c r="AC58" i="5"/>
  <c r="AD58" i="5" s="1"/>
  <c r="U62" i="5"/>
  <c r="AC62" i="5"/>
  <c r="AD62" i="5" s="1"/>
  <c r="U66" i="5"/>
  <c r="AC66" i="5"/>
  <c r="AD66" i="5" s="1"/>
  <c r="U70" i="5"/>
  <c r="AC70" i="5"/>
  <c r="AD70" i="5" s="1"/>
  <c r="U74" i="5"/>
  <c r="U78" i="5"/>
  <c r="AC78" i="5"/>
  <c r="AD78" i="5" s="1"/>
  <c r="U82" i="5"/>
  <c r="AC82" i="5"/>
  <c r="AD82" i="5" s="1"/>
  <c r="U86" i="5"/>
  <c r="AC86" i="5"/>
  <c r="AD86" i="5" s="1"/>
  <c r="U90" i="5"/>
  <c r="AC90" i="5"/>
  <c r="AD90" i="5" s="1"/>
  <c r="U94" i="5"/>
  <c r="AC94" i="5"/>
  <c r="AD94" i="5" s="1"/>
  <c r="U98" i="5"/>
  <c r="AC98" i="5"/>
  <c r="AD98" i="5" s="1"/>
  <c r="U112" i="5"/>
  <c r="AC112" i="5"/>
  <c r="AD112" i="5" s="1"/>
  <c r="U116" i="5"/>
  <c r="AC116" i="5"/>
  <c r="AD116" i="5" s="1"/>
  <c r="U124" i="5"/>
  <c r="AC124" i="5"/>
  <c r="AD124" i="5" s="1"/>
  <c r="U128" i="5"/>
  <c r="AC128" i="5"/>
  <c r="AD128" i="5" s="1"/>
  <c r="U136" i="5"/>
  <c r="AC136" i="5"/>
  <c r="AD136" i="5" s="1"/>
  <c r="U140" i="5"/>
  <c r="AC140" i="5"/>
  <c r="AD140" i="5" s="1"/>
  <c r="U144" i="5"/>
  <c r="AC144" i="5"/>
  <c r="AD144" i="5" s="1"/>
  <c r="U148" i="5"/>
  <c r="AC148" i="5"/>
  <c r="AD148" i="5" s="1"/>
  <c r="U152" i="5"/>
  <c r="AC152" i="5"/>
  <c r="AD152" i="5" s="1"/>
  <c r="U156" i="5"/>
  <c r="U160" i="5"/>
  <c r="AC160" i="5"/>
  <c r="AD160" i="5" s="1"/>
  <c r="U164" i="5"/>
  <c r="AC164" i="5"/>
  <c r="AD164" i="5" s="1"/>
  <c r="U168" i="5"/>
  <c r="AC168" i="5"/>
  <c r="AD168" i="5" s="1"/>
  <c r="U172" i="5"/>
  <c r="AC172" i="5"/>
  <c r="AD172" i="5" s="1"/>
  <c r="U176" i="5"/>
  <c r="AC176" i="5"/>
  <c r="AD176" i="5" s="1"/>
  <c r="U180" i="5"/>
  <c r="AC180" i="5"/>
  <c r="AD180" i="5" s="1"/>
  <c r="U184" i="5"/>
  <c r="AC184" i="5"/>
  <c r="AD184" i="5" s="1"/>
  <c r="U188" i="5"/>
  <c r="U192" i="5"/>
  <c r="AC192" i="5"/>
  <c r="AD192" i="5" s="1"/>
  <c r="U196" i="5"/>
  <c r="AC196" i="5"/>
  <c r="AD196" i="5" s="1"/>
  <c r="U200" i="5"/>
  <c r="AC200" i="5"/>
  <c r="AD200" i="5" s="1"/>
  <c r="U204" i="5"/>
  <c r="AC204" i="5"/>
  <c r="AD204" i="5" s="1"/>
  <c r="U208" i="5"/>
  <c r="AC208" i="5"/>
  <c r="AD208" i="5" s="1"/>
  <c r="U212" i="5"/>
  <c r="AC212" i="5"/>
  <c r="AD212" i="5" s="1"/>
  <c r="U232" i="5"/>
  <c r="AC232" i="5"/>
  <c r="AD232" i="5" s="1"/>
  <c r="U235" i="5"/>
  <c r="AC235" i="5"/>
  <c r="AD235" i="5" s="1"/>
  <c r="U246" i="5"/>
  <c r="AC246" i="5"/>
  <c r="AD246" i="5" s="1"/>
  <c r="U267" i="5"/>
  <c r="AC267" i="5"/>
  <c r="AD267" i="5" s="1"/>
  <c r="U271" i="5"/>
  <c r="AC271" i="5"/>
  <c r="AD271" i="5" s="1"/>
  <c r="U274" i="5"/>
  <c r="AC274" i="5"/>
  <c r="AD274" i="5" s="1"/>
  <c r="U434" i="5"/>
  <c r="BG434" i="5" s="1"/>
  <c r="AC434" i="5"/>
  <c r="AD434" i="5" s="1"/>
  <c r="U242" i="5"/>
  <c r="AC242" i="5"/>
  <c r="AD242" i="5" s="1"/>
  <c r="U321" i="5"/>
  <c r="U320" i="5"/>
  <c r="BG320" i="5" s="1"/>
  <c r="U427" i="5"/>
  <c r="BG427" i="5" s="1"/>
  <c r="U380" i="5"/>
  <c r="BG380" i="5" s="1"/>
  <c r="AC380" i="5"/>
  <c r="AD380" i="5" s="1"/>
  <c r="U455" i="5"/>
  <c r="BG455" i="5" s="1"/>
  <c r="AC455" i="5"/>
  <c r="AD455" i="5" s="1"/>
  <c r="U397" i="5"/>
  <c r="BG397" i="5" s="1"/>
  <c r="AC397" i="5"/>
  <c r="AD397" i="5" s="1"/>
  <c r="U486" i="5"/>
  <c r="BG486" i="5" s="1"/>
  <c r="AC486" i="5"/>
  <c r="AD486" i="5" s="1"/>
  <c r="U284" i="5"/>
  <c r="BG284" i="5" s="1"/>
  <c r="AC284" i="5"/>
  <c r="AD284" i="5" s="1"/>
  <c r="U382" i="5"/>
  <c r="BG382" i="5" s="1"/>
  <c r="U468" i="5"/>
  <c r="BG468" i="5" s="1"/>
  <c r="AC468" i="5"/>
  <c r="AD468" i="5" s="1"/>
  <c r="U339" i="5"/>
  <c r="BG339" i="5" s="1"/>
  <c r="U391" i="5"/>
  <c r="BG391" i="5" s="1"/>
  <c r="U393" i="5"/>
  <c r="BG393" i="5" s="1"/>
  <c r="U392" i="5"/>
  <c r="BG392" i="5" s="1"/>
  <c r="H361" i="9"/>
  <c r="U319" i="5"/>
  <c r="AC319" i="5"/>
  <c r="AD319" i="5" s="1"/>
  <c r="U453" i="5"/>
  <c r="BG453" i="5" s="1"/>
  <c r="AC453" i="5"/>
  <c r="AD453" i="5" s="1"/>
  <c r="U310" i="5"/>
  <c r="AC310" i="5"/>
  <c r="AD310" i="5" s="1"/>
  <c r="U313" i="5"/>
  <c r="BG313" i="5" s="1"/>
  <c r="AC313" i="5"/>
  <c r="AD313" i="5" s="1"/>
  <c r="U359" i="5"/>
  <c r="BG359" i="5" s="1"/>
  <c r="AC359" i="5"/>
  <c r="AD359" i="5" s="1"/>
  <c r="U355" i="5"/>
  <c r="BG355" i="5" s="1"/>
  <c r="AC355" i="5"/>
  <c r="AD355" i="5" s="1"/>
  <c r="U531" i="5"/>
  <c r="AC531" i="5"/>
  <c r="AD531" i="5" s="1"/>
  <c r="U429" i="5"/>
  <c r="BG429" i="5" s="1"/>
  <c r="AC429" i="5"/>
  <c r="AD429" i="5" s="1"/>
  <c r="U376" i="5"/>
  <c r="BG376" i="5" s="1"/>
  <c r="AC376" i="5"/>
  <c r="AD376" i="5" s="1"/>
  <c r="U350" i="5"/>
  <c r="BG350" i="5" s="1"/>
  <c r="AC350" i="5"/>
  <c r="AD350" i="5" s="1"/>
  <c r="U528" i="5"/>
  <c r="BG528" i="5" s="1"/>
  <c r="AC528" i="5"/>
  <c r="AD528" i="5" s="1"/>
  <c r="U280" i="5"/>
  <c r="AC280" i="5"/>
  <c r="AD280" i="5" s="1"/>
  <c r="U279" i="5"/>
  <c r="BG279" i="5" s="1"/>
  <c r="AC279" i="5"/>
  <c r="AD279" i="5" s="1"/>
  <c r="U356" i="5"/>
  <c r="AC356" i="5"/>
  <c r="AD356" i="5" s="1"/>
  <c r="U323" i="5"/>
  <c r="BG323" i="5" s="1"/>
  <c r="AC323" i="5"/>
  <c r="AD323" i="5" s="1"/>
  <c r="U402" i="5"/>
  <c r="BG402" i="5" s="1"/>
  <c r="AC402" i="5"/>
  <c r="AD402" i="5" s="1"/>
  <c r="U370" i="5"/>
  <c r="BG370" i="5" s="1"/>
  <c r="AC370" i="5"/>
  <c r="AD370" i="5" s="1"/>
  <c r="U357" i="5"/>
  <c r="BG357" i="5" s="1"/>
  <c r="AC357" i="5"/>
  <c r="AD357" i="5" s="1"/>
  <c r="U400" i="5"/>
  <c r="BG400" i="5" s="1"/>
  <c r="AC400" i="5"/>
  <c r="AD400" i="5" s="1"/>
  <c r="U289" i="5"/>
  <c r="BG289" i="5" s="1"/>
  <c r="AC289" i="5"/>
  <c r="AD289" i="5" s="1"/>
  <c r="U520" i="5"/>
  <c r="AC520" i="5"/>
  <c r="AD520" i="5" s="1"/>
  <c r="U296" i="5"/>
  <c r="BG296" i="5" s="1"/>
  <c r="AC296" i="5"/>
  <c r="AD296" i="5" s="1"/>
  <c r="U361" i="5"/>
  <c r="BG361" i="5" s="1"/>
  <c r="AC361" i="5"/>
  <c r="AD361" i="5" s="1"/>
  <c r="U412" i="5"/>
  <c r="AC412" i="5"/>
  <c r="AD412" i="5" s="1"/>
  <c r="U535" i="5"/>
  <c r="AC535" i="5"/>
  <c r="AD535" i="5" s="1"/>
  <c r="U500" i="5"/>
  <c r="BG500" i="5" s="1"/>
  <c r="AC500" i="5"/>
  <c r="AD500" i="5" s="1"/>
  <c r="U499" i="5"/>
  <c r="BG499" i="5" s="1"/>
  <c r="AC499" i="5"/>
  <c r="AD499" i="5" s="1"/>
  <c r="U515" i="5"/>
  <c r="BG515" i="5" s="1"/>
  <c r="AC515" i="5"/>
  <c r="AD515" i="5" s="1"/>
  <c r="U513" i="5"/>
  <c r="BG513" i="5" s="1"/>
  <c r="AC513" i="5"/>
  <c r="AD513" i="5" s="1"/>
  <c r="U374" i="5"/>
  <c r="BG374" i="5" s="1"/>
  <c r="AC374" i="5"/>
  <c r="AD374" i="5" s="1"/>
  <c r="U368" i="5"/>
  <c r="BG368" i="5" s="1"/>
  <c r="AC368" i="5"/>
  <c r="AD368" i="5" s="1"/>
  <c r="U231" i="5"/>
  <c r="AC231" i="5"/>
  <c r="AD231" i="5" s="1"/>
  <c r="U239" i="5"/>
  <c r="AC239" i="5"/>
  <c r="AD239" i="5" s="1"/>
  <c r="U251" i="5"/>
  <c r="AC251" i="5"/>
  <c r="AD251" i="5" s="1"/>
  <c r="U254" i="5"/>
  <c r="AC254" i="5"/>
  <c r="AD254" i="5" s="1"/>
  <c r="U217" i="5"/>
  <c r="AC217" i="5"/>
  <c r="AD217" i="5" s="1"/>
  <c r="U220" i="5"/>
  <c r="AC220" i="5"/>
  <c r="AD220" i="5" s="1"/>
  <c r="U266" i="5"/>
  <c r="AC266" i="5"/>
  <c r="AD266" i="5" s="1"/>
  <c r="U230" i="5"/>
  <c r="AC230" i="5"/>
  <c r="AD230" i="5" s="1"/>
  <c r="U295" i="5"/>
  <c r="AC295" i="5"/>
  <c r="AD295" i="5" s="1"/>
  <c r="U240" i="5"/>
  <c r="AC240" i="5"/>
  <c r="AD240" i="5" s="1"/>
  <c r="U282" i="5"/>
  <c r="AC282" i="5"/>
  <c r="AD282" i="5" s="1"/>
  <c r="U525" i="5"/>
  <c r="BG525" i="5" s="1"/>
  <c r="AC525" i="5"/>
  <c r="AD525" i="5" s="1"/>
  <c r="U543" i="5"/>
  <c r="BG543" i="5" s="1"/>
  <c r="AC543" i="5"/>
  <c r="AD543" i="5" s="1"/>
  <c r="U299" i="5"/>
  <c r="AC299" i="5"/>
  <c r="AD299" i="5" s="1"/>
  <c r="U445" i="5"/>
  <c r="AC445" i="5"/>
  <c r="AD445" i="5" s="1"/>
  <c r="U417" i="5"/>
  <c r="BG417" i="5" s="1"/>
  <c r="AC417" i="5"/>
  <c r="AD417" i="5" s="1"/>
  <c r="U416" i="5"/>
  <c r="BG416" i="5" s="1"/>
  <c r="AC416" i="5"/>
  <c r="AD416" i="5" s="1"/>
  <c r="U540" i="5"/>
  <c r="BG540" i="5" s="1"/>
  <c r="AC540" i="5"/>
  <c r="AD540" i="5" s="1"/>
  <c r="U334" i="5"/>
  <c r="BG334" i="5" s="1"/>
  <c r="AC334" i="5"/>
  <c r="AD334" i="5" s="1"/>
  <c r="U297" i="5"/>
  <c r="BG297" i="5" s="1"/>
  <c r="U466" i="5"/>
  <c r="BG466" i="5" s="1"/>
  <c r="AC466" i="5"/>
  <c r="AD466" i="5" s="1"/>
  <c r="U463" i="5"/>
  <c r="BG463" i="5" s="1"/>
  <c r="U498" i="5"/>
  <c r="BG498" i="5" s="1"/>
  <c r="AC498" i="5"/>
  <c r="AD498" i="5" s="1"/>
  <c r="U447" i="5"/>
  <c r="BG447" i="5" s="1"/>
  <c r="U367" i="5"/>
  <c r="BG367" i="5" s="1"/>
  <c r="AC367" i="5"/>
  <c r="AD367" i="5" s="1"/>
  <c r="U383" i="5"/>
  <c r="BG383" i="5" s="1"/>
  <c r="U288" i="5"/>
  <c r="AC288" i="5"/>
  <c r="AD288" i="5" s="1"/>
  <c r="I547" i="5"/>
  <c r="R491" i="5"/>
  <c r="AY491" i="5" s="1"/>
  <c r="N293" i="5"/>
  <c r="O293" i="5" s="1"/>
  <c r="R474" i="5"/>
  <c r="AY474" i="5" s="1"/>
  <c r="O516" i="5"/>
  <c r="R97" i="5"/>
  <c r="N183" i="5"/>
  <c r="O183" i="5" s="1"/>
  <c r="N324" i="5"/>
  <c r="Q324" i="5" s="1"/>
  <c r="R468" i="5"/>
  <c r="AY468" i="5" s="1"/>
  <c r="R516" i="5"/>
  <c r="AY516" i="5" s="1"/>
  <c r="N502" i="5"/>
  <c r="O502" i="5" s="1"/>
  <c r="W346" i="5"/>
  <c r="Y346" i="5" s="1"/>
  <c r="R291" i="5"/>
  <c r="AY291" i="5" s="1"/>
  <c r="R337" i="5"/>
  <c r="AY337" i="5" s="1"/>
  <c r="N537" i="5"/>
  <c r="Q537" i="5" s="1"/>
  <c r="N518" i="5"/>
  <c r="Q518" i="5" s="1"/>
  <c r="R360" i="5"/>
  <c r="AY360" i="5" s="1"/>
  <c r="O469" i="5"/>
  <c r="N406" i="5"/>
  <c r="O406" i="5" s="1"/>
  <c r="R88" i="5"/>
  <c r="CE88" i="5" s="1"/>
  <c r="N474" i="5"/>
  <c r="O474" i="5" s="1"/>
  <c r="R466" i="5"/>
  <c r="AY466" i="5" s="1"/>
  <c r="N530" i="5"/>
  <c r="O530" i="5" s="1"/>
  <c r="R472" i="5"/>
  <c r="AY472" i="5" s="1"/>
  <c r="R29" i="5"/>
  <c r="CE29" i="5" s="1"/>
  <c r="N186" i="5"/>
  <c r="O186" i="5" s="1"/>
  <c r="Q274" i="5"/>
  <c r="S274" i="5" s="1"/>
  <c r="N403" i="5"/>
  <c r="Q403" i="5" s="1"/>
  <c r="R380" i="5"/>
  <c r="AY380" i="5" s="1"/>
  <c r="R138" i="5"/>
  <c r="R142" i="5"/>
  <c r="N475" i="5"/>
  <c r="Q475" i="5" s="1"/>
  <c r="R412" i="5"/>
  <c r="AY412" i="5" s="1"/>
  <c r="R322" i="5"/>
  <c r="AY322" i="5" s="1"/>
  <c r="N95" i="5"/>
  <c r="Q95" i="5" s="1"/>
  <c r="S95" i="5" s="1"/>
  <c r="N298" i="5"/>
  <c r="O298" i="5" s="1"/>
  <c r="R400" i="5"/>
  <c r="AY400" i="5" s="1"/>
  <c r="W423" i="5"/>
  <c r="Y423" i="5" s="1"/>
  <c r="N500" i="5"/>
  <c r="O500" i="5" s="1"/>
  <c r="N94" i="5"/>
  <c r="O94" i="5" s="1"/>
  <c r="R119" i="5"/>
  <c r="N192" i="5"/>
  <c r="Q192" i="5" s="1"/>
  <c r="S192" i="5" s="1"/>
  <c r="N278" i="5"/>
  <c r="O278" i="5" s="1"/>
  <c r="R344" i="5"/>
  <c r="AY344" i="5" s="1"/>
  <c r="R334" i="5"/>
  <c r="AY334" i="5" s="1"/>
  <c r="R512" i="5"/>
  <c r="AY512" i="5" s="1"/>
  <c r="N511" i="5"/>
  <c r="O511" i="5" s="1"/>
  <c r="Q411" i="5"/>
  <c r="R388" i="5"/>
  <c r="AY388" i="5" s="1"/>
  <c r="O299" i="5"/>
  <c r="R185" i="5"/>
  <c r="Q260" i="5"/>
  <c r="S260" i="5" s="1"/>
  <c r="N407" i="5"/>
  <c r="O407" i="5" s="1"/>
  <c r="R341" i="5"/>
  <c r="AY341" i="5" s="1"/>
  <c r="R392" i="5"/>
  <c r="AY392" i="5" s="1"/>
  <c r="N504" i="5"/>
  <c r="O504" i="5" s="1"/>
  <c r="N297" i="5"/>
  <c r="O297" i="5" s="1"/>
  <c r="Q377" i="5"/>
  <c r="Q322" i="5"/>
  <c r="R296" i="5"/>
  <c r="AY296" i="5" s="1"/>
  <c r="N501" i="5"/>
  <c r="O501" i="5" s="1"/>
  <c r="N513" i="5"/>
  <c r="Q513" i="5" s="1"/>
  <c r="R28" i="5"/>
  <c r="CE28" i="5" s="1"/>
  <c r="N37" i="5"/>
  <c r="Q37" i="5" s="1"/>
  <c r="S37" i="5" s="1"/>
  <c r="Q497" i="5"/>
  <c r="R203" i="5"/>
  <c r="CE203" i="5" s="1"/>
  <c r="R335" i="5"/>
  <c r="AY335" i="5" s="1"/>
  <c r="R497" i="5"/>
  <c r="AY497" i="5" s="1"/>
  <c r="Q255" i="5"/>
  <c r="S255" i="5" s="1"/>
  <c r="N33" i="5"/>
  <c r="Q33" i="5" s="1"/>
  <c r="S33" i="5" s="1"/>
  <c r="N38" i="5"/>
  <c r="Q38" i="5" s="1"/>
  <c r="S38" i="5" s="1"/>
  <c r="N114" i="5"/>
  <c r="O114" i="5" s="1"/>
  <c r="R163" i="5"/>
  <c r="CE163" i="5" s="1"/>
  <c r="R178" i="5"/>
  <c r="R286" i="5"/>
  <c r="AY286" i="5" s="1"/>
  <c r="Q543" i="5"/>
  <c r="N487" i="5"/>
  <c r="Q487" i="5" s="1"/>
  <c r="R351" i="5"/>
  <c r="AY351" i="5" s="1"/>
  <c r="R429" i="5"/>
  <c r="AY429" i="5" s="1"/>
  <c r="O458" i="5"/>
  <c r="Q326" i="5"/>
  <c r="Q412" i="5"/>
  <c r="N420" i="5"/>
  <c r="Q420" i="5" s="1"/>
  <c r="R508" i="5"/>
  <c r="AY508" i="5" s="1"/>
  <c r="O355" i="5"/>
  <c r="R377" i="5"/>
  <c r="AY377" i="5" s="1"/>
  <c r="N493" i="5"/>
  <c r="Q493" i="5" s="1"/>
  <c r="R25" i="5"/>
  <c r="R87" i="5"/>
  <c r="N139" i="5"/>
  <c r="Q139" i="5" s="1"/>
  <c r="S139" i="5" s="1"/>
  <c r="R436" i="5"/>
  <c r="AY436" i="5" s="1"/>
  <c r="N378" i="5"/>
  <c r="Q378" i="5" s="1"/>
  <c r="N453" i="5"/>
  <c r="Q453" i="5" s="1"/>
  <c r="N399" i="5"/>
  <c r="Q399" i="5" s="1"/>
  <c r="N430" i="5"/>
  <c r="O430" i="5" s="1"/>
  <c r="R353" i="5"/>
  <c r="AY353" i="5" s="1"/>
  <c r="R391" i="5"/>
  <c r="AY391" i="5" s="1"/>
  <c r="Q510" i="5"/>
  <c r="Q309" i="5"/>
  <c r="R517" i="5"/>
  <c r="AY517" i="5" s="1"/>
  <c r="R401" i="5"/>
  <c r="AY401" i="5" s="1"/>
  <c r="Q472" i="5"/>
  <c r="N496" i="5"/>
  <c r="O496" i="5" s="1"/>
  <c r="N447" i="5"/>
  <c r="O447" i="5" s="1"/>
  <c r="R8" i="5"/>
  <c r="R9" i="5"/>
  <c r="N23" i="5"/>
  <c r="O23" i="5" s="1"/>
  <c r="R110" i="5"/>
  <c r="CE110" i="5" s="1"/>
  <c r="O379" i="5"/>
  <c r="Q452" i="5"/>
  <c r="R435" i="5"/>
  <c r="AY435" i="5" s="1"/>
  <c r="Q388" i="5"/>
  <c r="R333" i="5"/>
  <c r="AY333" i="5" s="1"/>
  <c r="R498" i="5"/>
  <c r="AY498" i="5" s="1"/>
  <c r="R462" i="5"/>
  <c r="AY462" i="5" s="1"/>
  <c r="O385" i="5"/>
  <c r="R26" i="5"/>
  <c r="CE26" i="5" s="1"/>
  <c r="R35" i="5"/>
  <c r="R101" i="5"/>
  <c r="N124" i="5"/>
  <c r="Q124" i="5" s="1"/>
  <c r="S124" i="5" s="1"/>
  <c r="O226" i="5"/>
  <c r="Q306" i="5"/>
  <c r="Q469" i="5"/>
  <c r="O380" i="5"/>
  <c r="N490" i="5"/>
  <c r="O490" i="5" s="1"/>
  <c r="R340" i="5"/>
  <c r="AY340" i="5" s="1"/>
  <c r="N523" i="5"/>
  <c r="O523" i="5" s="1"/>
  <c r="N527" i="5"/>
  <c r="O527" i="5" s="1"/>
  <c r="R526" i="5"/>
  <c r="AY526" i="5" s="1"/>
  <c r="N349" i="5"/>
  <c r="O349" i="5" s="1"/>
  <c r="R348" i="5"/>
  <c r="AY348" i="5" s="1"/>
  <c r="N310" i="5"/>
  <c r="Q310" i="5" s="1"/>
  <c r="R309" i="5"/>
  <c r="AY309" i="5" s="1"/>
  <c r="R281" i="5"/>
  <c r="AY281" i="5" s="1"/>
  <c r="R458" i="5"/>
  <c r="AY458" i="5" s="1"/>
  <c r="R289" i="5"/>
  <c r="AY289" i="5" s="1"/>
  <c r="Q215" i="5"/>
  <c r="S215" i="5" s="1"/>
  <c r="O271" i="5"/>
  <c r="O277" i="5"/>
  <c r="N438" i="5"/>
  <c r="Q438" i="5" s="1"/>
  <c r="R456" i="5"/>
  <c r="AY456" i="5" s="1"/>
  <c r="R290" i="5"/>
  <c r="AY290" i="5" s="1"/>
  <c r="R379" i="5"/>
  <c r="AY379" i="5" s="1"/>
  <c r="N338" i="5"/>
  <c r="O338" i="5" s="1"/>
  <c r="N417" i="5"/>
  <c r="O417" i="5" s="1"/>
  <c r="N345" i="5"/>
  <c r="Q345" i="5" s="1"/>
  <c r="R316" i="5"/>
  <c r="AY316" i="5" s="1"/>
  <c r="R402" i="5"/>
  <c r="AY402" i="5" s="1"/>
  <c r="R372" i="5"/>
  <c r="AY372" i="5" s="1"/>
  <c r="R423" i="5"/>
  <c r="AY423" i="5" s="1"/>
  <c r="R536" i="5"/>
  <c r="AY536" i="5" s="1"/>
  <c r="Q238" i="5"/>
  <c r="S238" i="5" s="1"/>
  <c r="O276" i="5"/>
  <c r="O543" i="5"/>
  <c r="O326" i="5"/>
  <c r="R538" i="5"/>
  <c r="AY538" i="5" s="1"/>
  <c r="N424" i="5"/>
  <c r="O424" i="5" s="1"/>
  <c r="O506" i="5"/>
  <c r="O383" i="5"/>
  <c r="N20" i="5"/>
  <c r="O20" i="5" s="1"/>
  <c r="N136" i="5"/>
  <c r="Q136" i="5" s="1"/>
  <c r="S136" i="5" s="1"/>
  <c r="R146" i="5"/>
  <c r="R446" i="5"/>
  <c r="AY446" i="5" s="1"/>
  <c r="O341" i="5"/>
  <c r="N444" i="5"/>
  <c r="O444" i="5" s="1"/>
  <c r="Q348" i="5"/>
  <c r="R414" i="5"/>
  <c r="AY414" i="5" s="1"/>
  <c r="R418" i="5"/>
  <c r="AY418" i="5" s="1"/>
  <c r="R460" i="5"/>
  <c r="AY460" i="5" s="1"/>
  <c r="N533" i="5"/>
  <c r="Q533" i="5" s="1"/>
  <c r="R357" i="5"/>
  <c r="AY357" i="5" s="1"/>
  <c r="R450" i="5"/>
  <c r="AY450" i="5" s="1"/>
  <c r="N363" i="5"/>
  <c r="Q363" i="5" s="1"/>
  <c r="N480" i="5"/>
  <c r="Q480" i="5" s="1"/>
  <c r="O484" i="5"/>
  <c r="N374" i="5"/>
  <c r="O374" i="5" s="1"/>
  <c r="P374" i="5" s="1"/>
  <c r="R375" i="5"/>
  <c r="AY375" i="5" s="1"/>
  <c r="R287" i="5"/>
  <c r="AY287" i="5" s="1"/>
  <c r="R27" i="5"/>
  <c r="CE27" i="5" s="1"/>
  <c r="N36" i="5"/>
  <c r="O36" i="5" s="1"/>
  <c r="R117" i="5"/>
  <c r="CE117" i="5" s="1"/>
  <c r="N126" i="5"/>
  <c r="Q126" i="5" s="1"/>
  <c r="S126" i="5" s="1"/>
  <c r="R162" i="5"/>
  <c r="Q243" i="5"/>
  <c r="S243" i="5" s="1"/>
  <c r="Q259" i="5"/>
  <c r="S259" i="5" s="1"/>
  <c r="N347" i="5"/>
  <c r="O347" i="5" s="1"/>
  <c r="R292" i="5"/>
  <c r="AY292" i="5" s="1"/>
  <c r="R396" i="5"/>
  <c r="AY396" i="5" s="1"/>
  <c r="W414" i="5"/>
  <c r="Y414" i="5" s="1"/>
  <c r="N461" i="5"/>
  <c r="Q461" i="5" s="1"/>
  <c r="R506" i="5"/>
  <c r="AY506" i="5" s="1"/>
  <c r="N325" i="5"/>
  <c r="R356" i="5"/>
  <c r="AY356" i="5" s="1"/>
  <c r="R303" i="5"/>
  <c r="AY303" i="5" s="1"/>
  <c r="Q508" i="5"/>
  <c r="Q507" i="5"/>
  <c r="N494" i="5"/>
  <c r="Q494" i="5" s="1"/>
  <c r="N11" i="5"/>
  <c r="Q11" i="5" s="1"/>
  <c r="S11" i="5" s="1"/>
  <c r="N12" i="5"/>
  <c r="Q12" i="5" s="1"/>
  <c r="S12" i="5" s="1"/>
  <c r="N13" i="5"/>
  <c r="Q13" i="5" s="1"/>
  <c r="S13" i="5" s="1"/>
  <c r="N14" i="5"/>
  <c r="Q14" i="5" s="1"/>
  <c r="S14" i="5" s="1"/>
  <c r="N15" i="5"/>
  <c r="Q15" i="5" s="1"/>
  <c r="S15" i="5" s="1"/>
  <c r="N16" i="5"/>
  <c r="Q16" i="5" s="1"/>
  <c r="S16" i="5" s="1"/>
  <c r="N17" i="5"/>
  <c r="Q17" i="5" s="1"/>
  <c r="S17" i="5" s="1"/>
  <c r="N18" i="5"/>
  <c r="Q18" i="5" s="1"/>
  <c r="S18" i="5" s="1"/>
  <c r="N19" i="5"/>
  <c r="Q19" i="5" s="1"/>
  <c r="S19" i="5" s="1"/>
  <c r="N24" i="5"/>
  <c r="O24" i="5" s="1"/>
  <c r="R32" i="5"/>
  <c r="CE32" i="5" s="1"/>
  <c r="R122" i="5"/>
  <c r="CE122" i="5" s="1"/>
  <c r="N122" i="5"/>
  <c r="W132" i="5"/>
  <c r="N134" i="5"/>
  <c r="R177" i="5"/>
  <c r="N182" i="5"/>
  <c r="Q182" i="5" s="1"/>
  <c r="S182" i="5" s="1"/>
  <c r="N193" i="5"/>
  <c r="O193" i="5" s="1"/>
  <c r="R193" i="5"/>
  <c r="CE193" i="5" s="1"/>
  <c r="N199" i="5"/>
  <c r="N200" i="5"/>
  <c r="R330" i="5"/>
  <c r="AY330" i="5" s="1"/>
  <c r="N330" i="5"/>
  <c r="Q330" i="5" s="1"/>
  <c r="N135" i="5"/>
  <c r="Q135" i="5" s="1"/>
  <c r="S135" i="5" s="1"/>
  <c r="R191" i="5"/>
  <c r="CE191" i="5" s="1"/>
  <c r="N99" i="5"/>
  <c r="R134" i="5"/>
  <c r="CE134" i="5" s="1"/>
  <c r="R437" i="5"/>
  <c r="AY437" i="5" s="1"/>
  <c r="N437" i="5"/>
  <c r="N155" i="5"/>
  <c r="Q155" i="5" s="1"/>
  <c r="S155" i="5" s="1"/>
  <c r="R155" i="5"/>
  <c r="R21" i="5"/>
  <c r="R24" i="5"/>
  <c r="R30" i="5"/>
  <c r="N34" i="5"/>
  <c r="R39" i="5"/>
  <c r="CE39" i="5" s="1"/>
  <c r="N84" i="5"/>
  <c r="N98" i="5"/>
  <c r="Q98" i="5" s="1"/>
  <c r="S98" i="5" s="1"/>
  <c r="R100" i="5"/>
  <c r="R108" i="5"/>
  <c r="R128" i="5"/>
  <c r="N128" i="5"/>
  <c r="Q128" i="5" s="1"/>
  <c r="S128" i="5" s="1"/>
  <c r="N158" i="5"/>
  <c r="Q158" i="5" s="1"/>
  <c r="S158" i="5" s="1"/>
  <c r="R159" i="5"/>
  <c r="CE159" i="5" s="1"/>
  <c r="N187" i="5"/>
  <c r="Q187" i="5" s="1"/>
  <c r="S187" i="5" s="1"/>
  <c r="R187" i="5"/>
  <c r="R199" i="5"/>
  <c r="Q258" i="5"/>
  <c r="S258" i="5" s="1"/>
  <c r="X265" i="5"/>
  <c r="W265" i="5"/>
  <c r="W270" i="5"/>
  <c r="R10" i="5"/>
  <c r="CE10" i="5" s="1"/>
  <c r="N22" i="5"/>
  <c r="Q22" i="5" s="1"/>
  <c r="S22" i="5" s="1"/>
  <c r="N31" i="5"/>
  <c r="O31" i="5" s="1"/>
  <c r="N85" i="5"/>
  <c r="Q85" i="5" s="1"/>
  <c r="S85" i="5" s="1"/>
  <c r="N86" i="5"/>
  <c r="Q86" i="5" s="1"/>
  <c r="S86" i="5" s="1"/>
  <c r="N89" i="5"/>
  <c r="O89" i="5" s="1"/>
  <c r="N90" i="5"/>
  <c r="Q90" i="5" s="1"/>
  <c r="S90" i="5" s="1"/>
  <c r="N91" i="5"/>
  <c r="Q91" i="5" s="1"/>
  <c r="S91" i="5" s="1"/>
  <c r="R99" i="5"/>
  <c r="CE99" i="5" s="1"/>
  <c r="N120" i="5"/>
  <c r="Q120" i="5" s="1"/>
  <c r="S120" i="5" s="1"/>
  <c r="R158" i="5"/>
  <c r="CE158" i="5" s="1"/>
  <c r="R455" i="5"/>
  <c r="AY455" i="5" s="1"/>
  <c r="N455" i="5"/>
  <c r="Q446" i="5"/>
  <c r="O446" i="5"/>
  <c r="Q248" i="5"/>
  <c r="S248" i="5" s="1"/>
  <c r="O248" i="5"/>
  <c r="N4" i="5"/>
  <c r="Q4" i="5" s="1"/>
  <c r="S4" i="5" s="1"/>
  <c r="R22" i="5"/>
  <c r="R31" i="5"/>
  <c r="CE31" i="5" s="1"/>
  <c r="N40" i="5"/>
  <c r="O40" i="5" s="1"/>
  <c r="R85" i="5"/>
  <c r="CE85" i="5" s="1"/>
  <c r="R86" i="5"/>
  <c r="CE86" i="5" s="1"/>
  <c r="R91" i="5"/>
  <c r="CE91" i="5" s="1"/>
  <c r="N92" i="5"/>
  <c r="R106" i="5"/>
  <c r="CE106" i="5" s="1"/>
  <c r="N171" i="5"/>
  <c r="Q171" i="5" s="1"/>
  <c r="S171" i="5" s="1"/>
  <c r="R171" i="5"/>
  <c r="R210" i="5"/>
  <c r="Q256" i="5"/>
  <c r="S256" i="5" s="1"/>
  <c r="N170" i="5"/>
  <c r="Q170" i="5" s="1"/>
  <c r="S170" i="5" s="1"/>
  <c r="R170" i="5"/>
  <c r="CE170" i="5" s="1"/>
  <c r="N207" i="5"/>
  <c r="N208" i="5"/>
  <c r="O208" i="5" s="1"/>
  <c r="R19" i="5"/>
  <c r="R105" i="5"/>
  <c r="R92" i="5"/>
  <c r="N93" i="5"/>
  <c r="Q93" i="5" s="1"/>
  <c r="S93" i="5" s="1"/>
  <c r="N96" i="5"/>
  <c r="R103" i="5"/>
  <c r="R115" i="5"/>
  <c r="CE115" i="5" s="1"/>
  <c r="N115" i="5"/>
  <c r="Q115" i="5" s="1"/>
  <c r="S115" i="5" s="1"/>
  <c r="R179" i="5"/>
  <c r="CE179" i="5" s="1"/>
  <c r="R194" i="5"/>
  <c r="N194" i="5"/>
  <c r="Q194" i="5" s="1"/>
  <c r="S194" i="5" s="1"/>
  <c r="R207" i="5"/>
  <c r="CE207" i="5" s="1"/>
  <c r="R209" i="5"/>
  <c r="CE209" i="5" s="1"/>
  <c r="O408" i="5"/>
  <c r="W381" i="5"/>
  <c r="Y381" i="5" s="1"/>
  <c r="N381" i="5"/>
  <c r="Q381" i="5" s="1"/>
  <c r="R166" i="5"/>
  <c r="R167" i="5"/>
  <c r="N168" i="5"/>
  <c r="Q168" i="5" s="1"/>
  <c r="S168" i="5" s="1"/>
  <c r="N176" i="5"/>
  <c r="Q176" i="5" s="1"/>
  <c r="S176" i="5" s="1"/>
  <c r="N190" i="5"/>
  <c r="R201" i="5"/>
  <c r="CE201" i="5" s="1"/>
  <c r="N202" i="5"/>
  <c r="Q202" i="5" s="1"/>
  <c r="S202" i="5" s="1"/>
  <c r="N433" i="5"/>
  <c r="O456" i="5"/>
  <c r="R432" i="5"/>
  <c r="AY432" i="5" s="1"/>
  <c r="N290" i="5"/>
  <c r="O290" i="5" s="1"/>
  <c r="AL290" i="5" s="1"/>
  <c r="N285" i="5"/>
  <c r="O285" i="5" s="1"/>
  <c r="R381" i="5"/>
  <c r="AY381" i="5" s="1"/>
  <c r="N404" i="5"/>
  <c r="O404" i="5" s="1"/>
  <c r="Q281" i="5"/>
  <c r="Q240" i="5"/>
  <c r="S240" i="5" s="1"/>
  <c r="R522" i="5"/>
  <c r="AY522" i="5" s="1"/>
  <c r="N522" i="5"/>
  <c r="O522" i="5" s="1"/>
  <c r="N467" i="5"/>
  <c r="O467" i="5" s="1"/>
  <c r="R467" i="5"/>
  <c r="AY467" i="5" s="1"/>
  <c r="N390" i="5"/>
  <c r="Q390" i="5" s="1"/>
  <c r="R390" i="5"/>
  <c r="AY390" i="5" s="1"/>
  <c r="N358" i="5"/>
  <c r="O358" i="5" s="1"/>
  <c r="R358" i="5"/>
  <c r="AY358" i="5" s="1"/>
  <c r="Q246" i="5"/>
  <c r="S246" i="5" s="1"/>
  <c r="Q265" i="5"/>
  <c r="S265" i="5" s="1"/>
  <c r="Q272" i="5"/>
  <c r="S272" i="5" s="1"/>
  <c r="R433" i="5"/>
  <c r="AY433" i="5" s="1"/>
  <c r="N488" i="5"/>
  <c r="Q488" i="5" s="1"/>
  <c r="R543" i="5"/>
  <c r="AY543" i="5" s="1"/>
  <c r="R542" i="5"/>
  <c r="AY542" i="5" s="1"/>
  <c r="R408" i="5"/>
  <c r="AY408" i="5" s="1"/>
  <c r="R299" i="5"/>
  <c r="AY299" i="5" s="1"/>
  <c r="R284" i="5"/>
  <c r="AY284" i="5" s="1"/>
  <c r="R347" i="5"/>
  <c r="AY347" i="5" s="1"/>
  <c r="N283" i="5"/>
  <c r="N524" i="5"/>
  <c r="R503" i="5"/>
  <c r="AY503" i="5" s="1"/>
  <c r="N503" i="5"/>
  <c r="Q503" i="5" s="1"/>
  <c r="N416" i="5"/>
  <c r="Q416" i="5" s="1"/>
  <c r="R416" i="5"/>
  <c r="AY416" i="5" s="1"/>
  <c r="Q335" i="5"/>
  <c r="O335" i="5"/>
  <c r="N451" i="5"/>
  <c r="Q451" i="5" s="1"/>
  <c r="R451" i="5"/>
  <c r="AY451" i="5" s="1"/>
  <c r="N132" i="5"/>
  <c r="O132" i="5" s="1"/>
  <c r="R150" i="5"/>
  <c r="R151" i="5"/>
  <c r="CE151" i="5" s="1"/>
  <c r="R154" i="5"/>
  <c r="CE154" i="5" s="1"/>
  <c r="R184" i="5"/>
  <c r="R195" i="5"/>
  <c r="CE195" i="5" s="1"/>
  <c r="N198" i="5"/>
  <c r="Q225" i="5"/>
  <c r="S225" i="5" s="1"/>
  <c r="O246" i="5"/>
  <c r="O491" i="5"/>
  <c r="N425" i="5"/>
  <c r="R488" i="5"/>
  <c r="AY488" i="5" s="1"/>
  <c r="R346" i="5"/>
  <c r="AY346" i="5" s="1"/>
  <c r="O452" i="5"/>
  <c r="N328" i="5"/>
  <c r="O328" i="5" s="1"/>
  <c r="R328" i="5"/>
  <c r="AY328" i="5" s="1"/>
  <c r="R492" i="5"/>
  <c r="AY492" i="5" s="1"/>
  <c r="N492" i="5"/>
  <c r="Q268" i="5"/>
  <c r="S268" i="5" s="1"/>
  <c r="R524" i="5"/>
  <c r="AY524" i="5" s="1"/>
  <c r="N329" i="5"/>
  <c r="Q329" i="5" s="1"/>
  <c r="R329" i="5"/>
  <c r="AY329" i="5" s="1"/>
  <c r="O334" i="5"/>
  <c r="R318" i="5"/>
  <c r="AY318" i="5" s="1"/>
  <c r="N318" i="5"/>
  <c r="Q318" i="5" s="1"/>
  <c r="N465" i="5"/>
  <c r="Q466" i="5"/>
  <c r="O466" i="5"/>
  <c r="R521" i="5"/>
  <c r="AY521" i="5" s="1"/>
  <c r="N521" i="5"/>
  <c r="O296" i="5"/>
  <c r="P296" i="5" s="1"/>
  <c r="Q296" i="5"/>
  <c r="O392" i="5"/>
  <c r="R342" i="5"/>
  <c r="AY342" i="5" s="1"/>
  <c r="R313" i="5"/>
  <c r="AY313" i="5" s="1"/>
  <c r="R477" i="5"/>
  <c r="AY477" i="5" s="1"/>
  <c r="O322" i="5"/>
  <c r="AL322" i="5" s="1"/>
  <c r="R471" i="5"/>
  <c r="AY471" i="5" s="1"/>
  <c r="R534" i="5"/>
  <c r="AY534" i="5" s="1"/>
  <c r="R484" i="5"/>
  <c r="AY484" i="5" s="1"/>
  <c r="O388" i="5"/>
  <c r="Q498" i="5"/>
  <c r="O497" i="5"/>
  <c r="R326" i="5"/>
  <c r="AY326" i="5" s="1"/>
  <c r="Q367" i="5"/>
  <c r="O366" i="5"/>
  <c r="N418" i="5"/>
  <c r="Q418" i="5" s="1"/>
  <c r="R301" i="5"/>
  <c r="AY301" i="5" s="1"/>
  <c r="O309" i="5"/>
  <c r="N342" i="5"/>
  <c r="N529" i="5"/>
  <c r="Q529" i="5" s="1"/>
  <c r="Q458" i="5"/>
  <c r="N441" i="5"/>
  <c r="O441" i="5" s="1"/>
  <c r="N423" i="5"/>
  <c r="R367" i="5"/>
  <c r="AY367" i="5" s="1"/>
  <c r="Q385" i="5"/>
  <c r="Q366" i="5"/>
  <c r="N384" i="5"/>
  <c r="O384" i="5" s="1"/>
  <c r="N288" i="5"/>
  <c r="R354" i="5"/>
  <c r="AY354" i="5" s="1"/>
  <c r="O377" i="5"/>
  <c r="R529" i="5"/>
  <c r="AY529" i="5" s="1"/>
  <c r="R441" i="5"/>
  <c r="AY441" i="5" s="1"/>
  <c r="N473" i="5"/>
  <c r="Q473" i="5" s="1"/>
  <c r="R520" i="5"/>
  <c r="AY520" i="5" s="1"/>
  <c r="N413" i="5"/>
  <c r="O413" i="5" s="1"/>
  <c r="N479" i="5"/>
  <c r="O479" i="5" s="1"/>
  <c r="O411" i="5"/>
  <c r="W420" i="5"/>
  <c r="Y420" i="5" s="1"/>
  <c r="R385" i="5"/>
  <c r="AY385" i="5" s="1"/>
  <c r="R366" i="5"/>
  <c r="AY366" i="5" s="1"/>
  <c r="R384" i="5"/>
  <c r="AY384" i="5" s="1"/>
  <c r="R365" i="5"/>
  <c r="AY365" i="5" s="1"/>
  <c r="O348" i="5"/>
  <c r="R452" i="5"/>
  <c r="AY452" i="5" s="1"/>
  <c r="R312" i="5"/>
  <c r="AY312" i="5" s="1"/>
  <c r="N308" i="5"/>
  <c r="Q308" i="5" s="1"/>
  <c r="N359" i="5"/>
  <c r="O359" i="5" s="1"/>
  <c r="N316" i="5"/>
  <c r="N302" i="5"/>
  <c r="Q302" i="5" s="1"/>
  <c r="Q538" i="5"/>
  <c r="N315" i="5"/>
  <c r="N471" i="5"/>
  <c r="Q471" i="5" s="1"/>
  <c r="R411" i="5"/>
  <c r="AY411" i="5" s="1"/>
  <c r="R421" i="5"/>
  <c r="AY421" i="5" s="1"/>
  <c r="N515" i="5"/>
  <c r="O515" i="5" s="1"/>
  <c r="N389" i="5"/>
  <c r="N463" i="5"/>
  <c r="O508" i="5"/>
  <c r="N386" i="5"/>
  <c r="Q386" i="5" s="1"/>
  <c r="O256" i="5"/>
  <c r="Q252" i="5"/>
  <c r="S252" i="5" s="1"/>
  <c r="O252" i="5"/>
  <c r="O243" i="5"/>
  <c r="O260" i="5"/>
  <c r="O240" i="5"/>
  <c r="O306" i="5"/>
  <c r="N219" i="5"/>
  <c r="Q219" i="5" s="1"/>
  <c r="S219" i="5" s="1"/>
  <c r="O265" i="5"/>
  <c r="Q271" i="5"/>
  <c r="S271" i="5" s="1"/>
  <c r="R233" i="5"/>
  <c r="R321" i="5"/>
  <c r="AY321" i="5" s="1"/>
  <c r="O244" i="5"/>
  <c r="O272" i="5"/>
  <c r="Q276" i="5"/>
  <c r="S276" i="5" s="1"/>
  <c r="O255" i="5"/>
  <c r="O238" i="5"/>
  <c r="O215" i="5"/>
  <c r="O258" i="5"/>
  <c r="O268" i="5"/>
  <c r="O225" i="5"/>
  <c r="N55" i="5"/>
  <c r="N67" i="5"/>
  <c r="N79" i="5"/>
  <c r="N3" i="5"/>
  <c r="N42" i="5"/>
  <c r="R44" i="5"/>
  <c r="CE44" i="5" s="1"/>
  <c r="N46" i="5"/>
  <c r="R48" i="5"/>
  <c r="CE48" i="5" s="1"/>
  <c r="N50" i="5"/>
  <c r="R52" i="5"/>
  <c r="N54" i="5"/>
  <c r="R56" i="5"/>
  <c r="CE56" i="5" s="1"/>
  <c r="N58" i="5"/>
  <c r="R60" i="5"/>
  <c r="CE60" i="5" s="1"/>
  <c r="N62" i="5"/>
  <c r="R64" i="5"/>
  <c r="CE64" i="5" s="1"/>
  <c r="N66" i="5"/>
  <c r="R68" i="5"/>
  <c r="N70" i="5"/>
  <c r="R72" i="5"/>
  <c r="CE72" i="5" s="1"/>
  <c r="N74" i="5"/>
  <c r="R76" i="5"/>
  <c r="N78" i="5"/>
  <c r="R80" i="5"/>
  <c r="CE80" i="5" s="1"/>
  <c r="N82" i="5"/>
  <c r="Q236" i="5"/>
  <c r="S236" i="5" s="1"/>
  <c r="O236" i="5"/>
  <c r="R7" i="5"/>
  <c r="CE7" i="5" s="1"/>
  <c r="R5" i="5"/>
  <c r="R6" i="5"/>
  <c r="CE6" i="5" s="1"/>
  <c r="O119" i="5"/>
  <c r="W129" i="5"/>
  <c r="R129" i="5"/>
  <c r="CE129" i="5" s="1"/>
  <c r="N59" i="5"/>
  <c r="N63" i="5"/>
  <c r="N71" i="5"/>
  <c r="R113" i="5"/>
  <c r="R47" i="5"/>
  <c r="CE47" i="5" s="1"/>
  <c r="N49" i="5"/>
  <c r="R51" i="5"/>
  <c r="N57" i="5"/>
  <c r="R59" i="5"/>
  <c r="CE59" i="5" s="1"/>
  <c r="N61" i="5"/>
  <c r="R63" i="5"/>
  <c r="CE63" i="5" s="1"/>
  <c r="N65" i="5"/>
  <c r="R67" i="5"/>
  <c r="N69" i="5"/>
  <c r="R71" i="5"/>
  <c r="CE71" i="5" s="1"/>
  <c r="N73" i="5"/>
  <c r="R75" i="5"/>
  <c r="CE75" i="5" s="1"/>
  <c r="N77" i="5"/>
  <c r="R79" i="5"/>
  <c r="N81" i="5"/>
  <c r="R83" i="5"/>
  <c r="CE83" i="5" s="1"/>
  <c r="R116" i="5"/>
  <c r="CE116" i="5" s="1"/>
  <c r="R121" i="5"/>
  <c r="N121" i="5"/>
  <c r="R125" i="5"/>
  <c r="CE125" i="5" s="1"/>
  <c r="N125" i="5"/>
  <c r="N129" i="5"/>
  <c r="R173" i="5"/>
  <c r="CE173" i="5" s="1"/>
  <c r="R204" i="5"/>
  <c r="N204" i="5"/>
  <c r="O234" i="5"/>
  <c r="AL234" i="5" s="1"/>
  <c r="Q234" i="5"/>
  <c r="S234" i="5" s="1"/>
  <c r="W41" i="5"/>
  <c r="N41" i="5"/>
  <c r="R43" i="5"/>
  <c r="CE43" i="5" s="1"/>
  <c r="N45" i="5"/>
  <c r="N53" i="5"/>
  <c r="R55" i="5"/>
  <c r="R3" i="5"/>
  <c r="R172" i="5"/>
  <c r="CE172" i="5" s="1"/>
  <c r="N172" i="5"/>
  <c r="N173" i="5"/>
  <c r="N75" i="5"/>
  <c r="N113" i="5"/>
  <c r="N44" i="5"/>
  <c r="N52" i="5"/>
  <c r="N56" i="5"/>
  <c r="N60" i="5"/>
  <c r="N64" i="5"/>
  <c r="N68" i="5"/>
  <c r="N72" i="5"/>
  <c r="N76" i="5"/>
  <c r="N80" i="5"/>
  <c r="N111" i="5"/>
  <c r="W111" i="5"/>
  <c r="R111" i="5"/>
  <c r="X120" i="5"/>
  <c r="W120" i="5"/>
  <c r="N145" i="5"/>
  <c r="R145" i="5"/>
  <c r="N153" i="5"/>
  <c r="R153" i="5"/>
  <c r="N161" i="5"/>
  <c r="R161" i="5"/>
  <c r="CE161" i="5" s="1"/>
  <c r="R196" i="5"/>
  <c r="CE196" i="5" s="1"/>
  <c r="N196" i="5"/>
  <c r="N43" i="5"/>
  <c r="N47" i="5"/>
  <c r="N51" i="5"/>
  <c r="N48" i="5"/>
  <c r="N5" i="5"/>
  <c r="N6" i="5"/>
  <c r="R112" i="5"/>
  <c r="CE112" i="5" s="1"/>
  <c r="N112" i="5"/>
  <c r="R140" i="5"/>
  <c r="CE140" i="5" s="1"/>
  <c r="N140" i="5"/>
  <c r="R148" i="5"/>
  <c r="CE148" i="5" s="1"/>
  <c r="R156" i="5"/>
  <c r="R164" i="5"/>
  <c r="O270" i="5"/>
  <c r="Q270" i="5"/>
  <c r="S270" i="5" s="1"/>
  <c r="N118" i="5"/>
  <c r="Q269" i="5"/>
  <c r="S269" i="5" s="1"/>
  <c r="O269" i="5"/>
  <c r="N149" i="5"/>
  <c r="R149" i="5"/>
  <c r="CE149" i="5" s="1"/>
  <c r="N157" i="5"/>
  <c r="R157" i="5"/>
  <c r="CE157" i="5" s="1"/>
  <c r="N165" i="5"/>
  <c r="R165" i="5"/>
  <c r="R118" i="5"/>
  <c r="CE118" i="5" s="1"/>
  <c r="N130" i="5"/>
  <c r="R180" i="5"/>
  <c r="CE180" i="5" s="1"/>
  <c r="N180" i="5"/>
  <c r="R181" i="5"/>
  <c r="R212" i="5"/>
  <c r="CE212" i="5" s="1"/>
  <c r="N212" i="5"/>
  <c r="Q244" i="5"/>
  <c r="S244" i="5" s="1"/>
  <c r="N123" i="5"/>
  <c r="N127" i="5"/>
  <c r="R144" i="5"/>
  <c r="CE144" i="5" s="1"/>
  <c r="R152" i="5"/>
  <c r="R160" i="5"/>
  <c r="CE160" i="5" s="1"/>
  <c r="R168" i="5"/>
  <c r="N181" i="5"/>
  <c r="Q227" i="5"/>
  <c r="S227" i="5" s="1"/>
  <c r="O227" i="5"/>
  <c r="Q231" i="5"/>
  <c r="S231" i="5" s="1"/>
  <c r="O231" i="5"/>
  <c r="Q253" i="5"/>
  <c r="S253" i="5" s="1"/>
  <c r="O253" i="5"/>
  <c r="R218" i="5"/>
  <c r="CE218" i="5" s="1"/>
  <c r="N218" i="5"/>
  <c r="R188" i="5"/>
  <c r="N188" i="5"/>
  <c r="R189" i="5"/>
  <c r="CE189" i="5" s="1"/>
  <c r="Q250" i="5"/>
  <c r="S250" i="5" s="1"/>
  <c r="O250" i="5"/>
  <c r="Q267" i="5"/>
  <c r="S267" i="5" s="1"/>
  <c r="O267" i="5"/>
  <c r="R169" i="5"/>
  <c r="R175" i="5"/>
  <c r="Q239" i="5"/>
  <c r="S239" i="5" s="1"/>
  <c r="O239" i="5"/>
  <c r="R251" i="5"/>
  <c r="CE251" i="5" s="1"/>
  <c r="R254" i="5"/>
  <c r="CE254" i="5" s="1"/>
  <c r="Q257" i="5"/>
  <c r="S257" i="5" s="1"/>
  <c r="O257" i="5"/>
  <c r="Q223" i="5"/>
  <c r="S223" i="5" s="1"/>
  <c r="O223" i="5"/>
  <c r="Q432" i="5"/>
  <c r="O432" i="5"/>
  <c r="R431" i="5"/>
  <c r="AY431" i="5" s="1"/>
  <c r="N431" i="5"/>
  <c r="R133" i="5"/>
  <c r="CE133" i="5" s="1"/>
  <c r="R137" i="5"/>
  <c r="R141" i="5"/>
  <c r="N143" i="5"/>
  <c r="N147" i="5"/>
  <c r="W170" i="5"/>
  <c r="R174" i="5"/>
  <c r="CE174" i="5" s="1"/>
  <c r="R182" i="5"/>
  <c r="CE182" i="5" s="1"/>
  <c r="R190" i="5"/>
  <c r="CE190" i="5" s="1"/>
  <c r="R198" i="5"/>
  <c r="R206" i="5"/>
  <c r="CE206" i="5" s="1"/>
  <c r="N211" i="5"/>
  <c r="R236" i="5"/>
  <c r="CE236" i="5" s="1"/>
  <c r="R239" i="5"/>
  <c r="CE239" i="5" s="1"/>
  <c r="N247" i="5"/>
  <c r="N251" i="5"/>
  <c r="N254" i="5"/>
  <c r="R217" i="5"/>
  <c r="Q380" i="5"/>
  <c r="N131" i="5"/>
  <c r="W142" i="5"/>
  <c r="R197" i="5"/>
  <c r="R205" i="5"/>
  <c r="CE205" i="5" s="1"/>
  <c r="R213" i="5"/>
  <c r="O232" i="5"/>
  <c r="R241" i="5"/>
  <c r="R214" i="5"/>
  <c r="R216" i="5"/>
  <c r="Q217" i="5"/>
  <c r="S217" i="5" s="1"/>
  <c r="O217" i="5"/>
  <c r="R249" i="5"/>
  <c r="CE249" i="5" s="1"/>
  <c r="N100" i="5"/>
  <c r="N101" i="5"/>
  <c r="N102" i="5"/>
  <c r="N103" i="5"/>
  <c r="N104" i="5"/>
  <c r="N105" i="5"/>
  <c r="N106" i="5"/>
  <c r="N107" i="5"/>
  <c r="N108" i="5"/>
  <c r="N109" i="5"/>
  <c r="Q235" i="5"/>
  <c r="S235" i="5" s="1"/>
  <c r="N237" i="5"/>
  <c r="N241" i="5"/>
  <c r="Q245" i="5"/>
  <c r="S245" i="5" s="1"/>
  <c r="O245" i="5"/>
  <c r="N214" i="5"/>
  <c r="N216" i="5"/>
  <c r="N249" i="5"/>
  <c r="Q232" i="5"/>
  <c r="S232" i="5" s="1"/>
  <c r="O235" i="5"/>
  <c r="R245" i="5"/>
  <c r="R247" i="5"/>
  <c r="Q226" i="5"/>
  <c r="S226" i="5" s="1"/>
  <c r="R246" i="5"/>
  <c r="Q229" i="5"/>
  <c r="S229" i="5" s="1"/>
  <c r="O229" i="5"/>
  <c r="Q228" i="5"/>
  <c r="S228" i="5" s="1"/>
  <c r="O228" i="5"/>
  <c r="R331" i="5"/>
  <c r="AY331" i="5" s="1"/>
  <c r="N331" i="5"/>
  <c r="R258" i="5"/>
  <c r="CE258" i="5" s="1"/>
  <c r="R264" i="5"/>
  <c r="Q266" i="5"/>
  <c r="S266" i="5" s="1"/>
  <c r="O266" i="5"/>
  <c r="N262" i="5"/>
  <c r="R252" i="5"/>
  <c r="CE252" i="5" s="1"/>
  <c r="O259" i="5"/>
  <c r="AL259" i="5" s="1"/>
  <c r="N264" i="5"/>
  <c r="N220" i="5"/>
  <c r="R220" i="5"/>
  <c r="CE220" i="5" s="1"/>
  <c r="Q224" i="5"/>
  <c r="S224" i="5" s="1"/>
  <c r="Q230" i="5"/>
  <c r="S230" i="5" s="1"/>
  <c r="O489" i="5"/>
  <c r="Q489" i="5"/>
  <c r="N273" i="5"/>
  <c r="R273" i="5"/>
  <c r="Q275" i="5"/>
  <c r="S275" i="5" s="1"/>
  <c r="O275" i="5"/>
  <c r="N300" i="5"/>
  <c r="R300" i="5"/>
  <c r="AY300" i="5" s="1"/>
  <c r="Q457" i="5"/>
  <c r="O457" i="5"/>
  <c r="Q221" i="5"/>
  <c r="S221" i="5" s="1"/>
  <c r="O221" i="5"/>
  <c r="N305" i="5"/>
  <c r="R305" i="5"/>
  <c r="AY305" i="5" s="1"/>
  <c r="R304" i="5"/>
  <c r="AY304" i="5" s="1"/>
  <c r="N304" i="5"/>
  <c r="O346" i="5"/>
  <c r="Q346" i="5"/>
  <c r="R222" i="5"/>
  <c r="CE222" i="5" s="1"/>
  <c r="N222" i="5"/>
  <c r="O230" i="5"/>
  <c r="Q491" i="5"/>
  <c r="Q233" i="5"/>
  <c r="S233" i="5" s="1"/>
  <c r="O233" i="5"/>
  <c r="Q321" i="5"/>
  <c r="O321" i="5"/>
  <c r="N426" i="5"/>
  <c r="R426" i="5"/>
  <c r="AY426" i="5" s="1"/>
  <c r="O261" i="5"/>
  <c r="N263" i="5"/>
  <c r="O274" i="5"/>
  <c r="Q277" i="5"/>
  <c r="S277" i="5" s="1"/>
  <c r="O224" i="5"/>
  <c r="Q295" i="5"/>
  <c r="O242" i="5"/>
  <c r="R282" i="5"/>
  <c r="AY282" i="5" s="1"/>
  <c r="N282" i="5"/>
  <c r="N525" i="5"/>
  <c r="R525" i="5"/>
  <c r="AY525" i="5" s="1"/>
  <c r="O295" i="5"/>
  <c r="Q261" i="5"/>
  <c r="S261" i="5" s="1"/>
  <c r="R295" i="5"/>
  <c r="AY295" i="5" s="1"/>
  <c r="Q242" i="5"/>
  <c r="S242" i="5" s="1"/>
  <c r="Q294" i="5"/>
  <c r="O294" i="5"/>
  <c r="N428" i="5"/>
  <c r="Q286" i="5"/>
  <c r="O286" i="5"/>
  <c r="R489" i="5"/>
  <c r="AY489" i="5" s="1"/>
  <c r="R242" i="5"/>
  <c r="CE242" i="5" s="1"/>
  <c r="R320" i="5"/>
  <c r="AY320" i="5" s="1"/>
  <c r="R373" i="5"/>
  <c r="AY373" i="5" s="1"/>
  <c r="N373" i="5"/>
  <c r="O436" i="5"/>
  <c r="Q542" i="5"/>
  <c r="Q408" i="5"/>
  <c r="R541" i="5"/>
  <c r="AY541" i="5" s="1"/>
  <c r="N541" i="5"/>
  <c r="R394" i="5"/>
  <c r="AY394" i="5" s="1"/>
  <c r="N394" i="5"/>
  <c r="R224" i="5"/>
  <c r="R230" i="5"/>
  <c r="R469" i="5"/>
  <c r="AY469" i="5" s="1"/>
  <c r="R398" i="5"/>
  <c r="AY398" i="5" s="1"/>
  <c r="Q436" i="5"/>
  <c r="N397" i="5"/>
  <c r="Q299" i="5"/>
  <c r="Q379" i="5"/>
  <c r="R486" i="5"/>
  <c r="AY486" i="5" s="1"/>
  <c r="N486" i="5"/>
  <c r="R382" i="5"/>
  <c r="AY382" i="5" s="1"/>
  <c r="N382" i="5"/>
  <c r="Q468" i="5"/>
  <c r="Q341" i="5"/>
  <c r="R405" i="5"/>
  <c r="AY405" i="5" s="1"/>
  <c r="N405" i="5"/>
  <c r="N352" i="5"/>
  <c r="N445" i="5"/>
  <c r="R339" i="5"/>
  <c r="AY339" i="5" s="1"/>
  <c r="N339" i="5"/>
  <c r="Q292" i="5"/>
  <c r="O292" i="5"/>
  <c r="R393" i="5"/>
  <c r="AY393" i="5" s="1"/>
  <c r="N393" i="5"/>
  <c r="R415" i="5"/>
  <c r="AY415" i="5" s="1"/>
  <c r="N415" i="5"/>
  <c r="R395" i="5"/>
  <c r="AY395" i="5" s="1"/>
  <c r="N395" i="5"/>
  <c r="R343" i="5"/>
  <c r="AY343" i="5" s="1"/>
  <c r="N343" i="5"/>
  <c r="Q392" i="5"/>
  <c r="R443" i="5"/>
  <c r="AY443" i="5" s="1"/>
  <c r="N427" i="5"/>
  <c r="Q456" i="5"/>
  <c r="R409" i="5"/>
  <c r="AY409" i="5" s="1"/>
  <c r="N409" i="5"/>
  <c r="R454" i="5"/>
  <c r="AY454" i="5" s="1"/>
  <c r="N454" i="5"/>
  <c r="N443" i="5"/>
  <c r="Q301" i="5"/>
  <c r="O301" i="5"/>
  <c r="R336" i="5"/>
  <c r="AY336" i="5" s="1"/>
  <c r="N336" i="5"/>
  <c r="R376" i="5"/>
  <c r="AY376" i="5" s="1"/>
  <c r="N376" i="5"/>
  <c r="O287" i="5"/>
  <c r="Q287" i="5"/>
  <c r="Q337" i="5"/>
  <c r="O337" i="5"/>
  <c r="R311" i="5"/>
  <c r="AY311" i="5" s="1"/>
  <c r="N311" i="5"/>
  <c r="N448" i="5"/>
  <c r="R448" i="5"/>
  <c r="AY448" i="5" s="1"/>
  <c r="O402" i="5"/>
  <c r="Q402" i="5"/>
  <c r="N470" i="5"/>
  <c r="R470" i="5"/>
  <c r="AY470" i="5" s="1"/>
  <c r="Q499" i="5"/>
  <c r="O499" i="5"/>
  <c r="O542" i="5"/>
  <c r="O468" i="5"/>
  <c r="N476" i="5"/>
  <c r="Q312" i="5"/>
  <c r="O312" i="5"/>
  <c r="R442" i="5"/>
  <c r="AY442" i="5" s="1"/>
  <c r="N442" i="5"/>
  <c r="R510" i="5"/>
  <c r="AY510" i="5" s="1"/>
  <c r="R509" i="5"/>
  <c r="AY509" i="5" s="1"/>
  <c r="N540" i="5"/>
  <c r="O313" i="5"/>
  <c r="Q313" i="5"/>
  <c r="R531" i="5"/>
  <c r="AY531" i="5" s="1"/>
  <c r="N531" i="5"/>
  <c r="Q317" i="5"/>
  <c r="R362" i="5"/>
  <c r="AY362" i="5" s="1"/>
  <c r="N362" i="5"/>
  <c r="R279" i="5"/>
  <c r="AY279" i="5" s="1"/>
  <c r="N279" i="5"/>
  <c r="R499" i="5"/>
  <c r="AY499" i="5" s="1"/>
  <c r="R387" i="5"/>
  <c r="AY387" i="5" s="1"/>
  <c r="N387" i="5"/>
  <c r="W301" i="5"/>
  <c r="Y301" i="5" s="1"/>
  <c r="Q355" i="5"/>
  <c r="R478" i="5"/>
  <c r="AY478" i="5" s="1"/>
  <c r="N478" i="5"/>
  <c r="R370" i="5"/>
  <c r="AY370" i="5" s="1"/>
  <c r="N370" i="5"/>
  <c r="Q450" i="5"/>
  <c r="O450" i="5"/>
  <c r="N319" i="5"/>
  <c r="R355" i="5"/>
  <c r="AY355" i="5" s="1"/>
  <c r="Q459" i="5"/>
  <c r="R323" i="5"/>
  <c r="AY323" i="5" s="1"/>
  <c r="N323" i="5"/>
  <c r="N371" i="5"/>
  <c r="R519" i="5"/>
  <c r="AY519" i="5" s="1"/>
  <c r="N519" i="5"/>
  <c r="O317" i="5"/>
  <c r="N327" i="5"/>
  <c r="O459" i="5"/>
  <c r="N528" i="5"/>
  <c r="Q280" i="5"/>
  <c r="Q303" i="5"/>
  <c r="O303" i="5"/>
  <c r="R483" i="5"/>
  <c r="AY483" i="5" s="1"/>
  <c r="N514" i="5"/>
  <c r="R514" i="5"/>
  <c r="AY514" i="5" s="1"/>
  <c r="W452" i="5"/>
  <c r="Y452" i="5" s="1"/>
  <c r="W451" i="5"/>
  <c r="Y451" i="5" s="1"/>
  <c r="N532" i="5"/>
  <c r="R459" i="5"/>
  <c r="AY459" i="5" s="1"/>
  <c r="R280" i="5"/>
  <c r="AY280" i="5" s="1"/>
  <c r="N483" i="5"/>
  <c r="R535" i="5"/>
  <c r="AY535" i="5" s="1"/>
  <c r="N535" i="5"/>
  <c r="Q506" i="5"/>
  <c r="N422" i="5"/>
  <c r="R422" i="5"/>
  <c r="AY422" i="5" s="1"/>
  <c r="W422" i="5"/>
  <c r="Y422" i="5" s="1"/>
  <c r="R317" i="5"/>
  <c r="AY317" i="5" s="1"/>
  <c r="R350" i="5"/>
  <c r="AY350" i="5" s="1"/>
  <c r="O281" i="5"/>
  <c r="R482" i="5"/>
  <c r="AY482" i="5" s="1"/>
  <c r="O360" i="5"/>
  <c r="N495" i="5"/>
  <c r="R495" i="5"/>
  <c r="AY495" i="5" s="1"/>
  <c r="N505" i="5"/>
  <c r="N539" i="5"/>
  <c r="N440" i="5"/>
  <c r="N364" i="5"/>
  <c r="Q360" i="5"/>
  <c r="R419" i="5"/>
  <c r="AY419" i="5" s="1"/>
  <c r="N481" i="5"/>
  <c r="N361" i="5"/>
  <c r="R361" i="5"/>
  <c r="AY361" i="5" s="1"/>
  <c r="N314" i="5"/>
  <c r="N419" i="5"/>
  <c r="R449" i="5"/>
  <c r="AY449" i="5" s="1"/>
  <c r="O472" i="5"/>
  <c r="O375" i="5"/>
  <c r="O498" i="5"/>
  <c r="Q375" i="5"/>
  <c r="N369" i="5"/>
  <c r="R369" i="5"/>
  <c r="AY369" i="5" s="1"/>
  <c r="O367" i="5"/>
  <c r="P367" i="5" s="1"/>
  <c r="N464" i="5"/>
  <c r="Q484" i="5"/>
  <c r="N485" i="5"/>
  <c r="R368" i="5"/>
  <c r="AY368" i="5" s="1"/>
  <c r="R383" i="5"/>
  <c r="AY383" i="5" s="1"/>
  <c r="W421" i="5"/>
  <c r="Y421" i="5" s="1"/>
  <c r="Q148" i="5" l="1"/>
  <c r="S148" i="5" s="1"/>
  <c r="Z3" i="5"/>
  <c r="H96" i="9" s="1"/>
  <c r="Q400" i="5"/>
  <c r="Q351" i="5"/>
  <c r="O429" i="5"/>
  <c r="P429" i="5" s="1"/>
  <c r="Q320" i="5"/>
  <c r="Q354" i="5"/>
  <c r="O512" i="5"/>
  <c r="Q30" i="5"/>
  <c r="S30" i="5" s="1"/>
  <c r="O509" i="5"/>
  <c r="O396" i="5"/>
  <c r="O482" i="5"/>
  <c r="O163" i="5"/>
  <c r="Q365" i="5"/>
  <c r="O284" i="5"/>
  <c r="Q372" i="5"/>
  <c r="O391" i="5"/>
  <c r="Q401" i="5"/>
  <c r="Q520" i="5"/>
  <c r="O534" i="5"/>
  <c r="O517" i="5"/>
  <c r="Q368" i="5"/>
  <c r="Q356" i="5"/>
  <c r="O398" i="5"/>
  <c r="Q357" i="5"/>
  <c r="Q332" i="5"/>
  <c r="Q460" i="5"/>
  <c r="O350" i="5"/>
  <c r="Q344" i="5"/>
  <c r="O414" i="5"/>
  <c r="Q421" i="5"/>
  <c r="Q435" i="5"/>
  <c r="Q462" i="5"/>
  <c r="Q289" i="5"/>
  <c r="Q526" i="5"/>
  <c r="Q307" i="5"/>
  <c r="Q333" i="5"/>
  <c r="O477" i="5"/>
  <c r="Q340" i="5"/>
  <c r="Q449" i="5"/>
  <c r="Q353" i="5"/>
  <c r="O291" i="5"/>
  <c r="O536" i="5"/>
  <c r="Q144" i="5"/>
  <c r="S144" i="5" s="1"/>
  <c r="O166" i="5"/>
  <c r="O25" i="5"/>
  <c r="CM247" i="5"/>
  <c r="CK247" i="5"/>
  <c r="CI247" i="5"/>
  <c r="CG247" i="5"/>
  <c r="CC247" i="5"/>
  <c r="CM164" i="5"/>
  <c r="CK164" i="5"/>
  <c r="CI164" i="5"/>
  <c r="CG164" i="5"/>
  <c r="CC164" i="5"/>
  <c r="CM92" i="5"/>
  <c r="CK92" i="5"/>
  <c r="CI92" i="5"/>
  <c r="CG92" i="5"/>
  <c r="CC92" i="5"/>
  <c r="CM128" i="5"/>
  <c r="CK128" i="5"/>
  <c r="CI128" i="5"/>
  <c r="CG128" i="5"/>
  <c r="CC128" i="5"/>
  <c r="BX41" i="5"/>
  <c r="BX381" i="5"/>
  <c r="CM200" i="5"/>
  <c r="CK200" i="5"/>
  <c r="CI200" i="5"/>
  <c r="CG200" i="5"/>
  <c r="CC200" i="5"/>
  <c r="CM82" i="5"/>
  <c r="CK82" i="5"/>
  <c r="CI82" i="5"/>
  <c r="CG82" i="5"/>
  <c r="CC82" i="5"/>
  <c r="CM50" i="5"/>
  <c r="CK50" i="5"/>
  <c r="CI50" i="5"/>
  <c r="CG50" i="5"/>
  <c r="CC50" i="5"/>
  <c r="CM14" i="5"/>
  <c r="CK14" i="5"/>
  <c r="CI14" i="5"/>
  <c r="CG14" i="5"/>
  <c r="CC14" i="5"/>
  <c r="CM104" i="5"/>
  <c r="CK104" i="5"/>
  <c r="CI104" i="5"/>
  <c r="CG104" i="5"/>
  <c r="CC104" i="5"/>
  <c r="CM96" i="5"/>
  <c r="CK96" i="5"/>
  <c r="CI96" i="5"/>
  <c r="CG96" i="5"/>
  <c r="CC96" i="5"/>
  <c r="CM16" i="5"/>
  <c r="CK16" i="5"/>
  <c r="CG16" i="5"/>
  <c r="CI16" i="5"/>
  <c r="CC16" i="5"/>
  <c r="CM183" i="5"/>
  <c r="CK183" i="5"/>
  <c r="CI183" i="5"/>
  <c r="CG183" i="5"/>
  <c r="CC183" i="5"/>
  <c r="CM143" i="5"/>
  <c r="CK143" i="5"/>
  <c r="CI143" i="5"/>
  <c r="CG143" i="5"/>
  <c r="CC143" i="5"/>
  <c r="CM93" i="5"/>
  <c r="CK93" i="5"/>
  <c r="CI93" i="5"/>
  <c r="CG93" i="5"/>
  <c r="CC93" i="5"/>
  <c r="CE143" i="5"/>
  <c r="CE93" i="5"/>
  <c r="CM273" i="5"/>
  <c r="CI273" i="5"/>
  <c r="CK273" i="5"/>
  <c r="CG273" i="5"/>
  <c r="CC273" i="5"/>
  <c r="BY142" i="5"/>
  <c r="CM180" i="5"/>
  <c r="CK180" i="5"/>
  <c r="CI180" i="5"/>
  <c r="CG180" i="5"/>
  <c r="CC180" i="5"/>
  <c r="BX265" i="5"/>
  <c r="CM57" i="5"/>
  <c r="CI57" i="5"/>
  <c r="CK57" i="5"/>
  <c r="CG57" i="5"/>
  <c r="CC57" i="5"/>
  <c r="CM245" i="5"/>
  <c r="CK245" i="5"/>
  <c r="CI245" i="5"/>
  <c r="CG245" i="5"/>
  <c r="CC245" i="5"/>
  <c r="CM216" i="5"/>
  <c r="CK216" i="5"/>
  <c r="CI216" i="5"/>
  <c r="CG216" i="5"/>
  <c r="CC216" i="5"/>
  <c r="CM175" i="5"/>
  <c r="CK175" i="5"/>
  <c r="CI175" i="5"/>
  <c r="CG175" i="5"/>
  <c r="CC175" i="5"/>
  <c r="CM188" i="5"/>
  <c r="CK188" i="5"/>
  <c r="CI188" i="5"/>
  <c r="CG188" i="5"/>
  <c r="CC188" i="5"/>
  <c r="BY111" i="5"/>
  <c r="CM3" i="5"/>
  <c r="CK3" i="5"/>
  <c r="CI3" i="5"/>
  <c r="CG3" i="5"/>
  <c r="CC3" i="5"/>
  <c r="CM121" i="5"/>
  <c r="CI121" i="5"/>
  <c r="CK121" i="5"/>
  <c r="CG121" i="5"/>
  <c r="CC121" i="5"/>
  <c r="CM71" i="5"/>
  <c r="CK71" i="5"/>
  <c r="CI71" i="5"/>
  <c r="CG71" i="5"/>
  <c r="CC71" i="5"/>
  <c r="CM51" i="5"/>
  <c r="CK51" i="5"/>
  <c r="CI51" i="5"/>
  <c r="CG51" i="5"/>
  <c r="CC51" i="5"/>
  <c r="BY129" i="5"/>
  <c r="CM68" i="5"/>
  <c r="CK68" i="5"/>
  <c r="CI68" i="5"/>
  <c r="CG68" i="5"/>
  <c r="CC68" i="5"/>
  <c r="CM52" i="5"/>
  <c r="CK52" i="5"/>
  <c r="CI52" i="5"/>
  <c r="CG52" i="5"/>
  <c r="CC52" i="5"/>
  <c r="CM233" i="5"/>
  <c r="CI233" i="5"/>
  <c r="CK233" i="5"/>
  <c r="CG233" i="5"/>
  <c r="CC233" i="5"/>
  <c r="CM167" i="5"/>
  <c r="CK167" i="5"/>
  <c r="CI167" i="5"/>
  <c r="CG167" i="5"/>
  <c r="CC167" i="5"/>
  <c r="CM194" i="5"/>
  <c r="CK194" i="5"/>
  <c r="CI194" i="5"/>
  <c r="CG194" i="5"/>
  <c r="CC194" i="5"/>
  <c r="CM105" i="5"/>
  <c r="CI105" i="5"/>
  <c r="CK105" i="5"/>
  <c r="CG105" i="5"/>
  <c r="CC105" i="5"/>
  <c r="CM210" i="5"/>
  <c r="CK210" i="5"/>
  <c r="CI210" i="5"/>
  <c r="CG210" i="5"/>
  <c r="CC210" i="5"/>
  <c r="CM108" i="5"/>
  <c r="CK108" i="5"/>
  <c r="CI108" i="5"/>
  <c r="CG108" i="5"/>
  <c r="CC108" i="5"/>
  <c r="CM21" i="5"/>
  <c r="CK21" i="5"/>
  <c r="CI21" i="5"/>
  <c r="CG21" i="5"/>
  <c r="CC21" i="5"/>
  <c r="CM177" i="5"/>
  <c r="CI177" i="5"/>
  <c r="CK177" i="5"/>
  <c r="CG177" i="5"/>
  <c r="CC177" i="5"/>
  <c r="CM9" i="5"/>
  <c r="CI9" i="5"/>
  <c r="CK9" i="5"/>
  <c r="CG9" i="5"/>
  <c r="CC9" i="5"/>
  <c r="BX421" i="5"/>
  <c r="BX270" i="5"/>
  <c r="CM192" i="5"/>
  <c r="CK192" i="5"/>
  <c r="CI192" i="5"/>
  <c r="CG192" i="5"/>
  <c r="CC192" i="5"/>
  <c r="CM78" i="5"/>
  <c r="CK78" i="5"/>
  <c r="CI78" i="5"/>
  <c r="CG78" i="5"/>
  <c r="CC78" i="5"/>
  <c r="CM46" i="5"/>
  <c r="CK46" i="5"/>
  <c r="CI46" i="5"/>
  <c r="CG46" i="5"/>
  <c r="CC46" i="5"/>
  <c r="CM12" i="5"/>
  <c r="CK12" i="5"/>
  <c r="CI12" i="5"/>
  <c r="CG12" i="5"/>
  <c r="CC12" i="5"/>
  <c r="CM139" i="5"/>
  <c r="CK139" i="5"/>
  <c r="CI139" i="5"/>
  <c r="CG139" i="5"/>
  <c r="CC139" i="5"/>
  <c r="CM89" i="5"/>
  <c r="CI89" i="5"/>
  <c r="CK89" i="5"/>
  <c r="CG89" i="5"/>
  <c r="CC89" i="5"/>
  <c r="CM53" i="5"/>
  <c r="CK53" i="5"/>
  <c r="CI53" i="5"/>
  <c r="CG53" i="5"/>
  <c r="CC53" i="5"/>
  <c r="CM17" i="5"/>
  <c r="CI17" i="5"/>
  <c r="CK17" i="5"/>
  <c r="CG17" i="5"/>
  <c r="CC17" i="5"/>
  <c r="CE16" i="5"/>
  <c r="CE177" i="5"/>
  <c r="CE105" i="5"/>
  <c r="CE82" i="5"/>
  <c r="CM236" i="5"/>
  <c r="CK236" i="5"/>
  <c r="CI236" i="5"/>
  <c r="CG236" i="5"/>
  <c r="CC236" i="5"/>
  <c r="CM230" i="5"/>
  <c r="CK230" i="5"/>
  <c r="CI230" i="5"/>
  <c r="CG230" i="5"/>
  <c r="CC230" i="5"/>
  <c r="CM252" i="5"/>
  <c r="CK252" i="5"/>
  <c r="CI252" i="5"/>
  <c r="CG252" i="5"/>
  <c r="CC252" i="5"/>
  <c r="CM214" i="5"/>
  <c r="CK214" i="5"/>
  <c r="CI214" i="5"/>
  <c r="CG214" i="5"/>
  <c r="CC214" i="5"/>
  <c r="CM206" i="5"/>
  <c r="CK206" i="5"/>
  <c r="CI206" i="5"/>
  <c r="CG206" i="5"/>
  <c r="CC206" i="5"/>
  <c r="CM141" i="5"/>
  <c r="CK141" i="5"/>
  <c r="CI141" i="5"/>
  <c r="CG141" i="5"/>
  <c r="CC141" i="5"/>
  <c r="CM118" i="5"/>
  <c r="CK118" i="5"/>
  <c r="CI118" i="5"/>
  <c r="CG118" i="5"/>
  <c r="CC118" i="5"/>
  <c r="CM156" i="5"/>
  <c r="CK156" i="5"/>
  <c r="CI156" i="5"/>
  <c r="CG156" i="5"/>
  <c r="CC156" i="5"/>
  <c r="CM166" i="5"/>
  <c r="CK166" i="5"/>
  <c r="CI166" i="5"/>
  <c r="CG166" i="5"/>
  <c r="CC166" i="5"/>
  <c r="CM100" i="5"/>
  <c r="CK100" i="5"/>
  <c r="CI100" i="5"/>
  <c r="CG100" i="5"/>
  <c r="CC100" i="5"/>
  <c r="CM162" i="5"/>
  <c r="CK162" i="5"/>
  <c r="CI162" i="5"/>
  <c r="CG162" i="5"/>
  <c r="CC162" i="5"/>
  <c r="BX422" i="5"/>
  <c r="BX170" i="5"/>
  <c r="CM136" i="5"/>
  <c r="CK136" i="5"/>
  <c r="CI136" i="5"/>
  <c r="CG136" i="5"/>
  <c r="CC136" i="5"/>
  <c r="CM74" i="5"/>
  <c r="CK74" i="5"/>
  <c r="CI74" i="5"/>
  <c r="CG74" i="5"/>
  <c r="CC74" i="5"/>
  <c r="CM42" i="5"/>
  <c r="CK42" i="5"/>
  <c r="CI42" i="5"/>
  <c r="CG42" i="5"/>
  <c r="CC42" i="5"/>
  <c r="CM107" i="5"/>
  <c r="CK107" i="5"/>
  <c r="CI107" i="5"/>
  <c r="CG107" i="5"/>
  <c r="CC107" i="5"/>
  <c r="CM23" i="5"/>
  <c r="CK23" i="5"/>
  <c r="CI23" i="5"/>
  <c r="CG23" i="5"/>
  <c r="CC23" i="5"/>
  <c r="CM84" i="5"/>
  <c r="CK84" i="5"/>
  <c r="CI84" i="5"/>
  <c r="CG84" i="5"/>
  <c r="CC84" i="5"/>
  <c r="CM135" i="5"/>
  <c r="CK135" i="5"/>
  <c r="CI135" i="5"/>
  <c r="CG135" i="5"/>
  <c r="CC135" i="5"/>
  <c r="CM81" i="5"/>
  <c r="CI81" i="5"/>
  <c r="CK81" i="5"/>
  <c r="CG81" i="5"/>
  <c r="CC81" i="5"/>
  <c r="CM49" i="5"/>
  <c r="CI49" i="5"/>
  <c r="CK49" i="5"/>
  <c r="CG49" i="5"/>
  <c r="CC49" i="5"/>
  <c r="CM13" i="5"/>
  <c r="CK13" i="5"/>
  <c r="CI13" i="5"/>
  <c r="CG13" i="5"/>
  <c r="CC13" i="5"/>
  <c r="CE230" i="5"/>
  <c r="CE192" i="5"/>
  <c r="CE214" i="5"/>
  <c r="CE108" i="5"/>
  <c r="CE13" i="5"/>
  <c r="CE96" i="5"/>
  <c r="CE9" i="5"/>
  <c r="CE89" i="5"/>
  <c r="CE175" i="5"/>
  <c r="CM111" i="5"/>
  <c r="CK111" i="5"/>
  <c r="CI111" i="5"/>
  <c r="CG111" i="5"/>
  <c r="CC111" i="5"/>
  <c r="CM169" i="5"/>
  <c r="CI169" i="5"/>
  <c r="CK169" i="5"/>
  <c r="CG169" i="5"/>
  <c r="CC169" i="5"/>
  <c r="CM153" i="5"/>
  <c r="CI153" i="5"/>
  <c r="CK153" i="5"/>
  <c r="CG153" i="5"/>
  <c r="CC153" i="5"/>
  <c r="CM55" i="5"/>
  <c r="CK55" i="5"/>
  <c r="CI55" i="5"/>
  <c r="CG55" i="5"/>
  <c r="CC55" i="5"/>
  <c r="CM116" i="5"/>
  <c r="CK116" i="5"/>
  <c r="CI116" i="5"/>
  <c r="CG116" i="5"/>
  <c r="CC116" i="5"/>
  <c r="CM179" i="5"/>
  <c r="CK179" i="5"/>
  <c r="CI179" i="5"/>
  <c r="CG179" i="5"/>
  <c r="CC179" i="5"/>
  <c r="CM19" i="5"/>
  <c r="CK19" i="5"/>
  <c r="CI19" i="5"/>
  <c r="CG19" i="5"/>
  <c r="CC19" i="5"/>
  <c r="CM171" i="5"/>
  <c r="CK171" i="5"/>
  <c r="CI171" i="5"/>
  <c r="CG171" i="5"/>
  <c r="CC171" i="5"/>
  <c r="CM31" i="5"/>
  <c r="CK31" i="5"/>
  <c r="CI31" i="5"/>
  <c r="CG31" i="5"/>
  <c r="CC31" i="5"/>
  <c r="CM199" i="5"/>
  <c r="CK199" i="5"/>
  <c r="CI199" i="5"/>
  <c r="CG199" i="5"/>
  <c r="CC199" i="5"/>
  <c r="CM155" i="5"/>
  <c r="CK155" i="5"/>
  <c r="CI155" i="5"/>
  <c r="CG155" i="5"/>
  <c r="CC155" i="5"/>
  <c r="CM101" i="5"/>
  <c r="CK101" i="5"/>
  <c r="CI101" i="5"/>
  <c r="CG101" i="5"/>
  <c r="CC101" i="5"/>
  <c r="CM8" i="5"/>
  <c r="CK8" i="5"/>
  <c r="CG8" i="5"/>
  <c r="CI8" i="5"/>
  <c r="CC8" i="5"/>
  <c r="CM87" i="5"/>
  <c r="CK87" i="5"/>
  <c r="CI87" i="5"/>
  <c r="CG87" i="5"/>
  <c r="CC87" i="5"/>
  <c r="CM142" i="5"/>
  <c r="CK142" i="5"/>
  <c r="CI142" i="5"/>
  <c r="CG142" i="5"/>
  <c r="CC142" i="5"/>
  <c r="CM224" i="5"/>
  <c r="CK224" i="5"/>
  <c r="CI224" i="5"/>
  <c r="CG224" i="5"/>
  <c r="CC224" i="5"/>
  <c r="CM241" i="5"/>
  <c r="CI241" i="5"/>
  <c r="CK241" i="5"/>
  <c r="CG241" i="5"/>
  <c r="CC241" i="5"/>
  <c r="CM217" i="5"/>
  <c r="CI217" i="5"/>
  <c r="CK217" i="5"/>
  <c r="CG217" i="5"/>
  <c r="CC217" i="5"/>
  <c r="CM198" i="5"/>
  <c r="CK198" i="5"/>
  <c r="CI198" i="5"/>
  <c r="CG198" i="5"/>
  <c r="CC198" i="5"/>
  <c r="CM137" i="5"/>
  <c r="CI137" i="5"/>
  <c r="CK137" i="5"/>
  <c r="CG137" i="5"/>
  <c r="CC137" i="5"/>
  <c r="CM165" i="5"/>
  <c r="CK165" i="5"/>
  <c r="CI165" i="5"/>
  <c r="CG165" i="5"/>
  <c r="CC165" i="5"/>
  <c r="CM148" i="5"/>
  <c r="CK148" i="5"/>
  <c r="CI148" i="5"/>
  <c r="CG148" i="5"/>
  <c r="CC148" i="5"/>
  <c r="CM204" i="5"/>
  <c r="CK204" i="5"/>
  <c r="CI204" i="5"/>
  <c r="CG204" i="5"/>
  <c r="CC204" i="5"/>
  <c r="CM83" i="5"/>
  <c r="CK83" i="5"/>
  <c r="CI83" i="5"/>
  <c r="CG83" i="5"/>
  <c r="CC83" i="5"/>
  <c r="CM67" i="5"/>
  <c r="CK67" i="5"/>
  <c r="CI67" i="5"/>
  <c r="CG67" i="5"/>
  <c r="CC67" i="5"/>
  <c r="CM47" i="5"/>
  <c r="CK47" i="5"/>
  <c r="CI47" i="5"/>
  <c r="CG47" i="5"/>
  <c r="CC47" i="5"/>
  <c r="CM6" i="5"/>
  <c r="CK6" i="5"/>
  <c r="CI6" i="5"/>
  <c r="CG6" i="5"/>
  <c r="CC6" i="5"/>
  <c r="CM80" i="5"/>
  <c r="CK80" i="5"/>
  <c r="CG80" i="5"/>
  <c r="CI80" i="5"/>
  <c r="CC80" i="5"/>
  <c r="CM64" i="5"/>
  <c r="CK64" i="5"/>
  <c r="CG64" i="5"/>
  <c r="CI64" i="5"/>
  <c r="CC64" i="5"/>
  <c r="CM48" i="5"/>
  <c r="CK48" i="5"/>
  <c r="CG48" i="5"/>
  <c r="CI48" i="5"/>
  <c r="CC48" i="5"/>
  <c r="CM22" i="5"/>
  <c r="CK22" i="5"/>
  <c r="CI22" i="5"/>
  <c r="CG22" i="5"/>
  <c r="CC22" i="5"/>
  <c r="CM158" i="5"/>
  <c r="CK158" i="5"/>
  <c r="CI158" i="5"/>
  <c r="CG158" i="5"/>
  <c r="CC158" i="5"/>
  <c r="CM187" i="5"/>
  <c r="CK187" i="5"/>
  <c r="CI187" i="5"/>
  <c r="CG187" i="5"/>
  <c r="CC187" i="5"/>
  <c r="BY132" i="5"/>
  <c r="CM146" i="5"/>
  <c r="CK146" i="5"/>
  <c r="CI146" i="5"/>
  <c r="CG146" i="5"/>
  <c r="CC146" i="5"/>
  <c r="CM35" i="5"/>
  <c r="CK35" i="5"/>
  <c r="CI35" i="5"/>
  <c r="CG35" i="5"/>
  <c r="CC35" i="5"/>
  <c r="CM25" i="5"/>
  <c r="CI25" i="5"/>
  <c r="CK25" i="5"/>
  <c r="CG25" i="5"/>
  <c r="CC25" i="5"/>
  <c r="CM138" i="5"/>
  <c r="CK138" i="5"/>
  <c r="CI138" i="5"/>
  <c r="CG138" i="5"/>
  <c r="CC138" i="5"/>
  <c r="BX132" i="5"/>
  <c r="BX142" i="5"/>
  <c r="CM176" i="5"/>
  <c r="CK176" i="5"/>
  <c r="CI176" i="5"/>
  <c r="CG176" i="5"/>
  <c r="CC176" i="5"/>
  <c r="CM124" i="5"/>
  <c r="CK124" i="5"/>
  <c r="CI124" i="5"/>
  <c r="CG124" i="5"/>
  <c r="CC124" i="5"/>
  <c r="CM70" i="5"/>
  <c r="CK70" i="5"/>
  <c r="CI70" i="5"/>
  <c r="CG70" i="5"/>
  <c r="CC70" i="5"/>
  <c r="CM38" i="5"/>
  <c r="CK38" i="5"/>
  <c r="CI38" i="5"/>
  <c r="CG38" i="5"/>
  <c r="CC38" i="5"/>
  <c r="CM132" i="5"/>
  <c r="CK132" i="5"/>
  <c r="CI132" i="5"/>
  <c r="CG132" i="5"/>
  <c r="CC132" i="5"/>
  <c r="CM15" i="5"/>
  <c r="CK15" i="5"/>
  <c r="CI15" i="5"/>
  <c r="CG15" i="5"/>
  <c r="CC15" i="5"/>
  <c r="CM202" i="5"/>
  <c r="CK202" i="5"/>
  <c r="CI202" i="5"/>
  <c r="CG202" i="5"/>
  <c r="CC202" i="5"/>
  <c r="CM40" i="5"/>
  <c r="CK40" i="5"/>
  <c r="CI40" i="5"/>
  <c r="CG40" i="5"/>
  <c r="CC40" i="5"/>
  <c r="CM109" i="5"/>
  <c r="CK109" i="5"/>
  <c r="CI109" i="5"/>
  <c r="CG109" i="5"/>
  <c r="CC109" i="5"/>
  <c r="CM131" i="5"/>
  <c r="CK131" i="5"/>
  <c r="CI131" i="5"/>
  <c r="CG131" i="5"/>
  <c r="CC131" i="5"/>
  <c r="CM77" i="5"/>
  <c r="CK77" i="5"/>
  <c r="CI77" i="5"/>
  <c r="CG77" i="5"/>
  <c r="CC77" i="5"/>
  <c r="CM45" i="5"/>
  <c r="CK45" i="5"/>
  <c r="CI45" i="5"/>
  <c r="CG45" i="5"/>
  <c r="CC45" i="5"/>
  <c r="BY3" i="5"/>
  <c r="CE156" i="5"/>
  <c r="CE132" i="5"/>
  <c r="CE107" i="5"/>
  <c r="CE12" i="5"/>
  <c r="CE121" i="5"/>
  <c r="CE104" i="5"/>
  <c r="CE45" i="5"/>
  <c r="CE138" i="5"/>
  <c r="CE224" i="5"/>
  <c r="CE202" i="5"/>
  <c r="CE38" i="5"/>
  <c r="CE22" i="5"/>
  <c r="CE139" i="5"/>
  <c r="CE78" i="5"/>
  <c r="CE111" i="5"/>
  <c r="CE77" i="5"/>
  <c r="CM150" i="5"/>
  <c r="CK150" i="5"/>
  <c r="CI150" i="5"/>
  <c r="CG150" i="5"/>
  <c r="CC150" i="5"/>
  <c r="CM191" i="5"/>
  <c r="CK191" i="5"/>
  <c r="CI191" i="5"/>
  <c r="CG191" i="5"/>
  <c r="CC191" i="5"/>
  <c r="CM190" i="5"/>
  <c r="CK190" i="5"/>
  <c r="CI190" i="5"/>
  <c r="CG190" i="5"/>
  <c r="CC190" i="5"/>
  <c r="CM133" i="5"/>
  <c r="CK133" i="5"/>
  <c r="CI133" i="5"/>
  <c r="CG133" i="5"/>
  <c r="CC133" i="5"/>
  <c r="CM218" i="5"/>
  <c r="CK218" i="5"/>
  <c r="CI218" i="5"/>
  <c r="CG218" i="5"/>
  <c r="CC218" i="5"/>
  <c r="CM168" i="5"/>
  <c r="CK168" i="5"/>
  <c r="CI168" i="5"/>
  <c r="CG168" i="5"/>
  <c r="CC168" i="5"/>
  <c r="CM145" i="5"/>
  <c r="CI145" i="5"/>
  <c r="CK145" i="5"/>
  <c r="CG145" i="5"/>
  <c r="CC145" i="5"/>
  <c r="CM173" i="5"/>
  <c r="CK173" i="5"/>
  <c r="CI173" i="5"/>
  <c r="CG173" i="5"/>
  <c r="CC173" i="5"/>
  <c r="CM113" i="5"/>
  <c r="CI113" i="5"/>
  <c r="CK113" i="5"/>
  <c r="CG113" i="5"/>
  <c r="CC113" i="5"/>
  <c r="CM5" i="5"/>
  <c r="CK5" i="5"/>
  <c r="CI5" i="5"/>
  <c r="CG5" i="5"/>
  <c r="CC5" i="5"/>
  <c r="CM195" i="5"/>
  <c r="CK195" i="5"/>
  <c r="CI195" i="5"/>
  <c r="CG195" i="5"/>
  <c r="CC195" i="5"/>
  <c r="CM115" i="5"/>
  <c r="CK115" i="5"/>
  <c r="CI115" i="5"/>
  <c r="CG115" i="5"/>
  <c r="CC115" i="5"/>
  <c r="CM106" i="5"/>
  <c r="CK106" i="5"/>
  <c r="CI106" i="5"/>
  <c r="CG106" i="5"/>
  <c r="CC106" i="5"/>
  <c r="CM117" i="5"/>
  <c r="CK117" i="5"/>
  <c r="CI117" i="5"/>
  <c r="CG117" i="5"/>
  <c r="CC117" i="5"/>
  <c r="CM26" i="5"/>
  <c r="CK26" i="5"/>
  <c r="CI26" i="5"/>
  <c r="CG26" i="5"/>
  <c r="CC26" i="5"/>
  <c r="CM178" i="5"/>
  <c r="CK178" i="5"/>
  <c r="CI178" i="5"/>
  <c r="CG178" i="5"/>
  <c r="CC178" i="5"/>
  <c r="CM203" i="5"/>
  <c r="CK203" i="5"/>
  <c r="CI203" i="5"/>
  <c r="CG203" i="5"/>
  <c r="CC203" i="5"/>
  <c r="CM185" i="5"/>
  <c r="CI185" i="5"/>
  <c r="CK185" i="5"/>
  <c r="CG185" i="5"/>
  <c r="CC185" i="5"/>
  <c r="BX5" i="5"/>
  <c r="CM66" i="5"/>
  <c r="CK66" i="5"/>
  <c r="CI66" i="5"/>
  <c r="CG66" i="5"/>
  <c r="CC66" i="5"/>
  <c r="CM34" i="5"/>
  <c r="CK34" i="5"/>
  <c r="CI34" i="5"/>
  <c r="CG34" i="5"/>
  <c r="CC34" i="5"/>
  <c r="CM120" i="5"/>
  <c r="CK120" i="5"/>
  <c r="CI120" i="5"/>
  <c r="CG120" i="5"/>
  <c r="CC120" i="5"/>
  <c r="CM95" i="5"/>
  <c r="CK95" i="5"/>
  <c r="CI95" i="5"/>
  <c r="CG95" i="5"/>
  <c r="CC95" i="5"/>
  <c r="CM11" i="5"/>
  <c r="CK11" i="5"/>
  <c r="CI11" i="5"/>
  <c r="CG11" i="5"/>
  <c r="CC11" i="5"/>
  <c r="CM186" i="5"/>
  <c r="CK186" i="5"/>
  <c r="CI186" i="5"/>
  <c r="CG186" i="5"/>
  <c r="CC186" i="5"/>
  <c r="CM36" i="5"/>
  <c r="CK36" i="5"/>
  <c r="CI36" i="5"/>
  <c r="CG36" i="5"/>
  <c r="CC36" i="5"/>
  <c r="CM211" i="5"/>
  <c r="CK211" i="5"/>
  <c r="CI211" i="5"/>
  <c r="CG211" i="5"/>
  <c r="CC211" i="5"/>
  <c r="CM127" i="5"/>
  <c r="CK127" i="5"/>
  <c r="CI127" i="5"/>
  <c r="CG127" i="5"/>
  <c r="CC127" i="5"/>
  <c r="CM73" i="5"/>
  <c r="CI73" i="5"/>
  <c r="CK73" i="5"/>
  <c r="CG73" i="5"/>
  <c r="CC73" i="5"/>
  <c r="CM37" i="5"/>
  <c r="CK37" i="5"/>
  <c r="CI37" i="5"/>
  <c r="CG37" i="5"/>
  <c r="CC37" i="5"/>
  <c r="CM41" i="5"/>
  <c r="CI41" i="5"/>
  <c r="CK41" i="5"/>
  <c r="CG41" i="5"/>
  <c r="CC41" i="5"/>
  <c r="CE204" i="5"/>
  <c r="CE188" i="5"/>
  <c r="CE40" i="5"/>
  <c r="CE113" i="5"/>
  <c r="CE68" i="5"/>
  <c r="CE145" i="5"/>
  <c r="CE247" i="5"/>
  <c r="CE25" i="5"/>
  <c r="CE8" i="5"/>
  <c r="CE84" i="5"/>
  <c r="CE150" i="5"/>
  <c r="CE92" i="5"/>
  <c r="CE166" i="5"/>
  <c r="CE101" i="5"/>
  <c r="CE187" i="5"/>
  <c r="CE171" i="5"/>
  <c r="CE155" i="5"/>
  <c r="CE74" i="5"/>
  <c r="CE55" i="5"/>
  <c r="CE128" i="5"/>
  <c r="CM172" i="5"/>
  <c r="CK172" i="5"/>
  <c r="CI172" i="5"/>
  <c r="CG172" i="5"/>
  <c r="CC172" i="5"/>
  <c r="CM129" i="5"/>
  <c r="CK129" i="5"/>
  <c r="CI129" i="5"/>
  <c r="CG129" i="5"/>
  <c r="CC129" i="5"/>
  <c r="CM24" i="5"/>
  <c r="CK24" i="5"/>
  <c r="CG24" i="5"/>
  <c r="CI24" i="5"/>
  <c r="CC24" i="5"/>
  <c r="CM213" i="5"/>
  <c r="CK213" i="5"/>
  <c r="CI213" i="5"/>
  <c r="CG213" i="5"/>
  <c r="CC213" i="5"/>
  <c r="CM79" i="5"/>
  <c r="CK79" i="5"/>
  <c r="CI79" i="5"/>
  <c r="CG79" i="5"/>
  <c r="CC79" i="5"/>
  <c r="CM76" i="5"/>
  <c r="CK76" i="5"/>
  <c r="CI76" i="5"/>
  <c r="CG76" i="5"/>
  <c r="CC76" i="5"/>
  <c r="CM103" i="5"/>
  <c r="CK103" i="5"/>
  <c r="CI103" i="5"/>
  <c r="CG103" i="5"/>
  <c r="CC103" i="5"/>
  <c r="CM159" i="5"/>
  <c r="CK159" i="5"/>
  <c r="CI159" i="5"/>
  <c r="CG159" i="5"/>
  <c r="CC159" i="5"/>
  <c r="BX129" i="5"/>
  <c r="CM98" i="5"/>
  <c r="CK98" i="5"/>
  <c r="CI98" i="5"/>
  <c r="CG98" i="5"/>
  <c r="CC98" i="5"/>
  <c r="CM62" i="5"/>
  <c r="CK62" i="5"/>
  <c r="CI62" i="5"/>
  <c r="CG62" i="5"/>
  <c r="CC62" i="5"/>
  <c r="CM130" i="5"/>
  <c r="CK130" i="5"/>
  <c r="CI130" i="5"/>
  <c r="CG130" i="5"/>
  <c r="CC130" i="5"/>
  <c r="CM123" i="5"/>
  <c r="CK123" i="5"/>
  <c r="CI123" i="5"/>
  <c r="CG123" i="5"/>
  <c r="CC123" i="5"/>
  <c r="CM69" i="5"/>
  <c r="CK69" i="5"/>
  <c r="CI69" i="5"/>
  <c r="CG69" i="5"/>
  <c r="CC69" i="5"/>
  <c r="CM33" i="5"/>
  <c r="CI33" i="5"/>
  <c r="CK33" i="5"/>
  <c r="CG33" i="5"/>
  <c r="CC33" i="5"/>
  <c r="CE103" i="5"/>
  <c r="CE24" i="5"/>
  <c r="CE79" i="5"/>
  <c r="CE185" i="5"/>
  <c r="CE169" i="5"/>
  <c r="CE153" i="5"/>
  <c r="CE76" i="5"/>
  <c r="CE57" i="5"/>
  <c r="CE273" i="5"/>
  <c r="CE198" i="5"/>
  <c r="CE66" i="5"/>
  <c r="CE50" i="5"/>
  <c r="CE34" i="5"/>
  <c r="CE135" i="5"/>
  <c r="CE123" i="5"/>
  <c r="CE183" i="5"/>
  <c r="CE23" i="5"/>
  <c r="CE70" i="5"/>
  <c r="CM161" i="5"/>
  <c r="CI161" i="5"/>
  <c r="CK161" i="5"/>
  <c r="CG161" i="5"/>
  <c r="CC161" i="5"/>
  <c r="CM85" i="5"/>
  <c r="CK85" i="5"/>
  <c r="CI85" i="5"/>
  <c r="CG85" i="5"/>
  <c r="CC85" i="5"/>
  <c r="CM29" i="5"/>
  <c r="CK29" i="5"/>
  <c r="CI29" i="5"/>
  <c r="CG29" i="5"/>
  <c r="CC29" i="5"/>
  <c r="CM182" i="5"/>
  <c r="CK182" i="5"/>
  <c r="CI182" i="5"/>
  <c r="CG182" i="5"/>
  <c r="CC182" i="5"/>
  <c r="CM157" i="5"/>
  <c r="CK157" i="5"/>
  <c r="CI157" i="5"/>
  <c r="CG157" i="5"/>
  <c r="CC157" i="5"/>
  <c r="CM43" i="5"/>
  <c r="CK43" i="5"/>
  <c r="CI43" i="5"/>
  <c r="CG43" i="5"/>
  <c r="CC43" i="5"/>
  <c r="CM44" i="5"/>
  <c r="CK44" i="5"/>
  <c r="CI44" i="5"/>
  <c r="CG44" i="5"/>
  <c r="CC44" i="5"/>
  <c r="CM184" i="5"/>
  <c r="CK184" i="5"/>
  <c r="CI184" i="5"/>
  <c r="CG184" i="5"/>
  <c r="CC184" i="5"/>
  <c r="CM10" i="5"/>
  <c r="CK10" i="5"/>
  <c r="CI10" i="5"/>
  <c r="CG10" i="5"/>
  <c r="CC10" i="5"/>
  <c r="CM122" i="5"/>
  <c r="CK122" i="5"/>
  <c r="CI122" i="5"/>
  <c r="CG122" i="5"/>
  <c r="CC122" i="5"/>
  <c r="CM163" i="5"/>
  <c r="CK163" i="5"/>
  <c r="CI163" i="5"/>
  <c r="CG163" i="5"/>
  <c r="CC163" i="5"/>
  <c r="CM242" i="5"/>
  <c r="CK242" i="5"/>
  <c r="CI242" i="5"/>
  <c r="CG242" i="5"/>
  <c r="CC242" i="5"/>
  <c r="CM220" i="5"/>
  <c r="CK220" i="5"/>
  <c r="CI220" i="5"/>
  <c r="CG220" i="5"/>
  <c r="CC220" i="5"/>
  <c r="CM264" i="5"/>
  <c r="CK264" i="5"/>
  <c r="CI264" i="5"/>
  <c r="CG264" i="5"/>
  <c r="CC264" i="5"/>
  <c r="CM246" i="5"/>
  <c r="CK246" i="5"/>
  <c r="CI246" i="5"/>
  <c r="CG246" i="5"/>
  <c r="CC246" i="5"/>
  <c r="CM249" i="5"/>
  <c r="CI249" i="5"/>
  <c r="CK249" i="5"/>
  <c r="CG249" i="5"/>
  <c r="CC249" i="5"/>
  <c r="CM205" i="5"/>
  <c r="CK205" i="5"/>
  <c r="CI205" i="5"/>
  <c r="CG205" i="5"/>
  <c r="CC205" i="5"/>
  <c r="CM174" i="5"/>
  <c r="CK174" i="5"/>
  <c r="CI174" i="5"/>
  <c r="CG174" i="5"/>
  <c r="CC174" i="5"/>
  <c r="CM251" i="5"/>
  <c r="CK251" i="5"/>
  <c r="CI251" i="5"/>
  <c r="CG251" i="5"/>
  <c r="CC251" i="5"/>
  <c r="CM160" i="5"/>
  <c r="CK160" i="5"/>
  <c r="CI160" i="5"/>
  <c r="CG160" i="5"/>
  <c r="CC160" i="5"/>
  <c r="CM181" i="5"/>
  <c r="CK181" i="5"/>
  <c r="CI181" i="5"/>
  <c r="CG181" i="5"/>
  <c r="CC181" i="5"/>
  <c r="BY120" i="5"/>
  <c r="CM154" i="5"/>
  <c r="CK154" i="5"/>
  <c r="CI154" i="5"/>
  <c r="CG154" i="5"/>
  <c r="CC154" i="5"/>
  <c r="CM209" i="5"/>
  <c r="CI209" i="5"/>
  <c r="CK209" i="5"/>
  <c r="CG209" i="5"/>
  <c r="CC209" i="5"/>
  <c r="CM91" i="5"/>
  <c r="CK91" i="5"/>
  <c r="CI91" i="5"/>
  <c r="CG91" i="5"/>
  <c r="CC91" i="5"/>
  <c r="BY270" i="5"/>
  <c r="CM134" i="5"/>
  <c r="CK134" i="5"/>
  <c r="CI134" i="5"/>
  <c r="CG134" i="5"/>
  <c r="CC134" i="5"/>
  <c r="CM193" i="5"/>
  <c r="CK193" i="5"/>
  <c r="CI193" i="5"/>
  <c r="CG193" i="5"/>
  <c r="CC193" i="5"/>
  <c r="CM32" i="5"/>
  <c r="CK32" i="5"/>
  <c r="CI32" i="5"/>
  <c r="CG32" i="5"/>
  <c r="CC32" i="5"/>
  <c r="CM27" i="5"/>
  <c r="CK27" i="5"/>
  <c r="CI27" i="5"/>
  <c r="CG27" i="5"/>
  <c r="CC27" i="5"/>
  <c r="CM119" i="5"/>
  <c r="CK119" i="5"/>
  <c r="CI119" i="5"/>
  <c r="CG119" i="5"/>
  <c r="CC119" i="5"/>
  <c r="CM88" i="5"/>
  <c r="CK88" i="5"/>
  <c r="CG88" i="5"/>
  <c r="CI88" i="5"/>
  <c r="CC88" i="5"/>
  <c r="CM97" i="5"/>
  <c r="CI97" i="5"/>
  <c r="CK97" i="5"/>
  <c r="CG97" i="5"/>
  <c r="CC97" i="5"/>
  <c r="BX420" i="5"/>
  <c r="CM94" i="5"/>
  <c r="CK94" i="5"/>
  <c r="CI94" i="5"/>
  <c r="CG94" i="5"/>
  <c r="CC94" i="5"/>
  <c r="CM58" i="5"/>
  <c r="CK58" i="5"/>
  <c r="CI58" i="5"/>
  <c r="CG58" i="5"/>
  <c r="CC58" i="5"/>
  <c r="CM4" i="5"/>
  <c r="CK4" i="5"/>
  <c r="CI4" i="5"/>
  <c r="CG4" i="5"/>
  <c r="CC4" i="5"/>
  <c r="CM126" i="5"/>
  <c r="CK126" i="5"/>
  <c r="CI126" i="5"/>
  <c r="CG126" i="5"/>
  <c r="CC126" i="5"/>
  <c r="CM65" i="5"/>
  <c r="CK65" i="5"/>
  <c r="CI65" i="5"/>
  <c r="CG65" i="5"/>
  <c r="CC65" i="5"/>
  <c r="CE200" i="5"/>
  <c r="CE184" i="5"/>
  <c r="CE168" i="5"/>
  <c r="CE141" i="5"/>
  <c r="CE100" i="5"/>
  <c r="CE37" i="5"/>
  <c r="CE21" i="5"/>
  <c r="CE130" i="5"/>
  <c r="CE146" i="5"/>
  <c r="CE264" i="5"/>
  <c r="CE162" i="5"/>
  <c r="CE97" i="5"/>
  <c r="CE199" i="5"/>
  <c r="CE167" i="5"/>
  <c r="CE51" i="5"/>
  <c r="CE35" i="5"/>
  <c r="CE5" i="5"/>
  <c r="CE124" i="5"/>
  <c r="CE94" i="5"/>
  <c r="CM144" i="5"/>
  <c r="CK144" i="5"/>
  <c r="CI144" i="5"/>
  <c r="CG144" i="5"/>
  <c r="CC144" i="5"/>
  <c r="CM254" i="5"/>
  <c r="CK254" i="5"/>
  <c r="CI254" i="5"/>
  <c r="CG254" i="5"/>
  <c r="CC254" i="5"/>
  <c r="CM212" i="5"/>
  <c r="CK212" i="5"/>
  <c r="CI212" i="5"/>
  <c r="CG212" i="5"/>
  <c r="CC212" i="5"/>
  <c r="CM140" i="5"/>
  <c r="CK140" i="5"/>
  <c r="CI140" i="5"/>
  <c r="CG140" i="5"/>
  <c r="CC140" i="5"/>
  <c r="CM63" i="5"/>
  <c r="CK63" i="5"/>
  <c r="CI63" i="5"/>
  <c r="CG63" i="5"/>
  <c r="CC63" i="5"/>
  <c r="CM7" i="5"/>
  <c r="CK7" i="5"/>
  <c r="CI7" i="5"/>
  <c r="CG7" i="5"/>
  <c r="CC7" i="5"/>
  <c r="CM60" i="5"/>
  <c r="CK60" i="5"/>
  <c r="CI60" i="5"/>
  <c r="CG60" i="5"/>
  <c r="CC60" i="5"/>
  <c r="CM201" i="5"/>
  <c r="CI201" i="5"/>
  <c r="CK201" i="5"/>
  <c r="CG201" i="5"/>
  <c r="CC201" i="5"/>
  <c r="CM170" i="5"/>
  <c r="CK170" i="5"/>
  <c r="CI170" i="5"/>
  <c r="CG170" i="5"/>
  <c r="CC170" i="5"/>
  <c r="CM99" i="5"/>
  <c r="CK99" i="5"/>
  <c r="CI99" i="5"/>
  <c r="CG99" i="5"/>
  <c r="CC99" i="5"/>
  <c r="CM39" i="5"/>
  <c r="CK39" i="5"/>
  <c r="CI39" i="5"/>
  <c r="CG39" i="5"/>
  <c r="CC39" i="5"/>
  <c r="CM222" i="5"/>
  <c r="CK222" i="5"/>
  <c r="CI222" i="5"/>
  <c r="CG222" i="5"/>
  <c r="CC222" i="5"/>
  <c r="CM258" i="5"/>
  <c r="CK258" i="5"/>
  <c r="CI258" i="5"/>
  <c r="CG258" i="5"/>
  <c r="CC258" i="5"/>
  <c r="CM197" i="5"/>
  <c r="CK197" i="5"/>
  <c r="CI197" i="5"/>
  <c r="CG197" i="5"/>
  <c r="CC197" i="5"/>
  <c r="CM239" i="5"/>
  <c r="CK239" i="5"/>
  <c r="CI239" i="5"/>
  <c r="CG239" i="5"/>
  <c r="CC239" i="5"/>
  <c r="BY170" i="5"/>
  <c r="CM189" i="5"/>
  <c r="CK189" i="5"/>
  <c r="CI189" i="5"/>
  <c r="CG189" i="5"/>
  <c r="CC189" i="5"/>
  <c r="CM152" i="5"/>
  <c r="CK152" i="5"/>
  <c r="CI152" i="5"/>
  <c r="CG152" i="5"/>
  <c r="CC152" i="5"/>
  <c r="CM149" i="5"/>
  <c r="CK149" i="5"/>
  <c r="CI149" i="5"/>
  <c r="CG149" i="5"/>
  <c r="CC149" i="5"/>
  <c r="CM112" i="5"/>
  <c r="CK112" i="5"/>
  <c r="CI112" i="5"/>
  <c r="CG112" i="5"/>
  <c r="CC112" i="5"/>
  <c r="CM196" i="5"/>
  <c r="CK196" i="5"/>
  <c r="CI196" i="5"/>
  <c r="CG196" i="5"/>
  <c r="CC196" i="5"/>
  <c r="BX120" i="5"/>
  <c r="BY41" i="5"/>
  <c r="CM125" i="5"/>
  <c r="CK125" i="5"/>
  <c r="CI125" i="5"/>
  <c r="CG125" i="5"/>
  <c r="CC125" i="5"/>
  <c r="CM75" i="5"/>
  <c r="CK75" i="5"/>
  <c r="CI75" i="5"/>
  <c r="CG75" i="5"/>
  <c r="CC75" i="5"/>
  <c r="CM59" i="5"/>
  <c r="CK59" i="5"/>
  <c r="CI59" i="5"/>
  <c r="CG59" i="5"/>
  <c r="CC59" i="5"/>
  <c r="CM72" i="5"/>
  <c r="CK72" i="5"/>
  <c r="CG72" i="5"/>
  <c r="CI72" i="5"/>
  <c r="CC72" i="5"/>
  <c r="CM56" i="5"/>
  <c r="CK56" i="5"/>
  <c r="CG56" i="5"/>
  <c r="CI56" i="5"/>
  <c r="CC56" i="5"/>
  <c r="CM151" i="5"/>
  <c r="CK151" i="5"/>
  <c r="CI151" i="5"/>
  <c r="CG151" i="5"/>
  <c r="CC151" i="5"/>
  <c r="CM207" i="5"/>
  <c r="CK207" i="5"/>
  <c r="CI207" i="5"/>
  <c r="CG207" i="5"/>
  <c r="CC207" i="5"/>
  <c r="BY5" i="5"/>
  <c r="CM86" i="5"/>
  <c r="CK86" i="5"/>
  <c r="CI86" i="5"/>
  <c r="CG86" i="5"/>
  <c r="CC86" i="5"/>
  <c r="BY265" i="5"/>
  <c r="CM30" i="5"/>
  <c r="CK30" i="5"/>
  <c r="CI30" i="5"/>
  <c r="CG30" i="5"/>
  <c r="CC30" i="5"/>
  <c r="CM110" i="5"/>
  <c r="CK110" i="5"/>
  <c r="CI110" i="5"/>
  <c r="CG110" i="5"/>
  <c r="CC110" i="5"/>
  <c r="CM28" i="5"/>
  <c r="CK28" i="5"/>
  <c r="CI28" i="5"/>
  <c r="CG28" i="5"/>
  <c r="CC28" i="5"/>
  <c r="BX423" i="5"/>
  <c r="CM208" i="5"/>
  <c r="CK208" i="5"/>
  <c r="CI208" i="5"/>
  <c r="CG208" i="5"/>
  <c r="CC208" i="5"/>
  <c r="CM90" i="5"/>
  <c r="CK90" i="5"/>
  <c r="CI90" i="5"/>
  <c r="CG90" i="5"/>
  <c r="CC90" i="5"/>
  <c r="CM54" i="5"/>
  <c r="CK54" i="5"/>
  <c r="CI54" i="5"/>
  <c r="CG54" i="5"/>
  <c r="CC54" i="5"/>
  <c r="CM18" i="5"/>
  <c r="CK18" i="5"/>
  <c r="CI18" i="5"/>
  <c r="CG18" i="5"/>
  <c r="CC18" i="5"/>
  <c r="CM102" i="5"/>
  <c r="CK102" i="5"/>
  <c r="CI102" i="5"/>
  <c r="CG102" i="5"/>
  <c r="CC102" i="5"/>
  <c r="CM114" i="5"/>
  <c r="CK114" i="5"/>
  <c r="CI114" i="5"/>
  <c r="CG114" i="5"/>
  <c r="CC114" i="5"/>
  <c r="CM20" i="5"/>
  <c r="CK20" i="5"/>
  <c r="CI20" i="5"/>
  <c r="CG20" i="5"/>
  <c r="CC20" i="5"/>
  <c r="CM147" i="5"/>
  <c r="CK147" i="5"/>
  <c r="CI147" i="5"/>
  <c r="CG147" i="5"/>
  <c r="CC147" i="5"/>
  <c r="CM61" i="5"/>
  <c r="CK61" i="5"/>
  <c r="CI61" i="5"/>
  <c r="CG61" i="5"/>
  <c r="CC61" i="5"/>
  <c r="CE217" i="5"/>
  <c r="CE246" i="5"/>
  <c r="CE164" i="5"/>
  <c r="CE120" i="5"/>
  <c r="CE52" i="5"/>
  <c r="CE36" i="5"/>
  <c r="CE20" i="5"/>
  <c r="CE241" i="5"/>
  <c r="CE137" i="5"/>
  <c r="CE87" i="5"/>
  <c r="CE216" i="5"/>
  <c r="CE213" i="5"/>
  <c r="CE197" i="5"/>
  <c r="CE181" i="5"/>
  <c r="CE165" i="5"/>
  <c r="CE53" i="5"/>
  <c r="CE3" i="5"/>
  <c r="CE114" i="5"/>
  <c r="CE233" i="5"/>
  <c r="CE210" i="5"/>
  <c r="CE194" i="5"/>
  <c r="CE178" i="5"/>
  <c r="CE142" i="5"/>
  <c r="CE62" i="5"/>
  <c r="CE46" i="5"/>
  <c r="CE30" i="5"/>
  <c r="CE14" i="5"/>
  <c r="CE131" i="5"/>
  <c r="CE147" i="5"/>
  <c r="CE119" i="5"/>
  <c r="CE245" i="5"/>
  <c r="CE67" i="5"/>
  <c r="CE19" i="5"/>
  <c r="CE152" i="5"/>
  <c r="CE136" i="5"/>
  <c r="CL545" i="5"/>
  <c r="CJ545" i="5"/>
  <c r="CH545" i="5"/>
  <c r="AQ264" i="5"/>
  <c r="AQ115" i="5"/>
  <c r="AQ154" i="5"/>
  <c r="AQ144" i="5"/>
  <c r="AQ164" i="5"/>
  <c r="AQ161" i="5"/>
  <c r="AQ129" i="5"/>
  <c r="AQ150" i="5"/>
  <c r="AQ85" i="5"/>
  <c r="AQ191" i="5"/>
  <c r="AQ29" i="5"/>
  <c r="AQ200" i="5"/>
  <c r="AQ82" i="5"/>
  <c r="AQ50" i="5"/>
  <c r="AQ14" i="5"/>
  <c r="AQ104" i="5"/>
  <c r="AQ96" i="5"/>
  <c r="AQ16" i="5"/>
  <c r="AQ183" i="5"/>
  <c r="AQ143" i="5"/>
  <c r="AQ93" i="5"/>
  <c r="AQ57" i="5"/>
  <c r="AQ195" i="5"/>
  <c r="AQ193" i="5"/>
  <c r="AQ175" i="5"/>
  <c r="AQ188" i="5"/>
  <c r="AQ3" i="5"/>
  <c r="AQ121" i="5"/>
  <c r="AQ71" i="5"/>
  <c r="AQ51" i="5"/>
  <c r="AQ68" i="5"/>
  <c r="AQ167" i="5"/>
  <c r="AQ105" i="5"/>
  <c r="AQ210" i="5"/>
  <c r="AQ108" i="5"/>
  <c r="AQ21" i="5"/>
  <c r="AQ177" i="5"/>
  <c r="AQ9" i="5"/>
  <c r="AQ192" i="5"/>
  <c r="AQ78" i="5"/>
  <c r="AQ46" i="5"/>
  <c r="AQ12" i="5"/>
  <c r="AQ139" i="5"/>
  <c r="AQ89" i="5"/>
  <c r="AQ53" i="5"/>
  <c r="AQ17" i="5"/>
  <c r="AQ117" i="5"/>
  <c r="AQ174" i="5"/>
  <c r="AQ160" i="5"/>
  <c r="AQ27" i="5"/>
  <c r="AQ206" i="5"/>
  <c r="AQ141" i="5"/>
  <c r="AQ169" i="5"/>
  <c r="AQ156" i="5"/>
  <c r="AQ153" i="5"/>
  <c r="AQ55" i="5"/>
  <c r="AQ116" i="5"/>
  <c r="AQ166" i="5"/>
  <c r="AQ19" i="5"/>
  <c r="AQ31" i="5"/>
  <c r="AQ100" i="5"/>
  <c r="AQ162" i="5"/>
  <c r="AQ101" i="5"/>
  <c r="AQ87" i="5"/>
  <c r="AQ142" i="5"/>
  <c r="AQ136" i="5"/>
  <c r="AQ74" i="5"/>
  <c r="AQ42" i="5"/>
  <c r="AQ107" i="5"/>
  <c r="AQ23" i="5"/>
  <c r="AQ84" i="5"/>
  <c r="AQ135" i="5"/>
  <c r="AQ81" i="5"/>
  <c r="AQ49" i="5"/>
  <c r="AQ13" i="5"/>
  <c r="AQ133" i="5"/>
  <c r="AQ5" i="5"/>
  <c r="AQ181" i="5"/>
  <c r="AQ137" i="5"/>
  <c r="AQ165" i="5"/>
  <c r="AQ148" i="5"/>
  <c r="AQ83" i="5"/>
  <c r="AQ67" i="5"/>
  <c r="AQ47" i="5"/>
  <c r="AQ6" i="5"/>
  <c r="AQ80" i="5"/>
  <c r="AQ48" i="5"/>
  <c r="AQ158" i="5"/>
  <c r="AQ187" i="5"/>
  <c r="AQ146" i="5"/>
  <c r="AQ35" i="5"/>
  <c r="AQ25" i="5"/>
  <c r="AQ138" i="5"/>
  <c r="AQ176" i="5"/>
  <c r="AQ124" i="5"/>
  <c r="AQ70" i="5"/>
  <c r="AQ38" i="5"/>
  <c r="AQ132" i="5"/>
  <c r="AQ15" i="5"/>
  <c r="AQ202" i="5"/>
  <c r="AQ40" i="5"/>
  <c r="AQ109" i="5"/>
  <c r="AQ131" i="5"/>
  <c r="AQ77" i="5"/>
  <c r="AQ45" i="5"/>
  <c r="AQ173" i="5"/>
  <c r="AQ26" i="5"/>
  <c r="AQ178" i="5"/>
  <c r="AQ203" i="5"/>
  <c r="AQ185" i="5"/>
  <c r="AQ66" i="5"/>
  <c r="AQ34" i="5"/>
  <c r="AQ120" i="5"/>
  <c r="AQ95" i="5"/>
  <c r="AQ11" i="5"/>
  <c r="AQ186" i="5"/>
  <c r="AQ36" i="5"/>
  <c r="AQ211" i="5"/>
  <c r="AQ127" i="5"/>
  <c r="AQ73" i="5"/>
  <c r="AQ37" i="5"/>
  <c r="AQ41" i="5"/>
  <c r="AQ213" i="5"/>
  <c r="AQ182" i="5"/>
  <c r="AQ157" i="5"/>
  <c r="AQ43" i="5"/>
  <c r="AQ79" i="5"/>
  <c r="AQ63" i="5"/>
  <c r="AQ60" i="5"/>
  <c r="AQ184" i="5"/>
  <c r="AQ201" i="5"/>
  <c r="AQ170" i="5"/>
  <c r="AQ99" i="5"/>
  <c r="AQ10" i="5"/>
  <c r="AQ159" i="5"/>
  <c r="AQ39" i="5"/>
  <c r="AQ122" i="5"/>
  <c r="AQ163" i="5"/>
  <c r="AQ98" i="5"/>
  <c r="AQ62" i="5"/>
  <c r="AQ130" i="5"/>
  <c r="AQ123" i="5"/>
  <c r="AQ69" i="5"/>
  <c r="AQ33" i="5"/>
  <c r="AQ190" i="5"/>
  <c r="AQ168" i="5"/>
  <c r="AQ145" i="5"/>
  <c r="AQ113" i="5"/>
  <c r="AQ205" i="5"/>
  <c r="AQ91" i="5"/>
  <c r="AQ134" i="5"/>
  <c r="AQ119" i="5"/>
  <c r="AQ88" i="5"/>
  <c r="AQ97" i="5"/>
  <c r="AQ94" i="5"/>
  <c r="AQ58" i="5"/>
  <c r="AQ4" i="5"/>
  <c r="AQ126" i="5"/>
  <c r="AQ65" i="5"/>
  <c r="AQ209" i="5"/>
  <c r="AQ32" i="5"/>
  <c r="AQ197" i="5"/>
  <c r="AQ189" i="5"/>
  <c r="AQ152" i="5"/>
  <c r="AQ149" i="5"/>
  <c r="AQ125" i="5"/>
  <c r="AQ75" i="5"/>
  <c r="AQ59" i="5"/>
  <c r="AQ151" i="5"/>
  <c r="AQ207" i="5"/>
  <c r="AQ86" i="5"/>
  <c r="AQ30" i="5"/>
  <c r="AQ110" i="5"/>
  <c r="AQ28" i="5"/>
  <c r="AQ208" i="5"/>
  <c r="AQ90" i="5"/>
  <c r="AQ54" i="5"/>
  <c r="AQ102" i="5"/>
  <c r="AQ114" i="5"/>
  <c r="AQ20" i="5"/>
  <c r="AQ147" i="5"/>
  <c r="AQ61" i="5"/>
  <c r="CB545" i="5"/>
  <c r="CF545" i="5"/>
  <c r="CD545" i="5"/>
  <c r="Z120" i="5"/>
  <c r="BG120" i="5" s="1"/>
  <c r="Z41" i="5"/>
  <c r="BG41" i="5" s="1"/>
  <c r="Z270" i="5"/>
  <c r="Z265" i="5"/>
  <c r="Z132" i="5"/>
  <c r="BG132" i="5" s="1"/>
  <c r="AA132" i="5"/>
  <c r="R19" i="3"/>
  <c r="P5" i="3"/>
  <c r="P16" i="3"/>
  <c r="P10" i="3"/>
  <c r="P11" i="3"/>
  <c r="P17" i="3"/>
  <c r="P18" i="3"/>
  <c r="P12" i="3"/>
  <c r="P7" i="3"/>
  <c r="P14" i="3"/>
  <c r="P13" i="3"/>
  <c r="P6" i="3"/>
  <c r="P8" i="3"/>
  <c r="P2" i="3"/>
  <c r="P3" i="3"/>
  <c r="P9" i="3"/>
  <c r="P4" i="3"/>
  <c r="O206" i="5"/>
  <c r="Q87" i="5"/>
  <c r="S87" i="5" s="1"/>
  <c r="Q177" i="5"/>
  <c r="S177" i="5" s="1"/>
  <c r="Q213" i="5"/>
  <c r="S213" i="5" s="1"/>
  <c r="C158" i="3"/>
  <c r="B264" i="3"/>
  <c r="B265" i="3"/>
  <c r="B266" i="3"/>
  <c r="B267" i="3"/>
  <c r="B263" i="3"/>
  <c r="Q18" i="3"/>
  <c r="Q9" i="3"/>
  <c r="Q13" i="3"/>
  <c r="Q7" i="3"/>
  <c r="Q12" i="3"/>
  <c r="Q8" i="3"/>
  <c r="Q2" i="3"/>
  <c r="Q11" i="3"/>
  <c r="Q3" i="3"/>
  <c r="Q15" i="3"/>
  <c r="Q6" i="3"/>
  <c r="Q17" i="3"/>
  <c r="Q10" i="3"/>
  <c r="Q16" i="3"/>
  <c r="Q14" i="3"/>
  <c r="Q5" i="3"/>
  <c r="Q4" i="3"/>
  <c r="Z142" i="5"/>
  <c r="BG142" i="5" s="1"/>
  <c r="Z111" i="5"/>
  <c r="Z129" i="5"/>
  <c r="BG129" i="5" s="1"/>
  <c r="BG535" i="5"/>
  <c r="BG520" i="5"/>
  <c r="BG311" i="5"/>
  <c r="BG432" i="5"/>
  <c r="BG464" i="5"/>
  <c r="BG424" i="5"/>
  <c r="BG362" i="5"/>
  <c r="BG506" i="5"/>
  <c r="BG405" i="5"/>
  <c r="BG365" i="5"/>
  <c r="BG465" i="5"/>
  <c r="BG395" i="5"/>
  <c r="BG448" i="5"/>
  <c r="BG326" i="5"/>
  <c r="BG349" i="5"/>
  <c r="BG467" i="5"/>
  <c r="BG377" i="5"/>
  <c r="BG384" i="5"/>
  <c r="BG433" i="5"/>
  <c r="BG538" i="5"/>
  <c r="BG478" i="5"/>
  <c r="BG532" i="5"/>
  <c r="BG336" i="5"/>
  <c r="BG390" i="5"/>
  <c r="BG438" i="5"/>
  <c r="BG412" i="5"/>
  <c r="BG492" i="5"/>
  <c r="BG335" i="5"/>
  <c r="BG373" i="5"/>
  <c r="BG353" i="5"/>
  <c r="BG354" i="5"/>
  <c r="BG519" i="5"/>
  <c r="BG343" i="5"/>
  <c r="BG428" i="5"/>
  <c r="BG337" i="5"/>
  <c r="BG487" i="5"/>
  <c r="BG483" i="5"/>
  <c r="BG527" i="5"/>
  <c r="BG347" i="5"/>
  <c r="BG477" i="5"/>
  <c r="BG476" i="5"/>
  <c r="BG408" i="5"/>
  <c r="BG294" i="5"/>
  <c r="BG403" i="5"/>
  <c r="BG458" i="5"/>
  <c r="BG502" i="5"/>
  <c r="BG493" i="5"/>
  <c r="BG375" i="5"/>
  <c r="BG449" i="5"/>
  <c r="BG539" i="5"/>
  <c r="BG516" i="5"/>
  <c r="BG317" i="5"/>
  <c r="BG378" i="5"/>
  <c r="BG285" i="5"/>
  <c r="BG420" i="5"/>
  <c r="BG531" i="5"/>
  <c r="BG508" i="5"/>
  <c r="BG314" i="5"/>
  <c r="BG366" i="5"/>
  <c r="BG461" i="5"/>
  <c r="BG364" i="5"/>
  <c r="BG474" i="5"/>
  <c r="BG512" i="5"/>
  <c r="BG457" i="5"/>
  <c r="BG541" i="5"/>
  <c r="BG404" i="5"/>
  <c r="BG423" i="5"/>
  <c r="BG542" i="5"/>
  <c r="BG517" i="5"/>
  <c r="BG316" i="5"/>
  <c r="BG399" i="5"/>
  <c r="BG524" i="5"/>
  <c r="BG488" i="5"/>
  <c r="BG304" i="5"/>
  <c r="BG529" i="5"/>
  <c r="BG496" i="5"/>
  <c r="BG469" i="5"/>
  <c r="BG518" i="5"/>
  <c r="BG413" i="5"/>
  <c r="BG401" i="5"/>
  <c r="BG451" i="5"/>
  <c r="BG522" i="5"/>
  <c r="BG442" i="5"/>
  <c r="BG415" i="5"/>
  <c r="BG344" i="5"/>
  <c r="BG409" i="5"/>
  <c r="BG421" i="5"/>
  <c r="BG445" i="5"/>
  <c r="BG346" i="5"/>
  <c r="BG356" i="5"/>
  <c r="BG452" i="5"/>
  <c r="BG472" i="5"/>
  <c r="BG436" i="5"/>
  <c r="BG358" i="5"/>
  <c r="BG484" i="5"/>
  <c r="BG536" i="5"/>
  <c r="BG308" i="5"/>
  <c r="BG414" i="5"/>
  <c r="BG328" i="5"/>
  <c r="BG444" i="5"/>
  <c r="BG386" i="5"/>
  <c r="BG422" i="5"/>
  <c r="BG504" i="5"/>
  <c r="BG332" i="5"/>
  <c r="BG437" i="5"/>
  <c r="BG290" i="5"/>
  <c r="BG473" i="5"/>
  <c r="BG441" i="5"/>
  <c r="BG490" i="5"/>
  <c r="BG425" i="5"/>
  <c r="BG470" i="5"/>
  <c r="BG480" i="5"/>
  <c r="BG440" i="5"/>
  <c r="BG351" i="5"/>
  <c r="BG460" i="5"/>
  <c r="BG329" i="5"/>
  <c r="BG456" i="5"/>
  <c r="BG381" i="5"/>
  <c r="Y3" i="5"/>
  <c r="BG3" i="5"/>
  <c r="Z170" i="5"/>
  <c r="BG170" i="5" s="1"/>
  <c r="Z5" i="5"/>
  <c r="BG5" i="5" s="1"/>
  <c r="W298" i="5"/>
  <c r="Y298" i="5" s="1"/>
  <c r="W340" i="5"/>
  <c r="Y340" i="5" s="1"/>
  <c r="BG340" i="5"/>
  <c r="AA420" i="5"/>
  <c r="H305" i="9" s="1"/>
  <c r="AA423" i="5"/>
  <c r="H308" i="9" s="1"/>
  <c r="AA120" i="5"/>
  <c r="BF120" i="5" s="1"/>
  <c r="AA41" i="5"/>
  <c r="BF41" i="5" s="1"/>
  <c r="AA381" i="5"/>
  <c r="H214" i="9" s="1"/>
  <c r="AA421" i="5"/>
  <c r="H306" i="9" s="1"/>
  <c r="AA270" i="5"/>
  <c r="H404" i="9" s="1"/>
  <c r="AA265" i="5"/>
  <c r="AA422" i="5"/>
  <c r="H307" i="9" s="1"/>
  <c r="AA170" i="5"/>
  <c r="BF170" i="5" s="1"/>
  <c r="AA290" i="5"/>
  <c r="H39" i="9" s="1"/>
  <c r="AA142" i="5"/>
  <c r="BF142" i="5" s="1"/>
  <c r="AD234" i="5"/>
  <c r="AD551" i="5" s="1"/>
  <c r="Z234" i="5"/>
  <c r="AA5" i="5"/>
  <c r="BF5" i="5" s="1"/>
  <c r="AA234" i="5"/>
  <c r="AA129" i="5"/>
  <c r="BF129" i="5" s="1"/>
  <c r="C160" i="3"/>
  <c r="B157" i="3"/>
  <c r="B172" i="3"/>
  <c r="C156" i="3"/>
  <c r="B171" i="3"/>
  <c r="C172" i="3"/>
  <c r="B166" i="3"/>
  <c r="C167" i="3"/>
  <c r="B161" i="3"/>
  <c r="B156" i="3"/>
  <c r="C170" i="3"/>
  <c r="B168" i="3"/>
  <c r="C169" i="3"/>
  <c r="B167" i="3"/>
  <c r="C168" i="3"/>
  <c r="B162" i="3"/>
  <c r="C163" i="3"/>
  <c r="C157" i="3"/>
  <c r="B169" i="3"/>
  <c r="C166" i="3"/>
  <c r="B164" i="3"/>
  <c r="C165" i="3"/>
  <c r="B163" i="3"/>
  <c r="C164" i="3"/>
  <c r="B158" i="3"/>
  <c r="C159" i="3"/>
  <c r="B165" i="3"/>
  <c r="C162" i="3"/>
  <c r="B160" i="3"/>
  <c r="C161" i="3"/>
  <c r="B159" i="3"/>
  <c r="B170" i="3"/>
  <c r="C171" i="3"/>
  <c r="O205" i="5"/>
  <c r="AM205" i="5" s="1"/>
  <c r="O88" i="5"/>
  <c r="AG88" i="5" s="1"/>
  <c r="O179" i="5"/>
  <c r="V179" i="5" s="1"/>
  <c r="O116" i="5"/>
  <c r="AG116" i="5" s="1"/>
  <c r="O174" i="5"/>
  <c r="AG174" i="5" s="1"/>
  <c r="O197" i="5"/>
  <c r="V197" i="5" s="1"/>
  <c r="O151" i="5"/>
  <c r="AG151" i="5" s="1"/>
  <c r="Q175" i="5"/>
  <c r="S175" i="5" s="1"/>
  <c r="Q160" i="5"/>
  <c r="S160" i="5" s="1"/>
  <c r="W282" i="5"/>
  <c r="Y282" i="5" s="1"/>
  <c r="W468" i="5"/>
  <c r="Y468" i="5" s="1"/>
  <c r="W242" i="5"/>
  <c r="X267" i="5"/>
  <c r="W212" i="5"/>
  <c r="W196" i="5"/>
  <c r="X144" i="5"/>
  <c r="W124" i="5"/>
  <c r="Y124" i="5" s="1"/>
  <c r="W94" i="5"/>
  <c r="W78" i="5"/>
  <c r="W26" i="5"/>
  <c r="W9" i="5"/>
  <c r="W385" i="5"/>
  <c r="Y385" i="5" s="1"/>
  <c r="W504" i="5"/>
  <c r="Y504" i="5" s="1"/>
  <c r="W489" i="5"/>
  <c r="Y489" i="5" s="1"/>
  <c r="W123" i="5"/>
  <c r="W21" i="5"/>
  <c r="Y21" i="5" s="1"/>
  <c r="W281" i="5"/>
  <c r="Y281" i="5" s="1"/>
  <c r="W327" i="5"/>
  <c r="Y327" i="5" s="1"/>
  <c r="W330" i="5"/>
  <c r="Y330" i="5" s="1"/>
  <c r="W332" i="5"/>
  <c r="Y332" i="5" s="1"/>
  <c r="W197" i="5"/>
  <c r="W161" i="5"/>
  <c r="Y161" i="5" s="1"/>
  <c r="W95" i="5"/>
  <c r="Y95" i="5" s="1"/>
  <c r="W79" i="5"/>
  <c r="W63" i="5"/>
  <c r="W43" i="5"/>
  <c r="W27" i="5"/>
  <c r="Y27" i="5" s="1"/>
  <c r="X11" i="5"/>
  <c r="W135" i="5"/>
  <c r="W494" i="5"/>
  <c r="Y494" i="5" s="1"/>
  <c r="W358" i="5"/>
  <c r="Y358" i="5" s="1"/>
  <c r="W147" i="5"/>
  <c r="W388" i="5"/>
  <c r="Y388" i="5" s="1"/>
  <c r="W484" i="5"/>
  <c r="Y484" i="5" s="1"/>
  <c r="W536" i="5"/>
  <c r="Y536" i="5" s="1"/>
  <c r="W308" i="5"/>
  <c r="Y308" i="5" s="1"/>
  <c r="W328" i="5"/>
  <c r="Y328" i="5" s="1"/>
  <c r="W444" i="5"/>
  <c r="Y444" i="5" s="1"/>
  <c r="W410" i="5"/>
  <c r="Y410" i="5" s="1"/>
  <c r="W262" i="5"/>
  <c r="Y262" i="5" s="1"/>
  <c r="W206" i="5"/>
  <c r="W186" i="5"/>
  <c r="W166" i="5"/>
  <c r="W96" i="5"/>
  <c r="W80" i="5"/>
  <c r="W40" i="5"/>
  <c r="Y40" i="5" s="1"/>
  <c r="W24" i="5"/>
  <c r="Y24" i="5" s="1"/>
  <c r="W105" i="5"/>
  <c r="Y105" i="5" s="1"/>
  <c r="W37" i="5"/>
  <c r="W386" i="5"/>
  <c r="Y386" i="5" s="1"/>
  <c r="W503" i="5"/>
  <c r="Y503" i="5" s="1"/>
  <c r="W431" i="5"/>
  <c r="Y431" i="5" s="1"/>
  <c r="W256" i="5"/>
  <c r="X226" i="5"/>
  <c r="W505" i="5"/>
  <c r="Y505" i="5" s="1"/>
  <c r="W195" i="5"/>
  <c r="Y195" i="5" s="1"/>
  <c r="W155" i="5"/>
  <c r="W58" i="5"/>
  <c r="W107" i="5"/>
  <c r="W29" i="5"/>
  <c r="W311" i="5"/>
  <c r="Y311" i="5" s="1"/>
  <c r="X259" i="5"/>
  <c r="W514" i="5"/>
  <c r="Y514" i="5" s="1"/>
  <c r="W479" i="5"/>
  <c r="Y479" i="5" s="1"/>
  <c r="W322" i="5"/>
  <c r="Y322" i="5" s="1"/>
  <c r="W324" i="5"/>
  <c r="Y324" i="5" s="1"/>
  <c r="W318" i="5"/>
  <c r="Y318" i="5" s="1"/>
  <c r="W341" i="5"/>
  <c r="Y341" i="5" s="1"/>
  <c r="W432" i="5"/>
  <c r="Y432" i="5" s="1"/>
  <c r="W276" i="5"/>
  <c r="X216" i="5"/>
  <c r="W213" i="5"/>
  <c r="Y213" i="5" s="1"/>
  <c r="W193" i="5"/>
  <c r="W177" i="5"/>
  <c r="W141" i="5"/>
  <c r="W121" i="5"/>
  <c r="W329" i="5"/>
  <c r="Y329" i="5" s="1"/>
  <c r="W131" i="5"/>
  <c r="W106" i="5"/>
  <c r="Y106" i="5" s="1"/>
  <c r="W507" i="5"/>
  <c r="Y507" i="5" s="1"/>
  <c r="X345" i="5"/>
  <c r="W81" i="5"/>
  <c r="W464" i="5"/>
  <c r="Y464" i="5" s="1"/>
  <c r="W424" i="5"/>
  <c r="Y424" i="5" s="1"/>
  <c r="W362" i="5"/>
  <c r="Y362" i="5" s="1"/>
  <c r="W506" i="5"/>
  <c r="Y506" i="5" s="1"/>
  <c r="W342" i="5"/>
  <c r="Y342" i="5" s="1"/>
  <c r="W396" i="5"/>
  <c r="Y396" i="5" s="1"/>
  <c r="W405" i="5"/>
  <c r="Y405" i="5" s="1"/>
  <c r="X307" i="5"/>
  <c r="W243" i="5"/>
  <c r="Y243" i="5" s="1"/>
  <c r="W202" i="5"/>
  <c r="W182" i="5"/>
  <c r="Y182" i="5" s="1"/>
  <c r="W162" i="5"/>
  <c r="W92" i="5"/>
  <c r="Y92" i="5" s="1"/>
  <c r="W76" i="5"/>
  <c r="W36" i="5"/>
  <c r="W20" i="5"/>
  <c r="W101" i="5"/>
  <c r="W365" i="5"/>
  <c r="Y365" i="5" s="1"/>
  <c r="W465" i="5"/>
  <c r="Y465" i="5" s="1"/>
  <c r="X395" i="5"/>
  <c r="W215" i="5"/>
  <c r="Y215" i="5" s="1"/>
  <c r="W448" i="5"/>
  <c r="Y448" i="5" s="1"/>
  <c r="W326" i="5"/>
  <c r="Y326" i="5" s="1"/>
  <c r="W349" i="5"/>
  <c r="Y349" i="5" s="1"/>
  <c r="W69" i="5"/>
  <c r="W288" i="5"/>
  <c r="Y288" i="5" s="1"/>
  <c r="W416" i="5"/>
  <c r="Y416" i="5" s="1"/>
  <c r="W543" i="5"/>
  <c r="Y543" i="5" s="1"/>
  <c r="X295" i="5"/>
  <c r="W217" i="5"/>
  <c r="W231" i="5"/>
  <c r="W515" i="5"/>
  <c r="Y515" i="5" s="1"/>
  <c r="W412" i="5"/>
  <c r="Y412" i="5" s="1"/>
  <c r="W289" i="5"/>
  <c r="Y289" i="5" s="1"/>
  <c r="W402" i="5"/>
  <c r="Y402" i="5" s="1"/>
  <c r="W280" i="5"/>
  <c r="Y280" i="5" s="1"/>
  <c r="W429" i="5"/>
  <c r="Y429" i="5" s="1"/>
  <c r="W313" i="5"/>
  <c r="Y313" i="5" s="1"/>
  <c r="W392" i="5"/>
  <c r="Y392" i="5" s="1"/>
  <c r="W284" i="5"/>
  <c r="Y284" i="5" s="1"/>
  <c r="W380" i="5"/>
  <c r="Y380" i="5" s="1"/>
  <c r="W188" i="5"/>
  <c r="W172" i="5"/>
  <c r="W70" i="5"/>
  <c r="Y70" i="5" s="1"/>
  <c r="W54" i="5"/>
  <c r="W25" i="5"/>
  <c r="Y25" i="5" s="1"/>
  <c r="W335" i="5"/>
  <c r="Y335" i="5" s="1"/>
  <c r="X255" i="5"/>
  <c r="W236" i="5"/>
  <c r="W387" i="5"/>
  <c r="Y387" i="5" s="1"/>
  <c r="W534" i="5"/>
  <c r="Y534" i="5" s="1"/>
  <c r="W481" i="5"/>
  <c r="Y481" i="5" s="1"/>
  <c r="W371" i="5"/>
  <c r="Y371" i="5" s="1"/>
  <c r="W373" i="5"/>
  <c r="Y373" i="5" s="1"/>
  <c r="W454" i="5"/>
  <c r="Y454" i="5" s="1"/>
  <c r="W353" i="5"/>
  <c r="Y353" i="5" s="1"/>
  <c r="W278" i="5"/>
  <c r="Y278" i="5" s="1"/>
  <c r="W263" i="5"/>
  <c r="W214" i="5"/>
  <c r="W209" i="5"/>
  <c r="W189" i="5"/>
  <c r="Y189" i="5" s="1"/>
  <c r="W173" i="5"/>
  <c r="W153" i="5"/>
  <c r="W137" i="5"/>
  <c r="W77" i="5"/>
  <c r="W510" i="5"/>
  <c r="Y510" i="5" s="1"/>
  <c r="W446" i="5"/>
  <c r="Y446" i="5" s="1"/>
  <c r="W398" i="5"/>
  <c r="Y398" i="5" s="1"/>
  <c r="W273" i="5"/>
  <c r="Y273" i="5" s="1"/>
  <c r="W108" i="5"/>
  <c r="W372" i="5"/>
  <c r="Y372" i="5" s="1"/>
  <c r="W511" i="5"/>
  <c r="Y511" i="5" s="1"/>
  <c r="W377" i="5"/>
  <c r="Y377" i="5" s="1"/>
  <c r="W291" i="5"/>
  <c r="Y291" i="5" s="1"/>
  <c r="W286" i="5"/>
  <c r="Y286" i="5" s="1"/>
  <c r="W138" i="5"/>
  <c r="Y138" i="5" s="1"/>
  <c r="W122" i="5"/>
  <c r="W56" i="5"/>
  <c r="Y56" i="5" s="1"/>
  <c r="X16" i="5"/>
  <c r="W384" i="5"/>
  <c r="Y384" i="5" s="1"/>
  <c r="W433" i="5"/>
  <c r="Y433" i="5" s="1"/>
  <c r="W305" i="5"/>
  <c r="Y305" i="5" s="1"/>
  <c r="W127" i="5"/>
  <c r="W333" i="5"/>
  <c r="Y333" i="5" s="1"/>
  <c r="W411" i="5"/>
  <c r="Y411" i="5" s="1"/>
  <c r="W538" i="5"/>
  <c r="Y538" i="5" s="1"/>
  <c r="W478" i="5"/>
  <c r="Y478" i="5" s="1"/>
  <c r="W532" i="5"/>
  <c r="Y532" i="5" s="1"/>
  <c r="W336" i="5"/>
  <c r="Y336" i="5" s="1"/>
  <c r="W390" i="5"/>
  <c r="Y390" i="5" s="1"/>
  <c r="W438" i="5"/>
  <c r="Y438" i="5" s="1"/>
  <c r="W249" i="5"/>
  <c r="X245" i="5"/>
  <c r="W207" i="5"/>
  <c r="Y207" i="5" s="1"/>
  <c r="W187" i="5"/>
  <c r="W167" i="5"/>
  <c r="W466" i="5"/>
  <c r="Y466" i="5" s="1"/>
  <c r="X235" i="5"/>
  <c r="W152" i="5"/>
  <c r="W34" i="5"/>
  <c r="X18" i="5"/>
  <c r="X509" i="5"/>
  <c r="W283" i="5"/>
  <c r="Y283" i="5" s="1"/>
  <c r="W439" i="5"/>
  <c r="Y439" i="5" s="1"/>
  <c r="X115" i="5"/>
  <c r="W300" i="5"/>
  <c r="Y300" i="5" s="1"/>
  <c r="W71" i="5"/>
  <c r="W6" i="5"/>
  <c r="X4" i="5"/>
  <c r="W354" i="5"/>
  <c r="Y354" i="5" s="1"/>
  <c r="W104" i="5"/>
  <c r="W53" i="5"/>
  <c r="W519" i="5"/>
  <c r="Y519" i="5" s="1"/>
  <c r="W360" i="5"/>
  <c r="Y360" i="5" s="1"/>
  <c r="W363" i="5"/>
  <c r="Y363" i="5" s="1"/>
  <c r="W343" i="5"/>
  <c r="Y343" i="5" s="1"/>
  <c r="W292" i="5"/>
  <c r="Y292" i="5" s="1"/>
  <c r="W428" i="5"/>
  <c r="Y428" i="5" s="1"/>
  <c r="W264" i="5"/>
  <c r="W225" i="5"/>
  <c r="W198" i="5"/>
  <c r="Y198" i="5" s="1"/>
  <c r="W178" i="5"/>
  <c r="W158" i="5"/>
  <c r="W118" i="5"/>
  <c r="Y118" i="5" s="1"/>
  <c r="W88" i="5"/>
  <c r="Y88" i="5" s="1"/>
  <c r="W72" i="5"/>
  <c r="Y72" i="5" s="1"/>
  <c r="W52" i="5"/>
  <c r="W32" i="5"/>
  <c r="W93" i="5"/>
  <c r="Y93" i="5" s="1"/>
  <c r="W337" i="5"/>
  <c r="Y337" i="5" s="1"/>
  <c r="W487" i="5"/>
  <c r="Y487" i="5" s="1"/>
  <c r="X221" i="5"/>
  <c r="W248" i="5"/>
  <c r="W483" i="5"/>
  <c r="Y483" i="5" s="1"/>
  <c r="W527" i="5"/>
  <c r="Y527" i="5" s="1"/>
  <c r="W183" i="5"/>
  <c r="W163" i="5"/>
  <c r="W65" i="5"/>
  <c r="W297" i="5"/>
  <c r="Y297" i="5" s="1"/>
  <c r="W525" i="5"/>
  <c r="Y525" i="5" s="1"/>
  <c r="W254" i="5"/>
  <c r="Y254" i="5" s="1"/>
  <c r="W368" i="5"/>
  <c r="Y368" i="5" s="1"/>
  <c r="W499" i="5"/>
  <c r="Y499" i="5" s="1"/>
  <c r="W361" i="5"/>
  <c r="Y361" i="5" s="1"/>
  <c r="W400" i="5"/>
  <c r="Y400" i="5" s="1"/>
  <c r="W323" i="5"/>
  <c r="Y323" i="5" s="1"/>
  <c r="W528" i="5"/>
  <c r="Y528" i="5" s="1"/>
  <c r="W531" i="5"/>
  <c r="Y531" i="5" s="1"/>
  <c r="W310" i="5"/>
  <c r="Y310" i="5" s="1"/>
  <c r="W391" i="5"/>
  <c r="Y391" i="5" s="1"/>
  <c r="W486" i="5"/>
  <c r="Y486" i="5" s="1"/>
  <c r="W320" i="5"/>
  <c r="Y320" i="5" s="1"/>
  <c r="W168" i="5"/>
  <c r="W66" i="5"/>
  <c r="W50" i="5"/>
  <c r="W287" i="5"/>
  <c r="Y287" i="5" s="1"/>
  <c r="W508" i="5"/>
  <c r="Y508" i="5" s="1"/>
  <c r="X223" i="5"/>
  <c r="W252" i="5"/>
  <c r="W369" i="5"/>
  <c r="Y369" i="5" s="1"/>
  <c r="W314" i="5"/>
  <c r="Y314" i="5" s="1"/>
  <c r="W482" i="5"/>
  <c r="Y482" i="5" s="1"/>
  <c r="W537" i="5"/>
  <c r="Y537" i="5" s="1"/>
  <c r="W338" i="5"/>
  <c r="Y338" i="5" s="1"/>
  <c r="W379" i="5"/>
  <c r="Y379" i="5" s="1"/>
  <c r="W228" i="5"/>
  <c r="W272" i="5"/>
  <c r="W247" i="5"/>
  <c r="W205" i="5"/>
  <c r="W185" i="5"/>
  <c r="W169" i="5"/>
  <c r="Y169" i="5" s="1"/>
  <c r="W149" i="5"/>
  <c r="Y149" i="5" s="1"/>
  <c r="W133" i="5"/>
  <c r="Y133" i="5" s="1"/>
  <c r="W403" i="5"/>
  <c r="Y403" i="5" s="1"/>
  <c r="W458" i="5"/>
  <c r="Y458" i="5" s="1"/>
  <c r="W502" i="5"/>
  <c r="Y502" i="5" s="1"/>
  <c r="W407" i="5"/>
  <c r="Y407" i="5" s="1"/>
  <c r="W194" i="5"/>
  <c r="W154" i="5"/>
  <c r="W134" i="5"/>
  <c r="Y134" i="5" s="1"/>
  <c r="W68" i="5"/>
  <c r="W12" i="5"/>
  <c r="W493" i="5"/>
  <c r="Y493" i="5" s="1"/>
  <c r="W331" i="5"/>
  <c r="Y331" i="5" s="1"/>
  <c r="X17" i="5"/>
  <c r="W375" i="5"/>
  <c r="Y375" i="5" s="1"/>
  <c r="W471" i="5"/>
  <c r="Y471" i="5" s="1"/>
  <c r="W449" i="5"/>
  <c r="Y449" i="5" s="1"/>
  <c r="W539" i="5"/>
  <c r="Y539" i="5" s="1"/>
  <c r="W516" i="5"/>
  <c r="Y516" i="5" s="1"/>
  <c r="X317" i="5"/>
  <c r="W378" i="5"/>
  <c r="Y378" i="5" s="1"/>
  <c r="W285" i="5"/>
  <c r="Y285" i="5" s="1"/>
  <c r="W229" i="5"/>
  <c r="W257" i="5"/>
  <c r="W238" i="5"/>
  <c r="W203" i="5"/>
  <c r="Y203" i="5" s="1"/>
  <c r="W179" i="5"/>
  <c r="W417" i="5"/>
  <c r="Y417" i="5" s="1"/>
  <c r="W271" i="5"/>
  <c r="W97" i="5"/>
  <c r="Y97" i="5" s="1"/>
  <c r="W51" i="5"/>
  <c r="W139" i="5"/>
  <c r="W366" i="5"/>
  <c r="Y366" i="5" s="1"/>
  <c r="W461" i="5"/>
  <c r="Y461" i="5" s="1"/>
  <c r="W151" i="5"/>
  <c r="W485" i="5"/>
  <c r="Y485" i="5" s="1"/>
  <c r="W315" i="5"/>
  <c r="Y315" i="5" s="1"/>
  <c r="W364" i="5"/>
  <c r="Y364" i="5" s="1"/>
  <c r="W512" i="5"/>
  <c r="Y512" i="5" s="1"/>
  <c r="W443" i="5"/>
  <c r="Y443" i="5" s="1"/>
  <c r="W523" i="5"/>
  <c r="Y523" i="5" s="1"/>
  <c r="W457" i="5"/>
  <c r="Y457" i="5" s="1"/>
  <c r="W218" i="5"/>
  <c r="W210" i="5"/>
  <c r="W174" i="5"/>
  <c r="X114" i="5"/>
  <c r="W84" i="5"/>
  <c r="W48" i="5"/>
  <c r="Y48" i="5" s="1"/>
  <c r="W28" i="5"/>
  <c r="W109" i="5"/>
  <c r="Y109" i="5" s="1"/>
  <c r="W57" i="5"/>
  <c r="W394" i="5"/>
  <c r="Y394" i="5" s="1"/>
  <c r="W541" i="5"/>
  <c r="Y541" i="5" s="1"/>
  <c r="X219" i="5"/>
  <c r="W244" i="5"/>
  <c r="W404" i="5"/>
  <c r="Y404" i="5" s="1"/>
  <c r="W159" i="5"/>
  <c r="W397" i="5"/>
  <c r="Y397" i="5" s="1"/>
  <c r="W164" i="5"/>
  <c r="W62" i="5"/>
  <c r="Y62" i="5" s="1"/>
  <c r="W46" i="5"/>
  <c r="W45" i="5"/>
  <c r="W419" i="5"/>
  <c r="Y419" i="5" s="1"/>
  <c r="W418" i="5"/>
  <c r="Y418" i="5" s="1"/>
  <c r="W275" i="5"/>
  <c r="Y275" i="5" s="1"/>
  <c r="W258" i="5"/>
  <c r="W435" i="5"/>
  <c r="Y435" i="5" s="1"/>
  <c r="W501" i="5"/>
  <c r="Y501" i="5" s="1"/>
  <c r="W472" i="5"/>
  <c r="Y472" i="5" s="1"/>
  <c r="W302" i="5"/>
  <c r="Y302" i="5" s="1"/>
  <c r="W436" i="5"/>
  <c r="Y436" i="5" s="1"/>
  <c r="X224" i="5"/>
  <c r="X268" i="5"/>
  <c r="W201" i="5"/>
  <c r="W181" i="5"/>
  <c r="W165" i="5"/>
  <c r="W145" i="5"/>
  <c r="W125" i="5"/>
  <c r="W47" i="5"/>
  <c r="W61" i="5"/>
  <c r="Y61" i="5" s="1"/>
  <c r="W524" i="5"/>
  <c r="Y524" i="5" s="1"/>
  <c r="W488" i="5"/>
  <c r="Y488" i="5" s="1"/>
  <c r="W304" i="5"/>
  <c r="Y304" i="5" s="1"/>
  <c r="W260" i="5"/>
  <c r="W33" i="5"/>
  <c r="W450" i="5"/>
  <c r="Y450" i="5" s="1"/>
  <c r="W303" i="5"/>
  <c r="Y303" i="5" s="1"/>
  <c r="W529" i="5"/>
  <c r="Y529" i="5" s="1"/>
  <c r="W430" i="5"/>
  <c r="Y430" i="5" s="1"/>
  <c r="W190" i="5"/>
  <c r="Y190" i="5" s="1"/>
  <c r="W150" i="5"/>
  <c r="Y150" i="5" s="1"/>
  <c r="W130" i="5"/>
  <c r="W64" i="5"/>
  <c r="W44" i="5"/>
  <c r="W496" i="5"/>
  <c r="Y496" i="5" s="1"/>
  <c r="W469" i="5"/>
  <c r="Y469" i="5" s="1"/>
  <c r="W110" i="5"/>
  <c r="Y110" i="5" s="1"/>
  <c r="W518" i="5"/>
  <c r="Y518" i="5" s="1"/>
  <c r="W413" i="5"/>
  <c r="Y413" i="5" s="1"/>
  <c r="W401" i="5"/>
  <c r="Y401" i="5" s="1"/>
  <c r="W325" i="5"/>
  <c r="Y325" i="5" s="1"/>
  <c r="W522" i="5"/>
  <c r="Y522" i="5" s="1"/>
  <c r="W442" i="5"/>
  <c r="Y442" i="5" s="1"/>
  <c r="W344" i="5"/>
  <c r="Y344" i="5" s="1"/>
  <c r="W409" i="5"/>
  <c r="Y409" i="5" s="1"/>
  <c r="X222" i="5"/>
  <c r="W253" i="5"/>
  <c r="W227" i="5"/>
  <c r="W199" i="5"/>
  <c r="W175" i="5"/>
  <c r="O159" i="5"/>
  <c r="AK159" i="5" s="1"/>
  <c r="O164" i="5"/>
  <c r="AK164" i="5" s="1"/>
  <c r="O146" i="5"/>
  <c r="AF146" i="5" s="1"/>
  <c r="O410" i="5"/>
  <c r="AL410" i="5" s="1"/>
  <c r="X532" i="5"/>
  <c r="X481" i="5"/>
  <c r="W395" i="5"/>
  <c r="Y395" i="5" s="1"/>
  <c r="Q191" i="5"/>
  <c r="S191" i="5" s="1"/>
  <c r="O209" i="5"/>
  <c r="AI209" i="5" s="1"/>
  <c r="O184" i="5"/>
  <c r="AH184" i="5" s="1"/>
  <c r="W345" i="5"/>
  <c r="Y345" i="5" s="1"/>
  <c r="O185" i="5"/>
  <c r="AH185" i="5" s="1"/>
  <c r="Q39" i="5"/>
  <c r="S39" i="5" s="1"/>
  <c r="W307" i="5"/>
  <c r="Y307" i="5" s="1"/>
  <c r="O137" i="5"/>
  <c r="AK137" i="5" s="1"/>
  <c r="O154" i="5"/>
  <c r="V154" i="5" s="1"/>
  <c r="O83" i="5"/>
  <c r="AH83" i="5" s="1"/>
  <c r="O434" i="5"/>
  <c r="AK434" i="5" s="1"/>
  <c r="Q8" i="5"/>
  <c r="S8" i="5" s="1"/>
  <c r="O28" i="5"/>
  <c r="AK28" i="5" s="1"/>
  <c r="O169" i="5"/>
  <c r="AF169" i="5" s="1"/>
  <c r="O35" i="5"/>
  <c r="AJ35" i="5" s="1"/>
  <c r="O189" i="5"/>
  <c r="AL189" i="5" s="1"/>
  <c r="Q32" i="5"/>
  <c r="S32" i="5" s="1"/>
  <c r="O21" i="5"/>
  <c r="AI21" i="5" s="1"/>
  <c r="O195" i="5"/>
  <c r="V195" i="5" s="1"/>
  <c r="O150" i="5"/>
  <c r="AJ150" i="5" s="1"/>
  <c r="O117" i="5"/>
  <c r="P117" i="5" s="1"/>
  <c r="Q141" i="5"/>
  <c r="S141" i="5" s="1"/>
  <c r="L27" i="3"/>
  <c r="AQ247" i="5"/>
  <c r="AQ239" i="5"/>
  <c r="AQ52" i="5"/>
  <c r="AQ199" i="5"/>
  <c r="AQ24" i="5"/>
  <c r="AQ224" i="5"/>
  <c r="AQ273" i="5"/>
  <c r="AQ245" i="5"/>
  <c r="AQ216" i="5"/>
  <c r="AQ236" i="5"/>
  <c r="AQ218" i="5"/>
  <c r="AQ212" i="5"/>
  <c r="AQ118" i="5"/>
  <c r="AQ112" i="5"/>
  <c r="AQ196" i="5"/>
  <c r="AQ214" i="5"/>
  <c r="AQ103" i="5"/>
  <c r="AQ155" i="5"/>
  <c r="AQ172" i="5"/>
  <c r="AQ64" i="5"/>
  <c r="AQ242" i="5"/>
  <c r="AQ241" i="5"/>
  <c r="AQ233" i="5"/>
  <c r="AQ171" i="5"/>
  <c r="K5" i="3"/>
  <c r="L5" i="3" s="1"/>
  <c r="AQ8" i="5"/>
  <c r="K30" i="3"/>
  <c r="L30" i="3" s="1"/>
  <c r="AQ18" i="5"/>
  <c r="K15" i="3"/>
  <c r="L15" i="3" s="1"/>
  <c r="B30" i="3"/>
  <c r="K11" i="3"/>
  <c r="L11" i="3" s="1"/>
  <c r="AQ179" i="5"/>
  <c r="AQ217" i="5"/>
  <c r="K6" i="3"/>
  <c r="L6" i="3" s="1"/>
  <c r="AQ7" i="5"/>
  <c r="AQ76" i="5"/>
  <c r="AQ44" i="5"/>
  <c r="AQ198" i="5"/>
  <c r="AQ180" i="5"/>
  <c r="AQ92" i="5"/>
  <c r="AQ106" i="5"/>
  <c r="AQ22" i="5"/>
  <c r="AQ258" i="5"/>
  <c r="AQ251" i="5"/>
  <c r="AQ128" i="5"/>
  <c r="AQ252" i="5"/>
  <c r="AQ230" i="5"/>
  <c r="AQ222" i="5"/>
  <c r="AQ220" i="5"/>
  <c r="AQ246" i="5"/>
  <c r="AQ249" i="5"/>
  <c r="AQ254" i="5"/>
  <c r="AQ140" i="5"/>
  <c r="AQ111" i="5"/>
  <c r="AQ204" i="5"/>
  <c r="AQ72" i="5"/>
  <c r="AQ56" i="5"/>
  <c r="AQ194" i="5"/>
  <c r="K20" i="3"/>
  <c r="L20" i="3" s="1"/>
  <c r="K8" i="3"/>
  <c r="L8" i="3" s="1"/>
  <c r="K49" i="3"/>
  <c r="L49" i="3" s="1"/>
  <c r="K39" i="3"/>
  <c r="L39" i="3" s="1"/>
  <c r="K28" i="3"/>
  <c r="L28" i="3" s="1"/>
  <c r="K33" i="3"/>
  <c r="L33" i="3" s="1"/>
  <c r="K45" i="3"/>
  <c r="L45" i="3" s="1"/>
  <c r="K41" i="3"/>
  <c r="L41" i="3" s="1"/>
  <c r="O152" i="5"/>
  <c r="AL152" i="5" s="1"/>
  <c r="Q203" i="5"/>
  <c r="S203" i="5" s="1"/>
  <c r="K40" i="3"/>
  <c r="L40" i="3" s="1"/>
  <c r="K25" i="3"/>
  <c r="L25" i="3" s="1"/>
  <c r="K43" i="3"/>
  <c r="L43" i="3" s="1"/>
  <c r="O178" i="5"/>
  <c r="AF178" i="5" s="1"/>
  <c r="K26" i="3"/>
  <c r="L26" i="3" s="1"/>
  <c r="K31" i="3"/>
  <c r="L31" i="3" s="1"/>
  <c r="K2" i="3"/>
  <c r="K48" i="3"/>
  <c r="L48" i="3" s="1"/>
  <c r="K35" i="3"/>
  <c r="L35" i="3" s="1"/>
  <c r="K3" i="3"/>
  <c r="L3" i="3" s="1"/>
  <c r="K18" i="3"/>
  <c r="L18" i="3" s="1"/>
  <c r="K47" i="3"/>
  <c r="L47" i="3" s="1"/>
  <c r="K21" i="3"/>
  <c r="L21" i="3" s="1"/>
  <c r="K19" i="3"/>
  <c r="L19" i="3" s="1"/>
  <c r="K10" i="3"/>
  <c r="L10" i="3" s="1"/>
  <c r="K38" i="3"/>
  <c r="L38" i="3" s="1"/>
  <c r="K23" i="3"/>
  <c r="L23" i="3" s="1"/>
  <c r="K12" i="3"/>
  <c r="L12" i="3" s="1"/>
  <c r="K34" i="3"/>
  <c r="L34" i="3" s="1"/>
  <c r="K4" i="3"/>
  <c r="L4" i="3" s="1"/>
  <c r="K9" i="3"/>
  <c r="L9" i="3" s="1"/>
  <c r="K16" i="3"/>
  <c r="L16" i="3" s="1"/>
  <c r="K22" i="3"/>
  <c r="L22" i="3" s="1"/>
  <c r="K29" i="3"/>
  <c r="L29" i="3" s="1"/>
  <c r="L50" i="3"/>
  <c r="K32" i="3"/>
  <c r="L32" i="3" s="1"/>
  <c r="K7" i="3"/>
  <c r="L7" i="3" s="1"/>
  <c r="K46" i="3"/>
  <c r="L46" i="3" s="1"/>
  <c r="B25" i="3"/>
  <c r="B26" i="3"/>
  <c r="B18" i="3"/>
  <c r="B19" i="3"/>
  <c r="B24" i="3"/>
  <c r="B20" i="3"/>
  <c r="B21" i="3"/>
  <c r="B17" i="3"/>
  <c r="K42" i="3"/>
  <c r="L42" i="3" s="1"/>
  <c r="K24" i="3"/>
  <c r="L24" i="3" s="1"/>
  <c r="Q29" i="5"/>
  <c r="S29" i="5" s="1"/>
  <c r="O27" i="5"/>
  <c r="AF27" i="5" s="1"/>
  <c r="Q10" i="5"/>
  <c r="S10" i="5" s="1"/>
  <c r="Q99" i="5"/>
  <c r="S99" i="5" s="1"/>
  <c r="Q111" i="5"/>
  <c r="S111" i="5" s="1"/>
  <c r="Q3" i="5"/>
  <c r="S3" i="5" s="1"/>
  <c r="Q138" i="5"/>
  <c r="S138" i="5" s="1"/>
  <c r="W222" i="5"/>
  <c r="Y222" i="5" s="1"/>
  <c r="Q201" i="5"/>
  <c r="S201" i="5" s="1"/>
  <c r="O156" i="5"/>
  <c r="V156" i="5" s="1"/>
  <c r="O26" i="5"/>
  <c r="AF26" i="5" s="1"/>
  <c r="X124" i="5"/>
  <c r="O167" i="5"/>
  <c r="AL167" i="5" s="1"/>
  <c r="O162" i="5"/>
  <c r="AI162" i="5" s="1"/>
  <c r="O142" i="5"/>
  <c r="V142" i="5" s="1"/>
  <c r="O133" i="5"/>
  <c r="AG133" i="5" s="1"/>
  <c r="Q97" i="5"/>
  <c r="S97" i="5" s="1"/>
  <c r="O210" i="5"/>
  <c r="AM210" i="5" s="1"/>
  <c r="X472" i="5"/>
  <c r="Q439" i="5"/>
  <c r="W219" i="5"/>
  <c r="W114" i="5"/>
  <c r="W255" i="5"/>
  <c r="W16" i="5"/>
  <c r="W245" i="5"/>
  <c r="AF520" i="5"/>
  <c r="AH498" i="5"/>
  <c r="AH275" i="5"/>
  <c r="AI467" i="5"/>
  <c r="AI504" i="5"/>
  <c r="AL309" i="5"/>
  <c r="AH408" i="5"/>
  <c r="AI353" i="5"/>
  <c r="AF355" i="5"/>
  <c r="AL255" i="5"/>
  <c r="AF313" i="5"/>
  <c r="AL224" i="5"/>
  <c r="AG306" i="5"/>
  <c r="AH412" i="5"/>
  <c r="AF280" i="5"/>
  <c r="AH446" i="5"/>
  <c r="AH490" i="5"/>
  <c r="AG501" i="5"/>
  <c r="AL281" i="5"/>
  <c r="AF400" i="5"/>
  <c r="AH499" i="5"/>
  <c r="AH286" i="5"/>
  <c r="AH272" i="5"/>
  <c r="AL240" i="5"/>
  <c r="AF31" i="5"/>
  <c r="AF482" i="5"/>
  <c r="AH201" i="5"/>
  <c r="AL236" i="5"/>
  <c r="AH268" i="5"/>
  <c r="AG456" i="5"/>
  <c r="AH276" i="5"/>
  <c r="AG277" i="5"/>
  <c r="AF350" i="5"/>
  <c r="AH213" i="5"/>
  <c r="AH439" i="5"/>
  <c r="AH368" i="5"/>
  <c r="AI468" i="5"/>
  <c r="AF87" i="5"/>
  <c r="AF359" i="5"/>
  <c r="AL472" i="5"/>
  <c r="AF402" i="5"/>
  <c r="AL230" i="5"/>
  <c r="AL258" i="5"/>
  <c r="AL252" i="5"/>
  <c r="AF357" i="5"/>
  <c r="AF335" i="5"/>
  <c r="AH379" i="5"/>
  <c r="AH500" i="5"/>
  <c r="AF289" i="5"/>
  <c r="AH295" i="5"/>
  <c r="AL242" i="5"/>
  <c r="AH515" i="5"/>
  <c r="AN9" i="5"/>
  <c r="AN110" i="5"/>
  <c r="AN99" i="5"/>
  <c r="X217" i="5"/>
  <c r="W295" i="5"/>
  <c r="Y295" i="5" s="1"/>
  <c r="X262" i="5"/>
  <c r="AJ32" i="5"/>
  <c r="AK32" i="5"/>
  <c r="AL32" i="5"/>
  <c r="AM32" i="5"/>
  <c r="AF32" i="5"/>
  <c r="AG32" i="5"/>
  <c r="AH32" i="5"/>
  <c r="AI32" i="5"/>
  <c r="AL536" i="5"/>
  <c r="AM536" i="5"/>
  <c r="AF536" i="5"/>
  <c r="AG536" i="5"/>
  <c r="AH536" i="5"/>
  <c r="AI536" i="5"/>
  <c r="AJ536" i="5"/>
  <c r="AK536" i="5"/>
  <c r="AI312" i="5"/>
  <c r="AJ312" i="5"/>
  <c r="AM312" i="5"/>
  <c r="AF312" i="5"/>
  <c r="AG312" i="5"/>
  <c r="AH312" i="5"/>
  <c r="AK312" i="5"/>
  <c r="AH337" i="5"/>
  <c r="AK337" i="5"/>
  <c r="AL337" i="5"/>
  <c r="AM337" i="5"/>
  <c r="AI337" i="5"/>
  <c r="AJ337" i="5"/>
  <c r="AF337" i="5"/>
  <c r="AG337" i="5"/>
  <c r="AJ294" i="5"/>
  <c r="AK294" i="5"/>
  <c r="AF294" i="5"/>
  <c r="AG294" i="5"/>
  <c r="AL294" i="5"/>
  <c r="AM294" i="5"/>
  <c r="AH294" i="5"/>
  <c r="AI294" i="5"/>
  <c r="AG144" i="5"/>
  <c r="AH144" i="5"/>
  <c r="AI144" i="5"/>
  <c r="AJ144" i="5"/>
  <c r="AK144" i="5"/>
  <c r="AL144" i="5"/>
  <c r="AF144" i="5"/>
  <c r="AM144" i="5"/>
  <c r="AF231" i="5"/>
  <c r="AI231" i="5"/>
  <c r="AG231" i="5"/>
  <c r="AH231" i="5"/>
  <c r="AJ231" i="5"/>
  <c r="AK231" i="5"/>
  <c r="AL231" i="5"/>
  <c r="AM231" i="5"/>
  <c r="AL269" i="5"/>
  <c r="AF269" i="5"/>
  <c r="AM269" i="5"/>
  <c r="AH269" i="5"/>
  <c r="AI269" i="5"/>
  <c r="AJ269" i="5"/>
  <c r="AK269" i="5"/>
  <c r="AF244" i="5"/>
  <c r="AI244" i="5"/>
  <c r="AK244" i="5"/>
  <c r="AH244" i="5"/>
  <c r="AG244" i="5"/>
  <c r="AJ244" i="5"/>
  <c r="AL244" i="5"/>
  <c r="AM244" i="5"/>
  <c r="AK260" i="5"/>
  <c r="AH260" i="5"/>
  <c r="AJ260" i="5"/>
  <c r="AL260" i="5"/>
  <c r="AM260" i="5"/>
  <c r="AF260" i="5"/>
  <c r="AI260" i="5"/>
  <c r="AJ413" i="5"/>
  <c r="AK413" i="5"/>
  <c r="AM413" i="5"/>
  <c r="AL413" i="5"/>
  <c r="AG413" i="5"/>
  <c r="AF413" i="5"/>
  <c r="AH413" i="5"/>
  <c r="AI413" i="5"/>
  <c r="AJ365" i="5"/>
  <c r="AK365" i="5"/>
  <c r="AL365" i="5"/>
  <c r="AM365" i="5"/>
  <c r="AF365" i="5"/>
  <c r="AG365" i="5"/>
  <c r="AH365" i="5"/>
  <c r="AI365" i="5"/>
  <c r="AK138" i="5"/>
  <c r="AL138" i="5"/>
  <c r="AM138" i="5"/>
  <c r="AF138" i="5"/>
  <c r="AG138" i="5"/>
  <c r="AH138" i="5"/>
  <c r="AI138" i="5"/>
  <c r="AJ138" i="5"/>
  <c r="AJ20" i="5"/>
  <c r="AK20" i="5"/>
  <c r="AL20" i="5"/>
  <c r="AM20" i="5"/>
  <c r="AF20" i="5"/>
  <c r="AG20" i="5"/>
  <c r="AH20" i="5"/>
  <c r="AI20" i="5"/>
  <c r="AH326" i="5"/>
  <c r="AK326" i="5"/>
  <c r="AI326" i="5"/>
  <c r="AJ326" i="5"/>
  <c r="AL326" i="5"/>
  <c r="AM326" i="5"/>
  <c r="AF326" i="5"/>
  <c r="AG326" i="5"/>
  <c r="AK523" i="5"/>
  <c r="AH523" i="5"/>
  <c r="AL523" i="5"/>
  <c r="AM523" i="5"/>
  <c r="AG523" i="5"/>
  <c r="AI523" i="5"/>
  <c r="AJ523" i="5"/>
  <c r="AF523" i="5"/>
  <c r="AK406" i="5"/>
  <c r="AF406" i="5"/>
  <c r="AG406" i="5"/>
  <c r="AM406" i="5"/>
  <c r="AH406" i="5"/>
  <c r="AL406" i="5"/>
  <c r="AI406" i="5"/>
  <c r="AJ406" i="5"/>
  <c r="AG367" i="5"/>
  <c r="AG498" i="5"/>
  <c r="AG374" i="5"/>
  <c r="AG515" i="5"/>
  <c r="AG499" i="5"/>
  <c r="AG500" i="5"/>
  <c r="AG412" i="5"/>
  <c r="AG296" i="5"/>
  <c r="AJ520" i="5"/>
  <c r="AJ289" i="5"/>
  <c r="AJ400" i="5"/>
  <c r="AJ357" i="5"/>
  <c r="AJ402" i="5"/>
  <c r="AJ356" i="5"/>
  <c r="AJ280" i="5"/>
  <c r="AJ350" i="5"/>
  <c r="AJ429" i="5"/>
  <c r="AJ355" i="5"/>
  <c r="AJ359" i="5"/>
  <c r="AJ313" i="5"/>
  <c r="AM468" i="5"/>
  <c r="AM379" i="5"/>
  <c r="AM286" i="5"/>
  <c r="AJ240" i="5"/>
  <c r="AG295" i="5"/>
  <c r="AJ230" i="5"/>
  <c r="AL439" i="5"/>
  <c r="AG275" i="5"/>
  <c r="AK259" i="5"/>
  <c r="AK255" i="5"/>
  <c r="AJ252" i="5"/>
  <c r="AJ258" i="5"/>
  <c r="AJ236" i="5"/>
  <c r="AJ234" i="5"/>
  <c r="AH87" i="5"/>
  <c r="AG368" i="5"/>
  <c r="AJ335" i="5"/>
  <c r="AG504" i="5"/>
  <c r="AH467" i="5"/>
  <c r="AM353" i="5"/>
  <c r="AG446" i="5"/>
  <c r="AM408" i="5"/>
  <c r="AG490" i="5"/>
  <c r="AJ242" i="5"/>
  <c r="AJ224" i="5"/>
  <c r="AM276" i="5"/>
  <c r="AM272" i="5"/>
  <c r="AM268" i="5"/>
  <c r="AG213" i="5"/>
  <c r="AG201" i="5"/>
  <c r="AL31" i="5"/>
  <c r="AL482" i="5"/>
  <c r="AG243" i="5"/>
  <c r="AH243" i="5"/>
  <c r="AJ243" i="5"/>
  <c r="AK243" i="5"/>
  <c r="AL243" i="5"/>
  <c r="AM243" i="5"/>
  <c r="AF243" i="5"/>
  <c r="AI243" i="5"/>
  <c r="AJ299" i="5"/>
  <c r="AK299" i="5"/>
  <c r="AL299" i="5"/>
  <c r="AM299" i="5"/>
  <c r="AF299" i="5"/>
  <c r="AG299" i="5"/>
  <c r="AH299" i="5"/>
  <c r="AI299" i="5"/>
  <c r="AJ469" i="5"/>
  <c r="AK469" i="5"/>
  <c r="AF469" i="5"/>
  <c r="AG469" i="5"/>
  <c r="AL469" i="5"/>
  <c r="AM469" i="5"/>
  <c r="AH469" i="5"/>
  <c r="AI469" i="5"/>
  <c r="AH502" i="5"/>
  <c r="AK502" i="5"/>
  <c r="AL502" i="5"/>
  <c r="AM502" i="5"/>
  <c r="AJ502" i="5"/>
  <c r="AF502" i="5"/>
  <c r="AG502" i="5"/>
  <c r="AI502" i="5"/>
  <c r="AF367" i="5"/>
  <c r="AF498" i="5"/>
  <c r="AF374" i="5"/>
  <c r="AF515" i="5"/>
  <c r="AF499" i="5"/>
  <c r="AF500" i="5"/>
  <c r="AF412" i="5"/>
  <c r="AM296" i="5"/>
  <c r="AI520" i="5"/>
  <c r="AM289" i="5"/>
  <c r="AI400" i="5"/>
  <c r="AI357" i="5"/>
  <c r="AI402" i="5"/>
  <c r="AI356" i="5"/>
  <c r="AI280" i="5"/>
  <c r="AI350" i="5"/>
  <c r="AI429" i="5"/>
  <c r="AI355" i="5"/>
  <c r="AM359" i="5"/>
  <c r="AI313" i="5"/>
  <c r="AG468" i="5"/>
  <c r="AL379" i="5"/>
  <c r="AL286" i="5"/>
  <c r="AG240" i="5"/>
  <c r="AM295" i="5"/>
  <c r="AG230" i="5"/>
  <c r="AG439" i="5"/>
  <c r="AM275" i="5"/>
  <c r="AJ259" i="5"/>
  <c r="AJ255" i="5"/>
  <c r="AG252" i="5"/>
  <c r="AG258" i="5"/>
  <c r="AG236" i="5"/>
  <c r="AG234" i="5"/>
  <c r="AJ87" i="5"/>
  <c r="AF368" i="5"/>
  <c r="AI335" i="5"/>
  <c r="AF504" i="5"/>
  <c r="AG467" i="5"/>
  <c r="AL353" i="5"/>
  <c r="AF446" i="5"/>
  <c r="AL408" i="5"/>
  <c r="AF490" i="5"/>
  <c r="AG242" i="5"/>
  <c r="AG224" i="5"/>
  <c r="AG276" i="5"/>
  <c r="AG272" i="5"/>
  <c r="AG268" i="5"/>
  <c r="AI213" i="5"/>
  <c r="AI201" i="5"/>
  <c r="AL312" i="5"/>
  <c r="AK217" i="5"/>
  <c r="AL217" i="5"/>
  <c r="AF217" i="5"/>
  <c r="AM217" i="5"/>
  <c r="AI217" i="5"/>
  <c r="AG217" i="5"/>
  <c r="AH217" i="5"/>
  <c r="AJ217" i="5"/>
  <c r="AF250" i="5"/>
  <c r="AI250" i="5"/>
  <c r="AK250" i="5"/>
  <c r="AH250" i="5"/>
  <c r="AG250" i="5"/>
  <c r="AJ250" i="5"/>
  <c r="AL250" i="5"/>
  <c r="AM250" i="5"/>
  <c r="AI354" i="5"/>
  <c r="AJ354" i="5"/>
  <c r="AM354" i="5"/>
  <c r="AF354" i="5"/>
  <c r="AG354" i="5"/>
  <c r="AH354" i="5"/>
  <c r="AK354" i="5"/>
  <c r="AL479" i="5"/>
  <c r="AM479" i="5"/>
  <c r="AF479" i="5"/>
  <c r="AI479" i="5"/>
  <c r="AJ479" i="5"/>
  <c r="AK479" i="5"/>
  <c r="AH328" i="5"/>
  <c r="AK328" i="5"/>
  <c r="AL328" i="5"/>
  <c r="AM328" i="5"/>
  <c r="AJ328" i="5"/>
  <c r="AF328" i="5"/>
  <c r="AG328" i="5"/>
  <c r="AI328" i="5"/>
  <c r="AL360" i="5"/>
  <c r="AM360" i="5"/>
  <c r="AF360" i="5"/>
  <c r="AG360" i="5"/>
  <c r="AH360" i="5"/>
  <c r="AI360" i="5"/>
  <c r="AJ360" i="5"/>
  <c r="AK360" i="5"/>
  <c r="AH459" i="5"/>
  <c r="AK459" i="5"/>
  <c r="AL459" i="5"/>
  <c r="AI459" i="5"/>
  <c r="AJ459" i="5"/>
  <c r="AF459" i="5"/>
  <c r="AG459" i="5"/>
  <c r="AM459" i="5"/>
  <c r="AH351" i="5"/>
  <c r="AK351" i="5"/>
  <c r="AI351" i="5"/>
  <c r="AJ351" i="5"/>
  <c r="AL351" i="5"/>
  <c r="AM351" i="5"/>
  <c r="AF351" i="5"/>
  <c r="AG351" i="5"/>
  <c r="AL229" i="5"/>
  <c r="AM229" i="5"/>
  <c r="AI229" i="5"/>
  <c r="AG229" i="5"/>
  <c r="AH229" i="5"/>
  <c r="AJ229" i="5"/>
  <c r="AK229" i="5"/>
  <c r="AF229" i="5"/>
  <c r="AF227" i="5"/>
  <c r="AI227" i="5"/>
  <c r="AG227" i="5"/>
  <c r="AH227" i="5"/>
  <c r="AJ227" i="5"/>
  <c r="AK227" i="5"/>
  <c r="AL227" i="5"/>
  <c r="AM227" i="5"/>
  <c r="AG148" i="5"/>
  <c r="AH148" i="5"/>
  <c r="AI148" i="5"/>
  <c r="AJ148" i="5"/>
  <c r="AK148" i="5"/>
  <c r="AL148" i="5"/>
  <c r="AF148" i="5"/>
  <c r="AM148" i="5"/>
  <c r="AF30" i="5"/>
  <c r="AG30" i="5"/>
  <c r="AH30" i="5"/>
  <c r="AI30" i="5"/>
  <c r="AJ30" i="5"/>
  <c r="AK30" i="5"/>
  <c r="AL30" i="5"/>
  <c r="AM30" i="5"/>
  <c r="AM366" i="5"/>
  <c r="AL366" i="5"/>
  <c r="AF366" i="5"/>
  <c r="AG366" i="5"/>
  <c r="AH366" i="5"/>
  <c r="AI366" i="5"/>
  <c r="AJ366" i="5"/>
  <c r="AK366" i="5"/>
  <c r="AF466" i="5"/>
  <c r="AK466" i="5"/>
  <c r="AL466" i="5"/>
  <c r="AG466" i="5"/>
  <c r="AH466" i="5"/>
  <c r="AI466" i="5"/>
  <c r="AJ466" i="5"/>
  <c r="AM466" i="5"/>
  <c r="AI517" i="5"/>
  <c r="AJ517" i="5"/>
  <c r="AM517" i="5"/>
  <c r="AF517" i="5"/>
  <c r="AG517" i="5"/>
  <c r="AH517" i="5"/>
  <c r="AK517" i="5"/>
  <c r="AJ31" i="5"/>
  <c r="AK31" i="5"/>
  <c r="AM31" i="5"/>
  <c r="AG31" i="5"/>
  <c r="AH31" i="5"/>
  <c r="AI31" i="5"/>
  <c r="AH25" i="5"/>
  <c r="AI25" i="5"/>
  <c r="AJ25" i="5"/>
  <c r="AK25" i="5"/>
  <c r="AL25" i="5"/>
  <c r="AM25" i="5"/>
  <c r="AF25" i="5"/>
  <c r="AG25" i="5"/>
  <c r="AK444" i="5"/>
  <c r="AF444" i="5"/>
  <c r="AL444" i="5"/>
  <c r="AM444" i="5"/>
  <c r="AG444" i="5"/>
  <c r="AH444" i="5"/>
  <c r="AI444" i="5"/>
  <c r="AJ444" i="5"/>
  <c r="AJ543" i="5"/>
  <c r="AK543" i="5"/>
  <c r="AF543" i="5"/>
  <c r="AG543" i="5"/>
  <c r="AL543" i="5"/>
  <c r="AM543" i="5"/>
  <c r="AH543" i="5"/>
  <c r="AI543" i="5"/>
  <c r="AJ23" i="5"/>
  <c r="AK23" i="5"/>
  <c r="AM23" i="5"/>
  <c r="AG23" i="5"/>
  <c r="AH23" i="5"/>
  <c r="AI23" i="5"/>
  <c r="AJ278" i="5"/>
  <c r="AK278" i="5"/>
  <c r="AF278" i="5"/>
  <c r="AM278" i="5"/>
  <c r="AG278" i="5"/>
  <c r="AL278" i="5"/>
  <c r="AH278" i="5"/>
  <c r="AI278" i="5"/>
  <c r="AK298" i="5"/>
  <c r="AH298" i="5"/>
  <c r="AL298" i="5"/>
  <c r="AM298" i="5"/>
  <c r="AF298" i="5"/>
  <c r="AG298" i="5"/>
  <c r="AI298" i="5"/>
  <c r="AJ298" i="5"/>
  <c r="AI97" i="5"/>
  <c r="AJ97" i="5"/>
  <c r="AK97" i="5"/>
  <c r="AL97" i="5"/>
  <c r="AF97" i="5"/>
  <c r="AM97" i="5"/>
  <c r="AG97" i="5"/>
  <c r="AH97" i="5"/>
  <c r="AM367" i="5"/>
  <c r="AL498" i="5"/>
  <c r="AM374" i="5"/>
  <c r="AM515" i="5"/>
  <c r="AM499" i="5"/>
  <c r="AL500" i="5"/>
  <c r="AL412" i="5"/>
  <c r="AL296" i="5"/>
  <c r="AM520" i="5"/>
  <c r="AI289" i="5"/>
  <c r="AM400" i="5"/>
  <c r="AM357" i="5"/>
  <c r="AM402" i="5"/>
  <c r="AM356" i="5"/>
  <c r="AM280" i="5"/>
  <c r="AM350" i="5"/>
  <c r="AM429" i="5"/>
  <c r="AM355" i="5"/>
  <c r="AI359" i="5"/>
  <c r="AM313" i="5"/>
  <c r="AH468" i="5"/>
  <c r="AG379" i="5"/>
  <c r="AG286" i="5"/>
  <c r="AH240" i="5"/>
  <c r="AL295" i="5"/>
  <c r="AH230" i="5"/>
  <c r="AM439" i="5"/>
  <c r="AF275" i="5"/>
  <c r="AH259" i="5"/>
  <c r="AH255" i="5"/>
  <c r="AH252" i="5"/>
  <c r="AH258" i="5"/>
  <c r="AH236" i="5"/>
  <c r="AH234" i="5"/>
  <c r="AG87" i="5"/>
  <c r="AM368" i="5"/>
  <c r="AM335" i="5"/>
  <c r="AL504" i="5"/>
  <c r="AF467" i="5"/>
  <c r="AH353" i="5"/>
  <c r="AM446" i="5"/>
  <c r="AG408" i="5"/>
  <c r="AM490" i="5"/>
  <c r="AH242" i="5"/>
  <c r="AH224" i="5"/>
  <c r="AF276" i="5"/>
  <c r="AF272" i="5"/>
  <c r="AF268" i="5"/>
  <c r="AM213" i="5"/>
  <c r="AM201" i="5"/>
  <c r="AL23" i="5"/>
  <c r="AL517" i="5"/>
  <c r="AI119" i="5"/>
  <c r="AJ119" i="5"/>
  <c r="AK119" i="5"/>
  <c r="AL119" i="5"/>
  <c r="AF119" i="5"/>
  <c r="AM119" i="5"/>
  <c r="AG119" i="5"/>
  <c r="AH119" i="5"/>
  <c r="AH538" i="5"/>
  <c r="AK538" i="5"/>
  <c r="AI538" i="5"/>
  <c r="AJ538" i="5"/>
  <c r="AL538" i="5"/>
  <c r="AM538" i="5"/>
  <c r="AF538" i="5"/>
  <c r="AG538" i="5"/>
  <c r="AF257" i="5"/>
  <c r="AI257" i="5"/>
  <c r="AG257" i="5"/>
  <c r="AH257" i="5"/>
  <c r="AJ257" i="5"/>
  <c r="AK257" i="5"/>
  <c r="AL257" i="5"/>
  <c r="AM257" i="5"/>
  <c r="AF334" i="5"/>
  <c r="AG334" i="5"/>
  <c r="AK334" i="5"/>
  <c r="AM334" i="5"/>
  <c r="AI334" i="5"/>
  <c r="AJ334" i="5"/>
  <c r="AH334" i="5"/>
  <c r="AL334" i="5"/>
  <c r="AL372" i="5"/>
  <c r="AH372" i="5"/>
  <c r="AK372" i="5"/>
  <c r="AM372" i="5"/>
  <c r="AI372" i="5"/>
  <c r="AJ372" i="5"/>
  <c r="AF372" i="5"/>
  <c r="AG372" i="5"/>
  <c r="AG233" i="5"/>
  <c r="AH233" i="5"/>
  <c r="AJ233" i="5"/>
  <c r="AK233" i="5"/>
  <c r="AL233" i="5"/>
  <c r="AM233" i="5"/>
  <c r="AF233" i="5"/>
  <c r="AI233" i="5"/>
  <c r="AL235" i="5"/>
  <c r="AM235" i="5"/>
  <c r="AI235" i="5"/>
  <c r="AG235" i="5"/>
  <c r="AH235" i="5"/>
  <c r="AJ235" i="5"/>
  <c r="AK235" i="5"/>
  <c r="AF235" i="5"/>
  <c r="AF245" i="5"/>
  <c r="AI245" i="5"/>
  <c r="AG245" i="5"/>
  <c r="AH245" i="5"/>
  <c r="AJ245" i="5"/>
  <c r="AK245" i="5"/>
  <c r="AL245" i="5"/>
  <c r="AM245" i="5"/>
  <c r="AK215" i="5"/>
  <c r="AL215" i="5"/>
  <c r="AF215" i="5"/>
  <c r="AM215" i="5"/>
  <c r="AG215" i="5"/>
  <c r="AI215" i="5"/>
  <c r="AH215" i="5"/>
  <c r="AJ215" i="5"/>
  <c r="AH401" i="5"/>
  <c r="AK401" i="5"/>
  <c r="AI401" i="5"/>
  <c r="AJ401" i="5"/>
  <c r="AL401" i="5"/>
  <c r="AM401" i="5"/>
  <c r="AF401" i="5"/>
  <c r="AG401" i="5"/>
  <c r="AJ24" i="5"/>
  <c r="AK24" i="5"/>
  <c r="AL24" i="5"/>
  <c r="AM24" i="5"/>
  <c r="AF24" i="5"/>
  <c r="AG24" i="5"/>
  <c r="AH24" i="5"/>
  <c r="AI24" i="5"/>
  <c r="AL435" i="5"/>
  <c r="AM435" i="5"/>
  <c r="AG435" i="5"/>
  <c r="AI435" i="5"/>
  <c r="AJ435" i="5"/>
  <c r="AK435" i="5"/>
  <c r="AJ380" i="5"/>
  <c r="AK380" i="5"/>
  <c r="AF380" i="5"/>
  <c r="AL380" i="5"/>
  <c r="AM380" i="5"/>
  <c r="AG380" i="5"/>
  <c r="AH380" i="5"/>
  <c r="AI380" i="5"/>
  <c r="AJ398" i="5"/>
  <c r="AK398" i="5"/>
  <c r="AF398" i="5"/>
  <c r="AG398" i="5"/>
  <c r="AL398" i="5"/>
  <c r="AM398" i="5"/>
  <c r="AH398" i="5"/>
  <c r="AI398" i="5"/>
  <c r="AK501" i="5"/>
  <c r="AL501" i="5"/>
  <c r="AF501" i="5"/>
  <c r="AI501" i="5"/>
  <c r="AJ501" i="5"/>
  <c r="AM501" i="5"/>
  <c r="AI530" i="5"/>
  <c r="AJ530" i="5"/>
  <c r="AM530" i="5"/>
  <c r="AF530" i="5"/>
  <c r="AG530" i="5"/>
  <c r="AH530" i="5"/>
  <c r="AK530" i="5"/>
  <c r="AL367" i="5"/>
  <c r="AM498" i="5"/>
  <c r="AL374" i="5"/>
  <c r="AL515" i="5"/>
  <c r="AL499" i="5"/>
  <c r="AM500" i="5"/>
  <c r="AM412" i="5"/>
  <c r="AK296" i="5"/>
  <c r="AL520" i="5"/>
  <c r="AL289" i="5"/>
  <c r="AL400" i="5"/>
  <c r="AL357" i="5"/>
  <c r="AL402" i="5"/>
  <c r="AL356" i="5"/>
  <c r="AL280" i="5"/>
  <c r="AL350" i="5"/>
  <c r="AL429" i="5"/>
  <c r="AL355" i="5"/>
  <c r="AL359" i="5"/>
  <c r="AL313" i="5"/>
  <c r="AL468" i="5"/>
  <c r="AF379" i="5"/>
  <c r="AF286" i="5"/>
  <c r="AK240" i="5"/>
  <c r="AF295" i="5"/>
  <c r="AK230" i="5"/>
  <c r="AF439" i="5"/>
  <c r="AL275" i="5"/>
  <c r="AG259" i="5"/>
  <c r="AG255" i="5"/>
  <c r="AK252" i="5"/>
  <c r="AK258" i="5"/>
  <c r="AK236" i="5"/>
  <c r="AK234" i="5"/>
  <c r="AM87" i="5"/>
  <c r="AL368" i="5"/>
  <c r="AL335" i="5"/>
  <c r="AK504" i="5"/>
  <c r="AM467" i="5"/>
  <c r="AG353" i="5"/>
  <c r="AL446" i="5"/>
  <c r="AF408" i="5"/>
  <c r="AL490" i="5"/>
  <c r="AK242" i="5"/>
  <c r="AK224" i="5"/>
  <c r="AL276" i="5"/>
  <c r="AL272" i="5"/>
  <c r="AL268" i="5"/>
  <c r="AF213" i="5"/>
  <c r="AF201" i="5"/>
  <c r="AF23" i="5"/>
  <c r="AH435" i="5"/>
  <c r="AH501" i="5"/>
  <c r="AF290" i="5"/>
  <c r="AG290" i="5"/>
  <c r="AM290" i="5"/>
  <c r="AH290" i="5"/>
  <c r="AI290" i="5"/>
  <c r="AJ290" i="5"/>
  <c r="AK290" i="5"/>
  <c r="AF248" i="5"/>
  <c r="AI248" i="5"/>
  <c r="AK248" i="5"/>
  <c r="AH248" i="5"/>
  <c r="AG248" i="5"/>
  <c r="AJ248" i="5"/>
  <c r="AL248" i="5"/>
  <c r="AM248" i="5"/>
  <c r="AG141" i="5"/>
  <c r="AH141" i="5"/>
  <c r="AI141" i="5"/>
  <c r="AJ141" i="5"/>
  <c r="AK141" i="5"/>
  <c r="AL141" i="5"/>
  <c r="AF141" i="5"/>
  <c r="AM141" i="5"/>
  <c r="AI472" i="5"/>
  <c r="AJ472" i="5"/>
  <c r="AM472" i="5"/>
  <c r="AF472" i="5"/>
  <c r="AG472" i="5"/>
  <c r="AH472" i="5"/>
  <c r="AK472" i="5"/>
  <c r="AL303" i="5"/>
  <c r="AM303" i="5"/>
  <c r="AF303" i="5"/>
  <c r="AG303" i="5"/>
  <c r="AH303" i="5"/>
  <c r="AK303" i="5"/>
  <c r="AI303" i="5"/>
  <c r="AJ303" i="5"/>
  <c r="AH317" i="5"/>
  <c r="AK317" i="5"/>
  <c r="AI317" i="5"/>
  <c r="AJ317" i="5"/>
  <c r="AL317" i="5"/>
  <c r="AM317" i="5"/>
  <c r="AF317" i="5"/>
  <c r="AG317" i="5"/>
  <c r="AL287" i="5"/>
  <c r="AM287" i="5"/>
  <c r="AG287" i="5"/>
  <c r="AI287" i="5"/>
  <c r="AJ287" i="5"/>
  <c r="AK287" i="5"/>
  <c r="AK396" i="5"/>
  <c r="AF396" i="5"/>
  <c r="AL396" i="5"/>
  <c r="AM396" i="5"/>
  <c r="AH396" i="5"/>
  <c r="AI396" i="5"/>
  <c r="AG396" i="5"/>
  <c r="AJ396" i="5"/>
  <c r="AH436" i="5"/>
  <c r="AI436" i="5"/>
  <c r="AK436" i="5"/>
  <c r="AF436" i="5"/>
  <c r="AG436" i="5"/>
  <c r="AL436" i="5"/>
  <c r="AM436" i="5"/>
  <c r="AJ436" i="5"/>
  <c r="AH274" i="5"/>
  <c r="AI274" i="5"/>
  <c r="AK274" i="5"/>
  <c r="AL274" i="5"/>
  <c r="AF274" i="5"/>
  <c r="AM274" i="5"/>
  <c r="AG274" i="5"/>
  <c r="AJ274" i="5"/>
  <c r="AJ457" i="5"/>
  <c r="AK457" i="5"/>
  <c r="AF457" i="5"/>
  <c r="AL457" i="5"/>
  <c r="AG457" i="5"/>
  <c r="AM457" i="5"/>
  <c r="AH457" i="5"/>
  <c r="AI457" i="5"/>
  <c r="AL232" i="5"/>
  <c r="AM232" i="5"/>
  <c r="AI232" i="5"/>
  <c r="AK232" i="5"/>
  <c r="AH232" i="5"/>
  <c r="AG232" i="5"/>
  <c r="AJ232" i="5"/>
  <c r="AF232" i="5"/>
  <c r="AH160" i="5"/>
  <c r="AJ160" i="5"/>
  <c r="AK160" i="5"/>
  <c r="AL160" i="5"/>
  <c r="AI160" i="5"/>
  <c r="AM160" i="5"/>
  <c r="AF160" i="5"/>
  <c r="AG160" i="5"/>
  <c r="AH177" i="5"/>
  <c r="AJ177" i="5"/>
  <c r="AK177" i="5"/>
  <c r="AL177" i="5"/>
  <c r="AF177" i="5"/>
  <c r="AM177" i="5"/>
  <c r="AI177" i="5"/>
  <c r="AG177" i="5"/>
  <c r="AF238" i="5"/>
  <c r="AI238" i="5"/>
  <c r="AK238" i="5"/>
  <c r="AH238" i="5"/>
  <c r="AG238" i="5"/>
  <c r="AJ238" i="5"/>
  <c r="AL238" i="5"/>
  <c r="AM238" i="5"/>
  <c r="AM265" i="5"/>
  <c r="AF265" i="5"/>
  <c r="AI265" i="5"/>
  <c r="AG265" i="5"/>
  <c r="AH265" i="5"/>
  <c r="AJ265" i="5"/>
  <c r="AK265" i="5"/>
  <c r="AL265" i="5"/>
  <c r="AF256" i="5"/>
  <c r="AI256" i="5"/>
  <c r="AK256" i="5"/>
  <c r="AH256" i="5"/>
  <c r="AG256" i="5"/>
  <c r="AJ256" i="5"/>
  <c r="AL256" i="5"/>
  <c r="AM256" i="5"/>
  <c r="AH460" i="5"/>
  <c r="AK460" i="5"/>
  <c r="AI460" i="5"/>
  <c r="AJ460" i="5"/>
  <c r="AL460" i="5"/>
  <c r="AM460" i="5"/>
  <c r="AF460" i="5"/>
  <c r="AG460" i="5"/>
  <c r="AI322" i="5"/>
  <c r="AJ322" i="5"/>
  <c r="AM322" i="5"/>
  <c r="AF322" i="5"/>
  <c r="AG322" i="5"/>
  <c r="AH322" i="5"/>
  <c r="AK322" i="5"/>
  <c r="AK404" i="5"/>
  <c r="AG404" i="5"/>
  <c r="AH404" i="5"/>
  <c r="AL404" i="5"/>
  <c r="AF404" i="5"/>
  <c r="AM404" i="5"/>
  <c r="AI404" i="5"/>
  <c r="AJ404" i="5"/>
  <c r="AI89" i="5"/>
  <c r="AJ89" i="5"/>
  <c r="AK89" i="5"/>
  <c r="AL89" i="5"/>
  <c r="AF89" i="5"/>
  <c r="AM89" i="5"/>
  <c r="AG89" i="5"/>
  <c r="AH89" i="5"/>
  <c r="AL277" i="5"/>
  <c r="AF277" i="5"/>
  <c r="AM277" i="5"/>
  <c r="AH277" i="5"/>
  <c r="AI277" i="5"/>
  <c r="AJ277" i="5"/>
  <c r="AK277" i="5"/>
  <c r="AI482" i="5"/>
  <c r="AJ482" i="5"/>
  <c r="AM482" i="5"/>
  <c r="AG482" i="5"/>
  <c r="AH482" i="5"/>
  <c r="AK482" i="5"/>
  <c r="AF332" i="5"/>
  <c r="AM332" i="5"/>
  <c r="AG332" i="5"/>
  <c r="AL332" i="5"/>
  <c r="AH332" i="5"/>
  <c r="AI332" i="5"/>
  <c r="AJ332" i="5"/>
  <c r="AK332" i="5"/>
  <c r="AH458" i="5"/>
  <c r="AK458" i="5"/>
  <c r="AL458" i="5"/>
  <c r="AI458" i="5"/>
  <c r="AJ458" i="5"/>
  <c r="AF458" i="5"/>
  <c r="AG458" i="5"/>
  <c r="AM458" i="5"/>
  <c r="AM407" i="5"/>
  <c r="AG407" i="5"/>
  <c r="AF407" i="5"/>
  <c r="AH407" i="5"/>
  <c r="AI407" i="5"/>
  <c r="AJ407" i="5"/>
  <c r="AK407" i="5"/>
  <c r="AL407" i="5"/>
  <c r="AH8" i="5"/>
  <c r="AI8" i="5"/>
  <c r="AJ8" i="5"/>
  <c r="AK8" i="5"/>
  <c r="AL8" i="5"/>
  <c r="AM8" i="5"/>
  <c r="AF8" i="5"/>
  <c r="AG8" i="5"/>
  <c r="AK367" i="5"/>
  <c r="AK498" i="5"/>
  <c r="AK374" i="5"/>
  <c r="AK515" i="5"/>
  <c r="AK499" i="5"/>
  <c r="AK500" i="5"/>
  <c r="AK412" i="5"/>
  <c r="AJ296" i="5"/>
  <c r="AK520" i="5"/>
  <c r="AK289" i="5"/>
  <c r="AK400" i="5"/>
  <c r="AK357" i="5"/>
  <c r="AK402" i="5"/>
  <c r="AK356" i="5"/>
  <c r="AK280" i="5"/>
  <c r="AK350" i="5"/>
  <c r="AK429" i="5"/>
  <c r="AK355" i="5"/>
  <c r="AK359" i="5"/>
  <c r="AK313" i="5"/>
  <c r="AF468" i="5"/>
  <c r="AK379" i="5"/>
  <c r="AK286" i="5"/>
  <c r="AI240" i="5"/>
  <c r="AK295" i="5"/>
  <c r="AI230" i="5"/>
  <c r="AK439" i="5"/>
  <c r="AK275" i="5"/>
  <c r="AI259" i="5"/>
  <c r="AI255" i="5"/>
  <c r="AI252" i="5"/>
  <c r="AI258" i="5"/>
  <c r="AI236" i="5"/>
  <c r="AI234" i="5"/>
  <c r="AK87" i="5"/>
  <c r="AK368" i="5"/>
  <c r="AK335" i="5"/>
  <c r="AH504" i="5"/>
  <c r="AL467" i="5"/>
  <c r="AF353" i="5"/>
  <c r="AK446" i="5"/>
  <c r="AK408" i="5"/>
  <c r="AK490" i="5"/>
  <c r="AI242" i="5"/>
  <c r="AI224" i="5"/>
  <c r="AK276" i="5"/>
  <c r="AK272" i="5"/>
  <c r="AK268" i="5"/>
  <c r="AL213" i="5"/>
  <c r="AL205" i="5"/>
  <c r="AL201" i="5"/>
  <c r="AG479" i="5"/>
  <c r="AG269" i="5"/>
  <c r="AH208" i="5"/>
  <c r="AJ208" i="5"/>
  <c r="AL208" i="5"/>
  <c r="AI208" i="5"/>
  <c r="AM208" i="5"/>
  <c r="AF208" i="5"/>
  <c r="AG208" i="5"/>
  <c r="AK208" i="5"/>
  <c r="AK175" i="5"/>
  <c r="AL175" i="5"/>
  <c r="AF175" i="5"/>
  <c r="AM175" i="5"/>
  <c r="AG175" i="5"/>
  <c r="AI175" i="5"/>
  <c r="AH175" i="5"/>
  <c r="AJ175" i="5"/>
  <c r="AI358" i="5"/>
  <c r="AJ358" i="5"/>
  <c r="AM358" i="5"/>
  <c r="AF358" i="5"/>
  <c r="AG358" i="5"/>
  <c r="AH358" i="5"/>
  <c r="AK358" i="5"/>
  <c r="AH421" i="5"/>
  <c r="AI421" i="5"/>
  <c r="AJ421" i="5"/>
  <c r="AM421" i="5"/>
  <c r="AK421" i="5"/>
  <c r="AL421" i="5"/>
  <c r="AG421" i="5"/>
  <c r="AF421" i="5"/>
  <c r="AH344" i="5"/>
  <c r="AK344" i="5"/>
  <c r="AI344" i="5"/>
  <c r="AJ344" i="5"/>
  <c r="AL344" i="5"/>
  <c r="AM344" i="5"/>
  <c r="AF344" i="5"/>
  <c r="AG344" i="5"/>
  <c r="AJ432" i="5"/>
  <c r="AK432" i="5"/>
  <c r="AF432" i="5"/>
  <c r="AG432" i="5"/>
  <c r="AM432" i="5"/>
  <c r="AL432" i="5"/>
  <c r="AH432" i="5"/>
  <c r="AI432" i="5"/>
  <c r="AF239" i="5"/>
  <c r="AI239" i="5"/>
  <c r="AG239" i="5"/>
  <c r="AH239" i="5"/>
  <c r="AJ239" i="5"/>
  <c r="AK239" i="5"/>
  <c r="AL239" i="5"/>
  <c r="AM239" i="5"/>
  <c r="AH267" i="5"/>
  <c r="AI267" i="5"/>
  <c r="AK267" i="5"/>
  <c r="AL267" i="5"/>
  <c r="AF267" i="5"/>
  <c r="AM267" i="5"/>
  <c r="AG267" i="5"/>
  <c r="AJ267" i="5"/>
  <c r="AI166" i="5"/>
  <c r="AM166" i="5"/>
  <c r="AG166" i="5"/>
  <c r="AF166" i="5"/>
  <c r="AH166" i="5"/>
  <c r="AJ166" i="5"/>
  <c r="AK166" i="5"/>
  <c r="AL166" i="5"/>
  <c r="AK203" i="5"/>
  <c r="AL203" i="5"/>
  <c r="AF203" i="5"/>
  <c r="AM203" i="5"/>
  <c r="AG203" i="5"/>
  <c r="AI203" i="5"/>
  <c r="AH203" i="5"/>
  <c r="AJ203" i="5"/>
  <c r="AG225" i="5"/>
  <c r="AH225" i="5"/>
  <c r="AJ225" i="5"/>
  <c r="AK225" i="5"/>
  <c r="AL225" i="5"/>
  <c r="AM225" i="5"/>
  <c r="AF225" i="5"/>
  <c r="AI225" i="5"/>
  <c r="AH377" i="5"/>
  <c r="AK377" i="5"/>
  <c r="AL377" i="5"/>
  <c r="AM377" i="5"/>
  <c r="AJ377" i="5"/>
  <c r="AF377" i="5"/>
  <c r="AI377" i="5"/>
  <c r="AG377" i="5"/>
  <c r="AJ491" i="5"/>
  <c r="AK491" i="5"/>
  <c r="AF491" i="5"/>
  <c r="AG491" i="5"/>
  <c r="AL491" i="5"/>
  <c r="AM491" i="5"/>
  <c r="AH491" i="5"/>
  <c r="AI491" i="5"/>
  <c r="AI206" i="5"/>
  <c r="AM206" i="5"/>
  <c r="AG206" i="5"/>
  <c r="AF206" i="5"/>
  <c r="AH206" i="5"/>
  <c r="AJ206" i="5"/>
  <c r="AK206" i="5"/>
  <c r="AL206" i="5"/>
  <c r="AH271" i="5"/>
  <c r="AI271" i="5"/>
  <c r="AK271" i="5"/>
  <c r="AL271" i="5"/>
  <c r="AF271" i="5"/>
  <c r="AM271" i="5"/>
  <c r="AG271" i="5"/>
  <c r="AJ271" i="5"/>
  <c r="AK114" i="5"/>
  <c r="AL114" i="5"/>
  <c r="AF114" i="5"/>
  <c r="AM114" i="5"/>
  <c r="AG114" i="5"/>
  <c r="AH114" i="5"/>
  <c r="AI114" i="5"/>
  <c r="AJ114" i="5"/>
  <c r="AF307" i="5"/>
  <c r="AL307" i="5"/>
  <c r="AG307" i="5"/>
  <c r="AM307" i="5"/>
  <c r="AH307" i="5"/>
  <c r="AI307" i="5"/>
  <c r="AJ307" i="5"/>
  <c r="AK307" i="5"/>
  <c r="AG94" i="5"/>
  <c r="AH94" i="5"/>
  <c r="AI94" i="5"/>
  <c r="AJ94" i="5"/>
  <c r="AK94" i="5"/>
  <c r="AL94" i="5"/>
  <c r="AF94" i="5"/>
  <c r="AM94" i="5"/>
  <c r="AF39" i="5"/>
  <c r="AG39" i="5"/>
  <c r="AH39" i="5"/>
  <c r="AI39" i="5"/>
  <c r="AJ39" i="5"/>
  <c r="AK39" i="5"/>
  <c r="AL39" i="5"/>
  <c r="AM39" i="5"/>
  <c r="AH516" i="5"/>
  <c r="AK516" i="5"/>
  <c r="AI516" i="5"/>
  <c r="AJ516" i="5"/>
  <c r="AL516" i="5"/>
  <c r="AM516" i="5"/>
  <c r="AF516" i="5"/>
  <c r="AG516" i="5"/>
  <c r="AJ367" i="5"/>
  <c r="AJ498" i="5"/>
  <c r="AJ374" i="5"/>
  <c r="AJ515" i="5"/>
  <c r="AJ499" i="5"/>
  <c r="AJ500" i="5"/>
  <c r="AJ412" i="5"/>
  <c r="AI296" i="5"/>
  <c r="AH520" i="5"/>
  <c r="AH289" i="5"/>
  <c r="AH400" i="5"/>
  <c r="AH357" i="5"/>
  <c r="AH402" i="5"/>
  <c r="AH356" i="5"/>
  <c r="AH280" i="5"/>
  <c r="AH350" i="5"/>
  <c r="AH429" i="5"/>
  <c r="AH355" i="5"/>
  <c r="AH359" i="5"/>
  <c r="AH313" i="5"/>
  <c r="AK468" i="5"/>
  <c r="AJ379" i="5"/>
  <c r="AJ286" i="5"/>
  <c r="AF240" i="5"/>
  <c r="AJ295" i="5"/>
  <c r="AF230" i="5"/>
  <c r="AJ439" i="5"/>
  <c r="AJ275" i="5"/>
  <c r="AF259" i="5"/>
  <c r="AF255" i="5"/>
  <c r="AF252" i="5"/>
  <c r="AF258" i="5"/>
  <c r="AF236" i="5"/>
  <c r="AF234" i="5"/>
  <c r="AL87" i="5"/>
  <c r="AJ368" i="5"/>
  <c r="AH335" i="5"/>
  <c r="AM504" i="5"/>
  <c r="AK467" i="5"/>
  <c r="AK353" i="5"/>
  <c r="AJ446" i="5"/>
  <c r="AJ408" i="5"/>
  <c r="AJ490" i="5"/>
  <c r="AF242" i="5"/>
  <c r="AF224" i="5"/>
  <c r="AJ276" i="5"/>
  <c r="AJ272" i="5"/>
  <c r="AJ268" i="5"/>
  <c r="AK213" i="5"/>
  <c r="AK201" i="5"/>
  <c r="AH479" i="5"/>
  <c r="AL530" i="5"/>
  <c r="AG260" i="5"/>
  <c r="AL354" i="5"/>
  <c r="AL441" i="5"/>
  <c r="AM441" i="5"/>
  <c r="AF441" i="5"/>
  <c r="AK441" i="5"/>
  <c r="AI441" i="5"/>
  <c r="AJ441" i="5"/>
  <c r="AG441" i="5"/>
  <c r="AH441" i="5"/>
  <c r="AJ375" i="5"/>
  <c r="AK375" i="5"/>
  <c r="AL375" i="5"/>
  <c r="AM375" i="5"/>
  <c r="AF375" i="5"/>
  <c r="AG375" i="5"/>
  <c r="AH375" i="5"/>
  <c r="AI375" i="5"/>
  <c r="AI281" i="5"/>
  <c r="AJ281" i="5"/>
  <c r="AM281" i="5"/>
  <c r="AF281" i="5"/>
  <c r="AG281" i="5"/>
  <c r="AH281" i="5"/>
  <c r="AK281" i="5"/>
  <c r="AJ266" i="5"/>
  <c r="AK266" i="5"/>
  <c r="AL266" i="5"/>
  <c r="AF266" i="5"/>
  <c r="AM266" i="5"/>
  <c r="AG266" i="5"/>
  <c r="AH266" i="5"/>
  <c r="AI266" i="5"/>
  <c r="AH29" i="5"/>
  <c r="AI29" i="5"/>
  <c r="AJ29" i="5"/>
  <c r="AK29" i="5"/>
  <c r="AL29" i="5"/>
  <c r="AM29" i="5"/>
  <c r="AF29" i="5"/>
  <c r="AG29" i="5"/>
  <c r="AF456" i="5"/>
  <c r="AM456" i="5"/>
  <c r="AL456" i="5"/>
  <c r="AH456" i="5"/>
  <c r="AI456" i="5"/>
  <c r="AJ456" i="5"/>
  <c r="AK456" i="5"/>
  <c r="AK534" i="5"/>
  <c r="AL534" i="5"/>
  <c r="AF534" i="5"/>
  <c r="AI534" i="5"/>
  <c r="AJ534" i="5"/>
  <c r="AM534" i="5"/>
  <c r="AJ333" i="5"/>
  <c r="AK333" i="5"/>
  <c r="AL333" i="5"/>
  <c r="AM333" i="5"/>
  <c r="AF333" i="5"/>
  <c r="AG333" i="5"/>
  <c r="AH333" i="5"/>
  <c r="AI333" i="5"/>
  <c r="AF261" i="5"/>
  <c r="AI261" i="5"/>
  <c r="AG261" i="5"/>
  <c r="AH261" i="5"/>
  <c r="AJ261" i="5"/>
  <c r="AK261" i="5"/>
  <c r="AL261" i="5"/>
  <c r="AM261" i="5"/>
  <c r="AJ489" i="5"/>
  <c r="AK489" i="5"/>
  <c r="AL489" i="5"/>
  <c r="AM489" i="5"/>
  <c r="AF489" i="5"/>
  <c r="AG489" i="5"/>
  <c r="AH489" i="5"/>
  <c r="AI489" i="5"/>
  <c r="AF253" i="5"/>
  <c r="AI253" i="5"/>
  <c r="AG253" i="5"/>
  <c r="AH253" i="5"/>
  <c r="AJ253" i="5"/>
  <c r="AK253" i="5"/>
  <c r="AL253" i="5"/>
  <c r="AM253" i="5"/>
  <c r="AH270" i="5"/>
  <c r="AI270" i="5"/>
  <c r="AJ270" i="5"/>
  <c r="AK270" i="5"/>
  <c r="AL270" i="5"/>
  <c r="AF270" i="5"/>
  <c r="AM270" i="5"/>
  <c r="AG270" i="5"/>
  <c r="AF306" i="5"/>
  <c r="AM306" i="5"/>
  <c r="AL306" i="5"/>
  <c r="AH306" i="5"/>
  <c r="AI306" i="5"/>
  <c r="AJ306" i="5"/>
  <c r="AK306" i="5"/>
  <c r="AJ411" i="5"/>
  <c r="AM411" i="5"/>
  <c r="AK411" i="5"/>
  <c r="AL411" i="5"/>
  <c r="AG411" i="5"/>
  <c r="AF411" i="5"/>
  <c r="AH411" i="5"/>
  <c r="AI411" i="5"/>
  <c r="AI309" i="5"/>
  <c r="AJ309" i="5"/>
  <c r="AM309" i="5"/>
  <c r="AF309" i="5"/>
  <c r="AG309" i="5"/>
  <c r="AH309" i="5"/>
  <c r="AK309" i="5"/>
  <c r="AL497" i="5"/>
  <c r="AM497" i="5"/>
  <c r="AG497" i="5"/>
  <c r="AI497" i="5"/>
  <c r="AJ497" i="5"/>
  <c r="AK497" i="5"/>
  <c r="AL246" i="5"/>
  <c r="AM246" i="5"/>
  <c r="AI246" i="5"/>
  <c r="AK246" i="5"/>
  <c r="AH246" i="5"/>
  <c r="AG246" i="5"/>
  <c r="AJ246" i="5"/>
  <c r="AF246" i="5"/>
  <c r="AG132" i="5"/>
  <c r="AH132" i="5"/>
  <c r="AI132" i="5"/>
  <c r="AJ132" i="5"/>
  <c r="AK132" i="5"/>
  <c r="AL132" i="5"/>
  <c r="AF132" i="5"/>
  <c r="AM132" i="5"/>
  <c r="AH522" i="5"/>
  <c r="AK522" i="5"/>
  <c r="AI522" i="5"/>
  <c r="AJ522" i="5"/>
  <c r="AL522" i="5"/>
  <c r="AM522" i="5"/>
  <c r="AF522" i="5"/>
  <c r="AG522" i="5"/>
  <c r="AJ285" i="5"/>
  <c r="AK285" i="5"/>
  <c r="AF285" i="5"/>
  <c r="AG285" i="5"/>
  <c r="AL285" i="5"/>
  <c r="AM285" i="5"/>
  <c r="AH285" i="5"/>
  <c r="AI285" i="5"/>
  <c r="AJ36" i="5"/>
  <c r="AK36" i="5"/>
  <c r="AL36" i="5"/>
  <c r="AM36" i="5"/>
  <c r="AF36" i="5"/>
  <c r="AG36" i="5"/>
  <c r="AH36" i="5"/>
  <c r="AI36" i="5"/>
  <c r="AM484" i="5"/>
  <c r="AL484" i="5"/>
  <c r="AF484" i="5"/>
  <c r="AG484" i="5"/>
  <c r="AH484" i="5"/>
  <c r="AI484" i="5"/>
  <c r="AJ484" i="5"/>
  <c r="AK484" i="5"/>
  <c r="AM424" i="5"/>
  <c r="AL424" i="5"/>
  <c r="AF424" i="5"/>
  <c r="AG424" i="5"/>
  <c r="AH424" i="5"/>
  <c r="AI424" i="5"/>
  <c r="AJ424" i="5"/>
  <c r="AK424" i="5"/>
  <c r="AI417" i="5"/>
  <c r="AJ417" i="5"/>
  <c r="AL417" i="5"/>
  <c r="AM417" i="5"/>
  <c r="AF417" i="5"/>
  <c r="AG417" i="5"/>
  <c r="AH417" i="5"/>
  <c r="AK417" i="5"/>
  <c r="AF226" i="5"/>
  <c r="AI226" i="5"/>
  <c r="AK226" i="5"/>
  <c r="AH226" i="5"/>
  <c r="AG226" i="5"/>
  <c r="AJ226" i="5"/>
  <c r="AL226" i="5"/>
  <c r="AM226" i="5"/>
  <c r="AI284" i="5"/>
  <c r="AJ284" i="5"/>
  <c r="AF284" i="5"/>
  <c r="AL284" i="5"/>
  <c r="AM284" i="5"/>
  <c r="AG284" i="5"/>
  <c r="AH284" i="5"/>
  <c r="AK284" i="5"/>
  <c r="AJ496" i="5"/>
  <c r="AK496" i="5"/>
  <c r="AL496" i="5"/>
  <c r="AM496" i="5"/>
  <c r="AF496" i="5"/>
  <c r="AG496" i="5"/>
  <c r="AH496" i="5"/>
  <c r="AI496" i="5"/>
  <c r="AL430" i="5"/>
  <c r="AM430" i="5"/>
  <c r="AF430" i="5"/>
  <c r="AG430" i="5"/>
  <c r="AH430" i="5"/>
  <c r="AI430" i="5"/>
  <c r="AJ430" i="5"/>
  <c r="AK430" i="5"/>
  <c r="AI367" i="5"/>
  <c r="AI498" i="5"/>
  <c r="AI374" i="5"/>
  <c r="AI515" i="5"/>
  <c r="AI499" i="5"/>
  <c r="AI500" i="5"/>
  <c r="AI412" i="5"/>
  <c r="AF296" i="5"/>
  <c r="AG520" i="5"/>
  <c r="AG289" i="5"/>
  <c r="AG400" i="5"/>
  <c r="AG357" i="5"/>
  <c r="AG402" i="5"/>
  <c r="AG356" i="5"/>
  <c r="AG280" i="5"/>
  <c r="AG350" i="5"/>
  <c r="AG429" i="5"/>
  <c r="AG355" i="5"/>
  <c r="AG359" i="5"/>
  <c r="AG313" i="5"/>
  <c r="AJ468" i="5"/>
  <c r="AI379" i="5"/>
  <c r="AI286" i="5"/>
  <c r="AM240" i="5"/>
  <c r="AI295" i="5"/>
  <c r="AM230" i="5"/>
  <c r="AI439" i="5"/>
  <c r="AI275" i="5"/>
  <c r="AM259" i="5"/>
  <c r="AM255" i="5"/>
  <c r="AM252" i="5"/>
  <c r="AM258" i="5"/>
  <c r="AM236" i="5"/>
  <c r="AM234" i="5"/>
  <c r="AI87" i="5"/>
  <c r="AI368" i="5"/>
  <c r="AG335" i="5"/>
  <c r="AJ504" i="5"/>
  <c r="AJ467" i="5"/>
  <c r="AJ353" i="5"/>
  <c r="AI446" i="5"/>
  <c r="AI408" i="5"/>
  <c r="AI490" i="5"/>
  <c r="AM242" i="5"/>
  <c r="AM224" i="5"/>
  <c r="AI276" i="5"/>
  <c r="AI272" i="5"/>
  <c r="AI268" i="5"/>
  <c r="AJ213" i="5"/>
  <c r="AJ201" i="5"/>
  <c r="AF287" i="5"/>
  <c r="AF497" i="5"/>
  <c r="AG534" i="5"/>
  <c r="AH542" i="5"/>
  <c r="AI542" i="5"/>
  <c r="AK542" i="5"/>
  <c r="AL542" i="5"/>
  <c r="AM542" i="5"/>
  <c r="AF542" i="5"/>
  <c r="AG542" i="5"/>
  <c r="AJ542" i="5"/>
  <c r="AH367" i="5"/>
  <c r="AH374" i="5"/>
  <c r="AH296" i="5"/>
  <c r="AF356" i="5"/>
  <c r="AF429" i="5"/>
  <c r="AH287" i="5"/>
  <c r="AH497" i="5"/>
  <c r="AH534" i="5"/>
  <c r="AL358" i="5"/>
  <c r="P392" i="5"/>
  <c r="P391" i="5"/>
  <c r="P447" i="5"/>
  <c r="P287" i="5"/>
  <c r="P354" i="5"/>
  <c r="P526" i="5"/>
  <c r="V132" i="5"/>
  <c r="V270" i="5"/>
  <c r="V421" i="5"/>
  <c r="P333" i="5"/>
  <c r="P227" i="5"/>
  <c r="P484" i="5"/>
  <c r="P349" i="5"/>
  <c r="P332" i="5"/>
  <c r="P458" i="5"/>
  <c r="V265" i="5"/>
  <c r="P477" i="5"/>
  <c r="P243" i="5"/>
  <c r="P413" i="5"/>
  <c r="P365" i="5"/>
  <c r="V452" i="5"/>
  <c r="P430" i="5"/>
  <c r="P459" i="5"/>
  <c r="V347" i="5"/>
  <c r="P542" i="5"/>
  <c r="P259" i="5"/>
  <c r="P527" i="5"/>
  <c r="P292" i="5"/>
  <c r="V414" i="5"/>
  <c r="P366" i="5"/>
  <c r="P291" i="5"/>
  <c r="P297" i="5"/>
  <c r="P360" i="5"/>
  <c r="V346" i="5"/>
  <c r="P348" i="5"/>
  <c r="P460" i="5"/>
  <c r="P322" i="5"/>
  <c r="P435" i="5"/>
  <c r="P543" i="5"/>
  <c r="V301" i="5"/>
  <c r="P257" i="5"/>
  <c r="P506" i="5"/>
  <c r="X369" i="5"/>
  <c r="X95" i="5"/>
  <c r="X228" i="5"/>
  <c r="X252" i="5"/>
  <c r="W4" i="5"/>
  <c r="X225" i="5"/>
  <c r="W221" i="5"/>
  <c r="W144" i="5"/>
  <c r="X247" i="5"/>
  <c r="X12" i="5"/>
  <c r="W17" i="5"/>
  <c r="W317" i="5"/>
  <c r="Y317" i="5" s="1"/>
  <c r="X37" i="5"/>
  <c r="W216" i="5"/>
  <c r="W259" i="5"/>
  <c r="X27" i="5"/>
  <c r="W11" i="5"/>
  <c r="X447" i="5"/>
  <c r="V447" i="5"/>
  <c r="X334" i="5"/>
  <c r="V334" i="5"/>
  <c r="X445" i="5"/>
  <c r="X282" i="5"/>
  <c r="X266" i="5"/>
  <c r="V266" i="5"/>
  <c r="X251" i="5"/>
  <c r="X374" i="5"/>
  <c r="V374" i="5"/>
  <c r="X500" i="5"/>
  <c r="V500" i="5"/>
  <c r="X296" i="5"/>
  <c r="V296" i="5"/>
  <c r="X357" i="5"/>
  <c r="V357" i="5"/>
  <c r="X356" i="5"/>
  <c r="V356" i="5"/>
  <c r="X350" i="5"/>
  <c r="V350" i="5"/>
  <c r="X355" i="5"/>
  <c r="V355" i="5"/>
  <c r="X453" i="5"/>
  <c r="X397" i="5"/>
  <c r="X180" i="5"/>
  <c r="X164" i="5"/>
  <c r="X62" i="5"/>
  <c r="X46" i="5"/>
  <c r="X45" i="5"/>
  <c r="X419" i="5"/>
  <c r="X418" i="5"/>
  <c r="X275" i="5"/>
  <c r="V275" i="5"/>
  <c r="X258" i="5"/>
  <c r="V258" i="5"/>
  <c r="X435" i="5"/>
  <c r="V435" i="5"/>
  <c r="X501" i="5"/>
  <c r="V501" i="5"/>
  <c r="V472" i="5"/>
  <c r="X302" i="5"/>
  <c r="X436" i="5"/>
  <c r="V436" i="5"/>
  <c r="W224" i="5"/>
  <c r="V224" i="5"/>
  <c r="W268" i="5"/>
  <c r="V268" i="5"/>
  <c r="X201" i="5"/>
  <c r="V201" i="5"/>
  <c r="X181" i="5"/>
  <c r="X165" i="5"/>
  <c r="X145" i="5"/>
  <c r="X125" i="5"/>
  <c r="X47" i="5"/>
  <c r="X139" i="5"/>
  <c r="X366" i="5"/>
  <c r="V366" i="5"/>
  <c r="X461" i="5"/>
  <c r="X151" i="5"/>
  <c r="X485" i="5"/>
  <c r="X315" i="5"/>
  <c r="X364" i="5"/>
  <c r="X512" i="5"/>
  <c r="V512" i="5"/>
  <c r="X443" i="5"/>
  <c r="X523" i="5"/>
  <c r="V523" i="5"/>
  <c r="X457" i="5"/>
  <c r="V457" i="5"/>
  <c r="X218" i="5"/>
  <c r="X210" i="5"/>
  <c r="X174" i="5"/>
  <c r="V114" i="5"/>
  <c r="X84" i="5"/>
  <c r="X48" i="5"/>
  <c r="X28" i="5"/>
  <c r="X109" i="5"/>
  <c r="X57" i="5"/>
  <c r="X394" i="5"/>
  <c r="X541" i="5"/>
  <c r="X244" i="5"/>
  <c r="V244" i="5"/>
  <c r="X404" i="5"/>
  <c r="V404" i="5"/>
  <c r="X159" i="5"/>
  <c r="X468" i="5"/>
  <c r="V468" i="5"/>
  <c r="X242" i="5"/>
  <c r="V242" i="5"/>
  <c r="W267" i="5"/>
  <c r="V267" i="5"/>
  <c r="X212" i="5"/>
  <c r="X196" i="5"/>
  <c r="V144" i="5"/>
  <c r="X94" i="5"/>
  <c r="V94" i="5"/>
  <c r="X78" i="5"/>
  <c r="X26" i="5"/>
  <c r="X9" i="5"/>
  <c r="X385" i="5"/>
  <c r="V385" i="5"/>
  <c r="X504" i="5"/>
  <c r="V504" i="5"/>
  <c r="X489" i="5"/>
  <c r="V489" i="5"/>
  <c r="X123" i="5"/>
  <c r="X21" i="5"/>
  <c r="X281" i="5"/>
  <c r="V281" i="5"/>
  <c r="X327" i="5"/>
  <c r="X330" i="5"/>
  <c r="X332" i="5"/>
  <c r="V332" i="5"/>
  <c r="X197" i="5"/>
  <c r="X161" i="5"/>
  <c r="X79" i="5"/>
  <c r="X63" i="5"/>
  <c r="X43" i="5"/>
  <c r="X61" i="5"/>
  <c r="X524" i="5"/>
  <c r="X488" i="5"/>
  <c r="X304" i="5"/>
  <c r="X260" i="5"/>
  <c r="V260" i="5"/>
  <c r="X33" i="5"/>
  <c r="X450" i="5"/>
  <c r="V450" i="5"/>
  <c r="X303" i="5"/>
  <c r="V303" i="5"/>
  <c r="X529" i="5"/>
  <c r="X430" i="5"/>
  <c r="V430" i="5"/>
  <c r="X190" i="5"/>
  <c r="X150" i="5"/>
  <c r="X130" i="5"/>
  <c r="X64" i="5"/>
  <c r="X44" i="5"/>
  <c r="X496" i="5"/>
  <c r="V496" i="5"/>
  <c r="X469" i="5"/>
  <c r="V469" i="5"/>
  <c r="X110" i="5"/>
  <c r="V110" i="5"/>
  <c r="X518" i="5"/>
  <c r="X413" i="5"/>
  <c r="V413" i="5"/>
  <c r="X401" i="5"/>
  <c r="V401" i="5"/>
  <c r="X325" i="5"/>
  <c r="X522" i="5"/>
  <c r="V522" i="5"/>
  <c r="X442" i="5"/>
  <c r="X344" i="5"/>
  <c r="V344" i="5"/>
  <c r="X340" i="5"/>
  <c r="V340" i="5"/>
  <c r="X409" i="5"/>
  <c r="X253" i="5"/>
  <c r="V253" i="5"/>
  <c r="X227" i="5"/>
  <c r="V227" i="5"/>
  <c r="X199" i="5"/>
  <c r="X175" i="5"/>
  <c r="V175" i="5"/>
  <c r="X498" i="5"/>
  <c r="V498" i="5"/>
  <c r="X540" i="5"/>
  <c r="X299" i="5"/>
  <c r="V299" i="5"/>
  <c r="X240" i="5"/>
  <c r="V240" i="5"/>
  <c r="X220" i="5"/>
  <c r="X239" i="5"/>
  <c r="V239" i="5"/>
  <c r="X513" i="5"/>
  <c r="X535" i="5"/>
  <c r="W520" i="5"/>
  <c r="Y520" i="5" s="1"/>
  <c r="V520" i="5"/>
  <c r="X370" i="5"/>
  <c r="X279" i="5"/>
  <c r="X376" i="5"/>
  <c r="X359" i="5"/>
  <c r="V359" i="5"/>
  <c r="X319" i="5"/>
  <c r="X382" i="5"/>
  <c r="X455" i="5"/>
  <c r="X176" i="5"/>
  <c r="X160" i="5"/>
  <c r="V160" i="5"/>
  <c r="X74" i="5"/>
  <c r="X58" i="5"/>
  <c r="X42" i="5"/>
  <c r="X107" i="5"/>
  <c r="X29" i="5"/>
  <c r="V29" i="5"/>
  <c r="X311" i="5"/>
  <c r="V259" i="5"/>
  <c r="X241" i="5"/>
  <c r="X514" i="5"/>
  <c r="X479" i="5"/>
  <c r="V479" i="5"/>
  <c r="X322" i="5"/>
  <c r="V322" i="5"/>
  <c r="X324" i="5"/>
  <c r="X318" i="5"/>
  <c r="X341" i="5"/>
  <c r="V341" i="5"/>
  <c r="X432" i="5"/>
  <c r="V432" i="5"/>
  <c r="X276" i="5"/>
  <c r="V276" i="5"/>
  <c r="X213" i="5"/>
  <c r="V213" i="5"/>
  <c r="X193" i="5"/>
  <c r="V193" i="5"/>
  <c r="X177" i="5"/>
  <c r="V177" i="5"/>
  <c r="X141" i="5"/>
  <c r="V141" i="5"/>
  <c r="X121" i="5"/>
  <c r="X135" i="5"/>
  <c r="X494" i="5"/>
  <c r="X358" i="5"/>
  <c r="V358" i="5"/>
  <c r="X147" i="5"/>
  <c r="X388" i="5"/>
  <c r="V388" i="5"/>
  <c r="X484" i="5"/>
  <c r="V484" i="5"/>
  <c r="X536" i="5"/>
  <c r="V536" i="5"/>
  <c r="X308" i="5"/>
  <c r="X328" i="5"/>
  <c r="V328" i="5"/>
  <c r="X444" i="5"/>
  <c r="V444" i="5"/>
  <c r="X410" i="5"/>
  <c r="X206" i="5"/>
  <c r="V206" i="5"/>
  <c r="X186" i="5"/>
  <c r="V186" i="5"/>
  <c r="X166" i="5"/>
  <c r="V166" i="5"/>
  <c r="X96" i="5"/>
  <c r="X80" i="5"/>
  <c r="X40" i="5"/>
  <c r="V40" i="5"/>
  <c r="X24" i="5"/>
  <c r="V24" i="5"/>
  <c r="X105" i="5"/>
  <c r="X386" i="5"/>
  <c r="X503" i="5"/>
  <c r="X431" i="5"/>
  <c r="X256" i="5"/>
  <c r="V256" i="5"/>
  <c r="W226" i="5"/>
  <c r="V226" i="5"/>
  <c r="X505" i="5"/>
  <c r="X195" i="5"/>
  <c r="X155" i="5"/>
  <c r="X463" i="5"/>
  <c r="X434" i="5"/>
  <c r="X246" i="5"/>
  <c r="V246" i="5"/>
  <c r="X208" i="5"/>
  <c r="V208" i="5"/>
  <c r="X192" i="5"/>
  <c r="X156" i="5"/>
  <c r="X140" i="5"/>
  <c r="X116" i="5"/>
  <c r="X90" i="5"/>
  <c r="X38" i="5"/>
  <c r="X22" i="5"/>
  <c r="X103" i="5"/>
  <c r="X495" i="5"/>
  <c r="X467" i="5"/>
  <c r="V467" i="5"/>
  <c r="X306" i="5"/>
  <c r="V306" i="5"/>
  <c r="X119" i="5"/>
  <c r="V119" i="5"/>
  <c r="X13" i="5"/>
  <c r="X521" i="5"/>
  <c r="X533" i="5"/>
  <c r="X233" i="5"/>
  <c r="V233" i="5"/>
  <c r="X157" i="5"/>
  <c r="X117" i="5"/>
  <c r="X91" i="5"/>
  <c r="X75" i="5"/>
  <c r="X59" i="5"/>
  <c r="X39" i="5"/>
  <c r="V39" i="5"/>
  <c r="X23" i="5"/>
  <c r="V23" i="5"/>
  <c r="X100" i="5"/>
  <c r="X8" i="5"/>
  <c r="V8" i="5"/>
  <c r="X462" i="5"/>
  <c r="V462" i="5"/>
  <c r="X352" i="5"/>
  <c r="X437" i="5"/>
  <c r="X277" i="5"/>
  <c r="V277" i="5"/>
  <c r="X237" i="5"/>
  <c r="X389" i="5"/>
  <c r="X473" i="5"/>
  <c r="X441" i="5"/>
  <c r="V441" i="5"/>
  <c r="X459" i="5"/>
  <c r="V459" i="5"/>
  <c r="X490" i="5"/>
  <c r="V490" i="5"/>
  <c r="X146" i="5"/>
  <c r="X126" i="5"/>
  <c r="X60" i="5"/>
  <c r="X425" i="5"/>
  <c r="X491" i="5"/>
  <c r="V491" i="5"/>
  <c r="X7" i="5"/>
  <c r="V7" i="5"/>
  <c r="X102" i="5"/>
  <c r="X470" i="5"/>
  <c r="X480" i="5"/>
  <c r="X440" i="5"/>
  <c r="X351" i="5"/>
  <c r="V351" i="5"/>
  <c r="X460" i="5"/>
  <c r="V460" i="5"/>
  <c r="X329" i="5"/>
  <c r="X406" i="5"/>
  <c r="V406" i="5"/>
  <c r="X456" i="5"/>
  <c r="V456" i="5"/>
  <c r="X261" i="5"/>
  <c r="V261" i="5"/>
  <c r="X250" i="5"/>
  <c r="V250" i="5"/>
  <c r="X211" i="5"/>
  <c r="X191" i="5"/>
  <c r="V191" i="5"/>
  <c r="X171" i="5"/>
  <c r="P234" i="5"/>
  <c r="V234" i="5"/>
  <c r="P474" i="5"/>
  <c r="V474" i="5"/>
  <c r="X288" i="5"/>
  <c r="X416" i="5"/>
  <c r="X543" i="5"/>
  <c r="V543" i="5"/>
  <c r="V295" i="5"/>
  <c r="V217" i="5"/>
  <c r="X231" i="5"/>
  <c r="V231" i="5"/>
  <c r="X515" i="5"/>
  <c r="V515" i="5"/>
  <c r="X412" i="5"/>
  <c r="V412" i="5"/>
  <c r="X289" i="5"/>
  <c r="V289" i="5"/>
  <c r="X402" i="5"/>
  <c r="V402" i="5"/>
  <c r="X280" i="5"/>
  <c r="V280" i="5"/>
  <c r="X429" i="5"/>
  <c r="V429" i="5"/>
  <c r="X313" i="5"/>
  <c r="V313" i="5"/>
  <c r="X392" i="5"/>
  <c r="V392" i="5"/>
  <c r="X284" i="5"/>
  <c r="V284" i="5"/>
  <c r="X380" i="5"/>
  <c r="V380" i="5"/>
  <c r="X188" i="5"/>
  <c r="X172" i="5"/>
  <c r="X70" i="5"/>
  <c r="X54" i="5"/>
  <c r="X25" i="5"/>
  <c r="V25" i="5"/>
  <c r="X335" i="5"/>
  <c r="V335" i="5"/>
  <c r="V255" i="5"/>
  <c r="X236" i="5"/>
  <c r="V236" i="5"/>
  <c r="X387" i="5"/>
  <c r="X534" i="5"/>
  <c r="V534" i="5"/>
  <c r="X371" i="5"/>
  <c r="X373" i="5"/>
  <c r="X454" i="5"/>
  <c r="X353" i="5"/>
  <c r="V353" i="5"/>
  <c r="X278" i="5"/>
  <c r="V278" i="5"/>
  <c r="X263" i="5"/>
  <c r="X214" i="5"/>
  <c r="X209" i="5"/>
  <c r="X189" i="5"/>
  <c r="X173" i="5"/>
  <c r="X153" i="5"/>
  <c r="X137" i="5"/>
  <c r="X131" i="5"/>
  <c r="X106" i="5"/>
  <c r="X507" i="5"/>
  <c r="V507" i="5"/>
  <c r="X81" i="5"/>
  <c r="X464" i="5"/>
  <c r="X424" i="5"/>
  <c r="V424" i="5"/>
  <c r="X362" i="5"/>
  <c r="X506" i="5"/>
  <c r="V506" i="5"/>
  <c r="X342" i="5"/>
  <c r="X396" i="5"/>
  <c r="V396" i="5"/>
  <c r="X405" i="5"/>
  <c r="V307" i="5"/>
  <c r="X243" i="5"/>
  <c r="V243" i="5"/>
  <c r="X202" i="5"/>
  <c r="X182" i="5"/>
  <c r="X162" i="5"/>
  <c r="X92" i="5"/>
  <c r="X76" i="5"/>
  <c r="X36" i="5"/>
  <c r="V36" i="5"/>
  <c r="X20" i="5"/>
  <c r="V20" i="5"/>
  <c r="X101" i="5"/>
  <c r="X365" i="5"/>
  <c r="V365" i="5"/>
  <c r="X465" i="5"/>
  <c r="X215" i="5"/>
  <c r="V215" i="5"/>
  <c r="X448" i="5"/>
  <c r="X326" i="5"/>
  <c r="V326" i="5"/>
  <c r="X349" i="5"/>
  <c r="V349" i="5"/>
  <c r="X69" i="5"/>
  <c r="P290" i="5"/>
  <c r="V290" i="5"/>
  <c r="X383" i="5"/>
  <c r="V383" i="5"/>
  <c r="X466" i="5"/>
  <c r="V466" i="5"/>
  <c r="X393" i="5"/>
  <c r="X427" i="5"/>
  <c r="X274" i="5"/>
  <c r="V274" i="5"/>
  <c r="W235" i="5"/>
  <c r="V235" i="5"/>
  <c r="X204" i="5"/>
  <c r="X152" i="5"/>
  <c r="X136" i="5"/>
  <c r="X112" i="5"/>
  <c r="X86" i="5"/>
  <c r="X34" i="5"/>
  <c r="W18" i="5"/>
  <c r="X89" i="5"/>
  <c r="V89" i="5"/>
  <c r="X497" i="5"/>
  <c r="V497" i="5"/>
  <c r="W509" i="5"/>
  <c r="Y509" i="5" s="1"/>
  <c r="V509" i="5"/>
  <c r="X283" i="5"/>
  <c r="X439" i="5"/>
  <c r="V439" i="5"/>
  <c r="X10" i="5"/>
  <c r="BV10" i="5" s="1"/>
  <c r="V10" i="5"/>
  <c r="W115" i="5"/>
  <c r="X477" i="5"/>
  <c r="V477" i="5"/>
  <c r="X530" i="5"/>
  <c r="V530" i="5"/>
  <c r="X312" i="5"/>
  <c r="V312" i="5"/>
  <c r="X348" i="5"/>
  <c r="V348" i="5"/>
  <c r="X426" i="5"/>
  <c r="X300" i="5"/>
  <c r="X113" i="5"/>
  <c r="X87" i="5"/>
  <c r="V87" i="5"/>
  <c r="X71" i="5"/>
  <c r="X55" i="5"/>
  <c r="X35" i="5"/>
  <c r="X19" i="5"/>
  <c r="X6" i="5"/>
  <c r="X77" i="5"/>
  <c r="X510" i="5"/>
  <c r="V510" i="5"/>
  <c r="X446" i="5"/>
  <c r="V446" i="5"/>
  <c r="X398" i="5"/>
  <c r="V398" i="5"/>
  <c r="X273" i="5"/>
  <c r="X108" i="5"/>
  <c r="X372" i="5"/>
  <c r="V372" i="5"/>
  <c r="X511" i="5"/>
  <c r="V511" i="5"/>
  <c r="X377" i="5"/>
  <c r="V377" i="5"/>
  <c r="X291" i="5"/>
  <c r="V291" i="5"/>
  <c r="X286" i="5"/>
  <c r="V286" i="5"/>
  <c r="X138" i="5"/>
  <c r="V138" i="5"/>
  <c r="X122" i="5"/>
  <c r="X56" i="5"/>
  <c r="X384" i="5"/>
  <c r="V384" i="5"/>
  <c r="X433" i="5"/>
  <c r="X305" i="5"/>
  <c r="X127" i="5"/>
  <c r="X333" i="5"/>
  <c r="V333" i="5"/>
  <c r="X411" i="5"/>
  <c r="V411" i="5"/>
  <c r="X538" i="5"/>
  <c r="V538" i="5"/>
  <c r="X478" i="5"/>
  <c r="X336" i="5"/>
  <c r="X390" i="5"/>
  <c r="X298" i="5"/>
  <c r="V298" i="5"/>
  <c r="X438" i="5"/>
  <c r="X249" i="5"/>
  <c r="V245" i="5"/>
  <c r="X207" i="5"/>
  <c r="X187" i="5"/>
  <c r="X167" i="5"/>
  <c r="X297" i="5"/>
  <c r="V297" i="5"/>
  <c r="X417" i="5"/>
  <c r="V417" i="5"/>
  <c r="X525" i="5"/>
  <c r="X230" i="5"/>
  <c r="V230" i="5"/>
  <c r="X254" i="5"/>
  <c r="X368" i="5"/>
  <c r="V368" i="5"/>
  <c r="X499" i="5"/>
  <c r="V499" i="5"/>
  <c r="X361" i="5"/>
  <c r="X400" i="5"/>
  <c r="V400" i="5"/>
  <c r="X323" i="5"/>
  <c r="X528" i="5"/>
  <c r="X531" i="5"/>
  <c r="X310" i="5"/>
  <c r="X391" i="5"/>
  <c r="V391" i="5"/>
  <c r="X486" i="5"/>
  <c r="X320" i="5"/>
  <c r="V320" i="5"/>
  <c r="X184" i="5"/>
  <c r="X168" i="5"/>
  <c r="X66" i="5"/>
  <c r="X50" i="5"/>
  <c r="X287" i="5"/>
  <c r="V287" i="5"/>
  <c r="X508" i="5"/>
  <c r="V508" i="5"/>
  <c r="W223" i="5"/>
  <c r="V223" i="5"/>
  <c r="V252" i="5"/>
  <c r="X314" i="5"/>
  <c r="X482" i="5"/>
  <c r="V482" i="5"/>
  <c r="X537" i="5"/>
  <c r="X338" i="5"/>
  <c r="V338" i="5"/>
  <c r="X379" i="5"/>
  <c r="V379" i="5"/>
  <c r="V228" i="5"/>
  <c r="X272" i="5"/>
  <c r="V272" i="5"/>
  <c r="X205" i="5"/>
  <c r="X185" i="5"/>
  <c r="X169" i="5"/>
  <c r="X149" i="5"/>
  <c r="X133" i="5"/>
  <c r="X354" i="5"/>
  <c r="V354" i="5"/>
  <c r="X104" i="5"/>
  <c r="X53" i="5"/>
  <c r="X519" i="5"/>
  <c r="X360" i="5"/>
  <c r="V360" i="5"/>
  <c r="X363" i="5"/>
  <c r="X343" i="5"/>
  <c r="X292" i="5"/>
  <c r="V292" i="5"/>
  <c r="X428" i="5"/>
  <c r="X264" i="5"/>
  <c r="V225" i="5"/>
  <c r="X198" i="5"/>
  <c r="X178" i="5"/>
  <c r="X158" i="5"/>
  <c r="X118" i="5"/>
  <c r="X88" i="5"/>
  <c r="X72" i="5"/>
  <c r="X52" i="5"/>
  <c r="X32" i="5"/>
  <c r="V32" i="5"/>
  <c r="X93" i="5"/>
  <c r="X337" i="5"/>
  <c r="V337" i="5"/>
  <c r="X487" i="5"/>
  <c r="V221" i="5"/>
  <c r="X248" i="5"/>
  <c r="V248" i="5"/>
  <c r="X483" i="5"/>
  <c r="X527" i="5"/>
  <c r="V527" i="5"/>
  <c r="X183" i="5"/>
  <c r="V183" i="5"/>
  <c r="X163" i="5"/>
  <c r="V163" i="5"/>
  <c r="X65" i="5"/>
  <c r="P293" i="5"/>
  <c r="V293" i="5"/>
  <c r="X367" i="5"/>
  <c r="V367" i="5"/>
  <c r="X339" i="5"/>
  <c r="X321" i="5"/>
  <c r="V321" i="5"/>
  <c r="X271" i="5"/>
  <c r="V271" i="5"/>
  <c r="X232" i="5"/>
  <c r="V232" i="5"/>
  <c r="X200" i="5"/>
  <c r="X148" i="5"/>
  <c r="V148" i="5"/>
  <c r="X128" i="5"/>
  <c r="X98" i="5"/>
  <c r="X82" i="5"/>
  <c r="X30" i="5"/>
  <c r="V30" i="5"/>
  <c r="X14" i="5"/>
  <c r="X85" i="5"/>
  <c r="X475" i="5"/>
  <c r="X542" i="5"/>
  <c r="V542" i="5"/>
  <c r="X143" i="5"/>
  <c r="X97" i="5"/>
  <c r="V97" i="5"/>
  <c r="X517" i="5"/>
  <c r="V517" i="5"/>
  <c r="X316" i="5"/>
  <c r="X309" i="5"/>
  <c r="V309" i="5"/>
  <c r="X526" i="5"/>
  <c r="V526" i="5"/>
  <c r="X399" i="5"/>
  <c r="X99" i="5"/>
  <c r="V99" i="5"/>
  <c r="X83" i="5"/>
  <c r="X67" i="5"/>
  <c r="X51" i="5"/>
  <c r="X31" i="5"/>
  <c r="V31" i="5"/>
  <c r="X15" i="5"/>
  <c r="AA15" i="5" s="1"/>
  <c r="X73" i="5"/>
  <c r="X476" i="5"/>
  <c r="X408" i="5"/>
  <c r="V408" i="5"/>
  <c r="X294" i="5"/>
  <c r="V294" i="5"/>
  <c r="X269" i="5"/>
  <c r="V269" i="5"/>
  <c r="X49" i="5"/>
  <c r="X403" i="5"/>
  <c r="X458" i="5"/>
  <c r="V458" i="5"/>
  <c r="X502" i="5"/>
  <c r="V502" i="5"/>
  <c r="X407" i="5"/>
  <c r="V407" i="5"/>
  <c r="X194" i="5"/>
  <c r="X154" i="5"/>
  <c r="X134" i="5"/>
  <c r="X68" i="5"/>
  <c r="X493" i="5"/>
  <c r="X331" i="5"/>
  <c r="X375" i="5"/>
  <c r="V375" i="5"/>
  <c r="X471" i="5"/>
  <c r="X449" i="5"/>
  <c r="V449" i="5"/>
  <c r="X539" i="5"/>
  <c r="X516" i="5"/>
  <c r="V516" i="5"/>
  <c r="V317" i="5"/>
  <c r="X378" i="5"/>
  <c r="X285" i="5"/>
  <c r="V285" i="5"/>
  <c r="X229" i="5"/>
  <c r="V229" i="5"/>
  <c r="X257" i="5"/>
  <c r="V257" i="5"/>
  <c r="X238" i="5"/>
  <c r="V238" i="5"/>
  <c r="X203" i="5"/>
  <c r="V203" i="5"/>
  <c r="X179" i="5"/>
  <c r="W500" i="5"/>
  <c r="Y500" i="5" s="1"/>
  <c r="W357" i="5"/>
  <c r="Y357" i="5" s="1"/>
  <c r="W296" i="5"/>
  <c r="Y296" i="5" s="1"/>
  <c r="W374" i="5"/>
  <c r="Y374" i="5" s="1"/>
  <c r="W334" i="5"/>
  <c r="Y334" i="5" s="1"/>
  <c r="W251" i="5"/>
  <c r="W356" i="5"/>
  <c r="Y356" i="5" s="1"/>
  <c r="W355" i="5"/>
  <c r="Y355" i="5" s="1"/>
  <c r="W453" i="5"/>
  <c r="Y453" i="5" s="1"/>
  <c r="W180" i="5"/>
  <c r="W447" i="5"/>
  <c r="Y447" i="5" s="1"/>
  <c r="W266" i="5"/>
  <c r="W445" i="5"/>
  <c r="Y445" i="5" s="1"/>
  <c r="W350" i="5"/>
  <c r="Y350" i="5" s="1"/>
  <c r="W160" i="5"/>
  <c r="W241" i="5"/>
  <c r="W74" i="5"/>
  <c r="W42" i="5"/>
  <c r="W319" i="5"/>
  <c r="Y319" i="5" s="1"/>
  <c r="W455" i="5"/>
  <c r="Y455" i="5" s="1"/>
  <c r="W128" i="5"/>
  <c r="W67" i="5"/>
  <c r="W367" i="5"/>
  <c r="Y367" i="5" s="1"/>
  <c r="W475" i="5"/>
  <c r="Y475" i="5" s="1"/>
  <c r="W399" i="5"/>
  <c r="Y399" i="5" s="1"/>
  <c r="W83" i="5"/>
  <c r="W49" i="5"/>
  <c r="W542" i="5"/>
  <c r="Y542" i="5" s="1"/>
  <c r="W85" i="5"/>
  <c r="W526" i="5"/>
  <c r="Y526" i="5" s="1"/>
  <c r="W73" i="5"/>
  <c r="W321" i="5"/>
  <c r="Y321" i="5" s="1"/>
  <c r="W316" i="5"/>
  <c r="Y316" i="5" s="1"/>
  <c r="W476" i="5"/>
  <c r="Y476" i="5" s="1"/>
  <c r="W15" i="5"/>
  <c r="W99" i="5"/>
  <c r="W200" i="5"/>
  <c r="W517" i="5"/>
  <c r="Y517" i="5" s="1"/>
  <c r="W82" i="5"/>
  <c r="W98" i="5"/>
  <c r="W148" i="5"/>
  <c r="W232" i="5"/>
  <c r="W14" i="5"/>
  <c r="W309" i="5"/>
  <c r="Y309" i="5" s="1"/>
  <c r="W408" i="5"/>
  <c r="Y408" i="5" s="1"/>
  <c r="W31" i="5"/>
  <c r="W269" i="5"/>
  <c r="W143" i="5"/>
  <c r="W294" i="5"/>
  <c r="Y294" i="5" s="1"/>
  <c r="W30" i="5"/>
  <c r="W370" i="5"/>
  <c r="Y370" i="5" s="1"/>
  <c r="W376" i="5"/>
  <c r="Y376" i="5" s="1"/>
  <c r="X520" i="5"/>
  <c r="W279" i="5"/>
  <c r="Y279" i="5" s="1"/>
  <c r="W359" i="5"/>
  <c r="Y359" i="5" s="1"/>
  <c r="W498" i="5"/>
  <c r="Y498" i="5" s="1"/>
  <c r="W535" i="5"/>
  <c r="Y535" i="5" s="1"/>
  <c r="W220" i="5"/>
  <c r="W240" i="5"/>
  <c r="W239" i="5"/>
  <c r="W176" i="5"/>
  <c r="W299" i="5"/>
  <c r="Y299" i="5" s="1"/>
  <c r="W382" i="5"/>
  <c r="Y382" i="5" s="1"/>
  <c r="W513" i="5"/>
  <c r="Y513" i="5" s="1"/>
  <c r="W540" i="5"/>
  <c r="Y540" i="5" s="1"/>
  <c r="W456" i="5"/>
  <c r="Y456" i="5" s="1"/>
  <c r="W10" i="5"/>
  <c r="W274" i="5"/>
  <c r="W393" i="5"/>
  <c r="Y393" i="5" s="1"/>
  <c r="W87" i="5"/>
  <c r="Q293" i="5"/>
  <c r="W427" i="5"/>
  <c r="Y427" i="5" s="1"/>
  <c r="W211" i="5"/>
  <c r="W55" i="5"/>
  <c r="W348" i="5"/>
  <c r="Y348" i="5" s="1"/>
  <c r="W277" i="5"/>
  <c r="W112" i="5"/>
  <c r="W8" i="5"/>
  <c r="W352" i="5"/>
  <c r="Y352" i="5" s="1"/>
  <c r="W86" i="5"/>
  <c r="W477" i="5"/>
  <c r="Y477" i="5" s="1"/>
  <c r="W497" i="5"/>
  <c r="Y497" i="5" s="1"/>
  <c r="W351" i="5"/>
  <c r="Y351" i="5" s="1"/>
  <c r="W383" i="5"/>
  <c r="Y383" i="5" s="1"/>
  <c r="W261" i="5"/>
  <c r="W13" i="5"/>
  <c r="W35" i="5"/>
  <c r="W462" i="5"/>
  <c r="Y462" i="5" s="1"/>
  <c r="W204" i="5"/>
  <c r="W136" i="5"/>
  <c r="W208" i="5"/>
  <c r="W19" i="5"/>
  <c r="W113" i="5"/>
  <c r="W312" i="5"/>
  <c r="Y312" i="5" s="1"/>
  <c r="W530" i="5"/>
  <c r="Y530" i="5" s="1"/>
  <c r="W426" i="5"/>
  <c r="Y426" i="5" s="1"/>
  <c r="W250" i="5"/>
  <c r="W89" i="5"/>
  <c r="W463" i="5"/>
  <c r="Y463" i="5" s="1"/>
  <c r="W119" i="5"/>
  <c r="W191" i="5"/>
  <c r="Q114" i="5"/>
  <c r="S114" i="5" s="1"/>
  <c r="O537" i="5"/>
  <c r="O403" i="5"/>
  <c r="W490" i="5"/>
  <c r="Y490" i="5" s="1"/>
  <c r="W140" i="5"/>
  <c r="W7" i="5"/>
  <c r="W533" i="5"/>
  <c r="Y533" i="5" s="1"/>
  <c r="W103" i="5"/>
  <c r="W38" i="5"/>
  <c r="W39" i="5"/>
  <c r="W22" i="5"/>
  <c r="W23" i="5"/>
  <c r="W389" i="5"/>
  <c r="Y389" i="5" s="1"/>
  <c r="W491" i="5"/>
  <c r="Y491" i="5" s="1"/>
  <c r="W146" i="5"/>
  <c r="W156" i="5"/>
  <c r="W157" i="5"/>
  <c r="W60" i="5"/>
  <c r="W480" i="5"/>
  <c r="Y480" i="5" s="1"/>
  <c r="W192" i="5"/>
  <c r="W246" i="5"/>
  <c r="W473" i="5"/>
  <c r="Y473" i="5" s="1"/>
  <c r="W459" i="5"/>
  <c r="Y459" i="5" s="1"/>
  <c r="W237" i="5"/>
  <c r="W470" i="5"/>
  <c r="Y470" i="5" s="1"/>
  <c r="W521" i="5"/>
  <c r="Y521" i="5" s="1"/>
  <c r="W460" i="5"/>
  <c r="Y460" i="5" s="1"/>
  <c r="W425" i="5"/>
  <c r="Y425" i="5" s="1"/>
  <c r="W126" i="5"/>
  <c r="W75" i="5"/>
  <c r="W495" i="5"/>
  <c r="Y495" i="5" s="1"/>
  <c r="W467" i="5"/>
  <c r="Y467" i="5" s="1"/>
  <c r="W117" i="5"/>
  <c r="W102" i="5"/>
  <c r="W90" i="5"/>
  <c r="W440" i="5"/>
  <c r="Y440" i="5" s="1"/>
  <c r="W306" i="5"/>
  <c r="Y306" i="5" s="1"/>
  <c r="W434" i="5"/>
  <c r="Y434" i="5" s="1"/>
  <c r="W171" i="5"/>
  <c r="W116" i="5"/>
  <c r="W59" i="5"/>
  <c r="W406" i="5"/>
  <c r="Y406" i="5" s="1"/>
  <c r="W437" i="5"/>
  <c r="Y437" i="5" s="1"/>
  <c r="W441" i="5"/>
  <c r="Y441" i="5" s="1"/>
  <c r="W100" i="5"/>
  <c r="W230" i="5"/>
  <c r="W233" i="5"/>
  <c r="W91" i="5"/>
  <c r="P244" i="5"/>
  <c r="P402" i="5"/>
  <c r="P344" i="5"/>
  <c r="P144" i="5"/>
  <c r="P258" i="5"/>
  <c r="P377" i="5"/>
  <c r="P31" i="5"/>
  <c r="P206" i="5"/>
  <c r="P472" i="5"/>
  <c r="P509" i="5"/>
  <c r="P396" i="5"/>
  <c r="P224" i="5"/>
  <c r="P275" i="5"/>
  <c r="P245" i="5"/>
  <c r="P223" i="5"/>
  <c r="P231" i="5"/>
  <c r="P179" i="5"/>
  <c r="P30" i="5"/>
  <c r="P215" i="5"/>
  <c r="P260" i="5"/>
  <c r="P412" i="5"/>
  <c r="P414" i="5"/>
  <c r="P411" i="5"/>
  <c r="P497" i="5"/>
  <c r="P517" i="5"/>
  <c r="P467" i="5"/>
  <c r="P285" i="5"/>
  <c r="P326" i="5"/>
  <c r="P114" i="5"/>
  <c r="P407" i="5"/>
  <c r="P39" i="5"/>
  <c r="P516" i="5"/>
  <c r="P317" i="5"/>
  <c r="P177" i="5"/>
  <c r="P163" i="5"/>
  <c r="P203" i="5"/>
  <c r="P119" i="5"/>
  <c r="P265" i="5"/>
  <c r="P479" i="5"/>
  <c r="P512" i="5"/>
  <c r="P89" i="5"/>
  <c r="P507" i="5"/>
  <c r="P353" i="5"/>
  <c r="P277" i="5"/>
  <c r="P226" i="5"/>
  <c r="P385" i="5"/>
  <c r="P284" i="5"/>
  <c r="P87" i="5"/>
  <c r="P307" i="5"/>
  <c r="P278" i="5"/>
  <c r="P166" i="5"/>
  <c r="P294" i="5"/>
  <c r="P499" i="5"/>
  <c r="P334" i="5"/>
  <c r="P246" i="5"/>
  <c r="P208" i="5"/>
  <c r="P446" i="5"/>
  <c r="P383" i="5"/>
  <c r="P417" i="5"/>
  <c r="P498" i="5"/>
  <c r="P368" i="5"/>
  <c r="P462" i="5"/>
  <c r="P313" i="5"/>
  <c r="P312" i="5"/>
  <c r="P320" i="5"/>
  <c r="P274" i="5"/>
  <c r="P232" i="5"/>
  <c r="P520" i="5"/>
  <c r="P225" i="5"/>
  <c r="P255" i="5"/>
  <c r="P252" i="5"/>
  <c r="P309" i="5"/>
  <c r="P466" i="5"/>
  <c r="P40" i="5"/>
  <c r="P338" i="5"/>
  <c r="P271" i="5"/>
  <c r="P523" i="5"/>
  <c r="P379" i="5"/>
  <c r="P496" i="5"/>
  <c r="P32" i="5"/>
  <c r="P298" i="5"/>
  <c r="P186" i="5"/>
  <c r="P286" i="5"/>
  <c r="P233" i="5"/>
  <c r="P270" i="5"/>
  <c r="P350" i="5"/>
  <c r="P372" i="5"/>
  <c r="P346" i="5"/>
  <c r="P457" i="5"/>
  <c r="P229" i="5"/>
  <c r="P160" i="5"/>
  <c r="P269" i="5"/>
  <c r="P236" i="5"/>
  <c r="P441" i="5"/>
  <c r="P388" i="5"/>
  <c r="P522" i="5"/>
  <c r="P404" i="5"/>
  <c r="P193" i="5"/>
  <c r="P444" i="5"/>
  <c r="P406" i="5"/>
  <c r="P183" i="5"/>
  <c r="P536" i="5"/>
  <c r="P217" i="5"/>
  <c r="P491" i="5"/>
  <c r="P450" i="5"/>
  <c r="P321" i="5"/>
  <c r="P235" i="5"/>
  <c r="P289" i="5"/>
  <c r="P400" i="5"/>
  <c r="P228" i="5"/>
  <c r="P267" i="5"/>
  <c r="P175" i="5"/>
  <c r="P238" i="5"/>
  <c r="P508" i="5"/>
  <c r="P351" i="5"/>
  <c r="P439" i="5"/>
  <c r="P489" i="5"/>
  <c r="P421" i="5"/>
  <c r="P375" i="5"/>
  <c r="P281" i="5"/>
  <c r="P303" i="5"/>
  <c r="P468" i="5"/>
  <c r="P301" i="5"/>
  <c r="P242" i="5"/>
  <c r="P261" i="5"/>
  <c r="P230" i="5"/>
  <c r="P213" i="5"/>
  <c r="P205" i="5"/>
  <c r="P29" i="5"/>
  <c r="P272" i="5"/>
  <c r="P306" i="5"/>
  <c r="P256" i="5"/>
  <c r="P515" i="5"/>
  <c r="P280" i="5"/>
  <c r="P510" i="5"/>
  <c r="P132" i="5"/>
  <c r="P335" i="5"/>
  <c r="P358" i="5"/>
  <c r="P456" i="5"/>
  <c r="W184" i="5"/>
  <c r="P191" i="5"/>
  <c r="P341" i="5"/>
  <c r="W339" i="5"/>
  <c r="Y339" i="5" s="1"/>
  <c r="P276" i="5"/>
  <c r="P355" i="5"/>
  <c r="P94" i="5"/>
  <c r="P8" i="5"/>
  <c r="P469" i="5"/>
  <c r="P502" i="5"/>
  <c r="P359" i="5"/>
  <c r="P408" i="5"/>
  <c r="P24" i="5"/>
  <c r="P490" i="5"/>
  <c r="P23" i="5"/>
  <c r="P398" i="5"/>
  <c r="P504" i="5"/>
  <c r="P511" i="5"/>
  <c r="P530" i="5"/>
  <c r="P97" i="5"/>
  <c r="P357" i="5"/>
  <c r="P384" i="5"/>
  <c r="P328" i="5"/>
  <c r="P534" i="5"/>
  <c r="P449" i="5"/>
  <c r="P337" i="5"/>
  <c r="P436" i="5"/>
  <c r="P295" i="5"/>
  <c r="P221" i="5"/>
  <c r="P266" i="5"/>
  <c r="P432" i="5"/>
  <c r="P239" i="5"/>
  <c r="P250" i="5"/>
  <c r="P253" i="5"/>
  <c r="P201" i="5"/>
  <c r="P197" i="5"/>
  <c r="P240" i="5"/>
  <c r="P401" i="5"/>
  <c r="P340" i="5"/>
  <c r="P452" i="5"/>
  <c r="P138" i="5"/>
  <c r="P538" i="5"/>
  <c r="P36" i="5"/>
  <c r="P424" i="5"/>
  <c r="P380" i="5"/>
  <c r="P299" i="5"/>
  <c r="P148" i="5"/>
  <c r="Y111" i="5"/>
  <c r="P268" i="5"/>
  <c r="P141" i="5"/>
  <c r="P248" i="5"/>
  <c r="P25" i="5"/>
  <c r="P347" i="5"/>
  <c r="P20" i="5"/>
  <c r="P482" i="5"/>
  <c r="P501" i="5"/>
  <c r="P500" i="5"/>
  <c r="Y120" i="5"/>
  <c r="Y129" i="5"/>
  <c r="Y202" i="5"/>
  <c r="Y132" i="5"/>
  <c r="Y181" i="5"/>
  <c r="Y168" i="5"/>
  <c r="Y5" i="5"/>
  <c r="Y121" i="5"/>
  <c r="Y77" i="5"/>
  <c r="Y265" i="5"/>
  <c r="Y217" i="5"/>
  <c r="Y248" i="5"/>
  <c r="Y142" i="5"/>
  <c r="Y178" i="5"/>
  <c r="Y51" i="5"/>
  <c r="Y45" i="5"/>
  <c r="Y188" i="5"/>
  <c r="Y151" i="5"/>
  <c r="Y218" i="5"/>
  <c r="Y244" i="5"/>
  <c r="Y170" i="5"/>
  <c r="Y147" i="5"/>
  <c r="Y130" i="5"/>
  <c r="Y236" i="5"/>
  <c r="Y68" i="5"/>
  <c r="Y41" i="5"/>
  <c r="Y270" i="5"/>
  <c r="Q407" i="5"/>
  <c r="Q413" i="5"/>
  <c r="Q444" i="5"/>
  <c r="Q502" i="5"/>
  <c r="O170" i="5"/>
  <c r="Q504" i="5"/>
  <c r="Q94" i="5"/>
  <c r="S94" i="5" s="1"/>
  <c r="Q447" i="5"/>
  <c r="Q328" i="5"/>
  <c r="O37" i="5"/>
  <c r="O95" i="5"/>
  <c r="Q474" i="5"/>
  <c r="O155" i="5"/>
  <c r="O473" i="5"/>
  <c r="O135" i="5"/>
  <c r="Q406" i="5"/>
  <c r="O503" i="5"/>
  <c r="O12" i="5"/>
  <c r="Q183" i="5"/>
  <c r="S183" i="5" s="1"/>
  <c r="Q359" i="5"/>
  <c r="O438" i="5"/>
  <c r="O420" i="5"/>
  <c r="Q500" i="5"/>
  <c r="Q417" i="5"/>
  <c r="Q358" i="5"/>
  <c r="Q374" i="5"/>
  <c r="O115" i="5"/>
  <c r="O310" i="5"/>
  <c r="O533" i="5"/>
  <c r="O302" i="5"/>
  <c r="Q515" i="5"/>
  <c r="O187" i="5"/>
  <c r="Q349" i="5"/>
  <c r="O126" i="5"/>
  <c r="Q186" i="5"/>
  <c r="S186" i="5" s="1"/>
  <c r="O18" i="5"/>
  <c r="Q424" i="5"/>
  <c r="Q36" i="5"/>
  <c r="S36" i="5" s="1"/>
  <c r="O17" i="5"/>
  <c r="O86" i="5"/>
  <c r="O202" i="5"/>
  <c r="O136" i="5"/>
  <c r="Q20" i="5"/>
  <c r="S20" i="5" s="1"/>
  <c r="Q24" i="5"/>
  <c r="S24" i="5" s="1"/>
  <c r="Q278" i="5"/>
  <c r="O168" i="5"/>
  <c r="O4" i="5"/>
  <c r="O475" i="5"/>
  <c r="Q523" i="5"/>
  <c r="O194" i="5"/>
  <c r="O33" i="5"/>
  <c r="O451" i="5"/>
  <c r="Q338" i="5"/>
  <c r="Q297" i="5"/>
  <c r="O487" i="5"/>
  <c r="Q132" i="5"/>
  <c r="S132" i="5" s="1"/>
  <c r="Q298" i="5"/>
  <c r="O192" i="5"/>
  <c r="O488" i="5"/>
  <c r="O324" i="5"/>
  <c r="Q404" i="5"/>
  <c r="O518" i="5"/>
  <c r="O494" i="5"/>
  <c r="O330" i="5"/>
  <c r="Q208" i="5"/>
  <c r="S208" i="5" s="1"/>
  <c r="O363" i="5"/>
  <c r="O90" i="5"/>
  <c r="O381" i="5"/>
  <c r="O15" i="5"/>
  <c r="Q193" i="5"/>
  <c r="S193" i="5" s="1"/>
  <c r="Q511" i="5"/>
  <c r="Q430" i="5"/>
  <c r="Q290" i="5"/>
  <c r="Q496" i="5"/>
  <c r="O16" i="5"/>
  <c r="Q530" i="5"/>
  <c r="O91" i="5"/>
  <c r="O513" i="5"/>
  <c r="O493" i="5"/>
  <c r="O345" i="5"/>
  <c r="O480" i="5"/>
  <c r="Q384" i="5"/>
  <c r="Q31" i="5"/>
  <c r="S31" i="5" s="1"/>
  <c r="O453" i="5"/>
  <c r="Q441" i="5"/>
  <c r="O98" i="5"/>
  <c r="O124" i="5"/>
  <c r="Q347" i="5"/>
  <c r="Q23" i="5"/>
  <c r="S23" i="5" s="1"/>
  <c r="Q522" i="5"/>
  <c r="O139" i="5"/>
  <c r="O308" i="5"/>
  <c r="O158" i="5"/>
  <c r="O19" i="5"/>
  <c r="O120" i="5"/>
  <c r="O85" i="5"/>
  <c r="O38" i="5"/>
  <c r="Q285" i="5"/>
  <c r="Q501" i="5"/>
  <c r="O329" i="5"/>
  <c r="O471" i="5"/>
  <c r="O461" i="5"/>
  <c r="Q479" i="5"/>
  <c r="O176" i="5"/>
  <c r="O22" i="5"/>
  <c r="O318" i="5"/>
  <c r="Q490" i="5"/>
  <c r="O11" i="5"/>
  <c r="O529" i="5"/>
  <c r="O182" i="5"/>
  <c r="O390" i="5"/>
  <c r="O378" i="5"/>
  <c r="O416" i="5"/>
  <c r="O399" i="5"/>
  <c r="O128" i="5"/>
  <c r="O386" i="5"/>
  <c r="O13" i="5"/>
  <c r="O325" i="5"/>
  <c r="Q325" i="5"/>
  <c r="Q527" i="5"/>
  <c r="Q467" i="5"/>
  <c r="Q315" i="5"/>
  <c r="O315" i="5"/>
  <c r="Q34" i="5"/>
  <c r="S34" i="5" s="1"/>
  <c r="O34" i="5"/>
  <c r="Q199" i="5"/>
  <c r="S199" i="5" s="1"/>
  <c r="O199" i="5"/>
  <c r="Q524" i="5"/>
  <c r="O524" i="5"/>
  <c r="O93" i="5"/>
  <c r="Q316" i="5"/>
  <c r="O316" i="5"/>
  <c r="Q521" i="5"/>
  <c r="O521" i="5"/>
  <c r="Q283" i="5"/>
  <c r="O283" i="5"/>
  <c r="Q207" i="5"/>
  <c r="S207" i="5" s="1"/>
  <c r="O207" i="5"/>
  <c r="O134" i="5"/>
  <c r="Q134" i="5"/>
  <c r="S134" i="5" s="1"/>
  <c r="O171" i="5"/>
  <c r="O418" i="5"/>
  <c r="Q190" i="5"/>
  <c r="S190" i="5" s="1"/>
  <c r="O190" i="5"/>
  <c r="O455" i="5"/>
  <c r="Q455" i="5"/>
  <c r="Q437" i="5"/>
  <c r="O437" i="5"/>
  <c r="Q122" i="5"/>
  <c r="S122" i="5" s="1"/>
  <c r="O122" i="5"/>
  <c r="O288" i="5"/>
  <c r="Q288" i="5"/>
  <c r="O423" i="5"/>
  <c r="Q423" i="5"/>
  <c r="Q342" i="5"/>
  <c r="O342" i="5"/>
  <c r="O84" i="5"/>
  <c r="Q84" i="5"/>
  <c r="S84" i="5" s="1"/>
  <c r="O14" i="5"/>
  <c r="Q463" i="5"/>
  <c r="O463" i="5"/>
  <c r="Q492" i="5"/>
  <c r="O492" i="5"/>
  <c r="Q433" i="5"/>
  <c r="O433" i="5"/>
  <c r="O92" i="5"/>
  <c r="Q92" i="5"/>
  <c r="S92" i="5" s="1"/>
  <c r="Q389" i="5"/>
  <c r="O389" i="5"/>
  <c r="Q465" i="5"/>
  <c r="O465" i="5"/>
  <c r="O425" i="5"/>
  <c r="Q425" i="5"/>
  <c r="Q198" i="5"/>
  <c r="S198" i="5" s="1"/>
  <c r="O198" i="5"/>
  <c r="Q40" i="5"/>
  <c r="S40" i="5" s="1"/>
  <c r="Q200" i="5"/>
  <c r="S200" i="5" s="1"/>
  <c r="O200" i="5"/>
  <c r="Q96" i="5"/>
  <c r="S96" i="5" s="1"/>
  <c r="O96" i="5"/>
  <c r="Q89" i="5"/>
  <c r="S89" i="5" s="1"/>
  <c r="O219" i="5"/>
  <c r="O422" i="5"/>
  <c r="Q422" i="5"/>
  <c r="O102" i="5"/>
  <c r="Q102" i="5"/>
  <c r="S102" i="5" s="1"/>
  <c r="Q247" i="5"/>
  <c r="S247" i="5" s="1"/>
  <c r="O247" i="5"/>
  <c r="Q180" i="5"/>
  <c r="S180" i="5" s="1"/>
  <c r="O180" i="5"/>
  <c r="O130" i="5"/>
  <c r="Q130" i="5"/>
  <c r="S130" i="5" s="1"/>
  <c r="O5" i="5"/>
  <c r="Q5" i="5"/>
  <c r="S5" i="5" s="1"/>
  <c r="Q73" i="5"/>
  <c r="S73" i="5" s="1"/>
  <c r="O73" i="5"/>
  <c r="Q66" i="5"/>
  <c r="S66" i="5" s="1"/>
  <c r="O66" i="5"/>
  <c r="Q79" i="5"/>
  <c r="S79" i="5" s="1"/>
  <c r="O79" i="5"/>
  <c r="O464" i="5"/>
  <c r="Q464" i="5"/>
  <c r="O361" i="5"/>
  <c r="Q361" i="5"/>
  <c r="Q505" i="5"/>
  <c r="O505" i="5"/>
  <c r="Q319" i="5"/>
  <c r="O319" i="5"/>
  <c r="Q263" i="5"/>
  <c r="S263" i="5" s="1"/>
  <c r="O263" i="5"/>
  <c r="Q273" i="5"/>
  <c r="S273" i="5" s="1"/>
  <c r="O273" i="5"/>
  <c r="Q220" i="5"/>
  <c r="S220" i="5" s="1"/>
  <c r="O220" i="5"/>
  <c r="Q264" i="5"/>
  <c r="S264" i="5" s="1"/>
  <c r="O264" i="5"/>
  <c r="Q241" i="5"/>
  <c r="S241" i="5" s="1"/>
  <c r="O241" i="5"/>
  <c r="Q109" i="5"/>
  <c r="S109" i="5" s="1"/>
  <c r="O109" i="5"/>
  <c r="Q101" i="5"/>
  <c r="S101" i="5" s="1"/>
  <c r="O101" i="5"/>
  <c r="Q143" i="5"/>
  <c r="S143" i="5" s="1"/>
  <c r="O143" i="5"/>
  <c r="Q218" i="5"/>
  <c r="S218" i="5" s="1"/>
  <c r="O218" i="5"/>
  <c r="Q181" i="5"/>
  <c r="S181" i="5" s="1"/>
  <c r="O181" i="5"/>
  <c r="Q149" i="5"/>
  <c r="S149" i="5" s="1"/>
  <c r="O149" i="5"/>
  <c r="Q118" i="5"/>
  <c r="S118" i="5" s="1"/>
  <c r="O118" i="5"/>
  <c r="O48" i="5"/>
  <c r="Q48" i="5"/>
  <c r="S48" i="5" s="1"/>
  <c r="O72" i="5"/>
  <c r="Q72" i="5"/>
  <c r="S72" i="5" s="1"/>
  <c r="O56" i="5"/>
  <c r="Q56" i="5"/>
  <c r="S56" i="5" s="1"/>
  <c r="Q75" i="5"/>
  <c r="S75" i="5" s="1"/>
  <c r="O75" i="5"/>
  <c r="Q45" i="5"/>
  <c r="S45" i="5" s="1"/>
  <c r="O45" i="5"/>
  <c r="Q204" i="5"/>
  <c r="S204" i="5" s="1"/>
  <c r="O204" i="5"/>
  <c r="Q61" i="5"/>
  <c r="S61" i="5" s="1"/>
  <c r="O61" i="5"/>
  <c r="Q54" i="5"/>
  <c r="S54" i="5" s="1"/>
  <c r="O54" i="5"/>
  <c r="O514" i="5"/>
  <c r="Q514" i="5"/>
  <c r="O528" i="5"/>
  <c r="Q528" i="5"/>
  <c r="Q454" i="5"/>
  <c r="O454" i="5"/>
  <c r="Q343" i="5"/>
  <c r="O343" i="5"/>
  <c r="Q541" i="5"/>
  <c r="O541" i="5"/>
  <c r="O131" i="5"/>
  <c r="Q131" i="5"/>
  <c r="S131" i="5" s="1"/>
  <c r="Q147" i="5"/>
  <c r="S147" i="5" s="1"/>
  <c r="O147" i="5"/>
  <c r="Q188" i="5"/>
  <c r="S188" i="5" s="1"/>
  <c r="O188" i="5"/>
  <c r="O43" i="5"/>
  <c r="Q43" i="5"/>
  <c r="S43" i="5" s="1"/>
  <c r="O485" i="5"/>
  <c r="Q485" i="5"/>
  <c r="Q535" i="5"/>
  <c r="O535" i="5"/>
  <c r="Q532" i="5"/>
  <c r="O532" i="5"/>
  <c r="Q336" i="5"/>
  <c r="O336" i="5"/>
  <c r="Q395" i="5"/>
  <c r="O395" i="5"/>
  <c r="Q393" i="5"/>
  <c r="O393" i="5"/>
  <c r="Q428" i="5"/>
  <c r="O428" i="5"/>
  <c r="Q331" i="5"/>
  <c r="O331" i="5"/>
  <c r="Q237" i="5"/>
  <c r="S237" i="5" s="1"/>
  <c r="O237" i="5"/>
  <c r="Q108" i="5"/>
  <c r="S108" i="5" s="1"/>
  <c r="O108" i="5"/>
  <c r="O100" i="5"/>
  <c r="Q100" i="5"/>
  <c r="S100" i="5" s="1"/>
  <c r="Q127" i="5"/>
  <c r="S127" i="5" s="1"/>
  <c r="O127" i="5"/>
  <c r="Q81" i="5"/>
  <c r="S81" i="5" s="1"/>
  <c r="O81" i="5"/>
  <c r="O71" i="5"/>
  <c r="Q71" i="5"/>
  <c r="S71" i="5" s="1"/>
  <c r="Q74" i="5"/>
  <c r="S74" i="5" s="1"/>
  <c r="O74" i="5"/>
  <c r="Q42" i="5"/>
  <c r="S42" i="5" s="1"/>
  <c r="O42" i="5"/>
  <c r="O67" i="5"/>
  <c r="Q67" i="5"/>
  <c r="S67" i="5" s="1"/>
  <c r="O369" i="5"/>
  <c r="Q369" i="5"/>
  <c r="Q364" i="5"/>
  <c r="O364" i="5"/>
  <c r="Q371" i="5"/>
  <c r="O371" i="5"/>
  <c r="Q540" i="5"/>
  <c r="O540" i="5"/>
  <c r="Q448" i="5"/>
  <c r="O448" i="5"/>
  <c r="Q427" i="5"/>
  <c r="O427" i="5"/>
  <c r="Q405" i="5"/>
  <c r="O405" i="5"/>
  <c r="O525" i="5"/>
  <c r="Q525" i="5"/>
  <c r="Q222" i="5"/>
  <c r="S222" i="5" s="1"/>
  <c r="O222" i="5"/>
  <c r="O107" i="5"/>
  <c r="Q107" i="5"/>
  <c r="S107" i="5" s="1"/>
  <c r="Q211" i="5"/>
  <c r="S211" i="5" s="1"/>
  <c r="O211" i="5"/>
  <c r="Q212" i="5"/>
  <c r="S212" i="5" s="1"/>
  <c r="O212" i="5"/>
  <c r="Q165" i="5"/>
  <c r="S165" i="5" s="1"/>
  <c r="O165" i="5"/>
  <c r="Q196" i="5"/>
  <c r="S196" i="5" s="1"/>
  <c r="O196" i="5"/>
  <c r="Q161" i="5"/>
  <c r="S161" i="5" s="1"/>
  <c r="O161" i="5"/>
  <c r="Q145" i="5"/>
  <c r="S145" i="5" s="1"/>
  <c r="O145" i="5"/>
  <c r="O68" i="5"/>
  <c r="Q68" i="5"/>
  <c r="S68" i="5" s="1"/>
  <c r="O52" i="5"/>
  <c r="Q52" i="5"/>
  <c r="S52" i="5" s="1"/>
  <c r="Q69" i="5"/>
  <c r="S69" i="5" s="1"/>
  <c r="O69" i="5"/>
  <c r="Q62" i="5"/>
  <c r="S62" i="5" s="1"/>
  <c r="O62" i="5"/>
  <c r="Q419" i="5"/>
  <c r="O419" i="5"/>
  <c r="O327" i="5"/>
  <c r="Q327" i="5"/>
  <c r="Q370" i="5"/>
  <c r="O370" i="5"/>
  <c r="Q531" i="5"/>
  <c r="O531" i="5"/>
  <c r="Q311" i="5"/>
  <c r="O311" i="5"/>
  <c r="Q397" i="5"/>
  <c r="O397" i="5"/>
  <c r="Q282" i="5"/>
  <c r="O282" i="5"/>
  <c r="O426" i="5"/>
  <c r="Q426" i="5"/>
  <c r="Q304" i="5"/>
  <c r="O304" i="5"/>
  <c r="Q249" i="5"/>
  <c r="S249" i="5" s="1"/>
  <c r="O249" i="5"/>
  <c r="Q106" i="5"/>
  <c r="S106" i="5" s="1"/>
  <c r="O106" i="5"/>
  <c r="Q123" i="5"/>
  <c r="S123" i="5" s="1"/>
  <c r="O123" i="5"/>
  <c r="O51" i="5"/>
  <c r="Q51" i="5"/>
  <c r="S51" i="5" s="1"/>
  <c r="Q173" i="5"/>
  <c r="S173" i="5" s="1"/>
  <c r="O173" i="5"/>
  <c r="Q41" i="5"/>
  <c r="S41" i="5" s="1"/>
  <c r="O41" i="5"/>
  <c r="O129" i="5"/>
  <c r="Q129" i="5"/>
  <c r="S129" i="5" s="1"/>
  <c r="Q121" i="5"/>
  <c r="S121" i="5" s="1"/>
  <c r="O121" i="5"/>
  <c r="Q57" i="5"/>
  <c r="S57" i="5" s="1"/>
  <c r="O57" i="5"/>
  <c r="O63" i="5"/>
  <c r="Q63" i="5"/>
  <c r="S63" i="5" s="1"/>
  <c r="Q82" i="5"/>
  <c r="S82" i="5" s="1"/>
  <c r="O82" i="5"/>
  <c r="Q50" i="5"/>
  <c r="S50" i="5" s="1"/>
  <c r="O50" i="5"/>
  <c r="Q55" i="5"/>
  <c r="S55" i="5" s="1"/>
  <c r="O55" i="5"/>
  <c r="Q481" i="5"/>
  <c r="O481" i="5"/>
  <c r="Q440" i="5"/>
  <c r="O440" i="5"/>
  <c r="Q495" i="5"/>
  <c r="O495" i="5"/>
  <c r="O279" i="5"/>
  <c r="Q279" i="5"/>
  <c r="Q362" i="5"/>
  <c r="O362" i="5"/>
  <c r="Q415" i="5"/>
  <c r="O415" i="5"/>
  <c r="Q486" i="5"/>
  <c r="O486" i="5"/>
  <c r="Q394" i="5"/>
  <c r="O394" i="5"/>
  <c r="Q373" i="5"/>
  <c r="O373" i="5"/>
  <c r="O305" i="5"/>
  <c r="Q305" i="5"/>
  <c r="Q262" i="5"/>
  <c r="S262" i="5" s="1"/>
  <c r="O262" i="5"/>
  <c r="Q216" i="5"/>
  <c r="S216" i="5" s="1"/>
  <c r="O216" i="5"/>
  <c r="Q105" i="5"/>
  <c r="S105" i="5" s="1"/>
  <c r="O105" i="5"/>
  <c r="O140" i="5"/>
  <c r="Q140" i="5"/>
  <c r="S140" i="5" s="1"/>
  <c r="Q112" i="5"/>
  <c r="S112" i="5" s="1"/>
  <c r="O112" i="5"/>
  <c r="O80" i="5"/>
  <c r="Q80" i="5"/>
  <c r="S80" i="5" s="1"/>
  <c r="O64" i="5"/>
  <c r="Q64" i="5"/>
  <c r="S64" i="5" s="1"/>
  <c r="O44" i="5"/>
  <c r="Q44" i="5"/>
  <c r="S44" i="5" s="1"/>
  <c r="Q77" i="5"/>
  <c r="S77" i="5" s="1"/>
  <c r="O77" i="5"/>
  <c r="Q70" i="5"/>
  <c r="S70" i="5" s="1"/>
  <c r="O70" i="5"/>
  <c r="Q519" i="5"/>
  <c r="O519" i="5"/>
  <c r="Q323" i="5"/>
  <c r="O323" i="5"/>
  <c r="Q478" i="5"/>
  <c r="O478" i="5"/>
  <c r="Q387" i="5"/>
  <c r="O387" i="5"/>
  <c r="Q376" i="5"/>
  <c r="O376" i="5"/>
  <c r="Q443" i="5"/>
  <c r="O443" i="5"/>
  <c r="Q409" i="5"/>
  <c r="O409" i="5"/>
  <c r="Q445" i="5"/>
  <c r="O445" i="5"/>
  <c r="Q214" i="5"/>
  <c r="S214" i="5" s="1"/>
  <c r="O214" i="5"/>
  <c r="O104" i="5"/>
  <c r="Q104" i="5"/>
  <c r="S104" i="5" s="1"/>
  <c r="Q254" i="5"/>
  <c r="S254" i="5" s="1"/>
  <c r="O254" i="5"/>
  <c r="Q431" i="5"/>
  <c r="O431" i="5"/>
  <c r="Q157" i="5"/>
  <c r="S157" i="5" s="1"/>
  <c r="O157" i="5"/>
  <c r="O47" i="5"/>
  <c r="Q47" i="5"/>
  <c r="S47" i="5" s="1"/>
  <c r="Q172" i="5"/>
  <c r="S172" i="5" s="1"/>
  <c r="O172" i="5"/>
  <c r="Q65" i="5"/>
  <c r="S65" i="5" s="1"/>
  <c r="O65" i="5"/>
  <c r="O59" i="5"/>
  <c r="Q59" i="5"/>
  <c r="S59" i="5" s="1"/>
  <c r="Q58" i="5"/>
  <c r="S58" i="5" s="1"/>
  <c r="O58" i="5"/>
  <c r="Q314" i="5"/>
  <c r="O314" i="5"/>
  <c r="Q539" i="5"/>
  <c r="O539" i="5"/>
  <c r="Q483" i="5"/>
  <c r="O483" i="5"/>
  <c r="Q442" i="5"/>
  <c r="O442" i="5"/>
  <c r="Q476" i="5"/>
  <c r="O476" i="5"/>
  <c r="O470" i="5"/>
  <c r="Q470" i="5"/>
  <c r="Q339" i="5"/>
  <c r="O339" i="5"/>
  <c r="Q352" i="5"/>
  <c r="O352" i="5"/>
  <c r="Q382" i="5"/>
  <c r="O382" i="5"/>
  <c r="O300" i="5"/>
  <c r="Q300" i="5"/>
  <c r="Q103" i="5"/>
  <c r="S103" i="5" s="1"/>
  <c r="O103" i="5"/>
  <c r="Q251" i="5"/>
  <c r="S251" i="5" s="1"/>
  <c r="O251" i="5"/>
  <c r="O6" i="5"/>
  <c r="Q6" i="5"/>
  <c r="S6" i="5" s="1"/>
  <c r="Q153" i="5"/>
  <c r="S153" i="5" s="1"/>
  <c r="O153" i="5"/>
  <c r="O76" i="5"/>
  <c r="Q76" i="5"/>
  <c r="S76" i="5" s="1"/>
  <c r="O60" i="5"/>
  <c r="Q60" i="5"/>
  <c r="S60" i="5" s="1"/>
  <c r="Q113" i="5"/>
  <c r="S113" i="5" s="1"/>
  <c r="O113" i="5"/>
  <c r="Q53" i="5"/>
  <c r="S53" i="5" s="1"/>
  <c r="O53" i="5"/>
  <c r="Q125" i="5"/>
  <c r="S125" i="5" s="1"/>
  <c r="O125" i="5"/>
  <c r="Q49" i="5"/>
  <c r="S49" i="5" s="1"/>
  <c r="O49" i="5"/>
  <c r="Q78" i="5"/>
  <c r="S78" i="5" s="1"/>
  <c r="O78" i="5"/>
  <c r="Q46" i="5"/>
  <c r="S46" i="5" s="1"/>
  <c r="O46" i="5"/>
  <c r="C12" i="3"/>
  <c r="B12" i="3"/>
  <c r="V205" i="5" l="1"/>
  <c r="BG111" i="5"/>
  <c r="H22" i="9"/>
  <c r="BV6" i="5"/>
  <c r="AA6" i="5"/>
  <c r="H40" i="9"/>
  <c r="H405" i="9"/>
  <c r="BW4" i="5"/>
  <c r="P174" i="5"/>
  <c r="AK146" i="5"/>
  <c r="AJ205" i="5"/>
  <c r="AK205" i="5"/>
  <c r="P88" i="5"/>
  <c r="AI35" i="5"/>
  <c r="AG410" i="5"/>
  <c r="V117" i="5"/>
  <c r="AL88" i="5"/>
  <c r="V88" i="5"/>
  <c r="P151" i="5"/>
  <c r="V151" i="5"/>
  <c r="AM151" i="5"/>
  <c r="AK151" i="5"/>
  <c r="BX262" i="5"/>
  <c r="BX472" i="5"/>
  <c r="BY110" i="5"/>
  <c r="BX268" i="5"/>
  <c r="BY275" i="5"/>
  <c r="BY159" i="5"/>
  <c r="BY28" i="5"/>
  <c r="BY238" i="5"/>
  <c r="BY134" i="5"/>
  <c r="BY149" i="5"/>
  <c r="BX221" i="5"/>
  <c r="BY118" i="5"/>
  <c r="BY6" i="5"/>
  <c r="BY34" i="5"/>
  <c r="BY249" i="5"/>
  <c r="BY138" i="5"/>
  <c r="BY209" i="5"/>
  <c r="BY70" i="5"/>
  <c r="BX395" i="5"/>
  <c r="BY162" i="5"/>
  <c r="BY131" i="5"/>
  <c r="BY276" i="5"/>
  <c r="BX259" i="5"/>
  <c r="BX226" i="5"/>
  <c r="BY40" i="5"/>
  <c r="BY161" i="5"/>
  <c r="BX144" i="5"/>
  <c r="CI545" i="5"/>
  <c r="CI546" i="5" s="1"/>
  <c r="BZ556" i="5" s="1"/>
  <c r="BY59" i="5"/>
  <c r="BY157" i="5"/>
  <c r="BY13" i="5"/>
  <c r="BX487" i="5"/>
  <c r="BX254" i="5"/>
  <c r="BX152" i="5"/>
  <c r="BX396" i="5"/>
  <c r="BX188" i="5"/>
  <c r="BY226" i="5"/>
  <c r="BX432" i="5"/>
  <c r="BX299" i="5"/>
  <c r="BX524" i="5"/>
  <c r="BY267" i="5"/>
  <c r="BX523" i="5"/>
  <c r="BX62" i="5"/>
  <c r="BY61" i="5"/>
  <c r="BX224" i="5"/>
  <c r="BY48" i="5"/>
  <c r="BY139" i="5"/>
  <c r="BY257" i="5"/>
  <c r="BY154" i="5"/>
  <c r="BY169" i="5"/>
  <c r="BY50" i="5"/>
  <c r="BY158" i="5"/>
  <c r="BY71" i="5"/>
  <c r="BY152" i="5"/>
  <c r="BY127" i="5"/>
  <c r="BY214" i="5"/>
  <c r="BY172" i="5"/>
  <c r="BY182" i="5"/>
  <c r="BY256" i="5"/>
  <c r="BY80" i="5"/>
  <c r="BY135" i="5"/>
  <c r="BY197" i="5"/>
  <c r="BY196" i="5"/>
  <c r="CK545" i="5"/>
  <c r="CK546" i="5" s="1"/>
  <c r="BZ557" i="5" s="1"/>
  <c r="BY102" i="5"/>
  <c r="BY39" i="5"/>
  <c r="BX83" i="5"/>
  <c r="BY223" i="5"/>
  <c r="BX297" i="5"/>
  <c r="BX35" i="5"/>
  <c r="BX173" i="5"/>
  <c r="BX100" i="5"/>
  <c r="BX382" i="5"/>
  <c r="BX413" i="5"/>
  <c r="BX197" i="5"/>
  <c r="BX48" i="5"/>
  <c r="BY224" i="5"/>
  <c r="BX225" i="5"/>
  <c r="BX217" i="5"/>
  <c r="BY245" i="5"/>
  <c r="BY47" i="5"/>
  <c r="BY244" i="5"/>
  <c r="BY84" i="5"/>
  <c r="BY51" i="5"/>
  <c r="BY229" i="5"/>
  <c r="BY194" i="5"/>
  <c r="BY185" i="5"/>
  <c r="BY66" i="5"/>
  <c r="BY65" i="5"/>
  <c r="BY178" i="5"/>
  <c r="BX235" i="5"/>
  <c r="BY263" i="5"/>
  <c r="BY188" i="5"/>
  <c r="BY202" i="5"/>
  <c r="BY121" i="5"/>
  <c r="BY29" i="5"/>
  <c r="BY96" i="5"/>
  <c r="BX11" i="5"/>
  <c r="BY212" i="5"/>
  <c r="CM545" i="5"/>
  <c r="CM546" i="5" s="1"/>
  <c r="BZ558" i="5" s="1"/>
  <c r="BY269" i="5"/>
  <c r="BY160" i="5"/>
  <c r="BX458" i="5"/>
  <c r="BX264" i="5"/>
  <c r="BX184" i="5"/>
  <c r="BX122" i="5"/>
  <c r="BY115" i="5"/>
  <c r="BX353" i="5"/>
  <c r="BX460" i="5"/>
  <c r="BX22" i="5"/>
  <c r="BX147" i="5"/>
  <c r="BX44" i="5"/>
  <c r="BX9" i="5"/>
  <c r="BX404" i="5"/>
  <c r="BX145" i="5"/>
  <c r="BX46" i="5"/>
  <c r="BX445" i="5"/>
  <c r="BY16" i="5"/>
  <c r="BY222" i="5"/>
  <c r="BY175" i="5"/>
  <c r="BY44" i="5"/>
  <c r="BY125" i="5"/>
  <c r="BY45" i="5"/>
  <c r="BX219" i="5"/>
  <c r="BX114" i="5"/>
  <c r="BY97" i="5"/>
  <c r="BX17" i="5"/>
  <c r="BY205" i="5"/>
  <c r="BY168" i="5"/>
  <c r="BY163" i="5"/>
  <c r="BY93" i="5"/>
  <c r="BY198" i="5"/>
  <c r="BX115" i="5"/>
  <c r="BY77" i="5"/>
  <c r="BY236" i="5"/>
  <c r="BY69" i="5"/>
  <c r="BY101" i="5"/>
  <c r="BY243" i="5"/>
  <c r="BY141" i="5"/>
  <c r="BY107" i="5"/>
  <c r="BY166" i="5"/>
  <c r="BY27" i="5"/>
  <c r="BY9" i="5"/>
  <c r="BX267" i="5"/>
  <c r="BY73" i="5"/>
  <c r="BX134" i="5"/>
  <c r="BX321" i="5"/>
  <c r="BX344" i="5"/>
  <c r="BY117" i="5"/>
  <c r="BY38" i="5"/>
  <c r="BY8" i="5"/>
  <c r="BY251" i="5"/>
  <c r="BX154" i="5"/>
  <c r="BX148" i="5"/>
  <c r="BX53" i="5"/>
  <c r="BX390" i="5"/>
  <c r="BX348" i="5"/>
  <c r="BX189" i="5"/>
  <c r="BX119" i="5"/>
  <c r="BX24" i="5"/>
  <c r="BX42" i="5"/>
  <c r="BX227" i="5"/>
  <c r="BX303" i="5"/>
  <c r="BX26" i="5"/>
  <c r="BX84" i="5"/>
  <c r="BX165" i="5"/>
  <c r="BX500" i="5"/>
  <c r="BY4" i="5"/>
  <c r="BY91" i="5"/>
  <c r="BY156" i="5"/>
  <c r="BY261" i="5"/>
  <c r="BY176" i="5"/>
  <c r="BY200" i="5"/>
  <c r="BX285" i="5"/>
  <c r="BX73" i="5"/>
  <c r="BX183" i="5"/>
  <c r="BX537" i="5"/>
  <c r="BX187" i="5"/>
  <c r="BX446" i="5"/>
  <c r="BX204" i="5"/>
  <c r="BX182" i="5"/>
  <c r="BX351" i="5"/>
  <c r="BX23" i="5"/>
  <c r="BX58" i="5"/>
  <c r="BX130" i="5"/>
  <c r="BY171" i="5"/>
  <c r="BY277" i="5"/>
  <c r="BY266" i="5"/>
  <c r="BX230" i="5"/>
  <c r="BX202" i="5"/>
  <c r="BX335" i="5"/>
  <c r="BX440" i="5"/>
  <c r="BX434" i="5"/>
  <c r="BX536" i="5"/>
  <c r="BX341" i="5"/>
  <c r="BX74" i="5"/>
  <c r="BX253" i="5"/>
  <c r="BX150" i="5"/>
  <c r="BX330" i="5"/>
  <c r="BX242" i="5"/>
  <c r="BX174" i="5"/>
  <c r="BX356" i="5"/>
  <c r="BY17" i="5"/>
  <c r="BY230" i="5"/>
  <c r="BY75" i="5"/>
  <c r="BY7" i="5"/>
  <c r="BY208" i="5"/>
  <c r="BY10" i="5"/>
  <c r="BY240" i="5"/>
  <c r="BY14" i="5"/>
  <c r="BY15" i="5"/>
  <c r="BY49" i="5"/>
  <c r="BX238" i="5"/>
  <c r="BX375" i="5"/>
  <c r="BX407" i="5"/>
  <c r="BX269" i="5"/>
  <c r="BX97" i="5"/>
  <c r="BX30" i="5"/>
  <c r="BX232" i="5"/>
  <c r="BX527" i="5"/>
  <c r="BX93" i="5"/>
  <c r="BX158" i="5"/>
  <c r="BX343" i="5"/>
  <c r="BX354" i="5"/>
  <c r="BX272" i="5"/>
  <c r="BX482" i="5"/>
  <c r="BX287" i="5"/>
  <c r="BX361" i="5"/>
  <c r="BX525" i="5"/>
  <c r="BX433" i="5"/>
  <c r="BX286" i="5"/>
  <c r="BX372" i="5"/>
  <c r="BX510" i="5"/>
  <c r="BX87" i="5"/>
  <c r="BX439" i="5"/>
  <c r="BY18" i="5"/>
  <c r="BY235" i="5"/>
  <c r="BX383" i="5"/>
  <c r="BX448" i="5"/>
  <c r="BX20" i="5"/>
  <c r="BX506" i="5"/>
  <c r="BX106" i="5"/>
  <c r="BX263" i="5"/>
  <c r="BX416" i="5"/>
  <c r="BX191" i="5"/>
  <c r="BX480" i="5"/>
  <c r="BX60" i="5"/>
  <c r="BX441" i="5"/>
  <c r="BX39" i="5"/>
  <c r="BX233" i="5"/>
  <c r="BX140" i="5"/>
  <c r="BX463" i="5"/>
  <c r="BX431" i="5"/>
  <c r="BX80" i="5"/>
  <c r="BX410" i="5"/>
  <c r="BX135" i="5"/>
  <c r="BX318" i="5"/>
  <c r="BX376" i="5"/>
  <c r="BX239" i="5"/>
  <c r="BX498" i="5"/>
  <c r="BX409" i="5"/>
  <c r="BX325" i="5"/>
  <c r="BX190" i="5"/>
  <c r="BX33" i="5"/>
  <c r="BX63" i="5"/>
  <c r="BX327" i="5"/>
  <c r="BX504" i="5"/>
  <c r="BX94" i="5"/>
  <c r="BX394" i="5"/>
  <c r="BX210" i="5"/>
  <c r="BX512" i="5"/>
  <c r="BX366" i="5"/>
  <c r="BX201" i="5"/>
  <c r="BX275" i="5"/>
  <c r="BX397" i="5"/>
  <c r="BX251" i="5"/>
  <c r="BX447" i="5"/>
  <c r="BX12" i="5"/>
  <c r="BX95" i="5"/>
  <c r="BY255" i="5"/>
  <c r="BY199" i="5"/>
  <c r="BY64" i="5"/>
  <c r="BY33" i="5"/>
  <c r="BY145" i="5"/>
  <c r="BY46" i="5"/>
  <c r="BY174" i="5"/>
  <c r="BY271" i="5"/>
  <c r="BY247" i="5"/>
  <c r="BY183" i="5"/>
  <c r="BY32" i="5"/>
  <c r="BY225" i="5"/>
  <c r="BY53" i="5"/>
  <c r="BY167" i="5"/>
  <c r="BY137" i="5"/>
  <c r="BX255" i="5"/>
  <c r="BY20" i="5"/>
  <c r="BX307" i="5"/>
  <c r="BY81" i="5"/>
  <c r="BY177" i="5"/>
  <c r="BY58" i="5"/>
  <c r="BY186" i="5"/>
  <c r="BY43" i="5"/>
  <c r="BY26" i="5"/>
  <c r="BY242" i="5"/>
  <c r="BX408" i="5"/>
  <c r="BX163" i="5"/>
  <c r="BX185" i="5"/>
  <c r="BX298" i="5"/>
  <c r="BX92" i="5"/>
  <c r="BX172" i="5"/>
  <c r="BX7" i="5"/>
  <c r="BX123" i="5"/>
  <c r="BX435" i="5"/>
  <c r="BY216" i="5"/>
  <c r="BY116" i="5"/>
  <c r="BY103" i="5"/>
  <c r="BX471" i="5"/>
  <c r="BX14" i="5"/>
  <c r="BX88" i="5"/>
  <c r="BX508" i="5"/>
  <c r="BX127" i="5"/>
  <c r="BX71" i="5"/>
  <c r="BX373" i="5"/>
  <c r="BX491" i="5"/>
  <c r="BX513" i="5"/>
  <c r="BX332" i="5"/>
  <c r="BY119" i="5"/>
  <c r="BY274" i="5"/>
  <c r="BY99" i="5"/>
  <c r="BX118" i="5"/>
  <c r="BX400" i="5"/>
  <c r="BX305" i="5"/>
  <c r="BX312" i="5"/>
  <c r="BX326" i="5"/>
  <c r="BX214" i="5"/>
  <c r="BX412" i="5"/>
  <c r="BX456" i="5"/>
  <c r="BX352" i="5"/>
  <c r="BX306" i="5"/>
  <c r="BX40" i="5"/>
  <c r="BX193" i="5"/>
  <c r="BX359" i="5"/>
  <c r="BX110" i="5"/>
  <c r="BX450" i="5"/>
  <c r="BX541" i="5"/>
  <c r="BX302" i="5"/>
  <c r="BX180" i="5"/>
  <c r="BX374" i="5"/>
  <c r="BX228" i="5"/>
  <c r="BY140" i="5"/>
  <c r="BY30" i="5"/>
  <c r="BY180" i="5"/>
  <c r="BX143" i="5"/>
  <c r="BX483" i="5"/>
  <c r="BX363" i="5"/>
  <c r="BX50" i="5"/>
  <c r="BX538" i="5"/>
  <c r="BX77" i="5"/>
  <c r="BX530" i="5"/>
  <c r="BX34" i="5"/>
  <c r="BX362" i="5"/>
  <c r="BX25" i="5"/>
  <c r="BX280" i="5"/>
  <c r="BX288" i="5"/>
  <c r="BX406" i="5"/>
  <c r="BX126" i="5"/>
  <c r="BX462" i="5"/>
  <c r="BX467" i="5"/>
  <c r="BX155" i="5"/>
  <c r="BX96" i="5"/>
  <c r="BX484" i="5"/>
  <c r="BX213" i="5"/>
  <c r="BX160" i="5"/>
  <c r="BX220" i="5"/>
  <c r="BX469" i="5"/>
  <c r="BX468" i="5"/>
  <c r="BX218" i="5"/>
  <c r="BX139" i="5"/>
  <c r="BX453" i="5"/>
  <c r="BX247" i="5"/>
  <c r="BY114" i="5"/>
  <c r="BX481" i="5"/>
  <c r="BY227" i="5"/>
  <c r="BY130" i="5"/>
  <c r="BY260" i="5"/>
  <c r="BY165" i="5"/>
  <c r="BY62" i="5"/>
  <c r="BY210" i="5"/>
  <c r="BX317" i="5"/>
  <c r="BY272" i="5"/>
  <c r="BY252" i="5"/>
  <c r="BY52" i="5"/>
  <c r="BY264" i="5"/>
  <c r="BY104" i="5"/>
  <c r="BY187" i="5"/>
  <c r="BX16" i="5"/>
  <c r="BY153" i="5"/>
  <c r="BY231" i="5"/>
  <c r="BY36" i="5"/>
  <c r="BX345" i="5"/>
  <c r="BY193" i="5"/>
  <c r="BY155" i="5"/>
  <c r="BY37" i="5"/>
  <c r="BY206" i="5"/>
  <c r="BY63" i="5"/>
  <c r="BY78" i="5"/>
  <c r="BX179" i="5"/>
  <c r="BX475" i="5"/>
  <c r="BX72" i="5"/>
  <c r="BX368" i="5"/>
  <c r="BX398" i="5"/>
  <c r="BX393" i="5"/>
  <c r="BX464" i="5"/>
  <c r="BX490" i="5"/>
  <c r="BX208" i="5"/>
  <c r="BX328" i="5"/>
  <c r="BX107" i="5"/>
  <c r="BX488" i="5"/>
  <c r="BY87" i="5"/>
  <c r="BY31" i="5"/>
  <c r="BX449" i="5"/>
  <c r="BX476" i="5"/>
  <c r="BX85" i="5"/>
  <c r="BX428" i="5"/>
  <c r="BX167" i="5"/>
  <c r="BX365" i="5"/>
  <c r="BX81" i="5"/>
  <c r="BX289" i="5"/>
  <c r="BX277" i="5"/>
  <c r="BX38" i="5"/>
  <c r="BX186" i="5"/>
  <c r="BX177" i="5"/>
  <c r="BX319" i="5"/>
  <c r="BX518" i="5"/>
  <c r="BY191" i="5"/>
  <c r="BY112" i="5"/>
  <c r="BX520" i="5"/>
  <c r="BY85" i="5"/>
  <c r="BX203" i="5"/>
  <c r="BX49" i="5"/>
  <c r="BX517" i="5"/>
  <c r="BX200" i="5"/>
  <c r="BX205" i="5"/>
  <c r="BX336" i="5"/>
  <c r="BX138" i="5"/>
  <c r="BX466" i="5"/>
  <c r="BX342" i="5"/>
  <c r="BX459" i="5"/>
  <c r="BX90" i="5"/>
  <c r="BX540" i="5"/>
  <c r="BX61" i="5"/>
  <c r="BX78" i="5"/>
  <c r="BX461" i="5"/>
  <c r="BX436" i="5"/>
  <c r="BX164" i="5"/>
  <c r="BX334" i="5"/>
  <c r="BX252" i="5"/>
  <c r="BY184" i="5"/>
  <c r="BY233" i="5"/>
  <c r="BY146" i="5"/>
  <c r="BX378" i="5"/>
  <c r="BX15" i="5"/>
  <c r="BX337" i="5"/>
  <c r="BX207" i="5"/>
  <c r="BX371" i="5"/>
  <c r="BX429" i="5"/>
  <c r="BX543" i="5"/>
  <c r="BX425" i="5"/>
  <c r="BX256" i="5"/>
  <c r="BX494" i="5"/>
  <c r="BX241" i="5"/>
  <c r="BX522" i="5"/>
  <c r="BX43" i="5"/>
  <c r="BY136" i="5"/>
  <c r="BY55" i="5"/>
  <c r="BY220" i="5"/>
  <c r="BY232" i="5"/>
  <c r="BY83" i="5"/>
  <c r="BX331" i="5"/>
  <c r="BX31" i="5"/>
  <c r="BX526" i="5"/>
  <c r="BX82" i="5"/>
  <c r="BX178" i="5"/>
  <c r="BX133" i="5"/>
  <c r="BX314" i="5"/>
  <c r="BX391" i="5"/>
  <c r="BX249" i="5"/>
  <c r="BX108" i="5"/>
  <c r="BX113" i="5"/>
  <c r="BX283" i="5"/>
  <c r="BX243" i="5"/>
  <c r="BX131" i="5"/>
  <c r="BX534" i="5"/>
  <c r="BX284" i="5"/>
  <c r="BX515" i="5"/>
  <c r="BX211" i="5"/>
  <c r="BX470" i="5"/>
  <c r="BX473" i="5"/>
  <c r="BX59" i="5"/>
  <c r="BX533" i="5"/>
  <c r="BX156" i="5"/>
  <c r="BX503" i="5"/>
  <c r="BX121" i="5"/>
  <c r="BX324" i="5"/>
  <c r="BX311" i="5"/>
  <c r="BX279" i="5"/>
  <c r="BX79" i="5"/>
  <c r="BX57" i="5"/>
  <c r="BX364" i="5"/>
  <c r="BX418" i="5"/>
  <c r="BX357" i="5"/>
  <c r="BY11" i="5"/>
  <c r="BX369" i="5"/>
  <c r="BY192" i="5"/>
  <c r="BY23" i="5"/>
  <c r="BY250" i="5"/>
  <c r="BY204" i="5"/>
  <c r="BY211" i="5"/>
  <c r="BY148" i="5"/>
  <c r="BY74" i="5"/>
  <c r="BX257" i="5"/>
  <c r="BX516" i="5"/>
  <c r="BX493" i="5"/>
  <c r="BX502" i="5"/>
  <c r="BX294" i="5"/>
  <c r="BX51" i="5"/>
  <c r="BX98" i="5"/>
  <c r="BX271" i="5"/>
  <c r="BX65" i="5"/>
  <c r="BX32" i="5"/>
  <c r="BX198" i="5"/>
  <c r="BX149" i="5"/>
  <c r="BX66" i="5"/>
  <c r="BX310" i="5"/>
  <c r="BX499" i="5"/>
  <c r="BX417" i="5"/>
  <c r="BX438" i="5"/>
  <c r="BX384" i="5"/>
  <c r="BX291" i="5"/>
  <c r="BX273" i="5"/>
  <c r="BX6" i="5"/>
  <c r="BX300" i="5"/>
  <c r="BX86" i="5"/>
  <c r="BX274" i="5"/>
  <c r="BX215" i="5"/>
  <c r="BX36" i="5"/>
  <c r="BX137" i="5"/>
  <c r="BX278" i="5"/>
  <c r="BX387" i="5"/>
  <c r="BX54" i="5"/>
  <c r="BX329" i="5"/>
  <c r="BX102" i="5"/>
  <c r="BX146" i="5"/>
  <c r="BX389" i="5"/>
  <c r="BX75" i="5"/>
  <c r="BX521" i="5"/>
  <c r="BX495" i="5"/>
  <c r="BX192" i="5"/>
  <c r="BX195" i="5"/>
  <c r="BX386" i="5"/>
  <c r="BX444" i="5"/>
  <c r="BX176" i="5"/>
  <c r="BX370" i="5"/>
  <c r="BX175" i="5"/>
  <c r="BX340" i="5"/>
  <c r="BX401" i="5"/>
  <c r="BX430" i="5"/>
  <c r="BX260" i="5"/>
  <c r="BX161" i="5"/>
  <c r="BX281" i="5"/>
  <c r="BX385" i="5"/>
  <c r="BX196" i="5"/>
  <c r="BX159" i="5"/>
  <c r="BX109" i="5"/>
  <c r="BX315" i="5"/>
  <c r="BX47" i="5"/>
  <c r="BY268" i="5"/>
  <c r="BX501" i="5"/>
  <c r="BX419" i="5"/>
  <c r="BX266" i="5"/>
  <c r="BX27" i="5"/>
  <c r="BY144" i="5"/>
  <c r="BY219" i="5"/>
  <c r="BX532" i="5"/>
  <c r="BY253" i="5"/>
  <c r="BY150" i="5"/>
  <c r="BY181" i="5"/>
  <c r="BY164" i="5"/>
  <c r="BY57" i="5"/>
  <c r="BY218" i="5"/>
  <c r="BY151" i="5"/>
  <c r="BY179" i="5"/>
  <c r="BY12" i="5"/>
  <c r="BY228" i="5"/>
  <c r="BX223" i="5"/>
  <c r="BY72" i="5"/>
  <c r="BX509" i="5"/>
  <c r="BY207" i="5"/>
  <c r="BY56" i="5"/>
  <c r="BY108" i="5"/>
  <c r="BY173" i="5"/>
  <c r="BY25" i="5"/>
  <c r="BY217" i="5"/>
  <c r="BY76" i="5"/>
  <c r="BY213" i="5"/>
  <c r="BY195" i="5"/>
  <c r="BY105" i="5"/>
  <c r="BY262" i="5"/>
  <c r="BY147" i="5"/>
  <c r="BY79" i="5"/>
  <c r="BY21" i="5"/>
  <c r="BY94" i="5"/>
  <c r="BY60" i="5"/>
  <c r="BY35" i="5"/>
  <c r="BY82" i="5"/>
  <c r="BX229" i="5"/>
  <c r="BX316" i="5"/>
  <c r="BX519" i="5"/>
  <c r="BX528" i="5"/>
  <c r="BX377" i="5"/>
  <c r="BX136" i="5"/>
  <c r="BX236" i="5"/>
  <c r="BY67" i="5"/>
  <c r="BX403" i="5"/>
  <c r="BX339" i="5"/>
  <c r="BX338" i="5"/>
  <c r="BX323" i="5"/>
  <c r="BX333" i="5"/>
  <c r="BX55" i="5"/>
  <c r="BX497" i="5"/>
  <c r="BX349" i="5"/>
  <c r="BX162" i="5"/>
  <c r="BX454" i="5"/>
  <c r="BX313" i="5"/>
  <c r="BX261" i="5"/>
  <c r="BX117" i="5"/>
  <c r="BX308" i="5"/>
  <c r="BX479" i="5"/>
  <c r="BX535" i="5"/>
  <c r="BX442" i="5"/>
  <c r="BX64" i="5"/>
  <c r="BX151" i="5"/>
  <c r="BX350" i="5"/>
  <c r="BX37" i="5"/>
  <c r="BY237" i="5"/>
  <c r="BY113" i="5"/>
  <c r="BY128" i="5"/>
  <c r="BX194" i="5"/>
  <c r="BX99" i="5"/>
  <c r="BX104" i="5"/>
  <c r="BX320" i="5"/>
  <c r="BX511" i="5"/>
  <c r="BX10" i="5"/>
  <c r="BX101" i="5"/>
  <c r="BX209" i="5"/>
  <c r="BX171" i="5"/>
  <c r="BX437" i="5"/>
  <c r="BX157" i="5"/>
  <c r="BX246" i="5"/>
  <c r="BX358" i="5"/>
  <c r="BX514" i="5"/>
  <c r="BX489" i="5"/>
  <c r="BX244" i="5"/>
  <c r="BX443" i="5"/>
  <c r="BX181" i="5"/>
  <c r="BX258" i="5"/>
  <c r="BY19" i="5"/>
  <c r="BY239" i="5"/>
  <c r="BX399" i="5"/>
  <c r="BX367" i="5"/>
  <c r="BX292" i="5"/>
  <c r="BX486" i="5"/>
  <c r="BX478" i="5"/>
  <c r="BX89" i="5"/>
  <c r="BX507" i="5"/>
  <c r="BX380" i="5"/>
  <c r="BX116" i="5"/>
  <c r="BX206" i="5"/>
  <c r="BY100" i="5"/>
  <c r="BY126" i="5"/>
  <c r="BY246" i="5"/>
  <c r="BY89" i="5"/>
  <c r="BY42" i="5"/>
  <c r="BY90" i="5"/>
  <c r="BY22" i="5"/>
  <c r="BY86" i="5"/>
  <c r="BY143" i="5"/>
  <c r="BY98" i="5"/>
  <c r="BY241" i="5"/>
  <c r="BX539" i="5"/>
  <c r="BX68" i="5"/>
  <c r="BX67" i="5"/>
  <c r="BX309" i="5"/>
  <c r="BX542" i="5"/>
  <c r="BX128" i="5"/>
  <c r="BX248" i="5"/>
  <c r="BX52" i="5"/>
  <c r="BX360" i="5"/>
  <c r="BX169" i="5"/>
  <c r="BX379" i="5"/>
  <c r="BX168" i="5"/>
  <c r="BX531" i="5"/>
  <c r="BX411" i="5"/>
  <c r="BX56" i="5"/>
  <c r="BX19" i="5"/>
  <c r="BX426" i="5"/>
  <c r="BX477" i="5"/>
  <c r="BX112" i="5"/>
  <c r="BX427" i="5"/>
  <c r="BX69" i="5"/>
  <c r="BX465" i="5"/>
  <c r="BX76" i="5"/>
  <c r="BX405" i="5"/>
  <c r="BX424" i="5"/>
  <c r="BX153" i="5"/>
  <c r="BX70" i="5"/>
  <c r="BX392" i="5"/>
  <c r="BX402" i="5"/>
  <c r="BX231" i="5"/>
  <c r="BX250" i="5"/>
  <c r="BX237" i="5"/>
  <c r="BX8" i="5"/>
  <c r="BX91" i="5"/>
  <c r="BX13" i="5"/>
  <c r="BX103" i="5"/>
  <c r="BX505" i="5"/>
  <c r="BX105" i="5"/>
  <c r="BX166" i="5"/>
  <c r="BX388" i="5"/>
  <c r="BX141" i="5"/>
  <c r="BX276" i="5"/>
  <c r="BX322" i="5"/>
  <c r="BX29" i="5"/>
  <c r="BX455" i="5"/>
  <c r="BX240" i="5"/>
  <c r="BX199" i="5"/>
  <c r="BX496" i="5"/>
  <c r="BX529" i="5"/>
  <c r="BX304" i="5"/>
  <c r="BX21" i="5"/>
  <c r="BX212" i="5"/>
  <c r="BX28" i="5"/>
  <c r="BX457" i="5"/>
  <c r="BX485" i="5"/>
  <c r="BX125" i="5"/>
  <c r="BX45" i="5"/>
  <c r="BX355" i="5"/>
  <c r="BX296" i="5"/>
  <c r="BX282" i="5"/>
  <c r="BY259" i="5"/>
  <c r="BY221" i="5"/>
  <c r="BX124" i="5"/>
  <c r="BX222" i="5"/>
  <c r="BY190" i="5"/>
  <c r="BY201" i="5"/>
  <c r="BY258" i="5"/>
  <c r="BY109" i="5"/>
  <c r="BY203" i="5"/>
  <c r="BY68" i="5"/>
  <c r="BY133" i="5"/>
  <c r="BY254" i="5"/>
  <c r="BY248" i="5"/>
  <c r="BY88" i="5"/>
  <c r="BX4" i="5"/>
  <c r="BX18" i="5"/>
  <c r="BX245" i="5"/>
  <c r="BY122" i="5"/>
  <c r="BY273" i="5"/>
  <c r="BY189" i="5"/>
  <c r="BY54" i="5"/>
  <c r="BX295" i="5"/>
  <c r="BY215" i="5"/>
  <c r="BY92" i="5"/>
  <c r="BY106" i="5"/>
  <c r="BX216" i="5"/>
  <c r="BY24" i="5"/>
  <c r="BY95" i="5"/>
  <c r="BY123" i="5"/>
  <c r="BY124" i="5"/>
  <c r="Y44" i="5"/>
  <c r="Y125" i="5"/>
  <c r="Y69" i="5"/>
  <c r="Y101" i="5"/>
  <c r="Y141" i="5"/>
  <c r="Y9" i="5"/>
  <c r="Y137" i="5"/>
  <c r="P116" i="5"/>
  <c r="AL174" i="5"/>
  <c r="AK174" i="5"/>
  <c r="V174" i="5"/>
  <c r="Y264" i="5"/>
  <c r="CE545" i="5"/>
  <c r="CE546" i="5" s="1"/>
  <c r="CC545" i="5"/>
  <c r="CC546" i="5" s="1"/>
  <c r="CG545" i="5"/>
  <c r="CG546" i="5" s="1"/>
  <c r="BZ555" i="5" s="1"/>
  <c r="Y78" i="5"/>
  <c r="Y231" i="5"/>
  <c r="Y52" i="5"/>
  <c r="AA532" i="5"/>
  <c r="BF132" i="5"/>
  <c r="H515" i="9"/>
  <c r="Z230" i="5"/>
  <c r="BG230" i="5" s="1"/>
  <c r="Z171" i="5"/>
  <c r="BG171" i="5" s="1"/>
  <c r="Z102" i="5"/>
  <c r="BG102" i="5" s="1"/>
  <c r="Z117" i="5"/>
  <c r="BG117" i="5" s="1"/>
  <c r="Z75" i="5"/>
  <c r="BG75" i="5" s="1"/>
  <c r="Z237" i="5"/>
  <c r="BG237" i="5" s="1"/>
  <c r="Z246" i="5"/>
  <c r="BG246" i="5" s="1"/>
  <c r="Z23" i="5"/>
  <c r="BG23" i="5" s="1"/>
  <c r="Z38" i="5"/>
  <c r="BG38" i="5" s="1"/>
  <c r="Z103" i="5"/>
  <c r="BG103" i="5" s="1"/>
  <c r="Z7" i="5"/>
  <c r="BG7" i="5" s="1"/>
  <c r="Z250" i="5"/>
  <c r="Z113" i="5"/>
  <c r="BG113" i="5" s="1"/>
  <c r="Z204" i="5"/>
  <c r="BG204" i="5" s="1"/>
  <c r="Z261" i="5"/>
  <c r="Z274" i="5"/>
  <c r="BG274" i="5" s="1"/>
  <c r="Z10" i="5"/>
  <c r="BG10" i="5" s="1"/>
  <c r="Z176" i="5"/>
  <c r="BG176" i="5" s="1"/>
  <c r="Z220" i="5"/>
  <c r="BG220" i="5" s="1"/>
  <c r="Z269" i="5"/>
  <c r="BG269" i="5" s="1"/>
  <c r="Z31" i="5"/>
  <c r="BG31" i="5" s="1"/>
  <c r="Z14" i="5"/>
  <c r="BG14" i="5" s="1"/>
  <c r="Z232" i="5"/>
  <c r="BG232" i="5" s="1"/>
  <c r="Z148" i="5"/>
  <c r="BG148" i="5" s="1"/>
  <c r="Z15" i="5"/>
  <c r="BG15" i="5" s="1"/>
  <c r="Z85" i="5"/>
  <c r="BG85" i="5" s="1"/>
  <c r="Z49" i="5"/>
  <c r="BG49" i="5" s="1"/>
  <c r="Z128" i="5"/>
  <c r="BG128" i="5" s="1"/>
  <c r="Z223" i="5"/>
  <c r="BG223" i="5" s="1"/>
  <c r="Z226" i="5"/>
  <c r="BG226" i="5" s="1"/>
  <c r="Z267" i="5"/>
  <c r="Z268" i="5"/>
  <c r="Z11" i="5"/>
  <c r="BG11" i="5" s="1"/>
  <c r="Z259" i="5"/>
  <c r="BG298" i="5" s="1"/>
  <c r="Z17" i="5"/>
  <c r="BG17" i="5" s="1"/>
  <c r="Z221" i="5"/>
  <c r="BG221" i="5" s="1"/>
  <c r="Z16" i="5"/>
  <c r="BG16" i="5" s="1"/>
  <c r="Z255" i="5"/>
  <c r="BG288" i="5" s="1"/>
  <c r="Z222" i="5"/>
  <c r="BG222" i="5" s="1"/>
  <c r="Z175" i="5"/>
  <c r="BG175" i="5" s="1"/>
  <c r="Z199" i="5"/>
  <c r="BG199" i="5" s="1"/>
  <c r="Z227" i="5"/>
  <c r="BG227" i="5" s="1"/>
  <c r="Z253" i="5"/>
  <c r="BG253" i="5" s="1"/>
  <c r="Z110" i="5"/>
  <c r="BG110" i="5" s="1"/>
  <c r="Z44" i="5"/>
  <c r="BG44" i="5" s="1"/>
  <c r="Z64" i="5"/>
  <c r="BG64" i="5" s="1"/>
  <c r="Z130" i="5"/>
  <c r="BG130" i="5" s="1"/>
  <c r="Z150" i="5"/>
  <c r="BG150" i="5" s="1"/>
  <c r="Z190" i="5"/>
  <c r="BG190" i="5" s="1"/>
  <c r="Z260" i="5"/>
  <c r="BG260" i="5" s="1"/>
  <c r="Z61" i="5"/>
  <c r="BG61" i="5" s="1"/>
  <c r="Z47" i="5"/>
  <c r="BG47" i="5" s="1"/>
  <c r="Z125" i="5"/>
  <c r="BG125" i="5" s="1"/>
  <c r="Z145" i="5"/>
  <c r="BG145" i="5" s="1"/>
  <c r="Z165" i="5"/>
  <c r="BG165" i="5" s="1"/>
  <c r="Z181" i="5"/>
  <c r="BG181" i="5" s="1"/>
  <c r="Z275" i="5"/>
  <c r="BG275" i="5" s="1"/>
  <c r="Z45" i="5"/>
  <c r="BG45" i="5" s="1"/>
  <c r="Z62" i="5"/>
  <c r="BG62" i="5" s="1"/>
  <c r="Z164" i="5"/>
  <c r="BG164" i="5" s="1"/>
  <c r="Z244" i="5"/>
  <c r="BG244" i="5" s="1"/>
  <c r="Z57" i="5"/>
  <c r="BG57" i="5" s="1"/>
  <c r="Z109" i="5"/>
  <c r="BG109" i="5" s="1"/>
  <c r="Z28" i="5"/>
  <c r="BG28" i="5" s="1"/>
  <c r="Z48" i="5"/>
  <c r="BG48" i="5" s="1"/>
  <c r="Z174" i="5"/>
  <c r="BG174" i="5" s="1"/>
  <c r="Z210" i="5"/>
  <c r="BG210" i="5" s="1"/>
  <c r="Z218" i="5"/>
  <c r="BG218" i="5" s="1"/>
  <c r="Z151" i="5"/>
  <c r="BG151" i="5" s="1"/>
  <c r="Z139" i="5"/>
  <c r="BG139" i="5" s="1"/>
  <c r="Z51" i="5"/>
  <c r="BG51" i="5" s="1"/>
  <c r="Z97" i="5"/>
  <c r="BG97" i="5" s="1"/>
  <c r="Z271" i="5"/>
  <c r="BG315" i="5" s="1"/>
  <c r="Z179" i="5"/>
  <c r="BG179" i="5" s="1"/>
  <c r="Z203" i="5"/>
  <c r="BG203" i="5" s="1"/>
  <c r="Z238" i="5"/>
  <c r="BG238" i="5" s="1"/>
  <c r="Z257" i="5"/>
  <c r="BG257" i="5" s="1"/>
  <c r="Z12" i="5"/>
  <c r="BG12" i="5" s="1"/>
  <c r="Z68" i="5"/>
  <c r="BG68" i="5" s="1"/>
  <c r="Z134" i="5"/>
  <c r="BG134" i="5" s="1"/>
  <c r="Z154" i="5"/>
  <c r="BG154" i="5" s="1"/>
  <c r="Z194" i="5"/>
  <c r="BG194" i="5" s="1"/>
  <c r="Z133" i="5"/>
  <c r="BG133" i="5" s="1"/>
  <c r="Z149" i="5"/>
  <c r="BG149" i="5" s="1"/>
  <c r="Z169" i="5"/>
  <c r="BG169" i="5" s="1"/>
  <c r="Z185" i="5"/>
  <c r="BG185" i="5" s="1"/>
  <c r="Z205" i="5"/>
  <c r="BG205" i="5" s="1"/>
  <c r="Z247" i="5"/>
  <c r="BG247" i="5" s="1"/>
  <c r="Z272" i="5"/>
  <c r="BG272" i="5" s="1"/>
  <c r="Z252" i="5"/>
  <c r="BG252" i="5" s="1"/>
  <c r="Z50" i="5"/>
  <c r="BG50" i="5" s="1"/>
  <c r="Z66" i="5"/>
  <c r="BG66" i="5" s="1"/>
  <c r="Z168" i="5"/>
  <c r="BG168" i="5" s="1"/>
  <c r="Z254" i="5"/>
  <c r="BG287" i="5" s="1"/>
  <c r="Z65" i="5"/>
  <c r="BG65" i="5" s="1"/>
  <c r="Z183" i="5"/>
  <c r="BG183" i="5" s="1"/>
  <c r="Z248" i="5"/>
  <c r="BG248" i="5" s="1"/>
  <c r="Z93" i="5"/>
  <c r="BG93" i="5" s="1"/>
  <c r="Z52" i="5"/>
  <c r="BG52" i="5" s="1"/>
  <c r="Z72" i="5"/>
  <c r="BG72" i="5" s="1"/>
  <c r="Z88" i="5"/>
  <c r="BG88" i="5" s="1"/>
  <c r="Z118" i="5"/>
  <c r="BG118" i="5" s="1"/>
  <c r="Z158" i="5"/>
  <c r="BG158" i="5" s="1"/>
  <c r="Z178" i="5"/>
  <c r="BG178" i="5" s="1"/>
  <c r="Z198" i="5"/>
  <c r="BG198" i="5" s="1"/>
  <c r="Z225" i="5"/>
  <c r="BG225" i="5" s="1"/>
  <c r="Z264" i="5"/>
  <c r="BG264" i="5" s="1"/>
  <c r="Z53" i="5"/>
  <c r="BG53" i="5" s="1"/>
  <c r="Z104" i="5"/>
  <c r="BG104" i="5" s="1"/>
  <c r="Z6" i="5"/>
  <c r="BG6" i="5" s="1"/>
  <c r="Z71" i="5"/>
  <c r="BG71" i="5" s="1"/>
  <c r="Z152" i="5"/>
  <c r="BG152" i="5" s="1"/>
  <c r="Z167" i="5"/>
  <c r="BG167" i="5" s="1"/>
  <c r="Z207" i="5"/>
  <c r="BG207" i="5" s="1"/>
  <c r="Z249" i="5"/>
  <c r="BG249" i="5" s="1"/>
  <c r="Z127" i="5"/>
  <c r="BG127" i="5" s="1"/>
  <c r="Z56" i="5"/>
  <c r="BG56" i="5" s="1"/>
  <c r="Z138" i="5"/>
  <c r="BG138" i="5" s="1"/>
  <c r="Z108" i="5"/>
  <c r="BG108" i="5" s="1"/>
  <c r="Z273" i="5"/>
  <c r="Z77" i="5"/>
  <c r="BG77" i="5" s="1"/>
  <c r="Z137" i="5"/>
  <c r="BG137" i="5" s="1"/>
  <c r="Z153" i="5"/>
  <c r="BG153" i="5" s="1"/>
  <c r="Z189" i="5"/>
  <c r="BG189" i="5" s="1"/>
  <c r="Z209" i="5"/>
  <c r="BG209" i="5" s="1"/>
  <c r="Z214" i="5"/>
  <c r="BG214" i="5" s="1"/>
  <c r="Z263" i="5"/>
  <c r="BG263" i="5" s="1"/>
  <c r="Z236" i="5"/>
  <c r="BG236" i="5" s="1"/>
  <c r="Z25" i="5"/>
  <c r="BG25" i="5" s="1"/>
  <c r="Z70" i="5"/>
  <c r="BG70" i="5" s="1"/>
  <c r="Z172" i="5"/>
  <c r="BG172" i="5" s="1"/>
  <c r="Z188" i="5"/>
  <c r="BG188" i="5" s="1"/>
  <c r="Z231" i="5"/>
  <c r="BG231" i="5" s="1"/>
  <c r="Z217" i="5"/>
  <c r="Z69" i="5"/>
  <c r="BG69" i="5" s="1"/>
  <c r="Z215" i="5"/>
  <c r="BG215" i="5" s="1"/>
  <c r="Z101" i="5"/>
  <c r="BG101" i="5" s="1"/>
  <c r="Z20" i="5"/>
  <c r="BG20" i="5" s="1"/>
  <c r="Z36" i="5"/>
  <c r="BG36" i="5" s="1"/>
  <c r="Z76" i="5"/>
  <c r="BG76" i="5" s="1"/>
  <c r="Z92" i="5"/>
  <c r="BG92" i="5" s="1"/>
  <c r="Z182" i="5"/>
  <c r="BG182" i="5" s="1"/>
  <c r="Z202" i="5"/>
  <c r="BG202" i="5" s="1"/>
  <c r="Z243" i="5"/>
  <c r="BG243" i="5" s="1"/>
  <c r="Z81" i="5"/>
  <c r="BG81" i="5" s="1"/>
  <c r="Z106" i="5"/>
  <c r="BG106" i="5" s="1"/>
  <c r="Z131" i="5"/>
  <c r="BG131" i="5" s="1"/>
  <c r="Z121" i="5"/>
  <c r="BG121" i="5" s="1"/>
  <c r="Z141" i="5"/>
  <c r="BG141" i="5" s="1"/>
  <c r="Z177" i="5"/>
  <c r="BG177" i="5" s="1"/>
  <c r="Z193" i="5"/>
  <c r="BG193" i="5" s="1"/>
  <c r="Z213" i="5"/>
  <c r="BG213" i="5" s="1"/>
  <c r="Z276" i="5"/>
  <c r="BG276" i="5" s="1"/>
  <c r="Z29" i="5"/>
  <c r="BG29" i="5" s="1"/>
  <c r="Z107" i="5"/>
  <c r="BG107" i="5" s="1"/>
  <c r="Z58" i="5"/>
  <c r="BG58" i="5" s="1"/>
  <c r="Z195" i="5"/>
  <c r="BG195" i="5" s="1"/>
  <c r="Z105" i="5"/>
  <c r="BG105" i="5" s="1"/>
  <c r="Z24" i="5"/>
  <c r="BG24" i="5" s="1"/>
  <c r="Z40" i="5"/>
  <c r="BG40" i="5" s="1"/>
  <c r="Z80" i="5"/>
  <c r="BG80" i="5" s="1"/>
  <c r="Z96" i="5"/>
  <c r="BG96" i="5" s="1"/>
  <c r="Z166" i="5"/>
  <c r="BG166" i="5" s="1"/>
  <c r="Z206" i="5"/>
  <c r="BG206" i="5" s="1"/>
  <c r="Z262" i="5"/>
  <c r="BG262" i="5" s="1"/>
  <c r="Z147" i="5"/>
  <c r="BG147" i="5" s="1"/>
  <c r="Z27" i="5"/>
  <c r="BG27" i="5" s="1"/>
  <c r="Z43" i="5"/>
  <c r="BG43" i="5" s="1"/>
  <c r="Z63" i="5"/>
  <c r="BG63" i="5" s="1"/>
  <c r="Z79" i="5"/>
  <c r="BG79" i="5" s="1"/>
  <c r="Z95" i="5"/>
  <c r="BG95" i="5" s="1"/>
  <c r="Z161" i="5"/>
  <c r="BG161" i="5" s="1"/>
  <c r="Z197" i="5"/>
  <c r="BG197" i="5" s="1"/>
  <c r="Z21" i="5"/>
  <c r="BG21" i="5" s="1"/>
  <c r="Z123" i="5"/>
  <c r="BG123" i="5" s="1"/>
  <c r="Z9" i="5"/>
  <c r="BG9" i="5" s="1"/>
  <c r="Z26" i="5"/>
  <c r="BG26" i="5" s="1"/>
  <c r="Z78" i="5"/>
  <c r="BG78" i="5" s="1"/>
  <c r="Z94" i="5"/>
  <c r="BG94" i="5" s="1"/>
  <c r="Z124" i="5"/>
  <c r="BG124" i="5" s="1"/>
  <c r="Z196" i="5"/>
  <c r="BG196" i="5" s="1"/>
  <c r="Z212" i="5"/>
  <c r="BG212" i="5" s="1"/>
  <c r="Z242" i="5"/>
  <c r="BG242" i="5" s="1"/>
  <c r="H185" i="9"/>
  <c r="H514" i="9"/>
  <c r="H516" i="9"/>
  <c r="H517" i="9"/>
  <c r="H217" i="9"/>
  <c r="H215" i="9"/>
  <c r="P19" i="3"/>
  <c r="Q19" i="3"/>
  <c r="AI88" i="5"/>
  <c r="AF88" i="5"/>
  <c r="AM88" i="5"/>
  <c r="AK88" i="5"/>
  <c r="AH88" i="5"/>
  <c r="Y152" i="5"/>
  <c r="Y139" i="5"/>
  <c r="Y50" i="5"/>
  <c r="Y154" i="5"/>
  <c r="AG164" i="5"/>
  <c r="Y127" i="5"/>
  <c r="Y172" i="5"/>
  <c r="Y257" i="5"/>
  <c r="Y214" i="5"/>
  <c r="Y80" i="5"/>
  <c r="Y197" i="5"/>
  <c r="Y158" i="5"/>
  <c r="Y196" i="5"/>
  <c r="D158" i="3"/>
  <c r="B268" i="3"/>
  <c r="AI205" i="5"/>
  <c r="F266" i="3"/>
  <c r="J266" i="3" s="1"/>
  <c r="G266" i="3"/>
  <c r="K266" i="3" s="1"/>
  <c r="F265" i="3"/>
  <c r="J265" i="3" s="1"/>
  <c r="G265" i="3"/>
  <c r="K265" i="3" s="1"/>
  <c r="F264" i="3"/>
  <c r="J264" i="3" s="1"/>
  <c r="G264" i="3"/>
  <c r="K264" i="3" s="1"/>
  <c r="F267" i="3"/>
  <c r="J267" i="3" s="1"/>
  <c r="G267" i="3"/>
  <c r="K267" i="3" s="1"/>
  <c r="F263" i="3"/>
  <c r="J263" i="3" s="1"/>
  <c r="G263" i="3"/>
  <c r="K263" i="3" s="1"/>
  <c r="AM174" i="5"/>
  <c r="AG205" i="5"/>
  <c r="AI174" i="5"/>
  <c r="AJ174" i="5"/>
  <c r="AH205" i="5"/>
  <c r="AH174" i="5"/>
  <c r="AF205" i="5"/>
  <c r="AF174" i="5"/>
  <c r="AF151" i="5"/>
  <c r="AL151" i="5"/>
  <c r="AJ151" i="5"/>
  <c r="AI151" i="5"/>
  <c r="AH151" i="5"/>
  <c r="Y212" i="5"/>
  <c r="Y194" i="5"/>
  <c r="Y81" i="5"/>
  <c r="AH116" i="5"/>
  <c r="S5" i="3"/>
  <c r="T5" i="3" s="1"/>
  <c r="S7" i="3"/>
  <c r="T7" i="3" s="1"/>
  <c r="S16" i="3"/>
  <c r="T16" i="3" s="1"/>
  <c r="S10" i="3"/>
  <c r="T10" i="3" s="1"/>
  <c r="S17" i="3"/>
  <c r="T17" i="3" s="1"/>
  <c r="C21" i="3"/>
  <c r="D21" i="3" s="1"/>
  <c r="S15" i="3"/>
  <c r="T15" i="3" s="1"/>
  <c r="L2" i="3"/>
  <c r="S6" i="3"/>
  <c r="T6" i="3" s="1"/>
  <c r="S14" i="3"/>
  <c r="T14" i="3" s="1"/>
  <c r="S4" i="3"/>
  <c r="T4" i="3" s="1"/>
  <c r="S13" i="3"/>
  <c r="T13" i="3" s="1"/>
  <c r="S9" i="3"/>
  <c r="T9" i="3" s="1"/>
  <c r="S2" i="3"/>
  <c r="S8" i="3"/>
  <c r="T8" i="3" s="1"/>
  <c r="S11" i="3"/>
  <c r="T11" i="3" s="1"/>
  <c r="S12" i="3"/>
  <c r="T12" i="3" s="1"/>
  <c r="S3" i="3"/>
  <c r="T3" i="3" s="1"/>
  <c r="S18" i="3"/>
  <c r="T18" i="3" s="1"/>
  <c r="Y252" i="5"/>
  <c r="Y210" i="5"/>
  <c r="Y193" i="5"/>
  <c r="Y36" i="5"/>
  <c r="Y63" i="5"/>
  <c r="Y165" i="5"/>
  <c r="Y272" i="5"/>
  <c r="Y227" i="5"/>
  <c r="Y153" i="5"/>
  <c r="Y206" i="5"/>
  <c r="Y276" i="5"/>
  <c r="Y209" i="5"/>
  <c r="Y66" i="5"/>
  <c r="Y179" i="5"/>
  <c r="Y185" i="5"/>
  <c r="Y6" i="5"/>
  <c r="Y29" i="5"/>
  <c r="Y57" i="5"/>
  <c r="Y238" i="5"/>
  <c r="Y249" i="5"/>
  <c r="Y28" i="5"/>
  <c r="Y96" i="5"/>
  <c r="AJ88" i="5"/>
  <c r="Y94" i="5"/>
  <c r="Y65" i="5"/>
  <c r="Y108" i="5"/>
  <c r="AG146" i="5"/>
  <c r="Y253" i="5"/>
  <c r="Y263" i="5"/>
  <c r="Y177" i="5"/>
  <c r="Y58" i="5"/>
  <c r="Y225" i="5"/>
  <c r="Y242" i="5"/>
  <c r="Y167" i="5"/>
  <c r="Y53" i="5"/>
  <c r="Y183" i="5"/>
  <c r="Y26" i="5"/>
  <c r="Y145" i="5"/>
  <c r="Y199" i="5"/>
  <c r="Y247" i="5"/>
  <c r="Y20" i="5"/>
  <c r="Y271" i="5"/>
  <c r="Y43" i="5"/>
  <c r="AM137" i="5"/>
  <c r="BG265" i="5"/>
  <c r="BG324" i="5"/>
  <c r="BG301" i="5"/>
  <c r="BG310" i="5"/>
  <c r="BG322" i="5"/>
  <c r="BG302" i="5"/>
  <c r="BG303" i="5"/>
  <c r="BG321" i="5"/>
  <c r="BG300" i="5"/>
  <c r="BG319" i="5"/>
  <c r="BG293" i="5"/>
  <c r="BG280" i="5"/>
  <c r="BG286" i="5"/>
  <c r="BG281" i="5"/>
  <c r="BG283" i="5"/>
  <c r="BG306" i="5"/>
  <c r="BG299" i="5"/>
  <c r="BG309" i="5"/>
  <c r="BG318" i="5"/>
  <c r="BG270" i="5"/>
  <c r="C13" i="3"/>
  <c r="Y47" i="5"/>
  <c r="Y123" i="5"/>
  <c r="Y107" i="5"/>
  <c r="Y164" i="5"/>
  <c r="Y175" i="5"/>
  <c r="Y79" i="5"/>
  <c r="Y104" i="5"/>
  <c r="Y260" i="5"/>
  <c r="Y71" i="5"/>
  <c r="Y64" i="5"/>
  <c r="Y131" i="5"/>
  <c r="Y76" i="5"/>
  <c r="Y166" i="5"/>
  <c r="Y174" i="5"/>
  <c r="Y205" i="5"/>
  <c r="D160" i="3"/>
  <c r="Y233" i="5"/>
  <c r="Z233" i="5"/>
  <c r="BG233" i="5" s="1"/>
  <c r="Y89" i="5"/>
  <c r="Z89" i="5"/>
  <c r="BG89" i="5" s="1"/>
  <c r="Y55" i="5"/>
  <c r="Z55" i="5"/>
  <c r="BG55" i="5" s="1"/>
  <c r="Y30" i="5"/>
  <c r="Z30" i="5"/>
  <c r="BG30" i="5" s="1"/>
  <c r="Y42" i="5"/>
  <c r="Z42" i="5"/>
  <c r="BG42" i="5" s="1"/>
  <c r="AA82" i="5"/>
  <c r="BF82" i="5" s="1"/>
  <c r="AA178" i="5"/>
  <c r="BF178" i="5" s="1"/>
  <c r="AA314" i="5"/>
  <c r="H101" i="9" s="1"/>
  <c r="AA113" i="5"/>
  <c r="BF113" i="5" s="1"/>
  <c r="AA34" i="5"/>
  <c r="BF34" i="5" s="1"/>
  <c r="AA280" i="5"/>
  <c r="H14" i="9" s="1"/>
  <c r="AA288" i="5"/>
  <c r="H32" i="9" s="1"/>
  <c r="AA473" i="5"/>
  <c r="H409" i="9" s="1"/>
  <c r="Y90" i="5"/>
  <c r="Z90" i="5"/>
  <c r="BG90" i="5" s="1"/>
  <c r="Y22" i="5"/>
  <c r="Z22" i="5"/>
  <c r="BG22" i="5" s="1"/>
  <c r="Y86" i="5"/>
  <c r="Z86" i="5"/>
  <c r="BG86" i="5" s="1"/>
  <c r="Y143" i="5"/>
  <c r="Z143" i="5"/>
  <c r="BG143" i="5" s="1"/>
  <c r="Y98" i="5"/>
  <c r="Z98" i="5"/>
  <c r="BG98" i="5" s="1"/>
  <c r="Y241" i="5"/>
  <c r="Z241" i="5"/>
  <c r="BG241" i="5" s="1"/>
  <c r="AA539" i="5"/>
  <c r="H533" i="9" s="1"/>
  <c r="AA68" i="5"/>
  <c r="BF68" i="5" s="1"/>
  <c r="AA67" i="5"/>
  <c r="BF67" i="5" s="1"/>
  <c r="AA309" i="5"/>
  <c r="H87" i="9" s="1"/>
  <c r="AA542" i="5"/>
  <c r="BF542" i="5" s="1"/>
  <c r="AA128" i="5"/>
  <c r="BF128" i="5" s="1"/>
  <c r="AA248" i="5"/>
  <c r="H379" i="9" s="1"/>
  <c r="AA52" i="5"/>
  <c r="BF52" i="5" s="1"/>
  <c r="AA360" i="5"/>
  <c r="H186" i="9" s="1"/>
  <c r="AA169" i="5"/>
  <c r="BF169" i="5" s="1"/>
  <c r="AA379" i="5"/>
  <c r="H212" i="9" s="1"/>
  <c r="AA168" i="5"/>
  <c r="BF168" i="5" s="1"/>
  <c r="AA531" i="5"/>
  <c r="H520" i="9" s="1"/>
  <c r="AA411" i="5"/>
  <c r="H288" i="9" s="1"/>
  <c r="AA56" i="5"/>
  <c r="BF56" i="5" s="1"/>
  <c r="AA19" i="5"/>
  <c r="BF19" i="5" s="1"/>
  <c r="AA426" i="5"/>
  <c r="H311" i="9" s="1"/>
  <c r="AA477" i="5"/>
  <c r="H424" i="9" s="1"/>
  <c r="AA112" i="5"/>
  <c r="BF112" i="5" s="1"/>
  <c r="AA427" i="5"/>
  <c r="H316" i="9" s="1"/>
  <c r="AA69" i="5"/>
  <c r="BF69" i="5" s="1"/>
  <c r="AA465" i="5"/>
  <c r="BF465" i="5" s="1"/>
  <c r="AA76" i="5"/>
  <c r="BF76" i="5" s="1"/>
  <c r="AA405" i="5"/>
  <c r="H265" i="9" s="1"/>
  <c r="AA424" i="5"/>
  <c r="BF424" i="5" s="1"/>
  <c r="AA153" i="5"/>
  <c r="BF153" i="5" s="1"/>
  <c r="AA70" i="5"/>
  <c r="BF70" i="5" s="1"/>
  <c r="AA392" i="5"/>
  <c r="H242" i="9" s="1"/>
  <c r="AA402" i="5"/>
  <c r="BF402" i="5" s="1"/>
  <c r="AA231" i="5"/>
  <c r="H67" i="9" s="1"/>
  <c r="AA250" i="5"/>
  <c r="H284" i="9" s="1"/>
  <c r="AA237" i="5"/>
  <c r="H66" i="9" s="1"/>
  <c r="AA8" i="5"/>
  <c r="BF8" i="5" s="1"/>
  <c r="AA91" i="5"/>
  <c r="BF91" i="5" s="1"/>
  <c r="AA13" i="5"/>
  <c r="BF13" i="5" s="1"/>
  <c r="AA103" i="5"/>
  <c r="BF103" i="5" s="1"/>
  <c r="AA505" i="5"/>
  <c r="BF505" i="5" s="1"/>
  <c r="AA105" i="5"/>
  <c r="BF105" i="5" s="1"/>
  <c r="AA166" i="5"/>
  <c r="BF166" i="5" s="1"/>
  <c r="AA388" i="5"/>
  <c r="H223" i="9" s="1"/>
  <c r="AA141" i="5"/>
  <c r="BF141" i="5" s="1"/>
  <c r="AA276" i="5"/>
  <c r="H283" i="9" s="1"/>
  <c r="AA322" i="5"/>
  <c r="H112" i="9" s="1"/>
  <c r="AA29" i="5"/>
  <c r="BF29" i="5" s="1"/>
  <c r="AA455" i="5"/>
  <c r="BF455" i="5" s="1"/>
  <c r="AA240" i="5"/>
  <c r="H193" i="9" s="1"/>
  <c r="AA199" i="5"/>
  <c r="BF199" i="5" s="1"/>
  <c r="AA496" i="5"/>
  <c r="H456" i="9" s="1"/>
  <c r="AA529" i="5"/>
  <c r="H518" i="9" s="1"/>
  <c r="AA304" i="5"/>
  <c r="BF304" i="5" s="1"/>
  <c r="AA21" i="5"/>
  <c r="BF21" i="5" s="1"/>
  <c r="AA212" i="5"/>
  <c r="BF212" i="5" s="1"/>
  <c r="AA28" i="5"/>
  <c r="BF28" i="5" s="1"/>
  <c r="AA315" i="5"/>
  <c r="H102" i="9" s="1"/>
  <c r="AA47" i="5"/>
  <c r="BF47" i="5" s="1"/>
  <c r="AA501" i="5"/>
  <c r="H470" i="9" s="1"/>
  <c r="AA419" i="5"/>
  <c r="H304" i="9" s="1"/>
  <c r="AA266" i="5"/>
  <c r="H539" i="9" s="1"/>
  <c r="AA27" i="5"/>
  <c r="BF27" i="5" s="1"/>
  <c r="Y144" i="5"/>
  <c r="Z144" i="5"/>
  <c r="BG144" i="5" s="1"/>
  <c r="AA268" i="5"/>
  <c r="H55" i="9" s="1"/>
  <c r="AA17" i="5"/>
  <c r="BF17" i="5" s="1"/>
  <c r="AA255" i="5"/>
  <c r="BF255" i="5" s="1"/>
  <c r="AA226" i="5"/>
  <c r="H127" i="9" s="1"/>
  <c r="Y126" i="5"/>
  <c r="Z126" i="5"/>
  <c r="BG126" i="5" s="1"/>
  <c r="Y136" i="5"/>
  <c r="Z136" i="5"/>
  <c r="BG136" i="5" s="1"/>
  <c r="Y180" i="5"/>
  <c r="Z180" i="5"/>
  <c r="BG180" i="5" s="1"/>
  <c r="AA331" i="5"/>
  <c r="H125" i="9" s="1"/>
  <c r="AA526" i="5"/>
  <c r="H508" i="9" s="1"/>
  <c r="AA133" i="5"/>
  <c r="BF133" i="5" s="1"/>
  <c r="AA391" i="5"/>
  <c r="BF391" i="5" s="1"/>
  <c r="AA530" i="5"/>
  <c r="BF530" i="5" s="1"/>
  <c r="AA131" i="5"/>
  <c r="BF131" i="5" s="1"/>
  <c r="AA25" i="5"/>
  <c r="BF25" i="5" s="1"/>
  <c r="AA406" i="5"/>
  <c r="BF406" i="5" s="1"/>
  <c r="AA57" i="5"/>
  <c r="BF57" i="5" s="1"/>
  <c r="Y60" i="5"/>
  <c r="Z60" i="5"/>
  <c r="BG60" i="5" s="1"/>
  <c r="Y39" i="5"/>
  <c r="Z39" i="5"/>
  <c r="BG39" i="5" s="1"/>
  <c r="Y35" i="5"/>
  <c r="Z35" i="5"/>
  <c r="BG35" i="5" s="1"/>
  <c r="Y82" i="5"/>
  <c r="Z82" i="5"/>
  <c r="BG82" i="5" s="1"/>
  <c r="Y73" i="5"/>
  <c r="Z73" i="5"/>
  <c r="BG73" i="5" s="1"/>
  <c r="Y160" i="5"/>
  <c r="Z160" i="5"/>
  <c r="BG160" i="5" s="1"/>
  <c r="AA179" i="5"/>
  <c r="BF179" i="5" s="1"/>
  <c r="AA229" i="5"/>
  <c r="AA134" i="5"/>
  <c r="BF134" i="5" s="1"/>
  <c r="AA458" i="5"/>
  <c r="H374" i="9" s="1"/>
  <c r="AA408" i="5"/>
  <c r="H280" i="9" s="1"/>
  <c r="AA83" i="5"/>
  <c r="BF83" i="5" s="1"/>
  <c r="AA316" i="5"/>
  <c r="BF316" i="5" s="1"/>
  <c r="AA475" i="5"/>
  <c r="H418" i="9" s="1"/>
  <c r="AA321" i="5"/>
  <c r="H109" i="9" s="1"/>
  <c r="AA163" i="5"/>
  <c r="BF163" i="5" s="1"/>
  <c r="AA72" i="5"/>
  <c r="BF72" i="5" s="1"/>
  <c r="AA264" i="5"/>
  <c r="BF264" i="5" s="1"/>
  <c r="AA519" i="5"/>
  <c r="H499" i="9" s="1"/>
  <c r="AA185" i="5"/>
  <c r="BF185" i="5" s="1"/>
  <c r="AA184" i="5"/>
  <c r="BF184" i="5" s="1"/>
  <c r="AA528" i="5"/>
  <c r="H513" i="9" s="1"/>
  <c r="AA368" i="5"/>
  <c r="H200" i="9" s="1"/>
  <c r="AA297" i="5"/>
  <c r="H59" i="9" s="1"/>
  <c r="AA298" i="5"/>
  <c r="H63" i="9" s="1"/>
  <c r="AA122" i="5"/>
  <c r="BF122" i="5" s="1"/>
  <c r="AA377" i="5"/>
  <c r="H210" i="9" s="1"/>
  <c r="AA398" i="5"/>
  <c r="H255" i="9" s="1"/>
  <c r="AA35" i="5"/>
  <c r="BF35" i="5" s="1"/>
  <c r="Y115" i="5"/>
  <c r="Z115" i="5"/>
  <c r="BG115" i="5" s="1"/>
  <c r="AA136" i="5"/>
  <c r="BF136" i="5" s="1"/>
  <c r="AA393" i="5"/>
  <c r="H243" i="9" s="1"/>
  <c r="AA92" i="5"/>
  <c r="BF92" i="5" s="1"/>
  <c r="AA464" i="5"/>
  <c r="H384" i="9" s="1"/>
  <c r="AA173" i="5"/>
  <c r="BF173" i="5" s="1"/>
  <c r="AA353" i="5"/>
  <c r="H174" i="9" s="1"/>
  <c r="AA236" i="5"/>
  <c r="H130" i="9" s="1"/>
  <c r="AA172" i="5"/>
  <c r="BF172" i="5" s="1"/>
  <c r="AA460" i="5"/>
  <c r="BF460" i="5" s="1"/>
  <c r="BF7" i="5"/>
  <c r="AA490" i="5"/>
  <c r="BF490" i="5" s="1"/>
  <c r="AA100" i="5"/>
  <c r="BF100" i="5" s="1"/>
  <c r="AA22" i="5"/>
  <c r="BF22" i="5" s="1"/>
  <c r="AA208" i="5"/>
  <c r="BF208" i="5" s="1"/>
  <c r="AA328" i="5"/>
  <c r="H122" i="9" s="1"/>
  <c r="AA147" i="5"/>
  <c r="BF147" i="5" s="1"/>
  <c r="AA107" i="5"/>
  <c r="BF107" i="5" s="1"/>
  <c r="AA382" i="5"/>
  <c r="H216" i="9" s="1"/>
  <c r="AA344" i="5"/>
  <c r="H153" i="9" s="1"/>
  <c r="AA413" i="5"/>
  <c r="H290" i="9" s="1"/>
  <c r="AA44" i="5"/>
  <c r="BF44" i="5" s="1"/>
  <c r="AA488" i="5"/>
  <c r="H448" i="9" s="1"/>
  <c r="AA197" i="5"/>
  <c r="BF197" i="5" s="1"/>
  <c r="AA123" i="5"/>
  <c r="BF123" i="5" s="1"/>
  <c r="AA9" i="5"/>
  <c r="BF9" i="5" s="1"/>
  <c r="AA404" i="5"/>
  <c r="H264" i="9" s="1"/>
  <c r="AA48" i="5"/>
  <c r="BF48" i="5" s="1"/>
  <c r="AA457" i="5"/>
  <c r="H366" i="9" s="1"/>
  <c r="AA485" i="5"/>
  <c r="BF485" i="5" s="1"/>
  <c r="AA125" i="5"/>
  <c r="BF125" i="5" s="1"/>
  <c r="AA45" i="5"/>
  <c r="BF45" i="5" s="1"/>
  <c r="AA355" i="5"/>
  <c r="BF420" i="5" s="1"/>
  <c r="AA296" i="5"/>
  <c r="H51" i="9" s="1"/>
  <c r="AA282" i="5"/>
  <c r="H23" i="9" s="1"/>
  <c r="AA217" i="5"/>
  <c r="H16" i="9" s="1"/>
  <c r="Y114" i="5"/>
  <c r="Z114" i="5"/>
  <c r="BG114" i="5" s="1"/>
  <c r="AA245" i="5"/>
  <c r="BF245" i="5" s="1"/>
  <c r="AA395" i="5"/>
  <c r="H252" i="9" s="1"/>
  <c r="Y59" i="5"/>
  <c r="Z59" i="5"/>
  <c r="BG59" i="5" s="1"/>
  <c r="Y157" i="5"/>
  <c r="Z157" i="5"/>
  <c r="BG157" i="5" s="1"/>
  <c r="Y13" i="5"/>
  <c r="Z13" i="5"/>
  <c r="BG13" i="5" s="1"/>
  <c r="Y8" i="5"/>
  <c r="Z8" i="5"/>
  <c r="BG8" i="5" s="1"/>
  <c r="Y87" i="5"/>
  <c r="Z87" i="5"/>
  <c r="BG87" i="5" s="1"/>
  <c r="Y67" i="5"/>
  <c r="Z67" i="5"/>
  <c r="BG67" i="5" s="1"/>
  <c r="Y251" i="5"/>
  <c r="Z251" i="5"/>
  <c r="AA449" i="5"/>
  <c r="H354" i="9" s="1"/>
  <c r="AA403" i="5"/>
  <c r="H263" i="9" s="1"/>
  <c r="AA476" i="5"/>
  <c r="H419" i="9" s="1"/>
  <c r="AA85" i="5"/>
  <c r="BF85" i="5" s="1"/>
  <c r="AA148" i="5"/>
  <c r="BF148" i="5" s="1"/>
  <c r="AA339" i="5"/>
  <c r="BF339" i="5" s="1"/>
  <c r="AA487" i="5"/>
  <c r="BF487" i="5" s="1"/>
  <c r="AA428" i="5"/>
  <c r="H317" i="9" s="1"/>
  <c r="AA53" i="5"/>
  <c r="AA338" i="5"/>
  <c r="H147" i="9" s="1"/>
  <c r="AA323" i="5"/>
  <c r="H113" i="9" s="1"/>
  <c r="AA254" i="5"/>
  <c r="H235" i="9" s="1"/>
  <c r="AA167" i="5"/>
  <c r="AA390" i="5"/>
  <c r="H228" i="9" s="1"/>
  <c r="AA333" i="5"/>
  <c r="AA55" i="5"/>
  <c r="BF55" i="5" s="1"/>
  <c r="AA348" i="5"/>
  <c r="H169" i="9" s="1"/>
  <c r="AA497" i="5"/>
  <c r="BF497" i="5" s="1"/>
  <c r="AA152" i="5"/>
  <c r="AA349" i="5"/>
  <c r="H170" i="9" s="1"/>
  <c r="AA365" i="5"/>
  <c r="AA162" i="5"/>
  <c r="BF162" i="5" s="1"/>
  <c r="AA396" i="5"/>
  <c r="AA81" i="5"/>
  <c r="BF81" i="5" s="1"/>
  <c r="AA189" i="5"/>
  <c r="AA454" i="5"/>
  <c r="H363" i="9" s="1"/>
  <c r="AA188" i="5"/>
  <c r="AA313" i="5"/>
  <c r="BF313" i="5" s="1"/>
  <c r="AA289" i="5"/>
  <c r="AA261" i="5"/>
  <c r="H540" i="9" s="1"/>
  <c r="AA277" i="5"/>
  <c r="AA117" i="5"/>
  <c r="BF117" i="5" s="1"/>
  <c r="AA119" i="5"/>
  <c r="BF119" i="5" s="1"/>
  <c r="AA38" i="5"/>
  <c r="BF38" i="5" s="1"/>
  <c r="AA24" i="5"/>
  <c r="BF24" i="5" s="1"/>
  <c r="AA186" i="5"/>
  <c r="BF186" i="5" s="1"/>
  <c r="AA308" i="5"/>
  <c r="H86" i="9" s="1"/>
  <c r="AA177" i="5"/>
  <c r="BF177" i="5" s="1"/>
  <c r="AA432" i="5"/>
  <c r="H323" i="9" s="1"/>
  <c r="AA479" i="5"/>
  <c r="H428" i="9" s="1"/>
  <c r="AA42" i="5"/>
  <c r="BF42" i="5" s="1"/>
  <c r="AA319" i="5"/>
  <c r="H106" i="9" s="1"/>
  <c r="AA535" i="5"/>
  <c r="H529" i="9" s="1"/>
  <c r="AA299" i="5"/>
  <c r="H64" i="9" s="1"/>
  <c r="AA227" i="5"/>
  <c r="H62" i="9" s="1"/>
  <c r="AA442" i="5"/>
  <c r="H340" i="9" s="1"/>
  <c r="AA518" i="5"/>
  <c r="H498" i="9" s="1"/>
  <c r="AA64" i="5"/>
  <c r="BF64" i="5" s="1"/>
  <c r="AA303" i="5"/>
  <c r="BF303" i="5" s="1"/>
  <c r="AA524" i="5"/>
  <c r="H505" i="9" s="1"/>
  <c r="AA26" i="5"/>
  <c r="BF26" i="5" s="1"/>
  <c r="AA84" i="5"/>
  <c r="BF84" i="5" s="1"/>
  <c r="AA145" i="5"/>
  <c r="BF145" i="5" s="1"/>
  <c r="Y224" i="5"/>
  <c r="Z224" i="5"/>
  <c r="BG224" i="5" s="1"/>
  <c r="AA435" i="5"/>
  <c r="H326" i="9" s="1"/>
  <c r="AA46" i="5"/>
  <c r="BF46" i="5" s="1"/>
  <c r="AA445" i="5"/>
  <c r="H343" i="9" s="1"/>
  <c r="Y216" i="5"/>
  <c r="Z216" i="5"/>
  <c r="BG216" i="5" s="1"/>
  <c r="AA225" i="5"/>
  <c r="H99" i="9" s="1"/>
  <c r="Y245" i="5"/>
  <c r="Z245" i="5"/>
  <c r="BG245" i="5" s="1"/>
  <c r="Y219" i="5"/>
  <c r="Z219" i="5"/>
  <c r="BG219" i="5" s="1"/>
  <c r="AA472" i="5"/>
  <c r="H408" i="9" s="1"/>
  <c r="AA481" i="5"/>
  <c r="BF481" i="5" s="1"/>
  <c r="AA224" i="5"/>
  <c r="BF224" i="5" s="1"/>
  <c r="AA509" i="5"/>
  <c r="H484" i="9" s="1"/>
  <c r="AA295" i="5"/>
  <c r="H50" i="9" s="1"/>
  <c r="Y155" i="5"/>
  <c r="Z155" i="5"/>
  <c r="BG155" i="5" s="1"/>
  <c r="Y256" i="5"/>
  <c r="Z256" i="5"/>
  <c r="Y37" i="5"/>
  <c r="Z37" i="5"/>
  <c r="BG37" i="5" s="1"/>
  <c r="Y186" i="5"/>
  <c r="Z186" i="5"/>
  <c r="BG186" i="5" s="1"/>
  <c r="Y135" i="5"/>
  <c r="Z135" i="5"/>
  <c r="BG135" i="5" s="1"/>
  <c r="AA144" i="5"/>
  <c r="BF144" i="5" s="1"/>
  <c r="Y146" i="5"/>
  <c r="Z146" i="5"/>
  <c r="BG146" i="5" s="1"/>
  <c r="AA154" i="5"/>
  <c r="BF154" i="5" s="1"/>
  <c r="Y184" i="5"/>
  <c r="Z184" i="5"/>
  <c r="BG184" i="5" s="1"/>
  <c r="Y91" i="5"/>
  <c r="Z91" i="5"/>
  <c r="BG91" i="5" s="1"/>
  <c r="Y116" i="5"/>
  <c r="Z116" i="5"/>
  <c r="BG116" i="5" s="1"/>
  <c r="Y156" i="5"/>
  <c r="Z156" i="5"/>
  <c r="BG156" i="5" s="1"/>
  <c r="Y191" i="5"/>
  <c r="Z191" i="5"/>
  <c r="BG191" i="5" s="1"/>
  <c r="Y112" i="5"/>
  <c r="Z112" i="5"/>
  <c r="BG112" i="5" s="1"/>
  <c r="AA520" i="5"/>
  <c r="H500" i="9" s="1"/>
  <c r="Y200" i="5"/>
  <c r="Z200" i="5"/>
  <c r="BG200" i="5" s="1"/>
  <c r="AA203" i="5"/>
  <c r="BF203" i="5" s="1"/>
  <c r="AA285" i="5"/>
  <c r="H26" i="9" s="1"/>
  <c r="AA471" i="5"/>
  <c r="BF471" i="5" s="1"/>
  <c r="AA194" i="5"/>
  <c r="BF194" i="5" s="1"/>
  <c r="AA49" i="5"/>
  <c r="BF49" i="5" s="1"/>
  <c r="AA73" i="5"/>
  <c r="BF73" i="5" s="1"/>
  <c r="AA99" i="5"/>
  <c r="BF99" i="5" s="1"/>
  <c r="AA517" i="5"/>
  <c r="H492" i="9" s="1"/>
  <c r="AA14" i="5"/>
  <c r="BF14" i="5" s="1"/>
  <c r="AA200" i="5"/>
  <c r="BF200" i="5" s="1"/>
  <c r="AA183" i="5"/>
  <c r="BF183" i="5" s="1"/>
  <c r="AA88" i="5"/>
  <c r="BF88" i="5" s="1"/>
  <c r="AA104" i="5"/>
  <c r="BF104" i="5" s="1"/>
  <c r="AA205" i="5"/>
  <c r="BF205" i="5" s="1"/>
  <c r="AA537" i="5"/>
  <c r="H531" i="9" s="1"/>
  <c r="AA508" i="5"/>
  <c r="H483" i="9" s="1"/>
  <c r="AA320" i="5"/>
  <c r="H108" i="9" s="1"/>
  <c r="AA187" i="5"/>
  <c r="BF187" i="5" s="1"/>
  <c r="AA336" i="5"/>
  <c r="BF336" i="5" s="1"/>
  <c r="AA127" i="5"/>
  <c r="BF127" i="5" s="1"/>
  <c r="AA138" i="5"/>
  <c r="BF138" i="5" s="1"/>
  <c r="AA511" i="5"/>
  <c r="BF511" i="5" s="1"/>
  <c r="AA446" i="5"/>
  <c r="H344" i="9" s="1"/>
  <c r="AA71" i="5"/>
  <c r="BF71" i="5" s="1"/>
  <c r="AA10" i="5"/>
  <c r="BF10" i="5" s="1"/>
  <c r="AA204" i="5"/>
  <c r="BF204" i="5" s="1"/>
  <c r="AA466" i="5"/>
  <c r="H392" i="9" s="1"/>
  <c r="AA101" i="5"/>
  <c r="BF101" i="5" s="1"/>
  <c r="AA182" i="5"/>
  <c r="BF182" i="5" s="1"/>
  <c r="AA342" i="5"/>
  <c r="BF342" i="5" s="1"/>
  <c r="AA209" i="5"/>
  <c r="BF209" i="5" s="1"/>
  <c r="AA373" i="5"/>
  <c r="H205" i="9" s="1"/>
  <c r="AA171" i="5"/>
  <c r="BF171" i="5" s="1"/>
  <c r="AA351" i="5"/>
  <c r="H172" i="9" s="1"/>
  <c r="AA491" i="5"/>
  <c r="BF491" i="5" s="1"/>
  <c r="AA459" i="5"/>
  <c r="H375" i="9" s="1"/>
  <c r="AA437" i="5"/>
  <c r="BF290" i="5" s="1"/>
  <c r="AA23" i="5"/>
  <c r="BF23" i="5" s="1"/>
  <c r="AA157" i="5"/>
  <c r="BF157" i="5" s="1"/>
  <c r="AA90" i="5"/>
  <c r="BF90" i="5" s="1"/>
  <c r="AA246" i="5"/>
  <c r="H10" i="9" s="1"/>
  <c r="AA358" i="5"/>
  <c r="BF358" i="5" s="1"/>
  <c r="AA514" i="5"/>
  <c r="BF514" i="5" s="1"/>
  <c r="AA58" i="5"/>
  <c r="BF58" i="5" s="1"/>
  <c r="AA513" i="5"/>
  <c r="BF513" i="5" s="1"/>
  <c r="AA540" i="5"/>
  <c r="BF540" i="5" s="1"/>
  <c r="AA130" i="5"/>
  <c r="BF130" i="5" s="1"/>
  <c r="AA61" i="5"/>
  <c r="BF61" i="5" s="1"/>
  <c r="AA332" i="5"/>
  <c r="H126" i="9" s="1"/>
  <c r="AA489" i="5"/>
  <c r="BF489" i="5" s="1"/>
  <c r="AA78" i="5"/>
  <c r="BF78" i="5" s="1"/>
  <c r="AA244" i="5"/>
  <c r="BF244" i="5" s="1"/>
  <c r="AA523" i="5"/>
  <c r="BF523" i="5" s="1"/>
  <c r="AA151" i="5"/>
  <c r="BF151" i="5" s="1"/>
  <c r="AA165" i="5"/>
  <c r="BF165" i="5" s="1"/>
  <c r="AA62" i="5"/>
  <c r="BF62" i="5" s="1"/>
  <c r="AA350" i="5"/>
  <c r="H171" i="9" s="1"/>
  <c r="AA500" i="5"/>
  <c r="BF500" i="5" s="1"/>
  <c r="AA37" i="5"/>
  <c r="BF37" i="5" s="1"/>
  <c r="Y4" i="5"/>
  <c r="Z4" i="5"/>
  <c r="BG4" i="5" s="1"/>
  <c r="BF423" i="5"/>
  <c r="AA115" i="5"/>
  <c r="BF115" i="5" s="1"/>
  <c r="AA216" i="5"/>
  <c r="Y119" i="5"/>
  <c r="Z119" i="5"/>
  <c r="BG119" i="5" s="1"/>
  <c r="Y19" i="5"/>
  <c r="Z19" i="5"/>
  <c r="BG19" i="5" s="1"/>
  <c r="Y277" i="5"/>
  <c r="Z277" i="5"/>
  <c r="Y239" i="5"/>
  <c r="Z239" i="5"/>
  <c r="BG239" i="5" s="1"/>
  <c r="Y99" i="5"/>
  <c r="Z99" i="5"/>
  <c r="BG99" i="5" s="1"/>
  <c r="Y266" i="5"/>
  <c r="Z266" i="5"/>
  <c r="AA378" i="5"/>
  <c r="BF378" i="5" s="1"/>
  <c r="BF15" i="5"/>
  <c r="AA399" i="5"/>
  <c r="BF399" i="5" s="1"/>
  <c r="AA367" i="5"/>
  <c r="BF367" i="5" s="1"/>
  <c r="AA337" i="5"/>
  <c r="BF337" i="5" s="1"/>
  <c r="AA118" i="5"/>
  <c r="BF118" i="5" s="1"/>
  <c r="AA292" i="5"/>
  <c r="H44" i="9" s="1"/>
  <c r="AA486" i="5"/>
  <c r="H446" i="9" s="1"/>
  <c r="AA400" i="5"/>
  <c r="H260" i="9" s="1"/>
  <c r="AA230" i="5"/>
  <c r="H368" i="9" s="1"/>
  <c r="AA207" i="5"/>
  <c r="BF207" i="5" s="1"/>
  <c r="AA478" i="5"/>
  <c r="H425" i="9" s="1"/>
  <c r="AA305" i="5"/>
  <c r="BF305" i="5" s="1"/>
  <c r="AA312" i="5"/>
  <c r="BF312" i="5" s="1"/>
  <c r="AA89" i="5"/>
  <c r="BF89" i="5" s="1"/>
  <c r="AA326" i="5"/>
  <c r="BF326" i="5" s="1"/>
  <c r="AA202" i="5"/>
  <c r="BF202" i="5" s="1"/>
  <c r="AA507" i="5"/>
  <c r="BF507" i="5" s="1"/>
  <c r="AA214" i="5"/>
  <c r="H17" i="9" s="1"/>
  <c r="AA371" i="5"/>
  <c r="BF371" i="5" s="1"/>
  <c r="AA335" i="5"/>
  <c r="H137" i="9" s="1"/>
  <c r="AA380" i="5"/>
  <c r="H213" i="9" s="1"/>
  <c r="AA429" i="5"/>
  <c r="BF429" i="5" s="1"/>
  <c r="AA412" i="5"/>
  <c r="H289" i="9" s="1"/>
  <c r="AA543" i="5"/>
  <c r="BF543" i="5" s="1"/>
  <c r="AA456" i="5"/>
  <c r="BF456" i="5" s="1"/>
  <c r="AA440" i="5"/>
  <c r="BF440" i="5" s="1"/>
  <c r="AA425" i="5"/>
  <c r="BF425" i="5" s="1"/>
  <c r="AA352" i="5"/>
  <c r="BF352" i="5" s="1"/>
  <c r="AA306" i="5"/>
  <c r="H78" i="9" s="1"/>
  <c r="AA116" i="5"/>
  <c r="BF116" i="5" s="1"/>
  <c r="AA434" i="5"/>
  <c r="BF434" i="5" s="1"/>
  <c r="AA256" i="5"/>
  <c r="BF256" i="5" s="1"/>
  <c r="AA40" i="5"/>
  <c r="BF40" i="5" s="1"/>
  <c r="AA206" i="5"/>
  <c r="BF206" i="5" s="1"/>
  <c r="AA536" i="5"/>
  <c r="H530" i="9" s="1"/>
  <c r="AA494" i="5"/>
  <c r="BF494" i="5" s="1"/>
  <c r="AA193" i="5"/>
  <c r="BF193" i="5" s="1"/>
  <c r="AA341" i="5"/>
  <c r="BF341" i="5" s="1"/>
  <c r="AA241" i="5"/>
  <c r="BF241" i="5" s="1"/>
  <c r="AA74" i="5"/>
  <c r="BF74" i="5" s="1"/>
  <c r="AA359" i="5"/>
  <c r="BF359" i="5" s="1"/>
  <c r="AA253" i="5"/>
  <c r="BF253" i="5" s="1"/>
  <c r="AA522" i="5"/>
  <c r="BF522" i="5" s="1"/>
  <c r="AA110" i="5"/>
  <c r="BF110" i="5" s="1"/>
  <c r="AA150" i="5"/>
  <c r="BF150" i="5" s="1"/>
  <c r="AA450" i="5"/>
  <c r="H355" i="9" s="1"/>
  <c r="AA43" i="5"/>
  <c r="BF43" i="5" s="1"/>
  <c r="AA330" i="5"/>
  <c r="H124" i="9" s="1"/>
  <c r="AA242" i="5"/>
  <c r="BF242" i="5" s="1"/>
  <c r="AA541" i="5"/>
  <c r="BF541" i="5" s="1"/>
  <c r="AA443" i="5"/>
  <c r="BF443" i="5" s="1"/>
  <c r="AA461" i="5"/>
  <c r="BF461" i="5" s="1"/>
  <c r="AA181" i="5"/>
  <c r="BF181" i="5" s="1"/>
  <c r="AA436" i="5"/>
  <c r="BF436" i="5" s="1"/>
  <c r="AA258" i="5"/>
  <c r="AA164" i="5"/>
  <c r="BF164" i="5" s="1"/>
  <c r="AA334" i="5"/>
  <c r="BF334" i="5" s="1"/>
  <c r="AA252" i="5"/>
  <c r="BF252" i="5" s="1"/>
  <c r="AA219" i="5"/>
  <c r="BF219" i="5" s="1"/>
  <c r="AA317" i="5"/>
  <c r="BF317" i="5" s="1"/>
  <c r="AA235" i="5"/>
  <c r="BF235" i="5" s="1"/>
  <c r="AA16" i="5"/>
  <c r="BF16" i="5" s="1"/>
  <c r="Y162" i="5"/>
  <c r="Z162" i="5"/>
  <c r="BG162" i="5" s="1"/>
  <c r="AA307" i="5"/>
  <c r="H79" i="9" s="1"/>
  <c r="AA11" i="5"/>
  <c r="BF11" i="5" s="1"/>
  <c r="Y208" i="5"/>
  <c r="Z208" i="5"/>
  <c r="BG208" i="5" s="1"/>
  <c r="Y240" i="5"/>
  <c r="Z240" i="5"/>
  <c r="BG240" i="5" s="1"/>
  <c r="AA238" i="5"/>
  <c r="BF238" i="5" s="1"/>
  <c r="AA375" i="5"/>
  <c r="H208" i="9" s="1"/>
  <c r="AA407" i="5"/>
  <c r="BF407" i="5" s="1"/>
  <c r="AA269" i="5"/>
  <c r="BF269" i="5" s="1"/>
  <c r="AA97" i="5"/>
  <c r="BF97" i="5" s="1"/>
  <c r="AA30" i="5"/>
  <c r="BF30" i="5" s="1"/>
  <c r="AA232" i="5"/>
  <c r="H381" i="9" s="1"/>
  <c r="AA527" i="5"/>
  <c r="H509" i="9" s="1"/>
  <c r="AA93" i="5"/>
  <c r="BF93" i="5" s="1"/>
  <c r="AA158" i="5"/>
  <c r="BF158" i="5" s="1"/>
  <c r="AA343" i="5"/>
  <c r="H152" i="9" s="1"/>
  <c r="AA354" i="5"/>
  <c r="H179" i="9" s="1"/>
  <c r="AA272" i="5"/>
  <c r="H135" i="9" s="1"/>
  <c r="AA482" i="5"/>
  <c r="H431" i="9" s="1"/>
  <c r="AA287" i="5"/>
  <c r="BF287" i="5" s="1"/>
  <c r="AA361" i="5"/>
  <c r="BF361" i="5" s="1"/>
  <c r="AA525" i="5"/>
  <c r="H506" i="9" s="1"/>
  <c r="AA433" i="5"/>
  <c r="H324" i="9" s="1"/>
  <c r="AA286" i="5"/>
  <c r="BF286" i="5" s="1"/>
  <c r="AA372" i="5"/>
  <c r="BF372" i="5" s="1"/>
  <c r="AA510" i="5"/>
  <c r="BF510" i="5" s="1"/>
  <c r="AA87" i="5"/>
  <c r="BF87" i="5" s="1"/>
  <c r="AA439" i="5"/>
  <c r="BF439" i="5" s="1"/>
  <c r="Y18" i="5"/>
  <c r="Z18" i="5"/>
  <c r="BG18" i="5" s="1"/>
  <c r="Y235" i="5"/>
  <c r="Z235" i="5"/>
  <c r="BG235" i="5" s="1"/>
  <c r="AA383" i="5"/>
  <c r="BF383" i="5" s="1"/>
  <c r="AA448" i="5"/>
  <c r="H353" i="9" s="1"/>
  <c r="AA20" i="5"/>
  <c r="BF20" i="5" s="1"/>
  <c r="AA506" i="5"/>
  <c r="BF506" i="5" s="1"/>
  <c r="AA106" i="5"/>
  <c r="BF106" i="5" s="1"/>
  <c r="AA263" i="5"/>
  <c r="BF263" i="5" s="1"/>
  <c r="AA416" i="5"/>
  <c r="BF416" i="5" s="1"/>
  <c r="AA191" i="5"/>
  <c r="BF191" i="5" s="1"/>
  <c r="AA480" i="5"/>
  <c r="BF480" i="5" s="1"/>
  <c r="AA60" i="5"/>
  <c r="BF60" i="5" s="1"/>
  <c r="AA441" i="5"/>
  <c r="BF441" i="5" s="1"/>
  <c r="AA39" i="5"/>
  <c r="BF39" i="5" s="1"/>
  <c r="AA233" i="5"/>
  <c r="BF233" i="5" s="1"/>
  <c r="AA140" i="5"/>
  <c r="AA463" i="5"/>
  <c r="BF463" i="5" s="1"/>
  <c r="AA431" i="5"/>
  <c r="AA80" i="5"/>
  <c r="BF80" i="5" s="1"/>
  <c r="AA410" i="5"/>
  <c r="AA135" i="5"/>
  <c r="BF135" i="5" s="1"/>
  <c r="AA318" i="5"/>
  <c r="AA376" i="5"/>
  <c r="H209" i="9" s="1"/>
  <c r="AA239" i="5"/>
  <c r="AA498" i="5"/>
  <c r="BF498" i="5" s="1"/>
  <c r="AA409" i="5"/>
  <c r="AA325" i="5"/>
  <c r="H115" i="9" s="1"/>
  <c r="AA190" i="5"/>
  <c r="AA33" i="5"/>
  <c r="BF33" i="5" s="1"/>
  <c r="AA63" i="5"/>
  <c r="AA327" i="5"/>
  <c r="BF327" i="5" s="1"/>
  <c r="AA504" i="5"/>
  <c r="H474" i="9" s="1"/>
  <c r="AA94" i="5"/>
  <c r="BF94" i="5" s="1"/>
  <c r="AA394" i="5"/>
  <c r="AA174" i="5"/>
  <c r="BF174" i="5" s="1"/>
  <c r="AA302" i="5"/>
  <c r="AA180" i="5"/>
  <c r="BF180" i="5" s="1"/>
  <c r="AA356" i="5"/>
  <c r="H181" i="9" s="1"/>
  <c r="AA374" i="5"/>
  <c r="BF374" i="5" s="1"/>
  <c r="AA228" i="5"/>
  <c r="AA4" i="5"/>
  <c r="H119" i="9" s="1"/>
  <c r="AA18" i="5"/>
  <c r="Y54" i="5"/>
  <c r="Z54" i="5"/>
  <c r="BG54" i="5" s="1"/>
  <c r="AA345" i="5"/>
  <c r="AA259" i="5"/>
  <c r="BF259" i="5" s="1"/>
  <c r="Y140" i="5"/>
  <c r="Z140" i="5"/>
  <c r="BG140" i="5" s="1"/>
  <c r="Y83" i="5"/>
  <c r="Z83" i="5"/>
  <c r="BG83" i="5" s="1"/>
  <c r="AA31" i="5"/>
  <c r="AA483" i="5"/>
  <c r="BF483" i="5" s="1"/>
  <c r="AA249" i="5"/>
  <c r="AA77" i="5"/>
  <c r="BF77" i="5" s="1"/>
  <c r="AA362" i="5"/>
  <c r="BF362" i="5" s="1"/>
  <c r="AA534" i="5"/>
  <c r="H528" i="9" s="1"/>
  <c r="AA515" i="5"/>
  <c r="BF515" i="5" s="1"/>
  <c r="AA211" i="5"/>
  <c r="BF211" i="5" s="1"/>
  <c r="AA470" i="5"/>
  <c r="H406" i="9" s="1"/>
  <c r="AA462" i="5"/>
  <c r="BF462" i="5" s="1"/>
  <c r="AA59" i="5"/>
  <c r="BF59" i="5" s="1"/>
  <c r="AA533" i="5"/>
  <c r="H522" i="9" s="1"/>
  <c r="AA467" i="5"/>
  <c r="H393" i="9" s="1"/>
  <c r="AA156" i="5"/>
  <c r="BF156" i="5" s="1"/>
  <c r="AA155" i="5"/>
  <c r="BF155" i="5" s="1"/>
  <c r="AA503" i="5"/>
  <c r="H473" i="9" s="1"/>
  <c r="AA96" i="5"/>
  <c r="BF96" i="5" s="1"/>
  <c r="AA484" i="5"/>
  <c r="BF484" i="5" s="1"/>
  <c r="AA121" i="5"/>
  <c r="BF121" i="5" s="1"/>
  <c r="AA213" i="5"/>
  <c r="BF213" i="5" s="1"/>
  <c r="AA324" i="5"/>
  <c r="BF324" i="5" s="1"/>
  <c r="AA311" i="5"/>
  <c r="BF311" i="5" s="1"/>
  <c r="AA160" i="5"/>
  <c r="BF160" i="5" s="1"/>
  <c r="AA279" i="5"/>
  <c r="BF279" i="5" s="1"/>
  <c r="AA220" i="5"/>
  <c r="BF220" i="5" s="1"/>
  <c r="AA469" i="5"/>
  <c r="BF469" i="5" s="1"/>
  <c r="AA79" i="5"/>
  <c r="BF79" i="5" s="1"/>
  <c r="AA210" i="5"/>
  <c r="BF210" i="5" s="1"/>
  <c r="AA512" i="5"/>
  <c r="BF512" i="5" s="1"/>
  <c r="AA366" i="5"/>
  <c r="BF366" i="5" s="1"/>
  <c r="AA201" i="5"/>
  <c r="BF201" i="5" s="1"/>
  <c r="AA275" i="5"/>
  <c r="H134" i="9" s="1"/>
  <c r="AA397" i="5"/>
  <c r="BF397" i="5" s="1"/>
  <c r="AA251" i="5"/>
  <c r="BF251" i="5" s="1"/>
  <c r="AA447" i="5"/>
  <c r="BF447" i="5" s="1"/>
  <c r="AA12" i="5"/>
  <c r="BF12" i="5" s="1"/>
  <c r="AA95" i="5"/>
  <c r="BF95" i="5" s="1"/>
  <c r="AA124" i="5"/>
  <c r="BF124" i="5" s="1"/>
  <c r="Y201" i="5"/>
  <c r="Z201" i="5"/>
  <c r="BG201" i="5" s="1"/>
  <c r="Y258" i="5"/>
  <c r="Z258" i="5"/>
  <c r="Y46" i="5"/>
  <c r="Z46" i="5"/>
  <c r="BG46" i="5" s="1"/>
  <c r="Y159" i="5"/>
  <c r="Z159" i="5"/>
  <c r="BG159" i="5" s="1"/>
  <c r="Y84" i="5"/>
  <c r="Z84" i="5"/>
  <c r="BG84" i="5" s="1"/>
  <c r="Y229" i="5"/>
  <c r="Z229" i="5"/>
  <c r="BG229" i="5" s="1"/>
  <c r="Y228" i="5"/>
  <c r="Z228" i="5"/>
  <c r="BG228" i="5" s="1"/>
  <c r="AA223" i="5"/>
  <c r="BF223" i="5" s="1"/>
  <c r="Y163" i="5"/>
  <c r="Z163" i="5"/>
  <c r="BG163" i="5" s="1"/>
  <c r="Y32" i="5"/>
  <c r="Z32" i="5"/>
  <c r="BG32" i="5" s="1"/>
  <c r="Y34" i="5"/>
  <c r="Z34" i="5"/>
  <c r="BG34" i="5" s="1"/>
  <c r="Y187" i="5"/>
  <c r="Z187" i="5"/>
  <c r="BG187" i="5" s="1"/>
  <c r="Y122" i="5"/>
  <c r="Z122" i="5"/>
  <c r="BG122" i="5" s="1"/>
  <c r="Y173" i="5"/>
  <c r="Z173" i="5"/>
  <c r="BG173" i="5" s="1"/>
  <c r="AA267" i="5"/>
  <c r="BF267" i="5" s="1"/>
  <c r="Y100" i="5"/>
  <c r="Z100" i="5"/>
  <c r="BG100" i="5" s="1"/>
  <c r="AA143" i="5"/>
  <c r="BF143" i="5" s="1"/>
  <c r="AA363" i="5"/>
  <c r="H191" i="9" s="1"/>
  <c r="AA50" i="5"/>
  <c r="BF50" i="5" s="1"/>
  <c r="AA538" i="5"/>
  <c r="H532" i="9" s="1"/>
  <c r="AA108" i="5"/>
  <c r="BF108" i="5" s="1"/>
  <c r="AA283" i="5"/>
  <c r="H24" i="9" s="1"/>
  <c r="AA243" i="5"/>
  <c r="H61" i="9" s="1"/>
  <c r="AA284" i="5"/>
  <c r="BF284" i="5" s="1"/>
  <c r="AA126" i="5"/>
  <c r="BF126" i="5" s="1"/>
  <c r="AA468" i="5"/>
  <c r="BF468" i="5" s="1"/>
  <c r="Y192" i="5"/>
  <c r="Z192" i="5"/>
  <c r="BG192" i="5" s="1"/>
  <c r="Y211" i="5"/>
  <c r="Z211" i="5"/>
  <c r="BG211" i="5" s="1"/>
  <c r="Y74" i="5"/>
  <c r="Z74" i="5"/>
  <c r="BG74" i="5" s="1"/>
  <c r="AA257" i="5"/>
  <c r="H60" i="9" s="1"/>
  <c r="AA516" i="5"/>
  <c r="BF516" i="5" s="1"/>
  <c r="AA493" i="5"/>
  <c r="BF493" i="5" s="1"/>
  <c r="AA502" i="5"/>
  <c r="BF502" i="5" s="1"/>
  <c r="AA294" i="5"/>
  <c r="H49" i="9" s="1"/>
  <c r="AA51" i="5"/>
  <c r="BF51" i="5" s="1"/>
  <c r="AA98" i="5"/>
  <c r="BF98" i="5" s="1"/>
  <c r="AA271" i="5"/>
  <c r="BF271" i="5" s="1"/>
  <c r="AA65" i="5"/>
  <c r="BF65" i="5" s="1"/>
  <c r="AA32" i="5"/>
  <c r="BF32" i="5" s="1"/>
  <c r="AA198" i="5"/>
  <c r="BF198" i="5" s="1"/>
  <c r="AA149" i="5"/>
  <c r="BF149" i="5" s="1"/>
  <c r="AA66" i="5"/>
  <c r="BF66" i="5" s="1"/>
  <c r="AA310" i="5"/>
  <c r="BF310" i="5" s="1"/>
  <c r="AA499" i="5"/>
  <c r="BF499" i="5" s="1"/>
  <c r="AA417" i="5"/>
  <c r="BF417" i="5" s="1"/>
  <c r="AA438" i="5"/>
  <c r="BF438" i="5" s="1"/>
  <c r="AA384" i="5"/>
  <c r="BF384" i="5" s="1"/>
  <c r="AA291" i="5"/>
  <c r="BF291" i="5" s="1"/>
  <c r="AA273" i="5"/>
  <c r="BF273" i="5" s="1"/>
  <c r="BF6" i="5"/>
  <c r="AA300" i="5"/>
  <c r="BF300" i="5" s="1"/>
  <c r="AA86" i="5"/>
  <c r="BF86" i="5" s="1"/>
  <c r="AA274" i="5"/>
  <c r="BF274" i="5" s="1"/>
  <c r="AA215" i="5"/>
  <c r="BF215" i="5" s="1"/>
  <c r="AA36" i="5"/>
  <c r="BF36" i="5" s="1"/>
  <c r="AA137" i="5"/>
  <c r="BF137" i="5" s="1"/>
  <c r="AA278" i="5"/>
  <c r="BF278" i="5" s="1"/>
  <c r="AA387" i="5"/>
  <c r="BF387" i="5" s="1"/>
  <c r="AA54" i="5"/>
  <c r="BF54" i="5" s="1"/>
  <c r="AA329" i="5"/>
  <c r="BF329" i="5" s="1"/>
  <c r="AA102" i="5"/>
  <c r="BF102" i="5" s="1"/>
  <c r="AA146" i="5"/>
  <c r="BF146" i="5" s="1"/>
  <c r="AA389" i="5"/>
  <c r="BF389" i="5" s="1"/>
  <c r="AA75" i="5"/>
  <c r="BF75" i="5" s="1"/>
  <c r="AA521" i="5"/>
  <c r="BF521" i="5" s="1"/>
  <c r="AA495" i="5"/>
  <c r="BF495" i="5" s="1"/>
  <c r="AA192" i="5"/>
  <c r="BF192" i="5" s="1"/>
  <c r="AA195" i="5"/>
  <c r="BF195" i="5" s="1"/>
  <c r="AA386" i="5"/>
  <c r="BF386" i="5" s="1"/>
  <c r="AA444" i="5"/>
  <c r="BF444" i="5" s="1"/>
  <c r="AA176" i="5"/>
  <c r="BF176" i="5" s="1"/>
  <c r="AA370" i="5"/>
  <c r="BF370" i="5" s="1"/>
  <c r="AA175" i="5"/>
  <c r="BF175" i="5" s="1"/>
  <c r="AA340" i="5"/>
  <c r="BF340" i="5" s="1"/>
  <c r="AA401" i="5"/>
  <c r="BF401" i="5" s="1"/>
  <c r="AA430" i="5"/>
  <c r="BF430" i="5" s="1"/>
  <c r="AA260" i="5"/>
  <c r="BF260" i="5" s="1"/>
  <c r="AA161" i="5"/>
  <c r="BF161" i="5" s="1"/>
  <c r="AA281" i="5"/>
  <c r="BF281" i="5" s="1"/>
  <c r="AA385" i="5"/>
  <c r="BF385" i="5" s="1"/>
  <c r="AA196" i="5"/>
  <c r="BF196" i="5" s="1"/>
  <c r="AA159" i="5"/>
  <c r="BF159" i="5" s="1"/>
  <c r="AA109" i="5"/>
  <c r="BF109" i="5" s="1"/>
  <c r="AA218" i="5"/>
  <c r="BF218" i="5" s="1"/>
  <c r="AA364" i="5"/>
  <c r="H192" i="9" s="1"/>
  <c r="AA139" i="5"/>
  <c r="BF139" i="5" s="1"/>
  <c r="AA418" i="5"/>
  <c r="BF418" i="5" s="1"/>
  <c r="AA453" i="5"/>
  <c r="BF453" i="5" s="1"/>
  <c r="AA357" i="5"/>
  <c r="BF357" i="5" s="1"/>
  <c r="AA247" i="5"/>
  <c r="H8" i="9" s="1"/>
  <c r="AA369" i="5"/>
  <c r="BF369" i="5" s="1"/>
  <c r="AA262" i="5"/>
  <c r="H85" i="9" s="1"/>
  <c r="AA222" i="5"/>
  <c r="BF222" i="5" s="1"/>
  <c r="Y33" i="5"/>
  <c r="Z33" i="5"/>
  <c r="BG33" i="5" s="1"/>
  <c r="AA114" i="5"/>
  <c r="BF114" i="5" s="1"/>
  <c r="AA221" i="5"/>
  <c r="BF221" i="5" s="1"/>
  <c r="D170" i="3"/>
  <c r="D167" i="3"/>
  <c r="D159" i="3"/>
  <c r="D165" i="3"/>
  <c r="D169" i="3"/>
  <c r="D163" i="3"/>
  <c r="D164" i="3"/>
  <c r="D162" i="3"/>
  <c r="D168" i="3"/>
  <c r="C173" i="3"/>
  <c r="D166" i="3"/>
  <c r="D172" i="3"/>
  <c r="D156" i="3"/>
  <c r="B173" i="3"/>
  <c r="D157" i="3"/>
  <c r="D161" i="3"/>
  <c r="D171" i="3"/>
  <c r="AH169" i="5"/>
  <c r="AK189" i="5"/>
  <c r="P164" i="5"/>
  <c r="AI164" i="5"/>
  <c r="AG184" i="5"/>
  <c r="AM116" i="5"/>
  <c r="AL164" i="5"/>
  <c r="AL184" i="5"/>
  <c r="AF116" i="5"/>
  <c r="V116" i="5"/>
  <c r="AJ164" i="5"/>
  <c r="AL116" i="5"/>
  <c r="P184" i="5"/>
  <c r="AH164" i="5"/>
  <c r="AK116" i="5"/>
  <c r="AJ116" i="5"/>
  <c r="AI116" i="5"/>
  <c r="AM164" i="5"/>
  <c r="AJ410" i="5"/>
  <c r="AI410" i="5"/>
  <c r="AM410" i="5"/>
  <c r="AH159" i="5"/>
  <c r="AG21" i="5"/>
  <c r="AM159" i="5"/>
  <c r="Y12" i="5"/>
  <c r="AI159" i="5"/>
  <c r="V159" i="5"/>
  <c r="AF159" i="5"/>
  <c r="AL210" i="5"/>
  <c r="AH146" i="5"/>
  <c r="AL146" i="5"/>
  <c r="AJ133" i="5"/>
  <c r="AI189" i="5"/>
  <c r="P189" i="5"/>
  <c r="AJ146" i="5"/>
  <c r="AM146" i="5"/>
  <c r="AJ137" i="5"/>
  <c r="AG137" i="5"/>
  <c r="P146" i="5"/>
  <c r="V146" i="5"/>
  <c r="V164" i="5"/>
  <c r="AH137" i="5"/>
  <c r="AI146" i="5"/>
  <c r="AF164" i="5"/>
  <c r="AI150" i="5"/>
  <c r="P410" i="5"/>
  <c r="AJ159" i="5"/>
  <c r="AL159" i="5"/>
  <c r="V410" i="5"/>
  <c r="AJ28" i="5"/>
  <c r="AH410" i="5"/>
  <c r="AF410" i="5"/>
  <c r="P21" i="5"/>
  <c r="P159" i="5"/>
  <c r="AK410" i="5"/>
  <c r="AG159" i="5"/>
  <c r="V162" i="5"/>
  <c r="AH27" i="5"/>
  <c r="AF162" i="5"/>
  <c r="AL27" i="5"/>
  <c r="AL162" i="5"/>
  <c r="Y255" i="5"/>
  <c r="AG27" i="5"/>
  <c r="P167" i="5"/>
  <c r="P169" i="5"/>
  <c r="AJ169" i="5"/>
  <c r="AK21" i="5"/>
  <c r="AF210" i="5"/>
  <c r="P83" i="5"/>
  <c r="AJ167" i="5"/>
  <c r="AG169" i="5"/>
  <c r="V21" i="5"/>
  <c r="V210" i="5"/>
  <c r="AM167" i="5"/>
  <c r="AL83" i="5"/>
  <c r="P35" i="5"/>
  <c r="P162" i="5"/>
  <c r="V184" i="5"/>
  <c r="AF35" i="5"/>
  <c r="AF184" i="5"/>
  <c r="AK184" i="5"/>
  <c r="AH35" i="5"/>
  <c r="AK162" i="5"/>
  <c r="AG162" i="5"/>
  <c r="P27" i="5"/>
  <c r="P152" i="5"/>
  <c r="P195" i="5"/>
  <c r="V35" i="5"/>
  <c r="V27" i="5"/>
  <c r="AG35" i="5"/>
  <c r="AJ152" i="5"/>
  <c r="AM184" i="5"/>
  <c r="AJ184" i="5"/>
  <c r="AL35" i="5"/>
  <c r="AM35" i="5"/>
  <c r="AH434" i="5"/>
  <c r="AJ162" i="5"/>
  <c r="AM162" i="5"/>
  <c r="P434" i="5"/>
  <c r="AK35" i="5"/>
  <c r="AI184" i="5"/>
  <c r="AI27" i="5"/>
  <c r="AJ27" i="5"/>
  <c r="AK27" i="5"/>
  <c r="AH162" i="5"/>
  <c r="AM27" i="5"/>
  <c r="P210" i="5"/>
  <c r="P156" i="5"/>
  <c r="AJ209" i="5"/>
  <c r="AL169" i="5"/>
  <c r="AG167" i="5"/>
  <c r="AK167" i="5"/>
  <c r="AM169" i="5"/>
  <c r="AL21" i="5"/>
  <c r="AH21" i="5"/>
  <c r="AH210" i="5"/>
  <c r="AI210" i="5"/>
  <c r="AI169" i="5"/>
  <c r="AK83" i="5"/>
  <c r="AG209" i="5"/>
  <c r="AG83" i="5"/>
  <c r="AH209" i="5"/>
  <c r="P209" i="5"/>
  <c r="V83" i="5"/>
  <c r="V169" i="5"/>
  <c r="V167" i="5"/>
  <c r="V209" i="5"/>
  <c r="AK209" i="5"/>
  <c r="AF83" i="5"/>
  <c r="AF209" i="5"/>
  <c r="AH167" i="5"/>
  <c r="AF167" i="5"/>
  <c r="AF21" i="5"/>
  <c r="AJ21" i="5"/>
  <c r="AK210" i="5"/>
  <c r="AG210" i="5"/>
  <c r="AM83" i="5"/>
  <c r="AK169" i="5"/>
  <c r="AL209" i="5"/>
  <c r="AI167" i="5"/>
  <c r="AI83" i="5"/>
  <c r="AM209" i="5"/>
  <c r="AM21" i="5"/>
  <c r="AJ210" i="5"/>
  <c r="AJ83" i="5"/>
  <c r="AM189" i="5"/>
  <c r="AJ189" i="5"/>
  <c r="P137" i="5"/>
  <c r="AI137" i="5"/>
  <c r="AF137" i="5"/>
  <c r="AF189" i="5"/>
  <c r="AH189" i="5"/>
  <c r="AL137" i="5"/>
  <c r="Y16" i="5"/>
  <c r="P150" i="5"/>
  <c r="V137" i="5"/>
  <c r="V189" i="5"/>
  <c r="AG189" i="5"/>
  <c r="P154" i="5"/>
  <c r="P28" i="5"/>
  <c r="P185" i="5"/>
  <c r="V185" i="5"/>
  <c r="AF28" i="5"/>
  <c r="AM185" i="5"/>
  <c r="AG178" i="5"/>
  <c r="AM133" i="5"/>
  <c r="V133" i="5"/>
  <c r="AK178" i="5"/>
  <c r="P178" i="5"/>
  <c r="V178" i="5"/>
  <c r="V28" i="5"/>
  <c r="V152" i="5"/>
  <c r="AK152" i="5"/>
  <c r="AI434" i="5"/>
  <c r="V434" i="5"/>
  <c r="AI152" i="5"/>
  <c r="AJ434" i="5"/>
  <c r="AH152" i="5"/>
  <c r="AM434" i="5"/>
  <c r="AG152" i="5"/>
  <c r="AL434" i="5"/>
  <c r="V26" i="5"/>
  <c r="AM152" i="5"/>
  <c r="AG434" i="5"/>
  <c r="AF152" i="5"/>
  <c r="AF434" i="5"/>
  <c r="AH150" i="5"/>
  <c r="AG150" i="5"/>
  <c r="AM150" i="5"/>
  <c r="P142" i="5"/>
  <c r="V150" i="5"/>
  <c r="AF150" i="5"/>
  <c r="AL150" i="5"/>
  <c r="AK150" i="5"/>
  <c r="AI28" i="5"/>
  <c r="AM28" i="5"/>
  <c r="AJ178" i="5"/>
  <c r="AM178" i="5"/>
  <c r="AG185" i="5"/>
  <c r="AF133" i="5"/>
  <c r="AI133" i="5"/>
  <c r="AJ185" i="5"/>
  <c r="AH28" i="5"/>
  <c r="AL28" i="5"/>
  <c r="AL185" i="5"/>
  <c r="AF185" i="5"/>
  <c r="AH178" i="5"/>
  <c r="AI178" i="5"/>
  <c r="AI185" i="5"/>
  <c r="AL133" i="5"/>
  <c r="AH133" i="5"/>
  <c r="P133" i="5"/>
  <c r="AG28" i="5"/>
  <c r="AK185" i="5"/>
  <c r="AL178" i="5"/>
  <c r="AK133" i="5"/>
  <c r="C18" i="3"/>
  <c r="D18" i="3" s="1"/>
  <c r="C20" i="3"/>
  <c r="D20" i="3" s="1"/>
  <c r="C26" i="3"/>
  <c r="D26" i="3" s="1"/>
  <c r="C24" i="3"/>
  <c r="D24" i="3" s="1"/>
  <c r="C17" i="3"/>
  <c r="D17" i="3" s="1"/>
  <c r="C25" i="3"/>
  <c r="D25" i="3" s="1"/>
  <c r="C19" i="3"/>
  <c r="D19" i="3" s="1"/>
  <c r="AM26" i="5"/>
  <c r="AL26" i="5"/>
  <c r="AK26" i="5"/>
  <c r="P26" i="5"/>
  <c r="AJ26" i="5"/>
  <c r="AI26" i="5"/>
  <c r="AH26" i="5"/>
  <c r="AG26" i="5"/>
  <c r="AN402" i="5"/>
  <c r="AN280" i="5"/>
  <c r="Y31" i="5"/>
  <c r="Y221" i="5"/>
  <c r="Y11" i="5"/>
  <c r="Y17" i="5"/>
  <c r="Y204" i="5"/>
  <c r="AN359" i="5"/>
  <c r="AN400" i="5"/>
  <c r="AN313" i="5"/>
  <c r="AN520" i="5"/>
  <c r="AN355" i="5"/>
  <c r="AN289" i="5"/>
  <c r="Y85" i="5"/>
  <c r="Y148" i="5"/>
  <c r="Y261" i="5"/>
  <c r="Y10" i="5"/>
  <c r="Y176" i="5"/>
  <c r="Y15" i="5"/>
  <c r="Y259" i="5"/>
  <c r="Y113" i="5"/>
  <c r="Y237" i="5"/>
  <c r="Y14" i="5"/>
  <c r="Y128" i="5"/>
  <c r="Y75" i="5"/>
  <c r="Y230" i="5"/>
  <c r="Y7" i="5"/>
  <c r="Y232" i="5"/>
  <c r="Y220" i="5"/>
  <c r="Y250" i="5"/>
  <c r="Y49" i="5"/>
  <c r="Y117" i="5"/>
  <c r="Y38" i="5"/>
  <c r="AN435" i="5"/>
  <c r="Y171" i="5"/>
  <c r="AN522" i="5"/>
  <c r="AN132" i="5"/>
  <c r="AN309" i="5"/>
  <c r="AN357" i="5"/>
  <c r="AN206" i="5"/>
  <c r="AN166" i="5"/>
  <c r="AN175" i="5"/>
  <c r="AN458" i="5"/>
  <c r="AN482" i="5"/>
  <c r="AN265" i="5"/>
  <c r="AN501" i="5"/>
  <c r="AN398" i="5"/>
  <c r="AN380" i="5"/>
  <c r="AN245" i="5"/>
  <c r="AN334" i="5"/>
  <c r="AN257" i="5"/>
  <c r="AN444" i="5"/>
  <c r="AN148" i="5"/>
  <c r="AN351" i="5"/>
  <c r="AN354" i="5"/>
  <c r="AN502" i="5"/>
  <c r="AN294" i="5"/>
  <c r="Y274" i="5"/>
  <c r="AN31" i="5"/>
  <c r="AN335" i="5"/>
  <c r="AN350" i="5"/>
  <c r="AN87" i="5"/>
  <c r="AN379" i="5"/>
  <c r="AN275" i="5"/>
  <c r="AN490" i="5"/>
  <c r="AN500" i="5"/>
  <c r="AN29" i="5"/>
  <c r="AN114" i="5"/>
  <c r="AN491" i="5"/>
  <c r="AN203" i="5"/>
  <c r="AN432" i="5"/>
  <c r="AN468" i="5"/>
  <c r="AN277" i="5"/>
  <c r="AN256" i="5"/>
  <c r="AN238" i="5"/>
  <c r="AN177" i="5"/>
  <c r="AN274" i="5"/>
  <c r="AN303" i="5"/>
  <c r="AN290" i="5"/>
  <c r="AN408" i="5"/>
  <c r="AN530" i="5"/>
  <c r="AN235" i="5"/>
  <c r="AN268" i="5"/>
  <c r="AN278" i="5"/>
  <c r="AN459" i="5"/>
  <c r="AN328" i="5"/>
  <c r="AN217" i="5"/>
  <c r="AN499" i="5"/>
  <c r="AN299" i="5"/>
  <c r="AN523" i="5"/>
  <c r="AN269" i="5"/>
  <c r="AN496" i="5"/>
  <c r="AN417" i="5"/>
  <c r="AN36" i="5"/>
  <c r="AN306" i="5"/>
  <c r="AN253" i="5"/>
  <c r="AN261" i="5"/>
  <c r="AN375" i="5"/>
  <c r="AN234" i="5"/>
  <c r="AN230" i="5"/>
  <c r="AN436" i="5"/>
  <c r="AN248" i="5"/>
  <c r="AN213" i="5"/>
  <c r="AN401" i="5"/>
  <c r="AN233" i="5"/>
  <c r="AN372" i="5"/>
  <c r="AN538" i="5"/>
  <c r="AN272" i="5"/>
  <c r="AN467" i="5"/>
  <c r="AN479" i="5"/>
  <c r="AN446" i="5"/>
  <c r="AN515" i="5"/>
  <c r="AN326" i="5"/>
  <c r="AN260" i="5"/>
  <c r="AN231" i="5"/>
  <c r="AN281" i="5"/>
  <c r="AN236" i="5"/>
  <c r="AN39" i="5"/>
  <c r="AN307" i="5"/>
  <c r="AN239" i="5"/>
  <c r="AN353" i="5"/>
  <c r="AN407" i="5"/>
  <c r="AN460" i="5"/>
  <c r="AN457" i="5"/>
  <c r="AN439" i="5"/>
  <c r="AN276" i="5"/>
  <c r="AN25" i="5"/>
  <c r="AN517" i="5"/>
  <c r="AN250" i="5"/>
  <c r="AN374" i="5"/>
  <c r="AN469" i="5"/>
  <c r="AN413" i="5"/>
  <c r="AN497" i="5"/>
  <c r="AN430" i="5"/>
  <c r="AN284" i="5"/>
  <c r="AN424" i="5"/>
  <c r="AN484" i="5"/>
  <c r="AN285" i="5"/>
  <c r="AN266" i="5"/>
  <c r="AN441" i="5"/>
  <c r="AN224" i="5"/>
  <c r="AN258" i="5"/>
  <c r="AN240" i="5"/>
  <c r="AN421" i="5"/>
  <c r="AN396" i="5"/>
  <c r="AN141" i="5"/>
  <c r="AN23" i="5"/>
  <c r="AN24" i="5"/>
  <c r="AN119" i="5"/>
  <c r="AN366" i="5"/>
  <c r="AN360" i="5"/>
  <c r="AN498" i="5"/>
  <c r="AN20" i="5"/>
  <c r="AN365" i="5"/>
  <c r="AN144" i="5"/>
  <c r="AN337" i="5"/>
  <c r="AN542" i="5"/>
  <c r="AN287" i="5"/>
  <c r="AN270" i="5"/>
  <c r="AN242" i="5"/>
  <c r="AN252" i="5"/>
  <c r="AN516" i="5"/>
  <c r="AN94" i="5"/>
  <c r="AN225" i="5"/>
  <c r="AN344" i="5"/>
  <c r="AN208" i="5"/>
  <c r="AN332" i="5"/>
  <c r="AN317" i="5"/>
  <c r="AN295" i="5"/>
  <c r="AN504" i="5"/>
  <c r="AN367" i="5"/>
  <c r="AN138" i="5"/>
  <c r="AN32" i="5"/>
  <c r="AN429" i="5"/>
  <c r="AN226" i="5"/>
  <c r="AN411" i="5"/>
  <c r="AN489" i="5"/>
  <c r="AN333" i="5"/>
  <c r="AN534" i="5"/>
  <c r="AN255" i="5"/>
  <c r="AN377" i="5"/>
  <c r="AN89" i="5"/>
  <c r="AN404" i="5"/>
  <c r="AN322" i="5"/>
  <c r="AN232" i="5"/>
  <c r="AN215" i="5"/>
  <c r="AN466" i="5"/>
  <c r="AN30" i="5"/>
  <c r="AN227" i="5"/>
  <c r="AN312" i="5"/>
  <c r="AN356" i="5"/>
  <c r="AN296" i="5"/>
  <c r="AN246" i="5"/>
  <c r="AN456" i="5"/>
  <c r="AN259" i="5"/>
  <c r="AN271" i="5"/>
  <c r="AN267" i="5"/>
  <c r="AN358" i="5"/>
  <c r="AN8" i="5"/>
  <c r="AN160" i="5"/>
  <c r="AN472" i="5"/>
  <c r="AN201" i="5"/>
  <c r="AN286" i="5"/>
  <c r="AN97" i="5"/>
  <c r="AN298" i="5"/>
  <c r="AN543" i="5"/>
  <c r="AN229" i="5"/>
  <c r="AN368" i="5"/>
  <c r="AN412" i="5"/>
  <c r="AN243" i="5"/>
  <c r="AN406" i="5"/>
  <c r="AN244" i="5"/>
  <c r="AN536" i="5"/>
  <c r="Y103" i="5"/>
  <c r="Y269" i="5"/>
  <c r="Y102" i="5"/>
  <c r="Y246" i="5"/>
  <c r="AH431" i="5"/>
  <c r="AI431" i="5"/>
  <c r="AJ431" i="5"/>
  <c r="AK431" i="5"/>
  <c r="AL431" i="5"/>
  <c r="AM431" i="5"/>
  <c r="AF431" i="5"/>
  <c r="AG431" i="5"/>
  <c r="AH196" i="5"/>
  <c r="AJ196" i="5"/>
  <c r="AL196" i="5"/>
  <c r="AI196" i="5"/>
  <c r="AM196" i="5"/>
  <c r="AF196" i="5"/>
  <c r="AG196" i="5"/>
  <c r="AK196" i="5"/>
  <c r="AH532" i="5"/>
  <c r="AK532" i="5"/>
  <c r="AI532" i="5"/>
  <c r="AJ532" i="5"/>
  <c r="AL532" i="5"/>
  <c r="AM532" i="5"/>
  <c r="AF532" i="5"/>
  <c r="AG532" i="5"/>
  <c r="AL79" i="5"/>
  <c r="AJ79" i="5"/>
  <c r="AI79" i="5"/>
  <c r="AK79" i="5"/>
  <c r="AF79" i="5"/>
  <c r="AH79" i="5"/>
  <c r="AG79" i="5"/>
  <c r="AM79" i="5"/>
  <c r="AH176" i="5"/>
  <c r="AJ176" i="5"/>
  <c r="AK176" i="5"/>
  <c r="AL176" i="5"/>
  <c r="AI176" i="5"/>
  <c r="AM176" i="5"/>
  <c r="AF176" i="5"/>
  <c r="AG176" i="5"/>
  <c r="AK100" i="5"/>
  <c r="AL100" i="5"/>
  <c r="AM100" i="5"/>
  <c r="AG100" i="5"/>
  <c r="AH100" i="5"/>
  <c r="AI100" i="5"/>
  <c r="AJ100" i="5"/>
  <c r="AF100" i="5"/>
  <c r="AK130" i="5"/>
  <c r="AL130" i="5"/>
  <c r="AF130" i="5"/>
  <c r="AM130" i="5"/>
  <c r="AG130" i="5"/>
  <c r="AH130" i="5"/>
  <c r="AI130" i="5"/>
  <c r="AJ130" i="5"/>
  <c r="AF14" i="5"/>
  <c r="AG14" i="5"/>
  <c r="AH14" i="5"/>
  <c r="AI14" i="5"/>
  <c r="AJ14" i="5"/>
  <c r="AK14" i="5"/>
  <c r="AL14" i="5"/>
  <c r="AM14" i="5"/>
  <c r="AG120" i="5"/>
  <c r="AH120" i="5"/>
  <c r="AI120" i="5"/>
  <c r="AJ120" i="5"/>
  <c r="AK120" i="5"/>
  <c r="AL120" i="5"/>
  <c r="AF120" i="5"/>
  <c r="AM120" i="5"/>
  <c r="AH17" i="5"/>
  <c r="AI17" i="5"/>
  <c r="AJ17" i="5"/>
  <c r="AK17" i="5"/>
  <c r="AL17" i="5"/>
  <c r="AM17" i="5"/>
  <c r="AF17" i="5"/>
  <c r="AG17" i="5"/>
  <c r="AI135" i="5"/>
  <c r="AJ135" i="5"/>
  <c r="AK135" i="5"/>
  <c r="AL135" i="5"/>
  <c r="AF135" i="5"/>
  <c r="AM135" i="5"/>
  <c r="AG135" i="5"/>
  <c r="AH135" i="5"/>
  <c r="AH352" i="5"/>
  <c r="AG352" i="5"/>
  <c r="AL352" i="5"/>
  <c r="AF352" i="5"/>
  <c r="AI352" i="5"/>
  <c r="AJ352" i="5"/>
  <c r="AK352" i="5"/>
  <c r="AM352" i="5"/>
  <c r="AF58" i="5"/>
  <c r="AG58" i="5"/>
  <c r="AH58" i="5"/>
  <c r="AI58" i="5"/>
  <c r="AJ58" i="5"/>
  <c r="AK58" i="5"/>
  <c r="AL58" i="5"/>
  <c r="AM58" i="5"/>
  <c r="AF323" i="5"/>
  <c r="AG323" i="5"/>
  <c r="AH323" i="5"/>
  <c r="AK323" i="5"/>
  <c r="AL323" i="5"/>
  <c r="AI323" i="5"/>
  <c r="AM323" i="5"/>
  <c r="AJ323" i="5"/>
  <c r="AH216" i="5"/>
  <c r="AJ216" i="5"/>
  <c r="AK216" i="5"/>
  <c r="AL216" i="5"/>
  <c r="AI216" i="5"/>
  <c r="AM216" i="5"/>
  <c r="AF216" i="5"/>
  <c r="AG216" i="5"/>
  <c r="AI143" i="5"/>
  <c r="AJ143" i="5"/>
  <c r="AK143" i="5"/>
  <c r="AL143" i="5"/>
  <c r="AF143" i="5"/>
  <c r="AM143" i="5"/>
  <c r="AG143" i="5"/>
  <c r="AH143" i="5"/>
  <c r="AI283" i="5"/>
  <c r="AJ283" i="5"/>
  <c r="AK283" i="5"/>
  <c r="AG283" i="5"/>
  <c r="AH283" i="5"/>
  <c r="AL283" i="5"/>
  <c r="AM283" i="5"/>
  <c r="AF283" i="5"/>
  <c r="AI475" i="5"/>
  <c r="AJ475" i="5"/>
  <c r="AM475" i="5"/>
  <c r="AH475" i="5"/>
  <c r="AF475" i="5"/>
  <c r="AG475" i="5"/>
  <c r="AK475" i="5"/>
  <c r="AL475" i="5"/>
  <c r="AJ470" i="5"/>
  <c r="AM470" i="5"/>
  <c r="AK470" i="5"/>
  <c r="AL470" i="5"/>
  <c r="AG470" i="5"/>
  <c r="AF470" i="5"/>
  <c r="AH470" i="5"/>
  <c r="AI470" i="5"/>
  <c r="AK199" i="5"/>
  <c r="AL199" i="5"/>
  <c r="AF199" i="5"/>
  <c r="AM199" i="5"/>
  <c r="AG199" i="5"/>
  <c r="AI199" i="5"/>
  <c r="AH199" i="5"/>
  <c r="AJ199" i="5"/>
  <c r="AF251" i="5"/>
  <c r="AI251" i="5"/>
  <c r="AG251" i="5"/>
  <c r="AH251" i="5"/>
  <c r="AJ251" i="5"/>
  <c r="AK251" i="5"/>
  <c r="AL251" i="5"/>
  <c r="AM251" i="5"/>
  <c r="AH442" i="5"/>
  <c r="AK442" i="5"/>
  <c r="AI442" i="5"/>
  <c r="AJ442" i="5"/>
  <c r="AL442" i="5"/>
  <c r="AM442" i="5"/>
  <c r="AF442" i="5"/>
  <c r="AG442" i="5"/>
  <c r="AH443" i="5"/>
  <c r="AK443" i="5"/>
  <c r="AL443" i="5"/>
  <c r="AI443" i="5"/>
  <c r="AJ443" i="5"/>
  <c r="AF443" i="5"/>
  <c r="AG443" i="5"/>
  <c r="AM443" i="5"/>
  <c r="AH440" i="5"/>
  <c r="AK440" i="5"/>
  <c r="AI440" i="5"/>
  <c r="AJ440" i="5"/>
  <c r="AL440" i="5"/>
  <c r="AM440" i="5"/>
  <c r="AF440" i="5"/>
  <c r="AG440" i="5"/>
  <c r="AF82" i="5"/>
  <c r="AH82" i="5"/>
  <c r="AI82" i="5"/>
  <c r="AK82" i="5"/>
  <c r="AL82" i="5"/>
  <c r="AM82" i="5"/>
  <c r="AG82" i="5"/>
  <c r="AJ82" i="5"/>
  <c r="AI123" i="5"/>
  <c r="AJ123" i="5"/>
  <c r="AK123" i="5"/>
  <c r="AL123" i="5"/>
  <c r="AF123" i="5"/>
  <c r="AM123" i="5"/>
  <c r="AG123" i="5"/>
  <c r="AH123" i="5"/>
  <c r="AF531" i="5"/>
  <c r="AG531" i="5"/>
  <c r="AH531" i="5"/>
  <c r="AK531" i="5"/>
  <c r="AL531" i="5"/>
  <c r="AI531" i="5"/>
  <c r="AM531" i="5"/>
  <c r="AJ531" i="5"/>
  <c r="AF62" i="5"/>
  <c r="AG62" i="5"/>
  <c r="AH62" i="5"/>
  <c r="AI62" i="5"/>
  <c r="AJ62" i="5"/>
  <c r="AK62" i="5"/>
  <c r="AL62" i="5"/>
  <c r="AM62" i="5"/>
  <c r="AG145" i="5"/>
  <c r="AH145" i="5"/>
  <c r="AI145" i="5"/>
  <c r="AJ145" i="5"/>
  <c r="AK145" i="5"/>
  <c r="AL145" i="5"/>
  <c r="AF145" i="5"/>
  <c r="AM145" i="5"/>
  <c r="AH212" i="5"/>
  <c r="AJ212" i="5"/>
  <c r="AL212" i="5"/>
  <c r="AI212" i="5"/>
  <c r="AM212" i="5"/>
  <c r="AF212" i="5"/>
  <c r="AG212" i="5"/>
  <c r="AK212" i="5"/>
  <c r="AF540" i="5"/>
  <c r="AG540" i="5"/>
  <c r="AK540" i="5"/>
  <c r="AJ540" i="5"/>
  <c r="AL540" i="5"/>
  <c r="AM540" i="5"/>
  <c r="AH540" i="5"/>
  <c r="AI540" i="5"/>
  <c r="AI81" i="5"/>
  <c r="AK81" i="5"/>
  <c r="AL81" i="5"/>
  <c r="AG81" i="5"/>
  <c r="AJ81" i="5"/>
  <c r="AM81" i="5"/>
  <c r="AF81" i="5"/>
  <c r="AH81" i="5"/>
  <c r="AG237" i="5"/>
  <c r="AH237" i="5"/>
  <c r="AK237" i="5"/>
  <c r="AL237" i="5"/>
  <c r="AM237" i="5"/>
  <c r="AF237" i="5"/>
  <c r="AI237" i="5"/>
  <c r="AJ237" i="5"/>
  <c r="AG395" i="5"/>
  <c r="AH395" i="5"/>
  <c r="AK395" i="5"/>
  <c r="AL395" i="5"/>
  <c r="AF395" i="5"/>
  <c r="AM395" i="5"/>
  <c r="AI395" i="5"/>
  <c r="AJ395" i="5"/>
  <c r="AH204" i="5"/>
  <c r="AJ204" i="5"/>
  <c r="AL204" i="5"/>
  <c r="AI204" i="5"/>
  <c r="AM204" i="5"/>
  <c r="AF204" i="5"/>
  <c r="AG204" i="5"/>
  <c r="AK204" i="5"/>
  <c r="AH181" i="5"/>
  <c r="AJ181" i="5"/>
  <c r="AK181" i="5"/>
  <c r="AL181" i="5"/>
  <c r="AF181" i="5"/>
  <c r="AM181" i="5"/>
  <c r="AI181" i="5"/>
  <c r="AG181" i="5"/>
  <c r="AL273" i="5"/>
  <c r="AF273" i="5"/>
  <c r="AM273" i="5"/>
  <c r="AH273" i="5"/>
  <c r="AI273" i="5"/>
  <c r="AJ273" i="5"/>
  <c r="AK273" i="5"/>
  <c r="AG273" i="5"/>
  <c r="AH73" i="5"/>
  <c r="AI73" i="5"/>
  <c r="AJ73" i="5"/>
  <c r="AK73" i="5"/>
  <c r="AL73" i="5"/>
  <c r="AM73" i="5"/>
  <c r="AF73" i="5"/>
  <c r="AG73" i="5"/>
  <c r="AL247" i="5"/>
  <c r="AM247" i="5"/>
  <c r="AF247" i="5"/>
  <c r="AI247" i="5"/>
  <c r="AG247" i="5"/>
  <c r="AH247" i="5"/>
  <c r="AJ247" i="5"/>
  <c r="AK247" i="5"/>
  <c r="AK96" i="5"/>
  <c r="AL96" i="5"/>
  <c r="AF96" i="5"/>
  <c r="AM96" i="5"/>
  <c r="AG96" i="5"/>
  <c r="AH96" i="5"/>
  <c r="AI96" i="5"/>
  <c r="AJ96" i="5"/>
  <c r="AH342" i="5"/>
  <c r="AK342" i="5"/>
  <c r="AL342" i="5"/>
  <c r="AM342" i="5"/>
  <c r="AJ342" i="5"/>
  <c r="AF342" i="5"/>
  <c r="AI342" i="5"/>
  <c r="AG342" i="5"/>
  <c r="AH437" i="5"/>
  <c r="AI437" i="5"/>
  <c r="AK437" i="5"/>
  <c r="AL437" i="5"/>
  <c r="AM437" i="5"/>
  <c r="AF437" i="5"/>
  <c r="AG437" i="5"/>
  <c r="AJ437" i="5"/>
  <c r="AI316" i="5"/>
  <c r="AJ316" i="5"/>
  <c r="AM316" i="5"/>
  <c r="AF316" i="5"/>
  <c r="AG316" i="5"/>
  <c r="AH316" i="5"/>
  <c r="AK316" i="5"/>
  <c r="AL316" i="5"/>
  <c r="AJ11" i="5"/>
  <c r="AK11" i="5"/>
  <c r="AM11" i="5"/>
  <c r="AG11" i="5"/>
  <c r="AH11" i="5"/>
  <c r="AI11" i="5"/>
  <c r="AF11" i="5"/>
  <c r="AL11" i="5"/>
  <c r="AG329" i="5"/>
  <c r="AH329" i="5"/>
  <c r="AK329" i="5"/>
  <c r="AF329" i="5"/>
  <c r="AL329" i="5"/>
  <c r="AM329" i="5"/>
  <c r="AI329" i="5"/>
  <c r="AJ329" i="5"/>
  <c r="AH308" i="5"/>
  <c r="AK308" i="5"/>
  <c r="AL308" i="5"/>
  <c r="AM308" i="5"/>
  <c r="AJ308" i="5"/>
  <c r="AF308" i="5"/>
  <c r="AG308" i="5"/>
  <c r="AI308" i="5"/>
  <c r="AF453" i="5"/>
  <c r="AG453" i="5"/>
  <c r="AH453" i="5"/>
  <c r="AK453" i="5"/>
  <c r="AI453" i="5"/>
  <c r="AJ453" i="5"/>
  <c r="AL453" i="5"/>
  <c r="AM453" i="5"/>
  <c r="AI324" i="5"/>
  <c r="AJ324" i="5"/>
  <c r="AM324" i="5"/>
  <c r="AF324" i="5"/>
  <c r="AG324" i="5"/>
  <c r="AH324" i="5"/>
  <c r="AK324" i="5"/>
  <c r="AL324" i="5"/>
  <c r="AF18" i="5"/>
  <c r="AG18" i="5"/>
  <c r="AH18" i="5"/>
  <c r="AI18" i="5"/>
  <c r="AJ18" i="5"/>
  <c r="AK18" i="5"/>
  <c r="AL18" i="5"/>
  <c r="AM18" i="5"/>
  <c r="AF310" i="5"/>
  <c r="AG310" i="5"/>
  <c r="AH310" i="5"/>
  <c r="AK310" i="5"/>
  <c r="AL310" i="5"/>
  <c r="AM310" i="5"/>
  <c r="AI310" i="5"/>
  <c r="AJ310" i="5"/>
  <c r="AJ60" i="5"/>
  <c r="AK60" i="5"/>
  <c r="AL60" i="5"/>
  <c r="AM60" i="5"/>
  <c r="AF60" i="5"/>
  <c r="AG60" i="5"/>
  <c r="AH60" i="5"/>
  <c r="AI60" i="5"/>
  <c r="AG140" i="5"/>
  <c r="AH140" i="5"/>
  <c r="AI140" i="5"/>
  <c r="AJ140" i="5"/>
  <c r="AK140" i="5"/>
  <c r="AL140" i="5"/>
  <c r="AF140" i="5"/>
  <c r="AM140" i="5"/>
  <c r="AJ305" i="5"/>
  <c r="AK305" i="5"/>
  <c r="AF305" i="5"/>
  <c r="AG305" i="5"/>
  <c r="AL305" i="5"/>
  <c r="AM305" i="5"/>
  <c r="AH305" i="5"/>
  <c r="AI305" i="5"/>
  <c r="AG129" i="5"/>
  <c r="AH129" i="5"/>
  <c r="AI129" i="5"/>
  <c r="AJ129" i="5"/>
  <c r="AK129" i="5"/>
  <c r="AL129" i="5"/>
  <c r="AF129" i="5"/>
  <c r="AM129" i="5"/>
  <c r="AJ525" i="5"/>
  <c r="AK525" i="5"/>
  <c r="AL525" i="5"/>
  <c r="AM525" i="5"/>
  <c r="AF525" i="5"/>
  <c r="AG525" i="5"/>
  <c r="AH525" i="5"/>
  <c r="AI525" i="5"/>
  <c r="AF67" i="5"/>
  <c r="AG67" i="5"/>
  <c r="AH67" i="5"/>
  <c r="AI67" i="5"/>
  <c r="AJ67" i="5"/>
  <c r="AK67" i="5"/>
  <c r="AL67" i="5"/>
  <c r="AM67" i="5"/>
  <c r="AK485" i="5"/>
  <c r="AL485" i="5"/>
  <c r="AF485" i="5"/>
  <c r="AG485" i="5"/>
  <c r="AH485" i="5"/>
  <c r="AI485" i="5"/>
  <c r="AJ485" i="5"/>
  <c r="AM485" i="5"/>
  <c r="AI131" i="5"/>
  <c r="AJ131" i="5"/>
  <c r="AK131" i="5"/>
  <c r="AL131" i="5"/>
  <c r="AF131" i="5"/>
  <c r="AM131" i="5"/>
  <c r="AG131" i="5"/>
  <c r="AH131" i="5"/>
  <c r="AF528" i="5"/>
  <c r="AG528" i="5"/>
  <c r="AH528" i="5"/>
  <c r="AK528" i="5"/>
  <c r="AL528" i="5"/>
  <c r="AM528" i="5"/>
  <c r="AI528" i="5"/>
  <c r="AJ528" i="5"/>
  <c r="AJ72" i="5"/>
  <c r="AK72" i="5"/>
  <c r="AL72" i="5"/>
  <c r="AM72" i="5"/>
  <c r="AF72" i="5"/>
  <c r="AG72" i="5"/>
  <c r="AH72" i="5"/>
  <c r="AI72" i="5"/>
  <c r="AH361" i="5"/>
  <c r="AI361" i="5"/>
  <c r="AJ361" i="5"/>
  <c r="AM361" i="5"/>
  <c r="AK361" i="5"/>
  <c r="AL361" i="5"/>
  <c r="AF361" i="5"/>
  <c r="AG361" i="5"/>
  <c r="AH465" i="5"/>
  <c r="AK465" i="5"/>
  <c r="AL465" i="5"/>
  <c r="AM465" i="5"/>
  <c r="AI465" i="5"/>
  <c r="AJ465" i="5"/>
  <c r="AF465" i="5"/>
  <c r="AG465" i="5"/>
  <c r="AK134" i="5"/>
  <c r="AL134" i="5"/>
  <c r="AF134" i="5"/>
  <c r="AM134" i="5"/>
  <c r="AG134" i="5"/>
  <c r="AH134" i="5"/>
  <c r="AI134" i="5"/>
  <c r="AJ134" i="5"/>
  <c r="AL315" i="5"/>
  <c r="AM315" i="5"/>
  <c r="AF315" i="5"/>
  <c r="AG315" i="5"/>
  <c r="AH315" i="5"/>
  <c r="AI315" i="5"/>
  <c r="AJ315" i="5"/>
  <c r="AK315" i="5"/>
  <c r="AG128" i="5"/>
  <c r="AH128" i="5"/>
  <c r="AI128" i="5"/>
  <c r="AJ128" i="5"/>
  <c r="AK128" i="5"/>
  <c r="AL128" i="5"/>
  <c r="AF128" i="5"/>
  <c r="AM128" i="5"/>
  <c r="AI139" i="5"/>
  <c r="AJ139" i="5"/>
  <c r="AK139" i="5"/>
  <c r="AL139" i="5"/>
  <c r="AF139" i="5"/>
  <c r="AM139" i="5"/>
  <c r="AG139" i="5"/>
  <c r="AH139" i="5"/>
  <c r="AG90" i="5"/>
  <c r="AH90" i="5"/>
  <c r="AI90" i="5"/>
  <c r="AJ90" i="5"/>
  <c r="AK90" i="5"/>
  <c r="AL90" i="5"/>
  <c r="AM90" i="5"/>
  <c r="AF90" i="5"/>
  <c r="AH488" i="5"/>
  <c r="AI488" i="5"/>
  <c r="AJ488" i="5"/>
  <c r="AK488" i="5"/>
  <c r="AF488" i="5"/>
  <c r="AG488" i="5"/>
  <c r="AL488" i="5"/>
  <c r="AM488" i="5"/>
  <c r="AH33" i="5"/>
  <c r="AI33" i="5"/>
  <c r="AJ33" i="5"/>
  <c r="AK33" i="5"/>
  <c r="AL33" i="5"/>
  <c r="AM33" i="5"/>
  <c r="AF33" i="5"/>
  <c r="AG33" i="5"/>
  <c r="AI115" i="5"/>
  <c r="AJ115" i="5"/>
  <c r="AK115" i="5"/>
  <c r="AL115" i="5"/>
  <c r="AF115" i="5"/>
  <c r="AM115" i="5"/>
  <c r="AG115" i="5"/>
  <c r="AH115" i="5"/>
  <c r="AM95" i="5"/>
  <c r="AI95" i="5"/>
  <c r="AJ95" i="5"/>
  <c r="AF95" i="5"/>
  <c r="AG95" i="5"/>
  <c r="AH95" i="5"/>
  <c r="AK95" i="5"/>
  <c r="AL95" i="5"/>
  <c r="Y23" i="5"/>
  <c r="AH53" i="5"/>
  <c r="AI53" i="5"/>
  <c r="AJ53" i="5"/>
  <c r="AK53" i="5"/>
  <c r="AL53" i="5"/>
  <c r="AM53" i="5"/>
  <c r="AF53" i="5"/>
  <c r="AG53" i="5"/>
  <c r="AH57" i="5"/>
  <c r="AI57" i="5"/>
  <c r="AJ57" i="5"/>
  <c r="AK57" i="5"/>
  <c r="AL57" i="5"/>
  <c r="AM57" i="5"/>
  <c r="AF57" i="5"/>
  <c r="AG57" i="5"/>
  <c r="AG125" i="5"/>
  <c r="AH125" i="5"/>
  <c r="AI125" i="5"/>
  <c r="AJ125" i="5"/>
  <c r="AK125" i="5"/>
  <c r="AL125" i="5"/>
  <c r="AF125" i="5"/>
  <c r="AM125" i="5"/>
  <c r="AH483" i="5"/>
  <c r="AK483" i="5"/>
  <c r="AI483" i="5"/>
  <c r="AJ483" i="5"/>
  <c r="AL483" i="5"/>
  <c r="AM483" i="5"/>
  <c r="AF483" i="5"/>
  <c r="AG483" i="5"/>
  <c r="AG157" i="5"/>
  <c r="AH157" i="5"/>
  <c r="AI157" i="5"/>
  <c r="AJ157" i="5"/>
  <c r="AK157" i="5"/>
  <c r="AL157" i="5"/>
  <c r="AF157" i="5"/>
  <c r="AM157" i="5"/>
  <c r="AF376" i="5"/>
  <c r="AG376" i="5"/>
  <c r="AH376" i="5"/>
  <c r="AK376" i="5"/>
  <c r="AL376" i="5"/>
  <c r="AM376" i="5"/>
  <c r="AI376" i="5"/>
  <c r="AJ376" i="5"/>
  <c r="AI373" i="5"/>
  <c r="AJ373" i="5"/>
  <c r="AM373" i="5"/>
  <c r="AF373" i="5"/>
  <c r="AG373" i="5"/>
  <c r="AH373" i="5"/>
  <c r="AK373" i="5"/>
  <c r="AL373" i="5"/>
  <c r="AI481" i="5"/>
  <c r="AJ481" i="5"/>
  <c r="AM481" i="5"/>
  <c r="AG481" i="5"/>
  <c r="AH481" i="5"/>
  <c r="AK481" i="5"/>
  <c r="AF481" i="5"/>
  <c r="AL481" i="5"/>
  <c r="AF41" i="5"/>
  <c r="AG41" i="5"/>
  <c r="AH41" i="5"/>
  <c r="AI41" i="5"/>
  <c r="AJ41" i="5"/>
  <c r="AK41" i="5"/>
  <c r="AL41" i="5"/>
  <c r="AM41" i="5"/>
  <c r="AF282" i="5"/>
  <c r="AG282" i="5"/>
  <c r="AM282" i="5"/>
  <c r="AH282" i="5"/>
  <c r="AI282" i="5"/>
  <c r="AJ282" i="5"/>
  <c r="AK282" i="5"/>
  <c r="AL282" i="5"/>
  <c r="AH69" i="5"/>
  <c r="AI69" i="5"/>
  <c r="AJ69" i="5"/>
  <c r="AK69" i="5"/>
  <c r="AL69" i="5"/>
  <c r="AM69" i="5"/>
  <c r="AF69" i="5"/>
  <c r="AG69" i="5"/>
  <c r="AK211" i="5"/>
  <c r="AL211" i="5"/>
  <c r="AF211" i="5"/>
  <c r="AM211" i="5"/>
  <c r="AG211" i="5"/>
  <c r="AI211" i="5"/>
  <c r="AH211" i="5"/>
  <c r="AJ211" i="5"/>
  <c r="AI371" i="5"/>
  <c r="AJ371" i="5"/>
  <c r="AM371" i="5"/>
  <c r="AF371" i="5"/>
  <c r="AG371" i="5"/>
  <c r="AH371" i="5"/>
  <c r="AK371" i="5"/>
  <c r="AL371" i="5"/>
  <c r="AI127" i="5"/>
  <c r="AJ127" i="5"/>
  <c r="AK127" i="5"/>
  <c r="AL127" i="5"/>
  <c r="AF127" i="5"/>
  <c r="AM127" i="5"/>
  <c r="AG127" i="5"/>
  <c r="AH127" i="5"/>
  <c r="AL241" i="5"/>
  <c r="AM241" i="5"/>
  <c r="AF241" i="5"/>
  <c r="AI241" i="5"/>
  <c r="AG241" i="5"/>
  <c r="AH241" i="5"/>
  <c r="AJ241" i="5"/>
  <c r="AK241" i="5"/>
  <c r="AI93" i="5"/>
  <c r="AJ93" i="5"/>
  <c r="AK93" i="5"/>
  <c r="AL93" i="5"/>
  <c r="AF93" i="5"/>
  <c r="AM93" i="5"/>
  <c r="AG93" i="5"/>
  <c r="AH93" i="5"/>
  <c r="AJ399" i="5"/>
  <c r="AK399" i="5"/>
  <c r="AF399" i="5"/>
  <c r="AG399" i="5"/>
  <c r="AL399" i="5"/>
  <c r="AM399" i="5"/>
  <c r="AH399" i="5"/>
  <c r="AI399" i="5"/>
  <c r="AH192" i="5"/>
  <c r="AJ192" i="5"/>
  <c r="AL192" i="5"/>
  <c r="AI192" i="5"/>
  <c r="AM192" i="5"/>
  <c r="AF192" i="5"/>
  <c r="AG192" i="5"/>
  <c r="AK192" i="5"/>
  <c r="AG136" i="5"/>
  <c r="AH136" i="5"/>
  <c r="AI136" i="5"/>
  <c r="AJ136" i="5"/>
  <c r="AK136" i="5"/>
  <c r="AL136" i="5"/>
  <c r="AF136" i="5"/>
  <c r="AM136" i="5"/>
  <c r="AF46" i="5"/>
  <c r="AG46" i="5"/>
  <c r="AH46" i="5"/>
  <c r="AI46" i="5"/>
  <c r="AJ46" i="5"/>
  <c r="AK46" i="5"/>
  <c r="AL46" i="5"/>
  <c r="AM46" i="5"/>
  <c r="AI445" i="5"/>
  <c r="AJ445" i="5"/>
  <c r="AF445" i="5"/>
  <c r="AG445" i="5"/>
  <c r="AM445" i="5"/>
  <c r="AH445" i="5"/>
  <c r="AL445" i="5"/>
  <c r="AK445" i="5"/>
  <c r="AJ397" i="5"/>
  <c r="AK397" i="5"/>
  <c r="AF397" i="5"/>
  <c r="AG397" i="5"/>
  <c r="AM397" i="5"/>
  <c r="AL397" i="5"/>
  <c r="AH397" i="5"/>
  <c r="AI397" i="5"/>
  <c r="AH214" i="5"/>
  <c r="AJ214" i="5"/>
  <c r="AK214" i="5"/>
  <c r="AL214" i="5"/>
  <c r="AI214" i="5"/>
  <c r="AM214" i="5"/>
  <c r="AG214" i="5"/>
  <c r="AF214" i="5"/>
  <c r="AL519" i="5"/>
  <c r="AM519" i="5"/>
  <c r="AF519" i="5"/>
  <c r="AG519" i="5"/>
  <c r="AH519" i="5"/>
  <c r="AI519" i="5"/>
  <c r="AJ519" i="5"/>
  <c r="AK519" i="5"/>
  <c r="AK105" i="5"/>
  <c r="AL105" i="5"/>
  <c r="AF105" i="5"/>
  <c r="AM105" i="5"/>
  <c r="AG105" i="5"/>
  <c r="AH105" i="5"/>
  <c r="AI105" i="5"/>
  <c r="AJ105" i="5"/>
  <c r="AL362" i="5"/>
  <c r="AM362" i="5"/>
  <c r="AF362" i="5"/>
  <c r="AG362" i="5"/>
  <c r="AH362" i="5"/>
  <c r="AI362" i="5"/>
  <c r="AJ362" i="5"/>
  <c r="AK362" i="5"/>
  <c r="AF370" i="5"/>
  <c r="AG370" i="5"/>
  <c r="AH370" i="5"/>
  <c r="AK370" i="5"/>
  <c r="AL370" i="5"/>
  <c r="AM370" i="5"/>
  <c r="AI370" i="5"/>
  <c r="AJ370" i="5"/>
  <c r="AK405" i="5"/>
  <c r="AL405" i="5"/>
  <c r="AM405" i="5"/>
  <c r="AG405" i="5"/>
  <c r="AF405" i="5"/>
  <c r="AH405" i="5"/>
  <c r="AI405" i="5"/>
  <c r="AJ405" i="5"/>
  <c r="AF42" i="5"/>
  <c r="AG42" i="5"/>
  <c r="AH42" i="5"/>
  <c r="AI42" i="5"/>
  <c r="AJ42" i="5"/>
  <c r="AK42" i="5"/>
  <c r="AL42" i="5"/>
  <c r="AM42" i="5"/>
  <c r="AH331" i="5"/>
  <c r="AI331" i="5"/>
  <c r="AK331" i="5"/>
  <c r="AF331" i="5"/>
  <c r="AM331" i="5"/>
  <c r="AG331" i="5"/>
  <c r="AL331" i="5"/>
  <c r="AJ331" i="5"/>
  <c r="AH336" i="5"/>
  <c r="AK336" i="5"/>
  <c r="AI336" i="5"/>
  <c r="AJ336" i="5"/>
  <c r="AL336" i="5"/>
  <c r="AM336" i="5"/>
  <c r="AF336" i="5"/>
  <c r="AG336" i="5"/>
  <c r="AL541" i="5"/>
  <c r="AM541" i="5"/>
  <c r="AF541" i="5"/>
  <c r="AG541" i="5"/>
  <c r="AH541" i="5"/>
  <c r="AI541" i="5"/>
  <c r="AJ541" i="5"/>
  <c r="AK541" i="5"/>
  <c r="AI218" i="5"/>
  <c r="AM218" i="5"/>
  <c r="AG218" i="5"/>
  <c r="AF218" i="5"/>
  <c r="AH218" i="5"/>
  <c r="AJ218" i="5"/>
  <c r="AK218" i="5"/>
  <c r="AL218" i="5"/>
  <c r="AL263" i="5"/>
  <c r="AM263" i="5"/>
  <c r="AF263" i="5"/>
  <c r="AI263" i="5"/>
  <c r="AG263" i="5"/>
  <c r="AH263" i="5"/>
  <c r="AJ263" i="5"/>
  <c r="AK263" i="5"/>
  <c r="AH200" i="5"/>
  <c r="AJ200" i="5"/>
  <c r="AL200" i="5"/>
  <c r="AI200" i="5"/>
  <c r="AM200" i="5"/>
  <c r="AF200" i="5"/>
  <c r="AG200" i="5"/>
  <c r="AK200" i="5"/>
  <c r="AK207" i="5"/>
  <c r="AL207" i="5"/>
  <c r="AF207" i="5"/>
  <c r="AM207" i="5"/>
  <c r="AG207" i="5"/>
  <c r="AI207" i="5"/>
  <c r="AH207" i="5"/>
  <c r="AJ207" i="5"/>
  <c r="AL318" i="5"/>
  <c r="AM318" i="5"/>
  <c r="AJ318" i="5"/>
  <c r="AF318" i="5"/>
  <c r="AG318" i="5"/>
  <c r="AH318" i="5"/>
  <c r="AK318" i="5"/>
  <c r="AI318" i="5"/>
  <c r="AL363" i="5"/>
  <c r="AM363" i="5"/>
  <c r="AI363" i="5"/>
  <c r="AJ363" i="5"/>
  <c r="AF363" i="5"/>
  <c r="AG363" i="5"/>
  <c r="AH363" i="5"/>
  <c r="AK363" i="5"/>
  <c r="AK126" i="5"/>
  <c r="AL126" i="5"/>
  <c r="AF126" i="5"/>
  <c r="AM126" i="5"/>
  <c r="AG126" i="5"/>
  <c r="AH126" i="5"/>
  <c r="AI126" i="5"/>
  <c r="AJ126" i="5"/>
  <c r="AJ12" i="5"/>
  <c r="AK12" i="5"/>
  <c r="AL12" i="5"/>
  <c r="AM12" i="5"/>
  <c r="AF12" i="5"/>
  <c r="AG12" i="5"/>
  <c r="AH12" i="5"/>
  <c r="AI12" i="5"/>
  <c r="AH37" i="5"/>
  <c r="AI37" i="5"/>
  <c r="AJ37" i="5"/>
  <c r="AK37" i="5"/>
  <c r="AL37" i="5"/>
  <c r="AM37" i="5"/>
  <c r="AF37" i="5"/>
  <c r="AG37" i="5"/>
  <c r="AJ76" i="5"/>
  <c r="AK76" i="5"/>
  <c r="AL76" i="5"/>
  <c r="AM76" i="5"/>
  <c r="AF76" i="5"/>
  <c r="AG76" i="5"/>
  <c r="AH76" i="5"/>
  <c r="AI76" i="5"/>
  <c r="AF59" i="5"/>
  <c r="AG59" i="5"/>
  <c r="AH59" i="5"/>
  <c r="AI59" i="5"/>
  <c r="AJ59" i="5"/>
  <c r="AK59" i="5"/>
  <c r="AL59" i="5"/>
  <c r="AM59" i="5"/>
  <c r="AJ64" i="5"/>
  <c r="AK64" i="5"/>
  <c r="AL64" i="5"/>
  <c r="AM64" i="5"/>
  <c r="AF64" i="5"/>
  <c r="AG64" i="5"/>
  <c r="AH64" i="5"/>
  <c r="AI64" i="5"/>
  <c r="AF63" i="5"/>
  <c r="AG63" i="5"/>
  <c r="AH63" i="5"/>
  <c r="AI63" i="5"/>
  <c r="AJ63" i="5"/>
  <c r="AK63" i="5"/>
  <c r="AL63" i="5"/>
  <c r="AM63" i="5"/>
  <c r="AL514" i="5"/>
  <c r="AM514" i="5"/>
  <c r="AG514" i="5"/>
  <c r="AI514" i="5"/>
  <c r="AJ514" i="5"/>
  <c r="AK514" i="5"/>
  <c r="AH514" i="5"/>
  <c r="AF514" i="5"/>
  <c r="AJ48" i="5"/>
  <c r="AK48" i="5"/>
  <c r="AL48" i="5"/>
  <c r="AM48" i="5"/>
  <c r="AF48" i="5"/>
  <c r="AG48" i="5"/>
  <c r="AH48" i="5"/>
  <c r="AI48" i="5"/>
  <c r="AI102" i="5"/>
  <c r="AJ102" i="5"/>
  <c r="AK102" i="5"/>
  <c r="AL102" i="5"/>
  <c r="AF102" i="5"/>
  <c r="AM102" i="5"/>
  <c r="AG102" i="5"/>
  <c r="AH102" i="5"/>
  <c r="AH423" i="5"/>
  <c r="AI423" i="5"/>
  <c r="AJ423" i="5"/>
  <c r="AK423" i="5"/>
  <c r="AL423" i="5"/>
  <c r="AF423" i="5"/>
  <c r="AM423" i="5"/>
  <c r="AG423" i="5"/>
  <c r="AJ455" i="5"/>
  <c r="AK455" i="5"/>
  <c r="AF455" i="5"/>
  <c r="AG455" i="5"/>
  <c r="AL455" i="5"/>
  <c r="AM455" i="5"/>
  <c r="AH455" i="5"/>
  <c r="AI455" i="5"/>
  <c r="AL524" i="5"/>
  <c r="AM524" i="5"/>
  <c r="AF524" i="5"/>
  <c r="AG524" i="5"/>
  <c r="AI524" i="5"/>
  <c r="AJ524" i="5"/>
  <c r="AK524" i="5"/>
  <c r="AH524" i="5"/>
  <c r="AI416" i="5"/>
  <c r="AJ416" i="5"/>
  <c r="AL416" i="5"/>
  <c r="AF416" i="5"/>
  <c r="AG416" i="5"/>
  <c r="AH416" i="5"/>
  <c r="AK416" i="5"/>
  <c r="AM416" i="5"/>
  <c r="AF22" i="5"/>
  <c r="AG22" i="5"/>
  <c r="AH22" i="5"/>
  <c r="AI22" i="5"/>
  <c r="AJ22" i="5"/>
  <c r="AK22" i="5"/>
  <c r="AL22" i="5"/>
  <c r="AM22" i="5"/>
  <c r="AF480" i="5"/>
  <c r="AJ480" i="5"/>
  <c r="AK480" i="5"/>
  <c r="AL480" i="5"/>
  <c r="AM480" i="5"/>
  <c r="AG480" i="5"/>
  <c r="AH480" i="5"/>
  <c r="AI480" i="5"/>
  <c r="AI202" i="5"/>
  <c r="AM202" i="5"/>
  <c r="AG202" i="5"/>
  <c r="AF202" i="5"/>
  <c r="AH202" i="5"/>
  <c r="AJ202" i="5"/>
  <c r="AK202" i="5"/>
  <c r="AL202" i="5"/>
  <c r="AG503" i="5"/>
  <c r="AH503" i="5"/>
  <c r="AK503" i="5"/>
  <c r="AF503" i="5"/>
  <c r="AL503" i="5"/>
  <c r="AM503" i="5"/>
  <c r="AI503" i="5"/>
  <c r="AJ503" i="5"/>
  <c r="AH539" i="5"/>
  <c r="AK539" i="5"/>
  <c r="AI539" i="5"/>
  <c r="AJ539" i="5"/>
  <c r="AL539" i="5"/>
  <c r="AM539" i="5"/>
  <c r="AF539" i="5"/>
  <c r="AG539" i="5"/>
  <c r="AF55" i="5"/>
  <c r="AG55" i="5"/>
  <c r="AH55" i="5"/>
  <c r="AI55" i="5"/>
  <c r="AJ55" i="5"/>
  <c r="AK55" i="5"/>
  <c r="AL55" i="5"/>
  <c r="AM55" i="5"/>
  <c r="AF54" i="5"/>
  <c r="AG54" i="5"/>
  <c r="AH54" i="5"/>
  <c r="AI54" i="5"/>
  <c r="AJ54" i="5"/>
  <c r="AK54" i="5"/>
  <c r="AL54" i="5"/>
  <c r="AM54" i="5"/>
  <c r="AK187" i="5"/>
  <c r="AL187" i="5"/>
  <c r="AF187" i="5"/>
  <c r="AM187" i="5"/>
  <c r="AG187" i="5"/>
  <c r="AI187" i="5"/>
  <c r="AH187" i="5"/>
  <c r="AJ187" i="5"/>
  <c r="AH65" i="5"/>
  <c r="AI65" i="5"/>
  <c r="AJ65" i="5"/>
  <c r="AK65" i="5"/>
  <c r="AL65" i="5"/>
  <c r="AM65" i="5"/>
  <c r="AF65" i="5"/>
  <c r="AG65" i="5"/>
  <c r="AH394" i="5"/>
  <c r="AK394" i="5"/>
  <c r="AL394" i="5"/>
  <c r="AM394" i="5"/>
  <c r="AI394" i="5"/>
  <c r="AJ394" i="5"/>
  <c r="AF394" i="5"/>
  <c r="AG394" i="5"/>
  <c r="AJ75" i="5"/>
  <c r="AM75" i="5"/>
  <c r="AH75" i="5"/>
  <c r="AI75" i="5"/>
  <c r="AF75" i="5"/>
  <c r="AG75" i="5"/>
  <c r="AK75" i="5"/>
  <c r="AL75" i="5"/>
  <c r="AF319" i="5"/>
  <c r="AG319" i="5"/>
  <c r="AH319" i="5"/>
  <c r="AK319" i="5"/>
  <c r="AL319" i="5"/>
  <c r="AM319" i="5"/>
  <c r="AI319" i="5"/>
  <c r="AJ319" i="5"/>
  <c r="AH345" i="5"/>
  <c r="AI345" i="5"/>
  <c r="AL345" i="5"/>
  <c r="AM345" i="5"/>
  <c r="AJ345" i="5"/>
  <c r="AF345" i="5"/>
  <c r="AG345" i="5"/>
  <c r="AK345" i="5"/>
  <c r="AF86" i="5"/>
  <c r="AI86" i="5"/>
  <c r="AL86" i="5"/>
  <c r="AG86" i="5"/>
  <c r="AH86" i="5"/>
  <c r="AJ86" i="5"/>
  <c r="AK86" i="5"/>
  <c r="AM86" i="5"/>
  <c r="AL80" i="5"/>
  <c r="AG80" i="5"/>
  <c r="AJ80" i="5"/>
  <c r="AM80" i="5"/>
  <c r="AF80" i="5"/>
  <c r="AH80" i="5"/>
  <c r="AI80" i="5"/>
  <c r="AK80" i="5"/>
  <c r="AI198" i="5"/>
  <c r="AM198" i="5"/>
  <c r="AG198" i="5"/>
  <c r="AF198" i="5"/>
  <c r="AH198" i="5"/>
  <c r="AJ198" i="5"/>
  <c r="AK198" i="5"/>
  <c r="AL198" i="5"/>
  <c r="AM494" i="5"/>
  <c r="AL494" i="5"/>
  <c r="AF494" i="5"/>
  <c r="AG494" i="5"/>
  <c r="AH494" i="5"/>
  <c r="AI494" i="5"/>
  <c r="AJ494" i="5"/>
  <c r="AK494" i="5"/>
  <c r="AF249" i="5"/>
  <c r="AI249" i="5"/>
  <c r="AG249" i="5"/>
  <c r="AH249" i="5"/>
  <c r="AJ249" i="5"/>
  <c r="AK249" i="5"/>
  <c r="AL249" i="5"/>
  <c r="AM249" i="5"/>
  <c r="AL364" i="5"/>
  <c r="AM364" i="5"/>
  <c r="AI364" i="5"/>
  <c r="AJ364" i="5"/>
  <c r="AF364" i="5"/>
  <c r="AG364" i="5"/>
  <c r="AH364" i="5"/>
  <c r="AK364" i="5"/>
  <c r="AH343" i="5"/>
  <c r="AK343" i="5"/>
  <c r="AI343" i="5"/>
  <c r="AJ343" i="5"/>
  <c r="AM343" i="5"/>
  <c r="AF343" i="5"/>
  <c r="AG343" i="5"/>
  <c r="AL343" i="5"/>
  <c r="AI190" i="5"/>
  <c r="AM190" i="5"/>
  <c r="AG190" i="5"/>
  <c r="AF190" i="5"/>
  <c r="AH190" i="5"/>
  <c r="AJ190" i="5"/>
  <c r="AK190" i="5"/>
  <c r="AL190" i="5"/>
  <c r="AL85" i="5"/>
  <c r="AG85" i="5"/>
  <c r="AH85" i="5"/>
  <c r="AJ85" i="5"/>
  <c r="AM85" i="5"/>
  <c r="AK85" i="5"/>
  <c r="AF85" i="5"/>
  <c r="AI85" i="5"/>
  <c r="AG330" i="5"/>
  <c r="AM330" i="5"/>
  <c r="AL330" i="5"/>
  <c r="AI330" i="5"/>
  <c r="AJ330" i="5"/>
  <c r="AK330" i="5"/>
  <c r="AF330" i="5"/>
  <c r="AH330" i="5"/>
  <c r="AF279" i="5"/>
  <c r="AG279" i="5"/>
  <c r="AH279" i="5"/>
  <c r="AK279" i="5"/>
  <c r="AL279" i="5"/>
  <c r="AM279" i="5"/>
  <c r="AI279" i="5"/>
  <c r="AJ279" i="5"/>
  <c r="AI327" i="5"/>
  <c r="AJ327" i="5"/>
  <c r="AM327" i="5"/>
  <c r="AF327" i="5"/>
  <c r="AG327" i="5"/>
  <c r="AH327" i="5"/>
  <c r="AK327" i="5"/>
  <c r="AL327" i="5"/>
  <c r="AJ493" i="5"/>
  <c r="AK493" i="5"/>
  <c r="AL493" i="5"/>
  <c r="AM493" i="5"/>
  <c r="AF493" i="5"/>
  <c r="AG493" i="5"/>
  <c r="AH493" i="5"/>
  <c r="AI493" i="5"/>
  <c r="AH4" i="5"/>
  <c r="AI4" i="5"/>
  <c r="AJ4" i="5"/>
  <c r="AK4" i="5"/>
  <c r="AL4" i="5"/>
  <c r="AM4" i="5"/>
  <c r="AF4" i="5"/>
  <c r="AG4" i="5"/>
  <c r="AF78" i="5"/>
  <c r="AH78" i="5"/>
  <c r="AI78" i="5"/>
  <c r="AK78" i="5"/>
  <c r="AL78" i="5"/>
  <c r="AG78" i="5"/>
  <c r="AJ78" i="5"/>
  <c r="AM78" i="5"/>
  <c r="AL476" i="5"/>
  <c r="AH476" i="5"/>
  <c r="AK476" i="5"/>
  <c r="AM476" i="5"/>
  <c r="AI476" i="5"/>
  <c r="AJ476" i="5"/>
  <c r="AF476" i="5"/>
  <c r="AG476" i="5"/>
  <c r="AH172" i="5"/>
  <c r="AJ172" i="5"/>
  <c r="AK172" i="5"/>
  <c r="AL172" i="5"/>
  <c r="AI172" i="5"/>
  <c r="AM172" i="5"/>
  <c r="AF172" i="5"/>
  <c r="AG172" i="5"/>
  <c r="AF409" i="5"/>
  <c r="AG409" i="5"/>
  <c r="AL409" i="5"/>
  <c r="AM409" i="5"/>
  <c r="AH409" i="5"/>
  <c r="AI409" i="5"/>
  <c r="AJ409" i="5"/>
  <c r="AK409" i="5"/>
  <c r="AK262" i="5"/>
  <c r="AH262" i="5"/>
  <c r="AG262" i="5"/>
  <c r="AJ262" i="5"/>
  <c r="AL262" i="5"/>
  <c r="AM262" i="5"/>
  <c r="AF262" i="5"/>
  <c r="AI262" i="5"/>
  <c r="AF50" i="5"/>
  <c r="AG50" i="5"/>
  <c r="AH50" i="5"/>
  <c r="AI50" i="5"/>
  <c r="AJ50" i="5"/>
  <c r="AK50" i="5"/>
  <c r="AL50" i="5"/>
  <c r="AM50" i="5"/>
  <c r="AF311" i="5"/>
  <c r="AG311" i="5"/>
  <c r="AH311" i="5"/>
  <c r="AK311" i="5"/>
  <c r="AL311" i="5"/>
  <c r="AM311" i="5"/>
  <c r="AI311" i="5"/>
  <c r="AJ311" i="5"/>
  <c r="AK222" i="5"/>
  <c r="AL222" i="5"/>
  <c r="AI222" i="5"/>
  <c r="AM222" i="5"/>
  <c r="AG222" i="5"/>
  <c r="AF222" i="5"/>
  <c r="AH222" i="5"/>
  <c r="AJ222" i="5"/>
  <c r="AK108" i="5"/>
  <c r="AL108" i="5"/>
  <c r="AM108" i="5"/>
  <c r="AG108" i="5"/>
  <c r="AH108" i="5"/>
  <c r="AI108" i="5"/>
  <c r="AJ108" i="5"/>
  <c r="AF108" i="5"/>
  <c r="AH535" i="5"/>
  <c r="AI535" i="5"/>
  <c r="AJ535" i="5"/>
  <c r="AK535" i="5"/>
  <c r="AM535" i="5"/>
  <c r="AL535" i="5"/>
  <c r="AF535" i="5"/>
  <c r="AG535" i="5"/>
  <c r="AI454" i="5"/>
  <c r="AJ454" i="5"/>
  <c r="AM454" i="5"/>
  <c r="AF454" i="5"/>
  <c r="AG454" i="5"/>
  <c r="AH454" i="5"/>
  <c r="AK454" i="5"/>
  <c r="AL454" i="5"/>
  <c r="AK101" i="5"/>
  <c r="AL101" i="5"/>
  <c r="AF101" i="5"/>
  <c r="AM101" i="5"/>
  <c r="AG101" i="5"/>
  <c r="AH101" i="5"/>
  <c r="AI101" i="5"/>
  <c r="AJ101" i="5"/>
  <c r="AK219" i="5"/>
  <c r="AL219" i="5"/>
  <c r="AF219" i="5"/>
  <c r="AM219" i="5"/>
  <c r="AG219" i="5"/>
  <c r="AI219" i="5"/>
  <c r="AH219" i="5"/>
  <c r="AJ219" i="5"/>
  <c r="AF418" i="5"/>
  <c r="AG418" i="5"/>
  <c r="AH418" i="5"/>
  <c r="AK418" i="5"/>
  <c r="AL418" i="5"/>
  <c r="AM418" i="5"/>
  <c r="AI418" i="5"/>
  <c r="AJ418" i="5"/>
  <c r="AI521" i="5"/>
  <c r="AJ521" i="5"/>
  <c r="AM521" i="5"/>
  <c r="AF521" i="5"/>
  <c r="AG521" i="5"/>
  <c r="AH521" i="5"/>
  <c r="AK521" i="5"/>
  <c r="AL521" i="5"/>
  <c r="AH325" i="5"/>
  <c r="AK325" i="5"/>
  <c r="AI325" i="5"/>
  <c r="AJ325" i="5"/>
  <c r="AL325" i="5"/>
  <c r="AM325" i="5"/>
  <c r="AF325" i="5"/>
  <c r="AG325" i="5"/>
  <c r="AF19" i="5"/>
  <c r="AG19" i="5"/>
  <c r="AH19" i="5"/>
  <c r="AI19" i="5"/>
  <c r="AJ19" i="5"/>
  <c r="AK19" i="5"/>
  <c r="AL19" i="5"/>
  <c r="AM19" i="5"/>
  <c r="AH513" i="5"/>
  <c r="AI513" i="5"/>
  <c r="AJ513" i="5"/>
  <c r="AK513" i="5"/>
  <c r="AL513" i="5"/>
  <c r="AM513" i="5"/>
  <c r="AF513" i="5"/>
  <c r="AG513" i="5"/>
  <c r="AJ518" i="5"/>
  <c r="AK518" i="5"/>
  <c r="AL518" i="5"/>
  <c r="AM518" i="5"/>
  <c r="AF518" i="5"/>
  <c r="AG518" i="5"/>
  <c r="AH518" i="5"/>
  <c r="AI518" i="5"/>
  <c r="AL403" i="5"/>
  <c r="AF403" i="5"/>
  <c r="AG403" i="5"/>
  <c r="AH403" i="5"/>
  <c r="AK403" i="5"/>
  <c r="AM403" i="5"/>
  <c r="AI403" i="5"/>
  <c r="AJ403" i="5"/>
  <c r="AF70" i="5"/>
  <c r="AG70" i="5"/>
  <c r="AH70" i="5"/>
  <c r="AI70" i="5"/>
  <c r="AJ70" i="5"/>
  <c r="AK70" i="5"/>
  <c r="AL70" i="5"/>
  <c r="AM70" i="5"/>
  <c r="AH173" i="5"/>
  <c r="AJ173" i="5"/>
  <c r="AK173" i="5"/>
  <c r="AL173" i="5"/>
  <c r="AF173" i="5"/>
  <c r="AM173" i="5"/>
  <c r="AI173" i="5"/>
  <c r="AG173" i="5"/>
  <c r="AK264" i="5"/>
  <c r="AH264" i="5"/>
  <c r="AG264" i="5"/>
  <c r="AJ264" i="5"/>
  <c r="AL264" i="5"/>
  <c r="AM264" i="5"/>
  <c r="AF264" i="5"/>
  <c r="AI264" i="5"/>
  <c r="AH378" i="5"/>
  <c r="AK378" i="5"/>
  <c r="AL378" i="5"/>
  <c r="AM378" i="5"/>
  <c r="AI378" i="5"/>
  <c r="AJ378" i="5"/>
  <c r="AF378" i="5"/>
  <c r="AG378" i="5"/>
  <c r="AF300" i="5"/>
  <c r="AL300" i="5"/>
  <c r="AM300" i="5"/>
  <c r="AG300" i="5"/>
  <c r="AH300" i="5"/>
  <c r="AI300" i="5"/>
  <c r="AJ300" i="5"/>
  <c r="AK300" i="5"/>
  <c r="AH422" i="5"/>
  <c r="AI422" i="5"/>
  <c r="AJ422" i="5"/>
  <c r="AK422" i="5"/>
  <c r="AL422" i="5"/>
  <c r="AM422" i="5"/>
  <c r="AG422" i="5"/>
  <c r="AF422" i="5"/>
  <c r="AH288" i="5"/>
  <c r="AI288" i="5"/>
  <c r="AJ288" i="5"/>
  <c r="AK288" i="5"/>
  <c r="AM288" i="5"/>
  <c r="AL288" i="5"/>
  <c r="AF288" i="5"/>
  <c r="AG288" i="5"/>
  <c r="AG124" i="5"/>
  <c r="AH124" i="5"/>
  <c r="AI124" i="5"/>
  <c r="AJ124" i="5"/>
  <c r="AK124" i="5"/>
  <c r="AL124" i="5"/>
  <c r="AF124" i="5"/>
  <c r="AM124" i="5"/>
  <c r="AF487" i="5"/>
  <c r="AG487" i="5"/>
  <c r="AL487" i="5"/>
  <c r="AM487" i="5"/>
  <c r="AH487" i="5"/>
  <c r="AI487" i="5"/>
  <c r="AJ487" i="5"/>
  <c r="AK487" i="5"/>
  <c r="AG113" i="5"/>
  <c r="AH113" i="5"/>
  <c r="AI113" i="5"/>
  <c r="AJ113" i="5"/>
  <c r="AK113" i="5"/>
  <c r="AL113" i="5"/>
  <c r="AF113" i="5"/>
  <c r="AM113" i="5"/>
  <c r="AK314" i="5"/>
  <c r="AL314" i="5"/>
  <c r="AF314" i="5"/>
  <c r="AI314" i="5"/>
  <c r="AJ314" i="5"/>
  <c r="AM314" i="5"/>
  <c r="AH314" i="5"/>
  <c r="AG314" i="5"/>
  <c r="AF254" i="5"/>
  <c r="AI254" i="5"/>
  <c r="AK254" i="5"/>
  <c r="AH254" i="5"/>
  <c r="AG254" i="5"/>
  <c r="AJ254" i="5"/>
  <c r="AL254" i="5"/>
  <c r="AM254" i="5"/>
  <c r="AG112" i="5"/>
  <c r="AH112" i="5"/>
  <c r="AI112" i="5"/>
  <c r="AJ112" i="5"/>
  <c r="AK112" i="5"/>
  <c r="AL112" i="5"/>
  <c r="AF112" i="5"/>
  <c r="AM112" i="5"/>
  <c r="AH486" i="5"/>
  <c r="AI486" i="5"/>
  <c r="AK486" i="5"/>
  <c r="AL486" i="5"/>
  <c r="AM486" i="5"/>
  <c r="AF486" i="5"/>
  <c r="AG486" i="5"/>
  <c r="AJ486" i="5"/>
  <c r="AL495" i="5"/>
  <c r="AM495" i="5"/>
  <c r="AG495" i="5"/>
  <c r="AI495" i="5"/>
  <c r="AJ495" i="5"/>
  <c r="AK495" i="5"/>
  <c r="AH495" i="5"/>
  <c r="AF495" i="5"/>
  <c r="AG121" i="5"/>
  <c r="AH121" i="5"/>
  <c r="AI121" i="5"/>
  <c r="AJ121" i="5"/>
  <c r="AK121" i="5"/>
  <c r="AL121" i="5"/>
  <c r="AF121" i="5"/>
  <c r="AM121" i="5"/>
  <c r="AJ304" i="5"/>
  <c r="AK304" i="5"/>
  <c r="AF304" i="5"/>
  <c r="AG304" i="5"/>
  <c r="AL304" i="5"/>
  <c r="AM304" i="5"/>
  <c r="AH304" i="5"/>
  <c r="AI304" i="5"/>
  <c r="AM419" i="5"/>
  <c r="AL419" i="5"/>
  <c r="AG419" i="5"/>
  <c r="AI419" i="5"/>
  <c r="AJ419" i="5"/>
  <c r="AK419" i="5"/>
  <c r="AH419" i="5"/>
  <c r="AF419" i="5"/>
  <c r="AH165" i="5"/>
  <c r="AJ165" i="5"/>
  <c r="AK165" i="5"/>
  <c r="AL165" i="5"/>
  <c r="AF165" i="5"/>
  <c r="AM165" i="5"/>
  <c r="AI165" i="5"/>
  <c r="AG165" i="5"/>
  <c r="AI147" i="5"/>
  <c r="AJ147" i="5"/>
  <c r="AK147" i="5"/>
  <c r="AL147" i="5"/>
  <c r="AF147" i="5"/>
  <c r="AM147" i="5"/>
  <c r="AG147" i="5"/>
  <c r="AH147" i="5"/>
  <c r="AH61" i="5"/>
  <c r="AI61" i="5"/>
  <c r="AJ61" i="5"/>
  <c r="AK61" i="5"/>
  <c r="AL61" i="5"/>
  <c r="AM61" i="5"/>
  <c r="AF61" i="5"/>
  <c r="AG61" i="5"/>
  <c r="AG149" i="5"/>
  <c r="AH149" i="5"/>
  <c r="AI149" i="5"/>
  <c r="AJ149" i="5"/>
  <c r="AK149" i="5"/>
  <c r="AL149" i="5"/>
  <c r="AF149" i="5"/>
  <c r="AM149" i="5"/>
  <c r="AK220" i="5"/>
  <c r="AL220" i="5"/>
  <c r="AI220" i="5"/>
  <c r="AM220" i="5"/>
  <c r="AF220" i="5"/>
  <c r="AG220" i="5"/>
  <c r="AH220" i="5"/>
  <c r="AJ220" i="5"/>
  <c r="AF66" i="5"/>
  <c r="AG66" i="5"/>
  <c r="AH66" i="5"/>
  <c r="AI66" i="5"/>
  <c r="AJ66" i="5"/>
  <c r="AK66" i="5"/>
  <c r="AL66" i="5"/>
  <c r="AM66" i="5"/>
  <c r="AH180" i="5"/>
  <c r="AJ180" i="5"/>
  <c r="AK180" i="5"/>
  <c r="AL180" i="5"/>
  <c r="AI180" i="5"/>
  <c r="AM180" i="5"/>
  <c r="AF180" i="5"/>
  <c r="AG180" i="5"/>
  <c r="AK92" i="5"/>
  <c r="AL92" i="5"/>
  <c r="AF92" i="5"/>
  <c r="AM92" i="5"/>
  <c r="AG92" i="5"/>
  <c r="AH92" i="5"/>
  <c r="AI92" i="5"/>
  <c r="AJ92" i="5"/>
  <c r="AK122" i="5"/>
  <c r="AL122" i="5"/>
  <c r="AM122" i="5"/>
  <c r="AF122" i="5"/>
  <c r="AG122" i="5"/>
  <c r="AH122" i="5"/>
  <c r="AI122" i="5"/>
  <c r="AJ122" i="5"/>
  <c r="AI182" i="5"/>
  <c r="AM182" i="5"/>
  <c r="AG182" i="5"/>
  <c r="AF182" i="5"/>
  <c r="AH182" i="5"/>
  <c r="AJ182" i="5"/>
  <c r="AK182" i="5"/>
  <c r="AL182" i="5"/>
  <c r="AI461" i="5"/>
  <c r="AJ461" i="5"/>
  <c r="AM461" i="5"/>
  <c r="AF461" i="5"/>
  <c r="AG461" i="5"/>
  <c r="AH461" i="5"/>
  <c r="AK461" i="5"/>
  <c r="AL461" i="5"/>
  <c r="AG98" i="5"/>
  <c r="AH98" i="5"/>
  <c r="AI98" i="5"/>
  <c r="AJ98" i="5"/>
  <c r="AK98" i="5"/>
  <c r="AL98" i="5"/>
  <c r="AF98" i="5"/>
  <c r="AM98" i="5"/>
  <c r="AH168" i="5"/>
  <c r="AJ168" i="5"/>
  <c r="AK168" i="5"/>
  <c r="AL168" i="5"/>
  <c r="AI168" i="5"/>
  <c r="AM168" i="5"/>
  <c r="AF168" i="5"/>
  <c r="AG168" i="5"/>
  <c r="AI302" i="5"/>
  <c r="AJ302" i="5"/>
  <c r="AM302" i="5"/>
  <c r="AF302" i="5"/>
  <c r="AG302" i="5"/>
  <c r="AH302" i="5"/>
  <c r="AK302" i="5"/>
  <c r="AL302" i="5"/>
  <c r="AH420" i="5"/>
  <c r="AI420" i="5"/>
  <c r="AJ420" i="5"/>
  <c r="AK420" i="5"/>
  <c r="AM420" i="5"/>
  <c r="AL420" i="5"/>
  <c r="AG420" i="5"/>
  <c r="AF420" i="5"/>
  <c r="AL473" i="5"/>
  <c r="AK473" i="5"/>
  <c r="AI473" i="5"/>
  <c r="AM473" i="5"/>
  <c r="AJ473" i="5"/>
  <c r="AF473" i="5"/>
  <c r="AG473" i="5"/>
  <c r="AH473" i="5"/>
  <c r="AJ6" i="5"/>
  <c r="AK6" i="5"/>
  <c r="AM6" i="5"/>
  <c r="AF6" i="5"/>
  <c r="AG6" i="5"/>
  <c r="AH6" i="5"/>
  <c r="AI6" i="5"/>
  <c r="AL6" i="5"/>
  <c r="AF51" i="5"/>
  <c r="AG51" i="5"/>
  <c r="AH51" i="5"/>
  <c r="AI51" i="5"/>
  <c r="AJ51" i="5"/>
  <c r="AK51" i="5"/>
  <c r="AL51" i="5"/>
  <c r="AM51" i="5"/>
  <c r="AL369" i="5"/>
  <c r="AM369" i="5"/>
  <c r="AG369" i="5"/>
  <c r="AI369" i="5"/>
  <c r="AJ369" i="5"/>
  <c r="AK369" i="5"/>
  <c r="AH369" i="5"/>
  <c r="AF369" i="5"/>
  <c r="AF71" i="5"/>
  <c r="AG71" i="5"/>
  <c r="AH71" i="5"/>
  <c r="AI71" i="5"/>
  <c r="AJ71" i="5"/>
  <c r="AK71" i="5"/>
  <c r="AL71" i="5"/>
  <c r="AM71" i="5"/>
  <c r="AJ56" i="5"/>
  <c r="AK56" i="5"/>
  <c r="AL56" i="5"/>
  <c r="AM56" i="5"/>
  <c r="AF56" i="5"/>
  <c r="AG56" i="5"/>
  <c r="AH56" i="5"/>
  <c r="AI56" i="5"/>
  <c r="AH433" i="5"/>
  <c r="AI433" i="5"/>
  <c r="AK433" i="5"/>
  <c r="AF433" i="5"/>
  <c r="AG433" i="5"/>
  <c r="AL433" i="5"/>
  <c r="AM433" i="5"/>
  <c r="AJ433" i="5"/>
  <c r="AK84" i="5"/>
  <c r="AM84" i="5"/>
  <c r="AG84" i="5"/>
  <c r="AH84" i="5"/>
  <c r="AF84" i="5"/>
  <c r="AI84" i="5"/>
  <c r="AL84" i="5"/>
  <c r="AJ84" i="5"/>
  <c r="AK171" i="5"/>
  <c r="AL171" i="5"/>
  <c r="AF171" i="5"/>
  <c r="AM171" i="5"/>
  <c r="AG171" i="5"/>
  <c r="AI171" i="5"/>
  <c r="AH171" i="5"/>
  <c r="AJ171" i="5"/>
  <c r="AF34" i="5"/>
  <c r="AG34" i="5"/>
  <c r="AH34" i="5"/>
  <c r="AI34" i="5"/>
  <c r="AJ34" i="5"/>
  <c r="AK34" i="5"/>
  <c r="AL34" i="5"/>
  <c r="AM34" i="5"/>
  <c r="AH13" i="5"/>
  <c r="AI13" i="5"/>
  <c r="AJ13" i="5"/>
  <c r="AK13" i="5"/>
  <c r="AL13" i="5"/>
  <c r="AM13" i="5"/>
  <c r="AF13" i="5"/>
  <c r="AG13" i="5"/>
  <c r="AH529" i="5"/>
  <c r="AK529" i="5"/>
  <c r="AL529" i="5"/>
  <c r="AM529" i="5"/>
  <c r="AJ529" i="5"/>
  <c r="AF529" i="5"/>
  <c r="AG529" i="5"/>
  <c r="AI529" i="5"/>
  <c r="AJ471" i="5"/>
  <c r="AK471" i="5"/>
  <c r="AL471" i="5"/>
  <c r="AM471" i="5"/>
  <c r="AG471" i="5"/>
  <c r="AF471" i="5"/>
  <c r="AH471" i="5"/>
  <c r="AI471" i="5"/>
  <c r="AK158" i="5"/>
  <c r="AL158" i="5"/>
  <c r="AF158" i="5"/>
  <c r="AM158" i="5"/>
  <c r="AG158" i="5"/>
  <c r="AH158" i="5"/>
  <c r="AI158" i="5"/>
  <c r="AJ158" i="5"/>
  <c r="AK91" i="5"/>
  <c r="AM91" i="5"/>
  <c r="AI91" i="5"/>
  <c r="AJ91" i="5"/>
  <c r="AG91" i="5"/>
  <c r="AH91" i="5"/>
  <c r="AL91" i="5"/>
  <c r="AF91" i="5"/>
  <c r="AF15" i="5"/>
  <c r="AG15" i="5"/>
  <c r="AH15" i="5"/>
  <c r="AI15" i="5"/>
  <c r="AJ15" i="5"/>
  <c r="AK15" i="5"/>
  <c r="AL15" i="5"/>
  <c r="AM15" i="5"/>
  <c r="AI533" i="5"/>
  <c r="AJ533" i="5"/>
  <c r="AM533" i="5"/>
  <c r="AF533" i="5"/>
  <c r="AG533" i="5"/>
  <c r="AH533" i="5"/>
  <c r="AK533" i="5"/>
  <c r="AL533" i="5"/>
  <c r="AH438" i="5"/>
  <c r="AI438" i="5"/>
  <c r="AJ438" i="5"/>
  <c r="AK438" i="5"/>
  <c r="AF438" i="5"/>
  <c r="AL438" i="5"/>
  <c r="AM438" i="5"/>
  <c r="AG438" i="5"/>
  <c r="AI155" i="5"/>
  <c r="AJ155" i="5"/>
  <c r="AK155" i="5"/>
  <c r="AL155" i="5"/>
  <c r="AF155" i="5"/>
  <c r="AM155" i="5"/>
  <c r="AG155" i="5"/>
  <c r="AH155" i="5"/>
  <c r="AH170" i="5"/>
  <c r="AJ170" i="5"/>
  <c r="AK170" i="5"/>
  <c r="AL170" i="5"/>
  <c r="AI170" i="5"/>
  <c r="AM170" i="5"/>
  <c r="AG170" i="5"/>
  <c r="AF170" i="5"/>
  <c r="P537" i="5"/>
  <c r="AI537" i="5"/>
  <c r="AJ537" i="5"/>
  <c r="AM537" i="5"/>
  <c r="AF537" i="5"/>
  <c r="AG537" i="5"/>
  <c r="AH537" i="5"/>
  <c r="AK537" i="5"/>
  <c r="AL537" i="5"/>
  <c r="V44" i="5"/>
  <c r="V5" i="5"/>
  <c r="V102" i="5"/>
  <c r="V389" i="5"/>
  <c r="V455" i="5"/>
  <c r="V524" i="5"/>
  <c r="V416" i="5"/>
  <c r="V38" i="5"/>
  <c r="V480" i="5"/>
  <c r="V202" i="5"/>
  <c r="V503" i="5"/>
  <c r="V46" i="5"/>
  <c r="V53" i="5"/>
  <c r="V153" i="5"/>
  <c r="V539" i="5"/>
  <c r="V65" i="5"/>
  <c r="V431" i="5"/>
  <c r="V445" i="5"/>
  <c r="V387" i="5"/>
  <c r="V70" i="5"/>
  <c r="V216" i="5"/>
  <c r="V394" i="5"/>
  <c r="V55" i="5"/>
  <c r="V57" i="5"/>
  <c r="V173" i="5"/>
  <c r="V249" i="5"/>
  <c r="V397" i="5"/>
  <c r="V196" i="5"/>
  <c r="V427" i="5"/>
  <c r="V364" i="5"/>
  <c r="V74" i="5"/>
  <c r="V428" i="5"/>
  <c r="V532" i="5"/>
  <c r="V188" i="5"/>
  <c r="V343" i="5"/>
  <c r="V54" i="5"/>
  <c r="V75" i="5"/>
  <c r="V118" i="5"/>
  <c r="V143" i="5"/>
  <c r="P264" i="5"/>
  <c r="V319" i="5"/>
  <c r="V79" i="5"/>
  <c r="V190" i="5"/>
  <c r="V283" i="5"/>
  <c r="V378" i="5"/>
  <c r="V176" i="5"/>
  <c r="V85" i="5"/>
  <c r="V345" i="5"/>
  <c r="P330" i="5"/>
  <c r="V475" i="5"/>
  <c r="V86" i="5"/>
  <c r="V187" i="5"/>
  <c r="P361" i="5"/>
  <c r="V315" i="5"/>
  <c r="V139" i="5"/>
  <c r="V33" i="5"/>
  <c r="V95" i="5"/>
  <c r="V300" i="5"/>
  <c r="V279" i="5"/>
  <c r="V327" i="5"/>
  <c r="V52" i="5"/>
  <c r="V107" i="5"/>
  <c r="V100" i="5"/>
  <c r="P288" i="5"/>
  <c r="V124" i="5"/>
  <c r="V487" i="5"/>
  <c r="V17" i="5"/>
  <c r="V135" i="5"/>
  <c r="P403" i="5"/>
  <c r="V131" i="5"/>
  <c r="V465" i="5"/>
  <c r="V90" i="5"/>
  <c r="V115" i="5"/>
  <c r="V76" i="5"/>
  <c r="V470" i="5"/>
  <c r="V80" i="5"/>
  <c r="V130" i="5"/>
  <c r="V198" i="5"/>
  <c r="V14" i="5"/>
  <c r="V199" i="5"/>
  <c r="P390" i="5"/>
  <c r="V120" i="5"/>
  <c r="V493" i="5"/>
  <c r="V494" i="5"/>
  <c r="V4" i="5"/>
  <c r="V78" i="5"/>
  <c r="V113" i="5"/>
  <c r="V382" i="5"/>
  <c r="V476" i="5"/>
  <c r="V314" i="5"/>
  <c r="V172" i="5"/>
  <c r="V254" i="5"/>
  <c r="P409" i="5"/>
  <c r="P478" i="5"/>
  <c r="V77" i="5"/>
  <c r="V112" i="5"/>
  <c r="V262" i="5"/>
  <c r="V486" i="5"/>
  <c r="V495" i="5"/>
  <c r="V50" i="5"/>
  <c r="V121" i="5"/>
  <c r="V304" i="5"/>
  <c r="V311" i="5"/>
  <c r="V419" i="5"/>
  <c r="V165" i="5"/>
  <c r="V222" i="5"/>
  <c r="V448" i="5"/>
  <c r="V108" i="5"/>
  <c r="P393" i="5"/>
  <c r="V535" i="5"/>
  <c r="V147" i="5"/>
  <c r="V454" i="5"/>
  <c r="V61" i="5"/>
  <c r="V149" i="5"/>
  <c r="V101" i="5"/>
  <c r="V220" i="5"/>
  <c r="P505" i="5"/>
  <c r="V66" i="5"/>
  <c r="V180" i="5"/>
  <c r="V219" i="5"/>
  <c r="V92" i="5"/>
  <c r="V122" i="5"/>
  <c r="V418" i="5"/>
  <c r="V521" i="5"/>
  <c r="V325" i="5"/>
  <c r="V182" i="5"/>
  <c r="P461" i="5"/>
  <c r="V19" i="5"/>
  <c r="V98" i="5"/>
  <c r="V513" i="5"/>
  <c r="V518" i="5"/>
  <c r="V168" i="5"/>
  <c r="V302" i="5"/>
  <c r="V420" i="5"/>
  <c r="P473" i="5"/>
  <c r="V537" i="5"/>
  <c r="V140" i="5"/>
  <c r="V129" i="5"/>
  <c r="V72" i="5"/>
  <c r="V128" i="5"/>
  <c r="V488" i="5"/>
  <c r="V56" i="5"/>
  <c r="V433" i="5"/>
  <c r="V84" i="5"/>
  <c r="V171" i="5"/>
  <c r="V34" i="5"/>
  <c r="V529" i="5"/>
  <c r="V158" i="5"/>
  <c r="V91" i="5"/>
  <c r="V533" i="5"/>
  <c r="V438" i="5"/>
  <c r="V170" i="5"/>
  <c r="P426" i="5"/>
  <c r="V6" i="5"/>
  <c r="V51" i="5"/>
  <c r="V68" i="5"/>
  <c r="V369" i="5"/>
  <c r="V71" i="5"/>
  <c r="V13" i="5"/>
  <c r="V471" i="5"/>
  <c r="V15" i="5"/>
  <c r="V155" i="5"/>
  <c r="V49" i="5"/>
  <c r="V251" i="5"/>
  <c r="V352" i="5"/>
  <c r="V442" i="5"/>
  <c r="V58" i="5"/>
  <c r="V443" i="5"/>
  <c r="V323" i="5"/>
  <c r="V440" i="5"/>
  <c r="V82" i="5"/>
  <c r="V123" i="5"/>
  <c r="V531" i="5"/>
  <c r="V62" i="5"/>
  <c r="V145" i="5"/>
  <c r="V212" i="5"/>
  <c r="V540" i="5"/>
  <c r="V81" i="5"/>
  <c r="V237" i="5"/>
  <c r="V395" i="5"/>
  <c r="V204" i="5"/>
  <c r="V181" i="5"/>
  <c r="V109" i="5"/>
  <c r="V273" i="5"/>
  <c r="V73" i="5"/>
  <c r="V247" i="5"/>
  <c r="V96" i="5"/>
  <c r="V425" i="5"/>
  <c r="V342" i="5"/>
  <c r="V437" i="5"/>
  <c r="V316" i="5"/>
  <c r="V386" i="5"/>
  <c r="V11" i="5"/>
  <c r="P329" i="5"/>
  <c r="V308" i="5"/>
  <c r="V453" i="5"/>
  <c r="V381" i="5"/>
  <c r="V324" i="5"/>
  <c r="V451" i="5"/>
  <c r="V18" i="5"/>
  <c r="V310" i="5"/>
  <c r="V47" i="5"/>
  <c r="V67" i="5"/>
  <c r="V528" i="5"/>
  <c r="V16" i="5"/>
  <c r="V60" i="5"/>
  <c r="V104" i="5"/>
  <c r="V305" i="5"/>
  <c r="V525" i="5"/>
  <c r="P485" i="5"/>
  <c r="V134" i="5"/>
  <c r="V125" i="5"/>
  <c r="V103" i="5"/>
  <c r="V339" i="5"/>
  <c r="V483" i="5"/>
  <c r="V157" i="5"/>
  <c r="V214" i="5"/>
  <c r="V376" i="5"/>
  <c r="V519" i="5"/>
  <c r="V105" i="5"/>
  <c r="V373" i="5"/>
  <c r="V362" i="5"/>
  <c r="V481" i="5"/>
  <c r="V41" i="5"/>
  <c r="V106" i="5"/>
  <c r="V282" i="5"/>
  <c r="V370" i="5"/>
  <c r="V69" i="5"/>
  <c r="V161" i="5"/>
  <c r="V211" i="5"/>
  <c r="V405" i="5"/>
  <c r="V371" i="5"/>
  <c r="V42" i="5"/>
  <c r="V127" i="5"/>
  <c r="V331" i="5"/>
  <c r="V336" i="5"/>
  <c r="P541" i="5"/>
  <c r="V45" i="5"/>
  <c r="V218" i="5"/>
  <c r="V241" i="5"/>
  <c r="V263" i="5"/>
  <c r="V200" i="5"/>
  <c r="V207" i="5"/>
  <c r="V93" i="5"/>
  <c r="V399" i="5"/>
  <c r="V318" i="5"/>
  <c r="V363" i="5"/>
  <c r="V192" i="5"/>
  <c r="V194" i="5"/>
  <c r="V136" i="5"/>
  <c r="V126" i="5"/>
  <c r="V12" i="5"/>
  <c r="V37" i="5"/>
  <c r="V59" i="5"/>
  <c r="V64" i="5"/>
  <c r="V63" i="5"/>
  <c r="V43" i="5"/>
  <c r="V514" i="5"/>
  <c r="V48" i="5"/>
  <c r="V464" i="5"/>
  <c r="V463" i="5"/>
  <c r="V22" i="5"/>
  <c r="V288" i="5"/>
  <c r="V505" i="5"/>
  <c r="V330" i="5"/>
  <c r="P415" i="5"/>
  <c r="V415" i="5"/>
  <c r="V390" i="5"/>
  <c r="V461" i="5"/>
  <c r="P492" i="5"/>
  <c r="V492" i="5"/>
  <c r="V403" i="5"/>
  <c r="V426" i="5"/>
  <c r="Y226" i="5"/>
  <c r="V409" i="5"/>
  <c r="V361" i="5"/>
  <c r="V329" i="5"/>
  <c r="V473" i="5"/>
  <c r="V541" i="5"/>
  <c r="Y268" i="5"/>
  <c r="P423" i="5"/>
  <c r="V423" i="5"/>
  <c r="V485" i="5"/>
  <c r="P422" i="5"/>
  <c r="V422" i="5"/>
  <c r="V478" i="5"/>
  <c r="V264" i="5"/>
  <c r="Y223" i="5"/>
  <c r="V393" i="5"/>
  <c r="Y267" i="5"/>
  <c r="P539" i="5"/>
  <c r="P394" i="5"/>
  <c r="P74" i="5"/>
  <c r="P78" i="5"/>
  <c r="P113" i="5"/>
  <c r="P382" i="5"/>
  <c r="P314" i="5"/>
  <c r="P254" i="5"/>
  <c r="P112" i="5"/>
  <c r="P486" i="5"/>
  <c r="P50" i="5"/>
  <c r="P311" i="5"/>
  <c r="P165" i="5"/>
  <c r="P448" i="5"/>
  <c r="P108" i="5"/>
  <c r="P535" i="5"/>
  <c r="P454" i="5"/>
  <c r="P101" i="5"/>
  <c r="P180" i="5"/>
  <c r="P418" i="5"/>
  <c r="P182" i="5"/>
  <c r="P19" i="5"/>
  <c r="P98" i="5"/>
  <c r="P168" i="5"/>
  <c r="P302" i="5"/>
  <c r="P420" i="5"/>
  <c r="P6" i="5"/>
  <c r="P51" i="5"/>
  <c r="P68" i="5"/>
  <c r="P369" i="5"/>
  <c r="P71" i="5"/>
  <c r="P56" i="5"/>
  <c r="P433" i="5"/>
  <c r="P84" i="5"/>
  <c r="P171" i="5"/>
  <c r="P34" i="5"/>
  <c r="P13" i="5"/>
  <c r="P529" i="5"/>
  <c r="P471" i="5"/>
  <c r="P158" i="5"/>
  <c r="P91" i="5"/>
  <c r="P15" i="5"/>
  <c r="P533" i="5"/>
  <c r="P438" i="5"/>
  <c r="P155" i="5"/>
  <c r="P170" i="5"/>
  <c r="P173" i="5"/>
  <c r="P196" i="5"/>
  <c r="P49" i="5"/>
  <c r="P352" i="5"/>
  <c r="P58" i="5"/>
  <c r="P323" i="5"/>
  <c r="P62" i="5"/>
  <c r="P212" i="5"/>
  <c r="P540" i="5"/>
  <c r="P81" i="5"/>
  <c r="P395" i="5"/>
  <c r="P204" i="5"/>
  <c r="P181" i="5"/>
  <c r="P273" i="5"/>
  <c r="P73" i="5"/>
  <c r="P425" i="5"/>
  <c r="P342" i="5"/>
  <c r="P453" i="5"/>
  <c r="P381" i="5"/>
  <c r="P451" i="5"/>
  <c r="P310" i="5"/>
  <c r="P53" i="5"/>
  <c r="P445" i="5"/>
  <c r="P55" i="5"/>
  <c r="P251" i="5"/>
  <c r="P442" i="5"/>
  <c r="P443" i="5"/>
  <c r="P440" i="5"/>
  <c r="P82" i="5"/>
  <c r="P123" i="5"/>
  <c r="P531" i="5"/>
  <c r="P145" i="5"/>
  <c r="P237" i="5"/>
  <c r="P109" i="5"/>
  <c r="P247" i="5"/>
  <c r="P96" i="5"/>
  <c r="P437" i="5"/>
  <c r="P316" i="5"/>
  <c r="P386" i="5"/>
  <c r="P11" i="5"/>
  <c r="P308" i="5"/>
  <c r="P324" i="5"/>
  <c r="P18" i="5"/>
  <c r="P60" i="5"/>
  <c r="P47" i="5"/>
  <c r="P104" i="5"/>
  <c r="P44" i="5"/>
  <c r="P140" i="5"/>
  <c r="P305" i="5"/>
  <c r="P129" i="5"/>
  <c r="P525" i="5"/>
  <c r="P67" i="5"/>
  <c r="P131" i="5"/>
  <c r="P528" i="5"/>
  <c r="P72" i="5"/>
  <c r="P465" i="5"/>
  <c r="P134" i="5"/>
  <c r="P315" i="5"/>
  <c r="P128" i="5"/>
  <c r="P139" i="5"/>
  <c r="P16" i="5"/>
  <c r="P90" i="5"/>
  <c r="P488" i="5"/>
  <c r="P33" i="5"/>
  <c r="P115" i="5"/>
  <c r="P95" i="5"/>
  <c r="P65" i="5"/>
  <c r="P125" i="5"/>
  <c r="P103" i="5"/>
  <c r="P483" i="5"/>
  <c r="P157" i="5"/>
  <c r="P376" i="5"/>
  <c r="P373" i="5"/>
  <c r="P481" i="5"/>
  <c r="P41" i="5"/>
  <c r="P282" i="5"/>
  <c r="P69" i="5"/>
  <c r="P211" i="5"/>
  <c r="P371" i="5"/>
  <c r="P127" i="5"/>
  <c r="P336" i="5"/>
  <c r="P45" i="5"/>
  <c r="P218" i="5"/>
  <c r="P263" i="5"/>
  <c r="P207" i="5"/>
  <c r="P318" i="5"/>
  <c r="P363" i="5"/>
  <c r="P136" i="5"/>
  <c r="P37" i="5"/>
  <c r="P46" i="5"/>
  <c r="P431" i="5"/>
  <c r="P57" i="5"/>
  <c r="P339" i="5"/>
  <c r="P214" i="5"/>
  <c r="P519" i="5"/>
  <c r="P105" i="5"/>
  <c r="P362" i="5"/>
  <c r="P106" i="5"/>
  <c r="P370" i="5"/>
  <c r="P161" i="5"/>
  <c r="P405" i="5"/>
  <c r="P42" i="5"/>
  <c r="P331" i="5"/>
  <c r="P241" i="5"/>
  <c r="S547" i="5"/>
  <c r="P200" i="5"/>
  <c r="P93" i="5"/>
  <c r="P399" i="5"/>
  <c r="P192" i="5"/>
  <c r="P194" i="5"/>
  <c r="P126" i="5"/>
  <c r="P12" i="5"/>
  <c r="P76" i="5"/>
  <c r="P59" i="5"/>
  <c r="P64" i="5"/>
  <c r="P63" i="5"/>
  <c r="P43" i="5"/>
  <c r="P514" i="5"/>
  <c r="P48" i="5"/>
  <c r="P464" i="5"/>
  <c r="P102" i="5"/>
  <c r="P389" i="5"/>
  <c r="P463" i="5"/>
  <c r="P455" i="5"/>
  <c r="P524" i="5"/>
  <c r="P416" i="5"/>
  <c r="P22" i="5"/>
  <c r="P38" i="5"/>
  <c r="P480" i="5"/>
  <c r="P202" i="5"/>
  <c r="P503" i="5"/>
  <c r="P216" i="5"/>
  <c r="P364" i="5"/>
  <c r="P188" i="5"/>
  <c r="P54" i="5"/>
  <c r="P118" i="5"/>
  <c r="P283" i="5"/>
  <c r="P176" i="5"/>
  <c r="P345" i="5"/>
  <c r="P475" i="5"/>
  <c r="P187" i="5"/>
  <c r="P153" i="5"/>
  <c r="P70" i="5"/>
  <c r="P397" i="5"/>
  <c r="P427" i="5"/>
  <c r="P532" i="5"/>
  <c r="P343" i="5"/>
  <c r="P75" i="5"/>
  <c r="P143" i="5"/>
  <c r="P319" i="5"/>
  <c r="P79" i="5"/>
  <c r="P190" i="5"/>
  <c r="P378" i="5"/>
  <c r="P85" i="5"/>
  <c r="P86" i="5"/>
  <c r="P300" i="5"/>
  <c r="P470" i="5"/>
  <c r="P80" i="5"/>
  <c r="P279" i="5"/>
  <c r="P327" i="5"/>
  <c r="P52" i="5"/>
  <c r="P107" i="5"/>
  <c r="P100" i="5"/>
  <c r="P130" i="5"/>
  <c r="P198" i="5"/>
  <c r="P14" i="5"/>
  <c r="P199" i="5"/>
  <c r="P120" i="5"/>
  <c r="P124" i="5"/>
  <c r="P493" i="5"/>
  <c r="P494" i="5"/>
  <c r="P487" i="5"/>
  <c r="P4" i="5"/>
  <c r="P17" i="5"/>
  <c r="P135" i="5"/>
  <c r="P387" i="5"/>
  <c r="P249" i="5"/>
  <c r="P428" i="5"/>
  <c r="P476" i="5"/>
  <c r="P172" i="5"/>
  <c r="P77" i="5"/>
  <c r="P262" i="5"/>
  <c r="P495" i="5"/>
  <c r="P121" i="5"/>
  <c r="P304" i="5"/>
  <c r="P419" i="5"/>
  <c r="P222" i="5"/>
  <c r="P147" i="5"/>
  <c r="P61" i="5"/>
  <c r="P149" i="5"/>
  <c r="P220" i="5"/>
  <c r="P66" i="5"/>
  <c r="P219" i="5"/>
  <c r="P92" i="5"/>
  <c r="P122" i="5"/>
  <c r="P521" i="5"/>
  <c r="P325" i="5"/>
  <c r="P513" i="5"/>
  <c r="P518" i="5"/>
  <c r="H194" i="9" l="1"/>
  <c r="H117" i="9"/>
  <c r="H29" i="9"/>
  <c r="H6" i="9"/>
  <c r="H345" i="9"/>
  <c r="H342" i="9"/>
  <c r="H222" i="9"/>
  <c r="BX545" i="5"/>
  <c r="BY545" i="5"/>
  <c r="H362" i="9"/>
  <c r="BG271" i="5"/>
  <c r="AN88" i="5"/>
  <c r="H321" i="9"/>
  <c r="H221" i="9"/>
  <c r="H220" i="9"/>
  <c r="H301" i="9"/>
  <c r="H202" i="9"/>
  <c r="H123" i="9"/>
  <c r="H358" i="9"/>
  <c r="H116" i="9"/>
  <c r="H397" i="9"/>
  <c r="H110" i="9"/>
  <c r="H107" i="9"/>
  <c r="H412" i="9"/>
  <c r="H149" i="9"/>
  <c r="H502" i="9"/>
  <c r="H233" i="9"/>
  <c r="H369" i="9"/>
  <c r="H182" i="9"/>
  <c r="H164" i="9"/>
  <c r="H81" i="9"/>
  <c r="H270" i="9"/>
  <c r="H21" i="9"/>
  <c r="H459" i="9"/>
  <c r="H497" i="9"/>
  <c r="H53" i="9"/>
  <c r="H331" i="9"/>
  <c r="H526" i="9"/>
  <c r="H201" i="9"/>
  <c r="H299" i="9"/>
  <c r="H273" i="9"/>
  <c r="H15" i="9"/>
  <c r="H261" i="9"/>
  <c r="H455" i="9"/>
  <c r="H5" i="9"/>
  <c r="H510" i="9"/>
  <c r="H336" i="9"/>
  <c r="H43" i="9"/>
  <c r="H466" i="9"/>
  <c r="H98" i="9"/>
  <c r="H269" i="9"/>
  <c r="H420" i="9"/>
  <c r="H224" i="9"/>
  <c r="H480" i="9"/>
  <c r="H440" i="9"/>
  <c r="H65" i="9"/>
  <c r="H219" i="9"/>
  <c r="H367" i="9"/>
  <c r="H163" i="9"/>
  <c r="H148" i="9"/>
  <c r="H329" i="9"/>
  <c r="H254" i="9"/>
  <c r="H199" i="9"/>
  <c r="H468" i="9"/>
  <c r="H453" i="9"/>
  <c r="H503" i="9"/>
  <c r="H298" i="9"/>
  <c r="H88" i="9"/>
  <c r="H196" i="9"/>
  <c r="H349" i="9"/>
  <c r="H385" i="9"/>
  <c r="H207" i="9"/>
  <c r="H407" i="9"/>
  <c r="H394" i="9"/>
  <c r="H25" i="9"/>
  <c r="H524" i="9"/>
  <c r="H512" i="9"/>
  <c r="H352" i="9"/>
  <c r="H434" i="9"/>
  <c r="H91" i="9"/>
  <c r="H463" i="9"/>
  <c r="H325" i="9"/>
  <c r="H232" i="9"/>
  <c r="H54" i="9"/>
  <c r="H481" i="9"/>
  <c r="H471" i="9"/>
  <c r="H3" i="9"/>
  <c r="H275" i="9"/>
  <c r="H203" i="9"/>
  <c r="H18" i="9"/>
  <c r="H121" i="9"/>
  <c r="H204" i="9"/>
  <c r="H380" i="9"/>
  <c r="H402" i="9"/>
  <c r="H390" i="9"/>
  <c r="H310" i="9"/>
  <c r="H491" i="9"/>
  <c r="H318" i="9"/>
  <c r="H350" i="9"/>
  <c r="H357" i="9"/>
  <c r="H240" i="9"/>
  <c r="H225" i="9"/>
  <c r="H333" i="9"/>
  <c r="H488" i="9"/>
  <c r="H198" i="9"/>
  <c r="H100" i="9"/>
  <c r="H396" i="9"/>
  <c r="H13" i="9"/>
  <c r="H89" i="9"/>
  <c r="H286" i="9"/>
  <c r="H442" i="9"/>
  <c r="H302" i="9"/>
  <c r="H382" i="9"/>
  <c r="H128" i="9"/>
  <c r="H464" i="9"/>
  <c r="H47" i="9"/>
  <c r="H138" i="9"/>
  <c r="H72" i="9"/>
  <c r="H92" i="9"/>
  <c r="H521" i="9"/>
  <c r="H248" i="9"/>
  <c r="H504" i="9"/>
  <c r="H414" i="9"/>
  <c r="H246" i="9"/>
  <c r="H80" i="9"/>
  <c r="H487" i="9"/>
  <c r="H161" i="9"/>
  <c r="H71" i="9"/>
  <c r="H157" i="9"/>
  <c r="H114" i="9"/>
  <c r="H75" i="9"/>
  <c r="H12" i="9"/>
  <c r="H501" i="9"/>
  <c r="H238" i="9"/>
  <c r="H490" i="9"/>
  <c r="H190" i="9"/>
  <c r="H432" i="9"/>
  <c r="H230" i="9"/>
  <c r="H339" i="9"/>
  <c r="H330" i="9"/>
  <c r="H341" i="9"/>
  <c r="H422" i="9"/>
  <c r="H285" i="9"/>
  <c r="H259" i="9"/>
  <c r="H489" i="9"/>
  <c r="H272" i="9"/>
  <c r="H38" i="9"/>
  <c r="H429" i="9"/>
  <c r="H218" i="9"/>
  <c r="H187" i="9"/>
  <c r="H226" i="9"/>
  <c r="H136" i="9"/>
  <c r="H433" i="9"/>
  <c r="H184" i="9"/>
  <c r="H42" i="9"/>
  <c r="H365" i="9"/>
  <c r="H482" i="9"/>
  <c r="H48" i="9"/>
  <c r="H156" i="9"/>
  <c r="H178" i="9"/>
  <c r="H451" i="9"/>
  <c r="H94" i="9"/>
  <c r="H159" i="9"/>
  <c r="H236" i="9"/>
  <c r="H458" i="9"/>
  <c r="H383" i="9"/>
  <c r="H297" i="9"/>
  <c r="H160" i="9"/>
  <c r="H34" i="9"/>
  <c r="H120" i="9"/>
  <c r="BF249" i="5"/>
  <c r="H335" i="9"/>
  <c r="BF228" i="5"/>
  <c r="H356" i="9"/>
  <c r="BF140" i="5"/>
  <c r="H177" i="9"/>
  <c r="BF18" i="5"/>
  <c r="H139" i="9"/>
  <c r="BF394" i="5"/>
  <c r="H251" i="9"/>
  <c r="BF409" i="5"/>
  <c r="H281" i="9"/>
  <c r="BF431" i="5"/>
  <c r="H322" i="9"/>
  <c r="BF345" i="5"/>
  <c r="H154" i="9"/>
  <c r="BF302" i="5"/>
  <c r="H69" i="9"/>
  <c r="BF190" i="5"/>
  <c r="H421" i="9"/>
  <c r="BF410" i="5"/>
  <c r="H282" i="9"/>
  <c r="BF31" i="5"/>
  <c r="H249" i="9"/>
  <c r="BF63" i="5"/>
  <c r="H237" i="9"/>
  <c r="BF318" i="5"/>
  <c r="H105" i="9"/>
  <c r="H294" i="9"/>
  <c r="H478" i="9"/>
  <c r="H278" i="9"/>
  <c r="H84" i="9"/>
  <c r="H476" i="9"/>
  <c r="H332" i="9"/>
  <c r="H485" i="9"/>
  <c r="H27" i="9"/>
  <c r="H31" i="9"/>
  <c r="H4" i="9"/>
  <c r="H11" i="9"/>
  <c r="H267" i="9"/>
  <c r="H129" i="9"/>
  <c r="H176" i="9"/>
  <c r="H104" i="9"/>
  <c r="H378" i="9"/>
  <c r="H438" i="9"/>
  <c r="H327" i="9"/>
  <c r="H377" i="9"/>
  <c r="H536" i="9"/>
  <c r="H444" i="9"/>
  <c r="H7" i="9"/>
  <c r="H426" i="9"/>
  <c r="H150" i="9"/>
  <c r="H454" i="9"/>
  <c r="H30" i="9"/>
  <c r="H234" i="9"/>
  <c r="H245" i="9"/>
  <c r="H173" i="9"/>
  <c r="H338" i="9"/>
  <c r="H538" i="9"/>
  <c r="H320" i="9"/>
  <c r="H56" i="9"/>
  <c r="H37" i="9"/>
  <c r="H77" i="9"/>
  <c r="H73" i="9"/>
  <c r="H146" i="9"/>
  <c r="H256" i="9"/>
  <c r="H211" i="9"/>
  <c r="H507" i="9"/>
  <c r="H469" i="9"/>
  <c r="H467" i="9"/>
  <c r="H257" i="9"/>
  <c r="H28" i="9"/>
  <c r="H449" i="9"/>
  <c r="H435" i="9"/>
  <c r="H534" i="9"/>
  <c r="H479" i="9"/>
  <c r="H183" i="9"/>
  <c r="H445" i="9"/>
  <c r="H292" i="9"/>
  <c r="H430" i="9"/>
  <c r="H439" i="9"/>
  <c r="H450" i="9"/>
  <c r="H309" i="9"/>
  <c r="H9" i="9"/>
  <c r="H227" i="9"/>
  <c r="H131" i="9"/>
  <c r="H541" i="9"/>
  <c r="H145" i="9"/>
  <c r="H70" i="9"/>
  <c r="H140" i="9"/>
  <c r="H525" i="9"/>
  <c r="H312" i="9"/>
  <c r="H144" i="9"/>
  <c r="H346" i="9"/>
  <c r="H328" i="9"/>
  <c r="H495" i="9"/>
  <c r="H423" i="9"/>
  <c r="H276" i="9"/>
  <c r="H41" i="9"/>
  <c r="H52" i="9"/>
  <c r="H351" i="9"/>
  <c r="H268" i="9"/>
  <c r="H359" i="9"/>
  <c r="H142" i="9"/>
  <c r="H279" i="9"/>
  <c r="H93" i="9"/>
  <c r="H415" i="9"/>
  <c r="H535" i="9"/>
  <c r="H274" i="9"/>
  <c r="H376" i="9"/>
  <c r="H111" i="9"/>
  <c r="H35" i="9"/>
  <c r="H493" i="9"/>
  <c r="H103" i="9"/>
  <c r="H266" i="9"/>
  <c r="H399" i="9"/>
  <c r="H57" i="9"/>
  <c r="H90" i="9"/>
  <c r="H337" i="9"/>
  <c r="H239" i="9"/>
  <c r="H58" i="9"/>
  <c r="H20" i="9"/>
  <c r="H437" i="9"/>
  <c r="H443" i="9"/>
  <c r="H400" i="9"/>
  <c r="H417" i="9"/>
  <c r="H271" i="9"/>
  <c r="H19" i="9"/>
  <c r="H247" i="9"/>
  <c r="H229" i="9"/>
  <c r="H441" i="9"/>
  <c r="H83" i="9"/>
  <c r="H95" i="9"/>
  <c r="H2" i="9"/>
  <c r="H527" i="9"/>
  <c r="H465" i="9"/>
  <c r="H347" i="9"/>
  <c r="H151" i="9"/>
  <c r="H348" i="9"/>
  <c r="H523" i="9"/>
  <c r="H167" i="9"/>
  <c r="H486" i="9"/>
  <c r="H373" i="9"/>
  <c r="H494" i="9"/>
  <c r="H291" i="9"/>
  <c r="H97" i="9"/>
  <c r="H162" i="9"/>
  <c r="H410" i="9"/>
  <c r="H496" i="9"/>
  <c r="H303" i="9"/>
  <c r="H258" i="9"/>
  <c r="H195" i="9"/>
  <c r="H189" i="9"/>
  <c r="H314" i="9"/>
  <c r="H477" i="9"/>
  <c r="H403" i="9"/>
  <c r="H457" i="9"/>
  <c r="H401" i="9"/>
  <c r="H389" i="9"/>
  <c r="H511" i="9"/>
  <c r="H334" i="9"/>
  <c r="H36" i="9"/>
  <c r="H364" i="9"/>
  <c r="H475" i="9"/>
  <c r="H262" i="9"/>
  <c r="H168" i="9"/>
  <c r="H537" i="9"/>
  <c r="H231" i="9"/>
  <c r="BF289" i="5"/>
  <c r="H33" i="9"/>
  <c r="BF365" i="5"/>
  <c r="H197" i="9"/>
  <c r="BF167" i="5"/>
  <c r="H46" i="9"/>
  <c r="BF396" i="5"/>
  <c r="H253" i="9"/>
  <c r="BF333" i="5"/>
  <c r="H133" i="9"/>
  <c r="H293" i="9"/>
  <c r="H416" i="9"/>
  <c r="H387" i="9"/>
  <c r="BF189" i="5"/>
  <c r="H461" i="9"/>
  <c r="BF53" i="5"/>
  <c r="H188" i="9"/>
  <c r="BF188" i="5"/>
  <c r="H143" i="9"/>
  <c r="BF152" i="5"/>
  <c r="H141" i="9"/>
  <c r="H447" i="9"/>
  <c r="H118" i="9"/>
  <c r="H180" i="9"/>
  <c r="H244" i="9"/>
  <c r="H74" i="9"/>
  <c r="H175" i="9"/>
  <c r="H132" i="9"/>
  <c r="H300" i="9"/>
  <c r="H542" i="9"/>
  <c r="H371" i="9"/>
  <c r="H241" i="9"/>
  <c r="H462" i="9"/>
  <c r="H386" i="9"/>
  <c r="H411" i="9"/>
  <c r="H315" i="9"/>
  <c r="H436" i="9"/>
  <c r="H250" i="9"/>
  <c r="H519" i="9"/>
  <c r="H372" i="9"/>
  <c r="H472" i="9"/>
  <c r="H460" i="9"/>
  <c r="H76" i="9"/>
  <c r="H82" i="9"/>
  <c r="H319" i="9"/>
  <c r="H277" i="9"/>
  <c r="H313" i="9"/>
  <c r="H158" i="9"/>
  <c r="H391" i="9"/>
  <c r="H287" i="9"/>
  <c r="H395" i="9"/>
  <c r="H155" i="9"/>
  <c r="H398" i="9"/>
  <c r="H206" i="9"/>
  <c r="H427" i="9"/>
  <c r="H388" i="9"/>
  <c r="H370" i="9"/>
  <c r="T2" i="3"/>
  <c r="S19" i="3"/>
  <c r="AN174" i="5"/>
  <c r="AN151" i="5"/>
  <c r="AN205" i="5"/>
  <c r="G268" i="3"/>
  <c r="F268" i="3"/>
  <c r="BF4" i="5"/>
  <c r="AA551" i="5"/>
  <c r="AA547" i="5"/>
  <c r="BF243" i="5"/>
  <c r="BF467" i="5"/>
  <c r="BF470" i="5"/>
  <c r="BF504" i="5"/>
  <c r="BF239" i="5"/>
  <c r="BF448" i="5"/>
  <c r="BF343" i="5"/>
  <c r="BF232" i="5"/>
  <c r="BF450" i="5"/>
  <c r="BF214" i="5"/>
  <c r="BF292" i="5"/>
  <c r="BF459" i="5"/>
  <c r="BF373" i="5"/>
  <c r="BF508" i="5"/>
  <c r="BF517" i="5"/>
  <c r="BF295" i="5"/>
  <c r="BF472" i="5"/>
  <c r="BF524" i="5"/>
  <c r="BF442" i="5"/>
  <c r="BF415" i="5"/>
  <c r="BF319" i="5"/>
  <c r="BF261" i="5"/>
  <c r="BF454" i="5"/>
  <c r="BF390" i="5"/>
  <c r="BF338" i="5"/>
  <c r="BF403" i="5"/>
  <c r="BF217" i="5"/>
  <c r="BF344" i="5"/>
  <c r="BF328" i="5"/>
  <c r="BF236" i="5"/>
  <c r="BF298" i="5"/>
  <c r="BF526" i="5"/>
  <c r="BF268" i="5"/>
  <c r="BF419" i="5"/>
  <c r="BF529" i="5"/>
  <c r="BF426" i="5"/>
  <c r="BF531" i="5"/>
  <c r="BF360" i="5"/>
  <c r="BF539" i="5"/>
  <c r="BF288" i="5"/>
  <c r="BF314" i="5"/>
  <c r="BG254" i="5"/>
  <c r="BG261" i="5"/>
  <c r="BF381" i="5"/>
  <c r="BG255" i="5"/>
  <c r="BF247" i="5"/>
  <c r="BF294" i="5"/>
  <c r="BF257" i="5"/>
  <c r="BF293" i="5"/>
  <c r="BF283" i="5"/>
  <c r="BF347" i="5"/>
  <c r="BF363" i="5"/>
  <c r="BG258" i="5"/>
  <c r="BG295" i="5"/>
  <c r="BF275" i="5"/>
  <c r="BF503" i="5"/>
  <c r="BF533" i="5"/>
  <c r="BF325" i="5"/>
  <c r="BF451" i="5"/>
  <c r="BF376" i="5"/>
  <c r="BF433" i="5"/>
  <c r="BF482" i="5"/>
  <c r="BF375" i="5"/>
  <c r="BF306" i="5"/>
  <c r="BF380" i="5"/>
  <c r="BF230" i="5"/>
  <c r="BF216" i="5"/>
  <c r="BF466" i="5"/>
  <c r="BF446" i="5"/>
  <c r="BF537" i="5"/>
  <c r="BF520" i="5"/>
  <c r="BF509" i="5"/>
  <c r="BF445" i="5"/>
  <c r="BF346" i="5"/>
  <c r="BF227" i="5"/>
  <c r="BF308" i="5"/>
  <c r="BF414" i="5"/>
  <c r="BF348" i="5"/>
  <c r="BF449" i="5"/>
  <c r="BF395" i="5"/>
  <c r="BF282" i="5"/>
  <c r="BF404" i="5"/>
  <c r="BF488" i="5"/>
  <c r="BF382" i="5"/>
  <c r="BF353" i="5"/>
  <c r="BF393" i="5"/>
  <c r="BF398" i="5"/>
  <c r="BF297" i="5"/>
  <c r="BF229" i="5"/>
  <c r="BF331" i="5"/>
  <c r="BF226" i="5"/>
  <c r="BF501" i="5"/>
  <c r="BF496" i="5"/>
  <c r="BF388" i="5"/>
  <c r="BF237" i="5"/>
  <c r="BF392" i="5"/>
  <c r="BF405" i="5"/>
  <c r="BF427" i="5"/>
  <c r="BF309" i="5"/>
  <c r="BF280" i="5"/>
  <c r="BF422" i="5"/>
  <c r="BF270" i="5"/>
  <c r="BF364" i="5"/>
  <c r="BF474" i="5"/>
  <c r="BF356" i="5"/>
  <c r="BF452" i="5"/>
  <c r="BF525" i="5"/>
  <c r="BF272" i="5"/>
  <c r="BF307" i="5"/>
  <c r="BF330" i="5"/>
  <c r="BF335" i="5"/>
  <c r="BF400" i="5"/>
  <c r="BG277" i="5"/>
  <c r="BG325" i="5"/>
  <c r="BF351" i="5"/>
  <c r="BF285" i="5"/>
  <c r="BG256" i="5"/>
  <c r="BG292" i="5"/>
  <c r="BF299" i="5"/>
  <c r="BF479" i="5"/>
  <c r="BF349" i="5"/>
  <c r="BF254" i="5"/>
  <c r="BF428" i="5"/>
  <c r="BG251" i="5"/>
  <c r="BG282" i="5"/>
  <c r="BF296" i="5"/>
  <c r="BF377" i="5"/>
  <c r="BF368" i="5"/>
  <c r="BF519" i="5"/>
  <c r="BF321" i="5"/>
  <c r="BF408" i="5"/>
  <c r="BF322" i="5"/>
  <c r="BF250" i="5"/>
  <c r="BF379" i="5"/>
  <c r="BF248" i="5"/>
  <c r="BF265" i="5"/>
  <c r="BF421" i="5"/>
  <c r="BG234" i="5"/>
  <c r="BF234" i="5"/>
  <c r="BF262" i="5"/>
  <c r="BF301" i="5"/>
  <c r="BF538" i="5"/>
  <c r="BF534" i="5"/>
  <c r="BF354" i="5"/>
  <c r="BF527" i="5"/>
  <c r="BF258" i="5"/>
  <c r="BF536" i="5"/>
  <c r="BF412" i="5"/>
  <c r="BF492" i="5"/>
  <c r="BF478" i="5"/>
  <c r="BF486" i="5"/>
  <c r="BG266" i="5"/>
  <c r="BG305" i="5"/>
  <c r="BF532" i="5"/>
  <c r="BF350" i="5"/>
  <c r="BF332" i="5"/>
  <c r="BF246" i="5"/>
  <c r="BF437" i="5"/>
  <c r="BF320" i="5"/>
  <c r="BF225" i="5"/>
  <c r="BF435" i="5"/>
  <c r="BF518" i="5"/>
  <c r="BF535" i="5"/>
  <c r="BF432" i="5"/>
  <c r="BF277" i="5"/>
  <c r="BF323" i="5"/>
  <c r="BF476" i="5"/>
  <c r="BF355" i="5"/>
  <c r="BF457" i="5"/>
  <c r="BF413" i="5"/>
  <c r="BF464" i="5"/>
  <c r="BF528" i="5"/>
  <c r="BF475" i="5"/>
  <c r="BF458" i="5"/>
  <c r="BF266" i="5"/>
  <c r="BF315" i="5"/>
  <c r="BF240" i="5"/>
  <c r="BF276" i="5"/>
  <c r="BF231" i="5"/>
  <c r="BF477" i="5"/>
  <c r="BF411" i="5"/>
  <c r="BF473" i="5"/>
  <c r="BG259" i="5"/>
  <c r="BG267" i="5"/>
  <c r="BG268" i="5"/>
  <c r="BG273" i="5"/>
  <c r="BG217" i="5"/>
  <c r="BG250" i="5"/>
  <c r="Z547" i="5"/>
  <c r="B45" i="3" s="1"/>
  <c r="D173" i="3"/>
  <c r="AN164" i="5"/>
  <c r="C3" i="6"/>
  <c r="B14" i="6"/>
  <c r="F7" i="6"/>
  <c r="J7" i="6"/>
  <c r="G7" i="6"/>
  <c r="I7" i="6"/>
  <c r="H7" i="6"/>
  <c r="E3" i="6"/>
  <c r="D3" i="6"/>
  <c r="C7" i="6"/>
  <c r="E7" i="6"/>
  <c r="J3" i="6"/>
  <c r="F3" i="6"/>
  <c r="D7" i="6"/>
  <c r="G3" i="6"/>
  <c r="I3" i="6"/>
  <c r="H3" i="6"/>
  <c r="AN116" i="5"/>
  <c r="AN159" i="5"/>
  <c r="AN146" i="5"/>
  <c r="AN184" i="5"/>
  <c r="AN169" i="5"/>
  <c r="AN410" i="5"/>
  <c r="AN189" i="5"/>
  <c r="AN83" i="5"/>
  <c r="AN167" i="5"/>
  <c r="AN27" i="5"/>
  <c r="AN162" i="5"/>
  <c r="AN35" i="5"/>
  <c r="AN21" i="5"/>
  <c r="AN210" i="5"/>
  <c r="AN209" i="5"/>
  <c r="AN137" i="5"/>
  <c r="AN152" i="5"/>
  <c r="AN434" i="5"/>
  <c r="AN178" i="5"/>
  <c r="AN150" i="5"/>
  <c r="AN185" i="5"/>
  <c r="AN133" i="5"/>
  <c r="AN28" i="5"/>
  <c r="AQ548" i="5"/>
  <c r="B31" i="3"/>
  <c r="B32" i="3" s="1"/>
  <c r="B33" i="3" s="1"/>
  <c r="AN26" i="5"/>
  <c r="AN403" i="5"/>
  <c r="AN315" i="5"/>
  <c r="AN485" i="5"/>
  <c r="AN96" i="5"/>
  <c r="AN199" i="5"/>
  <c r="AN130" i="5"/>
  <c r="AN473" i="5"/>
  <c r="AN486" i="5"/>
  <c r="AN222" i="5"/>
  <c r="AN343" i="5"/>
  <c r="AN345" i="5"/>
  <c r="AN471" i="5"/>
  <c r="AN529" i="5"/>
  <c r="AN423" i="5"/>
  <c r="AN200" i="5"/>
  <c r="AN192" i="5"/>
  <c r="AN33" i="5"/>
  <c r="AN465" i="5"/>
  <c r="AN361" i="5"/>
  <c r="AN140" i="5"/>
  <c r="AN11" i="5"/>
  <c r="AN73" i="5"/>
  <c r="AN81" i="5"/>
  <c r="AN145" i="5"/>
  <c r="AN440" i="5"/>
  <c r="AN442" i="5"/>
  <c r="AN216" i="5"/>
  <c r="AN17" i="5"/>
  <c r="AN120" i="5"/>
  <c r="AN176" i="5"/>
  <c r="AN532" i="5"/>
  <c r="AN431" i="5"/>
  <c r="AN247" i="5"/>
  <c r="AN15" i="5"/>
  <c r="AN34" i="5"/>
  <c r="AN71" i="5"/>
  <c r="AN51" i="5"/>
  <c r="AN66" i="5"/>
  <c r="AN254" i="5"/>
  <c r="AN487" i="5"/>
  <c r="AN300" i="5"/>
  <c r="AN70" i="5"/>
  <c r="AN19" i="5"/>
  <c r="AN418" i="5"/>
  <c r="AN311" i="5"/>
  <c r="AN50" i="5"/>
  <c r="AN409" i="5"/>
  <c r="AN78" i="5"/>
  <c r="AN279" i="5"/>
  <c r="AN249" i="5"/>
  <c r="AN86" i="5"/>
  <c r="AN319" i="5"/>
  <c r="AN54" i="5"/>
  <c r="AN55" i="5"/>
  <c r="AN480" i="5"/>
  <c r="AN22" i="5"/>
  <c r="AN63" i="5"/>
  <c r="AN59" i="5"/>
  <c r="AN42" i="5"/>
  <c r="AN370" i="5"/>
  <c r="AN46" i="5"/>
  <c r="AN282" i="5"/>
  <c r="AN41" i="5"/>
  <c r="AN376" i="5"/>
  <c r="AN273" i="5"/>
  <c r="AN170" i="5"/>
  <c r="AN91" i="5"/>
  <c r="AN369" i="5"/>
  <c r="AN420" i="5"/>
  <c r="AN419" i="5"/>
  <c r="AN495" i="5"/>
  <c r="AN422" i="5"/>
  <c r="AN108" i="5"/>
  <c r="AN514" i="5"/>
  <c r="AN214" i="5"/>
  <c r="AN528" i="5"/>
  <c r="AN67" i="5"/>
  <c r="AN310" i="5"/>
  <c r="AN18" i="5"/>
  <c r="AN453" i="5"/>
  <c r="AN540" i="5"/>
  <c r="AN62" i="5"/>
  <c r="AN531" i="5"/>
  <c r="AN82" i="5"/>
  <c r="AN251" i="5"/>
  <c r="AN323" i="5"/>
  <c r="AN58" i="5"/>
  <c r="AN14" i="5"/>
  <c r="AN13" i="5"/>
  <c r="AN168" i="5"/>
  <c r="AN98" i="5"/>
  <c r="AN180" i="5"/>
  <c r="AN149" i="5"/>
  <c r="AN61" i="5"/>
  <c r="AN121" i="5"/>
  <c r="AN112" i="5"/>
  <c r="AN113" i="5"/>
  <c r="AN124" i="5"/>
  <c r="AN288" i="5"/>
  <c r="AN378" i="5"/>
  <c r="AN264" i="5"/>
  <c r="AN513" i="5"/>
  <c r="AN325" i="5"/>
  <c r="AN535" i="5"/>
  <c r="AN262" i="5"/>
  <c r="AN172" i="5"/>
  <c r="AN476" i="5"/>
  <c r="AN4" i="5"/>
  <c r="AN330" i="5"/>
  <c r="AN85" i="5"/>
  <c r="AN394" i="5"/>
  <c r="AN65" i="5"/>
  <c r="AN539" i="5"/>
  <c r="AN37" i="5"/>
  <c r="AN336" i="5"/>
  <c r="AN136" i="5"/>
  <c r="AN69" i="5"/>
  <c r="AN481" i="5"/>
  <c r="AN157" i="5"/>
  <c r="AN483" i="5"/>
  <c r="AN125" i="5"/>
  <c r="AN57" i="5"/>
  <c r="AN53" i="5"/>
  <c r="AN90" i="5"/>
  <c r="AN283" i="5"/>
  <c r="AN100" i="5"/>
  <c r="AN128" i="5"/>
  <c r="AN129" i="5"/>
  <c r="AN537" i="5"/>
  <c r="AN155" i="5"/>
  <c r="AN438" i="5"/>
  <c r="AN84" i="5"/>
  <c r="AN56" i="5"/>
  <c r="AN220" i="5"/>
  <c r="AN147" i="5"/>
  <c r="AN165" i="5"/>
  <c r="AN173" i="5"/>
  <c r="AN518" i="5"/>
  <c r="AN493" i="5"/>
  <c r="AN364" i="5"/>
  <c r="AN80" i="5"/>
  <c r="AN75" i="5"/>
  <c r="AN102" i="5"/>
  <c r="AN48" i="5"/>
  <c r="AN64" i="5"/>
  <c r="AN76" i="5"/>
  <c r="AN12" i="5"/>
  <c r="AN363" i="5"/>
  <c r="AN405" i="5"/>
  <c r="AN93" i="5"/>
  <c r="AN127" i="5"/>
  <c r="AN308" i="5"/>
  <c r="AN437" i="5"/>
  <c r="AN342" i="5"/>
  <c r="AN204" i="5"/>
  <c r="AN237" i="5"/>
  <c r="AN212" i="5"/>
  <c r="AN443" i="5"/>
  <c r="AN470" i="5"/>
  <c r="AN196" i="5"/>
  <c r="AN533" i="5"/>
  <c r="AN433" i="5"/>
  <c r="AN6" i="5"/>
  <c r="AN302" i="5"/>
  <c r="AN461" i="5"/>
  <c r="AN182" i="5"/>
  <c r="AN122" i="5"/>
  <c r="AN521" i="5"/>
  <c r="AN454" i="5"/>
  <c r="AN327" i="5"/>
  <c r="AN190" i="5"/>
  <c r="AN198" i="5"/>
  <c r="AN503" i="5"/>
  <c r="AN202" i="5"/>
  <c r="AN416" i="5"/>
  <c r="AN318" i="5"/>
  <c r="AN218" i="5"/>
  <c r="AN331" i="5"/>
  <c r="AN371" i="5"/>
  <c r="AN373" i="5"/>
  <c r="AN115" i="5"/>
  <c r="AN488" i="5"/>
  <c r="AN139" i="5"/>
  <c r="AN72" i="5"/>
  <c r="AN131" i="5"/>
  <c r="AN525" i="5"/>
  <c r="AN60" i="5"/>
  <c r="AN181" i="5"/>
  <c r="AN395" i="5"/>
  <c r="AN123" i="5"/>
  <c r="AN475" i="5"/>
  <c r="AN143" i="5"/>
  <c r="AN135" i="5"/>
  <c r="AN79" i="5"/>
  <c r="AN158" i="5"/>
  <c r="AN171" i="5"/>
  <c r="AN92" i="5"/>
  <c r="AN304" i="5"/>
  <c r="AN314" i="5"/>
  <c r="AN219" i="5"/>
  <c r="AN101" i="5"/>
  <c r="AN494" i="5"/>
  <c r="AN187" i="5"/>
  <c r="AN524" i="5"/>
  <c r="AN455" i="5"/>
  <c r="AN126" i="5"/>
  <c r="AN207" i="5"/>
  <c r="AN263" i="5"/>
  <c r="AN541" i="5"/>
  <c r="AN362" i="5"/>
  <c r="AN105" i="5"/>
  <c r="AN519" i="5"/>
  <c r="AN397" i="5"/>
  <c r="AN445" i="5"/>
  <c r="AN399" i="5"/>
  <c r="AN241" i="5"/>
  <c r="AN211" i="5"/>
  <c r="AN95" i="5"/>
  <c r="AN324" i="5"/>
  <c r="AN329" i="5"/>
  <c r="AN316" i="5"/>
  <c r="AN352" i="5"/>
  <c r="AN134" i="5"/>
  <c r="AN305" i="5"/>
  <c r="B13" i="6"/>
  <c r="H2" i="6"/>
  <c r="G2" i="6"/>
  <c r="F2" i="6"/>
  <c r="J6" i="6"/>
  <c r="E2" i="6"/>
  <c r="D2" i="6"/>
  <c r="C2" i="6"/>
  <c r="J2" i="6"/>
  <c r="I2" i="6"/>
  <c r="I6" i="6"/>
  <c r="C6" i="6"/>
  <c r="D6" i="6"/>
  <c r="E6" i="6"/>
  <c r="F6" i="6"/>
  <c r="G6" i="6"/>
  <c r="H6" i="6"/>
  <c r="P547" i="5"/>
  <c r="BY546" i="5" l="1"/>
  <c r="BZ551" i="5" s="1"/>
  <c r="I270" i="3"/>
  <c r="K268" i="3"/>
  <c r="H270" i="3"/>
  <c r="J268" i="3"/>
  <c r="BG545" i="5"/>
  <c r="BF545" i="5"/>
  <c r="AA548" i="5"/>
  <c r="B44" i="3"/>
  <c r="B46" i="3" s="1"/>
  <c r="S548" i="5"/>
  <c r="D9" i="6"/>
  <c r="D8" i="6"/>
  <c r="F9" i="6"/>
  <c r="C4" i="6"/>
  <c r="G9" i="6"/>
  <c r="E9" i="6"/>
  <c r="H4" i="6"/>
  <c r="H5" i="6"/>
  <c r="K2" i="6"/>
  <c r="H8" i="6"/>
  <c r="F8" i="6"/>
  <c r="G8" i="6"/>
  <c r="J5" i="6"/>
  <c r="J4" i="6"/>
  <c r="E8" i="6"/>
  <c r="I8" i="6"/>
  <c r="E5" i="6"/>
  <c r="E4" i="6"/>
  <c r="F5" i="6"/>
  <c r="F4" i="6"/>
  <c r="G5" i="6"/>
  <c r="G4" i="6"/>
  <c r="D5" i="6"/>
  <c r="D4" i="6"/>
  <c r="I5" i="6"/>
  <c r="I4" i="6"/>
  <c r="C9" i="6"/>
  <c r="K7" i="6"/>
  <c r="I9" i="6"/>
  <c r="K6" i="6"/>
  <c r="C8" i="6"/>
  <c r="C5" i="6"/>
  <c r="K3" i="6"/>
  <c r="H9" i="6"/>
  <c r="D6" i="3"/>
  <c r="D7" i="3"/>
  <c r="D5" i="3"/>
  <c r="D4" i="3"/>
  <c r="D10" i="3"/>
  <c r="D9" i="3"/>
  <c r="D3" i="3"/>
  <c r="D8" i="3"/>
  <c r="D11" i="3"/>
  <c r="D2" i="3"/>
  <c r="BG546" i="5" l="1"/>
  <c r="B47" i="3" s="1"/>
  <c r="K8" i="6"/>
  <c r="K5" i="6"/>
  <c r="K4" i="6"/>
  <c r="K9" i="6"/>
  <c r="D12" i="3"/>
  <c r="BC256" i="5" l="1"/>
  <c r="BC49" i="5"/>
  <c r="BC343" i="5"/>
  <c r="BC169" i="5"/>
  <c r="BC344" i="5"/>
  <c r="BC160" i="5"/>
  <c r="BC345" i="5"/>
  <c r="BC342" i="5"/>
  <c r="BC250" i="5"/>
  <c r="BC165" i="5"/>
  <c r="BC40" i="5"/>
  <c r="BC241" i="5"/>
  <c r="BC11" i="5"/>
  <c r="BC161" i="5"/>
  <c r="BC506" i="5"/>
  <c r="BC442" i="5"/>
  <c r="BC378" i="5"/>
  <c r="BC314" i="5"/>
  <c r="BC186" i="5"/>
  <c r="BC122" i="5"/>
  <c r="BC58" i="5"/>
  <c r="BC465" i="5"/>
  <c r="BC65" i="5"/>
  <c r="BC496" i="5"/>
  <c r="BC432" i="5"/>
  <c r="BC368" i="5"/>
  <c r="BC304" i="5"/>
  <c r="BC240" i="5"/>
  <c r="BC176" i="5"/>
  <c r="BC112" i="5"/>
  <c r="BC48" i="5"/>
  <c r="BC401" i="5"/>
  <c r="BC543" i="5"/>
  <c r="BC479" i="5"/>
  <c r="BC415" i="5"/>
  <c r="BC351" i="5"/>
  <c r="BC287" i="5"/>
  <c r="BC223" i="5"/>
  <c r="BC159" i="5"/>
  <c r="BC95" i="5"/>
  <c r="BC31" i="5"/>
  <c r="BC281" i="5"/>
  <c r="BC526" i="5"/>
  <c r="BC462" i="5"/>
  <c r="BC398" i="5"/>
  <c r="BC334" i="5"/>
  <c r="BC270" i="5"/>
  <c r="BC206" i="5"/>
  <c r="BC142" i="5"/>
  <c r="BC78" i="5"/>
  <c r="BC14" i="5"/>
  <c r="BC113" i="5"/>
  <c r="BC493" i="5"/>
  <c r="BC429" i="5"/>
  <c r="BC365" i="5"/>
  <c r="BC301" i="5"/>
  <c r="BC237" i="5"/>
  <c r="BC173" i="5"/>
  <c r="BC109" i="5"/>
  <c r="BC45" i="5"/>
  <c r="BC425" i="5"/>
  <c r="BC516" i="5"/>
  <c r="BC452" i="5"/>
  <c r="BC388" i="5"/>
  <c r="BC324" i="5"/>
  <c r="BC260" i="5"/>
  <c r="BC196" i="5"/>
  <c r="BC132" i="5"/>
  <c r="BC68" i="5"/>
  <c r="BC4" i="5"/>
  <c r="BC145" i="5"/>
  <c r="BC491" i="5"/>
  <c r="BC427" i="5"/>
  <c r="BC363" i="5"/>
  <c r="BC171" i="5"/>
  <c r="BC99" i="5"/>
  <c r="BC83" i="5"/>
  <c r="BC41" i="5"/>
  <c r="BC121" i="5"/>
  <c r="BC498" i="5"/>
  <c r="BC434" i="5"/>
  <c r="BC370" i="5"/>
  <c r="BC306" i="5"/>
  <c r="BC242" i="5"/>
  <c r="BC178" i="5"/>
  <c r="BC114" i="5"/>
  <c r="BC50" i="5"/>
  <c r="BC409" i="5"/>
  <c r="BC17" i="5"/>
  <c r="BC488" i="5"/>
  <c r="BC424" i="5"/>
  <c r="BC360" i="5"/>
  <c r="BC296" i="5"/>
  <c r="BC232" i="5"/>
  <c r="BC168" i="5"/>
  <c r="BC104" i="5"/>
  <c r="BC535" i="5"/>
  <c r="BC471" i="5"/>
  <c r="BC407" i="5"/>
  <c r="BC279" i="5"/>
  <c r="BC215" i="5"/>
  <c r="BC151" i="5"/>
  <c r="BC87" i="5"/>
  <c r="BC23" i="5"/>
  <c r="BC233" i="5"/>
  <c r="BC518" i="5"/>
  <c r="BC454" i="5"/>
  <c r="BC390" i="5"/>
  <c r="BC326" i="5"/>
  <c r="BC262" i="5"/>
  <c r="BC198" i="5"/>
  <c r="BC134" i="5"/>
  <c r="BC70" i="5"/>
  <c r="BC6" i="5"/>
  <c r="BC33" i="5"/>
  <c r="BC485" i="5"/>
  <c r="BC421" i="5"/>
  <c r="BC357" i="5"/>
  <c r="BC293" i="5"/>
  <c r="BC229" i="5"/>
  <c r="BC101" i="5"/>
  <c r="BC37" i="5"/>
  <c r="BC377" i="5"/>
  <c r="BC508" i="5"/>
  <c r="BC444" i="5"/>
  <c r="BC380" i="5"/>
  <c r="BC316" i="5"/>
  <c r="BC252" i="5"/>
  <c r="BC188" i="5"/>
  <c r="BC124" i="5"/>
  <c r="BC60" i="5"/>
  <c r="BC537" i="5"/>
  <c r="BC97" i="5"/>
  <c r="BC483" i="5"/>
  <c r="BC419" i="5"/>
  <c r="BC355" i="5"/>
  <c r="BC291" i="5"/>
  <c r="BC227" i="5"/>
  <c r="BC163" i="5"/>
  <c r="BC35" i="5"/>
  <c r="BC505" i="5"/>
  <c r="BC73" i="5"/>
  <c r="BC490" i="5"/>
  <c r="BC426" i="5"/>
  <c r="BC362" i="5"/>
  <c r="BC298" i="5"/>
  <c r="BC234" i="5"/>
  <c r="BC170" i="5"/>
  <c r="BC106" i="5"/>
  <c r="BC42" i="5"/>
  <c r="BC361" i="5"/>
  <c r="BC3" i="5"/>
  <c r="BC480" i="5"/>
  <c r="BC416" i="5"/>
  <c r="BC352" i="5"/>
  <c r="BC288" i="5"/>
  <c r="BC224" i="5"/>
  <c r="BC96" i="5"/>
  <c r="BC32" i="5"/>
  <c r="BC297" i="5"/>
  <c r="BC527" i="5"/>
  <c r="BC463" i="5"/>
  <c r="BC399" i="5"/>
  <c r="BC335" i="5"/>
  <c r="BC271" i="5"/>
  <c r="BC207" i="5"/>
  <c r="BC143" i="5"/>
  <c r="BC79" i="5"/>
  <c r="BC15" i="5"/>
  <c r="BC177" i="5"/>
  <c r="BC510" i="5"/>
  <c r="BC446" i="5"/>
  <c r="BC382" i="5"/>
  <c r="BC318" i="5"/>
  <c r="BC254" i="5"/>
  <c r="BC190" i="5"/>
  <c r="BC126" i="5"/>
  <c r="BC62" i="5"/>
  <c r="BC489" i="5"/>
  <c r="BC541" i="5"/>
  <c r="BC477" i="5"/>
  <c r="BC413" i="5"/>
  <c r="BC349" i="5"/>
  <c r="BC285" i="5"/>
  <c r="BC221" i="5"/>
  <c r="BC157" i="5"/>
  <c r="BC93" i="5"/>
  <c r="BC29" i="5"/>
  <c r="BC321" i="5"/>
  <c r="BC500" i="5"/>
  <c r="BC436" i="5"/>
  <c r="BC372" i="5"/>
  <c r="BC308" i="5"/>
  <c r="BC244" i="5"/>
  <c r="BC180" i="5"/>
  <c r="BC116" i="5"/>
  <c r="BC52" i="5"/>
  <c r="BC481" i="5"/>
  <c r="BC539" i="5"/>
  <c r="BC475" i="5"/>
  <c r="BC411" i="5"/>
  <c r="BC347" i="5"/>
  <c r="BC283" i="5"/>
  <c r="BC219" i="5"/>
  <c r="BC27" i="5"/>
  <c r="BC449" i="5"/>
  <c r="BC57" i="5"/>
  <c r="BC482" i="5"/>
  <c r="BC418" i="5"/>
  <c r="BC354" i="5"/>
  <c r="BC290" i="5"/>
  <c r="BC226" i="5"/>
  <c r="BC162" i="5"/>
  <c r="BC98" i="5"/>
  <c r="BC34" i="5"/>
  <c r="BC313" i="5"/>
  <c r="BC536" i="5"/>
  <c r="BC472" i="5"/>
  <c r="BC408" i="5"/>
  <c r="BC280" i="5"/>
  <c r="BC216" i="5"/>
  <c r="BC152" i="5"/>
  <c r="BC88" i="5"/>
  <c r="BC24" i="5"/>
  <c r="BC519" i="5"/>
  <c r="BC455" i="5"/>
  <c r="BC391" i="5"/>
  <c r="BC327" i="5"/>
  <c r="BC263" i="5"/>
  <c r="BC199" i="5"/>
  <c r="BC135" i="5"/>
  <c r="BC71" i="5"/>
  <c r="BC7" i="5"/>
  <c r="BC129" i="5"/>
  <c r="BC502" i="5"/>
  <c r="BC438" i="5"/>
  <c r="BC374" i="5"/>
  <c r="BC310" i="5"/>
  <c r="BC246" i="5"/>
  <c r="BC182" i="5"/>
  <c r="BC118" i="5"/>
  <c r="BC54" i="5"/>
  <c r="BC433" i="5"/>
  <c r="BC533" i="5"/>
  <c r="BC469" i="5"/>
  <c r="BC405" i="5"/>
  <c r="BC341" i="5"/>
  <c r="BC277" i="5"/>
  <c r="BC213" i="5"/>
  <c r="BC149" i="5"/>
  <c r="BC85" i="5"/>
  <c r="BC21" i="5"/>
  <c r="BC265" i="5"/>
  <c r="BC492" i="5"/>
  <c r="BC428" i="5"/>
  <c r="BC364" i="5"/>
  <c r="BC300" i="5"/>
  <c r="BC236" i="5"/>
  <c r="BC172" i="5"/>
  <c r="BC108" i="5"/>
  <c r="BC44" i="5"/>
  <c r="BC417" i="5"/>
  <c r="BC531" i="5"/>
  <c r="BC467" i="5"/>
  <c r="BC403" i="5"/>
  <c r="BC339" i="5"/>
  <c r="BC275" i="5"/>
  <c r="BC211" i="5"/>
  <c r="BC147" i="5"/>
  <c r="BC393" i="5"/>
  <c r="BC538" i="5"/>
  <c r="BC474" i="5"/>
  <c r="BC410" i="5"/>
  <c r="BC346" i="5"/>
  <c r="BC282" i="5"/>
  <c r="BC218" i="5"/>
  <c r="BC154" i="5"/>
  <c r="BC90" i="5"/>
  <c r="BC26" i="5"/>
  <c r="BC257" i="5"/>
  <c r="BC528" i="5"/>
  <c r="BC464" i="5"/>
  <c r="BC400" i="5"/>
  <c r="BC336" i="5"/>
  <c r="BC272" i="5"/>
  <c r="BC208" i="5"/>
  <c r="BC144" i="5"/>
  <c r="BC80" i="5"/>
  <c r="BC16" i="5"/>
  <c r="BC185" i="5"/>
  <c r="BC511" i="5"/>
  <c r="BC447" i="5"/>
  <c r="BC383" i="5"/>
  <c r="BC319" i="5"/>
  <c r="BC255" i="5"/>
  <c r="BC191" i="5"/>
  <c r="BC127" i="5"/>
  <c r="BC63" i="5"/>
  <c r="BC497" i="5"/>
  <c r="BC81" i="5"/>
  <c r="BC494" i="5"/>
  <c r="BC430" i="5"/>
  <c r="BC366" i="5"/>
  <c r="BC302" i="5"/>
  <c r="BC238" i="5"/>
  <c r="BC174" i="5"/>
  <c r="BC110" i="5"/>
  <c r="BC46" i="5"/>
  <c r="BC369" i="5"/>
  <c r="BC525" i="5"/>
  <c r="BC461" i="5"/>
  <c r="BC397" i="5"/>
  <c r="BC333" i="5"/>
  <c r="BC269" i="5"/>
  <c r="BC205" i="5"/>
  <c r="BC141" i="5"/>
  <c r="BC77" i="5"/>
  <c r="BC13" i="5"/>
  <c r="BC209" i="5"/>
  <c r="BC484" i="5"/>
  <c r="BC420" i="5"/>
  <c r="BC356" i="5"/>
  <c r="BC292" i="5"/>
  <c r="BC228" i="5"/>
  <c r="BC164" i="5"/>
  <c r="BC100" i="5"/>
  <c r="BC36" i="5"/>
  <c r="BC353" i="5"/>
  <c r="BC523" i="5"/>
  <c r="BC459" i="5"/>
  <c r="BC395" i="5"/>
  <c r="BC331" i="5"/>
  <c r="BC267" i="5"/>
  <c r="BC203" i="5"/>
  <c r="BC139" i="5"/>
  <c r="BC75" i="5"/>
  <c r="BC337" i="5"/>
  <c r="BC530" i="5"/>
  <c r="BC466" i="5"/>
  <c r="BC402" i="5"/>
  <c r="BC338" i="5"/>
  <c r="BC274" i="5"/>
  <c r="BC210" i="5"/>
  <c r="BC146" i="5"/>
  <c r="BC82" i="5"/>
  <c r="BC18" i="5"/>
  <c r="BC201" i="5"/>
  <c r="BC520" i="5"/>
  <c r="BC456" i="5"/>
  <c r="BC392" i="5"/>
  <c r="BC328" i="5"/>
  <c r="BC264" i="5"/>
  <c r="BC200" i="5"/>
  <c r="BC136" i="5"/>
  <c r="BC72" i="5"/>
  <c r="BC8" i="5"/>
  <c r="BC137" i="5"/>
  <c r="BC503" i="5"/>
  <c r="BC439" i="5"/>
  <c r="BC375" i="5"/>
  <c r="BC311" i="5"/>
  <c r="BC247" i="5"/>
  <c r="BC183" i="5"/>
  <c r="BC119" i="5"/>
  <c r="BC55" i="5"/>
  <c r="BC441" i="5"/>
  <c r="BC25" i="5"/>
  <c r="BC486" i="5"/>
  <c r="BC422" i="5"/>
  <c r="BC358" i="5"/>
  <c r="BC294" i="5"/>
  <c r="BC230" i="5"/>
  <c r="BC166" i="5"/>
  <c r="BC102" i="5"/>
  <c r="BC38" i="5"/>
  <c r="BC289" i="5"/>
  <c r="BC517" i="5"/>
  <c r="BC453" i="5"/>
  <c r="BC389" i="5"/>
  <c r="BC325" i="5"/>
  <c r="BC261" i="5"/>
  <c r="BC197" i="5"/>
  <c r="BC133" i="5"/>
  <c r="BC69" i="5"/>
  <c r="BC5" i="5"/>
  <c r="BC540" i="5"/>
  <c r="BC476" i="5"/>
  <c r="BC412" i="5"/>
  <c r="BC348" i="5"/>
  <c r="BC284" i="5"/>
  <c r="BC220" i="5"/>
  <c r="BC156" i="5"/>
  <c r="BC92" i="5"/>
  <c r="BC28" i="5"/>
  <c r="BC305" i="5"/>
  <c r="BC515" i="5"/>
  <c r="BC451" i="5"/>
  <c r="BC387" i="5"/>
  <c r="BC323" i="5"/>
  <c r="BC259" i="5"/>
  <c r="BC195" i="5"/>
  <c r="BC131" i="5"/>
  <c r="BC67" i="5"/>
  <c r="BC273" i="5"/>
  <c r="BC522" i="5"/>
  <c r="BC458" i="5"/>
  <c r="BC394" i="5"/>
  <c r="BC330" i="5"/>
  <c r="BC266" i="5"/>
  <c r="BC202" i="5"/>
  <c r="BC138" i="5"/>
  <c r="BC74" i="5"/>
  <c r="BC10" i="5"/>
  <c r="BC153" i="5"/>
  <c r="BC512" i="5"/>
  <c r="BC448" i="5"/>
  <c r="BC384" i="5"/>
  <c r="BC320" i="5"/>
  <c r="BC192" i="5"/>
  <c r="BC128" i="5"/>
  <c r="BC64" i="5"/>
  <c r="BC513" i="5"/>
  <c r="BC89" i="5"/>
  <c r="BC495" i="5"/>
  <c r="BC431" i="5"/>
  <c r="BC367" i="5"/>
  <c r="BC303" i="5"/>
  <c r="BC239" i="5"/>
  <c r="BC175" i="5"/>
  <c r="BC111" i="5"/>
  <c r="BC47" i="5"/>
  <c r="BC385" i="5"/>
  <c r="BC542" i="5"/>
  <c r="BC478" i="5"/>
  <c r="BC414" i="5"/>
  <c r="BC350" i="5"/>
  <c r="BC286" i="5"/>
  <c r="BC222" i="5"/>
  <c r="BC158" i="5"/>
  <c r="BC94" i="5"/>
  <c r="BC30" i="5"/>
  <c r="BC225" i="5"/>
  <c r="BC509" i="5"/>
  <c r="BC445" i="5"/>
  <c r="BC381" i="5"/>
  <c r="BC317" i="5"/>
  <c r="BC253" i="5"/>
  <c r="BC189" i="5"/>
  <c r="BC125" i="5"/>
  <c r="BC61" i="5"/>
  <c r="BC529" i="5"/>
  <c r="BC532" i="5"/>
  <c r="BC468" i="5"/>
  <c r="BC404" i="5"/>
  <c r="BC340" i="5"/>
  <c r="BC276" i="5"/>
  <c r="BC212" i="5"/>
  <c r="BC148" i="5"/>
  <c r="BC84" i="5"/>
  <c r="BC20" i="5"/>
  <c r="BC249" i="5"/>
  <c r="BC507" i="5"/>
  <c r="BC443" i="5"/>
  <c r="BC379" i="5"/>
  <c r="BC315" i="5"/>
  <c r="BC251" i="5"/>
  <c r="BC187" i="5"/>
  <c r="BC123" i="5"/>
  <c r="BC59" i="5"/>
  <c r="BC235" i="5"/>
  <c r="BC43" i="5"/>
  <c r="BC91" i="5"/>
  <c r="BC217" i="5"/>
  <c r="BC514" i="5"/>
  <c r="BC450" i="5"/>
  <c r="BC386" i="5"/>
  <c r="BC322" i="5"/>
  <c r="BC258" i="5"/>
  <c r="BC194" i="5"/>
  <c r="BC130" i="5"/>
  <c r="BC66" i="5"/>
  <c r="BC521" i="5"/>
  <c r="BC105" i="5"/>
  <c r="BC504" i="5"/>
  <c r="BC440" i="5"/>
  <c r="BC376" i="5"/>
  <c r="BC312" i="5"/>
  <c r="BC248" i="5"/>
  <c r="BC184" i="5"/>
  <c r="BC120" i="5"/>
  <c r="BC56" i="5"/>
  <c r="BC457" i="5"/>
  <c r="BC9" i="5"/>
  <c r="BC487" i="5"/>
  <c r="BC423" i="5"/>
  <c r="BC359" i="5"/>
  <c r="BC295" i="5"/>
  <c r="BC231" i="5"/>
  <c r="BC167" i="5"/>
  <c r="BC103" i="5"/>
  <c r="BC39" i="5"/>
  <c r="BC329" i="5"/>
  <c r="BC534" i="5"/>
  <c r="BC470" i="5"/>
  <c r="BC406" i="5"/>
  <c r="BC278" i="5"/>
  <c r="BC214" i="5"/>
  <c r="BC150" i="5"/>
  <c r="BC86" i="5"/>
  <c r="BC22" i="5"/>
  <c r="BC501" i="5"/>
  <c r="BC437" i="5"/>
  <c r="BC373" i="5"/>
  <c r="BC309" i="5"/>
  <c r="BC245" i="5"/>
  <c r="BC181" i="5"/>
  <c r="BC117" i="5"/>
  <c r="BC53" i="5"/>
  <c r="BC473" i="5"/>
  <c r="BC524" i="5"/>
  <c r="BC460" i="5"/>
  <c r="BC396" i="5"/>
  <c r="BC332" i="5"/>
  <c r="BC268" i="5"/>
  <c r="BC204" i="5"/>
  <c r="BC140" i="5"/>
  <c r="BC76" i="5"/>
  <c r="BC12" i="5"/>
  <c r="BC193" i="5"/>
  <c r="BC499" i="5"/>
  <c r="BC435" i="5"/>
  <c r="BC371" i="5"/>
  <c r="BC307" i="5"/>
  <c r="BC243" i="5"/>
  <c r="BC179" i="5"/>
  <c r="BC115" i="5"/>
  <c r="BC51" i="5"/>
  <c r="BC299" i="5"/>
  <c r="BC107" i="5"/>
  <c r="BC155" i="5"/>
  <c r="BC19" i="5"/>
  <c r="AZ111" i="5" l="1"/>
  <c r="CA111" i="5" l="1"/>
  <c r="BZ111" i="5"/>
  <c r="AS111" i="5"/>
  <c r="AX111" i="5" s="1"/>
  <c r="AT111" i="5"/>
  <c r="BV111" i="5"/>
  <c r="BW111" i="5"/>
  <c r="BT111" i="5"/>
  <c r="BU111" i="5"/>
  <c r="BR111" i="5"/>
  <c r="BS111" i="5"/>
  <c r="AU111" i="5" l="1"/>
  <c r="AW111" i="5" s="1"/>
  <c r="AY111" i="5"/>
  <c r="BV5" i="5" l="1"/>
  <c r="BW5" i="5"/>
  <c r="BV142" i="5" l="1"/>
  <c r="BW142" i="5"/>
  <c r="BV381" i="5"/>
  <c r="BV270" i="5" l="1"/>
  <c r="BW270" i="5"/>
  <c r="BV421" i="5"/>
  <c r="BV420" i="5"/>
  <c r="BW265" i="5"/>
  <c r="BV265" i="5"/>
  <c r="BV422" i="5"/>
  <c r="BV423" i="5"/>
  <c r="BV41" i="5"/>
  <c r="BW41" i="5"/>
  <c r="BT5" i="5" l="1"/>
  <c r="BU5" i="5"/>
  <c r="BT381" i="5"/>
  <c r="BT142" i="5"/>
  <c r="BU142" i="5"/>
  <c r="AZ5" i="5"/>
  <c r="AS5" i="5" s="1"/>
  <c r="AX5" i="5" s="1"/>
  <c r="AZ381" i="5"/>
  <c r="AZ142" i="5"/>
  <c r="BZ381" i="5" l="1"/>
  <c r="AS381" i="5"/>
  <c r="CA5" i="5"/>
  <c r="BZ5" i="5"/>
  <c r="AT5" i="5"/>
  <c r="AY5" i="5" s="1"/>
  <c r="CA142" i="5"/>
  <c r="BZ142" i="5"/>
  <c r="AT142" i="5"/>
  <c r="AY142" i="5" s="1"/>
  <c r="AS142" i="5"/>
  <c r="BR381" i="5"/>
  <c r="BV129" i="5"/>
  <c r="BW129" i="5"/>
  <c r="BV120" i="5"/>
  <c r="BW120" i="5"/>
  <c r="BV132" i="5"/>
  <c r="BW132" i="5"/>
  <c r="BV170" i="5"/>
  <c r="BW170" i="5"/>
  <c r="BS142" i="5"/>
  <c r="BR142" i="5"/>
  <c r="BR5" i="5"/>
  <c r="BS5" i="5"/>
  <c r="AU142" i="5" l="1"/>
  <c r="AW142" i="5" s="1"/>
  <c r="AX142" i="5"/>
  <c r="AU5" i="5"/>
  <c r="AW5" i="5" s="1"/>
  <c r="AW381" i="5"/>
  <c r="AX381" i="5"/>
  <c r="BT422" i="5" l="1"/>
  <c r="BT170" i="5"/>
  <c r="BU170" i="5"/>
  <c r="BT270" i="5"/>
  <c r="BU270" i="5"/>
  <c r="BT421" i="5"/>
  <c r="BT41" i="5"/>
  <c r="BU41" i="5"/>
  <c r="BT120" i="5"/>
  <c r="BU120" i="5"/>
  <c r="BT129" i="5"/>
  <c r="BU129" i="5"/>
  <c r="BT132" i="5"/>
  <c r="BU132" i="5"/>
  <c r="BU265" i="5"/>
  <c r="BT265" i="5"/>
  <c r="BT420" i="5"/>
  <c r="BT423" i="5"/>
  <c r="AZ422" i="5"/>
  <c r="AZ423" i="5"/>
  <c r="AZ421" i="5"/>
  <c r="AZ41" i="5"/>
  <c r="AZ270" i="5"/>
  <c r="AZ265" i="5"/>
  <c r="AZ420" i="5"/>
  <c r="AZ120" i="5"/>
  <c r="AZ132" i="5"/>
  <c r="AZ129" i="5"/>
  <c r="AZ170" i="5"/>
  <c r="CA170" i="5" l="1"/>
  <c r="BZ170" i="5"/>
  <c r="AS170" i="5"/>
  <c r="AT170" i="5"/>
  <c r="CA270" i="5"/>
  <c r="BZ270" i="5"/>
  <c r="AS270" i="5"/>
  <c r="AT270" i="5"/>
  <c r="AY270" i="5" s="1"/>
  <c r="CA265" i="5"/>
  <c r="BZ265" i="5"/>
  <c r="AS265" i="5"/>
  <c r="AT265" i="5"/>
  <c r="CA41" i="5"/>
  <c r="BZ41" i="5"/>
  <c r="AT41" i="5"/>
  <c r="AS41" i="5"/>
  <c r="BZ421" i="5"/>
  <c r="AS421" i="5"/>
  <c r="BZ423" i="5"/>
  <c r="AS423" i="5"/>
  <c r="BZ422" i="5"/>
  <c r="AS422" i="5"/>
  <c r="CA129" i="5"/>
  <c r="BZ129" i="5"/>
  <c r="AS129" i="5"/>
  <c r="AT129" i="5"/>
  <c r="CA132" i="5"/>
  <c r="BZ132" i="5"/>
  <c r="AS132" i="5"/>
  <c r="AT132" i="5"/>
  <c r="AY132" i="5" s="1"/>
  <c r="BZ120" i="5"/>
  <c r="CA120" i="5"/>
  <c r="AT120" i="5"/>
  <c r="AS120" i="5"/>
  <c r="BZ420" i="5"/>
  <c r="AS420" i="5"/>
  <c r="BR422" i="5"/>
  <c r="BR421" i="5"/>
  <c r="BR423" i="5"/>
  <c r="BR420" i="5"/>
  <c r="BT363" i="5"/>
  <c r="BT12" i="5"/>
  <c r="BU12" i="5"/>
  <c r="BT528" i="5"/>
  <c r="BU231" i="5"/>
  <c r="BT231" i="5"/>
  <c r="BT116" i="5"/>
  <c r="BU116" i="5"/>
  <c r="BT370" i="5"/>
  <c r="BT23" i="5"/>
  <c r="BU23" i="5"/>
  <c r="BT372" i="5"/>
  <c r="BT457" i="5"/>
  <c r="BT529" i="5"/>
  <c r="BT465" i="5"/>
  <c r="BU239" i="5"/>
  <c r="BT239" i="5"/>
  <c r="BT307" i="5"/>
  <c r="BT168" i="5"/>
  <c r="BU168" i="5"/>
  <c r="BT456" i="5"/>
  <c r="BU267" i="5"/>
  <c r="BT267" i="5"/>
  <c r="BU251" i="5"/>
  <c r="BT251" i="5"/>
  <c r="BW215" i="5"/>
  <c r="BV215" i="5"/>
  <c r="BV350" i="5"/>
  <c r="BV46" i="5"/>
  <c r="BW46" i="5"/>
  <c r="BV299" i="5"/>
  <c r="BV114" i="5"/>
  <c r="BW114" i="5"/>
  <c r="BV363" i="5"/>
  <c r="BV488" i="5"/>
  <c r="BV540" i="5"/>
  <c r="BV332" i="5"/>
  <c r="BV395" i="5"/>
  <c r="BV60" i="5"/>
  <c r="BW60" i="5"/>
  <c r="BV430" i="5"/>
  <c r="BV99" i="5"/>
  <c r="BW99" i="5"/>
  <c r="BV324" i="5"/>
  <c r="BV72" i="5"/>
  <c r="BW72" i="5"/>
  <c r="BV333" i="5"/>
  <c r="BV70" i="5"/>
  <c r="BW70" i="5"/>
  <c r="BV36" i="5"/>
  <c r="BW36" i="5"/>
  <c r="BV353" i="5"/>
  <c r="BV159" i="5"/>
  <c r="BW159" i="5"/>
  <c r="BV127" i="5"/>
  <c r="BW127" i="5"/>
  <c r="BV128" i="5"/>
  <c r="BW128" i="5"/>
  <c r="BV538" i="5"/>
  <c r="BV308" i="5"/>
  <c r="BV202" i="5"/>
  <c r="BW202" i="5"/>
  <c r="BV445" i="5"/>
  <c r="BV25" i="5"/>
  <c r="BW25" i="5"/>
  <c r="BV262" i="5"/>
  <c r="BW262" i="5"/>
  <c r="BW219" i="5"/>
  <c r="BV219" i="5"/>
  <c r="BW229" i="5"/>
  <c r="BV229" i="5"/>
  <c r="BV302" i="5"/>
  <c r="BW241" i="5"/>
  <c r="BV241" i="5"/>
  <c r="BV402" i="5"/>
  <c r="BV75" i="5"/>
  <c r="BW75" i="5"/>
  <c r="BV178" i="5"/>
  <c r="BW178" i="5"/>
  <c r="BV344" i="5"/>
  <c r="BV459" i="5"/>
  <c r="BW277" i="5"/>
  <c r="BV277" i="5"/>
  <c r="BV282" i="5"/>
  <c r="BV92" i="5"/>
  <c r="BW92" i="5"/>
  <c r="BV9" i="5"/>
  <c r="BW9" i="5"/>
  <c r="BV150" i="5"/>
  <c r="BW150" i="5"/>
  <c r="BV335" i="5"/>
  <c r="BV283" i="5"/>
  <c r="BV281" i="5"/>
  <c r="BV520" i="5"/>
  <c r="BV356" i="5"/>
  <c r="BV238" i="5"/>
  <c r="BW238" i="5"/>
  <c r="BV446" i="5"/>
  <c r="BV198" i="5"/>
  <c r="BW198" i="5"/>
  <c r="BV212" i="5"/>
  <c r="BW212" i="5"/>
  <c r="BV30" i="5"/>
  <c r="BW30" i="5"/>
  <c r="BV250" i="5"/>
  <c r="BW250" i="5"/>
  <c r="BV136" i="5"/>
  <c r="BW136" i="5"/>
  <c r="BV61" i="5"/>
  <c r="BW61" i="5"/>
  <c r="BV113" i="5"/>
  <c r="BW113" i="5"/>
  <c r="BV531" i="5"/>
  <c r="BV493" i="5"/>
  <c r="BW211" i="5"/>
  <c r="BV211" i="5"/>
  <c r="BW237" i="5"/>
  <c r="BV237" i="5"/>
  <c r="BV359" i="5"/>
  <c r="BV32" i="5"/>
  <c r="BW32" i="5"/>
  <c r="BV50" i="5"/>
  <c r="BW50" i="5"/>
  <c r="BV495" i="5"/>
  <c r="BV543" i="5"/>
  <c r="BV286" i="5"/>
  <c r="BV379" i="5"/>
  <c r="BV226" i="5"/>
  <c r="BW226" i="5"/>
  <c r="BV444" i="5"/>
  <c r="BW273" i="5"/>
  <c r="BV273" i="5"/>
  <c r="BV323" i="5"/>
  <c r="BV523" i="5"/>
  <c r="BV516" i="5"/>
  <c r="BV412" i="5"/>
  <c r="BV376" i="5"/>
  <c r="BV91" i="5"/>
  <c r="BW91" i="5"/>
  <c r="BV242" i="5"/>
  <c r="BW242" i="5"/>
  <c r="BV362" i="5"/>
  <c r="BV502" i="5"/>
  <c r="BV31" i="5"/>
  <c r="BW31" i="5"/>
  <c r="BW249" i="5"/>
  <c r="BV249" i="5"/>
  <c r="BV337" i="5"/>
  <c r="BV429" i="5"/>
  <c r="BW253" i="5"/>
  <c r="BV253" i="5"/>
  <c r="BV405" i="5"/>
  <c r="BV206" i="5"/>
  <c r="BW206" i="5"/>
  <c r="BV21" i="5"/>
  <c r="BW21" i="5"/>
  <c r="BV94" i="5"/>
  <c r="BW94" i="5"/>
  <c r="BV417" i="5"/>
  <c r="BV158" i="5"/>
  <c r="BW158" i="5"/>
  <c r="BV496" i="5"/>
  <c r="BV78" i="5"/>
  <c r="BW78" i="5"/>
  <c r="BV331" i="5"/>
  <c r="BW267" i="5"/>
  <c r="BV267" i="5"/>
  <c r="BV500" i="5"/>
  <c r="BV409" i="5"/>
  <c r="BV149" i="5"/>
  <c r="BW149" i="5"/>
  <c r="BV542" i="5"/>
  <c r="BV539" i="5"/>
  <c r="BV315" i="5"/>
  <c r="BV419" i="5"/>
  <c r="BV152" i="5"/>
  <c r="BW152" i="5"/>
  <c r="BV192" i="5"/>
  <c r="BW192" i="5"/>
  <c r="BV468" i="5"/>
  <c r="BV497" i="5"/>
  <c r="BV53" i="5"/>
  <c r="BW53" i="5"/>
  <c r="BV119" i="5"/>
  <c r="BW119" i="5"/>
  <c r="BV184" i="5"/>
  <c r="BW184" i="5"/>
  <c r="BT6" i="5"/>
  <c r="BU6" i="5"/>
  <c r="BT125" i="5"/>
  <c r="BU125" i="5"/>
  <c r="BT222" i="5"/>
  <c r="BU222" i="5"/>
  <c r="BT541" i="5"/>
  <c r="BT532" i="5"/>
  <c r="BT481" i="5"/>
  <c r="BV204" i="5"/>
  <c r="BW204" i="5"/>
  <c r="BV325" i="5"/>
  <c r="BV399" i="5"/>
  <c r="BV234" i="5"/>
  <c r="BW234" i="5"/>
  <c r="BV377" i="5"/>
  <c r="BV408" i="5"/>
  <c r="BV190" i="5"/>
  <c r="BW190" i="5"/>
  <c r="BV518" i="5"/>
  <c r="BV398" i="5"/>
  <c r="BV266" i="5"/>
  <c r="BW266" i="5"/>
  <c r="BV311" i="5"/>
  <c r="BV479" i="5"/>
  <c r="BV487" i="5"/>
  <c r="BV19" i="5"/>
  <c r="BW19" i="5"/>
  <c r="BV296" i="5"/>
  <c r="BV160" i="5"/>
  <c r="BW160" i="5"/>
  <c r="BV96" i="5"/>
  <c r="BW96" i="5"/>
  <c r="BV475" i="5"/>
  <c r="BV13" i="5"/>
  <c r="BW13" i="5"/>
  <c r="BV35" i="5"/>
  <c r="BW35" i="5"/>
  <c r="BV102" i="5"/>
  <c r="BW102" i="5"/>
  <c r="BV33" i="5"/>
  <c r="BW33" i="5"/>
  <c r="BV272" i="5"/>
  <c r="BW272" i="5"/>
  <c r="BV151" i="5"/>
  <c r="BW151" i="5"/>
  <c r="BV334" i="5"/>
  <c r="BV482" i="5"/>
  <c r="BV309" i="5"/>
  <c r="BV208" i="5"/>
  <c r="BW208" i="5"/>
  <c r="BV82" i="5"/>
  <c r="BW82" i="5"/>
  <c r="BW201" i="5"/>
  <c r="BV201" i="5"/>
  <c r="BV20" i="5"/>
  <c r="BW20" i="5"/>
  <c r="BV294" i="5"/>
  <c r="BW269" i="5"/>
  <c r="BV269" i="5"/>
  <c r="BW225" i="5"/>
  <c r="BV225" i="5"/>
  <c r="BV501" i="5"/>
  <c r="BV200" i="5"/>
  <c r="BW200" i="5"/>
  <c r="BV80" i="5"/>
  <c r="BW80" i="5"/>
  <c r="BV533" i="5"/>
  <c r="BV530" i="5"/>
  <c r="BV373" i="5"/>
  <c r="BV484" i="5"/>
  <c r="BV274" i="5"/>
  <c r="BW274" i="5"/>
  <c r="BV84" i="5"/>
  <c r="BW84" i="5"/>
  <c r="BV124" i="5"/>
  <c r="BW124" i="5"/>
  <c r="BV39" i="5"/>
  <c r="BW39" i="5"/>
  <c r="BV57" i="5"/>
  <c r="BW57" i="5"/>
  <c r="BW177" i="5"/>
  <c r="BV177" i="5"/>
  <c r="BV115" i="5"/>
  <c r="BW115" i="5"/>
  <c r="BT466" i="5"/>
  <c r="BT79" i="5"/>
  <c r="BU79" i="5"/>
  <c r="BT240" i="5"/>
  <c r="BU240" i="5"/>
  <c r="BT502" i="5"/>
  <c r="BT371" i="5"/>
  <c r="BT543" i="5"/>
  <c r="BT112" i="5"/>
  <c r="BU112" i="5"/>
  <c r="BT345" i="5"/>
  <c r="BT11" i="5"/>
  <c r="BU11" i="5"/>
  <c r="BT135" i="5"/>
  <c r="BU135" i="5"/>
  <c r="BV522" i="5"/>
  <c r="BV79" i="5"/>
  <c r="BW79" i="5"/>
  <c r="BV397" i="5"/>
  <c r="BV137" i="5"/>
  <c r="BW137" i="5"/>
  <c r="BV34" i="5"/>
  <c r="BW34" i="5"/>
  <c r="BV105" i="5"/>
  <c r="BW105" i="5"/>
  <c r="BV133" i="5"/>
  <c r="BW133" i="5"/>
  <c r="BV470" i="5"/>
  <c r="BV457" i="5"/>
  <c r="BV503" i="5"/>
  <c r="BV361" i="5"/>
  <c r="BV24" i="5"/>
  <c r="BW24" i="5"/>
  <c r="BV182" i="5"/>
  <c r="BW182" i="5"/>
  <c r="BV164" i="5"/>
  <c r="BW164" i="5"/>
  <c r="BV472" i="5"/>
  <c r="BV327" i="5"/>
  <c r="BV416" i="5"/>
  <c r="BV375" i="5"/>
  <c r="BW175" i="5"/>
  <c r="BV175" i="5"/>
  <c r="BW233" i="5"/>
  <c r="BV233" i="5"/>
  <c r="BV97" i="5"/>
  <c r="BW97" i="5"/>
  <c r="BV310" i="5"/>
  <c r="BV196" i="5"/>
  <c r="BW196" i="5"/>
  <c r="BV322" i="5"/>
  <c r="BV145" i="5"/>
  <c r="BW145" i="5"/>
  <c r="BV351" i="5"/>
  <c r="BV8" i="5"/>
  <c r="BW8" i="5"/>
  <c r="BV83" i="5"/>
  <c r="BW83" i="5"/>
  <c r="BV218" i="5"/>
  <c r="BW218" i="5"/>
  <c r="BV368" i="5"/>
  <c r="BV435" i="5"/>
  <c r="BV433" i="5"/>
  <c r="BW173" i="5"/>
  <c r="BV173" i="5"/>
  <c r="BV224" i="5"/>
  <c r="BW224" i="5"/>
  <c r="BV499" i="5"/>
  <c r="BV4" i="5"/>
  <c r="BW235" i="5"/>
  <c r="BV235" i="5"/>
  <c r="BV306" i="5"/>
  <c r="BW187" i="5"/>
  <c r="BV187" i="5"/>
  <c r="BV476" i="5"/>
  <c r="BV454" i="5"/>
  <c r="BV131" i="5"/>
  <c r="BW131" i="5"/>
  <c r="BV365" i="5"/>
  <c r="BV529" i="5"/>
  <c r="BV280" i="5"/>
  <c r="BV260" i="5"/>
  <c r="BW260" i="5"/>
  <c r="BV258" i="5"/>
  <c r="BW258" i="5"/>
  <c r="BV313" i="5"/>
  <c r="BV59" i="5"/>
  <c r="BW59" i="5"/>
  <c r="BV300" i="5"/>
  <c r="BV307" i="5"/>
  <c r="BV264" i="5"/>
  <c r="BW264" i="5"/>
  <c r="BV100" i="5"/>
  <c r="BW100" i="5"/>
  <c r="BV87" i="5"/>
  <c r="BW87" i="5"/>
  <c r="BV51" i="5"/>
  <c r="BW51" i="5"/>
  <c r="BT97" i="5"/>
  <c r="BU97" i="5"/>
  <c r="BT114" i="5"/>
  <c r="BU114" i="5"/>
  <c r="BT248" i="5"/>
  <c r="BU248" i="5"/>
  <c r="BT476" i="5"/>
  <c r="BT8" i="5"/>
  <c r="BU8" i="5"/>
  <c r="BT110" i="5"/>
  <c r="BU110" i="5"/>
  <c r="BT334" i="5"/>
  <c r="BT206" i="5"/>
  <c r="BU206" i="5"/>
  <c r="BT365" i="5"/>
  <c r="BT100" i="5"/>
  <c r="BU100" i="5"/>
  <c r="BT319" i="5"/>
  <c r="BT306" i="5"/>
  <c r="BT172" i="5"/>
  <c r="BU172" i="5"/>
  <c r="BV372" i="5"/>
  <c r="BV504" i="5"/>
  <c r="BV22" i="5"/>
  <c r="BW22" i="5"/>
  <c r="BV432" i="5"/>
  <c r="BV101" i="5"/>
  <c r="BW101" i="5"/>
  <c r="BV460" i="5"/>
  <c r="BW261" i="5"/>
  <c r="BV261" i="5"/>
  <c r="BV483" i="5"/>
  <c r="BV230" i="5"/>
  <c r="BW230" i="5"/>
  <c r="BV326" i="5"/>
  <c r="BV236" i="5"/>
  <c r="BW236" i="5"/>
  <c r="BV289" i="5"/>
  <c r="BV256" i="5"/>
  <c r="BW256" i="5"/>
  <c r="BV89" i="5"/>
  <c r="BW89" i="5"/>
  <c r="BV222" i="5"/>
  <c r="BW222" i="5"/>
  <c r="BV535" i="5"/>
  <c r="BV220" i="5"/>
  <c r="BW220" i="5"/>
  <c r="BV489" i="5"/>
  <c r="BV210" i="5"/>
  <c r="BW210" i="5"/>
  <c r="BV418" i="5"/>
  <c r="BV98" i="5"/>
  <c r="BW98" i="5"/>
  <c r="BV370" i="5"/>
  <c r="BW251" i="5"/>
  <c r="BV251" i="5"/>
  <c r="BV284" i="5"/>
  <c r="BV69" i="5"/>
  <c r="BW69" i="5"/>
  <c r="BV360" i="5"/>
  <c r="BV232" i="5"/>
  <c r="BW232" i="5"/>
  <c r="BV166" i="5"/>
  <c r="BW166" i="5"/>
  <c r="BV528" i="5"/>
  <c r="BV461" i="5"/>
  <c r="BV276" i="5"/>
  <c r="BW276" i="5"/>
  <c r="BV329" i="5"/>
  <c r="BW239" i="5"/>
  <c r="BV239" i="5"/>
  <c r="BV140" i="5"/>
  <c r="BW140" i="5"/>
  <c r="BV345" i="5"/>
  <c r="BV466" i="5"/>
  <c r="BV62" i="5"/>
  <c r="BW62" i="5"/>
  <c r="BW231" i="5"/>
  <c r="BV231" i="5"/>
  <c r="BV112" i="5"/>
  <c r="BW112" i="5"/>
  <c r="BV442" i="5"/>
  <c r="BV169" i="5"/>
  <c r="BW169" i="5"/>
  <c r="BV42" i="5"/>
  <c r="BW42" i="5"/>
  <c r="BV374" i="5"/>
  <c r="BW227" i="5"/>
  <c r="BV227" i="5"/>
  <c r="BV378" i="5"/>
  <c r="BW209" i="5"/>
  <c r="BV209" i="5"/>
  <c r="BV328" i="5"/>
  <c r="BV141" i="5"/>
  <c r="BW141" i="5"/>
  <c r="BV303" i="5"/>
  <c r="BV88" i="5"/>
  <c r="BW88" i="5"/>
  <c r="BV146" i="5"/>
  <c r="BW146" i="5"/>
  <c r="BV123" i="5"/>
  <c r="BW123" i="5"/>
  <c r="BT467" i="5"/>
  <c r="BT196" i="5"/>
  <c r="BU196" i="5"/>
  <c r="BU255" i="5"/>
  <c r="BT255" i="5"/>
  <c r="BT531" i="5"/>
  <c r="BT62" i="5"/>
  <c r="BU62" i="5"/>
  <c r="BT171" i="5"/>
  <c r="BU171" i="5"/>
  <c r="BT165" i="5"/>
  <c r="BU165" i="5"/>
  <c r="BU237" i="5"/>
  <c r="BT237" i="5"/>
  <c r="BV371" i="5"/>
  <c r="BV471" i="5"/>
  <c r="BV406" i="5"/>
  <c r="BW275" i="5"/>
  <c r="BV275" i="5"/>
  <c r="BV130" i="5"/>
  <c r="BW130" i="5"/>
  <c r="BV541" i="5"/>
  <c r="BV176" i="5"/>
  <c r="BW176" i="5"/>
  <c r="BV180" i="5"/>
  <c r="BW180" i="5"/>
  <c r="BV367" i="5"/>
  <c r="BV268" i="5"/>
  <c r="BW268" i="5"/>
  <c r="BV93" i="5"/>
  <c r="BW93" i="5"/>
  <c r="BW205" i="5"/>
  <c r="BV205" i="5"/>
  <c r="BV366" i="5"/>
  <c r="BV343" i="5"/>
  <c r="BW259" i="5"/>
  <c r="BV259" i="5"/>
  <c r="BV316" i="5"/>
  <c r="BW257" i="5"/>
  <c r="BV257" i="5"/>
  <c r="BV437" i="5"/>
  <c r="BV174" i="5"/>
  <c r="BW174" i="5"/>
  <c r="BV494" i="5"/>
  <c r="BV18" i="5"/>
  <c r="BW18" i="5"/>
  <c r="BV29" i="5"/>
  <c r="BW29" i="5"/>
  <c r="BV138" i="5"/>
  <c r="BW138" i="5"/>
  <c r="BV12" i="5"/>
  <c r="BW12" i="5"/>
  <c r="BV108" i="5"/>
  <c r="BW108" i="5"/>
  <c r="BV288" i="5"/>
  <c r="BW247" i="5"/>
  <c r="BV247" i="5"/>
  <c r="BV90" i="5"/>
  <c r="BW90" i="5"/>
  <c r="BW217" i="5"/>
  <c r="BV217" i="5"/>
  <c r="BV537" i="5"/>
  <c r="BV285" i="5"/>
  <c r="BV396" i="5"/>
  <c r="BV295" i="5"/>
  <c r="BV254" i="5"/>
  <c r="BW254" i="5"/>
  <c r="BV65" i="5"/>
  <c r="BW65" i="5"/>
  <c r="BW181" i="5"/>
  <c r="BV181" i="5"/>
  <c r="BV521" i="5"/>
  <c r="BV455" i="5"/>
  <c r="BV26" i="5"/>
  <c r="BW26" i="5"/>
  <c r="BV121" i="5"/>
  <c r="BW121" i="5"/>
  <c r="BV336" i="5"/>
  <c r="BV246" i="5"/>
  <c r="BW246" i="5"/>
  <c r="BV498" i="5"/>
  <c r="BV534" i="5"/>
  <c r="BV480" i="5"/>
  <c r="BV491" i="5"/>
  <c r="BV14" i="5"/>
  <c r="BW14" i="5"/>
  <c r="BV95" i="5"/>
  <c r="BW95" i="5"/>
  <c r="BV298" i="5"/>
  <c r="BV400" i="5"/>
  <c r="BV66" i="5"/>
  <c r="BW66" i="5"/>
  <c r="BV305" i="5"/>
  <c r="BV314" i="5"/>
  <c r="BV358" i="5"/>
  <c r="BV519" i="5"/>
  <c r="BV85" i="5"/>
  <c r="BW85" i="5"/>
  <c r="BV155" i="5"/>
  <c r="BW155" i="5"/>
  <c r="BV58" i="5"/>
  <c r="BW58" i="5"/>
  <c r="BT314" i="5"/>
  <c r="BT29" i="5"/>
  <c r="BU29" i="5"/>
  <c r="BT343" i="5"/>
  <c r="BV148" i="5"/>
  <c r="BW148" i="5"/>
  <c r="BV465" i="5"/>
  <c r="BV28" i="5"/>
  <c r="BW28" i="5"/>
  <c r="BV48" i="5"/>
  <c r="BW48" i="5"/>
  <c r="BV135" i="5"/>
  <c r="BW135" i="5"/>
  <c r="BV312" i="5"/>
  <c r="BV171" i="5"/>
  <c r="BW171" i="5"/>
  <c r="BV481" i="5"/>
  <c r="BW203" i="5"/>
  <c r="BV203" i="5"/>
  <c r="BV424" i="5"/>
  <c r="BV64" i="5"/>
  <c r="BW64" i="5"/>
  <c r="BV304" i="5"/>
  <c r="BW263" i="5"/>
  <c r="BV263" i="5"/>
  <c r="BV172" i="5"/>
  <c r="BW172" i="5"/>
  <c r="BV318" i="5"/>
  <c r="BV147" i="5"/>
  <c r="BW147" i="5"/>
  <c r="BV355" i="5"/>
  <c r="BV110" i="5"/>
  <c r="BW110" i="5"/>
  <c r="BV248" i="5"/>
  <c r="BW248" i="5"/>
  <c r="BV81" i="5"/>
  <c r="BW81" i="5"/>
  <c r="BV279" i="5"/>
  <c r="BV515" i="5"/>
  <c r="BV317" i="5"/>
  <c r="BV473" i="5"/>
  <c r="BV404" i="5"/>
  <c r="BV139" i="5"/>
  <c r="BW139" i="5"/>
  <c r="BV319" i="5"/>
  <c r="BV17" i="5"/>
  <c r="BW17" i="5"/>
  <c r="BV157" i="5"/>
  <c r="BW157" i="5"/>
  <c r="BV240" i="5"/>
  <c r="BW240" i="5"/>
  <c r="BV439" i="5"/>
  <c r="BV443" i="5"/>
  <c r="BV352" i="5"/>
  <c r="BW213" i="5"/>
  <c r="BV213" i="5"/>
  <c r="BV278" i="5"/>
  <c r="BV165" i="5"/>
  <c r="BW165" i="5"/>
  <c r="BV536" i="5"/>
  <c r="BV453" i="5"/>
  <c r="BV23" i="5"/>
  <c r="BW23" i="5"/>
  <c r="BW271" i="5"/>
  <c r="BV271" i="5"/>
  <c r="BV126" i="5"/>
  <c r="BW126" i="5"/>
  <c r="BV436" i="5"/>
  <c r="BV134" i="5"/>
  <c r="BW134" i="5"/>
  <c r="BV357" i="5"/>
  <c r="BW185" i="5"/>
  <c r="BV185" i="5"/>
  <c r="BV458" i="5"/>
  <c r="BV11" i="5"/>
  <c r="BW11" i="5"/>
  <c r="BV413" i="5"/>
  <c r="BV401" i="5"/>
  <c r="BV122" i="5"/>
  <c r="BW122" i="5"/>
  <c r="BV411" i="5"/>
  <c r="BV524" i="5"/>
  <c r="BW6" i="5"/>
  <c r="BV354" i="5"/>
  <c r="BV116" i="5"/>
  <c r="BW116" i="5"/>
  <c r="BV71" i="5"/>
  <c r="BW71" i="5"/>
  <c r="BV144" i="5"/>
  <c r="BW144" i="5"/>
  <c r="BT464" i="5"/>
  <c r="BV532" i="5"/>
  <c r="BV244" i="5"/>
  <c r="BW244" i="5"/>
  <c r="BV403" i="5"/>
  <c r="BV438" i="5"/>
  <c r="BV364" i="5"/>
  <c r="BV514" i="5"/>
  <c r="BV485" i="5"/>
  <c r="BV456" i="5"/>
  <c r="BV27" i="5"/>
  <c r="BW27" i="5"/>
  <c r="BV125" i="5"/>
  <c r="BW125" i="5"/>
  <c r="BV167" i="5"/>
  <c r="BW167" i="5"/>
  <c r="BV162" i="5"/>
  <c r="BW162" i="5"/>
  <c r="BV55" i="5"/>
  <c r="BW55" i="5"/>
  <c r="BV63" i="5"/>
  <c r="BW63" i="5"/>
  <c r="BV330" i="5"/>
  <c r="BV525" i="5"/>
  <c r="BW255" i="5"/>
  <c r="BV255" i="5"/>
  <c r="BV342" i="5"/>
  <c r="BV214" i="5"/>
  <c r="BW214" i="5"/>
  <c r="BV490" i="5"/>
  <c r="BV469" i="5"/>
  <c r="BV37" i="5"/>
  <c r="BW37" i="5"/>
  <c r="BV517" i="5"/>
  <c r="BV410" i="5"/>
  <c r="BW245" i="5"/>
  <c r="BV245" i="5"/>
  <c r="BV73" i="5"/>
  <c r="BW73" i="5"/>
  <c r="BV369" i="5"/>
  <c r="BV467" i="5"/>
  <c r="BW243" i="5"/>
  <c r="BV243" i="5"/>
  <c r="BV287" i="5"/>
  <c r="BV143" i="5"/>
  <c r="BW143" i="5"/>
  <c r="BW189" i="5"/>
  <c r="BV189" i="5"/>
  <c r="BV440" i="5"/>
  <c r="BV434" i="5"/>
  <c r="BV380" i="5"/>
  <c r="BV431" i="5"/>
  <c r="BV168" i="5"/>
  <c r="BW168" i="5"/>
  <c r="BV394" i="5"/>
  <c r="BV67" i="5"/>
  <c r="BW67" i="5"/>
  <c r="BV252" i="5"/>
  <c r="BW252" i="5"/>
  <c r="BV216" i="5"/>
  <c r="BW216" i="5"/>
  <c r="BV513" i="5"/>
  <c r="BV441" i="5"/>
  <c r="BV15" i="5"/>
  <c r="BW15" i="5"/>
  <c r="BV54" i="5"/>
  <c r="BW54" i="5"/>
  <c r="BW207" i="5"/>
  <c r="BV207" i="5"/>
  <c r="BV56" i="5"/>
  <c r="BW56" i="5"/>
  <c r="BW199" i="5"/>
  <c r="BV199" i="5"/>
  <c r="BV486" i="5"/>
  <c r="BV407" i="5"/>
  <c r="BV290" i="5"/>
  <c r="BV86" i="5"/>
  <c r="BW86" i="5"/>
  <c r="BV76" i="5"/>
  <c r="BW76" i="5"/>
  <c r="BS170" i="5"/>
  <c r="BR170" i="5"/>
  <c r="BS129" i="5"/>
  <c r="BR129" i="5"/>
  <c r="BR132" i="5"/>
  <c r="BS132" i="5"/>
  <c r="BR265" i="5"/>
  <c r="BS265" i="5"/>
  <c r="BS120" i="5"/>
  <c r="BR120" i="5"/>
  <c r="BS270" i="5"/>
  <c r="BR270" i="5"/>
  <c r="BS41" i="5"/>
  <c r="BR41" i="5"/>
  <c r="AZ316" i="5"/>
  <c r="AZ198" i="5"/>
  <c r="AZ468" i="5"/>
  <c r="AZ87" i="5"/>
  <c r="AZ249" i="5"/>
  <c r="AZ454" i="5"/>
  <c r="AZ21" i="5"/>
  <c r="AY170" i="5"/>
  <c r="AY129" i="5"/>
  <c r="AY120" i="5"/>
  <c r="AY265" i="5"/>
  <c r="AY41" i="5"/>
  <c r="AZ543" i="5"/>
  <c r="AZ267" i="5"/>
  <c r="AZ29" i="5"/>
  <c r="AZ502" i="5"/>
  <c r="AZ196" i="5"/>
  <c r="AZ248" i="5"/>
  <c r="AZ476" i="5"/>
  <c r="AZ8" i="5"/>
  <c r="AZ110" i="5"/>
  <c r="AZ365" i="5"/>
  <c r="AZ100" i="5"/>
  <c r="AZ319" i="5"/>
  <c r="AZ306" i="5"/>
  <c r="AZ307" i="5"/>
  <c r="AZ168" i="5"/>
  <c r="AZ79" i="5"/>
  <c r="AZ116" i="5"/>
  <c r="AZ23" i="5"/>
  <c r="AZ6" i="5"/>
  <c r="BS6" i="5" s="1"/>
  <c r="AZ125" i="5"/>
  <c r="AZ11" i="5"/>
  <c r="AZ114" i="5"/>
  <c r="AZ237" i="5"/>
  <c r="AZ457" i="5"/>
  <c r="AZ456" i="5"/>
  <c r="AZ467" i="5"/>
  <c r="AZ62" i="5"/>
  <c r="AZ231" i="5"/>
  <c r="AZ239" i="5"/>
  <c r="AZ251" i="5"/>
  <c r="AZ466" i="5"/>
  <c r="AZ112" i="5"/>
  <c r="AZ135" i="5"/>
  <c r="AZ451" i="5"/>
  <c r="AZ314" i="5"/>
  <c r="AZ12" i="5"/>
  <c r="AZ464" i="5"/>
  <c r="AZ427" i="5"/>
  <c r="AZ415" i="5"/>
  <c r="AZ383" i="5"/>
  <c r="AZ391" i="5"/>
  <c r="AZ255" i="5"/>
  <c r="AZ416" i="5"/>
  <c r="AZ4" i="5"/>
  <c r="AZ235" i="5"/>
  <c r="AZ15" i="5"/>
  <c r="AZ434" i="5"/>
  <c r="AZ67" i="5"/>
  <c r="AZ500" i="5"/>
  <c r="AZ315" i="5"/>
  <c r="AZ417" i="5"/>
  <c r="AZ418" i="5"/>
  <c r="AZ167" i="5"/>
  <c r="AZ465" i="5"/>
  <c r="AZ105" i="5"/>
  <c r="AZ541" i="5"/>
  <c r="AZ244" i="5"/>
  <c r="AZ318" i="5"/>
  <c r="AZ312" i="5"/>
  <c r="AZ475" i="5"/>
  <c r="AZ200" i="5"/>
  <c r="AZ501" i="5"/>
  <c r="AZ367" i="5"/>
  <c r="AZ455" i="5"/>
  <c r="AZ203" i="5"/>
  <c r="AZ205" i="5"/>
  <c r="AZ313" i="5"/>
  <c r="AZ433" i="5"/>
  <c r="AZ250" i="5"/>
  <c r="AZ66" i="5"/>
  <c r="AZ260" i="5"/>
  <c r="AZ366" i="5"/>
  <c r="AZ26" i="5"/>
  <c r="BZ4" i="5" l="1"/>
  <c r="AS4" i="5"/>
  <c r="AX4" i="5" s="1"/>
  <c r="AT4" i="5"/>
  <c r="BZ467" i="5"/>
  <c r="AS467" i="5"/>
  <c r="BZ26" i="5"/>
  <c r="CA26" i="5"/>
  <c r="AT26" i="5"/>
  <c r="AS26" i="5"/>
  <c r="CA244" i="5"/>
  <c r="BZ244" i="5"/>
  <c r="AT244" i="5"/>
  <c r="AS244" i="5"/>
  <c r="BZ500" i="5"/>
  <c r="AS500" i="5"/>
  <c r="BZ391" i="5"/>
  <c r="AS391" i="5"/>
  <c r="CA135" i="5"/>
  <c r="BZ135" i="5"/>
  <c r="AT135" i="5"/>
  <c r="AS135" i="5"/>
  <c r="BZ456" i="5"/>
  <c r="AS456" i="5"/>
  <c r="CA116" i="5"/>
  <c r="BZ116" i="5"/>
  <c r="AS116" i="5"/>
  <c r="AT116" i="5"/>
  <c r="CA110" i="5"/>
  <c r="BZ110" i="5"/>
  <c r="AS110" i="5"/>
  <c r="AT110" i="5"/>
  <c r="BZ543" i="5"/>
  <c r="AS543" i="5"/>
  <c r="CA21" i="5"/>
  <c r="BZ21" i="5"/>
  <c r="AT21" i="5"/>
  <c r="AS21" i="5"/>
  <c r="CA205" i="5"/>
  <c r="BZ205" i="5"/>
  <c r="AS205" i="5"/>
  <c r="AT205" i="5"/>
  <c r="CA267" i="5"/>
  <c r="BZ267" i="5"/>
  <c r="AT267" i="5"/>
  <c r="AS267" i="5"/>
  <c r="BZ455" i="5"/>
  <c r="AS455" i="5"/>
  <c r="BZ541" i="5"/>
  <c r="AS541" i="5"/>
  <c r="CA67" i="5"/>
  <c r="BZ67" i="5"/>
  <c r="AT67" i="5"/>
  <c r="AS67" i="5"/>
  <c r="BZ383" i="5"/>
  <c r="AS383" i="5"/>
  <c r="CA112" i="5"/>
  <c r="BZ112" i="5"/>
  <c r="AT112" i="5"/>
  <c r="AS112" i="5"/>
  <c r="BZ457" i="5"/>
  <c r="AS457" i="5"/>
  <c r="CA79" i="5"/>
  <c r="BZ79" i="5"/>
  <c r="AT79" i="5"/>
  <c r="AS79" i="5"/>
  <c r="BZ8" i="5"/>
  <c r="CA8" i="5"/>
  <c r="AS8" i="5"/>
  <c r="AT8" i="5"/>
  <c r="BZ454" i="5"/>
  <c r="AS454" i="5"/>
  <c r="BZ365" i="5"/>
  <c r="AS365" i="5"/>
  <c r="BZ366" i="5"/>
  <c r="AS366" i="5"/>
  <c r="CA105" i="5"/>
  <c r="BZ105" i="5"/>
  <c r="AT105" i="5"/>
  <c r="AS105" i="5"/>
  <c r="AX105" i="5" s="1"/>
  <c r="BZ434" i="5"/>
  <c r="AS434" i="5"/>
  <c r="BZ415" i="5"/>
  <c r="AS415" i="5"/>
  <c r="BZ466" i="5"/>
  <c r="AS466" i="5"/>
  <c r="CA237" i="5"/>
  <c r="BZ237" i="5"/>
  <c r="AT237" i="5"/>
  <c r="AY237" i="5" s="1"/>
  <c r="AS237" i="5"/>
  <c r="CA168" i="5"/>
  <c r="BZ168" i="5"/>
  <c r="AS168" i="5"/>
  <c r="AT168" i="5"/>
  <c r="BZ476" i="5"/>
  <c r="AS476" i="5"/>
  <c r="CA249" i="5"/>
  <c r="BZ249" i="5"/>
  <c r="AS249" i="5"/>
  <c r="AT249" i="5"/>
  <c r="AY249" i="5" s="1"/>
  <c r="BZ315" i="5"/>
  <c r="AS315" i="5"/>
  <c r="CA260" i="5"/>
  <c r="BZ260" i="5"/>
  <c r="AT260" i="5"/>
  <c r="AY260" i="5" s="1"/>
  <c r="AS260" i="5"/>
  <c r="CA66" i="5"/>
  <c r="BZ66" i="5"/>
  <c r="AS66" i="5"/>
  <c r="AT66" i="5"/>
  <c r="BZ501" i="5"/>
  <c r="AS501" i="5"/>
  <c r="BZ465" i="5"/>
  <c r="AS465" i="5"/>
  <c r="CA15" i="5"/>
  <c r="BZ15" i="5"/>
  <c r="AS15" i="5"/>
  <c r="AT15" i="5"/>
  <c r="BZ427" i="5"/>
  <c r="AS427" i="5"/>
  <c r="CA251" i="5"/>
  <c r="BZ251" i="5"/>
  <c r="AT251" i="5"/>
  <c r="AS251" i="5"/>
  <c r="CA114" i="5"/>
  <c r="BZ114" i="5"/>
  <c r="AS114" i="5"/>
  <c r="AT114" i="5"/>
  <c r="AY114" i="5" s="1"/>
  <c r="BZ307" i="5"/>
  <c r="AS307" i="5"/>
  <c r="BZ248" i="5"/>
  <c r="CA248" i="5"/>
  <c r="AT248" i="5"/>
  <c r="AS248" i="5"/>
  <c r="CA87" i="5"/>
  <c r="BZ87" i="5"/>
  <c r="AS87" i="5"/>
  <c r="AT87" i="5"/>
  <c r="CA255" i="5"/>
  <c r="BZ255" i="5"/>
  <c r="AS255" i="5"/>
  <c r="AT255" i="5"/>
  <c r="CA203" i="5"/>
  <c r="BZ203" i="5"/>
  <c r="AT203" i="5"/>
  <c r="AS203" i="5"/>
  <c r="BZ250" i="5"/>
  <c r="CA250" i="5"/>
  <c r="AT250" i="5"/>
  <c r="AS250" i="5"/>
  <c r="BZ200" i="5"/>
  <c r="CA200" i="5"/>
  <c r="AS200" i="5"/>
  <c r="AT200" i="5"/>
  <c r="CA167" i="5"/>
  <c r="BZ167" i="5"/>
  <c r="AT167" i="5"/>
  <c r="AS167" i="5"/>
  <c r="CA235" i="5"/>
  <c r="BZ235" i="5"/>
  <c r="AT235" i="5"/>
  <c r="AY235" i="5" s="1"/>
  <c r="AS235" i="5"/>
  <c r="BZ464" i="5"/>
  <c r="AS464" i="5"/>
  <c r="CA239" i="5"/>
  <c r="BZ239" i="5"/>
  <c r="AS239" i="5"/>
  <c r="AT239" i="5"/>
  <c r="AY239" i="5" s="1"/>
  <c r="BZ11" i="5"/>
  <c r="CA11" i="5"/>
  <c r="AS11" i="5"/>
  <c r="AT11" i="5"/>
  <c r="AY11" i="5" s="1"/>
  <c r="BZ306" i="5"/>
  <c r="AS306" i="5"/>
  <c r="CA196" i="5"/>
  <c r="BZ196" i="5"/>
  <c r="AT196" i="5"/>
  <c r="AS196" i="5"/>
  <c r="BZ468" i="5"/>
  <c r="AS468" i="5"/>
  <c r="BZ451" i="5"/>
  <c r="AS451" i="5"/>
  <c r="BZ433" i="5"/>
  <c r="AS433" i="5"/>
  <c r="BZ475" i="5"/>
  <c r="AS475" i="5"/>
  <c r="BZ418" i="5"/>
  <c r="AS418" i="5"/>
  <c r="CA4" i="5"/>
  <c r="CA12" i="5"/>
  <c r="BZ12" i="5"/>
  <c r="AS12" i="5"/>
  <c r="AT12" i="5"/>
  <c r="AY12" i="5" s="1"/>
  <c r="CA231" i="5"/>
  <c r="BZ231" i="5"/>
  <c r="AT231" i="5"/>
  <c r="AS231" i="5"/>
  <c r="CA125" i="5"/>
  <c r="BZ125" i="5"/>
  <c r="AS125" i="5"/>
  <c r="AT125" i="5"/>
  <c r="AY125" i="5" s="1"/>
  <c r="BZ319" i="5"/>
  <c r="AS319" i="5"/>
  <c r="BZ502" i="5"/>
  <c r="AS502" i="5"/>
  <c r="CA198" i="5"/>
  <c r="BZ198" i="5"/>
  <c r="AS198" i="5"/>
  <c r="AT198" i="5"/>
  <c r="AY198" i="5" s="1"/>
  <c r="BZ318" i="5"/>
  <c r="AS318" i="5"/>
  <c r="CA23" i="5"/>
  <c r="BZ23" i="5"/>
  <c r="AS23" i="5"/>
  <c r="AT23" i="5"/>
  <c r="BZ367" i="5"/>
  <c r="AS367" i="5"/>
  <c r="BZ313" i="5"/>
  <c r="AS313" i="5"/>
  <c r="BZ312" i="5"/>
  <c r="AS312" i="5"/>
  <c r="BZ417" i="5"/>
  <c r="AS417" i="5"/>
  <c r="BZ416" i="5"/>
  <c r="AS416" i="5"/>
  <c r="BZ314" i="5"/>
  <c r="AS314" i="5"/>
  <c r="CA62" i="5"/>
  <c r="BZ62" i="5"/>
  <c r="AT62" i="5"/>
  <c r="AY62" i="5" s="1"/>
  <c r="AS62" i="5"/>
  <c r="CA6" i="5"/>
  <c r="BZ6" i="5"/>
  <c r="AT6" i="5"/>
  <c r="AY6" i="5" s="1"/>
  <c r="AS6" i="5"/>
  <c r="CA100" i="5"/>
  <c r="BZ100" i="5"/>
  <c r="AT100" i="5"/>
  <c r="AY100" i="5" s="1"/>
  <c r="AS100" i="5"/>
  <c r="CA29" i="5"/>
  <c r="BZ29" i="5"/>
  <c r="AS29" i="5"/>
  <c r="AT29" i="5"/>
  <c r="BZ316" i="5"/>
  <c r="AS316" i="5"/>
  <c r="BR318" i="5"/>
  <c r="BR315" i="5"/>
  <c r="BR451" i="5"/>
  <c r="BR467" i="5"/>
  <c r="BR365" i="5"/>
  <c r="BR500" i="5"/>
  <c r="BR391" i="5"/>
  <c r="BR456" i="5"/>
  <c r="BR543" i="5"/>
  <c r="BR455" i="5"/>
  <c r="BR541" i="5"/>
  <c r="BR383" i="5"/>
  <c r="BR457" i="5"/>
  <c r="BR454" i="5"/>
  <c r="BR366" i="5"/>
  <c r="BR434" i="5"/>
  <c r="BR415" i="5"/>
  <c r="BR466" i="5"/>
  <c r="BR476" i="5"/>
  <c r="BR501" i="5"/>
  <c r="BR465" i="5"/>
  <c r="BR427" i="5"/>
  <c r="BR307" i="5"/>
  <c r="BR464" i="5"/>
  <c r="BR306" i="5"/>
  <c r="BR468" i="5"/>
  <c r="BR367" i="5"/>
  <c r="BR475" i="5"/>
  <c r="BR418" i="5"/>
  <c r="BR319" i="5"/>
  <c r="BR502" i="5"/>
  <c r="BR433" i="5"/>
  <c r="BR313" i="5"/>
  <c r="BR312" i="5"/>
  <c r="BR417" i="5"/>
  <c r="BR416" i="5"/>
  <c r="BR314" i="5"/>
  <c r="BR316" i="5"/>
  <c r="BT461" i="5"/>
  <c r="BT328" i="5"/>
  <c r="BT327" i="5"/>
  <c r="BT95" i="5"/>
  <c r="BU95" i="5"/>
  <c r="BT256" i="5"/>
  <c r="BU256" i="5"/>
  <c r="BU257" i="5"/>
  <c r="BT257" i="5"/>
  <c r="BU253" i="5"/>
  <c r="BT253" i="5"/>
  <c r="BT300" i="5"/>
  <c r="BT122" i="5"/>
  <c r="BU122" i="5"/>
  <c r="BT285" i="5"/>
  <c r="BT69" i="5"/>
  <c r="BU69" i="5"/>
  <c r="BT419" i="5"/>
  <c r="BT22" i="5"/>
  <c r="BU22" i="5"/>
  <c r="BT444" i="5"/>
  <c r="BT305" i="5"/>
  <c r="BT380" i="5"/>
  <c r="BT34" i="5"/>
  <c r="BU34" i="5"/>
  <c r="BT73" i="5"/>
  <c r="BU73" i="5"/>
  <c r="BT192" i="5"/>
  <c r="BU192" i="5"/>
  <c r="BT443" i="5"/>
  <c r="BT115" i="5"/>
  <c r="BU115" i="5"/>
  <c r="BT98" i="5"/>
  <c r="BU98" i="5"/>
  <c r="BT518" i="5"/>
  <c r="BT534" i="5"/>
  <c r="BT540" i="5"/>
  <c r="BT536" i="5"/>
  <c r="BT46" i="5"/>
  <c r="BU46" i="5"/>
  <c r="BT535" i="5"/>
  <c r="BT145" i="5"/>
  <c r="BU145" i="5"/>
  <c r="BT94" i="5"/>
  <c r="BU94" i="5"/>
  <c r="BT140" i="5"/>
  <c r="BU140" i="5"/>
  <c r="BT272" i="5"/>
  <c r="BU272" i="5"/>
  <c r="BT53" i="5"/>
  <c r="BU53" i="5"/>
  <c r="BT33" i="5"/>
  <c r="BU33" i="5"/>
  <c r="BT25" i="5"/>
  <c r="BU25" i="5"/>
  <c r="BU183" i="5"/>
  <c r="BT183" i="5"/>
  <c r="BT3" i="5"/>
  <c r="BU3" i="5"/>
  <c r="BT321" i="5"/>
  <c r="BT389" i="5"/>
  <c r="BU191" i="5"/>
  <c r="BT191" i="5"/>
  <c r="BT13" i="5"/>
  <c r="BU13" i="5"/>
  <c r="BT44" i="5"/>
  <c r="BU44" i="5"/>
  <c r="BT14" i="5"/>
  <c r="BU14" i="5"/>
  <c r="BT390" i="5"/>
  <c r="BT234" i="5"/>
  <c r="BU234" i="5"/>
  <c r="BT463" i="5"/>
  <c r="BT159" i="5"/>
  <c r="BU159" i="5"/>
  <c r="BT107" i="5"/>
  <c r="BU107" i="5"/>
  <c r="BT83" i="5"/>
  <c r="BU83" i="5"/>
  <c r="BV505" i="5"/>
  <c r="BV297" i="5"/>
  <c r="BV348" i="5"/>
  <c r="BV492" i="5"/>
  <c r="BT67" i="5"/>
  <c r="BU67" i="5"/>
  <c r="BT281" i="5"/>
  <c r="BT417" i="5"/>
  <c r="BT383" i="5"/>
  <c r="BV383" i="5"/>
  <c r="BV117" i="5"/>
  <c r="BW117" i="5"/>
  <c r="BW195" i="5"/>
  <c r="BV195" i="5"/>
  <c r="BV194" i="5"/>
  <c r="BW194" i="5"/>
  <c r="BT416" i="5"/>
  <c r="BT501" i="5"/>
  <c r="BT224" i="5"/>
  <c r="BU224" i="5"/>
  <c r="BV107" i="5"/>
  <c r="BW107" i="5"/>
  <c r="BT480" i="5"/>
  <c r="BT482" i="5"/>
  <c r="BT204" i="5"/>
  <c r="BU204" i="5"/>
  <c r="BV341" i="5"/>
  <c r="BT362" i="5"/>
  <c r="BT149" i="5"/>
  <c r="BU149" i="5"/>
  <c r="BV321" i="5"/>
  <c r="BV338" i="5"/>
  <c r="BT369" i="5"/>
  <c r="BT471" i="5"/>
  <c r="BT460" i="5"/>
  <c r="BT522" i="5"/>
  <c r="BT71" i="5"/>
  <c r="BU71" i="5"/>
  <c r="BT258" i="5"/>
  <c r="BU258" i="5"/>
  <c r="BT376" i="5"/>
  <c r="BT351" i="5"/>
  <c r="BT524" i="5"/>
  <c r="BT488" i="5"/>
  <c r="BT113" i="5"/>
  <c r="BU113" i="5"/>
  <c r="BT27" i="5"/>
  <c r="BU27" i="5"/>
  <c r="BU187" i="5"/>
  <c r="BT187" i="5"/>
  <c r="BT75" i="5"/>
  <c r="BU75" i="5"/>
  <c r="BT220" i="5"/>
  <c r="BU220" i="5"/>
  <c r="BT303" i="5"/>
  <c r="BT358" i="5"/>
  <c r="BT298" i="5"/>
  <c r="BU271" i="5"/>
  <c r="BT271" i="5"/>
  <c r="BT51" i="5"/>
  <c r="BU51" i="5"/>
  <c r="BT82" i="5"/>
  <c r="BU82" i="5"/>
  <c r="BT400" i="5"/>
  <c r="BT403" i="5"/>
  <c r="BT37" i="5"/>
  <c r="BU37" i="5"/>
  <c r="BT395" i="5"/>
  <c r="BT17" i="5"/>
  <c r="BU17" i="5"/>
  <c r="BT542" i="5"/>
  <c r="BT474" i="5"/>
  <c r="BT504" i="5"/>
  <c r="BT117" i="5"/>
  <c r="BU117" i="5"/>
  <c r="BT47" i="5"/>
  <c r="BU47" i="5"/>
  <c r="BT348" i="5"/>
  <c r="BT490" i="5"/>
  <c r="BT526" i="5"/>
  <c r="BT511" i="5"/>
  <c r="BT68" i="5"/>
  <c r="BU68" i="5"/>
  <c r="BT508" i="5"/>
  <c r="BT379" i="5"/>
  <c r="BV386" i="5"/>
  <c r="BV474" i="5"/>
  <c r="BT479" i="5"/>
  <c r="BT105" i="5"/>
  <c r="BU105" i="5"/>
  <c r="BT373" i="5"/>
  <c r="BV40" i="5"/>
  <c r="BW40" i="5"/>
  <c r="BV506" i="5"/>
  <c r="BW193" i="5"/>
  <c r="BV193" i="5"/>
  <c r="BV45" i="5"/>
  <c r="BW45" i="5"/>
  <c r="BW10" i="5"/>
  <c r="BT72" i="5"/>
  <c r="BU72" i="5"/>
  <c r="BT344" i="5"/>
  <c r="BV508" i="5"/>
  <c r="BV526" i="5"/>
  <c r="BV388" i="5"/>
  <c r="BV425" i="5"/>
  <c r="BV464" i="5"/>
  <c r="BT262" i="5"/>
  <c r="BU262" i="5"/>
  <c r="BT484" i="5"/>
  <c r="BT491" i="5"/>
  <c r="BT404" i="5"/>
  <c r="BT58" i="5"/>
  <c r="BU58" i="5"/>
  <c r="BT134" i="5"/>
  <c r="BU134" i="5"/>
  <c r="BT326" i="5"/>
  <c r="BT276" i="5"/>
  <c r="BU276" i="5"/>
  <c r="BT70" i="5"/>
  <c r="BU70" i="5"/>
  <c r="BT89" i="5"/>
  <c r="BU89" i="5"/>
  <c r="BU277" i="5"/>
  <c r="BT277" i="5"/>
  <c r="BT144" i="5"/>
  <c r="BU144" i="5"/>
  <c r="BT442" i="5"/>
  <c r="BU245" i="5"/>
  <c r="BT245" i="5"/>
  <c r="BT295" i="5"/>
  <c r="BU177" i="5"/>
  <c r="BT177" i="5"/>
  <c r="BT184" i="5"/>
  <c r="BU184" i="5"/>
  <c r="BT137" i="5"/>
  <c r="BU137" i="5"/>
  <c r="BT437" i="5"/>
  <c r="BT288" i="5"/>
  <c r="BT32" i="5"/>
  <c r="BU32" i="5"/>
  <c r="BT353" i="5"/>
  <c r="BT520" i="5"/>
  <c r="BT517" i="5"/>
  <c r="BT352" i="5"/>
  <c r="BT430" i="5"/>
  <c r="BT360" i="5"/>
  <c r="BT155" i="5"/>
  <c r="BU155" i="5"/>
  <c r="BT350" i="5"/>
  <c r="BT9" i="5"/>
  <c r="BU9" i="5"/>
  <c r="BT59" i="5"/>
  <c r="BU59" i="5"/>
  <c r="BT284" i="5"/>
  <c r="BT514" i="5"/>
  <c r="BT470" i="5"/>
  <c r="BT119" i="5"/>
  <c r="BU119" i="5"/>
  <c r="BT56" i="5"/>
  <c r="BU56" i="5"/>
  <c r="BT317" i="5"/>
  <c r="BT194" i="5"/>
  <c r="BU194" i="5"/>
  <c r="BT232" i="5"/>
  <c r="BU232" i="5"/>
  <c r="BT320" i="5"/>
  <c r="BT452" i="5"/>
  <c r="BT388" i="5"/>
  <c r="BT393" i="5"/>
  <c r="BT43" i="5"/>
  <c r="BU43" i="5"/>
  <c r="BT10" i="5"/>
  <c r="BU10" i="5"/>
  <c r="BT186" i="5"/>
  <c r="BU186" i="5"/>
  <c r="BT252" i="5"/>
  <c r="BU252" i="5"/>
  <c r="BT505" i="5"/>
  <c r="BT339" i="5"/>
  <c r="BT386" i="5"/>
  <c r="BV527" i="5"/>
  <c r="BW179" i="5"/>
  <c r="BV179" i="5"/>
  <c r="BV384" i="5"/>
  <c r="BV106" i="5"/>
  <c r="BW106" i="5"/>
  <c r="BT454" i="5"/>
  <c r="BU233" i="5"/>
  <c r="BT233" i="5"/>
  <c r="BU249" i="5"/>
  <c r="BT249" i="5"/>
  <c r="BV414" i="5"/>
  <c r="BV347" i="5"/>
  <c r="BV415" i="5"/>
  <c r="BV47" i="5"/>
  <c r="BW47" i="5"/>
  <c r="BT87" i="5"/>
  <c r="BU87" i="5"/>
  <c r="BT364" i="5"/>
  <c r="BV156" i="5"/>
  <c r="BW156" i="5"/>
  <c r="BT96" i="5"/>
  <c r="BU96" i="5"/>
  <c r="BT468" i="5"/>
  <c r="BT167" i="5"/>
  <c r="BU167" i="5"/>
  <c r="BV109" i="5"/>
  <c r="BW109" i="5"/>
  <c r="BT366" i="5"/>
  <c r="BT313" i="5"/>
  <c r="BT198" i="5"/>
  <c r="BU198" i="5"/>
  <c r="BV103" i="5"/>
  <c r="BW103" i="5"/>
  <c r="BT418" i="5"/>
  <c r="BT316" i="5"/>
  <c r="BT330" i="5"/>
  <c r="BV451" i="5"/>
  <c r="BT160" i="5"/>
  <c r="BU160" i="5"/>
  <c r="BT533" i="5"/>
  <c r="BT500" i="5"/>
  <c r="BT434" i="5"/>
  <c r="BV426" i="5"/>
  <c r="BV291" i="5"/>
  <c r="BV393" i="5"/>
  <c r="BV477" i="5"/>
  <c r="BV292" i="5"/>
  <c r="BT127" i="5"/>
  <c r="BU127" i="5"/>
  <c r="BT427" i="5"/>
  <c r="BV7" i="5"/>
  <c r="BW7" i="5"/>
  <c r="BV154" i="5"/>
  <c r="BW154" i="5"/>
  <c r="BW197" i="5"/>
  <c r="BV197" i="5"/>
  <c r="BV301" i="5"/>
  <c r="BV392" i="5"/>
  <c r="BT411" i="5"/>
  <c r="BT354" i="5"/>
  <c r="BT226" i="5"/>
  <c r="BU226" i="5"/>
  <c r="BT309" i="5"/>
  <c r="BT139" i="5"/>
  <c r="BU139" i="5"/>
  <c r="BT398" i="5"/>
  <c r="BT538" i="5"/>
  <c r="BT432" i="5"/>
  <c r="BT76" i="5"/>
  <c r="BU76" i="5"/>
  <c r="BT439" i="5"/>
  <c r="BT141" i="5"/>
  <c r="BU141" i="5"/>
  <c r="BT507" i="5"/>
  <c r="BT19" i="5"/>
  <c r="BU19" i="5"/>
  <c r="BT266" i="5"/>
  <c r="BU266" i="5"/>
  <c r="BT48" i="5"/>
  <c r="BU48" i="5"/>
  <c r="BT157" i="5"/>
  <c r="BU157" i="5"/>
  <c r="BT407" i="5"/>
  <c r="BT91" i="5"/>
  <c r="BU91" i="5"/>
  <c r="BT401" i="5"/>
  <c r="BT412" i="5"/>
  <c r="BT152" i="5"/>
  <c r="BU152" i="5"/>
  <c r="BT357" i="5"/>
  <c r="BT322" i="5"/>
  <c r="BT64" i="5"/>
  <c r="BU64" i="5"/>
  <c r="BT396" i="5"/>
  <c r="BT136" i="5"/>
  <c r="BU136" i="5"/>
  <c r="BT356" i="5"/>
  <c r="BT238" i="5"/>
  <c r="BU238" i="5"/>
  <c r="BT472" i="5"/>
  <c r="BT85" i="5"/>
  <c r="BU85" i="5"/>
  <c r="BT337" i="5"/>
  <c r="BT264" i="5"/>
  <c r="BU264" i="5"/>
  <c r="BT166" i="5"/>
  <c r="BU166" i="5"/>
  <c r="BT489" i="5"/>
  <c r="BT30" i="5"/>
  <c r="BU30" i="5"/>
  <c r="BT54" i="5"/>
  <c r="BU54" i="5"/>
  <c r="BT336" i="5"/>
  <c r="BT63" i="5"/>
  <c r="BU63" i="5"/>
  <c r="BT138" i="5"/>
  <c r="BU138" i="5"/>
  <c r="BT299" i="5"/>
  <c r="BT268" i="5"/>
  <c r="BU268" i="5"/>
  <c r="BT441" i="5"/>
  <c r="BT487" i="5"/>
  <c r="BT202" i="5"/>
  <c r="BU202" i="5"/>
  <c r="BT90" i="5"/>
  <c r="BU90" i="5"/>
  <c r="BT397" i="5"/>
  <c r="BT349" i="5"/>
  <c r="BT297" i="5"/>
  <c r="BT477" i="5"/>
  <c r="BT426" i="5"/>
  <c r="BT510" i="5"/>
  <c r="BT109" i="5"/>
  <c r="BU109" i="5"/>
  <c r="BU241" i="5"/>
  <c r="BT241" i="5"/>
  <c r="BT506" i="5"/>
  <c r="BT102" i="5"/>
  <c r="BU102" i="5"/>
  <c r="BT409" i="5"/>
  <c r="BT45" i="5"/>
  <c r="BU45" i="5"/>
  <c r="BT509" i="5"/>
  <c r="BT527" i="5"/>
  <c r="BT329" i="5"/>
  <c r="BV462" i="5"/>
  <c r="BV387" i="5"/>
  <c r="BW221" i="5"/>
  <c r="BV221" i="5"/>
  <c r="BT368" i="5"/>
  <c r="BT496" i="5"/>
  <c r="BT250" i="5"/>
  <c r="BU250" i="5"/>
  <c r="BV228" i="5"/>
  <c r="BW228" i="5"/>
  <c r="BW183" i="5"/>
  <c r="BV183" i="5"/>
  <c r="BV463" i="5"/>
  <c r="BV52" i="5"/>
  <c r="BW52" i="5"/>
  <c r="BW191" i="5"/>
  <c r="BV191" i="5"/>
  <c r="BT26" i="5"/>
  <c r="BU26" i="5"/>
  <c r="BT244" i="5"/>
  <c r="BU244" i="5"/>
  <c r="BV382" i="5"/>
  <c r="BT279" i="5"/>
  <c r="BT312" i="5"/>
  <c r="BU203" i="5"/>
  <c r="BT203" i="5"/>
  <c r="BV427" i="5"/>
  <c r="BT260" i="5"/>
  <c r="BU260" i="5"/>
  <c r="BU205" i="5"/>
  <c r="BT205" i="5"/>
  <c r="BV161" i="5"/>
  <c r="BW161" i="5"/>
  <c r="BV507" i="5"/>
  <c r="BT78" i="5"/>
  <c r="BU78" i="5"/>
  <c r="BV391" i="5"/>
  <c r="BT459" i="5"/>
  <c r="BU243" i="5"/>
  <c r="BT243" i="5"/>
  <c r="BT146" i="5"/>
  <c r="BU146" i="5"/>
  <c r="BU219" i="5"/>
  <c r="BT219" i="5"/>
  <c r="BT525" i="5"/>
  <c r="BU207" i="5"/>
  <c r="BT207" i="5"/>
  <c r="BT359" i="5"/>
  <c r="BT176" i="5"/>
  <c r="BU176" i="5"/>
  <c r="BT516" i="5"/>
  <c r="BT143" i="5"/>
  <c r="BU143" i="5"/>
  <c r="BT124" i="5"/>
  <c r="BU124" i="5"/>
  <c r="BT74" i="5"/>
  <c r="BU74" i="5"/>
  <c r="BT503" i="5"/>
  <c r="BT292" i="5"/>
  <c r="BT425" i="5"/>
  <c r="BT428" i="5"/>
  <c r="BT40" i="5"/>
  <c r="BU40" i="5"/>
  <c r="BT163" i="5"/>
  <c r="BU163" i="5"/>
  <c r="BT103" i="5"/>
  <c r="BU103" i="5"/>
  <c r="BU193" i="5"/>
  <c r="BT193" i="5"/>
  <c r="BT106" i="5"/>
  <c r="BU106" i="5"/>
  <c r="BT512" i="5"/>
  <c r="BT410" i="5"/>
  <c r="BT296" i="5"/>
  <c r="BT283" i="5"/>
  <c r="BT174" i="5"/>
  <c r="BU174" i="5"/>
  <c r="BT435" i="5"/>
  <c r="BT190" i="5"/>
  <c r="BU190" i="5"/>
  <c r="BT473" i="5"/>
  <c r="BU225" i="5"/>
  <c r="BT225" i="5"/>
  <c r="BT436" i="5"/>
  <c r="BT431" i="5"/>
  <c r="BT81" i="5"/>
  <c r="BU81" i="5"/>
  <c r="BT438" i="5"/>
  <c r="BT347" i="5"/>
  <c r="BT118" i="5"/>
  <c r="BU118" i="5"/>
  <c r="BT346" i="5"/>
  <c r="BT382" i="5"/>
  <c r="BT188" i="5"/>
  <c r="BU188" i="5"/>
  <c r="BU195" i="5"/>
  <c r="BT195" i="5"/>
  <c r="BU197" i="5"/>
  <c r="BT197" i="5"/>
  <c r="BT301" i="5"/>
  <c r="BT384" i="5"/>
  <c r="BT478" i="5"/>
  <c r="BT387" i="5"/>
  <c r="BT392" i="5"/>
  <c r="BT86" i="5"/>
  <c r="BU86" i="5"/>
  <c r="BT52" i="5"/>
  <c r="BU52" i="5"/>
  <c r="BT374" i="5"/>
  <c r="BV16" i="5"/>
  <c r="BW16" i="5"/>
  <c r="BT530" i="5"/>
  <c r="BU229" i="5"/>
  <c r="BT229" i="5"/>
  <c r="BT128" i="5"/>
  <c r="BU128" i="5"/>
  <c r="BT391" i="5"/>
  <c r="BV509" i="5"/>
  <c r="BV346" i="5"/>
  <c r="BW223" i="5"/>
  <c r="BV223" i="5"/>
  <c r="BV511" i="5"/>
  <c r="BV447" i="5"/>
  <c r="BT315" i="5"/>
  <c r="BV293" i="5"/>
  <c r="BV68" i="5"/>
  <c r="BW68" i="5"/>
  <c r="BV153" i="5"/>
  <c r="BW153" i="5"/>
  <c r="BV510" i="5"/>
  <c r="BV512" i="5"/>
  <c r="BV38" i="5"/>
  <c r="BW38" i="5"/>
  <c r="BT286" i="5"/>
  <c r="BT84" i="5"/>
  <c r="BU84" i="5"/>
  <c r="BU173" i="5"/>
  <c r="BT173" i="5"/>
  <c r="BT394" i="5"/>
  <c r="BT28" i="5"/>
  <c r="BU28" i="5"/>
  <c r="BT331" i="5"/>
  <c r="BT158" i="5"/>
  <c r="BU158" i="5"/>
  <c r="BU259" i="5"/>
  <c r="BT259" i="5"/>
  <c r="BT378" i="5"/>
  <c r="BT377" i="5"/>
  <c r="BT458" i="5"/>
  <c r="BT469" i="5"/>
  <c r="BT236" i="5"/>
  <c r="BU236" i="5"/>
  <c r="BT302" i="5"/>
  <c r="BT523" i="5"/>
  <c r="BT289" i="5"/>
  <c r="BT413" i="5"/>
  <c r="BT92" i="5"/>
  <c r="BU92" i="5"/>
  <c r="BT151" i="5"/>
  <c r="BU151" i="5"/>
  <c r="BT310" i="5"/>
  <c r="BT406" i="5"/>
  <c r="BT446" i="5"/>
  <c r="BT36" i="5"/>
  <c r="BU36" i="5"/>
  <c r="BT274" i="5"/>
  <c r="BU274" i="5"/>
  <c r="BT424" i="5"/>
  <c r="BT399" i="5"/>
  <c r="BT31" i="5"/>
  <c r="BU31" i="5"/>
  <c r="BU275" i="5"/>
  <c r="BT275" i="5"/>
  <c r="BT539" i="5"/>
  <c r="BT35" i="5"/>
  <c r="BU35" i="5"/>
  <c r="BT513" i="5"/>
  <c r="BT121" i="5"/>
  <c r="BU121" i="5"/>
  <c r="BT333" i="5"/>
  <c r="BT246" i="5"/>
  <c r="BU246" i="5"/>
  <c r="BT131" i="5"/>
  <c r="BU131" i="5"/>
  <c r="BT521" i="5"/>
  <c r="BU263" i="5"/>
  <c r="BT263" i="5"/>
  <c r="BU211" i="5"/>
  <c r="BT211" i="5"/>
  <c r="BT355" i="5"/>
  <c r="BT60" i="5"/>
  <c r="BU60" i="5"/>
  <c r="BT208" i="5"/>
  <c r="BU208" i="5"/>
  <c r="BT375" i="5"/>
  <c r="BT99" i="5"/>
  <c r="BU99" i="5"/>
  <c r="BU213" i="5"/>
  <c r="BT213" i="5"/>
  <c r="BT340" i="5"/>
  <c r="BT341" i="5"/>
  <c r="BT338" i="5"/>
  <c r="BT16" i="5"/>
  <c r="BU16" i="5"/>
  <c r="BT499" i="5"/>
  <c r="BT492" i="5"/>
  <c r="BT38" i="5"/>
  <c r="BU38" i="5"/>
  <c r="BT453" i="5"/>
  <c r="BT154" i="5"/>
  <c r="BU154" i="5"/>
  <c r="BT108" i="5"/>
  <c r="BU108" i="5"/>
  <c r="BT447" i="5"/>
  <c r="BT161" i="5"/>
  <c r="BU161" i="5"/>
  <c r="BT385" i="5"/>
  <c r="BT182" i="5"/>
  <c r="BU182" i="5"/>
  <c r="BV390" i="5"/>
  <c r="BV188" i="5"/>
  <c r="BW188" i="5"/>
  <c r="BV339" i="5"/>
  <c r="BV163" i="5"/>
  <c r="BW163" i="5"/>
  <c r="BT200" i="5"/>
  <c r="BU200" i="5"/>
  <c r="BT475" i="5"/>
  <c r="BT15" i="5"/>
  <c r="BU15" i="5"/>
  <c r="BV74" i="5"/>
  <c r="BW74" i="5"/>
  <c r="BV349" i="5"/>
  <c r="BV428" i="5"/>
  <c r="BV448" i="5"/>
  <c r="BV340" i="5"/>
  <c r="BU201" i="5"/>
  <c r="BT201" i="5"/>
  <c r="BT367" i="5"/>
  <c r="BV43" i="5"/>
  <c r="BW43" i="5"/>
  <c r="BU235" i="5"/>
  <c r="BT235" i="5"/>
  <c r="BT318" i="5"/>
  <c r="BT455" i="5"/>
  <c r="BV385" i="5"/>
  <c r="BT242" i="5"/>
  <c r="BU242" i="5"/>
  <c r="BT66" i="5"/>
  <c r="BU66" i="5"/>
  <c r="BV452" i="5"/>
  <c r="BV77" i="5"/>
  <c r="BW77" i="5"/>
  <c r="BT433" i="5"/>
  <c r="BT150" i="5"/>
  <c r="BU150" i="5"/>
  <c r="BT402" i="5"/>
  <c r="BT101" i="5"/>
  <c r="BU101" i="5"/>
  <c r="BT440" i="5"/>
  <c r="BU199" i="5"/>
  <c r="BT199" i="5"/>
  <c r="BT210" i="5"/>
  <c r="BU210" i="5"/>
  <c r="BT485" i="5"/>
  <c r="BT24" i="5"/>
  <c r="BU24" i="5"/>
  <c r="BT486" i="5"/>
  <c r="BT515" i="5"/>
  <c r="BT537" i="5"/>
  <c r="BT93" i="5"/>
  <c r="BU93" i="5"/>
  <c r="BT519" i="5"/>
  <c r="BT429" i="5"/>
  <c r="BT123" i="5"/>
  <c r="BU123" i="5"/>
  <c r="BT50" i="5"/>
  <c r="BU50" i="5"/>
  <c r="BT445" i="5"/>
  <c r="BT282" i="5"/>
  <c r="BT308" i="5"/>
  <c r="BT304" i="5"/>
  <c r="BU209" i="5"/>
  <c r="BT209" i="5"/>
  <c r="BU273" i="5"/>
  <c r="BT273" i="5"/>
  <c r="BU227" i="5"/>
  <c r="BT227" i="5"/>
  <c r="BT311" i="5"/>
  <c r="BT130" i="5"/>
  <c r="BU130" i="5"/>
  <c r="BT126" i="5"/>
  <c r="BU126" i="5"/>
  <c r="BT147" i="5"/>
  <c r="BU147" i="5"/>
  <c r="BU269" i="5"/>
  <c r="BT269" i="5"/>
  <c r="BT408" i="5"/>
  <c r="BT332" i="5"/>
  <c r="BT361" i="5"/>
  <c r="BT287" i="5"/>
  <c r="BT88" i="5"/>
  <c r="BU88" i="5"/>
  <c r="BU247" i="5"/>
  <c r="BT247" i="5"/>
  <c r="BT80" i="5"/>
  <c r="BU80" i="5"/>
  <c r="BU261" i="5"/>
  <c r="BT261" i="5"/>
  <c r="BU175" i="5"/>
  <c r="BT175" i="5"/>
  <c r="BT293" i="5"/>
  <c r="BT49" i="5"/>
  <c r="BU49" i="5"/>
  <c r="BT254" i="5"/>
  <c r="BU254" i="5"/>
  <c r="BT65" i="5"/>
  <c r="BU65" i="5"/>
  <c r="BT156" i="5"/>
  <c r="BU156" i="5"/>
  <c r="BT104" i="5"/>
  <c r="BU104" i="5"/>
  <c r="BT7" i="5"/>
  <c r="BU7" i="5"/>
  <c r="BT462" i="5"/>
  <c r="BT294" i="5"/>
  <c r="BT414" i="5"/>
  <c r="BT290" i="5"/>
  <c r="BT291" i="5"/>
  <c r="BT405" i="5"/>
  <c r="BT451" i="5"/>
  <c r="BV118" i="5"/>
  <c r="BW118" i="5"/>
  <c r="BT4" i="5"/>
  <c r="BU4" i="5"/>
  <c r="BT21" i="5"/>
  <c r="BU21" i="5"/>
  <c r="BT18" i="5"/>
  <c r="BU18" i="5"/>
  <c r="BV44" i="5"/>
  <c r="BW44" i="5"/>
  <c r="BV104" i="5"/>
  <c r="BW104" i="5"/>
  <c r="BT153" i="5"/>
  <c r="BU153" i="5"/>
  <c r="BW3" i="5"/>
  <c r="BT415" i="5"/>
  <c r="BV49" i="5"/>
  <c r="BW49" i="5"/>
  <c r="BT178" i="5"/>
  <c r="BU178" i="5"/>
  <c r="BV450" i="5"/>
  <c r="BV478" i="5"/>
  <c r="BV449" i="5"/>
  <c r="BV389" i="5"/>
  <c r="BV320" i="5"/>
  <c r="BV186" i="5"/>
  <c r="BW186" i="5"/>
  <c r="BS250" i="5"/>
  <c r="BR250" i="5"/>
  <c r="AY200" i="5"/>
  <c r="BS200" i="5"/>
  <c r="BR200" i="5"/>
  <c r="AX167" i="5"/>
  <c r="BS167" i="5"/>
  <c r="BR167" i="5"/>
  <c r="AX15" i="5"/>
  <c r="BR15" i="5"/>
  <c r="BS15" i="5"/>
  <c r="BS112" i="5"/>
  <c r="BR112" i="5"/>
  <c r="BR11" i="5"/>
  <c r="BS11" i="5"/>
  <c r="BS23" i="5"/>
  <c r="BR23" i="5"/>
  <c r="AX110" i="5"/>
  <c r="BR110" i="5"/>
  <c r="BS110" i="5"/>
  <c r="BR235" i="5"/>
  <c r="BS235" i="5"/>
  <c r="AX62" i="5"/>
  <c r="BS62" i="5"/>
  <c r="BR62" i="5"/>
  <c r="BR116" i="5"/>
  <c r="BS116" i="5"/>
  <c r="BS8" i="5"/>
  <c r="BR8" i="5"/>
  <c r="BR4" i="5"/>
  <c r="BS4" i="5"/>
  <c r="BS12" i="5"/>
  <c r="BR12" i="5"/>
  <c r="AX29" i="5"/>
  <c r="BS29" i="5"/>
  <c r="BR29" i="5"/>
  <c r="BR251" i="5"/>
  <c r="BS251" i="5"/>
  <c r="BS248" i="5"/>
  <c r="BR248" i="5"/>
  <c r="AX267" i="5"/>
  <c r="BS267" i="5"/>
  <c r="BR267" i="5"/>
  <c r="BR205" i="5"/>
  <c r="BS205" i="5"/>
  <c r="BR26" i="5"/>
  <c r="BS26" i="5"/>
  <c r="AX203" i="5"/>
  <c r="BS203" i="5"/>
  <c r="BR203" i="5"/>
  <c r="BS244" i="5"/>
  <c r="BR244" i="5"/>
  <c r="BS21" i="5"/>
  <c r="BR21" i="5"/>
  <c r="AX255" i="5"/>
  <c r="BS255" i="5"/>
  <c r="BR255" i="5"/>
  <c r="BS239" i="5"/>
  <c r="BR239" i="5"/>
  <c r="BR100" i="5"/>
  <c r="BS100" i="5"/>
  <c r="AY135" i="5"/>
  <c r="BR135" i="5"/>
  <c r="BS135" i="5"/>
  <c r="BS196" i="5"/>
  <c r="BR196" i="5"/>
  <c r="BS249" i="5"/>
  <c r="BR249" i="5"/>
  <c r="AY87" i="5"/>
  <c r="BR87" i="5"/>
  <c r="BS87" i="5"/>
  <c r="AX198" i="5"/>
  <c r="BR198" i="5"/>
  <c r="BS198" i="5"/>
  <c r="AX125" i="5"/>
  <c r="BS125" i="5"/>
  <c r="BR125" i="5"/>
  <c r="AX79" i="5"/>
  <c r="BS79" i="5"/>
  <c r="BR79" i="5"/>
  <c r="BS260" i="5"/>
  <c r="BR260" i="5"/>
  <c r="BS105" i="5"/>
  <c r="BR105" i="5"/>
  <c r="BS67" i="5"/>
  <c r="BR67" i="5"/>
  <c r="BS237" i="5"/>
  <c r="BR237" i="5"/>
  <c r="BR6" i="5"/>
  <c r="BR168" i="5"/>
  <c r="BS168" i="5"/>
  <c r="AX66" i="5"/>
  <c r="BR66" i="5"/>
  <c r="BS66" i="5"/>
  <c r="BS231" i="5"/>
  <c r="BR231" i="5"/>
  <c r="AX114" i="5"/>
  <c r="BS114" i="5"/>
  <c r="BR114" i="5"/>
  <c r="AY116" i="5"/>
  <c r="AX8" i="5"/>
  <c r="AU129" i="5"/>
  <c r="AW129" i="5" s="1"/>
  <c r="AX129" i="5"/>
  <c r="AX41" i="5"/>
  <c r="AU41" i="5"/>
  <c r="AW41" i="5" s="1"/>
  <c r="AY67" i="5"/>
  <c r="AX270" i="5"/>
  <c r="AU270" i="5"/>
  <c r="AW270" i="5" s="1"/>
  <c r="AY26" i="5"/>
  <c r="AY66" i="5"/>
  <c r="AY250" i="5"/>
  <c r="AY205" i="5"/>
  <c r="AY203" i="5"/>
  <c r="AY244" i="5"/>
  <c r="AY105" i="5"/>
  <c r="AY167" i="5"/>
  <c r="AY21" i="5"/>
  <c r="AY15" i="5"/>
  <c r="AY4" i="5"/>
  <c r="AY255" i="5"/>
  <c r="AY112" i="5"/>
  <c r="AY251" i="5"/>
  <c r="AY231" i="5"/>
  <c r="AY23" i="5"/>
  <c r="AY79" i="5"/>
  <c r="AY168" i="5"/>
  <c r="AY110" i="5"/>
  <c r="AY8" i="5"/>
  <c r="AY248" i="5"/>
  <c r="AY196" i="5"/>
  <c r="AY29" i="5"/>
  <c r="AY267" i="5"/>
  <c r="AW422" i="5"/>
  <c r="AX422" i="5"/>
  <c r="AW423" i="5"/>
  <c r="AX423" i="5"/>
  <c r="AX421" i="5"/>
  <c r="AW421" i="5"/>
  <c r="AX265" i="5"/>
  <c r="AU265" i="5"/>
  <c r="AW265" i="5" s="1"/>
  <c r="AX420" i="5"/>
  <c r="AW420" i="5"/>
  <c r="AU120" i="5"/>
  <c r="AW120" i="5" s="1"/>
  <c r="AX120" i="5"/>
  <c r="AX132" i="5"/>
  <c r="AU132" i="5"/>
  <c r="AW132" i="5" s="1"/>
  <c r="AX170" i="5"/>
  <c r="AU170" i="5"/>
  <c r="AW170" i="5" s="1"/>
  <c r="AZ515" i="5"/>
  <c r="AZ519" i="5"/>
  <c r="AZ50" i="5"/>
  <c r="AZ484" i="5"/>
  <c r="AZ256" i="5"/>
  <c r="AZ253" i="5"/>
  <c r="AZ122" i="5"/>
  <c r="AZ69" i="5"/>
  <c r="AZ22" i="5"/>
  <c r="AZ380" i="5"/>
  <c r="AZ192" i="5"/>
  <c r="AZ98" i="5"/>
  <c r="AZ46" i="5"/>
  <c r="AZ71" i="5"/>
  <c r="AZ258" i="5"/>
  <c r="AZ404" i="5"/>
  <c r="AZ376" i="5"/>
  <c r="AZ134" i="5"/>
  <c r="AZ326" i="5"/>
  <c r="AZ524" i="5"/>
  <c r="AZ70" i="5"/>
  <c r="AZ488" i="5"/>
  <c r="AZ89" i="5"/>
  <c r="AZ27" i="5"/>
  <c r="AZ75" i="5"/>
  <c r="AZ220" i="5"/>
  <c r="AZ358" i="5"/>
  <c r="AZ298" i="5"/>
  <c r="AZ51" i="5"/>
  <c r="AZ400" i="5"/>
  <c r="AZ277" i="5"/>
  <c r="AZ144" i="5"/>
  <c r="AZ442" i="5"/>
  <c r="AZ245" i="5"/>
  <c r="AZ295" i="5"/>
  <c r="AZ177" i="5"/>
  <c r="AZ184" i="5"/>
  <c r="AZ137" i="5"/>
  <c r="AZ437" i="5"/>
  <c r="AZ288" i="5"/>
  <c r="AZ32" i="5"/>
  <c r="AZ353" i="5"/>
  <c r="AZ520" i="5"/>
  <c r="AZ517" i="5"/>
  <c r="AZ352" i="5"/>
  <c r="AZ430" i="5"/>
  <c r="AZ360" i="5"/>
  <c r="AZ155" i="5"/>
  <c r="AZ350" i="5"/>
  <c r="AZ9" i="5"/>
  <c r="AZ59" i="5"/>
  <c r="AZ284" i="5"/>
  <c r="AZ514" i="5"/>
  <c r="AZ470" i="5"/>
  <c r="AZ119" i="5"/>
  <c r="AZ56" i="5"/>
  <c r="AZ317" i="5"/>
  <c r="AZ194" i="5"/>
  <c r="AZ232" i="5"/>
  <c r="AZ320" i="5"/>
  <c r="AZ452" i="5"/>
  <c r="AZ388" i="5"/>
  <c r="AZ393" i="5"/>
  <c r="AZ43" i="5"/>
  <c r="AZ10" i="5"/>
  <c r="AZ186" i="5"/>
  <c r="AZ252" i="5"/>
  <c r="AZ505" i="5"/>
  <c r="AZ339" i="5"/>
  <c r="AZ386" i="5"/>
  <c r="AZ411" i="5"/>
  <c r="AZ354" i="5"/>
  <c r="AZ309" i="5"/>
  <c r="AZ243" i="5"/>
  <c r="AZ146" i="5"/>
  <c r="AZ139" i="5"/>
  <c r="AZ219" i="5"/>
  <c r="AZ330" i="5"/>
  <c r="AZ398" i="5"/>
  <c r="AZ525" i="5"/>
  <c r="AZ207" i="5"/>
  <c r="AZ538" i="5"/>
  <c r="AZ359" i="5"/>
  <c r="AZ432" i="5"/>
  <c r="AZ176" i="5"/>
  <c r="AZ76" i="5"/>
  <c r="AZ516" i="5"/>
  <c r="AZ439" i="5"/>
  <c r="AZ143" i="5"/>
  <c r="AZ141" i="5"/>
  <c r="AZ124" i="5"/>
  <c r="AZ74" i="5"/>
  <c r="AZ507" i="5"/>
  <c r="AZ503" i="5"/>
  <c r="AZ292" i="5"/>
  <c r="AZ19" i="5"/>
  <c r="AZ425" i="5"/>
  <c r="AZ428" i="5"/>
  <c r="AZ40" i="5"/>
  <c r="AZ163" i="5"/>
  <c r="AZ103" i="5"/>
  <c r="AZ193" i="5"/>
  <c r="AZ106" i="5"/>
  <c r="AZ512" i="5"/>
  <c r="AZ262" i="5"/>
  <c r="AZ91" i="5"/>
  <c r="AZ64" i="5"/>
  <c r="AZ472" i="5"/>
  <c r="AZ264" i="5"/>
  <c r="AZ489" i="5"/>
  <c r="AZ30" i="5"/>
  <c r="AZ63" i="5"/>
  <c r="AZ138" i="5"/>
  <c r="AZ299" i="5"/>
  <c r="AZ268" i="5"/>
  <c r="AZ441" i="5"/>
  <c r="AZ487" i="5"/>
  <c r="AZ202" i="5"/>
  <c r="AZ90" i="5"/>
  <c r="AZ397" i="5"/>
  <c r="AZ349" i="5"/>
  <c r="AZ297" i="5"/>
  <c r="AZ477" i="5"/>
  <c r="AZ426" i="5"/>
  <c r="AZ510" i="5"/>
  <c r="AZ109" i="5"/>
  <c r="AZ241" i="5"/>
  <c r="AZ506" i="5"/>
  <c r="AZ102" i="5"/>
  <c r="AZ409" i="5"/>
  <c r="AZ45" i="5"/>
  <c r="AZ509" i="5"/>
  <c r="AZ527" i="5"/>
  <c r="AZ329" i="5"/>
  <c r="AZ461" i="5"/>
  <c r="AZ328" i="5"/>
  <c r="AZ226" i="5"/>
  <c r="AZ48" i="5"/>
  <c r="AZ157" i="5"/>
  <c r="AZ401" i="5"/>
  <c r="AZ152" i="5"/>
  <c r="AZ322" i="5"/>
  <c r="AZ136" i="5"/>
  <c r="AZ238" i="5"/>
  <c r="AZ337" i="5"/>
  <c r="AZ54" i="5"/>
  <c r="AZ410" i="5"/>
  <c r="AZ440" i="5"/>
  <c r="AZ296" i="5"/>
  <c r="AZ394" i="5"/>
  <c r="AZ28" i="5"/>
  <c r="AZ331" i="5"/>
  <c r="AZ158" i="5"/>
  <c r="AZ259" i="5"/>
  <c r="AZ24" i="5"/>
  <c r="AZ225" i="5"/>
  <c r="AZ431" i="5"/>
  <c r="AZ81" i="5"/>
  <c r="AZ438" i="5"/>
  <c r="AZ347" i="5"/>
  <c r="AZ118" i="5"/>
  <c r="AZ346" i="5"/>
  <c r="AZ382" i="5"/>
  <c r="AZ188" i="5"/>
  <c r="AZ195" i="5"/>
  <c r="AZ197" i="5"/>
  <c r="AZ301" i="5"/>
  <c r="AZ384" i="5"/>
  <c r="AZ478" i="5"/>
  <c r="AZ387" i="5"/>
  <c r="AZ392" i="5"/>
  <c r="AZ86" i="5"/>
  <c r="AZ52" i="5"/>
  <c r="AZ374" i="5"/>
  <c r="AZ471" i="5"/>
  <c r="AZ460" i="5"/>
  <c r="AZ459" i="5"/>
  <c r="AZ266" i="5"/>
  <c r="AZ407" i="5"/>
  <c r="AZ412" i="5"/>
  <c r="AZ357" i="5"/>
  <c r="AZ396" i="5"/>
  <c r="AZ356" i="5"/>
  <c r="AZ85" i="5"/>
  <c r="AZ166" i="5"/>
  <c r="AZ336" i="5"/>
  <c r="AZ150" i="5"/>
  <c r="AZ402" i="5"/>
  <c r="AZ286" i="5"/>
  <c r="AZ101" i="5"/>
  <c r="AZ84" i="5"/>
  <c r="AZ173" i="5"/>
  <c r="AZ283" i="5"/>
  <c r="AZ199" i="5"/>
  <c r="AZ210" i="5"/>
  <c r="AZ174" i="5"/>
  <c r="AZ485" i="5"/>
  <c r="AZ435" i="5"/>
  <c r="AZ190" i="5"/>
  <c r="AZ378" i="5"/>
  <c r="AZ473" i="5"/>
  <c r="AZ377" i="5"/>
  <c r="AZ436" i="5"/>
  <c r="AZ458" i="5"/>
  <c r="AZ469" i="5"/>
  <c r="AZ236" i="5"/>
  <c r="AZ302" i="5"/>
  <c r="AZ523" i="5"/>
  <c r="AZ289" i="5"/>
  <c r="AZ413" i="5"/>
  <c r="AZ92" i="5"/>
  <c r="AZ151" i="5"/>
  <c r="AZ310" i="5"/>
  <c r="AZ406" i="5"/>
  <c r="AZ446" i="5"/>
  <c r="AZ36" i="5"/>
  <c r="AZ274" i="5"/>
  <c r="AZ424" i="5"/>
  <c r="AZ399" i="5"/>
  <c r="AZ31" i="5"/>
  <c r="AZ275" i="5"/>
  <c r="AZ539" i="5"/>
  <c r="AZ35" i="5"/>
  <c r="AZ513" i="5"/>
  <c r="AZ121" i="5"/>
  <c r="AZ333" i="5"/>
  <c r="AZ246" i="5"/>
  <c r="AZ131" i="5"/>
  <c r="AZ521" i="5"/>
  <c r="AZ263" i="5"/>
  <c r="AZ211" i="5"/>
  <c r="AZ355" i="5"/>
  <c r="AZ60" i="5"/>
  <c r="AZ208" i="5"/>
  <c r="AZ375" i="5"/>
  <c r="AZ99" i="5"/>
  <c r="AZ213" i="5"/>
  <c r="AZ340" i="5"/>
  <c r="AZ341" i="5"/>
  <c r="AZ338" i="5"/>
  <c r="AZ16" i="5"/>
  <c r="AZ499" i="5"/>
  <c r="AZ492" i="5"/>
  <c r="AZ38" i="5"/>
  <c r="AZ453" i="5"/>
  <c r="AZ154" i="5"/>
  <c r="AZ108" i="5"/>
  <c r="AZ447" i="5"/>
  <c r="AZ161" i="5"/>
  <c r="AZ385" i="5"/>
  <c r="AZ182" i="5"/>
  <c r="AZ445" i="5"/>
  <c r="AZ308" i="5"/>
  <c r="AZ304" i="5"/>
  <c r="AZ209" i="5"/>
  <c r="AZ273" i="5"/>
  <c r="AZ227" i="5"/>
  <c r="AZ311" i="5"/>
  <c r="AZ130" i="5"/>
  <c r="AZ126" i="5"/>
  <c r="AZ147" i="5"/>
  <c r="AZ269" i="5"/>
  <c r="AZ408" i="5"/>
  <c r="AZ332" i="5"/>
  <c r="AZ361" i="5"/>
  <c r="AZ287" i="5"/>
  <c r="AZ88" i="5"/>
  <c r="AZ247" i="5"/>
  <c r="AZ80" i="5"/>
  <c r="AZ261" i="5"/>
  <c r="AZ175" i="5"/>
  <c r="AZ293" i="5"/>
  <c r="AZ49" i="5"/>
  <c r="AZ254" i="5"/>
  <c r="AZ65" i="5"/>
  <c r="AZ156" i="5"/>
  <c r="AZ104" i="5"/>
  <c r="AZ7" i="5"/>
  <c r="AZ462" i="5"/>
  <c r="AZ294" i="5"/>
  <c r="AZ414" i="5"/>
  <c r="AZ290" i="5"/>
  <c r="AZ291" i="5"/>
  <c r="AZ405" i="5"/>
  <c r="AZ486" i="5"/>
  <c r="AZ93" i="5"/>
  <c r="AZ123" i="5"/>
  <c r="AZ95" i="5"/>
  <c r="AZ285" i="5"/>
  <c r="AZ305" i="5"/>
  <c r="AZ73" i="5"/>
  <c r="AZ115" i="5"/>
  <c r="AZ518" i="5"/>
  <c r="AZ540" i="5"/>
  <c r="AZ536" i="5"/>
  <c r="AZ535" i="5"/>
  <c r="AZ145" i="5"/>
  <c r="AZ94" i="5"/>
  <c r="AZ140" i="5"/>
  <c r="AZ272" i="5"/>
  <c r="AZ53" i="5"/>
  <c r="AZ33" i="5"/>
  <c r="AZ25" i="5"/>
  <c r="AZ183" i="5"/>
  <c r="AZ3" i="5"/>
  <c r="AZ321" i="5"/>
  <c r="AZ389" i="5"/>
  <c r="AZ191" i="5"/>
  <c r="AZ13" i="5"/>
  <c r="AZ44" i="5"/>
  <c r="AZ14" i="5"/>
  <c r="AZ390" i="5"/>
  <c r="AZ234" i="5"/>
  <c r="AZ463" i="5"/>
  <c r="AZ159" i="5"/>
  <c r="AZ107" i="5"/>
  <c r="AZ83" i="5"/>
  <c r="AZ537" i="5"/>
  <c r="AZ429" i="5"/>
  <c r="AZ282" i="5"/>
  <c r="AZ327" i="5"/>
  <c r="AZ257" i="5"/>
  <c r="AZ300" i="5"/>
  <c r="AZ419" i="5"/>
  <c r="AZ444" i="5"/>
  <c r="AZ34" i="5"/>
  <c r="AZ443" i="5"/>
  <c r="AZ534" i="5"/>
  <c r="AZ522" i="5"/>
  <c r="AZ491" i="5"/>
  <c r="AZ58" i="5"/>
  <c r="AZ351" i="5"/>
  <c r="AZ276" i="5"/>
  <c r="AZ113" i="5"/>
  <c r="AZ187" i="5"/>
  <c r="AZ303" i="5"/>
  <c r="AZ271" i="5"/>
  <c r="AZ82" i="5"/>
  <c r="AZ403" i="5"/>
  <c r="AZ37" i="5"/>
  <c r="AZ395" i="5"/>
  <c r="AZ17" i="5"/>
  <c r="AZ542" i="5"/>
  <c r="AZ474" i="5"/>
  <c r="AZ504" i="5"/>
  <c r="AZ117" i="5"/>
  <c r="AZ47" i="5"/>
  <c r="AZ348" i="5"/>
  <c r="AZ490" i="5"/>
  <c r="AZ526" i="5"/>
  <c r="AZ511" i="5"/>
  <c r="AZ68" i="5"/>
  <c r="AZ508" i="5"/>
  <c r="AZ379" i="5"/>
  <c r="AZ497" i="5"/>
  <c r="AZ162" i="5"/>
  <c r="AZ324" i="5"/>
  <c r="AZ449" i="5"/>
  <c r="AZ216" i="5"/>
  <c r="AZ148" i="5"/>
  <c r="AZ342" i="5"/>
  <c r="AZ493" i="5"/>
  <c r="AZ221" i="5"/>
  <c r="AZ185" i="5"/>
  <c r="AZ164" i="5"/>
  <c r="AZ325" i="5"/>
  <c r="AZ61" i="5"/>
  <c r="AZ323" i="5"/>
  <c r="AZ20" i="5"/>
  <c r="AZ218" i="5"/>
  <c r="AZ495" i="5"/>
  <c r="AZ42" i="5"/>
  <c r="AZ498" i="5"/>
  <c r="AZ55" i="5"/>
  <c r="AZ96" i="5"/>
  <c r="AZ494" i="5"/>
  <c r="AZ189" i="5"/>
  <c r="AZ230" i="5"/>
  <c r="AZ171" i="5"/>
  <c r="AZ496" i="5"/>
  <c r="AZ483" i="5"/>
  <c r="AZ335" i="5"/>
  <c r="AZ169" i="5"/>
  <c r="AZ153" i="5"/>
  <c r="AZ482" i="5"/>
  <c r="AZ180" i="5"/>
  <c r="AZ179" i="5"/>
  <c r="AZ72" i="5"/>
  <c r="AZ240" i="5"/>
  <c r="AZ181" i="5"/>
  <c r="AZ39" i="5"/>
  <c r="AZ371" i="5"/>
  <c r="AZ528" i="5"/>
  <c r="AZ206" i="5"/>
  <c r="AZ533" i="5"/>
  <c r="AZ215" i="5"/>
  <c r="AZ531" i="5"/>
  <c r="AZ448" i="5"/>
  <c r="AZ280" i="5"/>
  <c r="AZ133" i="5"/>
  <c r="AZ222" i="5"/>
  <c r="AZ229" i="5"/>
  <c r="AZ345" i="5"/>
  <c r="AZ450" i="5"/>
  <c r="AZ214" i="5"/>
  <c r="AZ78" i="5"/>
  <c r="AZ343" i="5"/>
  <c r="AZ149" i="5"/>
  <c r="AZ368" i="5"/>
  <c r="AZ530" i="5"/>
  <c r="AZ278" i="5"/>
  <c r="AZ373" i="5"/>
  <c r="AZ364" i="5"/>
  <c r="AZ77" i="5"/>
  <c r="AZ223" i="5"/>
  <c r="AZ128" i="5"/>
  <c r="AZ372" i="5"/>
  <c r="AZ281" i="5"/>
  <c r="AZ212" i="5"/>
  <c r="AZ217" i="5"/>
  <c r="AZ228" i="5"/>
  <c r="AZ18" i="5"/>
  <c r="AZ233" i="5"/>
  <c r="AZ224" i="5"/>
  <c r="AZ369" i="5"/>
  <c r="AZ242" i="5"/>
  <c r="AZ334" i="5"/>
  <c r="AZ481" i="5"/>
  <c r="AZ178" i="5"/>
  <c r="AZ479" i="5"/>
  <c r="AZ201" i="5"/>
  <c r="AZ363" i="5"/>
  <c r="AZ172" i="5"/>
  <c r="AZ204" i="5"/>
  <c r="AZ127" i="5"/>
  <c r="AZ370" i="5"/>
  <c r="AZ344" i="5"/>
  <c r="AZ160" i="5"/>
  <c r="AZ529" i="5"/>
  <c r="AZ279" i="5"/>
  <c r="AZ97" i="5"/>
  <c r="AZ480" i="5"/>
  <c r="AZ532" i="5"/>
  <c r="AZ362" i="5"/>
  <c r="AZ165" i="5"/>
  <c r="AZ57" i="5"/>
  <c r="BZ474" i="5" l="1"/>
  <c r="AS474" i="5"/>
  <c r="BZ332" i="5"/>
  <c r="AS332" i="5"/>
  <c r="CA178" i="5"/>
  <c r="BZ178" i="5"/>
  <c r="AT178" i="5"/>
  <c r="AY178" i="5" s="1"/>
  <c r="AS178" i="5"/>
  <c r="CA214" i="5"/>
  <c r="BZ214" i="5"/>
  <c r="AS214" i="5"/>
  <c r="AX214" i="5" s="1"/>
  <c r="AT214" i="5"/>
  <c r="AY214" i="5" s="1"/>
  <c r="BZ324" i="5"/>
  <c r="AS324" i="5"/>
  <c r="CA276" i="5"/>
  <c r="BZ276" i="5"/>
  <c r="AT276" i="5"/>
  <c r="AS276" i="5"/>
  <c r="BZ486" i="5"/>
  <c r="AS486" i="5"/>
  <c r="CA104" i="5"/>
  <c r="BZ104" i="5"/>
  <c r="AT104" i="5"/>
  <c r="AY104" i="5" s="1"/>
  <c r="AS104" i="5"/>
  <c r="BZ80" i="5"/>
  <c r="CA80" i="5"/>
  <c r="AS80" i="5"/>
  <c r="AT80" i="5"/>
  <c r="CA147" i="5"/>
  <c r="BZ147" i="5"/>
  <c r="AS147" i="5"/>
  <c r="AX147" i="5" s="1"/>
  <c r="AT147" i="5"/>
  <c r="AY147" i="5" s="1"/>
  <c r="BZ308" i="5"/>
  <c r="AS308" i="5"/>
  <c r="BZ453" i="5"/>
  <c r="AS453" i="5"/>
  <c r="CA213" i="5"/>
  <c r="BZ213" i="5"/>
  <c r="AT213" i="5"/>
  <c r="AY213" i="5" s="1"/>
  <c r="AS213" i="5"/>
  <c r="BZ521" i="5"/>
  <c r="AS521" i="5"/>
  <c r="CA275" i="5"/>
  <c r="BZ275" i="5"/>
  <c r="AT275" i="5"/>
  <c r="AY275" i="5" s="1"/>
  <c r="AS275" i="5"/>
  <c r="AX275" i="5" s="1"/>
  <c r="BZ310" i="5"/>
  <c r="AS310" i="5"/>
  <c r="BZ469" i="5"/>
  <c r="AS469" i="5"/>
  <c r="BZ485" i="5"/>
  <c r="AS485" i="5"/>
  <c r="BZ286" i="5"/>
  <c r="AS286" i="5"/>
  <c r="BZ357" i="5"/>
  <c r="AS357" i="5"/>
  <c r="CA52" i="5"/>
  <c r="BZ52" i="5"/>
  <c r="AS52" i="5"/>
  <c r="AX52" i="5" s="1"/>
  <c r="AT52" i="5"/>
  <c r="AY52" i="5" s="1"/>
  <c r="CA195" i="5"/>
  <c r="BZ195" i="5"/>
  <c r="AT195" i="5"/>
  <c r="AS195" i="5"/>
  <c r="BZ431" i="5"/>
  <c r="AS431" i="5"/>
  <c r="BZ296" i="5"/>
  <c r="AS296" i="5"/>
  <c r="CA152" i="5"/>
  <c r="BZ152" i="5"/>
  <c r="AS152" i="5"/>
  <c r="AT152" i="5"/>
  <c r="AY152" i="5" s="1"/>
  <c r="BZ527" i="5"/>
  <c r="AS527" i="5"/>
  <c r="BZ510" i="5"/>
  <c r="AS510" i="5"/>
  <c r="BZ487" i="5"/>
  <c r="AS487" i="5"/>
  <c r="BZ264" i="5"/>
  <c r="CA264" i="5"/>
  <c r="AS264" i="5"/>
  <c r="AT264" i="5"/>
  <c r="CA103" i="5"/>
  <c r="BZ103" i="5"/>
  <c r="AS103" i="5"/>
  <c r="AT103" i="5"/>
  <c r="AY103" i="5" s="1"/>
  <c r="BZ507" i="5"/>
  <c r="AS507" i="5"/>
  <c r="CA176" i="5"/>
  <c r="BZ176" i="5"/>
  <c r="AS176" i="5"/>
  <c r="AT176" i="5"/>
  <c r="AY176" i="5" s="1"/>
  <c r="CA219" i="5"/>
  <c r="BZ219" i="5"/>
  <c r="AT219" i="5"/>
  <c r="AY219" i="5" s="1"/>
  <c r="AS219" i="5"/>
  <c r="AX219" i="5" s="1"/>
  <c r="BZ339" i="5"/>
  <c r="AS339" i="5"/>
  <c r="BZ452" i="5"/>
  <c r="AS452" i="5"/>
  <c r="BZ514" i="5"/>
  <c r="AS514" i="5"/>
  <c r="BZ352" i="5"/>
  <c r="AS352" i="5"/>
  <c r="BZ184" i="5"/>
  <c r="CA184" i="5"/>
  <c r="AT184" i="5"/>
  <c r="AS184" i="5"/>
  <c r="AX184" i="5" s="1"/>
  <c r="CA51" i="5"/>
  <c r="BZ51" i="5"/>
  <c r="AS51" i="5"/>
  <c r="AT51" i="5"/>
  <c r="AY51" i="5" s="1"/>
  <c r="CA70" i="5"/>
  <c r="BZ70" i="5"/>
  <c r="AT70" i="5"/>
  <c r="AY70" i="5" s="1"/>
  <c r="AS70" i="5"/>
  <c r="AX70" i="5" s="1"/>
  <c r="CA46" i="5"/>
  <c r="BZ46" i="5"/>
  <c r="AS46" i="5"/>
  <c r="AT46" i="5"/>
  <c r="AY46" i="5" s="1"/>
  <c r="CA256" i="5"/>
  <c r="BZ256" i="5"/>
  <c r="AT256" i="5"/>
  <c r="AS256" i="5"/>
  <c r="AX256" i="5" s="1"/>
  <c r="BZ224" i="5"/>
  <c r="CA224" i="5"/>
  <c r="AT224" i="5"/>
  <c r="AY224" i="5" s="1"/>
  <c r="AS224" i="5"/>
  <c r="CA133" i="5"/>
  <c r="BZ133" i="5"/>
  <c r="AS133" i="5"/>
  <c r="AX133" i="5" s="1"/>
  <c r="AT133" i="5"/>
  <c r="BZ303" i="5"/>
  <c r="AS303" i="5"/>
  <c r="BZ293" i="5"/>
  <c r="AS293" i="5"/>
  <c r="CA228" i="5"/>
  <c r="BZ228" i="5"/>
  <c r="AT228" i="5"/>
  <c r="AY228" i="5" s="1"/>
  <c r="AS228" i="5"/>
  <c r="BZ498" i="5"/>
  <c r="AS498" i="5"/>
  <c r="BZ444" i="5"/>
  <c r="AS444" i="5"/>
  <c r="CA83" i="5"/>
  <c r="BZ83" i="5"/>
  <c r="AT83" i="5"/>
  <c r="AS83" i="5"/>
  <c r="CA13" i="5"/>
  <c r="BZ13" i="5"/>
  <c r="AT13" i="5"/>
  <c r="AY13" i="5" s="1"/>
  <c r="AS13" i="5"/>
  <c r="CA53" i="5"/>
  <c r="BZ53" i="5"/>
  <c r="AS53" i="5"/>
  <c r="AT53" i="5"/>
  <c r="AY53" i="5" s="1"/>
  <c r="BZ481" i="5"/>
  <c r="AS481" i="5"/>
  <c r="CA217" i="5"/>
  <c r="BZ217" i="5"/>
  <c r="AT217" i="5"/>
  <c r="AS217" i="5"/>
  <c r="BZ450" i="5"/>
  <c r="AS450" i="5"/>
  <c r="CA215" i="5"/>
  <c r="BZ215" i="5"/>
  <c r="AS215" i="5"/>
  <c r="AX215" i="5" s="1"/>
  <c r="AT215" i="5"/>
  <c r="AY215" i="5" s="1"/>
  <c r="BZ72" i="5"/>
  <c r="CA72" i="5"/>
  <c r="AS72" i="5"/>
  <c r="AT72" i="5"/>
  <c r="AY72" i="5" s="1"/>
  <c r="BZ496" i="5"/>
  <c r="AS496" i="5"/>
  <c r="BZ42" i="5"/>
  <c r="CA42" i="5"/>
  <c r="AT42" i="5"/>
  <c r="AS42" i="5"/>
  <c r="CA185" i="5"/>
  <c r="BZ185" i="5"/>
  <c r="AS185" i="5"/>
  <c r="AT185" i="5"/>
  <c r="AY185" i="5" s="1"/>
  <c r="BZ162" i="5"/>
  <c r="CA162" i="5"/>
  <c r="AT162" i="5"/>
  <c r="AS162" i="5"/>
  <c r="BZ348" i="5"/>
  <c r="AS348" i="5"/>
  <c r="CA37" i="5"/>
  <c r="BZ37" i="5"/>
  <c r="AT37" i="5"/>
  <c r="AY37" i="5" s="1"/>
  <c r="AS37" i="5"/>
  <c r="BZ351" i="5"/>
  <c r="AS351" i="5"/>
  <c r="BZ419" i="5"/>
  <c r="AS419" i="5"/>
  <c r="CA107" i="5"/>
  <c r="BZ107" i="5"/>
  <c r="AS107" i="5"/>
  <c r="AT107" i="5"/>
  <c r="AY107" i="5" s="1"/>
  <c r="CA191" i="5"/>
  <c r="BZ191" i="5"/>
  <c r="AT191" i="5"/>
  <c r="AY191" i="5" s="1"/>
  <c r="AS191" i="5"/>
  <c r="AX191" i="5" s="1"/>
  <c r="BZ272" i="5"/>
  <c r="CA272" i="5"/>
  <c r="AT272" i="5"/>
  <c r="AY272" i="5" s="1"/>
  <c r="AS272" i="5"/>
  <c r="CA115" i="5"/>
  <c r="BZ115" i="5"/>
  <c r="AT115" i="5"/>
  <c r="AS115" i="5"/>
  <c r="AX115" i="5" s="1"/>
  <c r="BZ405" i="5"/>
  <c r="AS405" i="5"/>
  <c r="CA156" i="5"/>
  <c r="BZ156" i="5"/>
  <c r="AT156" i="5"/>
  <c r="AS156" i="5"/>
  <c r="CA247" i="5"/>
  <c r="BZ247" i="5"/>
  <c r="AT247" i="5"/>
  <c r="AY247" i="5" s="1"/>
  <c r="AS247" i="5"/>
  <c r="CA126" i="5"/>
  <c r="BZ126" i="5"/>
  <c r="AS126" i="5"/>
  <c r="AT126" i="5"/>
  <c r="BZ445" i="5"/>
  <c r="AS445" i="5"/>
  <c r="CA38" i="5"/>
  <c r="BZ38" i="5"/>
  <c r="AT38" i="5"/>
  <c r="AY38" i="5" s="1"/>
  <c r="AS38" i="5"/>
  <c r="BZ99" i="5"/>
  <c r="CA99" i="5"/>
  <c r="AS99" i="5"/>
  <c r="AT99" i="5"/>
  <c r="AY99" i="5" s="1"/>
  <c r="CA131" i="5"/>
  <c r="BZ131" i="5"/>
  <c r="AT131" i="5"/>
  <c r="AY131" i="5" s="1"/>
  <c r="AS131" i="5"/>
  <c r="AX131" i="5" s="1"/>
  <c r="CA31" i="5"/>
  <c r="BZ31" i="5"/>
  <c r="AT31" i="5"/>
  <c r="AY31" i="5" s="1"/>
  <c r="AS31" i="5"/>
  <c r="AX31" i="5" s="1"/>
  <c r="CA151" i="5"/>
  <c r="BZ151" i="5"/>
  <c r="AS151" i="5"/>
  <c r="AT151" i="5"/>
  <c r="AY151" i="5" s="1"/>
  <c r="BZ458" i="5"/>
  <c r="AS458" i="5"/>
  <c r="CA174" i="5"/>
  <c r="BZ174" i="5"/>
  <c r="AT174" i="5"/>
  <c r="AY174" i="5" s="1"/>
  <c r="AS174" i="5"/>
  <c r="AX174" i="5" s="1"/>
  <c r="BZ402" i="5"/>
  <c r="AS402" i="5"/>
  <c r="BZ412" i="5"/>
  <c r="AS412" i="5"/>
  <c r="CA86" i="5"/>
  <c r="BZ86" i="5"/>
  <c r="AT86" i="5"/>
  <c r="AY86" i="5" s="1"/>
  <c r="AS86" i="5"/>
  <c r="CA188" i="5"/>
  <c r="BZ188" i="5"/>
  <c r="AT188" i="5"/>
  <c r="AS188" i="5"/>
  <c r="CA225" i="5"/>
  <c r="BZ225" i="5"/>
  <c r="AS225" i="5"/>
  <c r="AT225" i="5"/>
  <c r="AY225" i="5" s="1"/>
  <c r="BZ440" i="5"/>
  <c r="AS440" i="5"/>
  <c r="BZ401" i="5"/>
  <c r="AS401" i="5"/>
  <c r="BZ509" i="5"/>
  <c r="AS509" i="5"/>
  <c r="BZ426" i="5"/>
  <c r="AS426" i="5"/>
  <c r="BZ441" i="5"/>
  <c r="AS441" i="5"/>
  <c r="BZ472" i="5"/>
  <c r="AS472" i="5"/>
  <c r="BZ163" i="5"/>
  <c r="CA163" i="5"/>
  <c r="AT163" i="5"/>
  <c r="AY163" i="5" s="1"/>
  <c r="AS163" i="5"/>
  <c r="AX163" i="5" s="1"/>
  <c r="CA74" i="5"/>
  <c r="BZ74" i="5"/>
  <c r="AS74" i="5"/>
  <c r="AT74" i="5"/>
  <c r="BZ432" i="5"/>
  <c r="AS432" i="5"/>
  <c r="CA139" i="5"/>
  <c r="BZ139" i="5"/>
  <c r="AS139" i="5"/>
  <c r="AT139" i="5"/>
  <c r="AY139" i="5" s="1"/>
  <c r="BZ505" i="5"/>
  <c r="AS505" i="5"/>
  <c r="BZ320" i="5"/>
  <c r="AS320" i="5"/>
  <c r="BZ284" i="5"/>
  <c r="AS284" i="5"/>
  <c r="BZ517" i="5"/>
  <c r="AS517" i="5"/>
  <c r="CA177" i="5"/>
  <c r="BZ177" i="5"/>
  <c r="AT177" i="5"/>
  <c r="AS177" i="5"/>
  <c r="AX177" i="5" s="1"/>
  <c r="BZ298" i="5"/>
  <c r="AS298" i="5"/>
  <c r="BZ524" i="5"/>
  <c r="AS524" i="5"/>
  <c r="BZ98" i="5"/>
  <c r="CA98" i="5"/>
  <c r="AS98" i="5"/>
  <c r="AT98" i="5"/>
  <c r="AY98" i="5" s="1"/>
  <c r="BZ484" i="5"/>
  <c r="AS484" i="5"/>
  <c r="BZ323" i="5"/>
  <c r="AS323" i="5"/>
  <c r="BZ282" i="5"/>
  <c r="AS282" i="5"/>
  <c r="BZ344" i="5"/>
  <c r="AS344" i="5"/>
  <c r="BZ483" i="5"/>
  <c r="AS483" i="5"/>
  <c r="CA164" i="5"/>
  <c r="BZ164" i="5"/>
  <c r="AS164" i="5"/>
  <c r="AT164" i="5"/>
  <c r="BZ518" i="5"/>
  <c r="AS518" i="5"/>
  <c r="BZ370" i="5"/>
  <c r="AS370" i="5"/>
  <c r="BZ373" i="5"/>
  <c r="AS373" i="5"/>
  <c r="BZ532" i="5"/>
  <c r="AS532" i="5"/>
  <c r="CA127" i="5"/>
  <c r="BZ127" i="5"/>
  <c r="AS127" i="5"/>
  <c r="AX127" i="5" s="1"/>
  <c r="AT127" i="5"/>
  <c r="AY127" i="5" s="1"/>
  <c r="BZ334" i="5"/>
  <c r="AS334" i="5"/>
  <c r="CA212" i="5"/>
  <c r="BZ212" i="5"/>
  <c r="AS212" i="5"/>
  <c r="AX212" i="5" s="1"/>
  <c r="AT212" i="5"/>
  <c r="AY212" i="5" s="1"/>
  <c r="BZ278" i="5"/>
  <c r="AS278" i="5"/>
  <c r="BZ345" i="5"/>
  <c r="AS345" i="5"/>
  <c r="BZ533" i="5"/>
  <c r="AS533" i="5"/>
  <c r="CA179" i="5"/>
  <c r="BZ179" i="5"/>
  <c r="AS179" i="5"/>
  <c r="AX179" i="5" s="1"/>
  <c r="AT179" i="5"/>
  <c r="AY179" i="5" s="1"/>
  <c r="CA171" i="5"/>
  <c r="BZ171" i="5"/>
  <c r="AT171" i="5"/>
  <c r="AS171" i="5"/>
  <c r="BZ495" i="5"/>
  <c r="AS495" i="5"/>
  <c r="CA221" i="5"/>
  <c r="BZ221" i="5"/>
  <c r="AT221" i="5"/>
  <c r="AY221" i="5" s="1"/>
  <c r="AS221" i="5"/>
  <c r="BZ497" i="5"/>
  <c r="AS497" i="5"/>
  <c r="CA47" i="5"/>
  <c r="BZ47" i="5"/>
  <c r="AT47" i="5"/>
  <c r="AY47" i="5" s="1"/>
  <c r="AS47" i="5"/>
  <c r="BZ403" i="5"/>
  <c r="AS403" i="5"/>
  <c r="BZ58" i="5"/>
  <c r="CA58" i="5"/>
  <c r="AS58" i="5"/>
  <c r="AT58" i="5"/>
  <c r="AY58" i="5" s="1"/>
  <c r="BZ300" i="5"/>
  <c r="AS300" i="5"/>
  <c r="CA159" i="5"/>
  <c r="BZ159" i="5"/>
  <c r="AS159" i="5"/>
  <c r="AT159" i="5"/>
  <c r="BZ389" i="5"/>
  <c r="AS389" i="5"/>
  <c r="CA140" i="5"/>
  <c r="BZ140" i="5"/>
  <c r="AT140" i="5"/>
  <c r="AY140" i="5" s="1"/>
  <c r="AS140" i="5"/>
  <c r="CA73" i="5"/>
  <c r="BZ73" i="5"/>
  <c r="AS73" i="5"/>
  <c r="AX73" i="5" s="1"/>
  <c r="AT73" i="5"/>
  <c r="AY73" i="5" s="1"/>
  <c r="BZ291" i="5"/>
  <c r="AS291" i="5"/>
  <c r="CA65" i="5"/>
  <c r="BZ65" i="5"/>
  <c r="AT65" i="5"/>
  <c r="AS65" i="5"/>
  <c r="CA88" i="5"/>
  <c r="BZ88" i="5"/>
  <c r="AS88" i="5"/>
  <c r="AX88" i="5" s="1"/>
  <c r="AT88" i="5"/>
  <c r="AY88" i="5" s="1"/>
  <c r="CA130" i="5"/>
  <c r="BZ130" i="5"/>
  <c r="AT130" i="5"/>
  <c r="AS130" i="5"/>
  <c r="CA182" i="5"/>
  <c r="BZ182" i="5"/>
  <c r="AT182" i="5"/>
  <c r="AY182" i="5" s="1"/>
  <c r="AS182" i="5"/>
  <c r="BZ492" i="5"/>
  <c r="AS492" i="5"/>
  <c r="BZ375" i="5"/>
  <c r="AS375" i="5"/>
  <c r="CA246" i="5"/>
  <c r="BZ246" i="5"/>
  <c r="AT246" i="5"/>
  <c r="AY246" i="5" s="1"/>
  <c r="AS246" i="5"/>
  <c r="AX246" i="5" s="1"/>
  <c r="BZ399" i="5"/>
  <c r="AS399" i="5"/>
  <c r="CA92" i="5"/>
  <c r="BZ92" i="5"/>
  <c r="AT92" i="5"/>
  <c r="AY92" i="5" s="1"/>
  <c r="AS92" i="5"/>
  <c r="AX92" i="5" s="1"/>
  <c r="BZ436" i="5"/>
  <c r="AS436" i="5"/>
  <c r="CA210" i="5"/>
  <c r="BZ210" i="5"/>
  <c r="AS210" i="5"/>
  <c r="AT210" i="5"/>
  <c r="CA150" i="5"/>
  <c r="BZ150" i="5"/>
  <c r="AS150" i="5"/>
  <c r="AX150" i="5" s="1"/>
  <c r="AT150" i="5"/>
  <c r="AY150" i="5" s="1"/>
  <c r="BZ407" i="5"/>
  <c r="AS407" i="5"/>
  <c r="BZ392" i="5"/>
  <c r="AS392" i="5"/>
  <c r="BZ382" i="5"/>
  <c r="AS382" i="5"/>
  <c r="BZ24" i="5"/>
  <c r="CA24" i="5"/>
  <c r="AS24" i="5"/>
  <c r="AT24" i="5"/>
  <c r="AY24" i="5" s="1"/>
  <c r="BZ410" i="5"/>
  <c r="AS410" i="5"/>
  <c r="CA157" i="5"/>
  <c r="BZ157" i="5"/>
  <c r="AS157" i="5"/>
  <c r="AT157" i="5"/>
  <c r="AY157" i="5" s="1"/>
  <c r="CA45" i="5"/>
  <c r="BZ45" i="5"/>
  <c r="AS45" i="5"/>
  <c r="AT45" i="5"/>
  <c r="BZ477" i="5"/>
  <c r="AS477" i="5"/>
  <c r="CA268" i="5"/>
  <c r="BZ268" i="5"/>
  <c r="AT268" i="5"/>
  <c r="AY268" i="5" s="1"/>
  <c r="AS268" i="5"/>
  <c r="CA64" i="5"/>
  <c r="BZ64" i="5"/>
  <c r="AS64" i="5"/>
  <c r="AT64" i="5"/>
  <c r="AY64" i="5" s="1"/>
  <c r="CA40" i="5"/>
  <c r="BZ40" i="5"/>
  <c r="AT40" i="5"/>
  <c r="AS40" i="5"/>
  <c r="AX40" i="5" s="1"/>
  <c r="CA124" i="5"/>
  <c r="BZ124" i="5"/>
  <c r="AT124" i="5"/>
  <c r="AS124" i="5"/>
  <c r="BZ359" i="5"/>
  <c r="AS359" i="5"/>
  <c r="CA146" i="5"/>
  <c r="BZ146" i="5"/>
  <c r="AS146" i="5"/>
  <c r="AT146" i="5"/>
  <c r="CA252" i="5"/>
  <c r="BZ252" i="5"/>
  <c r="AT252" i="5"/>
  <c r="AY252" i="5" s="1"/>
  <c r="AS252" i="5"/>
  <c r="AX252" i="5" s="1"/>
  <c r="CA232" i="5"/>
  <c r="BZ232" i="5"/>
  <c r="AS232" i="5"/>
  <c r="AT232" i="5"/>
  <c r="CA59" i="5"/>
  <c r="BZ59" i="5"/>
  <c r="AT59" i="5"/>
  <c r="AY59" i="5" s="1"/>
  <c r="AS59" i="5"/>
  <c r="AX59" i="5" s="1"/>
  <c r="BZ520" i="5"/>
  <c r="AS520" i="5"/>
  <c r="BZ295" i="5"/>
  <c r="AS295" i="5"/>
  <c r="BZ358" i="5"/>
  <c r="AS358" i="5"/>
  <c r="BZ326" i="5"/>
  <c r="AS326" i="5"/>
  <c r="CA192" i="5"/>
  <c r="BZ192" i="5"/>
  <c r="AT192" i="5"/>
  <c r="AS192" i="5"/>
  <c r="CA50" i="5"/>
  <c r="BZ50" i="5"/>
  <c r="AT50" i="5"/>
  <c r="AY50" i="5" s="1"/>
  <c r="AS50" i="5"/>
  <c r="CA128" i="5"/>
  <c r="BZ128" i="5"/>
  <c r="AT128" i="5"/>
  <c r="AS128" i="5"/>
  <c r="CA153" i="5"/>
  <c r="BZ153" i="5"/>
  <c r="AS153" i="5"/>
  <c r="AT153" i="5"/>
  <c r="AY153" i="5" s="1"/>
  <c r="BZ390" i="5"/>
  <c r="AS390" i="5"/>
  <c r="CA95" i="5"/>
  <c r="BZ95" i="5"/>
  <c r="AT95" i="5"/>
  <c r="AY95" i="5" s="1"/>
  <c r="AS95" i="5"/>
  <c r="BZ364" i="5"/>
  <c r="AS364" i="5"/>
  <c r="CA240" i="5"/>
  <c r="BZ240" i="5"/>
  <c r="AS240" i="5"/>
  <c r="AT240" i="5"/>
  <c r="BZ395" i="5"/>
  <c r="AS395" i="5"/>
  <c r="BZ362" i="5"/>
  <c r="AS362" i="5"/>
  <c r="CA204" i="5"/>
  <c r="BZ204" i="5"/>
  <c r="AT204" i="5"/>
  <c r="AS204" i="5"/>
  <c r="BZ281" i="5"/>
  <c r="AS281" i="5"/>
  <c r="CA229" i="5"/>
  <c r="BZ229" i="5"/>
  <c r="AT229" i="5"/>
  <c r="AY229" i="5" s="1"/>
  <c r="AS229" i="5"/>
  <c r="CA206" i="5"/>
  <c r="BZ206" i="5"/>
  <c r="AS206" i="5"/>
  <c r="AT206" i="5"/>
  <c r="AY206" i="5" s="1"/>
  <c r="CA180" i="5"/>
  <c r="BZ180" i="5"/>
  <c r="AS180" i="5"/>
  <c r="AT180" i="5"/>
  <c r="AY180" i="5" s="1"/>
  <c r="CA230" i="5"/>
  <c r="BZ230" i="5"/>
  <c r="AT230" i="5"/>
  <c r="AS230" i="5"/>
  <c r="AX230" i="5" s="1"/>
  <c r="CA218" i="5"/>
  <c r="BZ218" i="5"/>
  <c r="AT218" i="5"/>
  <c r="AY218" i="5" s="1"/>
  <c r="AS218" i="5"/>
  <c r="BZ493" i="5"/>
  <c r="AS493" i="5"/>
  <c r="BZ379" i="5"/>
  <c r="AS379" i="5"/>
  <c r="CA117" i="5"/>
  <c r="BZ117" i="5"/>
  <c r="AS117" i="5"/>
  <c r="AT117" i="5"/>
  <c r="AY117" i="5" s="1"/>
  <c r="CA82" i="5"/>
  <c r="BZ82" i="5"/>
  <c r="AS82" i="5"/>
  <c r="AT82" i="5"/>
  <c r="AY82" i="5" s="1"/>
  <c r="BZ491" i="5"/>
  <c r="AS491" i="5"/>
  <c r="CA257" i="5"/>
  <c r="BZ257" i="5"/>
  <c r="AT257" i="5"/>
  <c r="AS257" i="5"/>
  <c r="BZ463" i="5"/>
  <c r="AS463" i="5"/>
  <c r="BZ321" i="5"/>
  <c r="AS321" i="5"/>
  <c r="CA94" i="5"/>
  <c r="BZ94" i="5"/>
  <c r="AS94" i="5"/>
  <c r="AT94" i="5"/>
  <c r="BZ305" i="5"/>
  <c r="AS305" i="5"/>
  <c r="BZ290" i="5"/>
  <c r="AS290" i="5"/>
  <c r="CA254" i="5"/>
  <c r="BZ254" i="5"/>
  <c r="AT254" i="5"/>
  <c r="AS254" i="5"/>
  <c r="BZ287" i="5"/>
  <c r="AS287" i="5"/>
  <c r="BZ311" i="5"/>
  <c r="AS311" i="5"/>
  <c r="BZ385" i="5"/>
  <c r="AS385" i="5"/>
  <c r="BZ499" i="5"/>
  <c r="AS499" i="5"/>
  <c r="BZ208" i="5"/>
  <c r="CA208" i="5"/>
  <c r="AT208" i="5"/>
  <c r="AY208" i="5" s="1"/>
  <c r="AS208" i="5"/>
  <c r="BZ333" i="5"/>
  <c r="AS333" i="5"/>
  <c r="BZ424" i="5"/>
  <c r="AS424" i="5"/>
  <c r="BZ413" i="5"/>
  <c r="AS413" i="5"/>
  <c r="BZ377" i="5"/>
  <c r="AS377" i="5"/>
  <c r="CA199" i="5"/>
  <c r="BZ199" i="5"/>
  <c r="AT199" i="5"/>
  <c r="AS199" i="5"/>
  <c r="BZ336" i="5"/>
  <c r="AS336" i="5"/>
  <c r="CA266" i="5"/>
  <c r="BZ266" i="5"/>
  <c r="AT266" i="5"/>
  <c r="AY266" i="5" s="1"/>
  <c r="AS266" i="5"/>
  <c r="BZ387" i="5"/>
  <c r="AS387" i="5"/>
  <c r="BZ346" i="5"/>
  <c r="AS346" i="5"/>
  <c r="CA259" i="5"/>
  <c r="BZ259" i="5"/>
  <c r="AT259" i="5"/>
  <c r="AY259" i="5" s="1"/>
  <c r="AS259" i="5"/>
  <c r="AX259" i="5" s="1"/>
  <c r="CA54" i="5"/>
  <c r="BZ54" i="5"/>
  <c r="AS54" i="5"/>
  <c r="AT54" i="5"/>
  <c r="AY54" i="5" s="1"/>
  <c r="CA48" i="5"/>
  <c r="BZ48" i="5"/>
  <c r="AT48" i="5"/>
  <c r="AY48" i="5" s="1"/>
  <c r="AS48" i="5"/>
  <c r="BZ409" i="5"/>
  <c r="AS409" i="5"/>
  <c r="BZ297" i="5"/>
  <c r="AS297" i="5"/>
  <c r="BZ299" i="5"/>
  <c r="AS299" i="5"/>
  <c r="CA91" i="5"/>
  <c r="BZ91" i="5"/>
  <c r="AS91" i="5"/>
  <c r="AT91" i="5"/>
  <c r="BZ428" i="5"/>
  <c r="AS428" i="5"/>
  <c r="CA141" i="5"/>
  <c r="BZ141" i="5"/>
  <c r="AS141" i="5"/>
  <c r="AT141" i="5"/>
  <c r="AY141" i="5" s="1"/>
  <c r="BZ538" i="5"/>
  <c r="AS538" i="5"/>
  <c r="CA243" i="5"/>
  <c r="BZ243" i="5"/>
  <c r="AT243" i="5"/>
  <c r="AY243" i="5" s="1"/>
  <c r="AS243" i="5"/>
  <c r="BZ186" i="5"/>
  <c r="CA186" i="5"/>
  <c r="AT186" i="5"/>
  <c r="AS186" i="5"/>
  <c r="CA194" i="5"/>
  <c r="BZ194" i="5"/>
  <c r="AT194" i="5"/>
  <c r="AY194" i="5" s="1"/>
  <c r="AS194" i="5"/>
  <c r="CA9" i="5"/>
  <c r="BZ9" i="5"/>
  <c r="AT9" i="5"/>
  <c r="AS9" i="5"/>
  <c r="BZ353" i="5"/>
  <c r="AS353" i="5"/>
  <c r="CA245" i="5"/>
  <c r="BZ245" i="5"/>
  <c r="AS245" i="5"/>
  <c r="AT245" i="5"/>
  <c r="AY245" i="5" s="1"/>
  <c r="CA220" i="5"/>
  <c r="BZ220" i="5"/>
  <c r="AS220" i="5"/>
  <c r="AT220" i="5"/>
  <c r="AY220" i="5" s="1"/>
  <c r="CA134" i="5"/>
  <c r="BZ134" i="5"/>
  <c r="AT134" i="5"/>
  <c r="AY134" i="5" s="1"/>
  <c r="AS134" i="5"/>
  <c r="BZ380" i="5"/>
  <c r="AS380" i="5"/>
  <c r="BZ519" i="5"/>
  <c r="AS519" i="5"/>
  <c r="BZ363" i="5"/>
  <c r="AS363" i="5"/>
  <c r="CA149" i="5"/>
  <c r="BZ149" i="5"/>
  <c r="AT149" i="5"/>
  <c r="AS149" i="5"/>
  <c r="BZ535" i="5"/>
  <c r="AS535" i="5"/>
  <c r="CA165" i="5"/>
  <c r="BZ165" i="5"/>
  <c r="AS165" i="5"/>
  <c r="AX165" i="5" s="1"/>
  <c r="AT165" i="5"/>
  <c r="AY165" i="5" s="1"/>
  <c r="BZ531" i="5"/>
  <c r="AS531" i="5"/>
  <c r="BZ490" i="5"/>
  <c r="AS490" i="5"/>
  <c r="BZ480" i="5"/>
  <c r="AS480" i="5"/>
  <c r="CA242" i="5"/>
  <c r="BZ242" i="5"/>
  <c r="AS242" i="5"/>
  <c r="AT242" i="5"/>
  <c r="BZ530" i="5"/>
  <c r="AS530" i="5"/>
  <c r="CA97" i="5"/>
  <c r="BZ97" i="5"/>
  <c r="AT97" i="5"/>
  <c r="AY97" i="5" s="1"/>
  <c r="AS97" i="5"/>
  <c r="AX97" i="5" s="1"/>
  <c r="CA172" i="5"/>
  <c r="BZ172" i="5"/>
  <c r="AT172" i="5"/>
  <c r="AS172" i="5"/>
  <c r="AX172" i="5" s="1"/>
  <c r="BZ369" i="5"/>
  <c r="AS369" i="5"/>
  <c r="BZ372" i="5"/>
  <c r="AS372" i="5"/>
  <c r="BZ368" i="5"/>
  <c r="AS368" i="5"/>
  <c r="CA222" i="5"/>
  <c r="BZ222" i="5"/>
  <c r="AS222" i="5"/>
  <c r="AT222" i="5"/>
  <c r="AY222" i="5" s="1"/>
  <c r="BZ528" i="5"/>
  <c r="AS528" i="5"/>
  <c r="BZ482" i="5"/>
  <c r="AS482" i="5"/>
  <c r="CA189" i="5"/>
  <c r="BZ189" i="5"/>
  <c r="AT189" i="5"/>
  <c r="AY189" i="5" s="1"/>
  <c r="AS189" i="5"/>
  <c r="CA20" i="5"/>
  <c r="BZ20" i="5"/>
  <c r="AS20" i="5"/>
  <c r="AT20" i="5"/>
  <c r="BZ342" i="5"/>
  <c r="AS342" i="5"/>
  <c r="BZ508" i="5"/>
  <c r="AS508" i="5"/>
  <c r="BZ504" i="5"/>
  <c r="AS504" i="5"/>
  <c r="CA271" i="5"/>
  <c r="BZ271" i="5"/>
  <c r="AT271" i="5"/>
  <c r="AY271" i="5" s="1"/>
  <c r="AS271" i="5"/>
  <c r="AX271" i="5" s="1"/>
  <c r="BZ522" i="5"/>
  <c r="AS522" i="5"/>
  <c r="BZ327" i="5"/>
  <c r="AS327" i="5"/>
  <c r="CA234" i="5"/>
  <c r="BZ234" i="5"/>
  <c r="AT234" i="5"/>
  <c r="AS234" i="5"/>
  <c r="CA3" i="5"/>
  <c r="BZ3" i="5"/>
  <c r="AS3" i="5"/>
  <c r="AX3" i="5" s="1"/>
  <c r="AT3" i="5"/>
  <c r="AY3" i="5" s="1"/>
  <c r="CA145" i="5"/>
  <c r="BZ145" i="5"/>
  <c r="AS145" i="5"/>
  <c r="AT145" i="5"/>
  <c r="AY145" i="5" s="1"/>
  <c r="BZ285" i="5"/>
  <c r="AS285" i="5"/>
  <c r="BZ414" i="5"/>
  <c r="AS414" i="5"/>
  <c r="CA49" i="5"/>
  <c r="BZ49" i="5"/>
  <c r="AT49" i="5"/>
  <c r="AY49" i="5" s="1"/>
  <c r="AS49" i="5"/>
  <c r="BZ361" i="5"/>
  <c r="AS361" i="5"/>
  <c r="BZ227" i="5"/>
  <c r="CA227" i="5"/>
  <c r="AS227" i="5"/>
  <c r="AT227" i="5"/>
  <c r="CA161" i="5"/>
  <c r="BZ161" i="5"/>
  <c r="AT161" i="5"/>
  <c r="AY161" i="5" s="1"/>
  <c r="AS161" i="5"/>
  <c r="AX161" i="5" s="1"/>
  <c r="BZ16" i="5"/>
  <c r="CA16" i="5"/>
  <c r="AT16" i="5"/>
  <c r="AS16" i="5"/>
  <c r="CA60" i="5"/>
  <c r="BZ60" i="5"/>
  <c r="AT60" i="5"/>
  <c r="AY60" i="5" s="1"/>
  <c r="AS60" i="5"/>
  <c r="CA121" i="5"/>
  <c r="BZ121" i="5"/>
  <c r="AS121" i="5"/>
  <c r="AT121" i="5"/>
  <c r="CA274" i="5"/>
  <c r="BZ274" i="5"/>
  <c r="AT274" i="5"/>
  <c r="AY274" i="5" s="1"/>
  <c r="AS274" i="5"/>
  <c r="BZ289" i="5"/>
  <c r="AS289" i="5"/>
  <c r="BZ473" i="5"/>
  <c r="AS473" i="5"/>
  <c r="BZ283" i="5"/>
  <c r="AS283" i="5"/>
  <c r="CA166" i="5"/>
  <c r="BZ166" i="5"/>
  <c r="AT166" i="5"/>
  <c r="AY166" i="5" s="1"/>
  <c r="AS166" i="5"/>
  <c r="AX166" i="5" s="1"/>
  <c r="BZ459" i="5"/>
  <c r="AS459" i="5"/>
  <c r="BZ478" i="5"/>
  <c r="AS478" i="5"/>
  <c r="CA118" i="5"/>
  <c r="BZ118" i="5"/>
  <c r="AS118" i="5"/>
  <c r="AX118" i="5" s="1"/>
  <c r="AT118" i="5"/>
  <c r="AY118" i="5" s="1"/>
  <c r="CA158" i="5"/>
  <c r="BZ158" i="5"/>
  <c r="AS158" i="5"/>
  <c r="AX158" i="5" s="1"/>
  <c r="AT158" i="5"/>
  <c r="AY158" i="5" s="1"/>
  <c r="BZ337" i="5"/>
  <c r="AS337" i="5"/>
  <c r="BZ226" i="5"/>
  <c r="CA226" i="5"/>
  <c r="AT226" i="5"/>
  <c r="AS226" i="5"/>
  <c r="CA102" i="5"/>
  <c r="BZ102" i="5"/>
  <c r="AT102" i="5"/>
  <c r="AY102" i="5" s="1"/>
  <c r="AS102" i="5"/>
  <c r="AX102" i="5" s="1"/>
  <c r="BZ349" i="5"/>
  <c r="AS349" i="5"/>
  <c r="CA138" i="5"/>
  <c r="BZ138" i="5"/>
  <c r="AS138" i="5"/>
  <c r="AT138" i="5"/>
  <c r="AY138" i="5" s="1"/>
  <c r="CA262" i="5"/>
  <c r="BZ262" i="5"/>
  <c r="AS262" i="5"/>
  <c r="AX262" i="5" s="1"/>
  <c r="AT262" i="5"/>
  <c r="AY262" i="5" s="1"/>
  <c r="BZ425" i="5"/>
  <c r="AS425" i="5"/>
  <c r="CA143" i="5"/>
  <c r="BZ143" i="5"/>
  <c r="AS143" i="5"/>
  <c r="AT143" i="5"/>
  <c r="AY143" i="5" s="1"/>
  <c r="CA207" i="5"/>
  <c r="BZ207" i="5"/>
  <c r="AT207" i="5"/>
  <c r="AS207" i="5"/>
  <c r="BZ309" i="5"/>
  <c r="AS309" i="5"/>
  <c r="BZ10" i="5"/>
  <c r="CA10" i="5"/>
  <c r="AS10" i="5"/>
  <c r="AX10" i="5" s="1"/>
  <c r="AT10" i="5"/>
  <c r="AY10" i="5" s="1"/>
  <c r="BZ317" i="5"/>
  <c r="AS317" i="5"/>
  <c r="BZ350" i="5"/>
  <c r="AS350" i="5"/>
  <c r="BZ32" i="5"/>
  <c r="CA32" i="5"/>
  <c r="AT32" i="5"/>
  <c r="AY32" i="5" s="1"/>
  <c r="AS32" i="5"/>
  <c r="BZ442" i="5"/>
  <c r="AS442" i="5"/>
  <c r="CA75" i="5"/>
  <c r="BZ75" i="5"/>
  <c r="AS75" i="5"/>
  <c r="AX75" i="5" s="1"/>
  <c r="AT75" i="5"/>
  <c r="AY75" i="5" s="1"/>
  <c r="BZ376" i="5"/>
  <c r="AS376" i="5"/>
  <c r="CA22" i="5"/>
  <c r="BZ22" i="5"/>
  <c r="AT22" i="5"/>
  <c r="AY22" i="5" s="1"/>
  <c r="AS22" i="5"/>
  <c r="BZ515" i="5"/>
  <c r="AS515" i="5"/>
  <c r="BZ494" i="5"/>
  <c r="AS494" i="5"/>
  <c r="BZ378" i="5"/>
  <c r="AS378" i="5"/>
  <c r="CA173" i="5"/>
  <c r="BZ173" i="5"/>
  <c r="AT173" i="5"/>
  <c r="AY173" i="5" s="1"/>
  <c r="AS173" i="5"/>
  <c r="CA85" i="5"/>
  <c r="BZ85" i="5"/>
  <c r="AT85" i="5"/>
  <c r="AS85" i="5"/>
  <c r="BZ460" i="5"/>
  <c r="AS460" i="5"/>
  <c r="BZ384" i="5"/>
  <c r="AS384" i="5"/>
  <c r="BZ347" i="5"/>
  <c r="AS347" i="5"/>
  <c r="BZ331" i="5"/>
  <c r="AS331" i="5"/>
  <c r="CA238" i="5"/>
  <c r="BZ238" i="5"/>
  <c r="AS238" i="5"/>
  <c r="AT238" i="5"/>
  <c r="AY238" i="5" s="1"/>
  <c r="BZ328" i="5"/>
  <c r="AS328" i="5"/>
  <c r="BZ506" i="5"/>
  <c r="AS506" i="5"/>
  <c r="BZ397" i="5"/>
  <c r="AS397" i="5"/>
  <c r="CA63" i="5"/>
  <c r="BZ63" i="5"/>
  <c r="AT63" i="5"/>
  <c r="AY63" i="5" s="1"/>
  <c r="AS63" i="5"/>
  <c r="BZ512" i="5"/>
  <c r="AS512" i="5"/>
  <c r="BZ19" i="5"/>
  <c r="CA19" i="5"/>
  <c r="AS19" i="5"/>
  <c r="AT19" i="5"/>
  <c r="AY19" i="5" s="1"/>
  <c r="BZ439" i="5"/>
  <c r="AS439" i="5"/>
  <c r="BZ525" i="5"/>
  <c r="AS525" i="5"/>
  <c r="BZ354" i="5"/>
  <c r="AS354" i="5"/>
  <c r="BZ43" i="5"/>
  <c r="CA43" i="5"/>
  <c r="AT43" i="5"/>
  <c r="AY43" i="5" s="1"/>
  <c r="AS43" i="5"/>
  <c r="AX43" i="5" s="1"/>
  <c r="BZ56" i="5"/>
  <c r="CA56" i="5"/>
  <c r="AT56" i="5"/>
  <c r="AY56" i="5" s="1"/>
  <c r="AS56" i="5"/>
  <c r="AX56" i="5" s="1"/>
  <c r="CA155" i="5"/>
  <c r="BZ155" i="5"/>
  <c r="AT155" i="5"/>
  <c r="AY155" i="5" s="1"/>
  <c r="AS155" i="5"/>
  <c r="BZ288" i="5"/>
  <c r="AS288" i="5"/>
  <c r="BZ144" i="5"/>
  <c r="CA144" i="5"/>
  <c r="AT144" i="5"/>
  <c r="AY144" i="5" s="1"/>
  <c r="AS144" i="5"/>
  <c r="BZ27" i="5"/>
  <c r="CA27" i="5"/>
  <c r="AT27" i="5"/>
  <c r="AS27" i="5"/>
  <c r="BZ404" i="5"/>
  <c r="AS404" i="5"/>
  <c r="CA69" i="5"/>
  <c r="BZ69" i="5"/>
  <c r="AS69" i="5"/>
  <c r="AT69" i="5"/>
  <c r="AY69" i="5" s="1"/>
  <c r="BZ279" i="5"/>
  <c r="AS279" i="5"/>
  <c r="BZ534" i="5"/>
  <c r="AS534" i="5"/>
  <c r="BZ294" i="5"/>
  <c r="AS294" i="5"/>
  <c r="BZ447" i="5"/>
  <c r="AS447" i="5"/>
  <c r="BZ513" i="5"/>
  <c r="AS513" i="5"/>
  <c r="CA36" i="5"/>
  <c r="BZ36" i="5"/>
  <c r="AS36" i="5"/>
  <c r="AX36" i="5" s="1"/>
  <c r="AT36" i="5"/>
  <c r="AY36" i="5" s="1"/>
  <c r="BZ523" i="5"/>
  <c r="AS523" i="5"/>
  <c r="BZ529" i="5"/>
  <c r="AS529" i="5"/>
  <c r="CA201" i="5"/>
  <c r="BZ201" i="5"/>
  <c r="AT201" i="5"/>
  <c r="AY201" i="5" s="1"/>
  <c r="AS201" i="5"/>
  <c r="CA233" i="5"/>
  <c r="BZ233" i="5"/>
  <c r="AS233" i="5"/>
  <c r="AT233" i="5"/>
  <c r="CA223" i="5"/>
  <c r="BZ223" i="5"/>
  <c r="AS223" i="5"/>
  <c r="AX223" i="5" s="1"/>
  <c r="AT223" i="5"/>
  <c r="AY223" i="5" s="1"/>
  <c r="BZ343" i="5"/>
  <c r="AS343" i="5"/>
  <c r="BZ280" i="5"/>
  <c r="AS280" i="5"/>
  <c r="CA39" i="5"/>
  <c r="BZ39" i="5"/>
  <c r="AT39" i="5"/>
  <c r="AS39" i="5"/>
  <c r="CA169" i="5"/>
  <c r="BZ169" i="5"/>
  <c r="AT169" i="5"/>
  <c r="AS169" i="5"/>
  <c r="BZ96" i="5"/>
  <c r="CA96" i="5"/>
  <c r="AT96" i="5"/>
  <c r="AY96" i="5" s="1"/>
  <c r="AS96" i="5"/>
  <c r="CA61" i="5"/>
  <c r="BZ61" i="5"/>
  <c r="AS61" i="5"/>
  <c r="AT61" i="5"/>
  <c r="CA216" i="5"/>
  <c r="BZ216" i="5"/>
  <c r="AT216" i="5"/>
  <c r="AY216" i="5" s="1"/>
  <c r="AS216" i="5"/>
  <c r="BZ511" i="5"/>
  <c r="AS511" i="5"/>
  <c r="BZ542" i="5"/>
  <c r="AS542" i="5"/>
  <c r="CA187" i="5"/>
  <c r="BZ187" i="5"/>
  <c r="AS187" i="5"/>
  <c r="AT187" i="5"/>
  <c r="AY187" i="5" s="1"/>
  <c r="BZ443" i="5"/>
  <c r="AS443" i="5"/>
  <c r="BZ429" i="5"/>
  <c r="AS429" i="5"/>
  <c r="CA14" i="5"/>
  <c r="BZ14" i="5"/>
  <c r="AT14" i="5"/>
  <c r="AY14" i="5" s="1"/>
  <c r="AS14" i="5"/>
  <c r="CA25" i="5"/>
  <c r="BZ25" i="5"/>
  <c r="AS25" i="5"/>
  <c r="AT25" i="5"/>
  <c r="BZ536" i="5"/>
  <c r="AS536" i="5"/>
  <c r="CA123" i="5"/>
  <c r="BZ123" i="5"/>
  <c r="AT123" i="5"/>
  <c r="AY123" i="5" s="1"/>
  <c r="AS123" i="5"/>
  <c r="AX123" i="5" s="1"/>
  <c r="BZ462" i="5"/>
  <c r="AS462" i="5"/>
  <c r="CA175" i="5"/>
  <c r="BZ175" i="5"/>
  <c r="AT175" i="5"/>
  <c r="AY175" i="5" s="1"/>
  <c r="AS175" i="5"/>
  <c r="AX175" i="5" s="1"/>
  <c r="BZ408" i="5"/>
  <c r="AS408" i="5"/>
  <c r="CA209" i="5"/>
  <c r="BZ209" i="5"/>
  <c r="AT209" i="5"/>
  <c r="AY209" i="5" s="1"/>
  <c r="AS209" i="5"/>
  <c r="AX209" i="5" s="1"/>
  <c r="CA108" i="5"/>
  <c r="BZ108" i="5"/>
  <c r="AS108" i="5"/>
  <c r="AT108" i="5"/>
  <c r="AY108" i="5" s="1"/>
  <c r="BZ341" i="5"/>
  <c r="AS341" i="5"/>
  <c r="CA211" i="5"/>
  <c r="BZ211" i="5"/>
  <c r="AT211" i="5"/>
  <c r="AY211" i="5" s="1"/>
  <c r="AS211" i="5"/>
  <c r="BZ35" i="5"/>
  <c r="CA35" i="5"/>
  <c r="AS35" i="5"/>
  <c r="AT35" i="5"/>
  <c r="BZ446" i="5"/>
  <c r="AS446" i="5"/>
  <c r="BZ302" i="5"/>
  <c r="AS302" i="5"/>
  <c r="CA190" i="5"/>
  <c r="BZ190" i="5"/>
  <c r="AT190" i="5"/>
  <c r="AS190" i="5"/>
  <c r="CA84" i="5"/>
  <c r="BZ84" i="5"/>
  <c r="AT84" i="5"/>
  <c r="AY84" i="5" s="1"/>
  <c r="AS84" i="5"/>
  <c r="BZ356" i="5"/>
  <c r="AS356" i="5"/>
  <c r="BZ471" i="5"/>
  <c r="AS471" i="5"/>
  <c r="BZ301" i="5"/>
  <c r="AS301" i="5"/>
  <c r="BZ438" i="5"/>
  <c r="AS438" i="5"/>
  <c r="CA28" i="5"/>
  <c r="BZ28" i="5"/>
  <c r="AS28" i="5"/>
  <c r="AT28" i="5"/>
  <c r="BZ136" i="5"/>
  <c r="CA136" i="5"/>
  <c r="AS136" i="5"/>
  <c r="AX136" i="5" s="1"/>
  <c r="AT136" i="5"/>
  <c r="AY136" i="5" s="1"/>
  <c r="BZ461" i="5"/>
  <c r="AS461" i="5"/>
  <c r="CA241" i="5"/>
  <c r="BZ241" i="5"/>
  <c r="AT241" i="5"/>
  <c r="AY241" i="5" s="1"/>
  <c r="AS241" i="5"/>
  <c r="CA90" i="5"/>
  <c r="BZ90" i="5"/>
  <c r="AS90" i="5"/>
  <c r="AX90" i="5" s="1"/>
  <c r="AT90" i="5"/>
  <c r="AY90" i="5" s="1"/>
  <c r="CA30" i="5"/>
  <c r="BZ30" i="5"/>
  <c r="AS30" i="5"/>
  <c r="AT30" i="5"/>
  <c r="AY30" i="5" s="1"/>
  <c r="CA106" i="5"/>
  <c r="BZ106" i="5"/>
  <c r="AS106" i="5"/>
  <c r="AT106" i="5"/>
  <c r="AY106" i="5" s="1"/>
  <c r="BZ292" i="5"/>
  <c r="AS292" i="5"/>
  <c r="BZ516" i="5"/>
  <c r="AS516" i="5"/>
  <c r="BZ398" i="5"/>
  <c r="AS398" i="5"/>
  <c r="BZ411" i="5"/>
  <c r="AS411" i="5"/>
  <c r="BZ393" i="5"/>
  <c r="AS393" i="5"/>
  <c r="CA119" i="5"/>
  <c r="BZ119" i="5"/>
  <c r="AS119" i="5"/>
  <c r="AT119" i="5"/>
  <c r="AY119" i="5" s="1"/>
  <c r="BZ360" i="5"/>
  <c r="AS360" i="5"/>
  <c r="BZ437" i="5"/>
  <c r="AS437" i="5"/>
  <c r="CA277" i="5"/>
  <c r="BZ277" i="5"/>
  <c r="AT277" i="5"/>
  <c r="AY277" i="5" s="1"/>
  <c r="AS277" i="5"/>
  <c r="CA89" i="5"/>
  <c r="BZ89" i="5"/>
  <c r="AS89" i="5"/>
  <c r="AT89" i="5"/>
  <c r="CA258" i="5"/>
  <c r="BZ258" i="5"/>
  <c r="AS258" i="5"/>
  <c r="AT258" i="5"/>
  <c r="AY258" i="5" s="1"/>
  <c r="BZ122" i="5"/>
  <c r="CA122" i="5"/>
  <c r="AS122" i="5"/>
  <c r="AT122" i="5"/>
  <c r="BZ371" i="5"/>
  <c r="AS371" i="5"/>
  <c r="CA148" i="5"/>
  <c r="BZ148" i="5"/>
  <c r="AS148" i="5"/>
  <c r="AT148" i="5"/>
  <c r="AY148" i="5" s="1"/>
  <c r="CA68" i="5"/>
  <c r="BZ68" i="5"/>
  <c r="AS68" i="5"/>
  <c r="AX68" i="5" s="1"/>
  <c r="AT68" i="5"/>
  <c r="AY68" i="5" s="1"/>
  <c r="CA183" i="5"/>
  <c r="BZ183" i="5"/>
  <c r="AT183" i="5"/>
  <c r="AY183" i="5" s="1"/>
  <c r="AS183" i="5"/>
  <c r="AX183" i="5" s="1"/>
  <c r="CA273" i="5"/>
  <c r="BZ273" i="5"/>
  <c r="AS273" i="5"/>
  <c r="AX273" i="5" s="1"/>
  <c r="AT273" i="5"/>
  <c r="AY273" i="5" s="1"/>
  <c r="BZ338" i="5"/>
  <c r="AS338" i="5"/>
  <c r="BZ355" i="5"/>
  <c r="AS355" i="5"/>
  <c r="CA57" i="5"/>
  <c r="BZ57" i="5"/>
  <c r="AS57" i="5"/>
  <c r="AT57" i="5"/>
  <c r="AY57" i="5" s="1"/>
  <c r="BZ160" i="5"/>
  <c r="CA160" i="5"/>
  <c r="AT160" i="5"/>
  <c r="AY160" i="5" s="1"/>
  <c r="AS160" i="5"/>
  <c r="BZ479" i="5"/>
  <c r="AS479" i="5"/>
  <c r="BZ18" i="5"/>
  <c r="CA18" i="5"/>
  <c r="AS18" i="5"/>
  <c r="AT18" i="5"/>
  <c r="AY18" i="5" s="1"/>
  <c r="CA77" i="5"/>
  <c r="BZ77" i="5"/>
  <c r="AT77" i="5"/>
  <c r="AS77" i="5"/>
  <c r="CA78" i="5"/>
  <c r="BZ78" i="5"/>
  <c r="AT78" i="5"/>
  <c r="AY78" i="5" s="1"/>
  <c r="AS78" i="5"/>
  <c r="AX78" i="5" s="1"/>
  <c r="BZ448" i="5"/>
  <c r="AS448" i="5"/>
  <c r="CA181" i="5"/>
  <c r="BZ181" i="5"/>
  <c r="AS181" i="5"/>
  <c r="AX181" i="5" s="1"/>
  <c r="AT181" i="5"/>
  <c r="AY181" i="5" s="1"/>
  <c r="BZ335" i="5"/>
  <c r="AS335" i="5"/>
  <c r="CA55" i="5"/>
  <c r="BZ55" i="5"/>
  <c r="AS55" i="5"/>
  <c r="AT55" i="5"/>
  <c r="BZ325" i="5"/>
  <c r="AS325" i="5"/>
  <c r="BZ449" i="5"/>
  <c r="AS449" i="5"/>
  <c r="BZ526" i="5"/>
  <c r="AS526" i="5"/>
  <c r="CA17" i="5"/>
  <c r="BZ17" i="5"/>
  <c r="AS17" i="5"/>
  <c r="AT17" i="5"/>
  <c r="AY17" i="5" s="1"/>
  <c r="CA113" i="5"/>
  <c r="BZ113" i="5"/>
  <c r="AT113" i="5"/>
  <c r="AY113" i="5" s="1"/>
  <c r="AS113" i="5"/>
  <c r="BZ34" i="5"/>
  <c r="CA34" i="5"/>
  <c r="AT34" i="5"/>
  <c r="AY34" i="5" s="1"/>
  <c r="AS34" i="5"/>
  <c r="BZ537" i="5"/>
  <c r="AS537" i="5"/>
  <c r="CA44" i="5"/>
  <c r="BZ44" i="5"/>
  <c r="AT44" i="5"/>
  <c r="AS44" i="5"/>
  <c r="CA33" i="5"/>
  <c r="BZ33" i="5"/>
  <c r="AT33" i="5"/>
  <c r="AY33" i="5" s="1"/>
  <c r="AS33" i="5"/>
  <c r="BZ540" i="5"/>
  <c r="AS540" i="5"/>
  <c r="CA93" i="5"/>
  <c r="BZ93" i="5"/>
  <c r="AS93" i="5"/>
  <c r="AT93" i="5"/>
  <c r="AY93" i="5" s="1"/>
  <c r="CA7" i="5"/>
  <c r="BZ7" i="5"/>
  <c r="AT7" i="5"/>
  <c r="AY7" i="5" s="1"/>
  <c r="AS7" i="5"/>
  <c r="AX7" i="5" s="1"/>
  <c r="CA261" i="5"/>
  <c r="BZ261" i="5"/>
  <c r="AT261" i="5"/>
  <c r="AS261" i="5"/>
  <c r="CA269" i="5"/>
  <c r="BZ269" i="5"/>
  <c r="AS269" i="5"/>
  <c r="AT269" i="5"/>
  <c r="AY269" i="5" s="1"/>
  <c r="BZ304" i="5"/>
  <c r="AS304" i="5"/>
  <c r="CA154" i="5"/>
  <c r="BZ154" i="5"/>
  <c r="AT154" i="5"/>
  <c r="AY154" i="5" s="1"/>
  <c r="AS154" i="5"/>
  <c r="BZ340" i="5"/>
  <c r="AS340" i="5"/>
  <c r="CA263" i="5"/>
  <c r="BZ263" i="5"/>
  <c r="AS263" i="5"/>
  <c r="AT263" i="5"/>
  <c r="AY263" i="5" s="1"/>
  <c r="BZ539" i="5"/>
  <c r="AS539" i="5"/>
  <c r="BZ406" i="5"/>
  <c r="AS406" i="5"/>
  <c r="CA236" i="5"/>
  <c r="BZ236" i="5"/>
  <c r="AS236" i="5"/>
  <c r="AT236" i="5"/>
  <c r="AY236" i="5" s="1"/>
  <c r="BZ435" i="5"/>
  <c r="AS435" i="5"/>
  <c r="CA101" i="5"/>
  <c r="BZ101" i="5"/>
  <c r="AS101" i="5"/>
  <c r="AT101" i="5"/>
  <c r="BZ396" i="5"/>
  <c r="AS396" i="5"/>
  <c r="BZ374" i="5"/>
  <c r="AS374" i="5"/>
  <c r="CA197" i="5"/>
  <c r="BZ197" i="5"/>
  <c r="AT197" i="5"/>
  <c r="AS197" i="5"/>
  <c r="CA81" i="5"/>
  <c r="BZ81" i="5"/>
  <c r="AT81" i="5"/>
  <c r="AY81" i="5" s="1"/>
  <c r="AS81" i="5"/>
  <c r="AX81" i="5" s="1"/>
  <c r="BZ394" i="5"/>
  <c r="AS394" i="5"/>
  <c r="BZ322" i="5"/>
  <c r="AS322" i="5"/>
  <c r="BZ329" i="5"/>
  <c r="AS329" i="5"/>
  <c r="CA109" i="5"/>
  <c r="BZ109" i="5"/>
  <c r="AT109" i="5"/>
  <c r="AY109" i="5" s="1"/>
  <c r="AS109" i="5"/>
  <c r="CA202" i="5"/>
  <c r="BZ202" i="5"/>
  <c r="AS202" i="5"/>
  <c r="AX202" i="5" s="1"/>
  <c r="AT202" i="5"/>
  <c r="AY202" i="5" s="1"/>
  <c r="BZ489" i="5"/>
  <c r="AS489" i="5"/>
  <c r="CA193" i="5"/>
  <c r="BZ193" i="5"/>
  <c r="AT193" i="5"/>
  <c r="AS193" i="5"/>
  <c r="BZ503" i="5"/>
  <c r="AS503" i="5"/>
  <c r="CA76" i="5"/>
  <c r="BZ76" i="5"/>
  <c r="AT76" i="5"/>
  <c r="AY76" i="5" s="1"/>
  <c r="AS76" i="5"/>
  <c r="AX76" i="5" s="1"/>
  <c r="BZ330" i="5"/>
  <c r="AS330" i="5"/>
  <c r="BZ386" i="5"/>
  <c r="AS386" i="5"/>
  <c r="BZ388" i="5"/>
  <c r="AS388" i="5"/>
  <c r="BZ470" i="5"/>
  <c r="AS470" i="5"/>
  <c r="BZ430" i="5"/>
  <c r="AS430" i="5"/>
  <c r="CA137" i="5"/>
  <c r="BZ137" i="5"/>
  <c r="AT137" i="5"/>
  <c r="AY137" i="5" s="1"/>
  <c r="AS137" i="5"/>
  <c r="BZ400" i="5"/>
  <c r="AS400" i="5"/>
  <c r="BZ488" i="5"/>
  <c r="AS488" i="5"/>
  <c r="CA71" i="5"/>
  <c r="BZ71" i="5"/>
  <c r="AT71" i="5"/>
  <c r="AY71" i="5" s="1"/>
  <c r="AS71" i="5"/>
  <c r="CA253" i="5"/>
  <c r="BZ253" i="5"/>
  <c r="AS253" i="5"/>
  <c r="AT253" i="5"/>
  <c r="AX204" i="5"/>
  <c r="AY77" i="5"/>
  <c r="AX217" i="5"/>
  <c r="AY128" i="5"/>
  <c r="BR364" i="5"/>
  <c r="BR531" i="5"/>
  <c r="BR483" i="5"/>
  <c r="BR498" i="5"/>
  <c r="BR324" i="5"/>
  <c r="BR490" i="5"/>
  <c r="BR395" i="5"/>
  <c r="BR444" i="5"/>
  <c r="BR518" i="5"/>
  <c r="BR486" i="5"/>
  <c r="BR308" i="5"/>
  <c r="BR453" i="5"/>
  <c r="BR521" i="5"/>
  <c r="BR310" i="5"/>
  <c r="BR469" i="5"/>
  <c r="BR485" i="5"/>
  <c r="BR286" i="5"/>
  <c r="BR357" i="5"/>
  <c r="BR431" i="5"/>
  <c r="BR296" i="5"/>
  <c r="BR527" i="5"/>
  <c r="BR510" i="5"/>
  <c r="BR487" i="5"/>
  <c r="BR507" i="5"/>
  <c r="BR339" i="5"/>
  <c r="BR452" i="5"/>
  <c r="BR514" i="5"/>
  <c r="BR352" i="5"/>
  <c r="BR481" i="5"/>
  <c r="BR373" i="5"/>
  <c r="BR450" i="5"/>
  <c r="BR496" i="5"/>
  <c r="BR348" i="5"/>
  <c r="BR351" i="5"/>
  <c r="BR419" i="5"/>
  <c r="BR405" i="5"/>
  <c r="BR445" i="5"/>
  <c r="BR458" i="5"/>
  <c r="BR402" i="5"/>
  <c r="BR412" i="5"/>
  <c r="BR440" i="5"/>
  <c r="BR401" i="5"/>
  <c r="BR509" i="5"/>
  <c r="BR426" i="5"/>
  <c r="BR441" i="5"/>
  <c r="BR472" i="5"/>
  <c r="BR432" i="5"/>
  <c r="BR505" i="5"/>
  <c r="BR320" i="5"/>
  <c r="BR284" i="5"/>
  <c r="BR517" i="5"/>
  <c r="BR298" i="5"/>
  <c r="BR524" i="5"/>
  <c r="BR484" i="5"/>
  <c r="BR370" i="5"/>
  <c r="BR532" i="5"/>
  <c r="BR334" i="5"/>
  <c r="BR278" i="5"/>
  <c r="BR345" i="5"/>
  <c r="BR533" i="5"/>
  <c r="BR495" i="5"/>
  <c r="BR497" i="5"/>
  <c r="BR403" i="5"/>
  <c r="BR300" i="5"/>
  <c r="BR389" i="5"/>
  <c r="BR291" i="5"/>
  <c r="BR492" i="5"/>
  <c r="BR375" i="5"/>
  <c r="BR399" i="5"/>
  <c r="BR436" i="5"/>
  <c r="BR407" i="5"/>
  <c r="BR392" i="5"/>
  <c r="BR382" i="5"/>
  <c r="BR410" i="5"/>
  <c r="BR477" i="5"/>
  <c r="BR359" i="5"/>
  <c r="BR520" i="5"/>
  <c r="BR295" i="5"/>
  <c r="BR358" i="5"/>
  <c r="BR326" i="5"/>
  <c r="BR362" i="5"/>
  <c r="BR530" i="5"/>
  <c r="BR493" i="5"/>
  <c r="BR379" i="5"/>
  <c r="BR491" i="5"/>
  <c r="BR463" i="5"/>
  <c r="BR321" i="5"/>
  <c r="BR305" i="5"/>
  <c r="BR290" i="5"/>
  <c r="BR287" i="5"/>
  <c r="BR311" i="5"/>
  <c r="BR385" i="5"/>
  <c r="BR499" i="5"/>
  <c r="BR333" i="5"/>
  <c r="BR424" i="5"/>
  <c r="BR413" i="5"/>
  <c r="BR377" i="5"/>
  <c r="BR336" i="5"/>
  <c r="BR387" i="5"/>
  <c r="BR346" i="5"/>
  <c r="BR409" i="5"/>
  <c r="BR297" i="5"/>
  <c r="BR299" i="5"/>
  <c r="BR428" i="5"/>
  <c r="BR538" i="5"/>
  <c r="BR353" i="5"/>
  <c r="BR380" i="5"/>
  <c r="BR519" i="5"/>
  <c r="BR480" i="5"/>
  <c r="BR281" i="5"/>
  <c r="BR369" i="5"/>
  <c r="BR372" i="5"/>
  <c r="BR368" i="5"/>
  <c r="BR528" i="5"/>
  <c r="BR482" i="5"/>
  <c r="BR342" i="5"/>
  <c r="BR508" i="5"/>
  <c r="BR504" i="5"/>
  <c r="BR522" i="5"/>
  <c r="BR327" i="5"/>
  <c r="BR285" i="5"/>
  <c r="BR414" i="5"/>
  <c r="BR361" i="5"/>
  <c r="BR289" i="5"/>
  <c r="BR473" i="5"/>
  <c r="BR283" i="5"/>
  <c r="BR459" i="5"/>
  <c r="BR478" i="5"/>
  <c r="BR337" i="5"/>
  <c r="BR349" i="5"/>
  <c r="BR425" i="5"/>
  <c r="BR309" i="5"/>
  <c r="BR317" i="5"/>
  <c r="BR350" i="5"/>
  <c r="BR442" i="5"/>
  <c r="BR376" i="5"/>
  <c r="BR515" i="5"/>
  <c r="BR363" i="5"/>
  <c r="BR371" i="5"/>
  <c r="BR494" i="5"/>
  <c r="BR323" i="5"/>
  <c r="BR474" i="5"/>
  <c r="BR303" i="5"/>
  <c r="BR534" i="5"/>
  <c r="BR282" i="5"/>
  <c r="BR390" i="5"/>
  <c r="BR535" i="5"/>
  <c r="BR294" i="5"/>
  <c r="BR293" i="5"/>
  <c r="BR332" i="5"/>
  <c r="BR447" i="5"/>
  <c r="BR338" i="5"/>
  <c r="BR355" i="5"/>
  <c r="BR513" i="5"/>
  <c r="BR523" i="5"/>
  <c r="BR378" i="5"/>
  <c r="BR460" i="5"/>
  <c r="BR384" i="5"/>
  <c r="BR347" i="5"/>
  <c r="BR331" i="5"/>
  <c r="BR328" i="5"/>
  <c r="BR506" i="5"/>
  <c r="BR397" i="5"/>
  <c r="BR512" i="5"/>
  <c r="BR439" i="5"/>
  <c r="BR525" i="5"/>
  <c r="BR354" i="5"/>
  <c r="BR288" i="5"/>
  <c r="BR404" i="5"/>
  <c r="BR279" i="5"/>
  <c r="BR529" i="5"/>
  <c r="BR343" i="5"/>
  <c r="BR280" i="5"/>
  <c r="BR511" i="5"/>
  <c r="BR542" i="5"/>
  <c r="BR443" i="5"/>
  <c r="BR429" i="5"/>
  <c r="BR536" i="5"/>
  <c r="BR462" i="5"/>
  <c r="BR408" i="5"/>
  <c r="BR341" i="5"/>
  <c r="BR446" i="5"/>
  <c r="BR302" i="5"/>
  <c r="BR356" i="5"/>
  <c r="BR471" i="5"/>
  <c r="BR301" i="5"/>
  <c r="BR438" i="5"/>
  <c r="BR461" i="5"/>
  <c r="BR292" i="5"/>
  <c r="BR516" i="5"/>
  <c r="BR398" i="5"/>
  <c r="BR411" i="5"/>
  <c r="BR393" i="5"/>
  <c r="BR360" i="5"/>
  <c r="BR437" i="5"/>
  <c r="BR344" i="5"/>
  <c r="BR479" i="5"/>
  <c r="BR448" i="5"/>
  <c r="BR335" i="5"/>
  <c r="BR325" i="5"/>
  <c r="BR449" i="5"/>
  <c r="BR526" i="5"/>
  <c r="BR537" i="5"/>
  <c r="BR540" i="5"/>
  <c r="BR304" i="5"/>
  <c r="BR340" i="5"/>
  <c r="BR539" i="5"/>
  <c r="BR406" i="5"/>
  <c r="BR435" i="5"/>
  <c r="BR396" i="5"/>
  <c r="BR374" i="5"/>
  <c r="BR394" i="5"/>
  <c r="BR322" i="5"/>
  <c r="BR329" i="5"/>
  <c r="BR489" i="5"/>
  <c r="BR503" i="5"/>
  <c r="BR330" i="5"/>
  <c r="BR386" i="5"/>
  <c r="BR388" i="5"/>
  <c r="BR470" i="5"/>
  <c r="BR430" i="5"/>
  <c r="BR400" i="5"/>
  <c r="BR488" i="5"/>
  <c r="BW545" i="5"/>
  <c r="BT278" i="5"/>
  <c r="BT77" i="5"/>
  <c r="BU77" i="5"/>
  <c r="BU181" i="5"/>
  <c r="BT181" i="5"/>
  <c r="BT493" i="5"/>
  <c r="BT57" i="5"/>
  <c r="BU57" i="5"/>
  <c r="BU221" i="5"/>
  <c r="BT221" i="5"/>
  <c r="BT342" i="5"/>
  <c r="BT483" i="5"/>
  <c r="BT212" i="5"/>
  <c r="BU212" i="5"/>
  <c r="BT133" i="5"/>
  <c r="BU133" i="5"/>
  <c r="BT216" i="5"/>
  <c r="BU216" i="5"/>
  <c r="BT214" i="5"/>
  <c r="BU214" i="5"/>
  <c r="BT180" i="5"/>
  <c r="BU180" i="5"/>
  <c r="BT494" i="5"/>
  <c r="BT39" i="5"/>
  <c r="BU39" i="5"/>
  <c r="BT42" i="5"/>
  <c r="BU42" i="5"/>
  <c r="BT20" i="5"/>
  <c r="BU20" i="5"/>
  <c r="BT450" i="5"/>
  <c r="BT323" i="5"/>
  <c r="BT325" i="5"/>
  <c r="BT449" i="5"/>
  <c r="BT228" i="5"/>
  <c r="BU228" i="5"/>
  <c r="BV545" i="5"/>
  <c r="BT162" i="5"/>
  <c r="BU162" i="5"/>
  <c r="BU179" i="5"/>
  <c r="BT179" i="5"/>
  <c r="BU215" i="5"/>
  <c r="BT215" i="5"/>
  <c r="BT169" i="5"/>
  <c r="BU169" i="5"/>
  <c r="BU189" i="5"/>
  <c r="BT189" i="5"/>
  <c r="BU217" i="5"/>
  <c r="BT217" i="5"/>
  <c r="BT55" i="5"/>
  <c r="BU55" i="5"/>
  <c r="BT218" i="5"/>
  <c r="BU218" i="5"/>
  <c r="BT164" i="5"/>
  <c r="BU164" i="5"/>
  <c r="BT230" i="5"/>
  <c r="BU230" i="5"/>
  <c r="BT148" i="5"/>
  <c r="BU148" i="5"/>
  <c r="BT497" i="5"/>
  <c r="BT335" i="5"/>
  <c r="BT324" i="5"/>
  <c r="BU223" i="5"/>
  <c r="BT223" i="5"/>
  <c r="BT495" i="5"/>
  <c r="BT498" i="5"/>
  <c r="BT280" i="5"/>
  <c r="BT61" i="5"/>
  <c r="BU61" i="5"/>
  <c r="BU185" i="5"/>
  <c r="BT185" i="5"/>
  <c r="BT448" i="5"/>
  <c r="BR178" i="5"/>
  <c r="BS178" i="5"/>
  <c r="BR97" i="5"/>
  <c r="BS97" i="5"/>
  <c r="BS172" i="5"/>
  <c r="BR172" i="5"/>
  <c r="BR222" i="5"/>
  <c r="BS222" i="5"/>
  <c r="BS189" i="5"/>
  <c r="BR189" i="5"/>
  <c r="BR20" i="5"/>
  <c r="BS20" i="5"/>
  <c r="BR271" i="5"/>
  <c r="BS271" i="5"/>
  <c r="BS234" i="5"/>
  <c r="BR234" i="5"/>
  <c r="BR3" i="5"/>
  <c r="BS3" i="5"/>
  <c r="BR145" i="5"/>
  <c r="BS145" i="5"/>
  <c r="BR49" i="5"/>
  <c r="BS49" i="5"/>
  <c r="BS227" i="5"/>
  <c r="BR227" i="5"/>
  <c r="BR161" i="5"/>
  <c r="BS161" i="5"/>
  <c r="BS16" i="5"/>
  <c r="BR16" i="5"/>
  <c r="BS60" i="5"/>
  <c r="BR60" i="5"/>
  <c r="BS121" i="5"/>
  <c r="BR121" i="5"/>
  <c r="BS274" i="5"/>
  <c r="BR274" i="5"/>
  <c r="BS166" i="5"/>
  <c r="BR166" i="5"/>
  <c r="BR118" i="5"/>
  <c r="BS118" i="5"/>
  <c r="BS158" i="5"/>
  <c r="BR158" i="5"/>
  <c r="BS226" i="5"/>
  <c r="BR226" i="5"/>
  <c r="BS102" i="5"/>
  <c r="BR102" i="5"/>
  <c r="BS138" i="5"/>
  <c r="BR138" i="5"/>
  <c r="BS262" i="5"/>
  <c r="BR262" i="5"/>
  <c r="BR143" i="5"/>
  <c r="BS143" i="5"/>
  <c r="AX207" i="5"/>
  <c r="BR207" i="5"/>
  <c r="BS207" i="5"/>
  <c r="BS10" i="5"/>
  <c r="BR10" i="5"/>
  <c r="BR32" i="5"/>
  <c r="BS32" i="5"/>
  <c r="BR75" i="5"/>
  <c r="BS75" i="5"/>
  <c r="BS22" i="5"/>
  <c r="BR22" i="5"/>
  <c r="BR224" i="5"/>
  <c r="BS224" i="5"/>
  <c r="BS149" i="5"/>
  <c r="BR149" i="5"/>
  <c r="BR133" i="5"/>
  <c r="BS133" i="5"/>
  <c r="BS153" i="5"/>
  <c r="BR153" i="5"/>
  <c r="BS148" i="5"/>
  <c r="BR148" i="5"/>
  <c r="BR68" i="5"/>
  <c r="BS68" i="5"/>
  <c r="BR183" i="5"/>
  <c r="BS183" i="5"/>
  <c r="BS95" i="5"/>
  <c r="BR95" i="5"/>
  <c r="BS273" i="5"/>
  <c r="BR273" i="5"/>
  <c r="BS36" i="5"/>
  <c r="BR36" i="5"/>
  <c r="BS173" i="5"/>
  <c r="BR173" i="5"/>
  <c r="BR85" i="5"/>
  <c r="BS85" i="5"/>
  <c r="BS238" i="5"/>
  <c r="BR238" i="5"/>
  <c r="BR63" i="5"/>
  <c r="BS63" i="5"/>
  <c r="BS19" i="5"/>
  <c r="BR19" i="5"/>
  <c r="BR43" i="5"/>
  <c r="BS43" i="5"/>
  <c r="BS56" i="5"/>
  <c r="BR56" i="5"/>
  <c r="BS155" i="5"/>
  <c r="BR155" i="5"/>
  <c r="BR144" i="5"/>
  <c r="BS144" i="5"/>
  <c r="BS27" i="5"/>
  <c r="BR27" i="5"/>
  <c r="BR69" i="5"/>
  <c r="BS69" i="5"/>
  <c r="AX128" i="5"/>
  <c r="BR128" i="5"/>
  <c r="BS128" i="5"/>
  <c r="BS201" i="5"/>
  <c r="BR201" i="5"/>
  <c r="BR233" i="5"/>
  <c r="BS233" i="5"/>
  <c r="BS223" i="5"/>
  <c r="BR223" i="5"/>
  <c r="BR39" i="5"/>
  <c r="BS39" i="5"/>
  <c r="BS169" i="5"/>
  <c r="BR169" i="5"/>
  <c r="BR96" i="5"/>
  <c r="BS96" i="5"/>
  <c r="AX61" i="5"/>
  <c r="BS61" i="5"/>
  <c r="BR61" i="5"/>
  <c r="BR216" i="5"/>
  <c r="BS216" i="5"/>
  <c r="BS187" i="5"/>
  <c r="BR187" i="5"/>
  <c r="BR14" i="5"/>
  <c r="BS14" i="5"/>
  <c r="BR25" i="5"/>
  <c r="BS25" i="5"/>
  <c r="BS123" i="5"/>
  <c r="BR123" i="5"/>
  <c r="BS175" i="5"/>
  <c r="BR175" i="5"/>
  <c r="BR209" i="5"/>
  <c r="BS209" i="5"/>
  <c r="BS108" i="5"/>
  <c r="BR108" i="5"/>
  <c r="BS211" i="5"/>
  <c r="BR211" i="5"/>
  <c r="AY35" i="5"/>
  <c r="BR35" i="5"/>
  <c r="BS35" i="5"/>
  <c r="AX190" i="5"/>
  <c r="BS190" i="5"/>
  <c r="BR190" i="5"/>
  <c r="BR84" i="5"/>
  <c r="BS84" i="5"/>
  <c r="BR28" i="5"/>
  <c r="BS28" i="5"/>
  <c r="BR136" i="5"/>
  <c r="BS136" i="5"/>
  <c r="BR241" i="5"/>
  <c r="BS241" i="5"/>
  <c r="BR90" i="5"/>
  <c r="BS90" i="5"/>
  <c r="BS30" i="5"/>
  <c r="BR30" i="5"/>
  <c r="BS106" i="5"/>
  <c r="BR106" i="5"/>
  <c r="BS119" i="5"/>
  <c r="BR119" i="5"/>
  <c r="BS277" i="5"/>
  <c r="BR277" i="5"/>
  <c r="AX89" i="5"/>
  <c r="BR89" i="5"/>
  <c r="BS89" i="5"/>
  <c r="BR258" i="5"/>
  <c r="BS258" i="5"/>
  <c r="BR122" i="5"/>
  <c r="BS122" i="5"/>
  <c r="BS165" i="5"/>
  <c r="BR165" i="5"/>
  <c r="BS204" i="5"/>
  <c r="BR204" i="5"/>
  <c r="BS57" i="5"/>
  <c r="BR57" i="5"/>
  <c r="BS160" i="5"/>
  <c r="BR160" i="5"/>
  <c r="BS18" i="5"/>
  <c r="BR18" i="5"/>
  <c r="BR77" i="5"/>
  <c r="BS77" i="5"/>
  <c r="BR78" i="5"/>
  <c r="BS78" i="5"/>
  <c r="BR181" i="5"/>
  <c r="BS181" i="5"/>
  <c r="BR55" i="5"/>
  <c r="BS55" i="5"/>
  <c r="BR17" i="5"/>
  <c r="BS17" i="5"/>
  <c r="BS113" i="5"/>
  <c r="BR113" i="5"/>
  <c r="BR34" i="5"/>
  <c r="BS34" i="5"/>
  <c r="BR44" i="5"/>
  <c r="BS44" i="5"/>
  <c r="BR33" i="5"/>
  <c r="BS33" i="5"/>
  <c r="BR93" i="5"/>
  <c r="BS93" i="5"/>
  <c r="BR7" i="5"/>
  <c r="BS7" i="5"/>
  <c r="BS261" i="5"/>
  <c r="BR261" i="5"/>
  <c r="BR269" i="5"/>
  <c r="BS269" i="5"/>
  <c r="BS154" i="5"/>
  <c r="BR154" i="5"/>
  <c r="BS263" i="5"/>
  <c r="BR263" i="5"/>
  <c r="BR236" i="5"/>
  <c r="BS236" i="5"/>
  <c r="BS101" i="5"/>
  <c r="BR101" i="5"/>
  <c r="BR197" i="5"/>
  <c r="BS197" i="5"/>
  <c r="BR81" i="5"/>
  <c r="BS81" i="5"/>
  <c r="BS109" i="5"/>
  <c r="BR109" i="5"/>
  <c r="BR202" i="5"/>
  <c r="BS202" i="5"/>
  <c r="BR193" i="5"/>
  <c r="BS193" i="5"/>
  <c r="BS76" i="5"/>
  <c r="BR76" i="5"/>
  <c r="BR137" i="5"/>
  <c r="BS137" i="5"/>
  <c r="BS71" i="5"/>
  <c r="BR71" i="5"/>
  <c r="AX253" i="5"/>
  <c r="BR253" i="5"/>
  <c r="BS253" i="5"/>
  <c r="BR228" i="5"/>
  <c r="BS228" i="5"/>
  <c r="BR214" i="5"/>
  <c r="BS214" i="5"/>
  <c r="AX240" i="5"/>
  <c r="BR240" i="5"/>
  <c r="BS240" i="5"/>
  <c r="BS164" i="5"/>
  <c r="BR164" i="5"/>
  <c r="BS276" i="5"/>
  <c r="BR276" i="5"/>
  <c r="BR83" i="5"/>
  <c r="BS83" i="5"/>
  <c r="BS13" i="5"/>
  <c r="BR13" i="5"/>
  <c r="BS53" i="5"/>
  <c r="BR53" i="5"/>
  <c r="BS104" i="5"/>
  <c r="BR104" i="5"/>
  <c r="BS80" i="5"/>
  <c r="BR80" i="5"/>
  <c r="BR147" i="5"/>
  <c r="BS147" i="5"/>
  <c r="BR213" i="5"/>
  <c r="BS213" i="5"/>
  <c r="BS275" i="5"/>
  <c r="BR275" i="5"/>
  <c r="BS52" i="5"/>
  <c r="BR52" i="5"/>
  <c r="BS195" i="5"/>
  <c r="BR195" i="5"/>
  <c r="AX152" i="5"/>
  <c r="BS152" i="5"/>
  <c r="BR152" i="5"/>
  <c r="BS264" i="5"/>
  <c r="BR264" i="5"/>
  <c r="BS103" i="5"/>
  <c r="BR103" i="5"/>
  <c r="BS176" i="5"/>
  <c r="BR176" i="5"/>
  <c r="BS219" i="5"/>
  <c r="BR219" i="5"/>
  <c r="BS184" i="5"/>
  <c r="BR184" i="5"/>
  <c r="BS51" i="5"/>
  <c r="BR51" i="5"/>
  <c r="BS70" i="5"/>
  <c r="BR70" i="5"/>
  <c r="BS46" i="5"/>
  <c r="BR46" i="5"/>
  <c r="BS256" i="5"/>
  <c r="BR256" i="5"/>
  <c r="BR215" i="5"/>
  <c r="BS215" i="5"/>
  <c r="AX72" i="5"/>
  <c r="BS72" i="5"/>
  <c r="BR72" i="5"/>
  <c r="AX42" i="5"/>
  <c r="BS42" i="5"/>
  <c r="BR42" i="5"/>
  <c r="BS185" i="5"/>
  <c r="BR185" i="5"/>
  <c r="AX162" i="5"/>
  <c r="BS162" i="5"/>
  <c r="BR162" i="5"/>
  <c r="BS37" i="5"/>
  <c r="BR37" i="5"/>
  <c r="BS107" i="5"/>
  <c r="BR107" i="5"/>
  <c r="BS191" i="5"/>
  <c r="BR191" i="5"/>
  <c r="BS272" i="5"/>
  <c r="BR272" i="5"/>
  <c r="BR115" i="5"/>
  <c r="BS115" i="5"/>
  <c r="AY156" i="5"/>
  <c r="BS156" i="5"/>
  <c r="BR156" i="5"/>
  <c r="BR247" i="5"/>
  <c r="BS247" i="5"/>
  <c r="BR126" i="5"/>
  <c r="BS126" i="5"/>
  <c r="BS38" i="5"/>
  <c r="BR38" i="5"/>
  <c r="BR99" i="5"/>
  <c r="BS99" i="5"/>
  <c r="BS131" i="5"/>
  <c r="BR131" i="5"/>
  <c r="BR31" i="5"/>
  <c r="BS31" i="5"/>
  <c r="BR151" i="5"/>
  <c r="BS151" i="5"/>
  <c r="BR174" i="5"/>
  <c r="BS174" i="5"/>
  <c r="BR86" i="5"/>
  <c r="BS86" i="5"/>
  <c r="BR188" i="5"/>
  <c r="BS188" i="5"/>
  <c r="BR225" i="5"/>
  <c r="BS225" i="5"/>
  <c r="BR163" i="5"/>
  <c r="BS163" i="5"/>
  <c r="AX74" i="5"/>
  <c r="BR74" i="5"/>
  <c r="BS74" i="5"/>
  <c r="BR139" i="5"/>
  <c r="BS139" i="5"/>
  <c r="BR177" i="5"/>
  <c r="BS177" i="5"/>
  <c r="BR98" i="5"/>
  <c r="BS98" i="5"/>
  <c r="BR217" i="5"/>
  <c r="BS217" i="5"/>
  <c r="BS127" i="5"/>
  <c r="BR127" i="5"/>
  <c r="BS212" i="5"/>
  <c r="BR212" i="5"/>
  <c r="BR179" i="5"/>
  <c r="BS179" i="5"/>
  <c r="AX171" i="5"/>
  <c r="BS171" i="5"/>
  <c r="BR171" i="5"/>
  <c r="BR221" i="5"/>
  <c r="BS221" i="5"/>
  <c r="BS47" i="5"/>
  <c r="BR47" i="5"/>
  <c r="BR58" i="5"/>
  <c r="BS58" i="5"/>
  <c r="AY159" i="5"/>
  <c r="BR159" i="5"/>
  <c r="BS159" i="5"/>
  <c r="BR140" i="5"/>
  <c r="BS140" i="5"/>
  <c r="BS73" i="5"/>
  <c r="BR73" i="5"/>
  <c r="AX65" i="5"/>
  <c r="BS65" i="5"/>
  <c r="BR65" i="5"/>
  <c r="BS88" i="5"/>
  <c r="BR88" i="5"/>
  <c r="BS130" i="5"/>
  <c r="BR130" i="5"/>
  <c r="BS182" i="5"/>
  <c r="BR182" i="5"/>
  <c r="BS246" i="5"/>
  <c r="BR246" i="5"/>
  <c r="BR92" i="5"/>
  <c r="BS92" i="5"/>
  <c r="BS210" i="5"/>
  <c r="BR210" i="5"/>
  <c r="BS150" i="5"/>
  <c r="BR150" i="5"/>
  <c r="BR24" i="5"/>
  <c r="BS24" i="5"/>
  <c r="BR157" i="5"/>
  <c r="BS157" i="5"/>
  <c r="AX45" i="5"/>
  <c r="BR45" i="5"/>
  <c r="BS45" i="5"/>
  <c r="BR268" i="5"/>
  <c r="BS268" i="5"/>
  <c r="BR64" i="5"/>
  <c r="BS64" i="5"/>
  <c r="BR40" i="5"/>
  <c r="BS40" i="5"/>
  <c r="BS124" i="5"/>
  <c r="BR124" i="5"/>
  <c r="AY146" i="5"/>
  <c r="BR146" i="5"/>
  <c r="BS146" i="5"/>
  <c r="BS252" i="5"/>
  <c r="BR252" i="5"/>
  <c r="BS232" i="5"/>
  <c r="BR232" i="5"/>
  <c r="BS59" i="5"/>
  <c r="BR59" i="5"/>
  <c r="AX192" i="5"/>
  <c r="BS192" i="5"/>
  <c r="BR192" i="5"/>
  <c r="BR50" i="5"/>
  <c r="BS50" i="5"/>
  <c r="AX242" i="5"/>
  <c r="BR242" i="5"/>
  <c r="BS242" i="5"/>
  <c r="BR229" i="5"/>
  <c r="BS229" i="5"/>
  <c r="AX206" i="5"/>
  <c r="BR206" i="5"/>
  <c r="BS206" i="5"/>
  <c r="BR180" i="5"/>
  <c r="BS180" i="5"/>
  <c r="BR230" i="5"/>
  <c r="BS230" i="5"/>
  <c r="BS218" i="5"/>
  <c r="BR218" i="5"/>
  <c r="BS117" i="5"/>
  <c r="BR117" i="5"/>
  <c r="BR82" i="5"/>
  <c r="BS82" i="5"/>
  <c r="AX257" i="5"/>
  <c r="BR257" i="5"/>
  <c r="BS257" i="5"/>
  <c r="BS94" i="5"/>
  <c r="BR94" i="5"/>
  <c r="BR254" i="5"/>
  <c r="BS254" i="5"/>
  <c r="BR208" i="5"/>
  <c r="BS208" i="5"/>
  <c r="BS199" i="5"/>
  <c r="BR199" i="5"/>
  <c r="BS266" i="5"/>
  <c r="BR266" i="5"/>
  <c r="BS259" i="5"/>
  <c r="BR259" i="5"/>
  <c r="BS54" i="5"/>
  <c r="BR54" i="5"/>
  <c r="BR48" i="5"/>
  <c r="BS48" i="5"/>
  <c r="AX91" i="5"/>
  <c r="BS91" i="5"/>
  <c r="BR91" i="5"/>
  <c r="BS141" i="5"/>
  <c r="BR141" i="5"/>
  <c r="BR243" i="5"/>
  <c r="BS243" i="5"/>
  <c r="BR186" i="5"/>
  <c r="BS186" i="5"/>
  <c r="BS194" i="5"/>
  <c r="BR194" i="5"/>
  <c r="BR9" i="5"/>
  <c r="BS9" i="5"/>
  <c r="BR245" i="5"/>
  <c r="BS245" i="5"/>
  <c r="BS220" i="5"/>
  <c r="BR220" i="5"/>
  <c r="BS134" i="5"/>
  <c r="BR134" i="5"/>
  <c r="AX100" i="5"/>
  <c r="AU100" i="5"/>
  <c r="AW100" i="5" s="1"/>
  <c r="AX307" i="5"/>
  <c r="AW307" i="5"/>
  <c r="AX112" i="5"/>
  <c r="AU112" i="5"/>
  <c r="AW112" i="5" s="1"/>
  <c r="AW314" i="5"/>
  <c r="AX314" i="5"/>
  <c r="AU4" i="5"/>
  <c r="AW4" i="5" s="1"/>
  <c r="AW316" i="5"/>
  <c r="AX316" i="5"/>
  <c r="AX418" i="5"/>
  <c r="AW418" i="5"/>
  <c r="AW318" i="5"/>
  <c r="AX318" i="5"/>
  <c r="AX455" i="5"/>
  <c r="AW455" i="5"/>
  <c r="AX366" i="5"/>
  <c r="AW366" i="5"/>
  <c r="AU110" i="5"/>
  <c r="AW110" i="5" s="1"/>
  <c r="AU79" i="5"/>
  <c r="AW79" i="5" s="1"/>
  <c r="AW464" i="5"/>
  <c r="AX464" i="5"/>
  <c r="AX457" i="5"/>
  <c r="AW457" i="5"/>
  <c r="AX251" i="5"/>
  <c r="AU251" i="5"/>
  <c r="AW251" i="5" s="1"/>
  <c r="AX468" i="5"/>
  <c r="AW468" i="5"/>
  <c r="AX434" i="5"/>
  <c r="AW434" i="5"/>
  <c r="AX501" i="5"/>
  <c r="AW501" i="5"/>
  <c r="AX313" i="5"/>
  <c r="AW313" i="5"/>
  <c r="AY186" i="5"/>
  <c r="AU248" i="5"/>
  <c r="AW248" i="5" s="1"/>
  <c r="AX248" i="5"/>
  <c r="AX168" i="5"/>
  <c r="AU168" i="5"/>
  <c r="AW168" i="5" s="1"/>
  <c r="AX231" i="5"/>
  <c r="AU231" i="5"/>
  <c r="AW231" i="5" s="1"/>
  <c r="AX12" i="5"/>
  <c r="AU12" i="5"/>
  <c r="AW12" i="5" s="1"/>
  <c r="AW383" i="5"/>
  <c r="AX383" i="5"/>
  <c r="AU249" i="5"/>
  <c r="AW249" i="5" s="1"/>
  <c r="AX249" i="5"/>
  <c r="AX541" i="5"/>
  <c r="AW541" i="5"/>
  <c r="AX312" i="5"/>
  <c r="AW312" i="5"/>
  <c r="AX26" i="5"/>
  <c r="AU26" i="5"/>
  <c r="AW26" i="5" s="1"/>
  <c r="AU114" i="5"/>
  <c r="AW114" i="5" s="1"/>
  <c r="AU125" i="5"/>
  <c r="AW125" i="5" s="1"/>
  <c r="AU267" i="5"/>
  <c r="AW267" i="5" s="1"/>
  <c r="AX227" i="5"/>
  <c r="AX121" i="5"/>
  <c r="AX226" i="5"/>
  <c r="AU23" i="5"/>
  <c r="AW23" i="5" s="1"/>
  <c r="AX23" i="5"/>
  <c r="AX456" i="5"/>
  <c r="AW456" i="5"/>
  <c r="AU135" i="5"/>
  <c r="AW135" i="5" s="1"/>
  <c r="AX135" i="5"/>
  <c r="AW416" i="5"/>
  <c r="AX416" i="5"/>
  <c r="AU235" i="5"/>
  <c r="AW235" i="5" s="1"/>
  <c r="AX235" i="5"/>
  <c r="AX367" i="5"/>
  <c r="AW367" i="5"/>
  <c r="AW433" i="5"/>
  <c r="AX433" i="5"/>
  <c r="AU8" i="5"/>
  <c r="AW8" i="5" s="1"/>
  <c r="AU198" i="5"/>
  <c r="AW198" i="5" s="1"/>
  <c r="AX27" i="5"/>
  <c r="AW543" i="5"/>
  <c r="AX543" i="5"/>
  <c r="AW502" i="5"/>
  <c r="AX502" i="5"/>
  <c r="AX319" i="5"/>
  <c r="AW319" i="5"/>
  <c r="AW391" i="5"/>
  <c r="AX391" i="5"/>
  <c r="AX244" i="5"/>
  <c r="AU244" i="5"/>
  <c r="AW244" i="5" s="1"/>
  <c r="AX475" i="5"/>
  <c r="AW475" i="5"/>
  <c r="AU260" i="5"/>
  <c r="AW260" i="5" s="1"/>
  <c r="AX260" i="5"/>
  <c r="AU116" i="5"/>
  <c r="AW116" i="5" s="1"/>
  <c r="AX116" i="5"/>
  <c r="AU105" i="5"/>
  <c r="AW105" i="5" s="1"/>
  <c r="AX28" i="5"/>
  <c r="AY122" i="5"/>
  <c r="AX237" i="5"/>
  <c r="AU237" i="5"/>
  <c r="AW237" i="5" s="1"/>
  <c r="AX467" i="5"/>
  <c r="AW467" i="5"/>
  <c r="AX466" i="5"/>
  <c r="AW466" i="5"/>
  <c r="AW454" i="5"/>
  <c r="AX454" i="5"/>
  <c r="AX500" i="5"/>
  <c r="AW500" i="5"/>
  <c r="AX465" i="5"/>
  <c r="AW465" i="5"/>
  <c r="AX87" i="5"/>
  <c r="AU87" i="5"/>
  <c r="AW87" i="5" s="1"/>
  <c r="AX205" i="5"/>
  <c r="AU205" i="5"/>
  <c r="AW205" i="5" s="1"/>
  <c r="AU250" i="5"/>
  <c r="AW250" i="5" s="1"/>
  <c r="AX250" i="5"/>
  <c r="AU15" i="5"/>
  <c r="AW15" i="5" s="1"/>
  <c r="AU255" i="5"/>
  <c r="AW255" i="5" s="1"/>
  <c r="AU167" i="5"/>
  <c r="AW167" i="5" s="1"/>
  <c r="AX77" i="5"/>
  <c r="AX55" i="5"/>
  <c r="AX197" i="5"/>
  <c r="AX193" i="5"/>
  <c r="AU196" i="5"/>
  <c r="AW196" i="5" s="1"/>
  <c r="AX196" i="5"/>
  <c r="AX476" i="5"/>
  <c r="AW476" i="5"/>
  <c r="AW365" i="5"/>
  <c r="AX365" i="5"/>
  <c r="AW306" i="5"/>
  <c r="AX306" i="5"/>
  <c r="AU11" i="5"/>
  <c r="AW11" i="5" s="1"/>
  <c r="AX11" i="5"/>
  <c r="AX239" i="5"/>
  <c r="AU239" i="5"/>
  <c r="AW239" i="5" s="1"/>
  <c r="AW427" i="5"/>
  <c r="AX427" i="5"/>
  <c r="AX315" i="5"/>
  <c r="AW315" i="5"/>
  <c r="AX417" i="5"/>
  <c r="AW417" i="5"/>
  <c r="AU200" i="5"/>
  <c r="AW200" i="5" s="1"/>
  <c r="AX200" i="5"/>
  <c r="AU203" i="5"/>
  <c r="AW203" i="5" s="1"/>
  <c r="AU67" i="5"/>
  <c r="AW67" i="5" s="1"/>
  <c r="AX67" i="5"/>
  <c r="AX164" i="5"/>
  <c r="AU6" i="5"/>
  <c r="AW6" i="5" s="1"/>
  <c r="AX6" i="5"/>
  <c r="AU21" i="5"/>
  <c r="AW21" i="5" s="1"/>
  <c r="AX21" i="5"/>
  <c r="AU29" i="5"/>
  <c r="AW29" i="5" s="1"/>
  <c r="AU62" i="5"/>
  <c r="AW62" i="5" s="1"/>
  <c r="AU66" i="5"/>
  <c r="AW66" i="5" s="1"/>
  <c r="AY204" i="5"/>
  <c r="AY172" i="5"/>
  <c r="AY242" i="5"/>
  <c r="AY233" i="5"/>
  <c r="AY217" i="5"/>
  <c r="AY149" i="5"/>
  <c r="AY133" i="5"/>
  <c r="AY39" i="5"/>
  <c r="AY240" i="5"/>
  <c r="AY169" i="5"/>
  <c r="AY171" i="5"/>
  <c r="AY230" i="5"/>
  <c r="AY55" i="5"/>
  <c r="AY42" i="5"/>
  <c r="AY20" i="5"/>
  <c r="AY61" i="5"/>
  <c r="AY164" i="5"/>
  <c r="AY162" i="5"/>
  <c r="AY276" i="5"/>
  <c r="AY257" i="5"/>
  <c r="AY83" i="5"/>
  <c r="AY234" i="5"/>
  <c r="AY44" i="5"/>
  <c r="AZ546" i="5"/>
  <c r="AY25" i="5"/>
  <c r="AY94" i="5"/>
  <c r="AY115" i="5"/>
  <c r="AY65" i="5"/>
  <c r="AY254" i="5"/>
  <c r="AY261" i="5"/>
  <c r="AY80" i="5"/>
  <c r="AY126" i="5"/>
  <c r="AY130" i="5"/>
  <c r="AY227" i="5"/>
  <c r="AY16" i="5"/>
  <c r="AY121" i="5"/>
  <c r="AY190" i="5"/>
  <c r="AY210" i="5"/>
  <c r="AY199" i="5"/>
  <c r="AY101" i="5"/>
  <c r="AY85" i="5"/>
  <c r="AY197" i="5"/>
  <c r="AY195" i="5"/>
  <c r="AY188" i="5"/>
  <c r="AY28" i="5"/>
  <c r="AY226" i="5"/>
  <c r="AY45" i="5"/>
  <c r="AY264" i="5"/>
  <c r="AY91" i="5"/>
  <c r="AY193" i="5"/>
  <c r="AY40" i="5"/>
  <c r="AY74" i="5"/>
  <c r="AY124" i="5"/>
  <c r="AY207" i="5"/>
  <c r="AY232" i="5"/>
  <c r="AY9" i="5"/>
  <c r="AY184" i="5"/>
  <c r="AY177" i="5"/>
  <c r="AY27" i="5"/>
  <c r="AY89" i="5"/>
  <c r="AY192" i="5"/>
  <c r="AY253" i="5"/>
  <c r="AY256" i="5"/>
  <c r="AW451" i="5"/>
  <c r="AX451" i="5"/>
  <c r="AX415" i="5"/>
  <c r="AW415" i="5"/>
  <c r="BW546" i="5" l="1"/>
  <c r="BU545" i="5"/>
  <c r="BT545" i="5"/>
  <c r="BS545" i="5"/>
  <c r="BR545" i="5"/>
  <c r="AU128" i="5"/>
  <c r="AW128" i="5" s="1"/>
  <c r="AU172" i="5"/>
  <c r="AW172" i="5" s="1"/>
  <c r="AU9" i="5"/>
  <c r="AW9" i="5" s="1"/>
  <c r="AX9" i="5"/>
  <c r="AX292" i="5"/>
  <c r="AW292" i="5"/>
  <c r="AX506" i="5"/>
  <c r="AW506" i="5"/>
  <c r="AX332" i="5"/>
  <c r="AW332" i="5"/>
  <c r="AU50" i="5"/>
  <c r="AW50" i="5" s="1"/>
  <c r="AX50" i="5"/>
  <c r="AU71" i="5"/>
  <c r="AW71" i="5" s="1"/>
  <c r="AX71" i="5"/>
  <c r="AW376" i="5"/>
  <c r="AX376" i="5"/>
  <c r="AW524" i="5"/>
  <c r="AX524" i="5"/>
  <c r="AU220" i="5"/>
  <c r="AW220" i="5" s="1"/>
  <c r="AX220" i="5"/>
  <c r="AX51" i="5"/>
  <c r="AU51" i="5"/>
  <c r="AW51" i="5" s="1"/>
  <c r="AX288" i="5"/>
  <c r="AW288" i="5"/>
  <c r="AX514" i="5"/>
  <c r="AW514" i="5"/>
  <c r="AW505" i="5"/>
  <c r="AX505" i="5"/>
  <c r="AX354" i="5"/>
  <c r="AW354" i="5"/>
  <c r="AU146" i="5"/>
  <c r="AW146" i="5" s="1"/>
  <c r="AX146" i="5"/>
  <c r="AW516" i="5"/>
  <c r="AX516" i="5"/>
  <c r="AU141" i="5"/>
  <c r="AW141" i="5" s="1"/>
  <c r="AX141" i="5"/>
  <c r="AW489" i="5"/>
  <c r="AX489" i="5"/>
  <c r="AX238" i="5"/>
  <c r="AU238" i="5"/>
  <c r="AW238" i="5" s="1"/>
  <c r="AW394" i="5"/>
  <c r="AX394" i="5"/>
  <c r="AX392" i="5"/>
  <c r="AW392" i="5"/>
  <c r="AX357" i="5"/>
  <c r="AW357" i="5"/>
  <c r="AX435" i="5"/>
  <c r="AW435" i="5"/>
  <c r="AX151" i="5"/>
  <c r="AU151" i="5"/>
  <c r="AW151" i="5" s="1"/>
  <c r="AW446" i="5"/>
  <c r="AX446" i="5"/>
  <c r="AX513" i="5"/>
  <c r="AW513" i="5"/>
  <c r="AW341" i="5"/>
  <c r="AX341" i="5"/>
  <c r="AX499" i="5"/>
  <c r="AW499" i="5"/>
  <c r="AX453" i="5"/>
  <c r="AW453" i="5"/>
  <c r="AX247" i="5"/>
  <c r="AU247" i="5"/>
  <c r="AW247" i="5" s="1"/>
  <c r="AX261" i="5"/>
  <c r="AU261" i="5"/>
  <c r="AW261" i="5" s="1"/>
  <c r="AX294" i="5"/>
  <c r="AW294" i="5"/>
  <c r="AW405" i="5"/>
  <c r="AX405" i="5"/>
  <c r="AW321" i="5"/>
  <c r="AX321" i="5"/>
  <c r="AX463" i="5"/>
  <c r="AW463" i="5"/>
  <c r="AX300" i="5"/>
  <c r="AW300" i="5"/>
  <c r="AW351" i="5"/>
  <c r="AX351" i="5"/>
  <c r="AW542" i="5"/>
  <c r="AX542" i="5"/>
  <c r="AX490" i="5"/>
  <c r="AW490" i="5"/>
  <c r="AW498" i="5"/>
  <c r="AX498" i="5"/>
  <c r="AW533" i="5"/>
  <c r="AX533" i="5"/>
  <c r="AX149" i="5"/>
  <c r="AU149" i="5"/>
  <c r="AW149" i="5" s="1"/>
  <c r="AX278" i="5"/>
  <c r="AW278" i="5"/>
  <c r="AU178" i="5"/>
  <c r="AW178" i="5" s="1"/>
  <c r="AX178" i="5"/>
  <c r="AX362" i="5"/>
  <c r="AW362" i="5"/>
  <c r="AU219" i="5"/>
  <c r="AW219" i="5" s="1"/>
  <c r="AU147" i="5"/>
  <c r="AW147" i="5" s="1"/>
  <c r="AU81" i="5"/>
  <c r="AW81" i="5" s="1"/>
  <c r="AU181" i="5"/>
  <c r="AW181" i="5" s="1"/>
  <c r="AX536" i="5"/>
  <c r="AW536" i="5"/>
  <c r="AU43" i="5"/>
  <c r="AW43" i="5" s="1"/>
  <c r="AU183" i="5"/>
  <c r="AW183" i="5" s="1"/>
  <c r="AU75" i="5"/>
  <c r="AW75" i="5" s="1"/>
  <c r="AU262" i="5"/>
  <c r="AW262" i="5" s="1"/>
  <c r="AU227" i="5"/>
  <c r="AW227" i="5" s="1"/>
  <c r="AU97" i="5"/>
  <c r="AW97" i="5" s="1"/>
  <c r="AX491" i="5"/>
  <c r="AW491" i="5"/>
  <c r="AU242" i="5"/>
  <c r="AW242" i="5" s="1"/>
  <c r="AU179" i="5"/>
  <c r="AW179" i="5" s="1"/>
  <c r="AU74" i="5"/>
  <c r="AW74" i="5" s="1"/>
  <c r="AU162" i="5"/>
  <c r="AW162" i="5" s="1"/>
  <c r="AU217" i="5"/>
  <c r="AW217" i="5" s="1"/>
  <c r="AX349" i="5"/>
  <c r="AW349" i="5"/>
  <c r="AX473" i="5"/>
  <c r="AW473" i="5"/>
  <c r="AU144" i="5"/>
  <c r="AW144" i="5" s="1"/>
  <c r="AX144" i="5"/>
  <c r="AX517" i="5"/>
  <c r="AW517" i="5"/>
  <c r="AU155" i="5"/>
  <c r="AW155" i="5" s="1"/>
  <c r="AX155" i="5"/>
  <c r="AU232" i="5"/>
  <c r="AW232" i="5" s="1"/>
  <c r="AX232" i="5"/>
  <c r="AX388" i="5"/>
  <c r="AW388" i="5"/>
  <c r="AU176" i="5"/>
  <c r="AW176" i="5" s="1"/>
  <c r="AX176" i="5"/>
  <c r="AX138" i="5"/>
  <c r="AU138" i="5"/>
  <c r="AW138" i="5" s="1"/>
  <c r="AX297" i="5"/>
  <c r="AW297" i="5"/>
  <c r="AX109" i="5"/>
  <c r="AU109" i="5"/>
  <c r="AW109" i="5" s="1"/>
  <c r="AX509" i="5"/>
  <c r="AW509" i="5"/>
  <c r="AX328" i="5"/>
  <c r="AW328" i="5"/>
  <c r="AX225" i="5"/>
  <c r="AU225" i="5"/>
  <c r="AW225" i="5" s="1"/>
  <c r="AU195" i="5"/>
  <c r="AW195" i="5" s="1"/>
  <c r="AX195" i="5"/>
  <c r="AX374" i="5"/>
  <c r="AW374" i="5"/>
  <c r="AU266" i="5"/>
  <c r="AW266" i="5" s="1"/>
  <c r="AX266" i="5"/>
  <c r="AX283" i="5"/>
  <c r="AW283" i="5"/>
  <c r="AW377" i="5"/>
  <c r="AX377" i="5"/>
  <c r="AU236" i="5"/>
  <c r="AW236" i="5" s="1"/>
  <c r="AX236" i="5"/>
  <c r="AX289" i="5"/>
  <c r="AW289" i="5"/>
  <c r="AX424" i="5"/>
  <c r="AW424" i="5"/>
  <c r="AX60" i="5"/>
  <c r="AU60" i="5"/>
  <c r="AW60" i="5" s="1"/>
  <c r="AX182" i="5"/>
  <c r="AU182" i="5"/>
  <c r="AW182" i="5" s="1"/>
  <c r="AX304" i="5"/>
  <c r="AW304" i="5"/>
  <c r="AU269" i="5"/>
  <c r="AW269" i="5" s="1"/>
  <c r="AX269" i="5"/>
  <c r="AW361" i="5"/>
  <c r="AX361" i="5"/>
  <c r="AX49" i="5"/>
  <c r="AU49" i="5"/>
  <c r="AW49" i="5" s="1"/>
  <c r="AW305" i="5"/>
  <c r="AX305" i="5"/>
  <c r="AW518" i="5"/>
  <c r="AX518" i="5"/>
  <c r="AU272" i="5"/>
  <c r="AW272" i="5" s="1"/>
  <c r="AX272" i="5"/>
  <c r="AU33" i="5"/>
  <c r="AW33" i="5" s="1"/>
  <c r="AX33" i="5"/>
  <c r="AU83" i="5"/>
  <c r="AW83" i="5" s="1"/>
  <c r="AX83" i="5"/>
  <c r="AX282" i="5"/>
  <c r="AW282" i="5"/>
  <c r="AU82" i="5"/>
  <c r="AW82" i="5" s="1"/>
  <c r="AX82" i="5"/>
  <c r="AX508" i="5"/>
  <c r="AW508" i="5"/>
  <c r="AX148" i="5"/>
  <c r="AU148" i="5"/>
  <c r="AW148" i="5" s="1"/>
  <c r="AU221" i="5"/>
  <c r="AW221" i="5" s="1"/>
  <c r="AX221" i="5"/>
  <c r="AX323" i="5"/>
  <c r="AW323" i="5"/>
  <c r="AW494" i="5"/>
  <c r="AX494" i="5"/>
  <c r="AW335" i="5"/>
  <c r="AX335" i="5"/>
  <c r="AW371" i="5"/>
  <c r="AX371" i="5"/>
  <c r="AX280" i="5"/>
  <c r="AW280" i="5"/>
  <c r="AX281" i="5"/>
  <c r="AW281" i="5"/>
  <c r="AX233" i="5"/>
  <c r="AU233" i="5"/>
  <c r="AW233" i="5" s="1"/>
  <c r="AX369" i="5"/>
  <c r="AW369" i="5"/>
  <c r="AU256" i="5"/>
  <c r="AW256" i="5" s="1"/>
  <c r="AU76" i="5"/>
  <c r="AW76" i="5" s="1"/>
  <c r="AU197" i="5"/>
  <c r="AW197" i="5" s="1"/>
  <c r="AU90" i="5"/>
  <c r="AW90" i="5" s="1"/>
  <c r="AU190" i="5"/>
  <c r="AW190" i="5" s="1"/>
  <c r="AU223" i="5"/>
  <c r="AW223" i="5" s="1"/>
  <c r="AU10" i="5"/>
  <c r="AW10" i="5" s="1"/>
  <c r="AU166" i="5"/>
  <c r="AW166" i="5" s="1"/>
  <c r="AW522" i="5"/>
  <c r="AX522" i="5"/>
  <c r="AU91" i="5"/>
  <c r="AW91" i="5" s="1"/>
  <c r="AU59" i="5"/>
  <c r="AW59" i="5" s="1"/>
  <c r="AU150" i="5"/>
  <c r="AW150" i="5" s="1"/>
  <c r="AU65" i="5"/>
  <c r="AW65" i="5" s="1"/>
  <c r="AU131" i="5"/>
  <c r="AW131" i="5" s="1"/>
  <c r="AW510" i="5"/>
  <c r="AX510" i="5"/>
  <c r="AX459" i="5"/>
  <c r="AW459" i="5"/>
  <c r="AU263" i="5"/>
  <c r="AW263" i="5" s="1"/>
  <c r="AX263" i="5"/>
  <c r="AW308" i="5"/>
  <c r="AX308" i="5"/>
  <c r="AX22" i="5"/>
  <c r="AU22" i="5"/>
  <c r="AW22" i="5" s="1"/>
  <c r="AU134" i="5"/>
  <c r="AW134" i="5" s="1"/>
  <c r="AX134" i="5"/>
  <c r="AX295" i="5"/>
  <c r="AW295" i="5"/>
  <c r="AU137" i="5"/>
  <c r="AW137" i="5" s="1"/>
  <c r="AX137" i="5"/>
  <c r="AU32" i="5"/>
  <c r="AW32" i="5" s="1"/>
  <c r="AX32" i="5"/>
  <c r="AW470" i="5"/>
  <c r="AX470" i="5"/>
  <c r="AX339" i="5"/>
  <c r="AW339" i="5"/>
  <c r="AW309" i="5"/>
  <c r="AX309" i="5"/>
  <c r="AX330" i="5"/>
  <c r="AW330" i="5"/>
  <c r="AX439" i="5"/>
  <c r="AW439" i="5"/>
  <c r="AU106" i="5"/>
  <c r="AW106" i="5" s="1"/>
  <c r="AX106" i="5"/>
  <c r="AX472" i="5"/>
  <c r="AW472" i="5"/>
  <c r="AU30" i="5"/>
  <c r="AW30" i="5" s="1"/>
  <c r="AX30" i="5"/>
  <c r="AU157" i="5"/>
  <c r="AW157" i="5" s="1"/>
  <c r="AX157" i="5"/>
  <c r="AX410" i="5"/>
  <c r="AW410" i="5"/>
  <c r="AX438" i="5"/>
  <c r="AW438" i="5"/>
  <c r="AX384" i="5"/>
  <c r="AW384" i="5"/>
  <c r="AX86" i="5"/>
  <c r="AU86" i="5"/>
  <c r="AW86" i="5" s="1"/>
  <c r="AX396" i="5"/>
  <c r="AW396" i="5"/>
  <c r="AX402" i="5"/>
  <c r="AW402" i="5"/>
  <c r="AX84" i="5"/>
  <c r="AU84" i="5"/>
  <c r="AW84" i="5" s="1"/>
  <c r="AU213" i="5"/>
  <c r="AW213" i="5" s="1"/>
  <c r="AX213" i="5"/>
  <c r="AX338" i="5"/>
  <c r="AW338" i="5"/>
  <c r="AU154" i="5"/>
  <c r="AW154" i="5" s="1"/>
  <c r="AX154" i="5"/>
  <c r="AX447" i="5"/>
  <c r="AW447" i="5"/>
  <c r="AU126" i="5"/>
  <c r="AW126" i="5" s="1"/>
  <c r="AX126" i="5"/>
  <c r="AW486" i="5"/>
  <c r="AX486" i="5"/>
  <c r="AX389" i="5"/>
  <c r="AW389" i="5"/>
  <c r="AU44" i="5"/>
  <c r="AW44" i="5" s="1"/>
  <c r="AX44" i="5"/>
  <c r="AX390" i="5"/>
  <c r="AW390" i="5"/>
  <c r="AU159" i="5"/>
  <c r="AW159" i="5" s="1"/>
  <c r="AX159" i="5"/>
  <c r="AW419" i="5"/>
  <c r="AX419" i="5"/>
  <c r="AX534" i="5"/>
  <c r="AW534" i="5"/>
  <c r="AU276" i="5"/>
  <c r="AW276" i="5" s="1"/>
  <c r="AX276" i="5"/>
  <c r="AX395" i="5"/>
  <c r="AW395" i="5"/>
  <c r="AX47" i="5"/>
  <c r="AU47" i="5"/>
  <c r="AW47" i="5" s="1"/>
  <c r="AW526" i="5"/>
  <c r="AX526" i="5"/>
  <c r="AW324" i="5"/>
  <c r="AX324" i="5"/>
  <c r="AX373" i="5"/>
  <c r="AW373" i="5"/>
  <c r="AX228" i="5"/>
  <c r="AU228" i="5"/>
  <c r="AW228" i="5" s="1"/>
  <c r="AX363" i="5"/>
  <c r="AW363" i="5"/>
  <c r="AX160" i="5"/>
  <c r="AU160" i="5"/>
  <c r="AW160" i="5" s="1"/>
  <c r="AX46" i="5"/>
  <c r="AU46" i="5"/>
  <c r="AW46" i="5" s="1"/>
  <c r="AU164" i="5"/>
  <c r="AW164" i="5" s="1"/>
  <c r="AU78" i="5"/>
  <c r="AW78" i="5" s="1"/>
  <c r="AU241" i="5"/>
  <c r="AW241" i="5" s="1"/>
  <c r="AX241" i="5"/>
  <c r="AU209" i="5"/>
  <c r="AW209" i="5" s="1"/>
  <c r="AX443" i="5"/>
  <c r="AW443" i="5"/>
  <c r="AX19" i="5"/>
  <c r="AU19" i="5"/>
  <c r="AW19" i="5" s="1"/>
  <c r="AU68" i="5"/>
  <c r="AW68" i="5" s="1"/>
  <c r="AU102" i="5"/>
  <c r="AW102" i="5" s="1"/>
  <c r="AU259" i="5"/>
  <c r="AW259" i="5" s="1"/>
  <c r="AU252" i="5"/>
  <c r="AW252" i="5" s="1"/>
  <c r="AU212" i="5"/>
  <c r="AW212" i="5" s="1"/>
  <c r="AU163" i="5"/>
  <c r="AW163" i="5" s="1"/>
  <c r="AU42" i="5"/>
  <c r="AW42" i="5" s="1"/>
  <c r="AX481" i="5"/>
  <c r="AW481" i="5"/>
  <c r="AX360" i="5"/>
  <c r="AW360" i="5"/>
  <c r="AX98" i="5"/>
  <c r="AU98" i="5"/>
  <c r="AW98" i="5" s="1"/>
  <c r="AW352" i="5"/>
  <c r="AX352" i="5"/>
  <c r="AX317" i="5"/>
  <c r="AW317" i="5"/>
  <c r="AX393" i="5"/>
  <c r="AW393" i="5"/>
  <c r="AU139" i="5"/>
  <c r="AW139" i="5" s="1"/>
  <c r="AX139" i="5"/>
  <c r="AX538" i="5"/>
  <c r="AW538" i="5"/>
  <c r="AX507" i="5"/>
  <c r="AW507" i="5"/>
  <c r="AX428" i="5"/>
  <c r="AW428" i="5"/>
  <c r="AU103" i="5"/>
  <c r="AW103" i="5" s="1"/>
  <c r="AX103" i="5"/>
  <c r="AX441" i="5"/>
  <c r="AW441" i="5"/>
  <c r="AW477" i="5"/>
  <c r="AX477" i="5"/>
  <c r="AX527" i="5"/>
  <c r="AW527" i="5"/>
  <c r="AX322" i="5"/>
  <c r="AW322" i="5"/>
  <c r="AW382" i="5"/>
  <c r="AX382" i="5"/>
  <c r="AW471" i="5"/>
  <c r="AX471" i="5"/>
  <c r="AX199" i="5"/>
  <c r="AU199" i="5"/>
  <c r="AW199" i="5" s="1"/>
  <c r="AX436" i="5"/>
  <c r="AW436" i="5"/>
  <c r="AX413" i="5"/>
  <c r="AW413" i="5"/>
  <c r="AW399" i="5"/>
  <c r="AX399" i="5"/>
  <c r="AX539" i="5"/>
  <c r="AW539" i="5"/>
  <c r="AU211" i="5"/>
  <c r="AW211" i="5" s="1"/>
  <c r="AX211" i="5"/>
  <c r="AX287" i="5"/>
  <c r="AW287" i="5"/>
  <c r="AX95" i="5"/>
  <c r="AU95" i="5"/>
  <c r="AW95" i="5" s="1"/>
  <c r="AX540" i="5"/>
  <c r="AW540" i="5"/>
  <c r="AX94" i="5"/>
  <c r="AU94" i="5"/>
  <c r="AW94" i="5" s="1"/>
  <c r="AY547" i="5"/>
  <c r="AW327" i="5"/>
  <c r="AX327" i="5"/>
  <c r="AX379" i="5"/>
  <c r="AW379" i="5"/>
  <c r="AU20" i="5"/>
  <c r="AW20" i="5" s="1"/>
  <c r="AX20" i="5"/>
  <c r="AX495" i="5"/>
  <c r="AW495" i="5"/>
  <c r="AX189" i="5"/>
  <c r="AU189" i="5"/>
  <c r="AW189" i="5" s="1"/>
  <c r="AX169" i="5"/>
  <c r="AU169" i="5"/>
  <c r="AW169" i="5" s="1"/>
  <c r="AX482" i="5"/>
  <c r="AW482" i="5"/>
  <c r="AX528" i="5"/>
  <c r="AW528" i="5"/>
  <c r="AU152" i="5"/>
  <c r="AW152" i="5" s="1"/>
  <c r="AU7" i="5"/>
  <c r="AW7" i="5" s="1"/>
  <c r="AU77" i="5"/>
  <c r="AW77" i="5" s="1"/>
  <c r="AU122" i="5"/>
  <c r="AW122" i="5" s="1"/>
  <c r="AX122" i="5"/>
  <c r="AU27" i="5"/>
  <c r="AW27" i="5" s="1"/>
  <c r="AU36" i="5"/>
  <c r="AW36" i="5" s="1"/>
  <c r="AU271" i="5"/>
  <c r="AW271" i="5" s="1"/>
  <c r="AU230" i="5"/>
  <c r="AW230" i="5" s="1"/>
  <c r="AU92" i="5"/>
  <c r="AW92" i="5" s="1"/>
  <c r="AU73" i="5"/>
  <c r="AW73" i="5" s="1"/>
  <c r="AU99" i="5"/>
  <c r="AW99" i="5" s="1"/>
  <c r="AX99" i="5"/>
  <c r="AX520" i="5"/>
  <c r="AW520" i="5"/>
  <c r="AU210" i="5"/>
  <c r="AW210" i="5" s="1"/>
  <c r="AX210" i="5"/>
  <c r="AX145" i="5"/>
  <c r="AU145" i="5"/>
  <c r="AW145" i="5" s="1"/>
  <c r="AX515" i="5"/>
  <c r="AW515" i="5"/>
  <c r="AW484" i="5"/>
  <c r="AX484" i="5"/>
  <c r="AX358" i="5"/>
  <c r="AW358" i="5"/>
  <c r="AX400" i="5"/>
  <c r="AW400" i="5"/>
  <c r="AW442" i="5"/>
  <c r="AX442" i="5"/>
  <c r="AX386" i="5"/>
  <c r="AW386" i="5"/>
  <c r="AX243" i="5"/>
  <c r="AU243" i="5"/>
  <c r="AW243" i="5" s="1"/>
  <c r="AX398" i="5"/>
  <c r="AW398" i="5"/>
  <c r="AX124" i="5"/>
  <c r="AU124" i="5"/>
  <c r="AW124" i="5" s="1"/>
  <c r="AU264" i="5"/>
  <c r="AW264" i="5" s="1"/>
  <c r="AX264" i="5"/>
  <c r="AX409" i="5"/>
  <c r="AW409" i="5"/>
  <c r="AX337" i="5"/>
  <c r="AW337" i="5"/>
  <c r="AW440" i="5"/>
  <c r="AX440" i="5"/>
  <c r="AW478" i="5"/>
  <c r="AX478" i="5"/>
  <c r="AX407" i="5"/>
  <c r="AW407" i="5"/>
  <c r="AX356" i="5"/>
  <c r="AW356" i="5"/>
  <c r="AW286" i="5"/>
  <c r="AX286" i="5"/>
  <c r="AX310" i="5"/>
  <c r="AW310" i="5"/>
  <c r="AX16" i="5"/>
  <c r="AU16" i="5"/>
  <c r="AW16" i="5" s="1"/>
  <c r="AX38" i="5"/>
  <c r="AU38" i="5"/>
  <c r="AW38" i="5" s="1"/>
  <c r="AX311" i="5"/>
  <c r="AW311" i="5"/>
  <c r="AU80" i="5"/>
  <c r="AW80" i="5" s="1"/>
  <c r="AX80" i="5"/>
  <c r="AU156" i="5"/>
  <c r="AW156" i="5" s="1"/>
  <c r="AX156" i="5"/>
  <c r="AX93" i="5"/>
  <c r="AU93" i="5"/>
  <c r="AW93" i="5" s="1"/>
  <c r="AX25" i="5"/>
  <c r="AU25" i="5"/>
  <c r="AW25" i="5" s="1"/>
  <c r="AW444" i="5"/>
  <c r="AX444" i="5"/>
  <c r="AU58" i="5"/>
  <c r="AW58" i="5" s="1"/>
  <c r="AX58" i="5"/>
  <c r="AX303" i="5"/>
  <c r="AW303" i="5"/>
  <c r="AX403" i="5"/>
  <c r="AW403" i="5"/>
  <c r="AU17" i="5"/>
  <c r="AW17" i="5" s="1"/>
  <c r="AX17" i="5"/>
  <c r="AX504" i="5"/>
  <c r="AW504" i="5"/>
  <c r="AW511" i="5"/>
  <c r="AX511" i="5"/>
  <c r="AX449" i="5"/>
  <c r="AW449" i="5"/>
  <c r="AX325" i="5"/>
  <c r="AW325" i="5"/>
  <c r="AX345" i="5"/>
  <c r="AW345" i="5"/>
  <c r="AX368" i="5"/>
  <c r="AW368" i="5"/>
  <c r="AX364" i="5"/>
  <c r="AW364" i="5"/>
  <c r="AX479" i="5"/>
  <c r="AW479" i="5"/>
  <c r="AX480" i="5"/>
  <c r="AW480" i="5"/>
  <c r="AU193" i="5"/>
  <c r="AW193" i="5" s="1"/>
  <c r="AU175" i="5"/>
  <c r="AW175" i="5" s="1"/>
  <c r="AX187" i="5"/>
  <c r="AU187" i="5"/>
  <c r="AW187" i="5" s="1"/>
  <c r="AU133" i="5"/>
  <c r="AW133" i="5" s="1"/>
  <c r="AU207" i="5"/>
  <c r="AW207" i="5" s="1"/>
  <c r="AU226" i="5"/>
  <c r="AW226" i="5" s="1"/>
  <c r="AU121" i="5"/>
  <c r="AW121" i="5" s="1"/>
  <c r="AU40" i="5"/>
  <c r="AW40" i="5" s="1"/>
  <c r="AU127" i="5"/>
  <c r="AW127" i="5" s="1"/>
  <c r="AU115" i="5"/>
  <c r="AW115" i="5" s="1"/>
  <c r="AX432" i="5"/>
  <c r="AW432" i="5"/>
  <c r="AX268" i="5"/>
  <c r="AU268" i="5"/>
  <c r="AW268" i="5" s="1"/>
  <c r="AX461" i="5"/>
  <c r="AW461" i="5"/>
  <c r="AX523" i="5"/>
  <c r="AW523" i="5"/>
  <c r="AX104" i="5"/>
  <c r="AU104" i="5"/>
  <c r="AW104" i="5" s="1"/>
  <c r="AW488" i="5"/>
  <c r="AX488" i="5"/>
  <c r="AW353" i="5"/>
  <c r="AX353" i="5"/>
  <c r="AW430" i="5"/>
  <c r="AX430" i="5"/>
  <c r="AW350" i="5"/>
  <c r="AX350" i="5"/>
  <c r="AU119" i="5"/>
  <c r="AW119" i="5" s="1"/>
  <c r="AX119" i="5"/>
  <c r="AU194" i="5"/>
  <c r="AW194" i="5" s="1"/>
  <c r="AX194" i="5"/>
  <c r="AX320" i="5"/>
  <c r="AW320" i="5"/>
  <c r="AX359" i="5"/>
  <c r="AW359" i="5"/>
  <c r="AU143" i="5"/>
  <c r="AW143" i="5" s="1"/>
  <c r="AX143" i="5"/>
  <c r="AW503" i="5"/>
  <c r="AX503" i="5"/>
  <c r="AU63" i="5"/>
  <c r="AW63" i="5" s="1"/>
  <c r="AX63" i="5"/>
  <c r="AX299" i="5"/>
  <c r="AW299" i="5"/>
  <c r="AW487" i="5"/>
  <c r="AX487" i="5"/>
  <c r="AX397" i="5"/>
  <c r="AW397" i="5"/>
  <c r="AX426" i="5"/>
  <c r="AW426" i="5"/>
  <c r="AW329" i="5"/>
  <c r="AX329" i="5"/>
  <c r="AW331" i="5"/>
  <c r="AX331" i="5"/>
  <c r="AX24" i="5"/>
  <c r="AU24" i="5"/>
  <c r="AW24" i="5" s="1"/>
  <c r="AX431" i="5"/>
  <c r="AW431" i="5"/>
  <c r="AU188" i="5"/>
  <c r="AW188" i="5" s="1"/>
  <c r="AX188" i="5"/>
  <c r="AX460" i="5"/>
  <c r="AW460" i="5"/>
  <c r="AW336" i="5"/>
  <c r="AX336" i="5"/>
  <c r="AX173" i="5"/>
  <c r="AU173" i="5"/>
  <c r="AW173" i="5" s="1"/>
  <c r="AX378" i="5"/>
  <c r="AW378" i="5"/>
  <c r="AX458" i="5"/>
  <c r="AW458" i="5"/>
  <c r="AW302" i="5"/>
  <c r="AX302" i="5"/>
  <c r="AU274" i="5"/>
  <c r="AW274" i="5" s="1"/>
  <c r="AX274" i="5"/>
  <c r="AU35" i="5"/>
  <c r="AW35" i="5" s="1"/>
  <c r="AX35" i="5"/>
  <c r="AW333" i="5"/>
  <c r="AX333" i="5"/>
  <c r="AW521" i="5"/>
  <c r="AX521" i="5"/>
  <c r="AX445" i="5"/>
  <c r="AW445" i="5"/>
  <c r="AW408" i="5"/>
  <c r="AX408" i="5"/>
  <c r="AX254" i="5"/>
  <c r="AU254" i="5"/>
  <c r="AW254" i="5" s="1"/>
  <c r="AW535" i="5"/>
  <c r="AX535" i="5"/>
  <c r="AX53" i="5"/>
  <c r="AU53" i="5"/>
  <c r="AW53" i="5" s="1"/>
  <c r="BZ545" i="5"/>
  <c r="AU107" i="5"/>
  <c r="AW107" i="5" s="1"/>
  <c r="AX107" i="5"/>
  <c r="AX537" i="5"/>
  <c r="AW537" i="5"/>
  <c r="AX497" i="5"/>
  <c r="AW497" i="5"/>
  <c r="AW342" i="5"/>
  <c r="AX342" i="5"/>
  <c r="AU185" i="5"/>
  <c r="AW185" i="5" s="1"/>
  <c r="AX185" i="5"/>
  <c r="AU96" i="5"/>
  <c r="AW96" i="5" s="1"/>
  <c r="AX96" i="5"/>
  <c r="AX496" i="5"/>
  <c r="AW496" i="5"/>
  <c r="AW531" i="5"/>
  <c r="AX531" i="5"/>
  <c r="AX370" i="5"/>
  <c r="AW370" i="5"/>
  <c r="AX529" i="5"/>
  <c r="AW529" i="5"/>
  <c r="AU57" i="5"/>
  <c r="AW57" i="5" s="1"/>
  <c r="AX57" i="5"/>
  <c r="AU70" i="5"/>
  <c r="AW70" i="5" s="1"/>
  <c r="AU52" i="5"/>
  <c r="AW52" i="5" s="1"/>
  <c r="AU240" i="5"/>
  <c r="AW240" i="5" s="1"/>
  <c r="AU202" i="5"/>
  <c r="AW202" i="5" s="1"/>
  <c r="AU55" i="5"/>
  <c r="AW55" i="5" s="1"/>
  <c r="AX258" i="5"/>
  <c r="AU258" i="5"/>
  <c r="AW258" i="5" s="1"/>
  <c r="AU136" i="5"/>
  <c r="AW136" i="5" s="1"/>
  <c r="AU273" i="5"/>
  <c r="AW273" i="5" s="1"/>
  <c r="AX425" i="5"/>
  <c r="AW425" i="5"/>
  <c r="AU158" i="5"/>
  <c r="AW158" i="5" s="1"/>
  <c r="AU161" i="5"/>
  <c r="AW161" i="5" s="1"/>
  <c r="AX208" i="5"/>
  <c r="AU208" i="5"/>
  <c r="AW208" i="5" s="1"/>
  <c r="AU206" i="5"/>
  <c r="AW206" i="5" s="1"/>
  <c r="AU246" i="5"/>
  <c r="AW246" i="5" s="1"/>
  <c r="AX140" i="5"/>
  <c r="AU140" i="5"/>
  <c r="AW140" i="5" s="1"/>
  <c r="AU174" i="5"/>
  <c r="AW174" i="5" s="1"/>
  <c r="AU72" i="5"/>
  <c r="AW72" i="5" s="1"/>
  <c r="AU204" i="5"/>
  <c r="AW204" i="5" s="1"/>
  <c r="AX469" i="5"/>
  <c r="AW469" i="5"/>
  <c r="AX385" i="5"/>
  <c r="AW385" i="5"/>
  <c r="AX285" i="5"/>
  <c r="AW285" i="5"/>
  <c r="AX519" i="5"/>
  <c r="AW519" i="5"/>
  <c r="AX69" i="5"/>
  <c r="AU69" i="5"/>
  <c r="AW69" i="5" s="1"/>
  <c r="AW380" i="5"/>
  <c r="AX380" i="5"/>
  <c r="AX404" i="5"/>
  <c r="AW404" i="5"/>
  <c r="AX326" i="5"/>
  <c r="AW326" i="5"/>
  <c r="AW298" i="5"/>
  <c r="AX298" i="5"/>
  <c r="AU277" i="5"/>
  <c r="AW277" i="5" s="1"/>
  <c r="AX277" i="5"/>
  <c r="AX245" i="5"/>
  <c r="AU245" i="5"/>
  <c r="AW245" i="5" s="1"/>
  <c r="AW437" i="5"/>
  <c r="AX437" i="5"/>
  <c r="AX284" i="5"/>
  <c r="AW284" i="5"/>
  <c r="AX411" i="5"/>
  <c r="AW411" i="5"/>
  <c r="AX525" i="5"/>
  <c r="AW525" i="5"/>
  <c r="AX512" i="5"/>
  <c r="AW512" i="5"/>
  <c r="AU64" i="5"/>
  <c r="AW64" i="5" s="1"/>
  <c r="AX64" i="5"/>
  <c r="AU48" i="5"/>
  <c r="AW48" i="5" s="1"/>
  <c r="AX48" i="5"/>
  <c r="AX401" i="5"/>
  <c r="AW401" i="5"/>
  <c r="AX54" i="5"/>
  <c r="AU54" i="5"/>
  <c r="AW54" i="5" s="1"/>
  <c r="AX296" i="5"/>
  <c r="AW296" i="5"/>
  <c r="AX387" i="5"/>
  <c r="AW387" i="5"/>
  <c r="AX412" i="5"/>
  <c r="AW412" i="5"/>
  <c r="AX85" i="5"/>
  <c r="AU85" i="5"/>
  <c r="AW85" i="5" s="1"/>
  <c r="AX101" i="5"/>
  <c r="AU101" i="5"/>
  <c r="AW101" i="5" s="1"/>
  <c r="AW485" i="5"/>
  <c r="AX485" i="5"/>
  <c r="AW406" i="5"/>
  <c r="AX406" i="5"/>
  <c r="AX355" i="5"/>
  <c r="AW355" i="5"/>
  <c r="AX375" i="5"/>
  <c r="AW375" i="5"/>
  <c r="AX340" i="5"/>
  <c r="AW340" i="5"/>
  <c r="AU108" i="5"/>
  <c r="AW108" i="5" s="1"/>
  <c r="AX108" i="5"/>
  <c r="AX130" i="5"/>
  <c r="AU130" i="5"/>
  <c r="AW130" i="5" s="1"/>
  <c r="AX462" i="5"/>
  <c r="AW462" i="5"/>
  <c r="AX291" i="5"/>
  <c r="AW291" i="5"/>
  <c r="CA545" i="5"/>
  <c r="AU14" i="5"/>
  <c r="AW14" i="5" s="1"/>
  <c r="AX14" i="5"/>
  <c r="AU113" i="5"/>
  <c r="AW113" i="5" s="1"/>
  <c r="AX113" i="5"/>
  <c r="AX117" i="5"/>
  <c r="AU117" i="5"/>
  <c r="AW117" i="5" s="1"/>
  <c r="AX348" i="5"/>
  <c r="AW348" i="5"/>
  <c r="AU216" i="5"/>
  <c r="AW216" i="5" s="1"/>
  <c r="AX216" i="5"/>
  <c r="AX180" i="5"/>
  <c r="AU180" i="5"/>
  <c r="AW180" i="5" s="1"/>
  <c r="AX39" i="5"/>
  <c r="AU39" i="5"/>
  <c r="AW39" i="5" s="1"/>
  <c r="AX222" i="5"/>
  <c r="AU222" i="5"/>
  <c r="AW222" i="5" s="1"/>
  <c r="AX450" i="5"/>
  <c r="AW450" i="5"/>
  <c r="AX343" i="5"/>
  <c r="AW343" i="5"/>
  <c r="AX530" i="5"/>
  <c r="AW530" i="5"/>
  <c r="AU18" i="5"/>
  <c r="AW18" i="5" s="1"/>
  <c r="AX18" i="5"/>
  <c r="AU224" i="5"/>
  <c r="AW224" i="5" s="1"/>
  <c r="AX224" i="5"/>
  <c r="AW334" i="5"/>
  <c r="AX334" i="5"/>
  <c r="AU184" i="5"/>
  <c r="AW184" i="5" s="1"/>
  <c r="AU89" i="5"/>
  <c r="AW89" i="5" s="1"/>
  <c r="AU56" i="5"/>
  <c r="AW56" i="5" s="1"/>
  <c r="AU186" i="5"/>
  <c r="AW186" i="5" s="1"/>
  <c r="AX186" i="5"/>
  <c r="AU229" i="5"/>
  <c r="AW229" i="5" s="1"/>
  <c r="AX229" i="5"/>
  <c r="AU45" i="5"/>
  <c r="AW45" i="5" s="1"/>
  <c r="AU88" i="5"/>
  <c r="AW88" i="5" s="1"/>
  <c r="AU13" i="5"/>
  <c r="AW13" i="5" s="1"/>
  <c r="AX13" i="5"/>
  <c r="AX429" i="5"/>
  <c r="AW429" i="5"/>
  <c r="AX34" i="5"/>
  <c r="AU34" i="5"/>
  <c r="AW34" i="5" s="1"/>
  <c r="AX37" i="5"/>
  <c r="AU37" i="5"/>
  <c r="AW37" i="5" s="1"/>
  <c r="AX493" i="5"/>
  <c r="AW493" i="5"/>
  <c r="AX218" i="5"/>
  <c r="AU218" i="5"/>
  <c r="AW218" i="5" s="1"/>
  <c r="AW483" i="5"/>
  <c r="AX483" i="5"/>
  <c r="AU153" i="5"/>
  <c r="AW153" i="5" s="1"/>
  <c r="AX153" i="5"/>
  <c r="AX448" i="5"/>
  <c r="AW448" i="5"/>
  <c r="AX372" i="5"/>
  <c r="AW372" i="5"/>
  <c r="AX201" i="5"/>
  <c r="AU201" i="5"/>
  <c r="AW201" i="5" s="1"/>
  <c r="AX344" i="5"/>
  <c r="AW344" i="5"/>
  <c r="AX279" i="5"/>
  <c r="AW279" i="5"/>
  <c r="AU275" i="5"/>
  <c r="AW275" i="5" s="1"/>
  <c r="AU214" i="5"/>
  <c r="AW214" i="5" s="1"/>
  <c r="AU253" i="5"/>
  <c r="AW253" i="5" s="1"/>
  <c r="AU28" i="5"/>
  <c r="AW28" i="5" s="1"/>
  <c r="AU123" i="5"/>
  <c r="AW123" i="5" s="1"/>
  <c r="AU61" i="5"/>
  <c r="AW61" i="5" s="1"/>
  <c r="AU118" i="5"/>
  <c r="AW118" i="5" s="1"/>
  <c r="AU257" i="5"/>
  <c r="AW257" i="5" s="1"/>
  <c r="AU192" i="5"/>
  <c r="AW192" i="5" s="1"/>
  <c r="AU171" i="5"/>
  <c r="AW171" i="5" s="1"/>
  <c r="AU177" i="5"/>
  <c r="AW177" i="5" s="1"/>
  <c r="AU31" i="5"/>
  <c r="AW31" i="5" s="1"/>
  <c r="AU191" i="5"/>
  <c r="AW191" i="5" s="1"/>
  <c r="AU215" i="5"/>
  <c r="AW215" i="5" s="1"/>
  <c r="AU165" i="5"/>
  <c r="AW165" i="5" s="1"/>
  <c r="AX452" i="5"/>
  <c r="AW452" i="5"/>
  <c r="AX347" i="5"/>
  <c r="AW347" i="5"/>
  <c r="AX346" i="5"/>
  <c r="AW346" i="5"/>
  <c r="AX301" i="5"/>
  <c r="AW301" i="5"/>
  <c r="AX492" i="5"/>
  <c r="AW492" i="5"/>
  <c r="AX293" i="5"/>
  <c r="AW293" i="5"/>
  <c r="AX414" i="5"/>
  <c r="AW414" i="5"/>
  <c r="AX290" i="5"/>
  <c r="AW290" i="5"/>
  <c r="AU3" i="5"/>
  <c r="AW3" i="5" s="1"/>
  <c r="AU234" i="5"/>
  <c r="AW234" i="5" s="1"/>
  <c r="AX234" i="5"/>
  <c r="AX474" i="5"/>
  <c r="AW474" i="5"/>
  <c r="AX532" i="5"/>
  <c r="AW532" i="5"/>
  <c r="BU546" i="5" l="1"/>
  <c r="CA546" i="5"/>
  <c r="BZ552" i="5" s="1"/>
  <c r="BZ559" i="5" s="1"/>
  <c r="BS546" i="5"/>
  <c r="AX547" i="5"/>
  <c r="AY548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tc={AC98F54B-25BD-8B4C-951D-BB557EAE6612}</author>
    <author>tc={D4EDB9FF-8E70-BA4C-B287-1904871C0B84}</author>
    <author>tc={BC4CCEF0-FBE9-E648-8E9C-D9492A79C4B6}</author>
    <author>tc={DB3F6BC7-371F-764C-91F7-8EBD2A00D71C}</author>
    <author>tc={93E600EB-870C-0543-B7BF-601AEF66E42E}</author>
    <author>tc={E13CB22C-5D80-1943-AE5A-F211451E6128}</author>
  </authors>
  <commentList>
    <comment ref="BA399" authorId="0" shapeId="0" xr:uid="{00000000-0006-0000-01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In out data sheet we financials for a unit 7 and 8 as well?</t>
      </text>
    </comment>
    <comment ref="BA410" authorId="1" shapeId="0" xr:uid="{00000000-0006-0000-01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have a second entry of Muzaffarpur TPS 2 as 390 MW and FC of 803.15</t>
      </text>
    </comment>
    <comment ref="BA415" authorId="2" shapeId="0" xr:uid="{00000000-0006-0000-01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we just had one unit of Niwari of 45 MW</t>
      </text>
    </comment>
    <comment ref="BA419" authorId="3" shapeId="0" xr:uid="{00000000-0006-0000-0100-00000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have capacity in our dataset as 194</t>
      </text>
    </comment>
    <comment ref="BA479" authorId="4" shapeId="0" xr:uid="{00000000-0006-0000-0100-00000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our dataset its named with CEEW name Simhadri STPP and with 2000MW</t>
      </text>
    </comment>
    <comment ref="BA513" authorId="5" shapeId="0" xr:uid="{00000000-0006-0000-0100-000006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in our data sheet the CEEW name for Tuticorin is TUTICORIN (JV) TPP and capacity 1050MW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Warrior</author>
    <author>Microsoft Office User</author>
    <author>tc={92E0DB73-1A80-F04C-BC7C-90FD9FCBC896}</author>
    <author>tc={8D8EA276-B909-AD40-9B7B-2093DFB098E5}</author>
    <author>tc={EC1E0AE5-749C-224A-A2FC-CAD872A2FB93}</author>
    <author>tc={40439D96-68A9-7348-8A6A-6E9B5D80E9A3}</author>
    <author>tc={1F2BCE33-DAA5-7949-A6DC-725DAE50D40B}</author>
    <author>tc={837E843A-544A-6049-A914-0C16A76D3A81}</author>
    <author>tc={68F9ECB9-3AFE-D845-8701-32034E59A55D}</author>
    <author>tc={A9FE8272-A7E9-5D4C-ACD5-8C71C607A11A}</author>
    <author>tc={AC98F54B-25BD-8B4D-951D-BB557EAE6612}</author>
    <author>tc={64BB3BC5-890F-0742-B62F-19CAC0529AE3}</author>
    <author>tc={7FD3B0D2-9681-2F49-A903-3B4097A442F4}</author>
    <author>tc={7B10B4BC-F4B4-044C-AA02-AC7E4E134E76}</author>
    <author>tc={B80D6925-1819-634C-A4EF-B6E2537F8FA4}</author>
    <author>tc={93E600EB-870C-0544-B7BF-601AEF66E42E}</author>
    <author>tc={8BD886EE-74B5-9D46-BD0B-EEEC4D16D6F3}</author>
    <author>tc={E13CB22C-5D80-1944-AE5A-F211451E6128}</author>
  </authors>
  <commentList>
    <comment ref="S5" authorId="0" shapeId="0" xr:uid="{00000000-0006-0000-0400-000001000000}">
      <text>
        <r>
          <rPr>
            <b/>
            <sz val="9"/>
            <color rgb="FF000000"/>
            <rFont val="Tahoma"/>
            <family val="2"/>
          </rPr>
          <t>Dhruv Warrior: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Submitted by petitioner
</t>
        </r>
      </text>
    </comment>
    <comment ref="Q13" authorId="1" shapeId="0" xr:uid="{00000000-0006-0000-0400-000002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Assumption that these are Anpara A</t>
        </r>
      </text>
    </comment>
    <comment ref="Q16" authorId="1" shapeId="0" xr:uid="{00000000-0006-0000-0400-000003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Assumption that these are Anpara B</t>
        </r>
      </text>
    </comment>
    <comment ref="Z113" authorId="2" shapeId="0" xr:uid="{00000000-0006-0000-0400-00000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breakdown of plants and recorded as FSTPP</t>
      </text>
    </comment>
    <comment ref="AC113" authorId="3" shapeId="0" xr:uid="{00000000-0006-0000-0400-000005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stage 1 and 2
</t>
      </text>
    </comment>
    <comment ref="AC117" authorId="4" shapeId="0" xr:uid="{00000000-0006-0000-0400-000006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stage 3</t>
      </text>
    </comment>
    <comment ref="Q133" authorId="5" shapeId="0" xr:uid="{00000000-0006-0000-0400-000007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HARDUAGANJ Ext?</t>
      </text>
    </comment>
    <comment ref="AC151" authorId="6" shapeId="0" xr:uid="{00000000-0006-0000-0400-000008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Both recorded as KHSTPP - I &amp; KHSTPP -II</t>
      </text>
    </comment>
    <comment ref="AE151" authorId="7" shapeId="0" xr:uid="{00000000-0006-0000-0400-000009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from Punjab
</t>
      </text>
    </comment>
    <comment ref="Q218" authorId="8" shapeId="0" xr:uid="{00000000-0006-0000-0400-00000A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Assumption that these three are KTPS A,B &amp;C</t>
      </text>
    </comment>
    <comment ref="S218" authorId="9" shapeId="0" xr:uid="{00000000-0006-0000-0400-00000B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only available for TPS 9-10, 11 &amp; 12</t>
      </text>
    </comment>
    <comment ref="J256" authorId="10" shapeId="0" xr:uid="{00000000-0006-0000-0400-00000C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In out data sheet we financials for a unit 7 and 8 as well?</t>
      </text>
    </comment>
    <comment ref="Q304" authorId="11" shapeId="0" xr:uid="{00000000-0006-0000-0400-00000D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assuming Obra A is 0 as fixed cost given as 0 and that none of these are OBRA A</t>
      </text>
    </comment>
    <comment ref="S304" authorId="12" shapeId="0" xr:uid="{00000000-0006-0000-0400-00000E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This was given as OBRA-A (Units 1-8) We only have TPS1 so have put it in. </t>
      </text>
    </comment>
    <comment ref="Q326" authorId="13" shapeId="0" xr:uid="{00000000-0006-0000-0400-00000F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which is Parichha &amp; which ext &amp; new ext??</t>
      </text>
    </comment>
    <comment ref="S326" authorId="14" shapeId="0" xr:uid="{00000000-0006-0000-0400-000010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Given for Unit 1&amp;2 while we have just 2</t>
      </text>
    </comment>
    <comment ref="J428" authorId="15" shapeId="0" xr:uid="{00000000-0006-0000-0400-00001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our dataset its named with CEEW name Simhadri STPP and with 2000MW</t>
      </text>
    </comment>
    <comment ref="T459" authorId="16" shapeId="0" xr:uid="{00000000-0006-0000-0400-00001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breakdown of plants and recorded as TSTPP</t>
      </text>
    </comment>
    <comment ref="J488" authorId="17" shapeId="0" xr:uid="{00000000-0006-0000-0400-00001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in our data sheet the CEEW name for Tuticorin is TUTICORIN (JV) TPP and capacity 1050MW</t>
      </text>
    </comment>
  </commentList>
</comments>
</file>

<file path=xl/sharedStrings.xml><?xml version="1.0" encoding="utf-8"?>
<sst xmlns="http://schemas.openxmlformats.org/spreadsheetml/2006/main" count="16311" uniqueCount="1466">
  <si>
    <t>DARLIPALI STPS1</t>
  </si>
  <si>
    <t>WANAKBORI TPS8</t>
  </si>
  <si>
    <t>GADARWARA TPP1</t>
  </si>
  <si>
    <t>KOTHAGUDEM STAGE-7 TPS12</t>
  </si>
  <si>
    <t>LARA TPP1</t>
  </si>
  <si>
    <t>KUDGI STPP3</t>
  </si>
  <si>
    <t>YERMARUS TPS2</t>
  </si>
  <si>
    <t>KUDGI STPP2</t>
  </si>
  <si>
    <t>KUDGI STPP1</t>
  </si>
  <si>
    <t>YERMARUS TPS1</t>
  </si>
  <si>
    <t>DAMODARAN SANJEEVAIAH TPS2</t>
  </si>
  <si>
    <t>DAMODARAN SANJEEVAIAH TPS1</t>
  </si>
  <si>
    <t>TANDA STPS5</t>
  </si>
  <si>
    <t>KHARGONE STPP1</t>
  </si>
  <si>
    <t>IB VALLEY TPS4</t>
  </si>
  <si>
    <t>NABINAGAR STPP1</t>
  </si>
  <si>
    <t>IB VALLEY TPS3</t>
  </si>
  <si>
    <t>MUNDRA UMTPP5</t>
  </si>
  <si>
    <t>CHHABRA TPS6</t>
  </si>
  <si>
    <t>SHREE SINGAJI TPP4</t>
  </si>
  <si>
    <t>SOLAPUR STPS2</t>
  </si>
  <si>
    <t>MUNDRA UMTPP4</t>
  </si>
  <si>
    <t>MUNDRA UMTPP3</t>
  </si>
  <si>
    <t>SHREE SINGAJI TPP3</t>
  </si>
  <si>
    <t>MUNDRA UMTPP2</t>
  </si>
  <si>
    <t>MUNDRA UMTPP1</t>
  </si>
  <si>
    <t>MEJA STPP1</t>
  </si>
  <si>
    <t>BELLARY TPS3</t>
  </si>
  <si>
    <t>BARA TPP3</t>
  </si>
  <si>
    <t>RAIKHEDA TPP2</t>
  </si>
  <si>
    <t>CHHABRA TPS5</t>
  </si>
  <si>
    <t>SOLAPUR STPS1</t>
  </si>
  <si>
    <t>SEMBCORP GAYATRI P. LTD2</t>
  </si>
  <si>
    <t>MAUDA TPS4</t>
  </si>
  <si>
    <t>KORADI TPS10</t>
  </si>
  <si>
    <t>BARA TPP1</t>
  </si>
  <si>
    <t>SEMBCORP GAYATRI P. LTD1</t>
  </si>
  <si>
    <t>RAJPURA TPS2</t>
  </si>
  <si>
    <t>LALITPUR TPS3</t>
  </si>
  <si>
    <t>RAIKHEDA TPP1</t>
  </si>
  <si>
    <t>LALITPUR TPS1</t>
  </si>
  <si>
    <t>KORADI TPS9</t>
  </si>
  <si>
    <t>TALWANDI SABO TPS3</t>
  </si>
  <si>
    <t>MAUDA TPS3</t>
  </si>
  <si>
    <t>MAHAN TPP2</t>
  </si>
  <si>
    <t>LALITPUR TPS2</t>
  </si>
  <si>
    <t>RAJPURA TPS1</t>
  </si>
  <si>
    <t>TALWANDI SABO TPS2</t>
  </si>
  <si>
    <t>PAINAMPURAM TPP2</t>
  </si>
  <si>
    <t>BARA TPP2</t>
  </si>
  <si>
    <t>RAYALSEEMA TPS6</t>
  </si>
  <si>
    <t>AKALTARA TPS2</t>
  </si>
  <si>
    <t>SASAN UMPTPP6</t>
  </si>
  <si>
    <t>BARH II5</t>
  </si>
  <si>
    <t>KORADI TPS8</t>
  </si>
  <si>
    <t>PAINAMPURAM TPP1</t>
  </si>
  <si>
    <t>NIGRI TPP2</t>
  </si>
  <si>
    <t>TIRORA TPS5</t>
  </si>
  <si>
    <t>SASAN UMPTPP5</t>
  </si>
  <si>
    <t>NIGRI TPP1</t>
  </si>
  <si>
    <t>TALWANDI SABO TPS1</t>
  </si>
  <si>
    <t>SASAN UMPTPP3</t>
  </si>
  <si>
    <t>SINGARENI TPP2</t>
  </si>
  <si>
    <t>SASAN UMPTPP4</t>
  </si>
  <si>
    <t>TIRORA TPS4</t>
  </si>
  <si>
    <t>SASAN UMPTPP2</t>
  </si>
  <si>
    <t>KAWAI TPS2</t>
  </si>
  <si>
    <t>BARH II4</t>
  </si>
  <si>
    <t>ITPCL TPP2</t>
  </si>
  <si>
    <t>SINGARENI TPP1</t>
  </si>
  <si>
    <t>ANPARA TPS7</t>
  </si>
  <si>
    <t>ANUPPUR TPP2</t>
  </si>
  <si>
    <t>SEIONI TPP1</t>
  </si>
  <si>
    <t>TIRORA TPS3</t>
  </si>
  <si>
    <t>RAGHUNATHPUR TPP2</t>
  </si>
  <si>
    <t>MUTHIARA TPP2</t>
  </si>
  <si>
    <t>SASAN UMPTPP1</t>
  </si>
  <si>
    <t>KAWAI TPS1</t>
  </si>
  <si>
    <t>KAKATIYA TPS2</t>
  </si>
  <si>
    <t>TIRORA TPS2</t>
  </si>
  <si>
    <t>ITPCL TPP1</t>
  </si>
  <si>
    <t>KALISINDH TPS2</t>
  </si>
  <si>
    <t>ANPARA TPS6</t>
  </si>
  <si>
    <t>TIRORA TPS1</t>
  </si>
  <si>
    <t>ANUPPUR TPP1</t>
  </si>
  <si>
    <t>SIPAT STPS3</t>
  </si>
  <si>
    <t>BARADARHA TPS2</t>
  </si>
  <si>
    <t>OP JINDAL TPS24</t>
  </si>
  <si>
    <t>OP JINDAL TPS23</t>
  </si>
  <si>
    <t>DERANG TPP2</t>
  </si>
  <si>
    <t>SIPAT STPS2</t>
  </si>
  <si>
    <t>MUTHIARA TPP1</t>
  </si>
  <si>
    <t>MAHATMA GANDHI TPS2</t>
  </si>
  <si>
    <t>MUNDRA TPS8</t>
  </si>
  <si>
    <t>MUNDRA TPS9</t>
  </si>
  <si>
    <t>SHREE SINGAJI TPP2</t>
  </si>
  <si>
    <t>MAHATMA GANDHI TPS1</t>
  </si>
  <si>
    <t>RAGHUNATHPUR TPP1</t>
  </si>
  <si>
    <t>AKALTARA TPS4</t>
  </si>
  <si>
    <t>MUNDRA TPS7</t>
  </si>
  <si>
    <t>SIPAT STPS1</t>
  </si>
  <si>
    <t>KALISINDH TPS1</t>
  </si>
  <si>
    <t>DERANG TPP1</t>
  </si>
  <si>
    <t>AVANTHA BHANDAR1</t>
  </si>
  <si>
    <t>OP JINDAL TPS22</t>
  </si>
  <si>
    <t>OP JINDAL TPS21</t>
  </si>
  <si>
    <t>MUNDRA TPS6</t>
  </si>
  <si>
    <t>BARADARHA TPS1</t>
  </si>
  <si>
    <t>SHREE SINGAJI TPP1</t>
  </si>
  <si>
    <t>NORTH CHENNAI TPS4</t>
  </si>
  <si>
    <t>AKALTARA TPS3</t>
  </si>
  <si>
    <t>MUNDRA TPS5</t>
  </si>
  <si>
    <t>NORTH CHENNAI TPS5</t>
  </si>
  <si>
    <t>MAHAN TPP1</t>
  </si>
  <si>
    <t>UNCHAHAR STPS6</t>
  </si>
  <si>
    <t>METTUR TPS EXT1</t>
  </si>
  <si>
    <t>VIZAG TPS2</t>
  </si>
  <si>
    <t>SAGARDIGHI TPS4</t>
  </si>
  <si>
    <t>SALAYA TPP2</t>
  </si>
  <si>
    <t>VIZAG TPS1</t>
  </si>
  <si>
    <t>UDUPI TPP2</t>
  </si>
  <si>
    <t>UDUPI TPP1</t>
  </si>
  <si>
    <t>MARWA TPS2</t>
  </si>
  <si>
    <t>SALAYA TPP1</t>
  </si>
  <si>
    <t>ANPARA C TPS2</t>
  </si>
  <si>
    <t>CHANDRAPUR STPS9</t>
  </si>
  <si>
    <t>BOKARO A TPS1</t>
  </si>
  <si>
    <t>ANPARA C TPS1</t>
  </si>
  <si>
    <t>SAGARDIGHI TPS3</t>
  </si>
  <si>
    <t>VINDHYACHAL STPS13</t>
  </si>
  <si>
    <t>NTPL TUTICORIN (JV) TPP2</t>
  </si>
  <si>
    <t>STERLITE TPP2</t>
  </si>
  <si>
    <t>NTPL TUTICORIN (JV) TPP1</t>
  </si>
  <si>
    <t>CHANDRAPUR STPS8</t>
  </si>
  <si>
    <t>RAJIV GANDHI TPS2</t>
  </si>
  <si>
    <t>RAJIV GANDHI TPS1</t>
  </si>
  <si>
    <t>STERLITE TPP1</t>
  </si>
  <si>
    <t>MARWA TPS1</t>
  </si>
  <si>
    <t>VALLUR TPP3</t>
  </si>
  <si>
    <t>RIHAND STPS6</t>
  </si>
  <si>
    <t>MAITHON RB TPP2</t>
  </si>
  <si>
    <t>KORBA-WEST TPS5</t>
  </si>
  <si>
    <t>UKAI TPS6</t>
  </si>
  <si>
    <t>VINDHYACHAL STPS12</t>
  </si>
  <si>
    <t>MAUDA TPS2</t>
  </si>
  <si>
    <t>KODARMA TPS2</t>
  </si>
  <si>
    <t>VALLUR TPP2</t>
  </si>
  <si>
    <t>INDIRA GANDHI STPP3</t>
  </si>
  <si>
    <t>MAITHON RB TPP1</t>
  </si>
  <si>
    <t>VINDHYACHAL STPS11</t>
  </si>
  <si>
    <t>RIHAND STPS5</t>
  </si>
  <si>
    <t>MAUDA TPS1</t>
  </si>
  <si>
    <t>DURGAPUR STEEL TPS2</t>
  </si>
  <si>
    <t>SIMHADRI STPP4</t>
  </si>
  <si>
    <t>BHUSAWAL TPS5</t>
  </si>
  <si>
    <t>BHUSAWAL TPS4</t>
  </si>
  <si>
    <t>BELLARY TPS2</t>
  </si>
  <si>
    <t>VALLUR TPP1</t>
  </si>
  <si>
    <t>INDIRA GANDHI STPP2</t>
  </si>
  <si>
    <t>KHAPARKHEDA TPS5</t>
  </si>
  <si>
    <t>KODARMA TPS1</t>
  </si>
  <si>
    <t>DURGAPUR STEEL TPS1</t>
  </si>
  <si>
    <t>KOTHAGUDEM NEW TPS11</t>
  </si>
  <si>
    <t>SIMHADRI STPP3</t>
  </si>
  <si>
    <t>MEJIA TPS8</t>
  </si>
  <si>
    <t>FARAKKA STPS6</t>
  </si>
  <si>
    <t>KORBA STPS7</t>
  </si>
  <si>
    <t>INDIRA GANDHI STPP1</t>
  </si>
  <si>
    <t>MEJIA TPS7</t>
  </si>
  <si>
    <t>KAKATIYA TPS1</t>
  </si>
  <si>
    <t>DADRI (NCTPP)6</t>
  </si>
  <si>
    <t>UCHPINDA TPP3</t>
  </si>
  <si>
    <t>DR. N TATA RAO TPS7</t>
  </si>
  <si>
    <t>UCHPINDA TPP1</t>
  </si>
  <si>
    <t>DADRI (NCTPP)5</t>
  </si>
  <si>
    <t>KAHALGAON TPS7</t>
  </si>
  <si>
    <t>BINJKOTE  TPP2</t>
  </si>
  <si>
    <t>UCHPINDA TPP2</t>
  </si>
  <si>
    <t>SIPAT STPS5</t>
  </si>
  <si>
    <t>BINJKOTE  TPP1</t>
  </si>
  <si>
    <t>NAWAPARA TPP2</t>
  </si>
  <si>
    <t>SIPAT STPS4</t>
  </si>
  <si>
    <t>KAHALGAON TPS6</t>
  </si>
  <si>
    <t>NABI NAGAR TPP3</t>
  </si>
  <si>
    <t>BONGAIGAON TPS3</t>
  </si>
  <si>
    <t>BELLARY TPS1</t>
  </si>
  <si>
    <t>NAWAPARA TPP1</t>
  </si>
  <si>
    <t>KAMALANGA TPS3</t>
  </si>
  <si>
    <t>SANJAY GANDHI TPS5</t>
  </si>
  <si>
    <t>BALCO TPS2</t>
  </si>
  <si>
    <t>VINDHYACHAL STPS10</t>
  </si>
  <si>
    <t>KAHALGAON TPS5</t>
  </si>
  <si>
    <t>KAMALANGA TPS2</t>
  </si>
  <si>
    <t>BARAUNI TPS8</t>
  </si>
  <si>
    <t>BANDAKHAR TPP1</t>
  </si>
  <si>
    <t>BALCO TPS1</t>
  </si>
  <si>
    <t>KAMALANGA TPS1</t>
  </si>
  <si>
    <t>VINDHYACHAL STPS9</t>
  </si>
  <si>
    <t>HALDIA TPP2</t>
  </si>
  <si>
    <t>NABI NAGAR TPP2</t>
  </si>
  <si>
    <t>BONGAIGAON TPS2</t>
  </si>
  <si>
    <t>HALDIA TPP1</t>
  </si>
  <si>
    <t>GOINDWAL SAHIB2</t>
  </si>
  <si>
    <t>GOINDWAL SAHIB1</t>
  </si>
  <si>
    <t>RIHAND STPS4</t>
  </si>
  <si>
    <t>DHARIWAL TPS2</t>
  </si>
  <si>
    <t>NABI NAGAR TPP1</t>
  </si>
  <si>
    <t>PARLI TPS8</t>
  </si>
  <si>
    <t>TALCHER STPS6</t>
  </si>
  <si>
    <t>AMRAVATI TPS5</t>
  </si>
  <si>
    <t>AMRAVATI TPS4</t>
  </si>
  <si>
    <t>DHARIWAL TPS1</t>
  </si>
  <si>
    <t>RIHAND STPS3</t>
  </si>
  <si>
    <t>AMRAVATI TPS3</t>
  </si>
  <si>
    <t>GMR WARORA TPS2</t>
  </si>
  <si>
    <t>SIKKA REP. TPS4</t>
  </si>
  <si>
    <t>RAMAGUNDEM STPS7</t>
  </si>
  <si>
    <t>BONGAIGAON TPS1</t>
  </si>
  <si>
    <t>BUTIBORI TPP2</t>
  </si>
  <si>
    <t>TALCHER STPS5</t>
  </si>
  <si>
    <t>GMR WARORA TPS1</t>
  </si>
  <si>
    <t>SIKKA REP. TPS3</t>
  </si>
  <si>
    <t>AMRAVATI TPS2</t>
  </si>
  <si>
    <t>BUTIBORI TPP1</t>
  </si>
  <si>
    <t>MUZAFFARPUR TPS4</t>
  </si>
  <si>
    <t>TALCHER STPS4</t>
  </si>
  <si>
    <t>MUNDRA TPS4</t>
  </si>
  <si>
    <t>CHHABRA TPS4</t>
  </si>
  <si>
    <t>ROSA TPP PH-I4</t>
  </si>
  <si>
    <t>D.P.L. TPS8</t>
  </si>
  <si>
    <t>ROSA TPP PH-I3</t>
  </si>
  <si>
    <t>MUNDRA TPS3</t>
  </si>
  <si>
    <t>TALCHER STPS3</t>
  </si>
  <si>
    <t>BELA TPS1</t>
  </si>
  <si>
    <t>AMRAVATI TPS1</t>
  </si>
  <si>
    <t>MAHADEV PRASAD STPP2</t>
  </si>
  <si>
    <t>JSW RATNAGIRI TPP4</t>
  </si>
  <si>
    <t>SATPURA TPS11</t>
  </si>
  <si>
    <t>MAHADEV PRASAD STPP1</t>
  </si>
  <si>
    <t>MUNDRA TPS2</t>
  </si>
  <si>
    <t>CHHABRA TPS3</t>
  </si>
  <si>
    <t>SIMHADRI STPP2</t>
  </si>
  <si>
    <t>JSW RATNAGIRI TPP3</t>
  </si>
  <si>
    <t>SHIRPUR TPP1</t>
  </si>
  <si>
    <t>SATPURA TPS10</t>
  </si>
  <si>
    <t>PARICHHA TPS6</t>
  </si>
  <si>
    <t>BINA TPS2</t>
  </si>
  <si>
    <t>JSW RATNAGIRI TPP2</t>
  </si>
  <si>
    <t>MUNDRA TPS1</t>
  </si>
  <si>
    <t>SIMHADRI STPP1</t>
  </si>
  <si>
    <t>JSW RATNAGIRI TPP1</t>
  </si>
  <si>
    <t>MUZAFFARPUR TPS3</t>
  </si>
  <si>
    <t>ROSA TPP PH-I2</t>
  </si>
  <si>
    <t>BINA TPS1</t>
  </si>
  <si>
    <t>PATHADI TPS2</t>
  </si>
  <si>
    <t>HARDUAGANJ TPS9</t>
  </si>
  <si>
    <t>PARICHHA TPS5</t>
  </si>
  <si>
    <t>ROSA TPP PH-I1</t>
  </si>
  <si>
    <t>TORANGALLU TPS(SBU-II)4</t>
  </si>
  <si>
    <t>SANTALDIH TPS6</t>
  </si>
  <si>
    <t>HARDUAGANJ TPS8</t>
  </si>
  <si>
    <t>PATHADI TPS1</t>
  </si>
  <si>
    <t>TORANGALLU TPS(SBU-II)3</t>
  </si>
  <si>
    <t>VINDHYACHAL STPS8</t>
  </si>
  <si>
    <t>SAGARDIGHI TPS1</t>
  </si>
  <si>
    <t>BARAUNI TPS7</t>
  </si>
  <si>
    <t>NIWARI TPP2</t>
  </si>
  <si>
    <t>RAICHUR TPS8</t>
  </si>
  <si>
    <t>YAMUNA NAGAR TPS2</t>
  </si>
  <si>
    <t>CHHABRA TPS2</t>
  </si>
  <si>
    <t>CHANDRAPURA(DVC)8</t>
  </si>
  <si>
    <t>PARAS TPS4</t>
  </si>
  <si>
    <t>VINDHYACHAL STPS7</t>
  </si>
  <si>
    <t>SAGARDIGHI TPS2</t>
  </si>
  <si>
    <t>D.P.L. TPS7</t>
  </si>
  <si>
    <t>PARLI TPS7</t>
  </si>
  <si>
    <t>YAMUNA NAGAR TPS1</t>
  </si>
  <si>
    <t>CHANDRAPURA(DVC)7</t>
  </si>
  <si>
    <t>CHHABRA TPS1</t>
  </si>
  <si>
    <t>SIMHAPURI TPS3</t>
  </si>
  <si>
    <t>BUDGE BUDGE TPS3</t>
  </si>
  <si>
    <t>SURATGARH TPS6</t>
  </si>
  <si>
    <t>BHILAI TPS2</t>
  </si>
  <si>
    <t>SANTALDIH TPS5</t>
  </si>
  <si>
    <t>TROMBAY TPS8</t>
  </si>
  <si>
    <t>RAYALSEEMA TPS5</t>
  </si>
  <si>
    <t>CHANDRAPUR STPS7</t>
  </si>
  <si>
    <t>MUZAFFARPUR TPS2</t>
  </si>
  <si>
    <t>GH TPS (LEH.MOH.)4</t>
  </si>
  <si>
    <t>OP JINDAL TPS4</t>
  </si>
  <si>
    <t>BHILAI TPS1</t>
  </si>
  <si>
    <t>OP JINDAL TPS3</t>
  </si>
  <si>
    <t>SIMHAPURI TPS2</t>
  </si>
  <si>
    <t>THAMMINAPATNAM TPS2</t>
  </si>
  <si>
    <t>OP JINDAL TPS2</t>
  </si>
  <si>
    <t>RATIJA TPS2</t>
  </si>
  <si>
    <t>GH TPS (LEH.MOH.)3</t>
  </si>
  <si>
    <t>DSPM TPS2</t>
  </si>
  <si>
    <t>THAMMINAPATNAM TPS1</t>
  </si>
  <si>
    <t>MEJIA TPS5</t>
  </si>
  <si>
    <t>MUZAFFARPUR TPS1</t>
  </si>
  <si>
    <t>OP JINDAL TPS1</t>
  </si>
  <si>
    <t>BAKRESWAR TPS1</t>
  </si>
  <si>
    <t>KASAIPALLI TPP2</t>
  </si>
  <si>
    <t>PARAS TPS3</t>
  </si>
  <si>
    <t>KOTA TPS7</t>
  </si>
  <si>
    <t>DSPM TPS1</t>
  </si>
  <si>
    <t>MEJIA TPS6</t>
  </si>
  <si>
    <t>TALCHER STPS2</t>
  </si>
  <si>
    <t>PARLI TPS6</t>
  </si>
  <si>
    <t>KASAIPALLI TPP1</t>
  </si>
  <si>
    <t>AMARKANTAK TPS3</t>
  </si>
  <si>
    <t>WARDHA WARORA TPP4</t>
  </si>
  <si>
    <t>BAKRESWAR TPS5</t>
  </si>
  <si>
    <t>TALCHER STPS1</t>
  </si>
  <si>
    <t>RAYALSEEMA TPS4</t>
  </si>
  <si>
    <t>WARDHA WARORA TPP3</t>
  </si>
  <si>
    <t>WARDHA WARORA TPP2</t>
  </si>
  <si>
    <t>ANPARA TPS5</t>
  </si>
  <si>
    <t>RAYALSEEMA TPS3</t>
  </si>
  <si>
    <t>PARICHHA TPS4</t>
  </si>
  <si>
    <t>FARAKKA STPS5</t>
  </si>
  <si>
    <t>PANIPAT TPS8</t>
  </si>
  <si>
    <t>UNCHAHAR STPS5</t>
  </si>
  <si>
    <t>NIWARI TPP1</t>
  </si>
  <si>
    <t>PANIPAT TPS7</t>
  </si>
  <si>
    <t>ANPARA TPS4</t>
  </si>
  <si>
    <t>CHAKABURA TPP2</t>
  </si>
  <si>
    <t>PARICHHA TPS3</t>
  </si>
  <si>
    <t>RATIJA TPS1</t>
  </si>
  <si>
    <t>SVPL TPP1</t>
  </si>
  <si>
    <t>FARAKKA STPS4</t>
  </si>
  <si>
    <t>SURATGARH TPS5</t>
  </si>
  <si>
    <t>CHANDRAPUR STPS6</t>
  </si>
  <si>
    <t>UTRAULA TPS2</t>
  </si>
  <si>
    <t>KUNDARKI TPS2</t>
  </si>
  <si>
    <t>UTRAULA TPS1</t>
  </si>
  <si>
    <t>MEJIA TPS4</t>
  </si>
  <si>
    <t>KUNDARKI TPS1</t>
  </si>
  <si>
    <t>BARKHERA TPS2</t>
  </si>
  <si>
    <t>MAQSOODPUR TPS2</t>
  </si>
  <si>
    <t>BARKHERA TPS1</t>
  </si>
  <si>
    <t>KHAMBARKHERA TPS2</t>
  </si>
  <si>
    <t>MAQSOODPUR TPS1</t>
  </si>
  <si>
    <t>KHAMBARKHERA TPS1</t>
  </si>
  <si>
    <t>NORTH CHENNAI TPS2</t>
  </si>
  <si>
    <t>NORTH CHENNAI TPS1</t>
  </si>
  <si>
    <t>SURATGARH TPS4</t>
  </si>
  <si>
    <t>CHANDRAPUR STPS5</t>
  </si>
  <si>
    <t>SURATGARH TPS3</t>
  </si>
  <si>
    <t>RAICHUR TPS7</t>
  </si>
  <si>
    <t>KOTA TPS6</t>
  </si>
  <si>
    <t>RAMAGUNDEM STPS6</t>
  </si>
  <si>
    <t>RIHAND STPS2</t>
  </si>
  <si>
    <t>SURATGARH TPS2</t>
  </si>
  <si>
    <t>RAMAGUNDEM STPS5</t>
  </si>
  <si>
    <t>KORBA STPS6</t>
  </si>
  <si>
    <t>RAMAGUNDEM STPS4</t>
  </si>
  <si>
    <t>BAKRESWAR TPS4</t>
  </si>
  <si>
    <t>PANIPAT TPS6</t>
  </si>
  <si>
    <t>KHAPARKHEDA TPS4</t>
  </si>
  <si>
    <t>BUDGE BUDGE TPS2</t>
  </si>
  <si>
    <t>RIHAND STPS1</t>
  </si>
  <si>
    <t>KORBA STPS5</t>
  </si>
  <si>
    <t>SINGRAULI STPS7</t>
  </si>
  <si>
    <t>BAKRESWAR TPS3</t>
  </si>
  <si>
    <t>KHAPARKHEDA TPS3</t>
  </si>
  <si>
    <t>SURATGARH TPS1</t>
  </si>
  <si>
    <t>KORBA STPS4</t>
  </si>
  <si>
    <t>KOTHAGUDEM NEW TPS10</t>
  </si>
  <si>
    <t>SANJAY GANDHI TPS4</t>
  </si>
  <si>
    <t>UNCHAHAR STPS4</t>
  </si>
  <si>
    <t>SINGRAULI STPS6</t>
  </si>
  <si>
    <t>BAKRESWAR TPS2</t>
  </si>
  <si>
    <t>RAICHUR TPS6</t>
  </si>
  <si>
    <t>BUDGE BUDGE TPS1</t>
  </si>
  <si>
    <t>SANJAY GANDHI TPS3</t>
  </si>
  <si>
    <t>UNCHAHAR STPS3</t>
  </si>
  <si>
    <t>RAICHUR TPS5</t>
  </si>
  <si>
    <t>KOTHAGUDEM NEW TPS9</t>
  </si>
  <si>
    <t>WANAKBORI TPS7</t>
  </si>
  <si>
    <t>GH TPS (LEH.MOH.)2</t>
  </si>
  <si>
    <t>MEJIA TPS3</t>
  </si>
  <si>
    <t>GANDHI NAGAR TPS5</t>
  </si>
  <si>
    <t>JOJOBERA TPS3</t>
  </si>
  <si>
    <t>GH TPS (LEH.MOH.)1</t>
  </si>
  <si>
    <t>TENUGHAT TPS2</t>
  </si>
  <si>
    <t>MEJIA TPS2</t>
  </si>
  <si>
    <t>JOJOBERA TPS2</t>
  </si>
  <si>
    <t>DAHANU TPS2</t>
  </si>
  <si>
    <t>DAHANU TPS1</t>
  </si>
  <si>
    <t>TROMBAY TPS5</t>
  </si>
  <si>
    <t>TENUGHAT TPS1</t>
  </si>
  <si>
    <t>MEJIA TPS1</t>
  </si>
  <si>
    <t>KAHALGAON TPS4</t>
  </si>
  <si>
    <t>NORTH CHENNAI TPS3</t>
  </si>
  <si>
    <t>TORANGALLU TPS(SBU-I)2</t>
  </si>
  <si>
    <t>IB VALLEY TPS2</t>
  </si>
  <si>
    <t>TORANGALLU TPS(SBU-I)1</t>
  </si>
  <si>
    <t>KAHALGAON TPS3</t>
  </si>
  <si>
    <t>DR. N TATA RAO TPS6</t>
  </si>
  <si>
    <t>RAYALSEEMA TPS2</t>
  </si>
  <si>
    <t>RAICHUR TPS4</t>
  </si>
  <si>
    <t>IB VALLEY TPS1</t>
  </si>
  <si>
    <t>DR. N TATA RAO TPS5</t>
  </si>
  <si>
    <t>DADRI (NCTPP)4</t>
  </si>
  <si>
    <t>KOTA TPS5</t>
  </si>
  <si>
    <t>RAYALSEEMA TPS1</t>
  </si>
  <si>
    <t>KAHALGAON TPS2</t>
  </si>
  <si>
    <t>KOLAGHAT TPS5</t>
  </si>
  <si>
    <t>TANDA STPS4</t>
  </si>
  <si>
    <t>BOKARO B TPS3</t>
  </si>
  <si>
    <t>DADRI (NCTPP)3</t>
  </si>
  <si>
    <t>SANJAY GANDHI TPS1</t>
  </si>
  <si>
    <t>SANJAY GANDHI TPS2</t>
  </si>
  <si>
    <t>ROPAR TPS6</t>
  </si>
  <si>
    <t>KOLAGHAT TPS1</t>
  </si>
  <si>
    <t>DADRI (NCTPP)2</t>
  </si>
  <si>
    <t>ROPAR TPS5</t>
  </si>
  <si>
    <t>KAHALGAON TPS1</t>
  </si>
  <si>
    <t>TUTICORIN TPS4</t>
  </si>
  <si>
    <t>DADRI (NCTPP)1</t>
  </si>
  <si>
    <t>GANDHI NAGAR TPS4</t>
  </si>
  <si>
    <t>TUTICORIN TPS5</t>
  </si>
  <si>
    <t>RAICHUR TPS3</t>
  </si>
  <si>
    <t>KOLAGHAT TPS6</t>
  </si>
  <si>
    <t>VINDHYACHAL STPS6</t>
  </si>
  <si>
    <t>DR. N TATA RAO TPS4</t>
  </si>
  <si>
    <t>KOLAGHAT TPS2</t>
  </si>
  <si>
    <t>METTUR TPS4</t>
  </si>
  <si>
    <t>GANDHI NAGAR TPS3</t>
  </si>
  <si>
    <t>VINDHYACHAL STPS5</t>
  </si>
  <si>
    <t>KHAPARKHEDA TPS2</t>
  </si>
  <si>
    <t>VINDHYACHAL STPS4</t>
  </si>
  <si>
    <t>DR. N TATA RAO TPS3</t>
  </si>
  <si>
    <t>KOTA TPS4</t>
  </si>
  <si>
    <t>METTUR TPS3</t>
  </si>
  <si>
    <t>UNCHAHAR STPS2</t>
  </si>
  <si>
    <t>PANIPAT TPS5</t>
  </si>
  <si>
    <t>KHAPARKHEDA TPS1</t>
  </si>
  <si>
    <t>VINDHYACHAL STPS3</t>
  </si>
  <si>
    <t>ROPAR TPS4</t>
  </si>
  <si>
    <t>UNCHAHAR STPS1</t>
  </si>
  <si>
    <t>KOTA TPS3</t>
  </si>
  <si>
    <t>VINDHYACHAL STPS2</t>
  </si>
  <si>
    <t>ANPARA TPS3</t>
  </si>
  <si>
    <t>ROPAR TPS3</t>
  </si>
  <si>
    <t>METTUR TPS2</t>
  </si>
  <si>
    <t>WANAKBORI TPS6</t>
  </si>
  <si>
    <t>VINDHYACHAL STPS1</t>
  </si>
  <si>
    <t>FARAKKA STPS3</t>
  </si>
  <si>
    <t>ANPARA TPS2</t>
  </si>
  <si>
    <t>METTUR TPS1</t>
  </si>
  <si>
    <t>WANAKBORI TPS5</t>
  </si>
  <si>
    <t>FARAKKA STPS2</t>
  </si>
  <si>
    <t>WANAKBORI TPS4</t>
  </si>
  <si>
    <t>ANPARA TPS1</t>
  </si>
  <si>
    <t>RAICHUR TPS2</t>
  </si>
  <si>
    <t>KORBA-WEST TPS4</t>
  </si>
  <si>
    <t>CHANDRAPUR STPS4</t>
  </si>
  <si>
    <t>KOLAGHAT TPS3</t>
  </si>
  <si>
    <t>TANDA STPS3</t>
  </si>
  <si>
    <t>FARAKKA STPS1</t>
  </si>
  <si>
    <t>CHANDRAPUR STPS3</t>
  </si>
  <si>
    <t>RAICHUR TPS1</t>
  </si>
  <si>
    <t>KORBA-WEST TPS3</t>
  </si>
  <si>
    <t>UKAI TPS5</t>
  </si>
  <si>
    <t>SOUTHERN REPL. TPS1</t>
  </si>
  <si>
    <t>TANDA STPS2</t>
  </si>
  <si>
    <t>SABARMATI (D-F STATIONS) TPP3</t>
  </si>
  <si>
    <t>RAMAGUNDEM STPS3</t>
  </si>
  <si>
    <t>SOUTHERN REPL. TPS2</t>
  </si>
  <si>
    <t>WANAKBORI TPS3</t>
  </si>
  <si>
    <t>KORBA-WEST TPS2</t>
  </si>
  <si>
    <t>SATPURA TPS9</t>
  </si>
  <si>
    <t>KOLAGHAT TPS4</t>
  </si>
  <si>
    <t>RAMAGUNDEM STPS2</t>
  </si>
  <si>
    <t>KORBA-WEST TPS1</t>
  </si>
  <si>
    <t>TANDA STPS1</t>
  </si>
  <si>
    <t>KORBA STPS3</t>
  </si>
  <si>
    <t>SINGRAULI STPS5</t>
  </si>
  <si>
    <t>SINGRAULI STPS4</t>
  </si>
  <si>
    <t>RAMAGUNDEM STPS1</t>
  </si>
  <si>
    <t>KORBA STPS2</t>
  </si>
  <si>
    <t>DURGAPUR TPS4</t>
  </si>
  <si>
    <t>WANAKBORI TPS2</t>
  </si>
  <si>
    <t>SATPURA TPS8</t>
  </si>
  <si>
    <t>KORADI TPS7</t>
  </si>
  <si>
    <t>BANDEL TPS5</t>
  </si>
  <si>
    <t>SINGRAULI STPS3</t>
  </si>
  <si>
    <t>BHUSAWAL TPS3</t>
  </si>
  <si>
    <t>KORBA STPS1</t>
  </si>
  <si>
    <t>SINGRAULI STPS2</t>
  </si>
  <si>
    <t>TUTICORIN TPS3</t>
  </si>
  <si>
    <t>WANAKBORI TPS1</t>
  </si>
  <si>
    <t>KORADI TPS6</t>
  </si>
  <si>
    <t>OBRA TPS13</t>
  </si>
  <si>
    <t>SINGRAULI STPS1</t>
  </si>
  <si>
    <t>SABARMATI (D-F STATIONS) TPP2</t>
  </si>
  <si>
    <t>NASIK TPS5</t>
  </si>
  <si>
    <t>TUTICORIN TPS2</t>
  </si>
  <si>
    <t>DR. N TATA RAO TPS2</t>
  </si>
  <si>
    <t>OBRA TPS12</t>
  </si>
  <si>
    <t>PARICHHA TPS2</t>
  </si>
  <si>
    <t>SATPURA TPS7</t>
  </si>
  <si>
    <t>NASIK TPS4</t>
  </si>
  <si>
    <t>OBRA TPS9</t>
  </si>
  <si>
    <t>DR. N TATA RAO TPS1</t>
  </si>
  <si>
    <t>TUTICORIN TPS1</t>
  </si>
  <si>
    <t>NASIK TPS3</t>
  </si>
  <si>
    <t>KOTA TPS2</t>
  </si>
  <si>
    <t>SATPURA TPS6</t>
  </si>
  <si>
    <t>UKAI TPS4</t>
  </si>
  <si>
    <t>KOTA TPS1</t>
  </si>
  <si>
    <t>UKAI TPS3</t>
  </si>
  <si>
    <t>OBRA TPS10</t>
  </si>
  <si>
    <t>OBRA TPS11</t>
  </si>
  <si>
    <t>KORBA-III2</t>
  </si>
  <si>
    <t>SABARMATI (D-F STATIONS) TPP1</t>
  </si>
  <si>
    <t>KOTHAGUDEM TPS8</t>
  </si>
  <si>
    <t>HARDUAGANJ TPS7</t>
  </si>
  <si>
    <t>KOTHAGUDEM TPS7</t>
  </si>
  <si>
    <t>KORBA-III1</t>
  </si>
  <si>
    <t>KOTHAGUDEM TPS6</t>
  </si>
  <si>
    <t>KOTHAGUDEM TPS5</t>
  </si>
  <si>
    <t>TALCHER (OLD) TPS6</t>
  </si>
  <si>
    <t>TALCHER (OLD) TPS5</t>
  </si>
  <si>
    <t>TALCHER (OLD) TPS4</t>
  </si>
  <si>
    <t>TALCHER (OLD) TPS3</t>
  </si>
  <si>
    <t>RAMAGUNDEM - B TPS1</t>
  </si>
  <si>
    <t>TALCHER (OLD) TPS2</t>
  </si>
  <si>
    <t>TALCHER (OLD) TPS1</t>
  </si>
  <si>
    <t>KORBA-II4</t>
  </si>
  <si>
    <t>KORBA-II3</t>
  </si>
  <si>
    <t>KOTHAGUDEM TPS4</t>
  </si>
  <si>
    <t>OBRA TPS1</t>
  </si>
  <si>
    <t>KOTHAGUDEM TPS2</t>
  </si>
  <si>
    <t>KORBA-II2</t>
  </si>
  <si>
    <t>KOTHAGUDEM TPS1</t>
  </si>
  <si>
    <t>BANDEL TPS2</t>
  </si>
  <si>
    <t>BANDEL TPS1</t>
  </si>
  <si>
    <t>Age</t>
  </si>
  <si>
    <t xml:space="preserve"> 0-5 years</t>
  </si>
  <si>
    <t xml:space="preserve"> 5-10 years</t>
  </si>
  <si>
    <t xml:space="preserve"> 10-15 years</t>
  </si>
  <si>
    <t xml:space="preserve"> 15-20 years</t>
  </si>
  <si>
    <t xml:space="preserve"> 20-25 years</t>
  </si>
  <si>
    <t xml:space="preserve"> 25-30 years</t>
  </si>
  <si>
    <t xml:space="preserve"> 30-35 years</t>
  </si>
  <si>
    <t xml:space="preserve"> 35-40 years</t>
  </si>
  <si>
    <t xml:space="preserve"> 40-45 years</t>
  </si>
  <si>
    <t xml:space="preserve"> 45+ years</t>
  </si>
  <si>
    <t>Actual avg PLF</t>
  </si>
  <si>
    <t>Age group</t>
  </si>
  <si>
    <t>Target PLF</t>
  </si>
  <si>
    <t>Age grouping</t>
  </si>
  <si>
    <t>Unit ID</t>
  </si>
  <si>
    <t>Capacity</t>
  </si>
  <si>
    <t>State</t>
  </si>
  <si>
    <t>Ownership</t>
  </si>
  <si>
    <t>Coeff of variation</t>
  </si>
  <si>
    <t>Annual actual coal consumption (tons)</t>
  </si>
  <si>
    <t>Daily target generation</t>
  </si>
  <si>
    <t>Annual target coal consumption (tons)</t>
  </si>
  <si>
    <t>Daily target coal consumption at 85%(tons/MW)</t>
  </si>
  <si>
    <t>Relegated Capacity</t>
  </si>
  <si>
    <t>% capacity relegated</t>
  </si>
  <si>
    <t>Total</t>
  </si>
  <si>
    <t>Daily actual coal consumption - calc (tons/MW)</t>
  </si>
  <si>
    <t>Avg daily generation</t>
  </si>
  <si>
    <t>STATE SECTOR</t>
  </si>
  <si>
    <t>CENTRAL SECTOR</t>
  </si>
  <si>
    <t>PVT SECTOR</t>
  </si>
  <si>
    <t>Not contracted in MERIT</t>
  </si>
  <si>
    <t>Status</t>
  </si>
  <si>
    <t>Contracted</t>
  </si>
  <si>
    <t>Relegated</t>
  </si>
  <si>
    <t>Plant name</t>
  </si>
  <si>
    <t>KOTHAGUDEM STAGE-7 TPS</t>
  </si>
  <si>
    <t>Import share</t>
  </si>
  <si>
    <t>KOTHAGUDEM NEW TPS</t>
  </si>
  <si>
    <t>KORADI TPS</t>
  </si>
  <si>
    <t>OBRA TPS</t>
  </si>
  <si>
    <t>SATPURA TPS</t>
  </si>
  <si>
    <t>VINDHYACHAL STPS</t>
  </si>
  <si>
    <t>Target SHR</t>
  </si>
  <si>
    <t>Actual SHR</t>
  </si>
  <si>
    <t>Efficiency</t>
  </si>
  <si>
    <t>GCV</t>
  </si>
  <si>
    <t>Pithead plant</t>
  </si>
  <si>
    <t>BCCL</t>
  </si>
  <si>
    <t>CCL</t>
  </si>
  <si>
    <t>ECL</t>
  </si>
  <si>
    <t>MCL</t>
  </si>
  <si>
    <t>NCL</t>
  </si>
  <si>
    <t>NEC</t>
  </si>
  <si>
    <t>SECL</t>
  </si>
  <si>
    <t>WCL</t>
  </si>
  <si>
    <t>Operational</t>
  </si>
  <si>
    <t>Pithead</t>
  </si>
  <si>
    <t>% share total</t>
  </si>
  <si>
    <t>% pithead</t>
  </si>
  <si>
    <t>Imported coal</t>
  </si>
  <si>
    <t>Wtd GCV</t>
  </si>
  <si>
    <t>Capacity wtd GCV</t>
  </si>
  <si>
    <t>Wtd VC</t>
  </si>
  <si>
    <t>Diff</t>
  </si>
  <si>
    <t>Region</t>
  </si>
  <si>
    <t>Odisha</t>
  </si>
  <si>
    <t>Madhya Pradesh</t>
  </si>
  <si>
    <t>Telangana</t>
  </si>
  <si>
    <t>Chhatisgarh</t>
  </si>
  <si>
    <t>Karnataka</t>
  </si>
  <si>
    <t>Gujarat</t>
  </si>
  <si>
    <t>Andhra Pradesh</t>
  </si>
  <si>
    <t>Bihar</t>
  </si>
  <si>
    <t>Rajasthan</t>
  </si>
  <si>
    <t>Maharashtra</t>
  </si>
  <si>
    <t>Punjab</t>
  </si>
  <si>
    <t>Haryana</t>
  </si>
  <si>
    <t>Telengana</t>
  </si>
  <si>
    <t>West Bengal</t>
  </si>
  <si>
    <t>Tamil Nadu</t>
  </si>
  <si>
    <t>Jharkhand</t>
  </si>
  <si>
    <t>Assam</t>
  </si>
  <si>
    <t>ER</t>
  </si>
  <si>
    <t>WR</t>
  </si>
  <si>
    <t>SR</t>
  </si>
  <si>
    <t>NR</t>
  </si>
  <si>
    <t>NER</t>
  </si>
  <si>
    <t>Difference from actual</t>
  </si>
  <si>
    <t>Actual MU</t>
  </si>
  <si>
    <t>Targetted MU</t>
  </si>
  <si>
    <t>Total Capacity</t>
  </si>
  <si>
    <t>Uttar Pradesh</t>
  </si>
  <si>
    <t>Actual aux, MU</t>
  </si>
  <si>
    <t>Targeted aux, MU</t>
  </si>
  <si>
    <t>Auxiliary consumption (%)</t>
  </si>
  <si>
    <t>Row Labels</t>
  </si>
  <si>
    <t>Subsidiary</t>
  </si>
  <si>
    <t>% share</t>
  </si>
  <si>
    <t>Despach quantity over 30 month (tonnes)</t>
  </si>
  <si>
    <t>Wtd avg GCV - Despatch qty basis</t>
  </si>
  <si>
    <t>Wtd age GCV - Capacity basis</t>
  </si>
  <si>
    <t>Overall</t>
  </si>
  <si>
    <t>Grand Total</t>
  </si>
  <si>
    <t>Plant status</t>
  </si>
  <si>
    <t>Pithead plants</t>
  </si>
  <si>
    <t>Non-pithead plants</t>
  </si>
  <si>
    <t>Scenario</t>
  </si>
  <si>
    <t>Auxiliary consumption, MU</t>
  </si>
  <si>
    <t>Actual</t>
  </si>
  <si>
    <t>Targeted</t>
  </si>
  <si>
    <t>Column Labels</t>
  </si>
  <si>
    <t>Sum of Capacity</t>
  </si>
  <si>
    <t>Contracted capacity</t>
  </si>
  <si>
    <t>Non-contracted capacity</t>
  </si>
  <si>
    <t>Imported coal (tonnes)</t>
  </si>
  <si>
    <t>Total (tonnes)</t>
  </si>
  <si>
    <t>CIL</t>
  </si>
  <si>
    <t>Captive</t>
  </si>
  <si>
    <t>E-auction</t>
  </si>
  <si>
    <t>Others</t>
  </si>
  <si>
    <t>Import</t>
  </si>
  <si>
    <t>SCCL</t>
  </si>
  <si>
    <t>Source</t>
  </si>
  <si>
    <t>Coal receipts ('000 tonnes)</t>
  </si>
  <si>
    <t>Mar 2019 - Feb 2020</t>
  </si>
  <si>
    <t>Fixed cost for FY 2018-19 (INR crore)</t>
  </si>
  <si>
    <t>Fixed cost for FY 2018-19 (INR crore)
from Generation TO</t>
  </si>
  <si>
    <t>Contracted capacity 
from generation TO</t>
  </si>
  <si>
    <t>Fixed cost for FY 2018-19
from Discom TO (INR crore)</t>
  </si>
  <si>
    <t>Contracted State 1</t>
  </si>
  <si>
    <t>Contracted capacity 1(MW)</t>
  </si>
  <si>
    <t>Retirement by 2022</t>
  </si>
  <si>
    <t>Retirement by 2027</t>
  </si>
  <si>
    <t>Contracted State 2</t>
  </si>
  <si>
    <t>Contracted capacity 2(MW)</t>
  </si>
  <si>
    <t>Delhi</t>
  </si>
  <si>
    <t>Contracted State 3</t>
  </si>
  <si>
    <t>Contracted capacity 3(MW)</t>
  </si>
  <si>
    <t>Goa</t>
  </si>
  <si>
    <t>Contracted State 4</t>
  </si>
  <si>
    <t>Contracted capacity 4(MW)</t>
  </si>
  <si>
    <t>Himachal Pradesh</t>
  </si>
  <si>
    <t>Contracted State 5</t>
  </si>
  <si>
    <t>Contracted capacity 5(MW)</t>
  </si>
  <si>
    <t>Sikkim</t>
  </si>
  <si>
    <t xml:space="preserve">Sikkim </t>
  </si>
  <si>
    <t>UP</t>
  </si>
  <si>
    <t xml:space="preserve"> </t>
  </si>
  <si>
    <t/>
  </si>
  <si>
    <t>FROM HERE ON TO THE RIGHT YOU CAN ACTUALLY MAKE A SEPARATE TABLE TO DOCUMENT DISCOM TO</t>
  </si>
  <si>
    <t>FC DATA (Year)</t>
  </si>
  <si>
    <t>FY 2019</t>
  </si>
  <si>
    <t>FY 2018</t>
  </si>
  <si>
    <t>FC Data (Year)(FY)</t>
  </si>
  <si>
    <t>FY 2020</t>
  </si>
  <si>
    <t>FY 2017</t>
  </si>
  <si>
    <t>.</t>
  </si>
  <si>
    <t>FY 2016</t>
  </si>
  <si>
    <t>Year</t>
  </si>
  <si>
    <t>Age in 2016</t>
  </si>
  <si>
    <t>NPV of FC in 2016 (INR crore)</t>
  </si>
  <si>
    <t>INR/MW</t>
  </si>
  <si>
    <t>Boiler design</t>
  </si>
  <si>
    <t>INR/Mcal</t>
  </si>
  <si>
    <t>Coal consumption, MT</t>
  </si>
  <si>
    <t>Actual coal cost (INR crore)</t>
  </si>
  <si>
    <t>Target coal cost (INR crore)</t>
  </si>
  <si>
    <t>Coal Savings</t>
  </si>
  <si>
    <t>Cost Savings (INR crore)</t>
  </si>
  <si>
    <t>MU Savings</t>
  </si>
  <si>
    <t>Cost savings</t>
  </si>
  <si>
    <t>Regressed INR/MW</t>
  </si>
  <si>
    <t>Existing FC</t>
  </si>
  <si>
    <t>Additional FC</t>
  </si>
  <si>
    <t xml:space="preserve">Scenario </t>
  </si>
  <si>
    <t>50 percentile VC</t>
  </si>
  <si>
    <t>Avg VC</t>
  </si>
  <si>
    <t>75 percentile VC</t>
  </si>
  <si>
    <t>VC savings (INR crore)</t>
  </si>
  <si>
    <t>Sox control cost (INR crore)</t>
  </si>
  <si>
    <t>Nox control cost (INR crore)</t>
  </si>
  <si>
    <t>Additional FC (INR crore)</t>
  </si>
  <si>
    <t>PCT capex savings from 
relegated plants (INR crore)</t>
  </si>
  <si>
    <t>Levy</t>
  </si>
  <si>
    <t>Coal price of G10 
(GCV 4300-4600)</t>
  </si>
  <si>
    <t>Transport charge</t>
  </si>
  <si>
    <t>Relegated plants FGD status</t>
  </si>
  <si>
    <t>Bid awarded</t>
  </si>
  <si>
    <t>Bid opened</t>
  </si>
  <si>
    <t xml:space="preserve">Bidding under process </t>
  </si>
  <si>
    <t>Feasibility study completed</t>
  </si>
  <si>
    <t>Feasibility study under progress</t>
  </si>
  <si>
    <t>Complies with norms</t>
  </si>
  <si>
    <t xml:space="preserve">FGD commissioned </t>
  </si>
  <si>
    <t>Tender issued or stage before that</t>
  </si>
  <si>
    <t>Capacity(MW)</t>
  </si>
  <si>
    <t>Distance (km)</t>
  </si>
  <si>
    <t>Transport charge (INR/MT)</t>
  </si>
  <si>
    <t>Components of coal cost</t>
  </si>
  <si>
    <t>INR/MT</t>
  </si>
  <si>
    <t>881-910</t>
  </si>
  <si>
    <t>821-850</t>
  </si>
  <si>
    <t>1401-1420</t>
  </si>
  <si>
    <t>Transportation charge to reach
50 percentile VC</t>
  </si>
  <si>
    <t>Transportation charge to reach 
75 percentile VC</t>
  </si>
  <si>
    <t>Transportation charge to reach
avg VC</t>
  </si>
  <si>
    <t>FC actual</t>
  </si>
  <si>
    <t>Age in resp years</t>
  </si>
  <si>
    <t>Reg INR/MW</t>
  </si>
  <si>
    <t>Operational capacity</t>
  </si>
  <si>
    <t>Ramp up (%/min)</t>
  </si>
  <si>
    <t>Ramp down  (%/min)</t>
  </si>
  <si>
    <t>Ramp up - actual</t>
  </si>
  <si>
    <t>Ramp down - actual</t>
  </si>
  <si>
    <t>Ramp up - target</t>
  </si>
  <si>
    <t>Ramp down - target</t>
  </si>
  <si>
    <t>(MW/min)</t>
  </si>
  <si>
    <t>Plant</t>
  </si>
  <si>
    <t>name</t>
  </si>
  <si>
    <t>DARLIPALI</t>
  </si>
  <si>
    <t>GADARWARA</t>
  </si>
  <si>
    <t>KOTHAGUDEM</t>
  </si>
  <si>
    <t>STAGE-7</t>
  </si>
  <si>
    <t>LARA</t>
  </si>
  <si>
    <t>YERMARUS</t>
  </si>
  <si>
    <t>KUDGI</t>
  </si>
  <si>
    <t>WANAKBORI</t>
  </si>
  <si>
    <t>DAMODARAN</t>
  </si>
  <si>
    <t>SANJEEVAIAH</t>
  </si>
  <si>
    <t>BELLARY</t>
  </si>
  <si>
    <t>KHARGONE</t>
  </si>
  <si>
    <t>TANDA</t>
  </si>
  <si>
    <t>IB</t>
  </si>
  <si>
    <t>VALLEY</t>
  </si>
  <si>
    <t>NABINAGAR</t>
  </si>
  <si>
    <t>CHHABRA</t>
  </si>
  <si>
    <t>SHREE</t>
  </si>
  <si>
    <t>SINGAJI</t>
  </si>
  <si>
    <t>RAIKHEDA</t>
  </si>
  <si>
    <t>MEJA</t>
  </si>
  <si>
    <t>SOLAPUR</t>
  </si>
  <si>
    <t>BARA</t>
  </si>
  <si>
    <t>MAUDA</t>
  </si>
  <si>
    <t>LALITPUR</t>
  </si>
  <si>
    <t>SASAN</t>
  </si>
  <si>
    <t>NIGRI</t>
  </si>
  <si>
    <t>BARH</t>
  </si>
  <si>
    <t>II</t>
  </si>
  <si>
    <t>KORADI</t>
  </si>
  <si>
    <t>RAJPURA</t>
  </si>
  <si>
    <t>TIRORA</t>
  </si>
  <si>
    <t>SIPAT</t>
  </si>
  <si>
    <t>MAHATMA</t>
  </si>
  <si>
    <t>GANDHI</t>
  </si>
  <si>
    <t>TALWANDI</t>
  </si>
  <si>
    <t>SABO</t>
  </si>
  <si>
    <t>MAHAN</t>
  </si>
  <si>
    <t>RAYALSEEMA</t>
  </si>
  <si>
    <t>SINGARENI</t>
  </si>
  <si>
    <t>KAWAI</t>
  </si>
  <si>
    <t>AKALTARA</t>
  </si>
  <si>
    <t>ANPARA</t>
  </si>
  <si>
    <t>SEIONI</t>
  </si>
  <si>
    <t>ANUPPUR</t>
  </si>
  <si>
    <t>RAGHUNATHPUR</t>
  </si>
  <si>
    <t>KAKATIYA</t>
  </si>
  <si>
    <t>KALISINDH</t>
  </si>
  <si>
    <t>BARADARHA</t>
  </si>
  <si>
    <t>DERANG</t>
  </si>
  <si>
    <t>OP</t>
  </si>
  <si>
    <t>JINDAL</t>
  </si>
  <si>
    <t>C</t>
  </si>
  <si>
    <t>RAJIV</t>
  </si>
  <si>
    <t>STERLITE</t>
  </si>
  <si>
    <t>NORTH</t>
  </si>
  <si>
    <t>CHENNAI</t>
  </si>
  <si>
    <t>MUNDRA</t>
  </si>
  <si>
    <t>PAINAMPURAM</t>
  </si>
  <si>
    <t>AVANTHA</t>
  </si>
  <si>
    <t>BHANDAR</t>
  </si>
  <si>
    <t>VIZAG</t>
  </si>
  <si>
    <t>SAGARDIGHI</t>
  </si>
  <si>
    <t>UNCHAHAR</t>
  </si>
  <si>
    <t>MARWA</t>
  </si>
  <si>
    <t>BOKARO</t>
  </si>
  <si>
    <t>A</t>
  </si>
  <si>
    <t>METTUR</t>
  </si>
  <si>
    <t>EXT</t>
  </si>
  <si>
    <t>VINDHYACHAL</t>
  </si>
  <si>
    <t>CHANDRAPUR</t>
  </si>
  <si>
    <t>MAITHON</t>
  </si>
  <si>
    <t>RB</t>
  </si>
  <si>
    <t>VALLUR</t>
  </si>
  <si>
    <t>RIHAND</t>
  </si>
  <si>
    <t>KORBA-WEST</t>
  </si>
  <si>
    <t>KODARMA</t>
  </si>
  <si>
    <t>DURGAPUR</t>
  </si>
  <si>
    <t>STEEL</t>
  </si>
  <si>
    <t>SIMHADRI</t>
  </si>
  <si>
    <t>INDIRA</t>
  </si>
  <si>
    <t>NEW</t>
  </si>
  <si>
    <t>MEJIA</t>
  </si>
  <si>
    <t>BHUSAWAL</t>
  </si>
  <si>
    <t>KHAPARKHEDA</t>
  </si>
  <si>
    <t>FARAKKA</t>
  </si>
  <si>
    <t>KORBA</t>
  </si>
  <si>
    <t>NTPL</t>
  </si>
  <si>
    <t>TUTICORIN</t>
  </si>
  <si>
    <t>(JV)</t>
  </si>
  <si>
    <t>UKAI</t>
  </si>
  <si>
    <t>DADRI</t>
  </si>
  <si>
    <t>(NCTPP)</t>
  </si>
  <si>
    <t>DR.</t>
  </si>
  <si>
    <t>N</t>
  </si>
  <si>
    <t>TATA</t>
  </si>
  <si>
    <t>RAO</t>
  </si>
  <si>
    <t>KAHALGAON</t>
  </si>
  <si>
    <t>SEMBCORP</t>
  </si>
  <si>
    <t>GAYATRI</t>
  </si>
  <si>
    <t>P.</t>
  </si>
  <si>
    <t>LTD</t>
  </si>
  <si>
    <t>SANJAY</t>
  </si>
  <si>
    <t>RAMAGUNDEM</t>
  </si>
  <si>
    <t>TALCHER</t>
  </si>
  <si>
    <t>UCHPINDA</t>
  </si>
  <si>
    <t>ITPCL</t>
  </si>
  <si>
    <t>MUTHIARA</t>
  </si>
  <si>
    <t>SALAYA</t>
  </si>
  <si>
    <t>UDUPI</t>
  </si>
  <si>
    <t>KAMALANGA</t>
  </si>
  <si>
    <t>BINJKOTE</t>
  </si>
  <si>
    <t>NAWAPARA</t>
  </si>
  <si>
    <t>BANDAKHAR</t>
  </si>
  <si>
    <t>HALDIA</t>
  </si>
  <si>
    <t>DHARIWAL</t>
  </si>
  <si>
    <t>GMR</t>
  </si>
  <si>
    <t>WARORA</t>
  </si>
  <si>
    <t>NABI</t>
  </si>
  <si>
    <t>NAGAR</t>
  </si>
  <si>
    <t>BONGAIGAON</t>
  </si>
  <si>
    <t>BUTIBORI</t>
  </si>
  <si>
    <t>ROSA</t>
  </si>
  <si>
    <t>PH-I</t>
  </si>
  <si>
    <t>SINGRAULI</t>
  </si>
  <si>
    <t>BARAUNI</t>
  </si>
  <si>
    <t>GOINDWAL</t>
  </si>
  <si>
    <t>SAHIB</t>
  </si>
  <si>
    <t>BALCO</t>
  </si>
  <si>
    <t>AMRAVATI</t>
  </si>
  <si>
    <t>PATHADI</t>
  </si>
  <si>
    <t>PARLI</t>
  </si>
  <si>
    <t>MAHADEV</t>
  </si>
  <si>
    <t>PRASAD</t>
  </si>
  <si>
    <t>YAMUNA</t>
  </si>
  <si>
    <t>D.P.L.</t>
  </si>
  <si>
    <t>SATPURA</t>
  </si>
  <si>
    <t>BINA</t>
  </si>
  <si>
    <t>PARICHHA</t>
  </si>
  <si>
    <t>HARDUAGANJ</t>
  </si>
  <si>
    <t>SANTALDIH</t>
  </si>
  <si>
    <t>MUZAFFARPUR</t>
  </si>
  <si>
    <t>RAICHUR</t>
  </si>
  <si>
    <t>CHANDRAPURA(DVC)</t>
  </si>
  <si>
    <t>KORBA-II</t>
  </si>
  <si>
    <t>KORBA-III</t>
  </si>
  <si>
    <t>AMARKANTAK</t>
  </si>
  <si>
    <t>BAKRESWAR</t>
  </si>
  <si>
    <t>BANDEL</t>
  </si>
  <si>
    <t>BARKHERA</t>
  </si>
  <si>
    <t>BELA</t>
  </si>
  <si>
    <t>BHILAI</t>
  </si>
  <si>
    <t>B</t>
  </si>
  <si>
    <t>BUDGE</t>
  </si>
  <si>
    <t>CHAKABURA</t>
  </si>
  <si>
    <t>DAHANU</t>
  </si>
  <si>
    <t>DSPM</t>
  </si>
  <si>
    <t>GH</t>
  </si>
  <si>
    <t>(LEH.MOH.)</t>
  </si>
  <si>
    <t>JOJOBERA</t>
  </si>
  <si>
    <t>JSW</t>
  </si>
  <si>
    <t>RATNAGIRI</t>
  </si>
  <si>
    <t>KASAIPALLI</t>
  </si>
  <si>
    <t>KHAMBARKHERA</t>
  </si>
  <si>
    <t>KOLAGHAT</t>
  </si>
  <si>
    <t>KOTA</t>
  </si>
  <si>
    <t>KUNDARKI</t>
  </si>
  <si>
    <t>MAQSOODPUR</t>
  </si>
  <si>
    <t>NASIK</t>
  </si>
  <si>
    <t>NIWARI</t>
  </si>
  <si>
    <t>OBRA</t>
  </si>
  <si>
    <t>PANIPAT</t>
  </si>
  <si>
    <t>PARAS</t>
  </si>
  <si>
    <t>-</t>
  </si>
  <si>
    <t>RATIJA</t>
  </si>
  <si>
    <t>ROPAR</t>
  </si>
  <si>
    <t>SABARMATI</t>
  </si>
  <si>
    <t>SHIRPUR</t>
  </si>
  <si>
    <t>SIKKA</t>
  </si>
  <si>
    <t>REP.</t>
  </si>
  <si>
    <t>SIMHAPURI</t>
  </si>
  <si>
    <t>SOUTHERN</t>
  </si>
  <si>
    <t>REPL.</t>
  </si>
  <si>
    <t>SURATGARH</t>
  </si>
  <si>
    <t>SVPL</t>
  </si>
  <si>
    <t>(OLD)</t>
  </si>
  <si>
    <t>TENUGHAT</t>
  </si>
  <si>
    <t>THAMMINAPATNAM</t>
  </si>
  <si>
    <t>TORANGALLU</t>
  </si>
  <si>
    <t>TROMBAY</t>
  </si>
  <si>
    <t>UTRAULA</t>
  </si>
  <si>
    <t>WARDHA</t>
  </si>
  <si>
    <t>(SBU-I)</t>
  </si>
  <si>
    <t>(SBU-II)</t>
  </si>
  <si>
    <t>BOKAROB</t>
  </si>
  <si>
    <t>BUDGEBUDGE</t>
  </si>
  <si>
    <t>DR.NTATARAO</t>
  </si>
  <si>
    <t>GANDHINAGAR</t>
  </si>
  <si>
    <t>GH(LEH.MOH.)</t>
  </si>
  <si>
    <t>IBVALLEY</t>
  </si>
  <si>
    <t>JSWRATNAGIRI</t>
  </si>
  <si>
    <t>KOTHAGUDEMNEW</t>
  </si>
  <si>
    <t>NORTHCHENNAI</t>
  </si>
  <si>
    <t>OPJINDAL</t>
  </si>
  <si>
    <t>RAMAGUNDEM-B</t>
  </si>
  <si>
    <t>SANJAYGANDHI</t>
  </si>
  <si>
    <t>SIKKAREP.</t>
  </si>
  <si>
    <t>SOUTHERNREPL.</t>
  </si>
  <si>
    <t>TALCHER(OLD)</t>
  </si>
  <si>
    <t>TORANGALLU(SBU-I)</t>
  </si>
  <si>
    <t>TORANGALLU(SBU-II)</t>
  </si>
  <si>
    <t>WARDHAWARORA</t>
  </si>
  <si>
    <t>MERIT name</t>
  </si>
  <si>
    <t>DARLIPALI STPS</t>
  </si>
  <si>
    <t>GADARWARA TPP</t>
  </si>
  <si>
    <t>KOTHAGUDEM STAGE-7 TPS UNIT 12</t>
  </si>
  <si>
    <t>LARA TPP UNIT 1</t>
  </si>
  <si>
    <t>YERMARUS TPS</t>
  </si>
  <si>
    <t>KUDGI STPP</t>
  </si>
  <si>
    <t>WANAKBORI TPS UNIT 8</t>
  </si>
  <si>
    <t>DAMODARAN SANJEEVAIAH TPS</t>
  </si>
  <si>
    <t>BELLARY TPS UNIT 3</t>
  </si>
  <si>
    <t>KHARGONE STPP UNIT 1</t>
  </si>
  <si>
    <t>TANDA STPS UNIT 5-6</t>
  </si>
  <si>
    <t>IB VALLEY TPS UNIT 3-4</t>
  </si>
  <si>
    <t>NABINAGAR STPP</t>
  </si>
  <si>
    <t>CHHABRA TPS UNIT 6</t>
  </si>
  <si>
    <t>SHREE SINGAJI TPP UNIT 3-4</t>
  </si>
  <si>
    <t>MEJA STPP</t>
  </si>
  <si>
    <t>SOLAPUR STPS</t>
  </si>
  <si>
    <t>BARA TPP</t>
  </si>
  <si>
    <t>CHHABRA TPS UNIT 5</t>
  </si>
  <si>
    <t>MAUDA TPS UNIT 3-4</t>
  </si>
  <si>
    <t>LALITPUR TPS</t>
  </si>
  <si>
    <t>SASAN UMPTPP</t>
  </si>
  <si>
    <t>NIGRI TPP</t>
  </si>
  <si>
    <t>BARH II</t>
  </si>
  <si>
    <t>KORADI TPS UNIT 8-10</t>
  </si>
  <si>
    <t>RAJPURA TPS</t>
  </si>
  <si>
    <t>TIRORA TPS UNIT 1,4-5</t>
  </si>
  <si>
    <t>SIPAT STPS UNIT 1-3</t>
  </si>
  <si>
    <t>MAHATMA GANDHI TPS</t>
  </si>
  <si>
    <t>TIRORA TPS UNIT 2-3</t>
  </si>
  <si>
    <t>TALWANDI SABO TPS</t>
  </si>
  <si>
    <t>RAYALSEEMA TPS UNIT 6</t>
  </si>
  <si>
    <t>SINGARENI TPP</t>
  </si>
  <si>
    <t>KAWAI TPS</t>
  </si>
  <si>
    <t>AKALTARA TPS</t>
  </si>
  <si>
    <t>ANPARA - D</t>
  </si>
  <si>
    <t>SEIONI TPP</t>
  </si>
  <si>
    <t>ANUPPUR TPP</t>
  </si>
  <si>
    <t>RAGHUNATHPUR TPP</t>
  </si>
  <si>
    <t>KAKATIYA TPS UNIT 2</t>
  </si>
  <si>
    <t>KALISINDH TPS UNIT 2</t>
  </si>
  <si>
    <t>BARADARHA TPS</t>
  </si>
  <si>
    <t>DERANG TPP</t>
  </si>
  <si>
    <t>SHREE SINGAJI TPP UNIT 1-2</t>
  </si>
  <si>
    <t>KALISINDH TPS UNIT 1</t>
  </si>
  <si>
    <t>ANPARA C TPS</t>
  </si>
  <si>
    <t>RAJIV GANDHI TPS</t>
  </si>
  <si>
    <t>STERLITE TPP UNIT 1-2</t>
  </si>
  <si>
    <t>NORTH CHENNAI TPS UNIT 4-5</t>
  </si>
  <si>
    <t>MUNDRA UMTPP</t>
  </si>
  <si>
    <t>PAINAMPURAM TPP</t>
  </si>
  <si>
    <t>AVANTHA BHANDAR</t>
  </si>
  <si>
    <t>VIZAG TPS</t>
  </si>
  <si>
    <t>SAGARDIGHI TPS UNIT 3-4</t>
  </si>
  <si>
    <t>UNCHAHAR STPS UNIT 6</t>
  </si>
  <si>
    <t>MARWA TPS</t>
  </si>
  <si>
    <t>METTUR TPS EXT</t>
  </si>
  <si>
    <t>VINDHYACHAL STPS UNIT 13</t>
  </si>
  <si>
    <t>CHANDRAPUR UNITS 8-9</t>
  </si>
  <si>
    <t>MAITHON RB TPP</t>
  </si>
  <si>
    <t>VALLUR TPP</t>
  </si>
  <si>
    <t>RIHAND STPS UNIT 5-6</t>
  </si>
  <si>
    <t>KORBA-WEST TPS UNIT 5</t>
  </si>
  <si>
    <t>VINDHYACHAL STPS UNIT 11-12</t>
  </si>
  <si>
    <t>KODARMA TPS</t>
  </si>
  <si>
    <t>MAUDA TPS UNIT 1-2</t>
  </si>
  <si>
    <t>BELLARY TPS UNIT 2</t>
  </si>
  <si>
    <t>DURGAPUR STEEL TPS</t>
  </si>
  <si>
    <t>SIMHADRI STPP UNIT 3-4</t>
  </si>
  <si>
    <t>INDIRA GANDHI STPP</t>
  </si>
  <si>
    <t>KOTHAGUDEM NEW TPS UNIT 11</t>
  </si>
  <si>
    <t>MEJIA TPS</t>
  </si>
  <si>
    <t>BHUSAWAL TPS UNIT 4-5</t>
  </si>
  <si>
    <t>KHAPARKHEDA TPS UNIT 5</t>
  </si>
  <si>
    <t>FARAKKA STPS UNIT 6</t>
  </si>
  <si>
    <t>KORBA STPS UNIT 7</t>
  </si>
  <si>
    <t>KAKATIYA TPS UNIT 1</t>
  </si>
  <si>
    <t>NTPL TUTICORIN (JV) TPP</t>
  </si>
  <si>
    <t>UKAI TPS UNIT 6</t>
  </si>
  <si>
    <t>DADRI (NCTPP) UNIT 5-6</t>
  </si>
  <si>
    <t>DR. N TATA RAO TPS UNIT 7</t>
  </si>
  <si>
    <t>KAHALGAON TPS UNIT 5-7</t>
  </si>
  <si>
    <t>SIPAT STPS UNIT 4-5</t>
  </si>
  <si>
    <t>BELLARY TPS UNIT 1</t>
  </si>
  <si>
    <t>VINDHYACHAL STPS UNIT 9-10</t>
  </si>
  <si>
    <t>RIHAND STPS UNIT 3-4</t>
  </si>
  <si>
    <t>MUNDRA TPS UNIT 7-9</t>
  </si>
  <si>
    <t>MUNDRA TPS UNIT 5-6</t>
  </si>
  <si>
    <t>RAMAGUNDEM STPS UNIT 7</t>
  </si>
  <si>
    <t>TALCHER STPS UNIT 3-6</t>
  </si>
  <si>
    <t>ITPCL TPP UNIT 2</t>
  </si>
  <si>
    <t>UCHPINDA TPP UNIT 1-2</t>
  </si>
  <si>
    <t>MUTHIARA TPP</t>
  </si>
  <si>
    <t>ITPCL TPP UNIT 1</t>
  </si>
  <si>
    <t>SIMHADRI STPP UNIT 1-2</t>
  </si>
  <si>
    <t>SALAYA TPP</t>
  </si>
  <si>
    <t>UDUPI TPP</t>
  </si>
  <si>
    <t>KAMALANGA TPS</t>
  </si>
  <si>
    <t>VINDHYACHAL STPS UNIT 7-8</t>
  </si>
  <si>
    <t>NAWAPARA TPP</t>
  </si>
  <si>
    <t>BANDAKHAR TPP</t>
  </si>
  <si>
    <t>CHANDRAPUR UNITS 3-7</t>
  </si>
  <si>
    <t>HALDIA TPP</t>
  </si>
  <si>
    <t>DHARIWAL TPS</t>
  </si>
  <si>
    <t>TALCHER STPS UNIT 1-2</t>
  </si>
  <si>
    <t>NABI NAGAR TPP</t>
  </si>
  <si>
    <t>ANPARA - B</t>
  </si>
  <si>
    <t>FARAKKA STPS UNIT 1-5</t>
  </si>
  <si>
    <t>RAMAGUNDEM STPS UNIT 1-6</t>
  </si>
  <si>
    <t>RIHAND STPS UNIT 1-2</t>
  </si>
  <si>
    <t>KORBA STPS UNIT 1-6</t>
  </si>
  <si>
    <t>BONGAIGAON TPS</t>
  </si>
  <si>
    <t>BUTIBORI TPP</t>
  </si>
  <si>
    <t>ROSA TPP PH-I UNIT 3-4</t>
  </si>
  <si>
    <t>SINGRAULI STPS</t>
  </si>
  <si>
    <t>BARAUNI TPS</t>
  </si>
  <si>
    <t>GOINDWAL SAHIB</t>
  </si>
  <si>
    <t>BALCO TPS</t>
  </si>
  <si>
    <t>AMRAVATI TPS</t>
  </si>
  <si>
    <t>ROSA TPP PH-I UNIT 1-2</t>
  </si>
  <si>
    <t>PATHADI TPS</t>
  </si>
  <si>
    <t>PARLI TPS UNIT 8</t>
  </si>
  <si>
    <t>MAHADEV PRASAD STPP</t>
  </si>
  <si>
    <t>SAGARDIGHI TPS UNIT 1-2</t>
  </si>
  <si>
    <t>CHHABRA TPS UNIT 1-4</t>
  </si>
  <si>
    <t>YAMUNA NAGAR TPS</t>
  </si>
  <si>
    <t>SATPURA TPS UNIT 10-11</t>
  </si>
  <si>
    <t>BINA TPS</t>
  </si>
  <si>
    <t>PARICHHA TPS UNIT 5-6</t>
  </si>
  <si>
    <t>HARDUAGANJ TPS UNIT 8-9</t>
  </si>
  <si>
    <t>SANTALDIH TPS</t>
  </si>
  <si>
    <t>MUZAFFARPUR TPS UNIT 3-4</t>
  </si>
  <si>
    <t>RAICHUR TPS UNIT 8</t>
  </si>
  <si>
    <t>AMARKANTAK TPS</t>
  </si>
  <si>
    <t>ANPARA - A</t>
  </si>
  <si>
    <t>BAKRESWAR TPS UNIT 1-3</t>
  </si>
  <si>
    <t>BAKRESWAR TPS UNIT 4-5</t>
  </si>
  <si>
    <t>BANDEL TPS</t>
  </si>
  <si>
    <t>BARKHERA TPS</t>
  </si>
  <si>
    <t>BHILAI TPS</t>
  </si>
  <si>
    <t>BHUSAWAL TPS UNIT 2-3</t>
  </si>
  <si>
    <t>BUDGE BUDGE TPS</t>
  </si>
  <si>
    <t>DADRI (NCTPP) UNIT 1-4</t>
  </si>
  <si>
    <t>DAHANU TPS</t>
  </si>
  <si>
    <t>DR. N TATA RAO TPS UNIT 1-6</t>
  </si>
  <si>
    <t>DSPM TPS</t>
  </si>
  <si>
    <t>DURGAPUR TPS</t>
  </si>
  <si>
    <t>GANDHI NAGAR TPS UNIT 3-4</t>
  </si>
  <si>
    <t>GANDHI NAGAR TPS UNIT 5</t>
  </si>
  <si>
    <t>GH TPS (LEH.MOH.)</t>
  </si>
  <si>
    <t>HARDUAGANJ TPS UNIT 7</t>
  </si>
  <si>
    <t>IB VALLEY TPS UNIT 1-2</t>
  </si>
  <si>
    <t>JSW RATNAGIRI TPP UNIT 1</t>
  </si>
  <si>
    <t>KAHALGAON TPS UNIT 1-4</t>
  </si>
  <si>
    <t>KASAIPALLI TPP</t>
  </si>
  <si>
    <t>KHAMBARKHERA TPS</t>
  </si>
  <si>
    <t>KHAPARKHEDA TPS UNIT 1-4</t>
  </si>
  <si>
    <t>KOLAGHAT TPS</t>
  </si>
  <si>
    <t>KORADI TPS UNIT 5-7</t>
  </si>
  <si>
    <t>KORBA EAST TPS (STG II &amp; III)</t>
  </si>
  <si>
    <t>KORBA-WEST TPS UNIT 1-4</t>
  </si>
  <si>
    <t>KOTA TPS</t>
  </si>
  <si>
    <t>KOTHAGUDEM NEW TPS UNIT 9-10</t>
  </si>
  <si>
    <t>KOTHAGUDEM TPS</t>
  </si>
  <si>
    <t>KUNDARKI TPS</t>
  </si>
  <si>
    <t>MAQSOODPUR TPS</t>
  </si>
  <si>
    <t>METTUR TPS</t>
  </si>
  <si>
    <t>MUNDRA TPS UNIT 1-4</t>
  </si>
  <si>
    <t>MUZAFFARPUR TPS UNIT 1-2</t>
  </si>
  <si>
    <t>NASIK TPS</t>
  </si>
  <si>
    <t>NORTH CHENNAI TPS UNIT 1-3</t>
  </si>
  <si>
    <t>OBRA TPS UNIT 1-8</t>
  </si>
  <si>
    <t>OBRA TPS UNIT 9-13</t>
  </si>
  <si>
    <t>OP JINDAL TPS</t>
  </si>
  <si>
    <t>PANIPAT TPS UNIT 5</t>
  </si>
  <si>
    <t>PANIPAT TPS UNIT 6</t>
  </si>
  <si>
    <t>PANIPAT TPS UNIT 7</t>
  </si>
  <si>
    <t>PANIPAT TPS UNIT 8</t>
  </si>
  <si>
    <t>PARAS TPS</t>
  </si>
  <si>
    <t>PARICHHA TPS UNIT 1-2</t>
  </si>
  <si>
    <t>PARICHHA TPS UNIT 3-4</t>
  </si>
  <si>
    <t>PARLI TPS UNIT 6-7</t>
  </si>
  <si>
    <t>RAICHUR TPS UNIT 1-7</t>
  </si>
  <si>
    <t>RAMAGUNDEM - B TPS</t>
  </si>
  <si>
    <t>RATIJA TPS</t>
  </si>
  <si>
    <t>RAYALSEEMA TPS UNIT 1-5</t>
  </si>
  <si>
    <t>ROPAR TPS</t>
  </si>
  <si>
    <t>SABARMATI (D-F STATIONS) TPP</t>
  </si>
  <si>
    <t>SATPURA TPS UNIT 6-9</t>
  </si>
  <si>
    <t>SIKKA REP. TPS UNIT 3-4</t>
  </si>
  <si>
    <t>SOUTHERN REPL. TPS</t>
  </si>
  <si>
    <t>SURATGARH TPS</t>
  </si>
  <si>
    <t>TALCHER (OLD) TPS</t>
  </si>
  <si>
    <t>TANDA STPS UNIT 1-4</t>
  </si>
  <si>
    <t>TENUGHAT TPS</t>
  </si>
  <si>
    <t>TROMBAY TPS UNIT 5</t>
  </si>
  <si>
    <t>TROMBAY TPS UNIT 8</t>
  </si>
  <si>
    <t>TUTICORIN TPS</t>
  </si>
  <si>
    <t>UKAI TPS UNIT 1-5</t>
  </si>
  <si>
    <t>UNCHAHAR STPS UNIT 1-2</t>
  </si>
  <si>
    <t>UNCHAHAR STPS UNIT 3-4</t>
  </si>
  <si>
    <t>UNCHAHAR STPS UNIT 5</t>
  </si>
  <si>
    <t>UTRAULA TPS</t>
  </si>
  <si>
    <t>VINDHYACHAL STPS UNIT 1-6</t>
  </si>
  <si>
    <t>WANAKBORI TPS UNIT 1-6</t>
  </si>
  <si>
    <t>WANAKBORI TPS UNIT 7</t>
  </si>
  <si>
    <t>MERIT unique names</t>
  </si>
  <si>
    <t>Reallocated</t>
  </si>
  <si>
    <t>AKRIMOTA LIG TPS</t>
  </si>
  <si>
    <t>BADARPUR TPS</t>
  </si>
  <si>
    <t>BARSINGSAR LIGNITE</t>
  </si>
  <si>
    <t>BHAVNAGAR TPP</t>
  </si>
  <si>
    <t>GMR WARORA TPS</t>
  </si>
  <si>
    <t>JALIPA KAPURDI TPP</t>
  </si>
  <si>
    <t>KUTCH LIG. TPS UNIT 1-3</t>
  </si>
  <si>
    <t>KUTCH LIG. TPS UNIT 4</t>
  </si>
  <si>
    <t>NEYVELI (EXT) TPS</t>
  </si>
  <si>
    <t>NEYVELI NEW TPP</t>
  </si>
  <si>
    <t>NEYVELI TPS (Z)</t>
  </si>
  <si>
    <t>NEYVELI TPS-II EXP</t>
  </si>
  <si>
    <t>NEYVELI TPS-II UNIT 1-3</t>
  </si>
  <si>
    <t>NEYVELI TPS-II UNIT 4-7</t>
  </si>
  <si>
    <t>PANKI TPS</t>
  </si>
  <si>
    <t>SURAT LIG. TPS UNIT 1-2</t>
  </si>
  <si>
    <t>SURAT LIG. TPS UNIT 3-4</t>
  </si>
  <si>
    <t>Arunachal Pradesh</t>
  </si>
  <si>
    <t>Chandigarh</t>
  </si>
  <si>
    <t>Chhattisgarh</t>
  </si>
  <si>
    <t>Dadra and Nagar Haveli</t>
  </si>
  <si>
    <t>Daman and Diu</t>
  </si>
  <si>
    <t>Jammu and Kashmir</t>
  </si>
  <si>
    <t>Kerala</t>
  </si>
  <si>
    <t>Manipur</t>
  </si>
  <si>
    <t>Meghalaya</t>
  </si>
  <si>
    <t>Mizoram</t>
  </si>
  <si>
    <t>Nagaland</t>
  </si>
  <si>
    <t>Puducherry</t>
  </si>
  <si>
    <t>Tripura</t>
  </si>
  <si>
    <t>Uttarakhand</t>
  </si>
  <si>
    <t>Actual total</t>
  </si>
  <si>
    <t>Reallocated total</t>
  </si>
  <si>
    <t>% diff</t>
  </si>
  <si>
    <t>Actual (MU)</t>
  </si>
  <si>
    <t>Reallocated (MU)</t>
  </si>
  <si>
    <t xml:space="preserve"> VC</t>
  </si>
  <si>
    <t>VC</t>
  </si>
  <si>
    <t>Wtd SHR</t>
  </si>
  <si>
    <t>SHR</t>
  </si>
  <si>
    <t>Wtd aux</t>
  </si>
  <si>
    <t>PLF</t>
  </si>
  <si>
    <t>Variable cost</t>
  </si>
  <si>
    <t>Total capacity</t>
  </si>
  <si>
    <t>% decrease</t>
  </si>
  <si>
    <t>Target coal used</t>
  </si>
  <si>
    <t>Actual coal used</t>
  </si>
  <si>
    <t>Coal savings</t>
  </si>
  <si>
    <t>Sum of Wtd SHR</t>
  </si>
  <si>
    <t>Sum of Wtd VC</t>
  </si>
  <si>
    <t>FY 2022</t>
  </si>
  <si>
    <t>FY 2027</t>
  </si>
  <si>
    <t>FY 2030</t>
  </si>
  <si>
    <t>Electrical Energy reqd. (BU) ex bus as per 19th EPS</t>
  </si>
  <si>
    <t>Peak demand</t>
  </si>
  <si>
    <t>capacity share</t>
  </si>
  <si>
    <t>coal+lignite</t>
  </si>
  <si>
    <t>likely installed capacity in FY30(MW)</t>
  </si>
  <si>
    <t>daily demand(MU)</t>
  </si>
  <si>
    <t>likely annual coal gen(BU)</t>
  </si>
  <si>
    <t>Share met by coal</t>
  </si>
  <si>
    <t>likely daily gross coal gen(MU)</t>
  </si>
  <si>
    <t>NPV of FC in 2020</t>
  </si>
  <si>
    <t>wtd PLF</t>
  </si>
  <si>
    <t>Annual coal consumed (MT)</t>
  </si>
  <si>
    <t xml:space="preserve">Age grouping </t>
  </si>
  <si>
    <t>Actual daily PLF</t>
  </si>
  <si>
    <t>Wtd PLF</t>
  </si>
  <si>
    <t>Sum of Wd PLF</t>
  </si>
  <si>
    <t>Central sector</t>
  </si>
  <si>
    <t>Private sector</t>
  </si>
  <si>
    <t>State sector</t>
  </si>
  <si>
    <t>Mar19-Feb20</t>
  </si>
  <si>
    <t>Generation</t>
  </si>
  <si>
    <t>Capacity share</t>
  </si>
  <si>
    <t>Generation share</t>
  </si>
  <si>
    <t>ramp up (%/min)</t>
  </si>
  <si>
    <t>ramp down (%/min)</t>
  </si>
  <si>
    <t>wtd ramp up</t>
  </si>
  <si>
    <t>wtd ramp down</t>
  </si>
  <si>
    <t>Contracted capacity
(Actual scenario)</t>
  </si>
  <si>
    <t>Additional capacity to be contracted under reassigned scenario</t>
  </si>
  <si>
    <t>Contracted capacity 
(Reassigned scenario)</t>
  </si>
  <si>
    <t>FGD status - Jun 2020</t>
  </si>
  <si>
    <t>FGD status - Feb 2021</t>
  </si>
  <si>
    <t>Feasibility study started</t>
  </si>
  <si>
    <t>NIT issued</t>
  </si>
  <si>
    <t>Tender specifications made</t>
  </si>
  <si>
    <t>Retendering</t>
  </si>
  <si>
    <t>FGD commissioned</t>
  </si>
  <si>
    <t>FGD Status</t>
  </si>
  <si>
    <t>Thermal Generation</t>
  </si>
  <si>
    <t>Historic Daily Share Max - Min</t>
  </si>
  <si>
    <t>Max Share  (MU)</t>
  </si>
  <si>
    <t>22% (610)</t>
  </si>
  <si>
    <t>1% (17)</t>
  </si>
  <si>
    <t>27% (686)</t>
  </si>
  <si>
    <t>25% (684)</t>
  </si>
  <si>
    <t>46% (1301)</t>
  </si>
  <si>
    <t>Min Share (MU)</t>
  </si>
  <si>
    <t>13% (386)</t>
  </si>
  <si>
    <t>0% (0)</t>
  </si>
  <si>
    <t>16% (418)</t>
  </si>
  <si>
    <t>14% (342)</t>
  </si>
  <si>
    <t>36% (1057)</t>
  </si>
  <si>
    <t>Reassigned and Base Average</t>
  </si>
  <si>
    <t>Base Share (MU)</t>
  </si>
  <si>
    <t>18% (487)</t>
  </si>
  <si>
    <t>0.4% (11)</t>
  </si>
  <si>
    <t>21% (570)</t>
  </si>
  <si>
    <t>18% (495)</t>
  </si>
  <si>
    <t>43% (1158)</t>
  </si>
  <si>
    <t>Reassigned Share (MU)</t>
  </si>
  <si>
    <t>16% (443)</t>
  </si>
  <si>
    <t>0.3% (9)</t>
  </si>
  <si>
    <t>20% (534)</t>
  </si>
  <si>
    <t>20% (548)</t>
  </si>
  <si>
    <t>44% (1188)</t>
  </si>
  <si>
    <t>Reassigned generation MU</t>
  </si>
  <si>
    <t>Actual generationMU</t>
  </si>
  <si>
    <t>Total capacity - reassigned scenario</t>
  </si>
  <si>
    <t>Total capacity - actual scenario</t>
  </si>
  <si>
    <t>Difference in generation from actual scenario</t>
  </si>
  <si>
    <t>PLF Diff</t>
  </si>
  <si>
    <t>Diff Test</t>
  </si>
  <si>
    <t>Variation</t>
  </si>
  <si>
    <t>Actual energy</t>
  </si>
  <si>
    <t>Target energy</t>
  </si>
  <si>
    <t>VC  - ACTUAL</t>
  </si>
  <si>
    <t>VC - TARGET</t>
  </si>
  <si>
    <t>TOTAL VC - ACTUAL</t>
  </si>
  <si>
    <t>TOTAL VC - TARGET</t>
  </si>
  <si>
    <t>Reallocated SHR</t>
  </si>
  <si>
    <t>Actual INR/Mcal</t>
  </si>
  <si>
    <t>Reallocated INR/Mcal</t>
  </si>
  <si>
    <t>Actual PLF</t>
  </si>
  <si>
    <t>Reallocated PLF</t>
  </si>
  <si>
    <t>Actual - pvt</t>
  </si>
  <si>
    <t>Reallocated-pvt</t>
  </si>
  <si>
    <t>Actual-cons</t>
  </si>
  <si>
    <t>Reallocated cons</t>
  </si>
  <si>
    <t>Pvt sector</t>
  </si>
  <si>
    <t>Constant</t>
  </si>
  <si>
    <t>Actual energy-coal cost</t>
  </si>
  <si>
    <t>Target energy-coal cost</t>
  </si>
  <si>
    <t>Actual energy-transport cost</t>
  </si>
  <si>
    <t>Target energy-transport cost</t>
  </si>
  <si>
    <t>Actual age</t>
  </si>
  <si>
    <t>Reallocated age</t>
  </si>
  <si>
    <t>Actual capacity</t>
  </si>
  <si>
    <t>Reallocated capacity</t>
  </si>
  <si>
    <t>Actual aux</t>
  </si>
  <si>
    <t>Reallocated aux</t>
  </si>
  <si>
    <t>Aux cons</t>
  </si>
  <si>
    <t>ANPARA TPS</t>
  </si>
  <si>
    <t>BAKRESWAR TPS</t>
  </si>
  <si>
    <t>BELA TPS</t>
  </si>
  <si>
    <t>BELLARY TPS</t>
  </si>
  <si>
    <t>BHUSAWAL TPS</t>
  </si>
  <si>
    <t>BINJKOTE  TPP</t>
  </si>
  <si>
    <t>BOKARO A TPS</t>
  </si>
  <si>
    <t>BOKARO B TPS</t>
  </si>
  <si>
    <t>CHAKABURA TPP</t>
  </si>
  <si>
    <t>CHANDRAPUR STPS</t>
  </si>
  <si>
    <t>CHHABRA TPS</t>
  </si>
  <si>
    <t>D.P.L. TPS</t>
  </si>
  <si>
    <t>DADRI (NCTPP)</t>
  </si>
  <si>
    <t>DR. N TATA RAO TPS</t>
  </si>
  <si>
    <t>FARAKKA STPS</t>
  </si>
  <si>
    <t>GANDHI NAGAR TPS</t>
  </si>
  <si>
    <t>HARDUAGANJ TPS</t>
  </si>
  <si>
    <t>IB VALLEY TPS</t>
  </si>
  <si>
    <t>ITPCL TPP</t>
  </si>
  <si>
    <t>JOJOBERA TPS</t>
  </si>
  <si>
    <t>JSW RATNAGIRI TPP</t>
  </si>
  <si>
    <t>KAHALGAON TPS</t>
  </si>
  <si>
    <t>KAKATIYA TPS</t>
  </si>
  <si>
    <t>KALISINDH TPS</t>
  </si>
  <si>
    <t>KHAPARKHEDA TPS</t>
  </si>
  <si>
    <t>KHARGONE STPP</t>
  </si>
  <si>
    <t>KORBA STPS</t>
  </si>
  <si>
    <t>KORBA-WEST TPS</t>
  </si>
  <si>
    <t>LARA TPP</t>
  </si>
  <si>
    <t>MAHAN TPP</t>
  </si>
  <si>
    <t>MAUDA TPS</t>
  </si>
  <si>
    <t>MUNDRA TPS</t>
  </si>
  <si>
    <t>MUZAFFARPUR TPS</t>
  </si>
  <si>
    <t>NIWARI TPP</t>
  </si>
  <si>
    <t>NORTH CHENNAI TPS</t>
  </si>
  <si>
    <t>PANIPAT TPS</t>
  </si>
  <si>
    <t>PARICHHA TPS</t>
  </si>
  <si>
    <t>PARLI TPS</t>
  </si>
  <si>
    <t>RAICHUR TPS</t>
  </si>
  <si>
    <t>RAIKHEDA TPP</t>
  </si>
  <si>
    <t>RAMAGUNDEM STPS</t>
  </si>
  <si>
    <t>RAYALSEEMA TPS</t>
  </si>
  <si>
    <t>RIHAND STPS</t>
  </si>
  <si>
    <t>ROSA TPP PH-I</t>
  </si>
  <si>
    <t>SAGARDIGHI TPS</t>
  </si>
  <si>
    <t>SANJAY GANDHI TPS</t>
  </si>
  <si>
    <t>SEMBCORP GAYATRI P. LTD</t>
  </si>
  <si>
    <t>SHIRPUR TPP</t>
  </si>
  <si>
    <t>SHREE SINGAJI TPP</t>
  </si>
  <si>
    <t>SIKKA REP. TPS</t>
  </si>
  <si>
    <t>SIMHADRI STPP</t>
  </si>
  <si>
    <t>SIMHAPURI TPS</t>
  </si>
  <si>
    <t>SIPAT STPS</t>
  </si>
  <si>
    <t>STERLITE TPP</t>
  </si>
  <si>
    <t>SVPL TPP</t>
  </si>
  <si>
    <t>TALCHER STPS</t>
  </si>
  <si>
    <t>TANDA STPS</t>
  </si>
  <si>
    <t>THAMMINAPATNAM TPS</t>
  </si>
  <si>
    <t>TIRORA TPS</t>
  </si>
  <si>
    <t>TORANGALLU TPS(SBU-I)</t>
  </si>
  <si>
    <t>TORANGALLU TPS(SBU-II)</t>
  </si>
  <si>
    <t>TROMBAY TPS</t>
  </si>
  <si>
    <t>UCHPINDA TPP</t>
  </si>
  <si>
    <t>UKAI TPS</t>
  </si>
  <si>
    <t>UNCHAHAR STPS</t>
  </si>
  <si>
    <t>WANAKBORI TPS</t>
  </si>
  <si>
    <t>WARDHA WARORA TPP</t>
  </si>
  <si>
    <t>Plant name and unit ID, multiple units to a plant</t>
  </si>
  <si>
    <t>base plant name</t>
  </si>
  <si>
    <t>location</t>
  </si>
  <si>
    <t>private/central/state</t>
  </si>
  <si>
    <t>MW</t>
  </si>
  <si>
    <t>plant load factor</t>
  </si>
  <si>
    <t>tons/MW coal</t>
  </si>
  <si>
    <t>tons</t>
  </si>
  <si>
    <t>tons/MW</t>
  </si>
  <si>
    <t>GWh?</t>
  </si>
  <si>
    <t>contracted or not</t>
  </si>
  <si>
    <t>imported share of coal</t>
  </si>
  <si>
    <t>station heat rate</t>
  </si>
  <si>
    <t>operational or relegated</t>
  </si>
  <si>
    <t>if it's a pithead plant</t>
  </si>
  <si>
    <t xml:space="preserve">as a percentage of actual MWh output ? MW capacity? </t>
  </si>
  <si>
    <t>What is MU?</t>
  </si>
  <si>
    <t>$/MWh</t>
  </si>
  <si>
    <t>$/MWh, target from where?</t>
  </si>
  <si>
    <t>difference between target and actual</t>
  </si>
  <si>
    <t xml:space="preserve">variable cost $/MWh, if it's not target or actual, where does this come from? </t>
  </si>
  <si>
    <t>?</t>
  </si>
  <si>
    <t>as of 2022</t>
  </si>
  <si>
    <t>years as of 2022</t>
  </si>
  <si>
    <t>Bharat Coking Coal Limited</t>
  </si>
  <si>
    <t>Central Coalfields Limited</t>
  </si>
  <si>
    <t>Eastern Coalfield Limited</t>
  </si>
  <si>
    <t>Mahanadi Coalfields Limited</t>
  </si>
  <si>
    <t>Northern Coalfields Limited</t>
  </si>
  <si>
    <t>Northeastern Coalfields</t>
  </si>
  <si>
    <t>Southeastern Coalfields</t>
  </si>
  <si>
    <t xml:space="preserve">$/MWh?, what's the difference between Total VC - Actual, VC actual, and VC? </t>
  </si>
  <si>
    <t xml:space="preserve">why is this negative? </t>
  </si>
  <si>
    <t xml:space="preserve">units? Days? </t>
  </si>
  <si>
    <t>why negative</t>
  </si>
  <si>
    <t>global calorific value of coal</t>
  </si>
  <si>
    <t xml:space="preserve">weighted GCV of coal (assumes it’s a blend) --weighted from what period? </t>
  </si>
  <si>
    <t>Total coal consumption, tons/year?</t>
  </si>
  <si>
    <t>Western Coalfields Limited tons/year?</t>
  </si>
  <si>
    <t xml:space="preserve">target from what? </t>
  </si>
  <si>
    <t>if on the list</t>
  </si>
  <si>
    <t>status</t>
  </si>
  <si>
    <t>empty</t>
  </si>
  <si>
    <t>actual fixed cost for one year</t>
  </si>
  <si>
    <t xml:space="preserve">INR crore upfront cost? </t>
  </si>
  <si>
    <t xml:space="preserve">uprfont cost? </t>
  </si>
  <si>
    <t>weighted plant load factor? Why is it weighted?</t>
  </si>
  <si>
    <t>%/min</t>
  </si>
  <si>
    <t>weighted from what time period</t>
  </si>
  <si>
    <t>time period?</t>
  </si>
  <si>
    <t>per year? MWh?</t>
  </si>
  <si>
    <t xml:space="preserve">per year? MWh? Why target? </t>
  </si>
  <si>
    <t>cost of coal per year targetted? Based on target production?</t>
  </si>
  <si>
    <t>transport cost per year? INR?</t>
  </si>
  <si>
    <t xml:space="preserve">cost of coal per year? INR? </t>
  </si>
  <si>
    <t>INR?</t>
  </si>
  <si>
    <t xml:space="preserve">MU? </t>
  </si>
  <si>
    <t>MU?</t>
  </si>
  <si>
    <t>MU? Over a year?</t>
  </si>
  <si>
    <t xml:space="preserve">MU? Over a year? </t>
  </si>
  <si>
    <t>station heat rate (btu/kwh?)</t>
  </si>
  <si>
    <t>GWh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</si>
</sst>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  <numFmt numFmtId="167" formatCode="0.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8">
    <xf numFmtId="0" fontId="0" fillId="0" borderId="0" xfId="0"/>
    <xf numFmtId="9" fontId="0" fillId="0" borderId="0" xfId="2" applyFont="1"/>
    <xf numFmtId="0" fontId="0" fillId="0" borderId="1" xfId="0" applyBorder="1"/>
    <xf numFmtId="2" fontId="0" fillId="0" borderId="1" xfId="0" applyNumberFormat="1" applyBorder="1"/>
    <xf numFmtId="43" fontId="0" fillId="0" borderId="0" xfId="1" applyFont="1"/>
    <xf numFmtId="43" fontId="0" fillId="0" borderId="0" xfId="0" applyNumberFormat="1"/>
    <xf numFmtId="9" fontId="0" fillId="0" borderId="1" xfId="2" applyFont="1" applyBorder="1"/>
    <xf numFmtId="43" fontId="0" fillId="0" borderId="1" xfId="1" applyFont="1" applyBorder="1"/>
    <xf numFmtId="165" fontId="0" fillId="0" borderId="1" xfId="1" applyNumberFormat="1" applyFont="1" applyBorder="1"/>
    <xf numFmtId="11" fontId="0" fillId="0" borderId="0" xfId="0" applyNumberFormat="1"/>
    <xf numFmtId="166" fontId="0" fillId="0" borderId="1" xfId="0" applyNumberFormat="1" applyBorder="1"/>
    <xf numFmtId="2" fontId="0" fillId="0" borderId="1" xfId="2" applyNumberFormat="1" applyFont="1" applyBorder="1"/>
    <xf numFmtId="1" fontId="0" fillId="0" borderId="1" xfId="0" applyNumberFormat="1" applyBorder="1"/>
    <xf numFmtId="164" fontId="0" fillId="0" borderId="1" xfId="0" applyNumberFormat="1" applyBorder="1"/>
    <xf numFmtId="11" fontId="0" fillId="0" borderId="1" xfId="0" applyNumberFormat="1" applyBorder="1"/>
    <xf numFmtId="43" fontId="0" fillId="0" borderId="1" xfId="0" applyNumberFormat="1" applyBorder="1"/>
    <xf numFmtId="165" fontId="0" fillId="0" borderId="1" xfId="2" applyNumberFormat="1" applyFont="1" applyBorder="1"/>
    <xf numFmtId="165" fontId="0" fillId="0" borderId="1" xfId="0" applyNumberFormat="1" applyBorder="1"/>
    <xf numFmtId="2" fontId="0" fillId="0" borderId="0" xfId="0" applyNumberFormat="1"/>
    <xf numFmtId="165" fontId="0" fillId="0" borderId="0" xfId="0" applyNumberFormat="1"/>
    <xf numFmtId="0" fontId="2" fillId="0" borderId="1" xfId="0" applyFont="1" applyBorder="1"/>
    <xf numFmtId="0" fontId="2" fillId="0" borderId="3" xfId="0" applyFont="1" applyBorder="1"/>
    <xf numFmtId="1" fontId="0" fillId="0" borderId="3" xfId="0" applyNumberFormat="1" applyBorder="1"/>
    <xf numFmtId="0" fontId="0" fillId="0" borderId="3" xfId="0" applyBorder="1"/>
    <xf numFmtId="0" fontId="0" fillId="0" borderId="4" xfId="0" applyBorder="1"/>
    <xf numFmtId="2" fontId="0" fillId="0" borderId="0" xfId="2" applyNumberFormat="1" applyFont="1" applyBorder="1"/>
    <xf numFmtId="0" fontId="0" fillId="0" borderId="0" xfId="0" applyAlignment="1">
      <alignment horizontal="left"/>
    </xf>
    <xf numFmtId="0" fontId="2" fillId="0" borderId="0" xfId="0" applyFont="1"/>
    <xf numFmtId="0" fontId="0" fillId="0" borderId="1" xfId="0" applyBorder="1" applyAlignment="1">
      <alignment horizontal="left"/>
    </xf>
    <xf numFmtId="165" fontId="0" fillId="0" borderId="1" xfId="1" applyNumberFormat="1" applyFont="1" applyFill="1" applyBorder="1"/>
    <xf numFmtId="43" fontId="2" fillId="0" borderId="1" xfId="1" applyFont="1" applyBorder="1"/>
    <xf numFmtId="43" fontId="2" fillId="0" borderId="1" xfId="1" applyFont="1" applyFill="1" applyBorder="1"/>
    <xf numFmtId="10" fontId="0" fillId="0" borderId="1" xfId="2" applyNumberFormat="1" applyFont="1" applyBorder="1"/>
    <xf numFmtId="0" fontId="0" fillId="0" borderId="0" xfId="0" pivotButton="1"/>
    <xf numFmtId="0" fontId="2" fillId="0" borderId="1" xfId="0" applyFont="1" applyBorder="1" applyAlignment="1">
      <alignment horizontal="left"/>
    </xf>
    <xf numFmtId="9" fontId="0" fillId="0" borderId="0" xfId="2" applyFont="1" applyBorder="1"/>
    <xf numFmtId="1" fontId="0" fillId="0" borderId="0" xfId="0" applyNumberFormat="1"/>
    <xf numFmtId="0" fontId="3" fillId="0" borderId="0" xfId="0" applyFont="1"/>
    <xf numFmtId="0" fontId="0" fillId="2" borderId="0" xfId="0" applyFill="1"/>
    <xf numFmtId="0" fontId="0" fillId="2" borderId="1" xfId="0" applyFill="1" applyBorder="1"/>
    <xf numFmtId="2" fontId="5" fillId="0" borderId="0" xfId="0" applyNumberFormat="1" applyFont="1"/>
    <xf numFmtId="43" fontId="0" fillId="0" borderId="2" xfId="1" applyFont="1" applyFill="1" applyBorder="1" applyAlignment="1">
      <alignment wrapText="1"/>
    </xf>
    <xf numFmtId="0" fontId="0" fillId="0" borderId="2" xfId="0" applyBorder="1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3" borderId="0" xfId="0" applyFill="1"/>
    <xf numFmtId="0" fontId="0" fillId="4" borderId="0" xfId="0" applyFill="1" applyAlignment="1">
      <alignment wrapText="1"/>
    </xf>
    <xf numFmtId="0" fontId="0" fillId="4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6" borderId="0" xfId="0" applyFill="1" applyAlignment="1">
      <alignment wrapText="1"/>
    </xf>
    <xf numFmtId="0" fontId="0" fillId="6" borderId="0" xfId="0" applyFill="1"/>
    <xf numFmtId="0" fontId="0" fillId="0" borderId="2" xfId="0" applyBorder="1"/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center"/>
    </xf>
    <xf numFmtId="165" fontId="0" fillId="2" borderId="1" xfId="1" applyNumberFormat="1" applyFont="1" applyFill="1" applyBorder="1"/>
    <xf numFmtId="1" fontId="0" fillId="2" borderId="1" xfId="0" applyNumberFormat="1" applyFill="1" applyBorder="1"/>
    <xf numFmtId="3" fontId="0" fillId="2" borderId="1" xfId="0" applyNumberFormat="1" applyFill="1" applyBorder="1"/>
    <xf numFmtId="165" fontId="0" fillId="7" borderId="1" xfId="1" applyNumberFormat="1" applyFont="1" applyFill="1" applyBorder="1"/>
    <xf numFmtId="0" fontId="0" fillId="0" borderId="1" xfId="0" applyBorder="1" applyAlignment="1">
      <alignment wrapText="1"/>
    </xf>
    <xf numFmtId="0" fontId="0" fillId="0" borderId="6" xfId="0" applyBorder="1"/>
    <xf numFmtId="2" fontId="0" fillId="0" borderId="6" xfId="0" applyNumberFormat="1" applyBorder="1"/>
    <xf numFmtId="2" fontId="0" fillId="0" borderId="6" xfId="2" applyNumberFormat="1" applyFont="1" applyBorder="1"/>
    <xf numFmtId="0" fontId="4" fillId="0" borderId="1" xfId="0" applyFont="1" applyBorder="1"/>
    <xf numFmtId="2" fontId="5" fillId="0" borderId="1" xfId="0" applyNumberFormat="1" applyFont="1" applyBorder="1"/>
    <xf numFmtId="0" fontId="3" fillId="0" borderId="1" xfId="0" applyFont="1" applyBorder="1"/>
    <xf numFmtId="0" fontId="2" fillId="0" borderId="7" xfId="0" applyFont="1" applyBorder="1"/>
    <xf numFmtId="0" fontId="0" fillId="0" borderId="7" xfId="0" applyBorder="1"/>
    <xf numFmtId="0" fontId="2" fillId="8" borderId="8" xfId="0" applyFont="1" applyFill="1" applyBorder="1"/>
    <xf numFmtId="10" fontId="0" fillId="0" borderId="0" xfId="0" applyNumberFormat="1"/>
    <xf numFmtId="0" fontId="2" fillId="8" borderId="1" xfId="0" applyFont="1" applyFill="1" applyBorder="1"/>
    <xf numFmtId="10" fontId="0" fillId="0" borderId="0" xfId="2" applyNumberFormat="1" applyFont="1"/>
    <xf numFmtId="10" fontId="0" fillId="0" borderId="1" xfId="0" applyNumberFormat="1" applyBorder="1"/>
    <xf numFmtId="9" fontId="0" fillId="2" borderId="1" xfId="2" applyFont="1" applyFill="1" applyBorder="1"/>
    <xf numFmtId="165" fontId="0" fillId="0" borderId="0" xfId="1" applyNumberFormat="1" applyFont="1"/>
    <xf numFmtId="9" fontId="0" fillId="0" borderId="0" xfId="0" applyNumberFormat="1"/>
    <xf numFmtId="165" fontId="2" fillId="0" borderId="1" xfId="1" applyNumberFormat="1" applyFont="1" applyBorder="1"/>
    <xf numFmtId="165" fontId="0" fillId="0" borderId="1" xfId="1" applyNumberFormat="1" applyFont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9" fontId="0" fillId="0" borderId="1" xfId="2" applyFont="1" applyBorder="1" applyAlignment="1">
      <alignment horizontal="center"/>
    </xf>
    <xf numFmtId="2" fontId="0" fillId="2" borderId="1" xfId="2" applyNumberFormat="1" applyFont="1" applyFill="1" applyBorder="1"/>
    <xf numFmtId="2" fontId="0" fillId="2" borderId="1" xfId="0" applyNumberFormat="1" applyFill="1" applyBorder="1"/>
    <xf numFmtId="43" fontId="0" fillId="2" borderId="1" xfId="1" applyFont="1" applyFill="1" applyBorder="1"/>
    <xf numFmtId="43" fontId="0" fillId="2" borderId="1" xfId="0" applyNumberFormat="1" applyFill="1" applyBorder="1"/>
    <xf numFmtId="0" fontId="3" fillId="2" borderId="1" xfId="0" applyFont="1" applyFill="1" applyBorder="1"/>
    <xf numFmtId="9" fontId="0" fillId="0" borderId="1" xfId="2" applyFont="1" applyFill="1" applyBorder="1"/>
    <xf numFmtId="167" fontId="0" fillId="0" borderId="1" xfId="0" applyNumberFormat="1" applyBorder="1"/>
    <xf numFmtId="43" fontId="2" fillId="0" borderId="9" xfId="1" applyFont="1" applyFill="1" applyBorder="1"/>
    <xf numFmtId="0" fontId="11" fillId="2" borderId="1" xfId="0" applyFont="1" applyFill="1" applyBorder="1"/>
    <xf numFmtId="43" fontId="11" fillId="2" borderId="1" xfId="1" applyFont="1" applyFill="1" applyBorder="1"/>
    <xf numFmtId="0" fontId="11" fillId="2" borderId="0" xfId="0" applyFont="1" applyFill="1"/>
    <xf numFmtId="43" fontId="11" fillId="2" borderId="0" xfId="1" applyFont="1" applyFill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21" Type="http://schemas.openxmlformats.org/officeDocument/2006/relationships/externalLink" Target="externalLinks/externalLink6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pivotCacheDefinition" Target="pivotCache/pivotCacheDefinition3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pivotCacheDefinition" Target="pivotCache/pivotCacheDefinition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0-5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32C-434D-A7A6-307EC2D4C3F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5-10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32C-434D-A7A6-307EC2D4C3F4}"/>
                </c:ext>
              </c:extLst>
            </c:dLbl>
            <c:dLbl>
              <c:idx val="2"/>
              <c:layout>
                <c:manualLayout>
                  <c:x val="-1.4949587206107165E-2"/>
                  <c:y val="2.081731124090163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10-15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C32C-434D-A7A6-307EC2D4C3F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15-20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C32C-434D-A7A6-307EC2D4C3F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20-25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C32C-434D-A7A6-307EC2D4C3F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25-30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C32C-434D-A7A6-307EC2D4C3F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30-35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C32C-434D-A7A6-307EC2D4C3F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35-40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C32C-434D-A7A6-307EC2D4C3F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40-45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C32C-434D-A7A6-307EC2D4C3F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45+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C32C-434D-A7A6-307EC2D4C3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Results!$B$105:$B$114</c:f>
              <c:numCache>
                <c:formatCode>General</c:formatCode>
                <c:ptCount val="10"/>
                <c:pt idx="0">
                  <c:v>2760</c:v>
                </c:pt>
                <c:pt idx="1">
                  <c:v>2811</c:v>
                </c:pt>
                <c:pt idx="2">
                  <c:v>2984</c:v>
                </c:pt>
                <c:pt idx="3">
                  <c:v>2975</c:v>
                </c:pt>
                <c:pt idx="4">
                  <c:v>3106</c:v>
                </c:pt>
                <c:pt idx="5">
                  <c:v>3136</c:v>
                </c:pt>
                <c:pt idx="6">
                  <c:v>3136</c:v>
                </c:pt>
                <c:pt idx="7">
                  <c:v>3331</c:v>
                </c:pt>
                <c:pt idx="8">
                  <c:v>3392</c:v>
                </c:pt>
                <c:pt idx="9">
                  <c:v>3512</c:v>
                </c:pt>
              </c:numCache>
            </c:numRef>
          </c:xVal>
          <c:yVal>
            <c:numRef>
              <c:f>Results!$C$105:$C$114</c:f>
              <c:numCache>
                <c:formatCode>0.00</c:formatCode>
                <c:ptCount val="10"/>
                <c:pt idx="0">
                  <c:v>2.7</c:v>
                </c:pt>
                <c:pt idx="1">
                  <c:v>2.31</c:v>
                </c:pt>
                <c:pt idx="2">
                  <c:v>2.56</c:v>
                </c:pt>
                <c:pt idx="3">
                  <c:v>2.5299999999999998</c:v>
                </c:pt>
                <c:pt idx="4">
                  <c:v>2.5099999999999998</c:v>
                </c:pt>
                <c:pt idx="5">
                  <c:v>2.78</c:v>
                </c:pt>
                <c:pt idx="6">
                  <c:v>2.4</c:v>
                </c:pt>
                <c:pt idx="7">
                  <c:v>2.6</c:v>
                </c:pt>
                <c:pt idx="8">
                  <c:v>2.95</c:v>
                </c:pt>
                <c:pt idx="9">
                  <c:v>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C-434D-A7A6-307EC2D4C3F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9351040"/>
        <c:axId val="589366016"/>
      </c:scatterChart>
      <c:valAx>
        <c:axId val="589351040"/>
        <c:scaling>
          <c:orientation val="minMax"/>
          <c:max val="3550"/>
          <c:min val="26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SHR</a:t>
                </a:r>
                <a:r>
                  <a:rPr lang="en-IN" baseline="0"/>
                  <a:t> (kcal/kWh)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66016"/>
        <c:crosses val="autoZero"/>
        <c:crossBetween val="midCat"/>
        <c:majorUnit val="75"/>
      </c:valAx>
      <c:valAx>
        <c:axId val="589366016"/>
        <c:scaling>
          <c:orientation val="minMax"/>
          <c:min val="2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Variable cost (INR/kWh)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5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Results!$B$117</c:f>
              <c:strCache>
                <c:ptCount val="1"/>
                <c:pt idx="0">
                  <c:v>Auxiliary consumption 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Results!$A$118:$A$127</c:f>
              <c:strCache>
                <c:ptCount val="10"/>
                <c:pt idx="0">
                  <c:v> 0-5 years</c:v>
                </c:pt>
                <c:pt idx="1">
                  <c:v> 5-10 years</c:v>
                </c:pt>
                <c:pt idx="2">
                  <c:v> 10-15 years</c:v>
                </c:pt>
                <c:pt idx="3">
                  <c:v> 15-20 years</c:v>
                </c:pt>
                <c:pt idx="4">
                  <c:v> 20-25 years</c:v>
                </c:pt>
                <c:pt idx="5">
                  <c:v> 25-30 years</c:v>
                </c:pt>
                <c:pt idx="6">
                  <c:v> 30-35 years</c:v>
                </c:pt>
                <c:pt idx="7">
                  <c:v> 35-40 years</c:v>
                </c:pt>
                <c:pt idx="8">
                  <c:v> 40-45 years</c:v>
                </c:pt>
                <c:pt idx="9">
                  <c:v> 45+ years</c:v>
                </c:pt>
              </c:strCache>
            </c:strRef>
          </c:cat>
          <c:val>
            <c:numRef>
              <c:f>Results!$B$118:$B$127</c:f>
              <c:numCache>
                <c:formatCode>0.00%</c:formatCode>
                <c:ptCount val="10"/>
                <c:pt idx="0">
                  <c:v>7.9200000000000007E-2</c:v>
                </c:pt>
                <c:pt idx="1">
                  <c:v>7.1400000000000005E-2</c:v>
                </c:pt>
                <c:pt idx="2">
                  <c:v>8.2400000000000001E-2</c:v>
                </c:pt>
                <c:pt idx="3">
                  <c:v>7.6499999999999999E-2</c:v>
                </c:pt>
                <c:pt idx="4">
                  <c:v>8.5699999999999998E-2</c:v>
                </c:pt>
                <c:pt idx="5">
                  <c:v>8.5800000000000001E-2</c:v>
                </c:pt>
                <c:pt idx="6">
                  <c:v>7.8100000000000003E-2</c:v>
                </c:pt>
                <c:pt idx="7">
                  <c:v>8.3100000000000007E-2</c:v>
                </c:pt>
                <c:pt idx="8">
                  <c:v>9.2100000000000015E-2</c:v>
                </c:pt>
                <c:pt idx="9">
                  <c:v>0.1069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5CA-8D60-C8FF466159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29592176"/>
        <c:axId val="529590928"/>
      </c:barChart>
      <c:catAx>
        <c:axId val="52959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90928"/>
        <c:crosses val="autoZero"/>
        <c:auto val="1"/>
        <c:lblAlgn val="ctr"/>
        <c:lblOffset val="100"/>
        <c:noMultiLvlLbl val="0"/>
      </c:catAx>
      <c:valAx>
        <c:axId val="529590928"/>
        <c:scaling>
          <c:orientation val="minMax"/>
          <c:min val="5.5000000000000007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0" i="0" u="none" strike="noStrike" baseline="0">
                    <a:effectLst/>
                  </a:rPr>
                  <a:t>Auxiliary consumption (%)</a:t>
                </a:r>
                <a:r>
                  <a:rPr lang="en-IN" sz="1000" b="0" i="0" u="none" strike="noStrike" baseline="0"/>
                  <a:t>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9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'[11]Ownership based age grp'!$L$619</c:f>
              <c:strCache>
                <c:ptCount val="1"/>
                <c:pt idx="0">
                  <c:v>PLF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0-5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4FA4-4345-8AB1-B9BCF95C6E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5-10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FA4-4345-8AB1-B9BCF95C6E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10-15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4FA4-4345-8AB1-B9BCF95C6E9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15-20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4FA4-4345-8AB1-B9BCF95C6E9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20-25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FA4-4345-8AB1-B9BCF95C6E9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25-30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4FA4-4345-8AB1-B9BCF95C6E9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30-35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4FA4-4345-8AB1-B9BCF95C6E9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35-40</a:t>
                    </a:r>
                    <a:r>
                      <a:rPr lang="en-US" baseline="0"/>
                      <a:t> yrs</a:t>
                    </a:r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4FA4-4345-8AB1-B9BCF95C6E9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40-45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4FA4-4345-8AB1-B9BCF95C6E9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45+ yrs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4FA4-4345-8AB1-B9BCF95C6E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'[11]Ownership based age grp'!$K$620:$K$629</c:f>
              <c:numCache>
                <c:formatCode>General</c:formatCode>
                <c:ptCount val="10"/>
                <c:pt idx="0">
                  <c:v>2.7</c:v>
                </c:pt>
                <c:pt idx="1">
                  <c:v>2.31</c:v>
                </c:pt>
                <c:pt idx="2">
                  <c:v>2.56</c:v>
                </c:pt>
                <c:pt idx="3">
                  <c:v>2.5299999999999998</c:v>
                </c:pt>
                <c:pt idx="4">
                  <c:v>2.5099999999999998</c:v>
                </c:pt>
                <c:pt idx="5">
                  <c:v>2.78</c:v>
                </c:pt>
                <c:pt idx="6">
                  <c:v>2.4</c:v>
                </c:pt>
                <c:pt idx="7">
                  <c:v>2.6</c:v>
                </c:pt>
                <c:pt idx="8">
                  <c:v>2.95</c:v>
                </c:pt>
                <c:pt idx="9">
                  <c:v>2.4</c:v>
                </c:pt>
              </c:numCache>
            </c:numRef>
          </c:xVal>
          <c:yVal>
            <c:numRef>
              <c:f>'[11]Ownership based age grp'!$L$620:$L$629</c:f>
              <c:numCache>
                <c:formatCode>General</c:formatCode>
                <c:ptCount val="10"/>
                <c:pt idx="0">
                  <c:v>0.43758397429019397</c:v>
                </c:pt>
                <c:pt idx="1">
                  <c:v>0.61677794724572621</c:v>
                </c:pt>
                <c:pt idx="2">
                  <c:v>0.63148591174906965</c:v>
                </c:pt>
                <c:pt idx="3">
                  <c:v>0.69274579599975039</c:v>
                </c:pt>
                <c:pt idx="4">
                  <c:v>0.68409285277947451</c:v>
                </c:pt>
                <c:pt idx="5">
                  <c:v>0.63966651547189746</c:v>
                </c:pt>
                <c:pt idx="6">
                  <c:v>0.71085904591359372</c:v>
                </c:pt>
                <c:pt idx="7">
                  <c:v>0.57289399600223279</c:v>
                </c:pt>
                <c:pt idx="8">
                  <c:v>0.57577231800477668</c:v>
                </c:pt>
                <c:pt idx="9">
                  <c:v>0.66548601182997591</c:v>
                </c:pt>
              </c:numCache>
            </c:numRef>
          </c:yVal>
          <c:bubbleSize>
            <c:numLit>
              <c:formatCode>General</c:formatCode>
              <c:ptCount val="10"/>
              <c:pt idx="0">
                <c:v>23</c:v>
              </c:pt>
              <c:pt idx="1">
                <c:v>41</c:v>
              </c:pt>
              <c:pt idx="2">
                <c:v>10</c:v>
              </c:pt>
              <c:pt idx="3">
                <c:v>4</c:v>
              </c:pt>
              <c:pt idx="4">
                <c:v>4</c:v>
              </c:pt>
              <c:pt idx="5">
                <c:v>6</c:v>
              </c:pt>
              <c:pt idx="6">
                <c:v>7</c:v>
              </c:pt>
              <c:pt idx="7">
                <c:v>5</c:v>
              </c:pt>
              <c:pt idx="8">
                <c:v>1</c:v>
              </c:pt>
              <c:pt idx="9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A-4FA4-4345-8AB1-B9BCF95C6E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196202543"/>
        <c:axId val="1196203375"/>
      </c:bubbleChart>
      <c:valAx>
        <c:axId val="1196202543"/>
        <c:scaling>
          <c:orientation val="minMax"/>
          <c:max val="3.7"/>
          <c:min val="2.2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Variable cost, INR/kWh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03375"/>
        <c:crosses val="autoZero"/>
        <c:crossBetween val="midCat"/>
        <c:majorUnit val="0.1"/>
      </c:valAx>
      <c:valAx>
        <c:axId val="1196203375"/>
        <c:scaling>
          <c:orientation val="minMax"/>
          <c:max val="0.7200000000000000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PLF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02543"/>
        <c:crosses val="autoZero"/>
        <c:crossBetween val="midCat"/>
        <c:majorUnit val="2.0000000000000004E-2"/>
        <c:minorUnit val="5.000000000000001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coal consumption (MT)</a:t>
            </a:r>
          </a:p>
        </c:rich>
      </c:tx>
      <c:layout>
        <c:manualLayout>
          <c:xMode val="edge"/>
          <c:yMode val="edge"/>
          <c:x val="0.27252307954869232"/>
          <c:y val="0.84186950317499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tx>
            <c:strRef>
              <c:f>Results!$B$178</c:f>
              <c:strCache>
                <c:ptCount val="1"/>
                <c:pt idx="0">
                  <c:v>Annual coal consumed (MT)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E1-45D6-833C-D464BE1BA6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E1-45D6-833C-D464BE1BA6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E1-45D6-833C-D464BE1BA6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6E1-45D6-833C-D464BE1BA63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6E1-45D6-833C-D464BE1BA63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6E1-45D6-833C-D464BE1BA63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3D-49A4-8C6D-BA60097744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3D-49A4-8C6D-BA60097744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3D-49A4-8C6D-BA600977443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3D-49A4-8C6D-BA600977443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3D-49A4-8C6D-BA6009774435}"/>
              </c:ext>
            </c:extLst>
          </c:dPt>
          <c:dLbls>
            <c:dLbl>
              <c:idx val="6"/>
              <c:layout>
                <c:manualLayout>
                  <c:x val="0.12449226645806692"/>
                  <c:y val="2.654307776009672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A3D-49A4-8C6D-BA6009774435}"/>
                </c:ext>
              </c:extLst>
            </c:dLbl>
            <c:dLbl>
              <c:idx val="7"/>
              <c:layout>
                <c:manualLayout>
                  <c:x val="1.6805337144989423E-2"/>
                  <c:y val="7.4610314488117175E-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A3D-49A4-8C6D-BA6009774435}"/>
                </c:ext>
              </c:extLst>
            </c:dLbl>
            <c:dLbl>
              <c:idx val="8"/>
              <c:layout>
                <c:manualLayout>
                  <c:x val="4.2558809692200784E-3"/>
                  <c:y val="8.783284186668237E-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A3D-49A4-8C6D-BA6009774435}"/>
                </c:ext>
              </c:extLst>
            </c:dLbl>
            <c:dLbl>
              <c:idx val="9"/>
              <c:layout>
                <c:manualLayout>
                  <c:x val="6.9175111588257801E-3"/>
                  <c:y val="-8.6574057260242962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3D-49A4-8C6D-BA6009774435}"/>
                </c:ext>
              </c:extLst>
            </c:dLbl>
            <c:dLbl>
              <c:idx val="10"/>
              <c:layout>
                <c:manualLayout>
                  <c:x val="-7.1191685928464095E-3"/>
                  <c:y val="-2.608963322119454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3D-49A4-8C6D-BA60097744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Results!$A$179:$A$188</c:f>
              <c:strCache>
                <c:ptCount val="10"/>
                <c:pt idx="0">
                  <c:v> 0-5 years</c:v>
                </c:pt>
                <c:pt idx="1">
                  <c:v> 5-10 years</c:v>
                </c:pt>
                <c:pt idx="2">
                  <c:v> 10-15 years</c:v>
                </c:pt>
                <c:pt idx="3">
                  <c:v> 15-20 years</c:v>
                </c:pt>
                <c:pt idx="4">
                  <c:v> 20-25 years</c:v>
                </c:pt>
                <c:pt idx="5">
                  <c:v> 25-30 years</c:v>
                </c:pt>
                <c:pt idx="6">
                  <c:v> 30-35 years</c:v>
                </c:pt>
                <c:pt idx="7">
                  <c:v> 35-40 years</c:v>
                </c:pt>
                <c:pt idx="8">
                  <c:v> 40-45 years</c:v>
                </c:pt>
                <c:pt idx="9">
                  <c:v> 45+ years</c:v>
                </c:pt>
              </c:strCache>
            </c:strRef>
          </c:cat>
          <c:val>
            <c:numRef>
              <c:f>Results!$B$179:$B$188</c:f>
              <c:numCache>
                <c:formatCode>General</c:formatCode>
                <c:ptCount val="10"/>
                <c:pt idx="0">
                  <c:v>119</c:v>
                </c:pt>
                <c:pt idx="1">
                  <c:v>275</c:v>
                </c:pt>
                <c:pt idx="2">
                  <c:v>71</c:v>
                </c:pt>
                <c:pt idx="3">
                  <c:v>31</c:v>
                </c:pt>
                <c:pt idx="4">
                  <c:v>34</c:v>
                </c:pt>
                <c:pt idx="5">
                  <c:v>45</c:v>
                </c:pt>
                <c:pt idx="6">
                  <c:v>56</c:v>
                </c:pt>
                <c:pt idx="7">
                  <c:v>33</c:v>
                </c:pt>
                <c:pt idx="8">
                  <c:v>9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D-49A4-8C6D-BA600977443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Results!$B$191</c:f>
              <c:strCache>
                <c:ptCount val="1"/>
                <c:pt idx="0">
                  <c:v>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Results!$A$192:$A$201</c:f>
              <c:strCache>
                <c:ptCount val="10"/>
                <c:pt idx="0">
                  <c:v> 0-5 years</c:v>
                </c:pt>
                <c:pt idx="1">
                  <c:v> 5-10 years</c:v>
                </c:pt>
                <c:pt idx="2">
                  <c:v> 10-15 years</c:v>
                </c:pt>
                <c:pt idx="3">
                  <c:v> 15-20 years</c:v>
                </c:pt>
                <c:pt idx="4">
                  <c:v> 20-25 years</c:v>
                </c:pt>
                <c:pt idx="5">
                  <c:v> 25-30 years</c:v>
                </c:pt>
                <c:pt idx="6">
                  <c:v> 30-35 years</c:v>
                </c:pt>
                <c:pt idx="7">
                  <c:v> 35-40 years</c:v>
                </c:pt>
                <c:pt idx="8">
                  <c:v> 40-45 years</c:v>
                </c:pt>
                <c:pt idx="9">
                  <c:v> 45+ years</c:v>
                </c:pt>
              </c:strCache>
            </c:strRef>
          </c:cat>
          <c:val>
            <c:numRef>
              <c:f>Results!$B$192:$B$201</c:f>
              <c:numCache>
                <c:formatCode>_(* #,##0_);_(* \(#,##0\);_(* "-"??_);_(@_)</c:formatCode>
                <c:ptCount val="10"/>
                <c:pt idx="0">
                  <c:v>48365</c:v>
                </c:pt>
                <c:pt idx="1">
                  <c:v>76983</c:v>
                </c:pt>
                <c:pt idx="2">
                  <c:v>18475</c:v>
                </c:pt>
                <c:pt idx="3">
                  <c:v>7155</c:v>
                </c:pt>
                <c:pt idx="4">
                  <c:v>7860</c:v>
                </c:pt>
                <c:pt idx="5">
                  <c:v>10646</c:v>
                </c:pt>
                <c:pt idx="6">
                  <c:v>12561</c:v>
                </c:pt>
                <c:pt idx="7">
                  <c:v>8501</c:v>
                </c:pt>
                <c:pt idx="8">
                  <c:v>2335</c:v>
                </c:pt>
                <c:pt idx="9">
                  <c:v>1142.5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C-4084-8B26-124EE966EB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41291360"/>
        <c:axId val="1741291776"/>
      </c:barChart>
      <c:catAx>
        <c:axId val="174129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291776"/>
        <c:crosses val="autoZero"/>
        <c:auto val="1"/>
        <c:lblAlgn val="ctr"/>
        <c:lblOffset val="100"/>
        <c:noMultiLvlLbl val="0"/>
      </c:catAx>
      <c:valAx>
        <c:axId val="17412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Capacity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29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Results!$B$219</c:f>
              <c:strCache>
                <c:ptCount val="1"/>
                <c:pt idx="0">
                  <c:v>Central 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-6.6666655001460188E-3"/>
                  <c:y val="-1.106500530887918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58-402D-89A7-3F8C13A836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Results!$A$220:$A$229</c:f>
              <c:strCache>
                <c:ptCount val="10"/>
                <c:pt idx="0">
                  <c:v> 0-5 years</c:v>
                </c:pt>
                <c:pt idx="1">
                  <c:v> 5-10 years</c:v>
                </c:pt>
                <c:pt idx="2">
                  <c:v> 10-15 years</c:v>
                </c:pt>
                <c:pt idx="3">
                  <c:v> 15-20 years</c:v>
                </c:pt>
                <c:pt idx="4">
                  <c:v> 20-25 years</c:v>
                </c:pt>
                <c:pt idx="5">
                  <c:v> 25-30 years</c:v>
                </c:pt>
                <c:pt idx="6">
                  <c:v> 30-35 years</c:v>
                </c:pt>
                <c:pt idx="7">
                  <c:v> 35-40 years</c:v>
                </c:pt>
                <c:pt idx="8">
                  <c:v> 40-45 years</c:v>
                </c:pt>
                <c:pt idx="9">
                  <c:v> 45+ years</c:v>
                </c:pt>
              </c:strCache>
            </c:strRef>
          </c:cat>
          <c:val>
            <c:numRef>
              <c:f>Results!$B$220:$B$229</c:f>
              <c:numCache>
                <c:formatCode>0%</c:formatCode>
                <c:ptCount val="10"/>
                <c:pt idx="0">
                  <c:v>0.34971869976606113</c:v>
                </c:pt>
                <c:pt idx="1">
                  <c:v>0.68804301677683788</c:v>
                </c:pt>
                <c:pt idx="2">
                  <c:v>0.80342946065451171</c:v>
                </c:pt>
                <c:pt idx="3">
                  <c:v>0.78193548503293064</c:v>
                </c:pt>
                <c:pt idx="4">
                  <c:v>0.7487009761100164</c:v>
                </c:pt>
                <c:pt idx="5">
                  <c:v>0.68092825644989685</c:v>
                </c:pt>
                <c:pt idx="6">
                  <c:v>0.82402495092137162</c:v>
                </c:pt>
                <c:pt idx="7">
                  <c:v>0.80143053940924791</c:v>
                </c:pt>
                <c:pt idx="9">
                  <c:v>0.88100030605856527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8-402D-89A7-3F8C13A83699}"/>
            </c:ext>
          </c:extLst>
        </c:ser>
        <c:ser>
          <c:idx val="1"/>
          <c:order val="1"/>
          <c:tx>
            <c:strRef>
              <c:f>Results!$C$219</c:f>
              <c:strCache>
                <c:ptCount val="1"/>
                <c:pt idx="0">
                  <c:v>Private sector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0"/>
                  <c:y val="-2.581834572071810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58-402D-89A7-3F8C13A83699}"/>
                </c:ext>
              </c:extLst>
            </c:dLbl>
            <c:dLbl>
              <c:idx val="5"/>
              <c:layout>
                <c:manualLayout>
                  <c:x val="8.8888873335279447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58-402D-89A7-3F8C13A83699}"/>
                </c:ext>
              </c:extLst>
            </c:dLbl>
            <c:dLbl>
              <c:idx val="6"/>
              <c:layout>
                <c:manualLayout>
                  <c:x val="1.7777774667056132E-2"/>
                  <c:y val="1.106500530887917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58-402D-89A7-3F8C13A836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Results!$A$220:$A$229</c:f>
              <c:strCache>
                <c:ptCount val="10"/>
                <c:pt idx="0">
                  <c:v> 0-5 years</c:v>
                </c:pt>
                <c:pt idx="1">
                  <c:v> 5-10 years</c:v>
                </c:pt>
                <c:pt idx="2">
                  <c:v> 10-15 years</c:v>
                </c:pt>
                <c:pt idx="3">
                  <c:v> 15-20 years</c:v>
                </c:pt>
                <c:pt idx="4">
                  <c:v> 20-25 years</c:v>
                </c:pt>
                <c:pt idx="5">
                  <c:v> 25-30 years</c:v>
                </c:pt>
                <c:pt idx="6">
                  <c:v> 30-35 years</c:v>
                </c:pt>
                <c:pt idx="7">
                  <c:v> 35-40 years</c:v>
                </c:pt>
                <c:pt idx="8">
                  <c:v> 40-45 years</c:v>
                </c:pt>
                <c:pt idx="9">
                  <c:v> 45+ years</c:v>
                </c:pt>
              </c:strCache>
            </c:strRef>
          </c:cat>
          <c:val>
            <c:numRef>
              <c:f>Results!$C$220:$C$229</c:f>
              <c:numCache>
                <c:formatCode>0%</c:formatCode>
                <c:ptCount val="10"/>
                <c:pt idx="0">
                  <c:v>0.48733840788832478</c:v>
                </c:pt>
                <c:pt idx="1">
                  <c:v>0.58987129300467367</c:v>
                </c:pt>
                <c:pt idx="2">
                  <c:v>0.48755001152723471</c:v>
                </c:pt>
                <c:pt idx="3">
                  <c:v>0.72190275523573277</c:v>
                </c:pt>
                <c:pt idx="4">
                  <c:v>0.76787461591830908</c:v>
                </c:pt>
                <c:pt idx="5">
                  <c:v>0.66603945227729511</c:v>
                </c:pt>
                <c:pt idx="6">
                  <c:v>0.8162952483112742</c:v>
                </c:pt>
                <c:pt idx="7">
                  <c:v>0.7345884960438942</c:v>
                </c:pt>
                <c:pt idx="8">
                  <c:v>0.80685983753381596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8-402D-89A7-3F8C13A83699}"/>
            </c:ext>
          </c:extLst>
        </c:ser>
        <c:ser>
          <c:idx val="2"/>
          <c:order val="2"/>
          <c:tx>
            <c:strRef>
              <c:f>Results!$D$219</c:f>
              <c:strCache>
                <c:ptCount val="1"/>
                <c:pt idx="0">
                  <c:v>State sector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2222218333820066E-3"/>
                  <c:y val="7.37667020591939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58-402D-89A7-3F8C13A83699}"/>
                </c:ext>
              </c:extLst>
            </c:dLbl>
            <c:dLbl>
              <c:idx val="1"/>
              <c:layout>
                <c:manualLayout>
                  <c:x val="-4.074026297700904E-17"/>
                  <c:y val="-1.47533404118389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58-402D-89A7-3F8C13A836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Results!$A$220:$A$229</c:f>
              <c:strCache>
                <c:ptCount val="10"/>
                <c:pt idx="0">
                  <c:v> 0-5 years</c:v>
                </c:pt>
                <c:pt idx="1">
                  <c:v> 5-10 years</c:v>
                </c:pt>
                <c:pt idx="2">
                  <c:v> 10-15 years</c:v>
                </c:pt>
                <c:pt idx="3">
                  <c:v> 15-20 years</c:v>
                </c:pt>
                <c:pt idx="4">
                  <c:v> 20-25 years</c:v>
                </c:pt>
                <c:pt idx="5">
                  <c:v> 25-30 years</c:v>
                </c:pt>
                <c:pt idx="6">
                  <c:v> 30-35 years</c:v>
                </c:pt>
                <c:pt idx="7">
                  <c:v> 35-40 years</c:v>
                </c:pt>
                <c:pt idx="8">
                  <c:v> 40-45 years</c:v>
                </c:pt>
                <c:pt idx="9">
                  <c:v> 45+ years</c:v>
                </c:pt>
              </c:strCache>
            </c:strRef>
          </c:cat>
          <c:val>
            <c:numRef>
              <c:f>Results!$D$220:$D$229</c:f>
              <c:numCache>
                <c:formatCode>0%</c:formatCode>
                <c:ptCount val="10"/>
                <c:pt idx="0">
                  <c:v>0.4635004493371887</c:v>
                </c:pt>
                <c:pt idx="1">
                  <c:v>0.62141720502436426</c:v>
                </c:pt>
                <c:pt idx="2">
                  <c:v>0.58161079202522148</c:v>
                </c:pt>
                <c:pt idx="3">
                  <c:v>0.55134606918040641</c:v>
                </c:pt>
                <c:pt idx="4">
                  <c:v>0.61816157918163295</c:v>
                </c:pt>
                <c:pt idx="5">
                  <c:v>0.61600329950155741</c:v>
                </c:pt>
                <c:pt idx="6">
                  <c:v>0.54217145116207099</c:v>
                </c:pt>
                <c:pt idx="7">
                  <c:v>0.45321071402954993</c:v>
                </c:pt>
                <c:pt idx="8">
                  <c:v>0.56325290385421933</c:v>
                </c:pt>
                <c:pt idx="9">
                  <c:v>0.52023095637920513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58-402D-89A7-3F8C13A836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0969920"/>
        <c:axId val="1790966176"/>
      </c:barChart>
      <c:catAx>
        <c:axId val="179096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966176"/>
        <c:crosses val="autoZero"/>
        <c:auto val="1"/>
        <c:lblAlgn val="ctr"/>
        <c:lblOffset val="100"/>
        <c:noMultiLvlLbl val="0"/>
      </c:catAx>
      <c:valAx>
        <c:axId val="17909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PLF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96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Results!$A$247</c:f>
              <c:strCache>
                <c:ptCount val="1"/>
                <c:pt idx="0">
                  <c:v> 0-5 years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Results!$B$247:$C$247</c:f>
              <c:numCache>
                <c:formatCode>0%</c:formatCode>
                <c:ptCount val="2"/>
                <c:pt idx="0">
                  <c:v>0.19147242059108485</c:v>
                </c:pt>
                <c:pt idx="1">
                  <c:v>0.24927392815818702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B-4E1F-ACF5-134A0B35B46C}"/>
            </c:ext>
          </c:extLst>
        </c:ser>
        <c:ser>
          <c:idx val="1"/>
          <c:order val="1"/>
          <c:tx>
            <c:strRef>
              <c:f>Results!$A$248</c:f>
              <c:strCache>
                <c:ptCount val="1"/>
                <c:pt idx="0">
                  <c:v> 5-10 years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Results!$B$248:$C$248</c:f>
              <c:numCache>
                <c:formatCode>0%</c:formatCode>
                <c:ptCount val="2"/>
                <c:pt idx="0">
                  <c:v>0.43035621674534874</c:v>
                </c:pt>
                <c:pt idx="1">
                  <c:v>0.39677152509876379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B-4E1F-ACF5-134A0B35B46C}"/>
            </c:ext>
          </c:extLst>
        </c:ser>
        <c:ser>
          <c:idx val="2"/>
          <c:order val="2"/>
          <c:tx>
            <c:strRef>
              <c:f>Results!$A$249</c:f>
              <c:strCache>
                <c:ptCount val="1"/>
                <c:pt idx="0">
                  <c:v> 10-15 years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Results!$B$249:$C$249</c:f>
              <c:numCache>
                <c:formatCode>0%</c:formatCode>
                <c:ptCount val="2"/>
                <c:pt idx="0">
                  <c:v>0.10078024353312701</c:v>
                </c:pt>
                <c:pt idx="1">
                  <c:v>9.5220424330042491E-2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B-4E1F-ACF5-134A0B35B46C}"/>
            </c:ext>
          </c:extLst>
        </c:ser>
        <c:ser>
          <c:idx val="3"/>
          <c:order val="3"/>
          <c:tx>
            <c:strRef>
              <c:f>Results!$A$250</c:f>
              <c:strCache>
                <c:ptCount val="1"/>
                <c:pt idx="0">
                  <c:v> 15-20 years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Results!$B$250:$C$250</c:f>
              <c:numCache>
                <c:formatCode>0%</c:formatCode>
                <c:ptCount val="2"/>
                <c:pt idx="0">
                  <c:v>4.2056844297396444E-2</c:v>
                </c:pt>
                <c:pt idx="1">
                  <c:v>3.6876976242568554E-2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B-4E1F-ACF5-134A0B35B46C}"/>
            </c:ext>
          </c:extLst>
        </c:ser>
        <c:ser>
          <c:idx val="4"/>
          <c:order val="4"/>
          <c:tx>
            <c:strRef>
              <c:f>Results!$A$251</c:f>
              <c:strCache>
                <c:ptCount val="1"/>
                <c:pt idx="0">
                  <c:v> 20-25 years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Results!$B$251:$C$251</c:f>
              <c:numCache>
                <c:formatCode>0%</c:formatCode>
                <c:ptCount val="2"/>
                <c:pt idx="0">
                  <c:v>4.3704394762854752E-2</c:v>
                </c:pt>
                <c:pt idx="1">
                  <c:v>4.0510556710913886E-2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B-4E1F-ACF5-134A0B35B46C}"/>
            </c:ext>
          </c:extLst>
        </c:ser>
        <c:ser>
          <c:idx val="5"/>
          <c:order val="5"/>
          <c:tx>
            <c:strRef>
              <c:f>Results!$A$252</c:f>
              <c:strCache>
                <c:ptCount val="1"/>
                <c:pt idx="0">
                  <c:v> 25-30 years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Results!$B$252:$C$252</c:f>
              <c:numCache>
                <c:formatCode>0%</c:formatCode>
                <c:ptCount val="2"/>
                <c:pt idx="0">
                  <c:v>5.5613760450399334E-2</c:v>
                </c:pt>
                <c:pt idx="1">
                  <c:v>5.4869642079438834E-2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B-4E1F-ACF5-134A0B35B46C}"/>
            </c:ext>
          </c:extLst>
        </c:ser>
        <c:ser>
          <c:idx val="6"/>
          <c:order val="6"/>
          <c:tx>
            <c:strRef>
              <c:f>Results!$A$253</c:f>
              <c:strCache>
                <c:ptCount val="1"/>
                <c:pt idx="0">
                  <c:v> 30-35 years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Results!$B$253:$C$253</c:f>
              <c:numCache>
                <c:formatCode>0%</c:formatCode>
                <c:ptCount val="2"/>
                <c:pt idx="0">
                  <c:v>7.7941863716796275E-2</c:v>
                </c:pt>
                <c:pt idx="1">
                  <c:v>6.4739580514731457E-2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8B-4E1F-ACF5-134A0B35B46C}"/>
            </c:ext>
          </c:extLst>
        </c:ser>
        <c:ser>
          <c:idx val="7"/>
          <c:order val="7"/>
          <c:tx>
            <c:strRef>
              <c:f>Results!$A$254</c:f>
              <c:strCache>
                <c:ptCount val="1"/>
                <c:pt idx="0">
                  <c:v> 35-40 years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Results!$B$254:$C$254</c:f>
              <c:numCache>
                <c:formatCode>0%</c:formatCode>
                <c:ptCount val="2"/>
                <c:pt idx="0">
                  <c:v>4.1566813127877272E-2</c:v>
                </c:pt>
                <c:pt idx="1">
                  <c:v>4.3814280228941342E-2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8B-4E1F-ACF5-134A0B35B46C}"/>
            </c:ext>
          </c:extLst>
        </c:ser>
        <c:ser>
          <c:idx val="8"/>
          <c:order val="8"/>
          <c:tx>
            <c:strRef>
              <c:f>Results!$A$255</c:f>
              <c:strCache>
                <c:ptCount val="1"/>
                <c:pt idx="0">
                  <c:v> 40-45 years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Results!$B$255:$C$255</c:f>
              <c:numCache>
                <c:formatCode>0%</c:formatCode>
                <c:ptCount val="2"/>
                <c:pt idx="0">
                  <c:v>1.0423850570334564E-2</c:v>
                </c:pt>
                <c:pt idx="1">
                  <c:v>1.2034624671753679E-2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8B-4E1F-ACF5-134A0B35B46C}"/>
            </c:ext>
          </c:extLst>
        </c:ser>
        <c:ser>
          <c:idx val="9"/>
          <c:order val="9"/>
          <c:tx>
            <c:strRef>
              <c:f>Results!$A$256</c:f>
              <c:strCache>
                <c:ptCount val="1"/>
                <c:pt idx="0">
                  <c:v> 45+ years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Results!$B$246:$C$246</c:f>
              <c:strCache>
                <c:ptCount val="2"/>
                <c:pt idx="0">
                  <c:v>Generation share</c:v>
                </c:pt>
                <c:pt idx="1">
                  <c:v>Capacity share</c:v>
                </c:pt>
              </c:strCache>
            </c:strRef>
          </c:cat>
          <c:val>
            <c:numRef>
              <c:f>Results!$B$256:$C$256</c:f>
              <c:numCache>
                <c:formatCode>0%</c:formatCode>
                <c:ptCount val="2"/>
                <c:pt idx="0">
                  <c:v>6.0835922047807059E-3</c:v>
                </c:pt>
                <c:pt idx="1">
                  <c:v>5.8884619646589198E-3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8B-4E1F-ACF5-134A0B35B4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78916816"/>
        <c:axId val="1778917232"/>
      </c:barChart>
      <c:catAx>
        <c:axId val="1778916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17232"/>
        <c:crosses val="autoZero"/>
        <c:auto val="1"/>
        <c:lblAlgn val="ctr"/>
        <c:lblOffset val="100"/>
        <c:noMultiLvlLbl val="0"/>
      </c:catAx>
      <c:valAx>
        <c:axId val="17789172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1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869156</xdr:colOff>
      <xdr:row>101</xdr:row>
      <xdr:rowOff>21431</xdr:rowOff>
    </xdr:from>
    <xdr:to>
      <xdr:col>7</xdr:col>
      <xdr:colOff>607218</xdr:colOff>
      <xdr:row>118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23813</xdr:colOff>
      <xdr:row>119</xdr:row>
      <xdr:rowOff>92869</xdr:rowOff>
    </xdr:from>
    <xdr:to>
      <xdr:col>6</xdr:col>
      <xdr:colOff>261938</xdr:colOff>
      <xdr:row>133</xdr:row>
      <xdr:rowOff>169069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952500</xdr:colOff>
      <xdr:row>136</xdr:row>
      <xdr:rowOff>23813</xdr:rowOff>
    </xdr:from>
    <xdr:to>
      <xdr:col>6</xdr:col>
      <xdr:colOff>1149805</xdr:colOff>
      <xdr:row>150</xdr:row>
      <xdr:rowOff>98313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541733</xdr:colOff>
      <xdr:row>174</xdr:row>
      <xdr:rowOff>35719</xdr:rowOff>
    </xdr:from>
    <xdr:to>
      <xdr:col>6</xdr:col>
      <xdr:colOff>1273969</xdr:colOff>
      <xdr:row>189</xdr:row>
      <xdr:rowOff>154780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1059657</xdr:colOff>
      <xdr:row>187</xdr:row>
      <xdr:rowOff>57150</xdr:rowOff>
    </xdr:from>
    <xdr:to>
      <xdr:col>6</xdr:col>
      <xdr:colOff>1297782</xdr:colOff>
      <xdr:row>201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1131093</xdr:colOff>
      <xdr:row>215</xdr:row>
      <xdr:rowOff>140493</xdr:rowOff>
    </xdr:from>
    <xdr:to>
      <xdr:col>8</xdr:col>
      <xdr:colOff>1119188</xdr:colOff>
      <xdr:row>233</xdr:row>
      <xdr:rowOff>154781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321469</xdr:colOff>
      <xdr:row>242</xdr:row>
      <xdr:rowOff>69056</xdr:rowOff>
    </xdr:from>
    <xdr:to>
      <xdr:col>7</xdr:col>
      <xdr:colOff>71438</xdr:colOff>
      <xdr:row>258</xdr:row>
      <xdr:rowOff>107156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DN%20-%20Monthly%20coal%20analysis%207May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Ownership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DN%20-%20Coal%20savings%205Aug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CEEW%20-%20Contracted%20and%20total%20TPP%20capacity%20by%20Plant%20-%2015Jul20%20D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Karthik%20Ganesan/My%20Drive/Effective%20Operation%20of%20TPPs%20-%20National%20Level%20Study/Coal%20study%20-%20latest%20files/DN%20-%20Transport%20charges%2031May2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FGD%20status%20-%20Jun%20202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DN%20-%20FGD%20status%20Feb21%20and%20new%20deadline%209Apr2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Karthik%20Ganesan/My%20Drive/Effective%20Operation%20of%20TPPs%20-%20National%20Level%20Study/Coal%20study%20-%20latest%20files/DN%20-%20CEA%20monthly%20coal%20receipts%204Sep20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Karthik%20Ganesan/My%20Drive/Effective%20Operation%20of%20TPPs%20-%20National%20Level%20Study/Coal%20study%20-%20latest%20files/DN%20-%20Coal%20seva%20grades%20latest%208Sep2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anwant/Desktop/DN%20-%20VC%20regression%209Sep2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DN%20-%20Apr%2022-28%20gen%20data%2023Apr2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Others/DN%20-%20TPP%20boiler%20design%20type%2011Jan21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Thermal%20generation%20Mar%2019%20-%20Feb%2020.csv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EEW/Cost%20of%20enery%20generation/DN%20-%20Coal%20savings%2026Jul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coal mapping"/>
      <sheetName val="daily coal, energy reqd"/>
      <sheetName val="Future demand"/>
      <sheetName val="Master data"/>
    </sheetNames>
    <sheetDataSet>
      <sheetData sheetId="0"/>
      <sheetData sheetId="1"/>
      <sheetData sheetId="2">
        <row r="2">
          <cell r="C2" t="str">
            <v>AKALTARA TPS2</v>
          </cell>
          <cell r="D2" t="str">
            <v xml:space="preserve"> 0-5 years</v>
          </cell>
          <cell r="E2">
            <v>2.3381245719999999</v>
          </cell>
          <cell r="F2">
            <v>600</v>
          </cell>
          <cell r="G2">
            <v>12.887075528159945</v>
          </cell>
          <cell r="I2">
            <v>0</v>
          </cell>
          <cell r="J2">
            <v>0.6352213702943118</v>
          </cell>
          <cell r="K2">
            <v>5778.4558419416844</v>
          </cell>
          <cell r="O2" t="e">
            <v>#N/A</v>
          </cell>
          <cell r="Q2">
            <v>2503.2980220926038</v>
          </cell>
          <cell r="R2" t="str">
            <v>Feasiblity Study Completed</v>
          </cell>
          <cell r="S2" t="str">
            <v>Chhatisgarh</v>
          </cell>
          <cell r="T2" t="str">
            <v>Private Sector</v>
          </cell>
        </row>
        <row r="3">
          <cell r="C3" t="str">
            <v>AKALTARA TPS3</v>
          </cell>
          <cell r="D3" t="str">
            <v xml:space="preserve"> 5-10 years</v>
          </cell>
          <cell r="E3">
            <v>6.7570157430000002</v>
          </cell>
          <cell r="F3">
            <v>600</v>
          </cell>
          <cell r="G3">
            <v>12.887075528159945</v>
          </cell>
          <cell r="I3">
            <v>0</v>
          </cell>
          <cell r="J3">
            <v>0.27086440555889024</v>
          </cell>
          <cell r="K3">
            <v>2463.9882722312227</v>
          </cell>
          <cell r="O3" t="e">
            <v>#N/A</v>
          </cell>
          <cell r="Q3">
            <v>2503.2980220926038</v>
          </cell>
          <cell r="R3" t="str">
            <v>Feasibility study completed. Preparing tender</v>
          </cell>
          <cell r="S3" t="str">
            <v>Chhatisgarh</v>
          </cell>
          <cell r="T3" t="str">
            <v>Private Sector</v>
          </cell>
        </row>
        <row r="4">
          <cell r="C4" t="str">
            <v>AKALTARA TPS4</v>
          </cell>
          <cell r="D4" t="str">
            <v xml:space="preserve"> 5-10 years</v>
          </cell>
          <cell r="E4">
            <v>5.7577002049999999</v>
          </cell>
          <cell r="F4">
            <v>600</v>
          </cell>
          <cell r="G4">
            <v>12.887075528159945</v>
          </cell>
          <cell r="I4">
            <v>0</v>
          </cell>
          <cell r="J4">
            <v>0.69709262096370139</v>
          </cell>
          <cell r="K4">
            <v>6341.2837104580176</v>
          </cell>
          <cell r="O4" t="e">
            <v>#N/A</v>
          </cell>
          <cell r="Q4">
            <v>2503.2980220926038</v>
          </cell>
          <cell r="S4" t="str">
            <v>Chhatisgarh</v>
          </cell>
          <cell r="T4" t="str">
            <v>Private Sector</v>
          </cell>
        </row>
        <row r="5">
          <cell r="C5" t="str">
            <v>AKRIMOTA LIG TPS1</v>
          </cell>
          <cell r="D5" t="str">
            <v xml:space="preserve"> 15-20 years</v>
          </cell>
          <cell r="E5">
            <v>15.17590691</v>
          </cell>
          <cell r="F5">
            <v>125</v>
          </cell>
          <cell r="G5">
            <v>15.53</v>
          </cell>
          <cell r="I5">
            <v>0</v>
          </cell>
          <cell r="J5">
            <v>0.50454523746872326</v>
          </cell>
          <cell r="K5">
            <v>1152.2922849837166</v>
          </cell>
          <cell r="O5" t="e">
            <v>#N/A</v>
          </cell>
          <cell r="Q5">
            <v>3128.1775283624183</v>
          </cell>
          <cell r="S5" t="str">
            <v>Gujarat</v>
          </cell>
          <cell r="T5" t="str">
            <v>State Sector</v>
          </cell>
        </row>
        <row r="6">
          <cell r="C6" t="str">
            <v>AKRIMOTA LIG TPS2</v>
          </cell>
          <cell r="D6" t="str">
            <v xml:space="preserve"> 10-15 years</v>
          </cell>
          <cell r="E6">
            <v>14.422997949999999</v>
          </cell>
          <cell r="F6">
            <v>125</v>
          </cell>
          <cell r="G6">
            <v>15.53</v>
          </cell>
          <cell r="I6">
            <v>0</v>
          </cell>
          <cell r="J6">
            <v>0.46734304410031663</v>
          </cell>
          <cell r="K6">
            <v>1067.3290404232232</v>
          </cell>
          <cell r="O6" t="e">
            <v>#N/A</v>
          </cell>
          <cell r="Q6">
            <v>3128.1775283624183</v>
          </cell>
          <cell r="S6" t="str">
            <v>Gujarat</v>
          </cell>
          <cell r="T6" t="str">
            <v>State Sector</v>
          </cell>
        </row>
        <row r="7">
          <cell r="C7" t="str">
            <v>AMARKANTAK TPS3</v>
          </cell>
          <cell r="D7" t="str">
            <v xml:space="preserve"> 10-15 years</v>
          </cell>
          <cell r="E7">
            <v>11.92334018</v>
          </cell>
          <cell r="F7">
            <v>210</v>
          </cell>
          <cell r="G7">
            <v>11.458462968808453</v>
          </cell>
          <cell r="I7">
            <v>0</v>
          </cell>
          <cell r="J7">
            <v>0.9117231448691191</v>
          </cell>
          <cell r="K7">
            <v>2581.0101618712479</v>
          </cell>
          <cell r="N7">
            <v>9.4213265476072525</v>
          </cell>
          <cell r="O7">
            <v>9.4213265476072525</v>
          </cell>
          <cell r="P7">
            <v>1978.4785749975231</v>
          </cell>
          <cell r="Q7" t="e">
            <v>#N/A</v>
          </cell>
          <cell r="S7" t="str">
            <v>Madhya Pradesh</v>
          </cell>
          <cell r="T7" t="str">
            <v>State Sector</v>
          </cell>
        </row>
        <row r="8">
          <cell r="C8" t="str">
            <v>AMRAVATI TPS1</v>
          </cell>
          <cell r="D8" t="str">
            <v xml:space="preserve"> 5-10 years</v>
          </cell>
          <cell r="E8">
            <v>7.1759069130000004</v>
          </cell>
          <cell r="F8">
            <v>270</v>
          </cell>
          <cell r="G8">
            <v>12.602974798017808</v>
          </cell>
          <cell r="I8">
            <v>0</v>
          </cell>
          <cell r="J8">
            <v>0.31847038425018515</v>
          </cell>
          <cell r="K8">
            <v>1274.9318131616885</v>
          </cell>
          <cell r="O8" t="e">
            <v>#N/A</v>
          </cell>
          <cell r="Q8">
            <v>2539.3379936166793</v>
          </cell>
          <cell r="S8" t="str">
            <v>Maharashtra</v>
          </cell>
          <cell r="T8" t="str">
            <v>Private Sector</v>
          </cell>
        </row>
        <row r="9">
          <cell r="C9" t="str">
            <v>AMRAVATI TPS2</v>
          </cell>
          <cell r="D9" t="str">
            <v xml:space="preserve"> 5-10 years</v>
          </cell>
          <cell r="E9">
            <v>6.2532511980000001</v>
          </cell>
          <cell r="F9">
            <v>270</v>
          </cell>
          <cell r="G9">
            <v>12.602974798017808</v>
          </cell>
          <cell r="I9">
            <v>0</v>
          </cell>
          <cell r="J9">
            <v>0.41382930107731941</v>
          </cell>
          <cell r="K9">
            <v>1656.681962450436</v>
          </cell>
          <cell r="O9" t="e">
            <v>#N/A</v>
          </cell>
          <cell r="Q9">
            <v>2539.3379936166793</v>
          </cell>
          <cell r="S9" t="str">
            <v>Maharashtra</v>
          </cell>
          <cell r="T9" t="str">
            <v>Private Sector</v>
          </cell>
        </row>
        <row r="10">
          <cell r="C10" t="str">
            <v>AMRAVATI TPS3</v>
          </cell>
          <cell r="D10" t="str">
            <v xml:space="preserve"> 5-10 years</v>
          </cell>
          <cell r="E10">
            <v>5.3388090349999997</v>
          </cell>
          <cell r="F10">
            <v>270</v>
          </cell>
          <cell r="G10">
            <v>12.602974798017808</v>
          </cell>
          <cell r="I10">
            <v>0</v>
          </cell>
          <cell r="J10">
            <v>0.36643067193790591</v>
          </cell>
          <cell r="K10">
            <v>1466.9311310430862</v>
          </cell>
          <cell r="O10" t="e">
            <v>#N/A</v>
          </cell>
          <cell r="Q10">
            <v>2539.3379936166793</v>
          </cell>
          <cell r="S10" t="str">
            <v>Maharashtra</v>
          </cell>
          <cell r="T10" t="str">
            <v>Private Sector</v>
          </cell>
        </row>
        <row r="11">
          <cell r="C11" t="str">
            <v>AMRAVATI TPS4</v>
          </cell>
          <cell r="D11" t="str">
            <v xml:space="preserve"> 5-10 years</v>
          </cell>
          <cell r="E11">
            <v>5.1772758379999999</v>
          </cell>
          <cell r="F11">
            <v>270</v>
          </cell>
          <cell r="G11">
            <v>12.602974798017808</v>
          </cell>
          <cell r="I11">
            <v>0</v>
          </cell>
          <cell r="J11">
            <v>0.30964994207699076</v>
          </cell>
          <cell r="K11">
            <v>1239.6209557353845</v>
          </cell>
          <cell r="O11" t="e">
            <v>#N/A</v>
          </cell>
          <cell r="Q11">
            <v>2539.3379936166793</v>
          </cell>
          <cell r="S11" t="str">
            <v>Maharashtra</v>
          </cell>
          <cell r="T11" t="str">
            <v>Private Sector</v>
          </cell>
        </row>
        <row r="12">
          <cell r="C12" t="str">
            <v>AMRAVATI TPS5</v>
          </cell>
          <cell r="D12" t="str">
            <v xml:space="preserve"> 5-10 years</v>
          </cell>
          <cell r="E12">
            <v>5.1772758379999999</v>
          </cell>
          <cell r="F12">
            <v>270</v>
          </cell>
          <cell r="G12">
            <v>12.602974798017808</v>
          </cell>
          <cell r="I12">
            <v>0</v>
          </cell>
          <cell r="J12">
            <v>0.33050491128931481</v>
          </cell>
          <cell r="K12">
            <v>1323.1096097083453</v>
          </cell>
          <cell r="O12" t="e">
            <v>#N/A</v>
          </cell>
          <cell r="Q12">
            <v>2539.3379936166793</v>
          </cell>
          <cell r="S12" t="str">
            <v>Maharashtra</v>
          </cell>
          <cell r="T12" t="str">
            <v>Private Sector</v>
          </cell>
        </row>
        <row r="13">
          <cell r="C13" t="str">
            <v>ANPARA C TPS1</v>
          </cell>
          <cell r="D13" t="str">
            <v xml:space="preserve"> 5-10 years</v>
          </cell>
          <cell r="E13">
            <v>8.5913757700000009</v>
          </cell>
          <cell r="F13">
            <v>600</v>
          </cell>
          <cell r="G13">
            <v>12.409526800288296</v>
          </cell>
          <cell r="I13">
            <v>0</v>
          </cell>
          <cell r="J13">
            <v>0.77630405403416669</v>
          </cell>
          <cell r="K13">
            <v>6800.1642096772566</v>
          </cell>
          <cell r="O13" t="e">
            <v>#N/A</v>
          </cell>
          <cell r="Q13">
            <v>2376.393536</v>
          </cell>
          <cell r="R13" t="str">
            <v>Tender Specification made</v>
          </cell>
          <cell r="S13" t="str">
            <v>Uttar Pradesh</v>
          </cell>
          <cell r="T13" t="str">
            <v>Private Sector</v>
          </cell>
        </row>
        <row r="14">
          <cell r="C14" t="str">
            <v>ANPARA C TPS2</v>
          </cell>
          <cell r="D14" t="str">
            <v xml:space="preserve"> 5-10 years</v>
          </cell>
          <cell r="E14">
            <v>8.3394934979999995</v>
          </cell>
          <cell r="F14">
            <v>600</v>
          </cell>
          <cell r="G14">
            <v>12.409526800288296</v>
          </cell>
          <cell r="I14">
            <v>0</v>
          </cell>
          <cell r="J14">
            <v>0.78427533495476387</v>
          </cell>
          <cell r="K14">
            <v>6869.9899679479222</v>
          </cell>
          <cell r="O14" t="e">
            <v>#N/A</v>
          </cell>
          <cell r="Q14">
            <v>2376.393536</v>
          </cell>
          <cell r="R14" t="str">
            <v>Tender Specification made</v>
          </cell>
          <cell r="S14" t="str">
            <v>Uttar Pradesh</v>
          </cell>
          <cell r="T14" t="str">
            <v>Private Sector</v>
          </cell>
        </row>
        <row r="15">
          <cell r="C15" t="str">
            <v>ANPARA TPS1</v>
          </cell>
          <cell r="D15" t="str">
            <v xml:space="preserve"> 30-35 years</v>
          </cell>
          <cell r="E15">
            <v>34.176591379999998</v>
          </cell>
          <cell r="F15">
            <v>210</v>
          </cell>
          <cell r="G15">
            <v>13.153682597016777</v>
          </cell>
          <cell r="H15">
            <v>2450</v>
          </cell>
          <cell r="I15">
            <v>32.226522362691099</v>
          </cell>
          <cell r="J15">
            <v>0.80642386645137099</v>
          </cell>
          <cell r="K15">
            <v>2620.6625310255058</v>
          </cell>
          <cell r="M15" t="str">
            <v>Y</v>
          </cell>
          <cell r="N15">
            <v>9</v>
          </cell>
          <cell r="O15" t="e">
            <v>#N/A</v>
          </cell>
          <cell r="P15">
            <v>1890</v>
          </cell>
          <cell r="R15" t="str">
            <v>Bids opened</v>
          </cell>
          <cell r="S15" t="str">
            <v>Uttar Pradesh</v>
          </cell>
          <cell r="T15" t="str">
            <v>Private Sector</v>
          </cell>
        </row>
        <row r="16">
          <cell r="C16" t="str">
            <v>ANPARA TPS2</v>
          </cell>
          <cell r="D16" t="str">
            <v xml:space="preserve"> 30-35 years</v>
          </cell>
          <cell r="E16">
            <v>33.253935660000003</v>
          </cell>
          <cell r="F16">
            <v>210</v>
          </cell>
          <cell r="G16">
            <v>13.153682597016777</v>
          </cell>
          <cell r="H16">
            <v>2450</v>
          </cell>
          <cell r="I16">
            <v>32.226522362691099</v>
          </cell>
          <cell r="J16">
            <v>0.77194518516136312</v>
          </cell>
          <cell r="K16">
            <v>2508.616010659603</v>
          </cell>
          <cell r="M16" t="str">
            <v>Y</v>
          </cell>
          <cell r="N16">
            <v>9</v>
          </cell>
          <cell r="O16" t="e">
            <v>#N/A</v>
          </cell>
          <cell r="P16">
            <v>1890</v>
          </cell>
          <cell r="R16" t="str">
            <v>Bids opened</v>
          </cell>
          <cell r="S16" t="str">
            <v>Uttar Pradesh</v>
          </cell>
          <cell r="T16" t="str">
            <v>Private Sector</v>
          </cell>
        </row>
        <row r="17">
          <cell r="C17" t="str">
            <v>ANPARA TPS3</v>
          </cell>
          <cell r="D17" t="str">
            <v xml:space="preserve"> 30-35 years</v>
          </cell>
          <cell r="E17">
            <v>32.17522245</v>
          </cell>
          <cell r="F17">
            <v>210</v>
          </cell>
          <cell r="G17">
            <v>13.153682597016777</v>
          </cell>
          <cell r="H17">
            <v>2450</v>
          </cell>
          <cell r="I17">
            <v>32.226522362691099</v>
          </cell>
          <cell r="J17">
            <v>0.82806661917331348</v>
          </cell>
          <cell r="K17">
            <v>2690.9957062776607</v>
          </cell>
          <cell r="M17" t="str">
            <v>Y</v>
          </cell>
          <cell r="N17">
            <v>9</v>
          </cell>
          <cell r="O17" t="e">
            <v>#N/A</v>
          </cell>
          <cell r="P17">
            <v>1890</v>
          </cell>
          <cell r="R17" t="str">
            <v>Bids opened</v>
          </cell>
          <cell r="S17" t="str">
            <v>Uttar Pradesh</v>
          </cell>
          <cell r="T17" t="str">
            <v>Private Sector</v>
          </cell>
        </row>
        <row r="18">
          <cell r="C18" t="str">
            <v>ANPARA TPS4</v>
          </cell>
          <cell r="D18" t="str">
            <v xml:space="preserve"> 25-30 years</v>
          </cell>
          <cell r="E18">
            <v>26.841889120000001</v>
          </cell>
          <cell r="F18">
            <v>500</v>
          </cell>
          <cell r="G18">
            <v>13.153682597016777</v>
          </cell>
          <cell r="H18">
            <v>3160</v>
          </cell>
          <cell r="I18">
            <v>41.565637006573013</v>
          </cell>
          <cell r="J18">
            <v>0.91906908293165013</v>
          </cell>
          <cell r="K18">
            <v>7111.2605891848334</v>
          </cell>
          <cell r="M18" t="str">
            <v>Y</v>
          </cell>
          <cell r="N18">
            <v>5</v>
          </cell>
          <cell r="O18" t="e">
            <v>#N/A</v>
          </cell>
          <cell r="P18">
            <v>2500</v>
          </cell>
          <cell r="R18" t="str">
            <v>Bids opened</v>
          </cell>
          <cell r="S18" t="str">
            <v>Uttar Pradesh</v>
          </cell>
          <cell r="T18" t="str">
            <v>Private Sector</v>
          </cell>
        </row>
        <row r="19">
          <cell r="C19" t="str">
            <v>ANPARA TPS5</v>
          </cell>
          <cell r="D19" t="str">
            <v xml:space="preserve"> 25-30 years</v>
          </cell>
          <cell r="E19">
            <v>25.84257358</v>
          </cell>
          <cell r="F19">
            <v>500</v>
          </cell>
          <cell r="G19">
            <v>13.153682597016777</v>
          </cell>
          <cell r="H19">
            <v>3160</v>
          </cell>
          <cell r="I19">
            <v>41.565637006573013</v>
          </cell>
          <cell r="J19">
            <v>0.77722865032661248</v>
          </cell>
          <cell r="K19">
            <v>6013.7758657082359</v>
          </cell>
          <cell r="M19" t="str">
            <v>Y</v>
          </cell>
          <cell r="N19">
            <v>5</v>
          </cell>
          <cell r="O19" t="e">
            <v>#N/A</v>
          </cell>
          <cell r="P19">
            <v>2500</v>
          </cell>
          <cell r="R19" t="str">
            <v>Bids opened</v>
          </cell>
          <cell r="S19" t="str">
            <v>Uttar Pradesh</v>
          </cell>
          <cell r="T19" t="str">
            <v>Private Sector</v>
          </cell>
        </row>
        <row r="20">
          <cell r="C20" t="str">
            <v>ANPARA TPS6</v>
          </cell>
          <cell r="D20" t="str">
            <v xml:space="preserve"> 0-5 years</v>
          </cell>
          <cell r="E20">
            <v>4.9253935660000003</v>
          </cell>
          <cell r="F20">
            <v>600</v>
          </cell>
          <cell r="G20">
            <v>13.153682597016777</v>
          </cell>
          <cell r="I20">
            <v>0</v>
          </cell>
          <cell r="J20">
            <v>0.66090639290569719</v>
          </cell>
          <cell r="K20">
            <v>6136.4844131440959</v>
          </cell>
          <cell r="O20" t="e">
            <v>#N/A</v>
          </cell>
          <cell r="Q20">
            <v>2616.0179330302776</v>
          </cell>
          <cell r="R20" t="str">
            <v>Bids awarded</v>
          </cell>
          <cell r="S20" t="str">
            <v>Uttar Pradesh</v>
          </cell>
          <cell r="T20" t="str">
            <v>Private Sector</v>
          </cell>
        </row>
        <row r="21">
          <cell r="C21" t="str">
            <v>ANPARA TPS7</v>
          </cell>
          <cell r="D21" t="str">
            <v xml:space="preserve"> 0-5 years</v>
          </cell>
          <cell r="E21">
            <v>4.1752224499999997</v>
          </cell>
          <cell r="F21">
            <v>600</v>
          </cell>
          <cell r="G21">
            <v>13.153682597016777</v>
          </cell>
          <cell r="I21">
            <v>0</v>
          </cell>
          <cell r="J21">
            <v>0.50475270687055762</v>
          </cell>
          <cell r="K21">
            <v>4686.6048678779043</v>
          </cell>
          <cell r="O21" t="e">
            <v>#N/A</v>
          </cell>
          <cell r="Q21">
            <v>2616.0179330302776</v>
          </cell>
          <cell r="R21" t="str">
            <v>Bids awarded</v>
          </cell>
          <cell r="S21" t="str">
            <v>Uttar Pradesh</v>
          </cell>
          <cell r="T21" t="str">
            <v>Private Sector</v>
          </cell>
        </row>
        <row r="22">
          <cell r="C22" t="str">
            <v>ANUPPUR TPP1</v>
          </cell>
          <cell r="D22" t="str">
            <v xml:space="preserve"> 0-5 years</v>
          </cell>
          <cell r="E22">
            <v>5.0924024640000001</v>
          </cell>
          <cell r="F22">
            <v>600</v>
          </cell>
          <cell r="G22">
            <v>13.774742695675402</v>
          </cell>
          <cell r="H22">
            <v>3587</v>
          </cell>
          <cell r="I22">
            <v>49.410002049387664</v>
          </cell>
          <cell r="J22">
            <v>0.61182865123315966</v>
          </cell>
          <cell r="K22">
            <v>5949.022760879222</v>
          </cell>
          <cell r="N22">
            <v>5.75</v>
          </cell>
          <cell r="O22" t="e">
            <v>#N/A</v>
          </cell>
          <cell r="P22">
            <v>3450</v>
          </cell>
          <cell r="Q22">
            <v>2609.2323133901596</v>
          </cell>
          <cell r="R22" t="str">
            <v>Technical Bid under evaluation</v>
          </cell>
          <cell r="S22" t="str">
            <v>Madhya Pradesh</v>
          </cell>
          <cell r="T22" t="str">
            <v>Private Sector</v>
          </cell>
        </row>
        <row r="23">
          <cell r="C23" t="str">
            <v>ANUPPUR TPP2</v>
          </cell>
          <cell r="D23" t="str">
            <v xml:space="preserve"> 0-5 years</v>
          </cell>
          <cell r="E23">
            <v>4.1752224499999997</v>
          </cell>
          <cell r="F23">
            <v>600</v>
          </cell>
          <cell r="G23">
            <v>13.774742695675402</v>
          </cell>
          <cell r="H23">
            <v>3587</v>
          </cell>
          <cell r="I23">
            <v>49.410002049387664</v>
          </cell>
          <cell r="J23">
            <v>0.63842380622551398</v>
          </cell>
          <cell r="K23">
            <v>6207.6167022707195</v>
          </cell>
          <cell r="N23">
            <v>5.75</v>
          </cell>
          <cell r="O23" t="e">
            <v>#N/A</v>
          </cell>
          <cell r="P23">
            <v>3450</v>
          </cell>
          <cell r="Q23">
            <v>2609.2323133901596</v>
          </cell>
          <cell r="R23" t="str">
            <v>Technical Bid under evaluation</v>
          </cell>
          <cell r="S23" t="str">
            <v>Madhya Pradesh</v>
          </cell>
          <cell r="T23" t="str">
            <v>Private Sector</v>
          </cell>
        </row>
        <row r="24">
          <cell r="C24" t="str">
            <v>AVANTHA BHANDAR1</v>
          </cell>
          <cell r="D24" t="str">
            <v xml:space="preserve"> 5-10 years</v>
          </cell>
          <cell r="E24">
            <v>6.1765913760000002</v>
          </cell>
          <cell r="F24">
            <v>600</v>
          </cell>
          <cell r="G24">
            <v>12.22</v>
          </cell>
          <cell r="I24">
            <v>0</v>
          </cell>
          <cell r="J24">
            <v>1.0413626650081111E-2</v>
          </cell>
          <cell r="K24">
            <v>89.826718351052605</v>
          </cell>
          <cell r="O24" t="e">
            <v>#N/A</v>
          </cell>
          <cell r="Q24">
            <v>2517.85754</v>
          </cell>
          <cell r="R24" t="str">
            <v>Feasiblity Study Completed</v>
          </cell>
          <cell r="S24" t="str">
            <v>Chhatisgarh</v>
          </cell>
          <cell r="T24" t="str">
            <v>Private Sector</v>
          </cell>
        </row>
        <row r="25">
          <cell r="C25" t="str">
            <v>BADARPUR TPS4</v>
          </cell>
          <cell r="D25" t="str">
            <v xml:space="preserve"> 35-40 years</v>
          </cell>
          <cell r="E25">
            <v>41.423682409999998</v>
          </cell>
          <cell r="F25">
            <v>210</v>
          </cell>
          <cell r="G25">
            <v>14.905561076719914</v>
          </cell>
          <cell r="I25">
            <v>0</v>
          </cell>
          <cell r="J25">
            <v>0.32645857733362299</v>
          </cell>
          <cell r="K25">
            <v>1202.200159209101</v>
          </cell>
          <cell r="L25" t="str">
            <v>Y</v>
          </cell>
          <cell r="N25">
            <v>8.5</v>
          </cell>
          <cell r="O25" t="e">
            <v>#N/A</v>
          </cell>
          <cell r="P25">
            <v>1785</v>
          </cell>
          <cell r="S25" t="str">
            <v>Delhi</v>
          </cell>
          <cell r="T25" t="str">
            <v>Central Sector</v>
          </cell>
        </row>
        <row r="26">
          <cell r="C26" t="str">
            <v>BADARPUR TPS5</v>
          </cell>
          <cell r="D26" t="str">
            <v xml:space="preserve"> 35-40 years</v>
          </cell>
          <cell r="E26">
            <v>38.422997950000003</v>
          </cell>
          <cell r="F26">
            <v>210</v>
          </cell>
          <cell r="G26">
            <v>14.905561076719914</v>
          </cell>
          <cell r="I26">
            <v>0</v>
          </cell>
          <cell r="J26">
            <v>0.42531668049743648</v>
          </cell>
          <cell r="K26">
            <v>1566.2501049429236</v>
          </cell>
          <cell r="L26" t="str">
            <v>Y</v>
          </cell>
          <cell r="N26">
            <v>8.5</v>
          </cell>
          <cell r="O26" t="e">
            <v>#N/A</v>
          </cell>
          <cell r="P26">
            <v>1785</v>
          </cell>
          <cell r="S26" t="str">
            <v>Delhi</v>
          </cell>
          <cell r="T26" t="str">
            <v>Central Sector</v>
          </cell>
        </row>
        <row r="27">
          <cell r="C27" t="str">
            <v>BAKRESWAR TPS1</v>
          </cell>
          <cell r="D27" t="str">
            <v xml:space="preserve"> 10-15 years</v>
          </cell>
          <cell r="E27">
            <v>10.924024640000001</v>
          </cell>
          <cell r="F27">
            <v>210</v>
          </cell>
          <cell r="G27">
            <v>12.201374660681633</v>
          </cell>
          <cell r="H27">
            <v>3755</v>
          </cell>
          <cell r="I27">
            <v>45.816161850859537</v>
          </cell>
          <cell r="J27">
            <v>0.78782254416631747</v>
          </cell>
          <cell r="K27">
            <v>2374.857395030559</v>
          </cell>
          <cell r="L27" t="str">
            <v>Y</v>
          </cell>
          <cell r="O27" t="e">
            <v>#N/A</v>
          </cell>
          <cell r="Q27">
            <v>2597.2892000000002</v>
          </cell>
          <cell r="S27" t="str">
            <v>West Bengal</v>
          </cell>
          <cell r="T27" t="str">
            <v>State Sector</v>
          </cell>
        </row>
        <row r="28">
          <cell r="C28" t="str">
            <v>BAKRESWAR TPS2</v>
          </cell>
          <cell r="D28" t="str">
            <v xml:space="preserve"> 20-25 years</v>
          </cell>
          <cell r="E28">
            <v>20.843258039999998</v>
          </cell>
          <cell r="F28">
            <v>210</v>
          </cell>
          <cell r="G28">
            <v>12.201374660681633</v>
          </cell>
          <cell r="H28">
            <v>3755</v>
          </cell>
          <cell r="I28">
            <v>45.816161850859537</v>
          </cell>
          <cell r="J28">
            <v>0.79492671944359516</v>
          </cell>
          <cell r="K28">
            <v>2396.2726278361774</v>
          </cell>
          <cell r="L28" t="str">
            <v>Y</v>
          </cell>
          <cell r="O28" t="e">
            <v>#N/A</v>
          </cell>
          <cell r="Q28">
            <v>2597.2892000000002</v>
          </cell>
          <cell r="S28" t="str">
            <v>West Bengal</v>
          </cell>
          <cell r="T28" t="str">
            <v>State Sector</v>
          </cell>
        </row>
        <row r="29">
          <cell r="C29" t="str">
            <v>BAKRESWAR TPS3</v>
          </cell>
          <cell r="D29" t="str">
            <v xml:space="preserve"> 15-20 years</v>
          </cell>
          <cell r="E29">
            <v>20.008213550000001</v>
          </cell>
          <cell r="F29">
            <v>210</v>
          </cell>
          <cell r="G29">
            <v>12.201374660681633</v>
          </cell>
          <cell r="H29">
            <v>3755</v>
          </cell>
          <cell r="I29">
            <v>45.816161850859537</v>
          </cell>
          <cell r="J29">
            <v>0.74135983521950599</v>
          </cell>
          <cell r="K29">
            <v>2234.7975443033201</v>
          </cell>
          <cell r="L29" t="str">
            <v>Y</v>
          </cell>
          <cell r="O29" t="e">
            <v>#N/A</v>
          </cell>
          <cell r="Q29">
            <v>2597.2892000000002</v>
          </cell>
          <cell r="S29" t="str">
            <v>West Bengal</v>
          </cell>
          <cell r="T29" t="str">
            <v>State Sector</v>
          </cell>
        </row>
        <row r="30">
          <cell r="C30" t="str">
            <v>BAKRESWAR TPS4</v>
          </cell>
          <cell r="D30" t="str">
            <v xml:space="preserve"> 15-20 years</v>
          </cell>
          <cell r="E30">
            <v>19.175906909999998</v>
          </cell>
          <cell r="F30">
            <v>210</v>
          </cell>
          <cell r="G30">
            <v>12.201374660681633</v>
          </cell>
          <cell r="H30">
            <v>3755</v>
          </cell>
          <cell r="I30">
            <v>45.816161850859537</v>
          </cell>
          <cell r="J30">
            <v>0.79544835682181936</v>
          </cell>
          <cell r="K30">
            <v>2397.8450814228045</v>
          </cell>
          <cell r="L30" t="str">
            <v>Y</v>
          </cell>
          <cell r="O30" t="e">
            <v>#N/A</v>
          </cell>
          <cell r="Q30">
            <v>2597.2892000000002</v>
          </cell>
          <cell r="S30" t="str">
            <v>West Bengal</v>
          </cell>
          <cell r="T30" t="str">
            <v>State Sector</v>
          </cell>
        </row>
        <row r="31">
          <cell r="C31" t="str">
            <v>BAKRESWAR TPS5</v>
          </cell>
          <cell r="D31" t="str">
            <v xml:space="preserve"> 10-15 years</v>
          </cell>
          <cell r="E31">
            <v>12.42436687</v>
          </cell>
          <cell r="F31">
            <v>210</v>
          </cell>
          <cell r="G31">
            <v>12.201374660681633</v>
          </cell>
          <cell r="H31">
            <v>3755</v>
          </cell>
          <cell r="I31">
            <v>45.816161850859537</v>
          </cell>
          <cell r="J31">
            <v>0.74778302474740865</v>
          </cell>
          <cell r="K31">
            <v>2254.1599746665752</v>
          </cell>
          <cell r="L31" t="str">
            <v>Y</v>
          </cell>
          <cell r="O31" t="e">
            <v>#N/A</v>
          </cell>
          <cell r="Q31">
            <v>2597.2892000000002</v>
          </cell>
          <cell r="S31" t="str">
            <v>West Bengal</v>
          </cell>
          <cell r="T31" t="str">
            <v>State Sector</v>
          </cell>
        </row>
        <row r="32">
          <cell r="C32" t="str">
            <v>BALCO TPS1</v>
          </cell>
          <cell r="D32" t="str">
            <v xml:space="preserve"> 0-5 years</v>
          </cell>
          <cell r="E32">
            <v>4.9253935660000003</v>
          </cell>
          <cell r="F32">
            <v>300</v>
          </cell>
          <cell r="G32">
            <v>13.41843071860092</v>
          </cell>
          <cell r="I32">
            <v>0</v>
          </cell>
          <cell r="J32">
            <v>0.60880845503366954</v>
          </cell>
          <cell r="K32">
            <v>2883.2661440356792</v>
          </cell>
          <cell r="O32" t="e">
            <v>#N/A</v>
          </cell>
          <cell r="Q32">
            <v>2517.85754</v>
          </cell>
          <cell r="R32" t="str">
            <v>Feasiblity Study started</v>
          </cell>
          <cell r="S32" t="str">
            <v>Chhatisgarh</v>
          </cell>
          <cell r="T32" t="str">
            <v>Private Sector</v>
          </cell>
        </row>
        <row r="33">
          <cell r="C33" t="str">
            <v>BALCO TPS2</v>
          </cell>
          <cell r="D33" t="str">
            <v xml:space="preserve"> 0-5 years</v>
          </cell>
          <cell r="E33">
            <v>4.1752224499999997</v>
          </cell>
          <cell r="F33">
            <v>300</v>
          </cell>
          <cell r="G33">
            <v>13.41843071860092</v>
          </cell>
          <cell r="I33">
            <v>0</v>
          </cell>
          <cell r="J33">
            <v>0.4858731133750403</v>
          </cell>
          <cell r="K33">
            <v>2301.0546034778499</v>
          </cell>
          <cell r="O33" t="e">
            <v>#N/A</v>
          </cell>
          <cell r="Q33">
            <v>2517.85754</v>
          </cell>
          <cell r="R33" t="str">
            <v>Feasiblity Study started</v>
          </cell>
          <cell r="S33" t="str">
            <v>Chhatisgarh</v>
          </cell>
          <cell r="T33" t="str">
            <v>Private Sector</v>
          </cell>
        </row>
        <row r="34">
          <cell r="C34" t="str">
            <v>BANDAKHAR TPP1</v>
          </cell>
          <cell r="D34" t="str">
            <v xml:space="preserve"> 0-5 years</v>
          </cell>
          <cell r="E34">
            <v>4.8432580420000004</v>
          </cell>
          <cell r="F34">
            <v>300</v>
          </cell>
          <cell r="G34">
            <v>16.355276607949687</v>
          </cell>
          <cell r="I34">
            <v>0</v>
          </cell>
          <cell r="J34">
            <v>0.83089808747596661</v>
          </cell>
          <cell r="K34">
            <v>4796.3181365949922</v>
          </cell>
          <cell r="O34" t="e">
            <v>#N/A</v>
          </cell>
          <cell r="Q34">
            <v>2517.85754</v>
          </cell>
          <cell r="S34" t="str">
            <v>Chhatisgarh</v>
          </cell>
          <cell r="T34" t="str">
            <v>Private Sector</v>
          </cell>
        </row>
        <row r="35">
          <cell r="C35" t="str">
            <v>BANDEL TPS1</v>
          </cell>
          <cell r="D35" t="str">
            <v xml:space="preserve"> 45+ years</v>
          </cell>
          <cell r="E35">
            <v>54.672142370000003</v>
          </cell>
          <cell r="F35">
            <v>60</v>
          </cell>
          <cell r="G35">
            <v>17.847184962879297</v>
          </cell>
          <cell r="H35">
            <v>3599</v>
          </cell>
          <cell r="I35">
            <v>64.232018681402593</v>
          </cell>
          <cell r="J35">
            <v>0.3606232435657486</v>
          </cell>
          <cell r="K35">
            <v>454.31362798809789</v>
          </cell>
          <cell r="L35" t="str">
            <v>Y</v>
          </cell>
          <cell r="O35" t="e">
            <v>#N/A</v>
          </cell>
          <cell r="S35" t="str">
            <v>West Bengal</v>
          </cell>
          <cell r="T35" t="str">
            <v>State Sector</v>
          </cell>
        </row>
        <row r="36">
          <cell r="C36" t="str">
            <v>BANDEL TPS2</v>
          </cell>
          <cell r="D36" t="str">
            <v xml:space="preserve"> 45+ years</v>
          </cell>
          <cell r="E36">
            <v>54.590006840000001</v>
          </cell>
          <cell r="F36">
            <v>60</v>
          </cell>
          <cell r="G36">
            <v>17.847184962879297</v>
          </cell>
          <cell r="H36">
            <v>3599</v>
          </cell>
          <cell r="I36">
            <v>64.232018681402593</v>
          </cell>
          <cell r="J36">
            <v>0.37175087840104515</v>
          </cell>
          <cell r="K36">
            <v>468.33223672491556</v>
          </cell>
          <cell r="L36" t="str">
            <v>Y</v>
          </cell>
          <cell r="O36" t="e">
            <v>#N/A</v>
          </cell>
          <cell r="S36" t="str">
            <v>West Bengal</v>
          </cell>
          <cell r="T36" t="str">
            <v>State Sector</v>
          </cell>
        </row>
        <row r="37">
          <cell r="C37" t="str">
            <v>BANDEL TPS3</v>
          </cell>
          <cell r="D37" t="str">
            <v xml:space="preserve"> 45+ years</v>
          </cell>
          <cell r="E37">
            <v>54.253251200000001</v>
          </cell>
          <cell r="F37">
            <v>60</v>
          </cell>
          <cell r="G37">
            <v>17.847184962879297</v>
          </cell>
          <cell r="H37">
            <v>3599</v>
          </cell>
          <cell r="I37">
            <v>64.232018681402593</v>
          </cell>
          <cell r="J37">
            <v>2.4425287356321806E-2</v>
          </cell>
          <cell r="K37">
            <v>30.7710085566884</v>
          </cell>
          <cell r="L37" t="str">
            <v>Y</v>
          </cell>
          <cell r="O37" t="e">
            <v>#N/A</v>
          </cell>
          <cell r="S37" t="str">
            <v>West Bengal</v>
          </cell>
          <cell r="T37" t="str">
            <v>State Sector</v>
          </cell>
        </row>
        <row r="38">
          <cell r="C38" t="str">
            <v>BANDEL TPS4</v>
          </cell>
          <cell r="D38" t="str">
            <v xml:space="preserve"> 45+ years</v>
          </cell>
          <cell r="E38">
            <v>53.757700210000003</v>
          </cell>
          <cell r="F38">
            <v>60</v>
          </cell>
          <cell r="G38">
            <v>17.847184962879297</v>
          </cell>
          <cell r="H38">
            <v>3599</v>
          </cell>
          <cell r="I38">
            <v>64.232018681402593</v>
          </cell>
          <cell r="J38">
            <v>8.794596877188611E-2</v>
          </cell>
          <cell r="K38">
            <v>110.7944450408088</v>
          </cell>
          <cell r="L38" t="str">
            <v>Y</v>
          </cell>
          <cell r="O38" t="e">
            <v>#N/A</v>
          </cell>
          <cell r="S38" t="str">
            <v>West Bengal</v>
          </cell>
          <cell r="T38" t="str">
            <v>State Sector</v>
          </cell>
        </row>
        <row r="39">
          <cell r="C39" t="str">
            <v>BANDEL TPS5</v>
          </cell>
          <cell r="D39" t="str">
            <v xml:space="preserve"> 35-40 years</v>
          </cell>
          <cell r="E39">
            <v>37.590691309999997</v>
          </cell>
          <cell r="F39">
            <v>210</v>
          </cell>
          <cell r="G39">
            <v>17.847184962879297</v>
          </cell>
          <cell r="H39">
            <v>3599</v>
          </cell>
          <cell r="I39">
            <v>64.232018681402593</v>
          </cell>
          <cell r="J39">
            <v>0.48294712711640875</v>
          </cell>
          <cell r="K39">
            <v>2129.4609506316738</v>
          </cell>
          <cell r="L39" t="str">
            <v>Y</v>
          </cell>
          <cell r="O39" t="e">
            <v>#N/A</v>
          </cell>
          <cell r="S39" t="str">
            <v>West Bengal</v>
          </cell>
          <cell r="T39" t="str">
            <v>State Sector</v>
          </cell>
        </row>
        <row r="40">
          <cell r="C40" t="str">
            <v>BARA TPP1</v>
          </cell>
          <cell r="D40" t="str">
            <v xml:space="preserve"> 0-5 years</v>
          </cell>
          <cell r="E40">
            <v>3.422313484</v>
          </cell>
          <cell r="F40">
            <v>660</v>
          </cell>
          <cell r="G40">
            <v>12.965635622092615</v>
          </cell>
          <cell r="I40">
            <v>0</v>
          </cell>
          <cell r="J40">
            <v>0.56229419816131876</v>
          </cell>
          <cell r="K40">
            <v>5660.8601324852043</v>
          </cell>
          <cell r="O40" t="e">
            <v>#N/A</v>
          </cell>
          <cell r="Q40" t="e">
            <v>#N/A</v>
          </cell>
          <cell r="R40" t="str">
            <v>Feasibility Study started</v>
          </cell>
          <cell r="S40" t="str">
            <v>Uttar Pradesh</v>
          </cell>
          <cell r="T40" t="str">
            <v>Private Sector</v>
          </cell>
        </row>
        <row r="41">
          <cell r="C41" t="str">
            <v>BARA TPP2</v>
          </cell>
          <cell r="D41" t="str">
            <v xml:space="preserve"> 0-5 years</v>
          </cell>
          <cell r="E41">
            <v>4.6735112939999999</v>
          </cell>
          <cell r="F41">
            <v>660</v>
          </cell>
          <cell r="G41">
            <v>12.965635622092615</v>
          </cell>
          <cell r="I41">
            <v>0</v>
          </cell>
          <cell r="J41">
            <v>0.33807644665697034</v>
          </cell>
          <cell r="K41">
            <v>3403.5625565242722</v>
          </cell>
          <cell r="O41" t="e">
            <v>#N/A</v>
          </cell>
          <cell r="Q41" t="e">
            <v>#N/A</v>
          </cell>
          <cell r="R41" t="str">
            <v>Feasibility Study started</v>
          </cell>
          <cell r="S41" t="str">
            <v>Uttar Pradesh</v>
          </cell>
          <cell r="T41" t="str">
            <v>Private Sector</v>
          </cell>
        </row>
        <row r="42">
          <cell r="C42" t="str">
            <v>BARA TPP3</v>
          </cell>
          <cell r="D42" t="str">
            <v xml:space="preserve"> 0-5 years</v>
          </cell>
          <cell r="E42">
            <v>3.0088980150000002</v>
          </cell>
          <cell r="F42">
            <v>660</v>
          </cell>
          <cell r="G42">
            <v>12.965635622092615</v>
          </cell>
          <cell r="I42">
            <v>0</v>
          </cell>
          <cell r="J42">
            <v>0.46042392482258521</v>
          </cell>
          <cell r="K42">
            <v>4635.2878059089944</v>
          </cell>
          <cell r="O42" t="e">
            <v>#N/A</v>
          </cell>
          <cell r="Q42" t="e">
            <v>#N/A</v>
          </cell>
          <cell r="R42" t="str">
            <v>Feasibility Study started</v>
          </cell>
          <cell r="S42" t="str">
            <v>Uttar Pradesh</v>
          </cell>
          <cell r="T42" t="str">
            <v>Private Sector</v>
          </cell>
        </row>
        <row r="43">
          <cell r="C43" t="str">
            <v>BARADARHA TPS1</v>
          </cell>
          <cell r="D43" t="str">
            <v xml:space="preserve"> 5-10 years</v>
          </cell>
          <cell r="E43">
            <v>6.2532511980000001</v>
          </cell>
          <cell r="F43">
            <v>600</v>
          </cell>
          <cell r="G43">
            <v>14.712081034171026</v>
          </cell>
          <cell r="I43">
            <v>0</v>
          </cell>
          <cell r="J43">
            <v>0.62179770815578128</v>
          </cell>
          <cell r="K43">
            <v>6457.368190058598</v>
          </cell>
          <cell r="O43" t="e">
            <v>#N/A</v>
          </cell>
          <cell r="Q43">
            <v>2376.393536</v>
          </cell>
          <cell r="R43" t="str">
            <v>NIT issued</v>
          </cell>
          <cell r="S43" t="str">
            <v>Chhatisgarh</v>
          </cell>
          <cell r="T43" t="str">
            <v>Private Sector</v>
          </cell>
        </row>
        <row r="44">
          <cell r="C44" t="str">
            <v>BARADARHA TPS2</v>
          </cell>
          <cell r="D44" t="str">
            <v xml:space="preserve"> 5-10 years</v>
          </cell>
          <cell r="E44">
            <v>5.1772758379999999</v>
          </cell>
          <cell r="F44">
            <v>600</v>
          </cell>
          <cell r="G44">
            <v>14.712081034171026</v>
          </cell>
          <cell r="I44">
            <v>0</v>
          </cell>
          <cell r="J44">
            <v>0.59280092464442014</v>
          </cell>
          <cell r="K44">
            <v>6156.2366403530968</v>
          </cell>
          <cell r="O44" t="e">
            <v>#N/A</v>
          </cell>
          <cell r="Q44">
            <v>2376.393536</v>
          </cell>
          <cell r="R44" t="str">
            <v>NIT issued</v>
          </cell>
          <cell r="S44" t="str">
            <v>Chhatisgarh</v>
          </cell>
          <cell r="T44" t="str">
            <v>Private Sector</v>
          </cell>
        </row>
        <row r="45">
          <cell r="C45" t="str">
            <v>BARAUNI TPS7</v>
          </cell>
          <cell r="D45" t="str">
            <v xml:space="preserve"> 0-5 years</v>
          </cell>
          <cell r="E45">
            <v>3.4962354549999999</v>
          </cell>
          <cell r="F45">
            <v>110</v>
          </cell>
          <cell r="G45">
            <v>13.53</v>
          </cell>
          <cell r="H45">
            <v>5844.74</v>
          </cell>
          <cell r="I45">
            <v>79.079332199999996</v>
          </cell>
          <cell r="J45">
            <v>5.6867127897439015E-2</v>
          </cell>
          <cell r="K45">
            <v>99.570995823245269</v>
          </cell>
          <cell r="L45" t="str">
            <v>Y</v>
          </cell>
          <cell r="N45">
            <v>12</v>
          </cell>
          <cell r="O45" t="e">
            <v>#N/A</v>
          </cell>
          <cell r="P45">
            <v>1320</v>
          </cell>
          <cell r="Q45">
            <v>4101.8267590620799</v>
          </cell>
          <cell r="S45" t="str">
            <v>Bihar</v>
          </cell>
          <cell r="T45" t="str">
            <v>State Sector</v>
          </cell>
        </row>
        <row r="46">
          <cell r="C46" t="str">
            <v>BARAUNI TPS8</v>
          </cell>
          <cell r="D46" t="str">
            <v xml:space="preserve"> 0-5 years</v>
          </cell>
          <cell r="E46">
            <v>2.3381245719999999</v>
          </cell>
          <cell r="F46">
            <v>250</v>
          </cell>
          <cell r="G46">
            <v>13.53</v>
          </cell>
          <cell r="H46">
            <v>5844.74</v>
          </cell>
          <cell r="I46">
            <v>79.079332199999996</v>
          </cell>
          <cell r="J46">
            <v>1.20163358147229E-2</v>
          </cell>
          <cell r="K46">
            <v>47.817948109764956</v>
          </cell>
          <cell r="N46">
            <v>9</v>
          </cell>
          <cell r="O46" t="e">
            <v>#N/A</v>
          </cell>
          <cell r="P46">
            <v>2250</v>
          </cell>
          <cell r="Q46">
            <v>4101.8267590620799</v>
          </cell>
          <cell r="R46" t="str">
            <v>NIT issued</v>
          </cell>
          <cell r="S46" t="str">
            <v>Bihar</v>
          </cell>
          <cell r="T46" t="str">
            <v>State Sector</v>
          </cell>
        </row>
        <row r="47">
          <cell r="C47" t="str">
            <v>BARH II4</v>
          </cell>
          <cell r="D47" t="str">
            <v xml:space="preserve"> 5-10 years</v>
          </cell>
          <cell r="E47">
            <v>6.5051334699999996</v>
          </cell>
          <cell r="F47">
            <v>660</v>
          </cell>
          <cell r="G47">
            <v>12.629514687645356</v>
          </cell>
          <cell r="I47">
            <v>0</v>
          </cell>
          <cell r="J47">
            <v>0.76879185454102905</v>
          </cell>
          <cell r="K47">
            <v>7539.1163439069478</v>
          </cell>
          <cell r="O47" t="e">
            <v>#N/A</v>
          </cell>
          <cell r="Q47">
            <v>2517.85754</v>
          </cell>
          <cell r="R47" t="str">
            <v>Bid Awarded</v>
          </cell>
          <cell r="S47" t="str">
            <v>Bihar</v>
          </cell>
          <cell r="T47" t="str">
            <v>Central Sector</v>
          </cell>
        </row>
        <row r="48">
          <cell r="C48" t="str">
            <v>BARH II5</v>
          </cell>
          <cell r="D48" t="str">
            <v xml:space="preserve"> 5-10 years</v>
          </cell>
          <cell r="E48">
            <v>5.1772758379999999</v>
          </cell>
          <cell r="F48">
            <v>660</v>
          </cell>
          <cell r="G48">
            <v>12.629514687645356</v>
          </cell>
          <cell r="I48">
            <v>0</v>
          </cell>
          <cell r="J48">
            <v>0.79384212539310606</v>
          </cell>
          <cell r="K48">
            <v>7784.7704898043939</v>
          </cell>
          <cell r="O48" t="e">
            <v>#N/A</v>
          </cell>
          <cell r="Q48">
            <v>2517.85754</v>
          </cell>
          <cell r="R48" t="str">
            <v>Bid Awarded</v>
          </cell>
          <cell r="S48" t="str">
            <v>Bihar</v>
          </cell>
          <cell r="T48" t="str">
            <v>Central Sector</v>
          </cell>
        </row>
        <row r="49">
          <cell r="C49" t="str">
            <v>BARKHERA TPS1</v>
          </cell>
          <cell r="D49" t="str">
            <v xml:space="preserve"> 5-10 years</v>
          </cell>
          <cell r="E49">
            <v>8.5065023960000001</v>
          </cell>
          <cell r="F49">
            <v>45</v>
          </cell>
          <cell r="G49">
            <v>16.288033908419976</v>
          </cell>
          <cell r="I49">
            <v>0</v>
          </cell>
          <cell r="J49">
            <v>0.16599666704595001</v>
          </cell>
          <cell r="K49">
            <v>143.14020043389536</v>
          </cell>
          <cell r="O49" t="e">
            <v>#N/A</v>
          </cell>
          <cell r="Q49">
            <v>3283.6574055145607</v>
          </cell>
          <cell r="S49" t="str">
            <v>Uttar Pradesh</v>
          </cell>
          <cell r="T49" t="str">
            <v>Private Sector</v>
          </cell>
        </row>
        <row r="50">
          <cell r="C50" t="str">
            <v>BARKHERA TPS2</v>
          </cell>
          <cell r="D50" t="str">
            <v xml:space="preserve"> 5-10 years</v>
          </cell>
          <cell r="E50">
            <v>8.3394934979999995</v>
          </cell>
          <cell r="F50">
            <v>45</v>
          </cell>
          <cell r="G50">
            <v>16.288033908419976</v>
          </cell>
          <cell r="I50">
            <v>0</v>
          </cell>
          <cell r="J50">
            <v>0.14017378297396205</v>
          </cell>
          <cell r="K50">
            <v>120.87292924330924</v>
          </cell>
          <cell r="O50" t="e">
            <v>#N/A</v>
          </cell>
          <cell r="Q50">
            <v>3283.6574055145607</v>
          </cell>
          <cell r="S50" t="str">
            <v>Uttar Pradesh</v>
          </cell>
          <cell r="T50" t="str">
            <v>Private Sector</v>
          </cell>
        </row>
        <row r="51">
          <cell r="C51" t="str">
            <v>BARSINGSAR LIGNITE1</v>
          </cell>
          <cell r="D51" t="str">
            <v xml:space="preserve"> 5-10 years</v>
          </cell>
          <cell r="E51">
            <v>9.9247091029999996</v>
          </cell>
          <cell r="F51">
            <v>125</v>
          </cell>
          <cell r="G51">
            <v>13.44</v>
          </cell>
          <cell r="H51">
            <v>2664</v>
          </cell>
          <cell r="I51">
            <v>35.804159999999996</v>
          </cell>
          <cell r="J51">
            <v>0.71921921125310007</v>
          </cell>
          <cell r="K51">
            <v>1421.5156175355389</v>
          </cell>
          <cell r="N51">
            <v>11.5</v>
          </cell>
          <cell r="O51" t="e">
            <v>#N/A</v>
          </cell>
          <cell r="P51">
            <v>1437.5</v>
          </cell>
          <cell r="Q51">
            <v>2517.85754</v>
          </cell>
          <cell r="S51" t="str">
            <v>Rajasthan</v>
          </cell>
          <cell r="T51" t="str">
            <v>Central Sector</v>
          </cell>
        </row>
        <row r="52">
          <cell r="C52" t="str">
            <v>BARSINGSAR LIGNITE2</v>
          </cell>
          <cell r="D52" t="str">
            <v xml:space="preserve"> 5-10 years</v>
          </cell>
          <cell r="E52">
            <v>9.3388090350000006</v>
          </cell>
          <cell r="F52">
            <v>125</v>
          </cell>
          <cell r="G52">
            <v>13.44</v>
          </cell>
          <cell r="H52">
            <v>2664</v>
          </cell>
          <cell r="I52">
            <v>35.804159999999996</v>
          </cell>
          <cell r="J52">
            <v>0.65589233118438994</v>
          </cell>
          <cell r="K52">
            <v>1296.3519016350297</v>
          </cell>
          <cell r="N52">
            <v>11.5</v>
          </cell>
          <cell r="O52" t="e">
            <v>#N/A</v>
          </cell>
          <cell r="P52">
            <v>1437.5</v>
          </cell>
          <cell r="Q52">
            <v>2517.85754</v>
          </cell>
          <cell r="S52" t="str">
            <v>Rajasthan</v>
          </cell>
          <cell r="T52" t="str">
            <v>Central Sector</v>
          </cell>
        </row>
        <row r="53">
          <cell r="C53" t="str">
            <v>BELA TPS1</v>
          </cell>
          <cell r="D53" t="str">
            <v xml:space="preserve"> 5-10 years</v>
          </cell>
          <cell r="E53">
            <v>7.1759069130000004</v>
          </cell>
          <cell r="F53">
            <v>270</v>
          </cell>
          <cell r="G53">
            <v>11.15</v>
          </cell>
          <cell r="I53">
            <v>0</v>
          </cell>
          <cell r="J53">
            <v>2.8690124563033641E-2</v>
          </cell>
          <cell r="K53">
            <v>101.61367058472092</v>
          </cell>
          <cell r="O53" t="e">
            <v>#N/A</v>
          </cell>
          <cell r="Q53">
            <v>2517.85754</v>
          </cell>
          <cell r="S53" t="str">
            <v>Maharashtra</v>
          </cell>
          <cell r="T53" t="str">
            <v>Private Sector</v>
          </cell>
        </row>
        <row r="54">
          <cell r="C54" t="str">
            <v>BELLARY TPS1</v>
          </cell>
          <cell r="D54" t="str">
            <v xml:space="preserve"> 10-15 years</v>
          </cell>
          <cell r="E54">
            <v>12.42436687</v>
          </cell>
          <cell r="F54">
            <v>500</v>
          </cell>
          <cell r="G54">
            <v>13.352648309991732</v>
          </cell>
          <cell r="I54">
            <v>0</v>
          </cell>
          <cell r="J54">
            <v>0.32939362585412335</v>
          </cell>
          <cell r="K54">
            <v>2587.2219068135942</v>
          </cell>
          <cell r="O54" t="e">
            <v>#N/A</v>
          </cell>
          <cell r="Q54">
            <v>2744.0178318949179</v>
          </cell>
          <cell r="R54" t="str">
            <v>NIT issued</v>
          </cell>
          <cell r="S54" t="str">
            <v>Karnataka</v>
          </cell>
          <cell r="T54" t="str">
            <v>State Sector</v>
          </cell>
        </row>
        <row r="55">
          <cell r="C55" t="str">
            <v>BELLARY TPS2</v>
          </cell>
          <cell r="D55" t="str">
            <v xml:space="preserve"> 5-10 years</v>
          </cell>
          <cell r="E55">
            <v>8.1752224499999997</v>
          </cell>
          <cell r="F55">
            <v>500</v>
          </cell>
          <cell r="G55">
            <v>13.352648309991732</v>
          </cell>
          <cell r="I55">
            <v>0</v>
          </cell>
          <cell r="J55">
            <v>0.43364948885004417</v>
          </cell>
          <cell r="K55">
            <v>3406.0994790719533</v>
          </cell>
          <cell r="O55" t="e">
            <v>#N/A</v>
          </cell>
          <cell r="Q55">
            <v>2744.0178318949179</v>
          </cell>
          <cell r="R55" t="str">
            <v>NIT issued</v>
          </cell>
          <cell r="S55" t="str">
            <v>Karnataka</v>
          </cell>
          <cell r="T55" t="str">
            <v>State Sector</v>
          </cell>
        </row>
        <row r="56">
          <cell r="C56" t="str">
            <v>BELLARY TPS3</v>
          </cell>
          <cell r="D56" t="str">
            <v xml:space="preserve"> 0-5 years</v>
          </cell>
          <cell r="E56">
            <v>4.1752224499999997</v>
          </cell>
          <cell r="F56">
            <v>700</v>
          </cell>
          <cell r="G56">
            <v>12.59</v>
          </cell>
          <cell r="I56">
            <v>0</v>
          </cell>
          <cell r="J56">
            <v>0.16989100317855477</v>
          </cell>
          <cell r="K56">
            <v>1761.4698953089448</v>
          </cell>
          <cell r="O56" t="e">
            <v>#N/A</v>
          </cell>
          <cell r="Q56">
            <v>2744.0178318949179</v>
          </cell>
          <cell r="R56" t="str">
            <v>NIT issued</v>
          </cell>
          <cell r="S56" t="str">
            <v>Karnataka</v>
          </cell>
          <cell r="T56" t="str">
            <v>State Sector</v>
          </cell>
        </row>
        <row r="57">
          <cell r="C57" t="str">
            <v>BHAVNAGAR TPP1</v>
          </cell>
          <cell r="D57" t="str">
            <v xml:space="preserve"> 0-5 years</v>
          </cell>
          <cell r="E57">
            <v>4.008213552</v>
          </cell>
          <cell r="F57">
            <v>250</v>
          </cell>
          <cell r="G57">
            <v>13.43</v>
          </cell>
          <cell r="I57">
            <v>0</v>
          </cell>
          <cell r="J57">
            <v>0.1814536911088733</v>
          </cell>
          <cell r="K57">
            <v>716.74207988004957</v>
          </cell>
          <cell r="O57" t="e">
            <v>#N/A</v>
          </cell>
          <cell r="Q57">
            <v>2838.3579840000002</v>
          </cell>
          <cell r="S57" t="str">
            <v>Gujarat</v>
          </cell>
          <cell r="T57" t="str">
            <v>State Sector</v>
          </cell>
        </row>
        <row r="58">
          <cell r="C58" t="str">
            <v>BHAVNAGAR TPP2</v>
          </cell>
          <cell r="D58" t="str">
            <v xml:space="preserve"> 0-5 years</v>
          </cell>
          <cell r="E58">
            <v>3.1759069129999999</v>
          </cell>
          <cell r="F58">
            <v>250</v>
          </cell>
          <cell r="G58">
            <v>13.43</v>
          </cell>
          <cell r="I58">
            <v>0</v>
          </cell>
          <cell r="J58">
            <v>7.822912083384817E-2</v>
          </cell>
          <cell r="K58">
            <v>309.00502729370027</v>
          </cell>
          <cell r="O58" t="e">
            <v>#N/A</v>
          </cell>
          <cell r="Q58">
            <v>2838.3579840000002</v>
          </cell>
          <cell r="S58" t="str">
            <v>Gujarat</v>
          </cell>
          <cell r="T58" t="str">
            <v>State Sector</v>
          </cell>
        </row>
        <row r="59">
          <cell r="C59" t="str">
            <v>BHILAI TPS1</v>
          </cell>
          <cell r="D59" t="str">
            <v xml:space="preserve"> 10-15 years</v>
          </cell>
          <cell r="E59">
            <v>12.090349079999999</v>
          </cell>
          <cell r="F59">
            <v>250</v>
          </cell>
          <cell r="G59">
            <v>13.167889118409974</v>
          </cell>
          <cell r="H59">
            <v>4044</v>
          </cell>
          <cell r="I59">
            <v>53.250943594849936</v>
          </cell>
          <cell r="J59">
            <v>0.74051026187239166</v>
          </cell>
          <cell r="K59">
            <v>2867.9285351118783</v>
          </cell>
          <cell r="N59">
            <v>9</v>
          </cell>
          <cell r="O59">
            <v>9.3017879883717551</v>
          </cell>
          <cell r="P59">
            <v>2250</v>
          </cell>
          <cell r="Q59">
            <v>2575.807964801003</v>
          </cell>
          <cell r="R59" t="str">
            <v>Bid awarded</v>
          </cell>
          <cell r="S59" t="str">
            <v>Chhatisgarh</v>
          </cell>
          <cell r="T59" t="str">
            <v>Central Sector</v>
          </cell>
        </row>
        <row r="60">
          <cell r="C60" t="str">
            <v>BHILAI TPS2</v>
          </cell>
          <cell r="D60" t="str">
            <v xml:space="preserve"> 10-15 years</v>
          </cell>
          <cell r="E60">
            <v>10.841889119999999</v>
          </cell>
          <cell r="F60">
            <v>250</v>
          </cell>
          <cell r="G60">
            <v>13.167889118409974</v>
          </cell>
          <cell r="H60">
            <v>4044</v>
          </cell>
          <cell r="I60">
            <v>53.250943594849936</v>
          </cell>
          <cell r="J60">
            <v>0.76174879532757167</v>
          </cell>
          <cell r="K60">
            <v>2950.1834332223052</v>
          </cell>
          <cell r="N60">
            <v>9</v>
          </cell>
          <cell r="O60">
            <v>9.3017879883717551</v>
          </cell>
          <cell r="P60">
            <v>2250</v>
          </cell>
          <cell r="Q60">
            <v>2575.807964801003</v>
          </cell>
          <cell r="R60" t="str">
            <v>Bid awarded</v>
          </cell>
          <cell r="S60" t="str">
            <v>Chhatisgarh</v>
          </cell>
          <cell r="T60" t="str">
            <v>Central Sector</v>
          </cell>
        </row>
        <row r="61">
          <cell r="C61" t="str">
            <v>BHUSAWAL TPS3</v>
          </cell>
          <cell r="D61" t="str">
            <v xml:space="preserve"> 35-40 years</v>
          </cell>
          <cell r="E61">
            <v>37.672826829999998</v>
          </cell>
          <cell r="F61">
            <v>210</v>
          </cell>
          <cell r="G61">
            <v>15.59174785666904</v>
          </cell>
          <cell r="H61">
            <v>3109</v>
          </cell>
          <cell r="I61">
            <v>48.474744086384042</v>
          </cell>
          <cell r="J61">
            <v>0.11945986358124167</v>
          </cell>
          <cell r="K61">
            <v>460.16881777608012</v>
          </cell>
          <cell r="M61" t="str">
            <v>Y</v>
          </cell>
          <cell r="N61">
            <v>10.96</v>
          </cell>
          <cell r="O61">
            <v>10.800383498827447</v>
          </cell>
          <cell r="P61">
            <v>2301.6000000000004</v>
          </cell>
          <cell r="R61" t="str">
            <v>Feasiblity Study Carried Out</v>
          </cell>
          <cell r="S61" t="str">
            <v>Maharashtra</v>
          </cell>
          <cell r="T61" t="str">
            <v>State Sector</v>
          </cell>
        </row>
        <row r="62">
          <cell r="C62" t="str">
            <v>BHUSAWAL TPS4</v>
          </cell>
          <cell r="D62" t="str">
            <v xml:space="preserve"> 5-10 years</v>
          </cell>
          <cell r="E62">
            <v>8.1752224499999997</v>
          </cell>
          <cell r="F62">
            <v>500</v>
          </cell>
          <cell r="G62">
            <v>13.26</v>
          </cell>
          <cell r="H62">
            <v>3146</v>
          </cell>
          <cell r="I62">
            <v>41.715960000000003</v>
          </cell>
          <cell r="J62">
            <v>0.69021110993402424</v>
          </cell>
          <cell r="K62">
            <v>5383.6466574853885</v>
          </cell>
          <cell r="N62">
            <v>6</v>
          </cell>
          <cell r="O62">
            <v>10.800383498827447</v>
          </cell>
          <cell r="P62">
            <v>3000</v>
          </cell>
          <cell r="Q62">
            <v>3087.9675601331437</v>
          </cell>
          <cell r="R62" t="str">
            <v>Feasiblity Study Carried Out</v>
          </cell>
          <cell r="S62" t="str">
            <v>Maharashtra</v>
          </cell>
          <cell r="T62" t="str">
            <v>State Sector</v>
          </cell>
        </row>
        <row r="63">
          <cell r="C63" t="str">
            <v>BHUSAWAL TPS5</v>
          </cell>
          <cell r="D63" t="str">
            <v xml:space="preserve"> 5-10 years</v>
          </cell>
          <cell r="E63">
            <v>8.1752224499999997</v>
          </cell>
          <cell r="F63">
            <v>500</v>
          </cell>
          <cell r="G63">
            <v>13.26</v>
          </cell>
          <cell r="H63">
            <v>3146</v>
          </cell>
          <cell r="I63">
            <v>41.715960000000003</v>
          </cell>
          <cell r="J63">
            <v>0.69700316923271577</v>
          </cell>
          <cell r="K63">
            <v>5436.6247200151829</v>
          </cell>
          <cell r="N63">
            <v>6</v>
          </cell>
          <cell r="O63">
            <v>10.800383498827447</v>
          </cell>
          <cell r="P63">
            <v>3000</v>
          </cell>
          <cell r="Q63">
            <v>3087.9675601331437</v>
          </cell>
          <cell r="R63" t="str">
            <v>Feasiblity Study Carried Out</v>
          </cell>
          <cell r="S63" t="str">
            <v>Maharashtra</v>
          </cell>
          <cell r="T63" t="str">
            <v>State Sector</v>
          </cell>
        </row>
        <row r="64">
          <cell r="C64" t="str">
            <v>BINA TPS1</v>
          </cell>
          <cell r="D64" t="str">
            <v xml:space="preserve"> 5-10 years</v>
          </cell>
          <cell r="E64">
            <v>7.7563312800000004</v>
          </cell>
          <cell r="F64">
            <v>250</v>
          </cell>
          <cell r="G64">
            <v>13.976925876531116</v>
          </cell>
          <cell r="H64">
            <v>3828</v>
          </cell>
          <cell r="I64">
            <v>53.50367225536111</v>
          </cell>
          <cell r="J64">
            <v>0.61014295649487005</v>
          </cell>
          <cell r="K64">
            <v>2508.2126108871612</v>
          </cell>
          <cell r="N64">
            <v>8.5</v>
          </cell>
          <cell r="O64" t="e">
            <v>#N/A</v>
          </cell>
          <cell r="P64">
            <v>2125</v>
          </cell>
          <cell r="Q64">
            <v>2715.8078541842028</v>
          </cell>
          <cell r="S64" t="str">
            <v>Madhya Pradesh</v>
          </cell>
          <cell r="T64" t="str">
            <v>Private Sector</v>
          </cell>
        </row>
        <row r="65">
          <cell r="C65" t="str">
            <v>BINA TPS2</v>
          </cell>
          <cell r="D65" t="str">
            <v xml:space="preserve"> 5-10 years</v>
          </cell>
          <cell r="E65">
            <v>7.1759069130000004</v>
          </cell>
          <cell r="F65">
            <v>250</v>
          </cell>
          <cell r="G65">
            <v>13.976925876531116</v>
          </cell>
          <cell r="H65">
            <v>3828</v>
          </cell>
          <cell r="I65">
            <v>53.50367225536111</v>
          </cell>
          <cell r="J65">
            <v>0.53807568006191331</v>
          </cell>
          <cell r="K65">
            <v>2211.9540871145396</v>
          </cell>
          <cell r="N65">
            <v>8.5</v>
          </cell>
          <cell r="O65" t="e">
            <v>#N/A</v>
          </cell>
          <cell r="P65">
            <v>2125</v>
          </cell>
          <cell r="Q65">
            <v>2715.8078541842028</v>
          </cell>
          <cell r="S65" t="str">
            <v>Madhya Pradesh</v>
          </cell>
          <cell r="T65" t="str">
            <v>Private Sector</v>
          </cell>
        </row>
        <row r="66">
          <cell r="C66" t="str">
            <v>BINJKOTE  TPP1</v>
          </cell>
          <cell r="D66" t="str">
            <v xml:space="preserve"> 0-5 years</v>
          </cell>
          <cell r="E66">
            <v>3.0910335390000001</v>
          </cell>
          <cell r="F66">
            <v>300</v>
          </cell>
          <cell r="G66">
            <v>16.009194928836298</v>
          </cell>
          <cell r="I66">
            <v>0</v>
          </cell>
          <cell r="J66">
            <v>0.35035059952955694</v>
          </cell>
          <cell r="K66">
            <v>1979.5874263423555</v>
          </cell>
          <cell r="O66" t="e">
            <v>#N/A</v>
          </cell>
          <cell r="Q66" t="e">
            <v>#N/A</v>
          </cell>
          <cell r="R66" t="str">
            <v>Feasability study started</v>
          </cell>
          <cell r="S66" t="str">
            <v>Chhatisgarh</v>
          </cell>
          <cell r="T66" t="str">
            <v>Private Sector</v>
          </cell>
        </row>
        <row r="67">
          <cell r="C67" t="str">
            <v>BINJKOTE  TPP2</v>
          </cell>
          <cell r="D67" t="str">
            <v xml:space="preserve"> 0-5 years</v>
          </cell>
          <cell r="E67">
            <v>2.0917180009999998</v>
          </cell>
          <cell r="F67">
            <v>300</v>
          </cell>
          <cell r="G67">
            <v>16.009194928836298</v>
          </cell>
          <cell r="I67">
            <v>0</v>
          </cell>
          <cell r="J67">
            <v>0.40377928016278608</v>
          </cell>
          <cell r="K67">
            <v>2281.4757191827925</v>
          </cell>
          <cell r="O67" t="e">
            <v>#N/A</v>
          </cell>
          <cell r="Q67" t="e">
            <v>#N/A</v>
          </cell>
          <cell r="R67" t="str">
            <v>Feasibility study under process</v>
          </cell>
          <cell r="S67" t="str">
            <v>Chhatisgarh</v>
          </cell>
          <cell r="T67" t="str">
            <v>Private Sector</v>
          </cell>
        </row>
        <row r="68">
          <cell r="C68" t="str">
            <v>BOKARO A TPS1</v>
          </cell>
          <cell r="D68" t="str">
            <v xml:space="preserve"> 0-5 years</v>
          </cell>
          <cell r="E68">
            <v>4.1752224499999997</v>
          </cell>
          <cell r="F68">
            <v>500</v>
          </cell>
          <cell r="G68">
            <v>13.428072521810114</v>
          </cell>
          <cell r="H68">
            <v>4156</v>
          </cell>
          <cell r="I68">
            <v>55.807069400642831</v>
          </cell>
          <cell r="J68">
            <v>0.66869912838633094</v>
          </cell>
          <cell r="K68">
            <v>5281.9649360252142</v>
          </cell>
          <cell r="N68">
            <v>5.25</v>
          </cell>
          <cell r="O68">
            <v>11.198794758064031</v>
          </cell>
          <cell r="P68">
            <v>2625</v>
          </cell>
          <cell r="Q68">
            <v>2517.85754</v>
          </cell>
          <cell r="R68" t="str">
            <v>Bid Awarded</v>
          </cell>
          <cell r="S68" t="str">
            <v>Jharkhand</v>
          </cell>
          <cell r="T68" t="str">
            <v>Central Sector</v>
          </cell>
        </row>
        <row r="69">
          <cell r="C69" t="str">
            <v>BOKARO B TPS3</v>
          </cell>
          <cell r="D69" t="str">
            <v xml:space="preserve"> 25-30 years</v>
          </cell>
          <cell r="E69">
            <v>26.75701574</v>
          </cell>
          <cell r="F69">
            <v>210</v>
          </cell>
          <cell r="G69">
            <v>15.174933809152314</v>
          </cell>
          <cell r="H69">
            <v>3518</v>
          </cell>
          <cell r="I69">
            <v>53.385417140597845</v>
          </cell>
          <cell r="J69">
            <v>0.21676486215752575</v>
          </cell>
          <cell r="K69">
            <v>812.6734252141182</v>
          </cell>
          <cell r="L69" t="str">
            <v>Y</v>
          </cell>
          <cell r="N69">
            <v>10.25</v>
          </cell>
          <cell r="O69" t="e">
            <v>#N/A</v>
          </cell>
          <cell r="P69">
            <v>2152.5</v>
          </cell>
          <cell r="S69" t="str">
            <v>Jharkhand</v>
          </cell>
          <cell r="T69" t="str">
            <v>Central Sector</v>
          </cell>
        </row>
        <row r="70">
          <cell r="C70" t="str">
            <v>BONGAIGAON TPS1</v>
          </cell>
          <cell r="D70" t="str">
            <v xml:space="preserve"> 0-5 years</v>
          </cell>
          <cell r="E70">
            <v>4.9253935660000003</v>
          </cell>
          <cell r="F70">
            <v>250</v>
          </cell>
          <cell r="G70">
            <v>11.648444335366905</v>
          </cell>
          <cell r="H70">
            <v>6244</v>
          </cell>
          <cell r="I70">
            <v>72.732886430030945</v>
          </cell>
          <cell r="J70">
            <v>0.66346499233659506</v>
          </cell>
          <cell r="K70">
            <v>2273.0397152051351</v>
          </cell>
          <cell r="N70">
            <v>10</v>
          </cell>
          <cell r="O70" t="e">
            <v>#N/A</v>
          </cell>
          <cell r="P70">
            <v>2500</v>
          </cell>
          <cell r="Q70">
            <v>2517.101048</v>
          </cell>
          <cell r="S70" t="str">
            <v>Assam</v>
          </cell>
          <cell r="T70" t="str">
            <v>Central Sector</v>
          </cell>
        </row>
        <row r="71">
          <cell r="C71" t="str">
            <v>BONGAIGAON TPS2</v>
          </cell>
          <cell r="D71" t="str">
            <v xml:space="preserve"> 0-5 years</v>
          </cell>
          <cell r="E71">
            <v>3.107460643</v>
          </cell>
          <cell r="F71">
            <v>250</v>
          </cell>
          <cell r="G71">
            <v>11.648444335366905</v>
          </cell>
          <cell r="I71">
            <v>0</v>
          </cell>
          <cell r="J71">
            <v>0.59498356998664004</v>
          </cell>
          <cell r="K71">
            <v>2038.421469249193</v>
          </cell>
          <cell r="O71" t="e">
            <v>#N/A</v>
          </cell>
          <cell r="P71">
            <v>0</v>
          </cell>
          <cell r="Q71">
            <v>2517.101048</v>
          </cell>
          <cell r="S71" t="str">
            <v>Assam</v>
          </cell>
          <cell r="T71" t="str">
            <v>Central Sector</v>
          </cell>
        </row>
        <row r="72">
          <cell r="C72" t="str">
            <v>BONGAIGAON TPS3</v>
          </cell>
          <cell r="D72" t="str">
            <v xml:space="preserve"> 0-5 years</v>
          </cell>
          <cell r="E72">
            <v>1.3388090349999999</v>
          </cell>
          <cell r="F72">
            <v>250</v>
          </cell>
          <cell r="G72">
            <v>11.648444335366905</v>
          </cell>
          <cell r="I72">
            <v>0</v>
          </cell>
          <cell r="J72">
            <v>0.49649108696272165</v>
          </cell>
          <cell r="K72">
            <v>1700.9849380856094</v>
          </cell>
          <cell r="O72" t="e">
            <v>#N/A</v>
          </cell>
          <cell r="P72">
            <v>0</v>
          </cell>
          <cell r="Q72" t="e">
            <v>#N/A</v>
          </cell>
          <cell r="S72" t="str">
            <v>Assam</v>
          </cell>
          <cell r="T72" t="str">
            <v>Central Sector</v>
          </cell>
        </row>
        <row r="73">
          <cell r="C73" t="str">
            <v>BUDGE BUDGE TPS1</v>
          </cell>
          <cell r="D73" t="str">
            <v xml:space="preserve"> 20-25 years</v>
          </cell>
          <cell r="E73">
            <v>22.67214237</v>
          </cell>
          <cell r="F73">
            <v>250</v>
          </cell>
          <cell r="G73">
            <v>11.940245111171752</v>
          </cell>
          <cell r="H73">
            <v>3393</v>
          </cell>
          <cell r="I73">
            <v>40.513251662205754</v>
          </cell>
          <cell r="J73">
            <v>0.90199457892661339</v>
          </cell>
          <cell r="K73">
            <v>3167.6577533329173</v>
          </cell>
          <cell r="N73">
            <v>9</v>
          </cell>
          <cell r="O73" t="e">
            <v>#N/A</v>
          </cell>
          <cell r="P73">
            <v>2250</v>
          </cell>
          <cell r="Q73">
            <v>2550.386696</v>
          </cell>
          <cell r="R73" t="str">
            <v>Feasibility Study started</v>
          </cell>
          <cell r="S73" t="str">
            <v>West Bengal</v>
          </cell>
          <cell r="T73" t="str">
            <v>Private Sector</v>
          </cell>
        </row>
        <row r="74">
          <cell r="C74" t="str">
            <v>BUDGE BUDGE TPS2</v>
          </cell>
          <cell r="D74" t="str">
            <v xml:space="preserve"> 20-25 years</v>
          </cell>
          <cell r="E74">
            <v>21.17727584</v>
          </cell>
          <cell r="F74">
            <v>250</v>
          </cell>
          <cell r="G74">
            <v>11.940245111171752</v>
          </cell>
          <cell r="H74">
            <v>3393</v>
          </cell>
          <cell r="I74">
            <v>40.513251662205754</v>
          </cell>
          <cell r="J74">
            <v>0.83546095944641485</v>
          </cell>
          <cell r="K74">
            <v>2934.0025401779162</v>
          </cell>
          <cell r="N74">
            <v>9</v>
          </cell>
          <cell r="O74" t="e">
            <v>#N/A</v>
          </cell>
          <cell r="P74">
            <v>2250</v>
          </cell>
          <cell r="Q74">
            <v>2550.386696</v>
          </cell>
          <cell r="R74" t="str">
            <v>Feasibility Study started</v>
          </cell>
          <cell r="S74" t="str">
            <v>West Bengal</v>
          </cell>
          <cell r="T74" t="str">
            <v>Private Sector</v>
          </cell>
        </row>
        <row r="75">
          <cell r="C75" t="str">
            <v>BUDGE BUDGE TPS3</v>
          </cell>
          <cell r="D75" t="str">
            <v xml:space="preserve"> 10-15 years</v>
          </cell>
          <cell r="E75">
            <v>10.67214237</v>
          </cell>
          <cell r="F75">
            <v>250</v>
          </cell>
          <cell r="G75">
            <v>11.940245111171752</v>
          </cell>
          <cell r="H75">
            <v>3393</v>
          </cell>
          <cell r="I75">
            <v>40.513251662205754</v>
          </cell>
          <cell r="J75">
            <v>0.93339052502723829</v>
          </cell>
          <cell r="K75">
            <v>3277.9151921383877</v>
          </cell>
          <cell r="N75">
            <v>9</v>
          </cell>
          <cell r="O75" t="e">
            <v>#N/A</v>
          </cell>
          <cell r="P75">
            <v>2250</v>
          </cell>
          <cell r="Q75">
            <v>2550.386696</v>
          </cell>
          <cell r="R75" t="str">
            <v>Feasibility Study started</v>
          </cell>
          <cell r="S75" t="str">
            <v>West Bengal</v>
          </cell>
          <cell r="T75" t="str">
            <v>Private Sector</v>
          </cell>
        </row>
        <row r="76">
          <cell r="C76" t="str">
            <v>BUTIBORI TPP1</v>
          </cell>
          <cell r="D76" t="str">
            <v xml:space="preserve"> 5-10 years</v>
          </cell>
          <cell r="E76">
            <v>7.7563312800000004</v>
          </cell>
          <cell r="F76">
            <v>300</v>
          </cell>
          <cell r="G76">
            <v>13.166019874134683</v>
          </cell>
          <cell r="H76">
            <v>3817</v>
          </cell>
          <cell r="I76">
            <v>50.25469785957209</v>
          </cell>
          <cell r="J76">
            <v>0.22892321636523333</v>
          </cell>
          <cell r="K76">
            <v>1063.7673939937047</v>
          </cell>
          <cell r="N76">
            <v>9.1300000000000008</v>
          </cell>
          <cell r="O76" t="e">
            <v>#N/A</v>
          </cell>
          <cell r="P76">
            <v>2739.0000000000005</v>
          </cell>
          <cell r="Q76">
            <v>2531.4743960000001</v>
          </cell>
          <cell r="R76" t="str">
            <v>Reliance power has floated the tender</v>
          </cell>
          <cell r="S76" t="str">
            <v>Maharashtra</v>
          </cell>
          <cell r="T76" t="str">
            <v>Private Sector</v>
          </cell>
        </row>
        <row r="77">
          <cell r="C77" t="str">
            <v>BUTIBORI TPP2</v>
          </cell>
          <cell r="D77" t="str">
            <v xml:space="preserve"> 5-10 years</v>
          </cell>
          <cell r="E77">
            <v>7.1759069130000004</v>
          </cell>
          <cell r="F77">
            <v>300</v>
          </cell>
          <cell r="G77">
            <v>13.166019874134683</v>
          </cell>
          <cell r="H77">
            <v>3817</v>
          </cell>
          <cell r="I77">
            <v>50.25469785957209</v>
          </cell>
          <cell r="J77">
            <v>0.42600631397712085</v>
          </cell>
          <cell r="K77">
            <v>1979.579151645753</v>
          </cell>
          <cell r="N77">
            <v>9.1300000000000008</v>
          </cell>
          <cell r="O77" t="e">
            <v>#N/A</v>
          </cell>
          <cell r="P77">
            <v>2739.0000000000005</v>
          </cell>
          <cell r="Q77">
            <v>2531.4743960000001</v>
          </cell>
          <cell r="R77" t="str">
            <v>Reliance power has floated the tender</v>
          </cell>
          <cell r="S77" t="str">
            <v>Maharashtra</v>
          </cell>
          <cell r="T77" t="str">
            <v>Private Sector</v>
          </cell>
        </row>
        <row r="78">
          <cell r="C78" t="str">
            <v>CHAKABURA TPP2</v>
          </cell>
          <cell r="D78" t="str">
            <v xml:space="preserve"> 5-10 years</v>
          </cell>
          <cell r="E78">
            <v>6.1765913760000002</v>
          </cell>
          <cell r="F78">
            <v>30</v>
          </cell>
          <cell r="G78">
            <v>12.22</v>
          </cell>
          <cell r="I78">
            <v>0</v>
          </cell>
          <cell r="J78">
            <v>0.89898017505749173</v>
          </cell>
          <cell r="K78">
            <v>387.72486138361938</v>
          </cell>
          <cell r="O78" t="e">
            <v>#N/A</v>
          </cell>
          <cell r="Q78">
            <v>2517.85754</v>
          </cell>
          <cell r="S78" t="str">
            <v>Chhatisgarh</v>
          </cell>
          <cell r="T78" t="str">
            <v>Private Sector</v>
          </cell>
        </row>
        <row r="79">
          <cell r="C79" t="str">
            <v>CHANDRAPUR STPS3</v>
          </cell>
          <cell r="D79" t="str">
            <v xml:space="preserve"> 30-35 years</v>
          </cell>
          <cell r="E79">
            <v>35.008898019999997</v>
          </cell>
          <cell r="F79">
            <v>210</v>
          </cell>
          <cell r="G79">
            <v>15.394986376032266</v>
          </cell>
          <cell r="H79">
            <v>3366</v>
          </cell>
          <cell r="I79">
            <v>51.819524141724607</v>
          </cell>
          <cell r="J79">
            <v>0.40668558501500002</v>
          </cell>
          <cell r="K79">
            <v>1546.815292392087</v>
          </cell>
          <cell r="M79" t="str">
            <v>Y</v>
          </cell>
          <cell r="N79">
            <v>8.67</v>
          </cell>
          <cell r="O79">
            <v>9.6032849407461018</v>
          </cell>
          <cell r="P79">
            <v>1820.7</v>
          </cell>
          <cell r="R79" t="str">
            <v>Feasiblity Study Carried Out</v>
          </cell>
          <cell r="S79" t="str">
            <v>Maharashtra</v>
          </cell>
          <cell r="T79" t="str">
            <v>State Sector</v>
          </cell>
        </row>
        <row r="80">
          <cell r="C80" t="str">
            <v>CHANDRAPUR STPS4</v>
          </cell>
          <cell r="D80" t="str">
            <v xml:space="preserve"> 30-35 years</v>
          </cell>
          <cell r="E80">
            <v>34.176591379999998</v>
          </cell>
          <cell r="F80">
            <v>210</v>
          </cell>
          <cell r="G80">
            <v>15.394986376032266</v>
          </cell>
          <cell r="H80">
            <v>3366</v>
          </cell>
          <cell r="I80">
            <v>51.819524141724607</v>
          </cell>
          <cell r="J80">
            <v>0.45041746312705361</v>
          </cell>
          <cell r="K80">
            <v>1713.1480573615074</v>
          </cell>
          <cell r="M80" t="str">
            <v>Y</v>
          </cell>
          <cell r="N80">
            <v>8.67</v>
          </cell>
          <cell r="O80">
            <v>9.6032849407461018</v>
          </cell>
          <cell r="P80">
            <v>1820.7</v>
          </cell>
          <cell r="R80" t="str">
            <v>Feasiblity Study Carried Out</v>
          </cell>
          <cell r="S80" t="str">
            <v>Maharashtra</v>
          </cell>
          <cell r="T80" t="str">
            <v>State Sector</v>
          </cell>
        </row>
        <row r="81">
          <cell r="C81" t="str">
            <v>CHANDRAPUR STPS5</v>
          </cell>
          <cell r="D81" t="str">
            <v xml:space="preserve"> 25-30 years</v>
          </cell>
          <cell r="E81">
            <v>29.17727584</v>
          </cell>
          <cell r="F81">
            <v>500</v>
          </cell>
          <cell r="G81">
            <v>15.394986376032266</v>
          </cell>
          <cell r="H81">
            <v>3366</v>
          </cell>
          <cell r="I81">
            <v>51.819524141724607</v>
          </cell>
          <cell r="J81">
            <v>0.61266395866071</v>
          </cell>
          <cell r="K81">
            <v>5548.2078215691918</v>
          </cell>
          <cell r="M81" t="str">
            <v>Y</v>
          </cell>
          <cell r="N81">
            <v>8.67</v>
          </cell>
          <cell r="O81">
            <v>9.6032849407461018</v>
          </cell>
          <cell r="P81">
            <v>4335</v>
          </cell>
          <cell r="R81" t="str">
            <v>Feasiblity Study Carried Out</v>
          </cell>
          <cell r="S81" t="str">
            <v>Maharashtra</v>
          </cell>
          <cell r="T81" t="str">
            <v>State Sector</v>
          </cell>
        </row>
        <row r="82">
          <cell r="C82" t="str">
            <v>CHANDRAPUR STPS6</v>
          </cell>
          <cell r="D82" t="str">
            <v xml:space="preserve"> 25-30 years</v>
          </cell>
          <cell r="E82">
            <v>28.17522245</v>
          </cell>
          <cell r="F82">
            <v>500</v>
          </cell>
          <cell r="G82">
            <v>15.394986376032266</v>
          </cell>
          <cell r="H82">
            <v>3366</v>
          </cell>
          <cell r="I82">
            <v>51.819524141724607</v>
          </cell>
          <cell r="J82">
            <v>0.4896267827127142</v>
          </cell>
          <cell r="K82">
            <v>4433.9986171780865</v>
          </cell>
          <cell r="M82" t="str">
            <v>Y</v>
          </cell>
          <cell r="N82">
            <v>8.67</v>
          </cell>
          <cell r="O82">
            <v>9.6032849407461018</v>
          </cell>
          <cell r="P82">
            <v>4335</v>
          </cell>
          <cell r="R82" t="str">
            <v>Feasiblity Study Carried Out</v>
          </cell>
          <cell r="S82" t="str">
            <v>Maharashtra</v>
          </cell>
          <cell r="T82" t="str">
            <v>State Sector</v>
          </cell>
        </row>
        <row r="83">
          <cell r="C83" t="str">
            <v>CHANDRAPUR STPS7</v>
          </cell>
          <cell r="D83" t="str">
            <v xml:space="preserve"> 20-25 years</v>
          </cell>
          <cell r="E83">
            <v>22.590006840000001</v>
          </cell>
          <cell r="F83">
            <v>500</v>
          </cell>
          <cell r="G83">
            <v>15.394986376032266</v>
          </cell>
          <cell r="H83">
            <v>3366</v>
          </cell>
          <cell r="I83">
            <v>51.819524141724607</v>
          </cell>
          <cell r="J83">
            <v>0.56035945102141671</v>
          </cell>
          <cell r="K83">
            <v>5074.5447730327232</v>
          </cell>
          <cell r="N83">
            <v>8.67</v>
          </cell>
          <cell r="O83">
            <v>9.6032849407461018</v>
          </cell>
          <cell r="P83">
            <v>4335</v>
          </cell>
          <cell r="Q83">
            <v>2517.85754</v>
          </cell>
          <cell r="R83" t="str">
            <v>Feasiblity Study Carried Out</v>
          </cell>
          <cell r="S83" t="str">
            <v>Maharashtra</v>
          </cell>
          <cell r="T83" t="str">
            <v>State Sector</v>
          </cell>
        </row>
        <row r="84">
          <cell r="C84" t="str">
            <v>CHANDRAPUR STPS8</v>
          </cell>
          <cell r="D84" t="str">
            <v xml:space="preserve"> 5-10 years</v>
          </cell>
          <cell r="E84">
            <v>5.1772758379999999</v>
          </cell>
          <cell r="F84">
            <v>500</v>
          </cell>
          <cell r="G84">
            <v>13.26</v>
          </cell>
          <cell r="H84">
            <v>3375</v>
          </cell>
          <cell r="I84">
            <v>44.752499999999998</v>
          </cell>
          <cell r="J84">
            <v>0.71303710080381744</v>
          </cell>
          <cell r="K84">
            <v>5561.6893862697771</v>
          </cell>
          <cell r="N84">
            <v>6</v>
          </cell>
          <cell r="O84">
            <v>9.6032849407461018</v>
          </cell>
          <cell r="P84">
            <v>3000</v>
          </cell>
          <cell r="Q84">
            <v>2517.85754</v>
          </cell>
          <cell r="R84" t="str">
            <v>Feasiblity Study Carried Out</v>
          </cell>
          <cell r="S84" t="str">
            <v>Maharashtra</v>
          </cell>
          <cell r="T84" t="str">
            <v>State Sector</v>
          </cell>
        </row>
        <row r="85">
          <cell r="C85" t="str">
            <v>CHANDRAPUR STPS9</v>
          </cell>
          <cell r="D85" t="str">
            <v xml:space="preserve"> 0-5 years</v>
          </cell>
          <cell r="E85">
            <v>4.1752224499999997</v>
          </cell>
          <cell r="F85">
            <v>500</v>
          </cell>
          <cell r="G85">
            <v>12.59</v>
          </cell>
          <cell r="H85">
            <v>3375</v>
          </cell>
          <cell r="I85">
            <v>42.491250000000001</v>
          </cell>
          <cell r="J85">
            <v>0.74091905556438331</v>
          </cell>
          <cell r="K85">
            <v>5487.1593585621104</v>
          </cell>
          <cell r="N85">
            <v>6</v>
          </cell>
          <cell r="O85">
            <v>9.6032849407461018</v>
          </cell>
          <cell r="P85">
            <v>3000</v>
          </cell>
          <cell r="Q85">
            <v>2517.85754</v>
          </cell>
          <cell r="R85" t="str">
            <v>Feasiblity Study Carried Out</v>
          </cell>
          <cell r="S85" t="str">
            <v>Maharashtra</v>
          </cell>
          <cell r="T85" t="str">
            <v>State Sector</v>
          </cell>
        </row>
        <row r="86">
          <cell r="C86" t="str">
            <v>CHANDRAPURA(DVC)7</v>
          </cell>
          <cell r="D86" t="str">
            <v xml:space="preserve"> 10-15 years</v>
          </cell>
          <cell r="E86">
            <v>10.505133470000001</v>
          </cell>
          <cell r="F86">
            <v>250</v>
          </cell>
          <cell r="G86">
            <v>12.07030703683748</v>
          </cell>
          <cell r="H86">
            <v>5039</v>
          </cell>
          <cell r="I86">
            <v>60.822277158624061</v>
          </cell>
          <cell r="J86">
            <v>0.83187027928852997</v>
          </cell>
          <cell r="K86">
            <v>2953.2146134800892</v>
          </cell>
          <cell r="N86">
            <v>9</v>
          </cell>
          <cell r="O86">
            <v>9.1427555424946867</v>
          </cell>
          <cell r="P86">
            <v>2250</v>
          </cell>
          <cell r="Q86">
            <v>2630.3226840000002</v>
          </cell>
          <cell r="R86" t="str">
            <v>NIT issued</v>
          </cell>
          <cell r="S86" t="str">
            <v>Jharkhand</v>
          </cell>
          <cell r="T86" t="str">
            <v>Central Sector</v>
          </cell>
        </row>
        <row r="87">
          <cell r="C87" t="str">
            <v>CHANDRAPURA(DVC)8</v>
          </cell>
          <cell r="D87" t="str">
            <v xml:space="preserve"> 10-15 years</v>
          </cell>
          <cell r="E87">
            <v>10.17659138</v>
          </cell>
          <cell r="F87">
            <v>250</v>
          </cell>
          <cell r="G87">
            <v>12.07030703683748</v>
          </cell>
          <cell r="H87">
            <v>5039</v>
          </cell>
          <cell r="I87">
            <v>60.822277158624061</v>
          </cell>
          <cell r="J87">
            <v>0.79981902395390669</v>
          </cell>
          <cell r="K87">
            <v>2839.4297626550956</v>
          </cell>
          <cell r="N87">
            <v>9</v>
          </cell>
          <cell r="O87">
            <v>9.1427555424946867</v>
          </cell>
          <cell r="P87">
            <v>2250</v>
          </cell>
          <cell r="Q87">
            <v>2630.3226840000002</v>
          </cell>
          <cell r="R87" t="str">
            <v>NIT issued</v>
          </cell>
          <cell r="S87" t="str">
            <v>Jharkhand</v>
          </cell>
          <cell r="T87" t="str">
            <v>Central Sector</v>
          </cell>
        </row>
        <row r="88">
          <cell r="C88" t="str">
            <v>CHHABRA TPS1</v>
          </cell>
          <cell r="D88" t="str">
            <v xml:space="preserve"> 10-15 years</v>
          </cell>
          <cell r="E88">
            <v>10.590006839999999</v>
          </cell>
          <cell r="F88">
            <v>250</v>
          </cell>
          <cell r="G88">
            <v>10.614034339293095</v>
          </cell>
          <cell r="H88">
            <v>4182</v>
          </cell>
          <cell r="I88">
            <v>44.387891606923723</v>
          </cell>
          <cell r="J88">
            <v>0.85517772768513833</v>
          </cell>
          <cell r="K88">
            <v>2669.6722846613816</v>
          </cell>
          <cell r="N88">
            <v>9</v>
          </cell>
          <cell r="O88" t="e">
            <v>#N/A</v>
          </cell>
          <cell r="P88">
            <v>2250</v>
          </cell>
          <cell r="Q88">
            <v>2925.157688772581</v>
          </cell>
          <cell r="R88" t="str">
            <v>Tender specification made</v>
          </cell>
          <cell r="S88" t="str">
            <v>Rajasthan</v>
          </cell>
          <cell r="T88" t="str">
            <v>State Sector</v>
          </cell>
        </row>
        <row r="89">
          <cell r="C89" t="str">
            <v>CHHABRA TPS2</v>
          </cell>
          <cell r="D89" t="str">
            <v xml:space="preserve"> 5-10 years</v>
          </cell>
          <cell r="E89">
            <v>10.009582480000001</v>
          </cell>
          <cell r="F89">
            <v>250</v>
          </cell>
          <cell r="G89">
            <v>10.614034339293095</v>
          </cell>
          <cell r="H89">
            <v>4182</v>
          </cell>
          <cell r="I89">
            <v>44.387891606923723</v>
          </cell>
          <cell r="J89">
            <v>0.80455240635467329</v>
          </cell>
          <cell r="K89">
            <v>2511.6314320027627</v>
          </cell>
          <cell r="N89">
            <v>9</v>
          </cell>
          <cell r="O89" t="e">
            <v>#N/A</v>
          </cell>
          <cell r="P89">
            <v>2250</v>
          </cell>
          <cell r="Q89">
            <v>2925.157688772581</v>
          </cell>
          <cell r="R89" t="str">
            <v>Tender specification made</v>
          </cell>
          <cell r="S89" t="str">
            <v>Rajasthan</v>
          </cell>
          <cell r="T89" t="str">
            <v>State Sector</v>
          </cell>
        </row>
        <row r="90">
          <cell r="C90" t="str">
            <v>CHHABRA TPS3</v>
          </cell>
          <cell r="D90" t="str">
            <v xml:space="preserve"> 5-10 years</v>
          </cell>
          <cell r="E90">
            <v>6.6721423680000003</v>
          </cell>
          <cell r="F90">
            <v>250</v>
          </cell>
          <cell r="G90">
            <v>10.614034339293095</v>
          </cell>
          <cell r="H90">
            <v>4236</v>
          </cell>
          <cell r="I90">
            <v>44.961049461245551</v>
          </cell>
          <cell r="J90">
            <v>0.72873790605935662</v>
          </cell>
          <cell r="K90">
            <v>2274.9556350760463</v>
          </cell>
          <cell r="N90">
            <v>9</v>
          </cell>
          <cell r="O90" t="e">
            <v>#N/A</v>
          </cell>
          <cell r="P90">
            <v>2250</v>
          </cell>
          <cell r="Q90">
            <v>2925.157688772581</v>
          </cell>
          <cell r="R90" t="str">
            <v>Tender specification made</v>
          </cell>
          <cell r="S90" t="str">
            <v>Rajasthan</v>
          </cell>
          <cell r="T90" t="str">
            <v>State Sector</v>
          </cell>
        </row>
        <row r="91">
          <cell r="C91" t="str">
            <v>CHHABRA TPS4</v>
          </cell>
          <cell r="D91" t="str">
            <v xml:space="preserve"> 5-10 years</v>
          </cell>
          <cell r="E91">
            <v>5.9247091029999996</v>
          </cell>
          <cell r="F91">
            <v>250</v>
          </cell>
          <cell r="G91">
            <v>10.614034339293095</v>
          </cell>
          <cell r="H91">
            <v>4236</v>
          </cell>
          <cell r="I91">
            <v>44.961049461245551</v>
          </cell>
          <cell r="J91">
            <v>0.8200820217833199</v>
          </cell>
          <cell r="K91">
            <v>2560.1113941897252</v>
          </cell>
          <cell r="N91">
            <v>9</v>
          </cell>
          <cell r="O91" t="e">
            <v>#N/A</v>
          </cell>
          <cell r="P91">
            <v>2250</v>
          </cell>
          <cell r="Q91">
            <v>2925.157688772581</v>
          </cell>
          <cell r="R91" t="str">
            <v>Tender specification made</v>
          </cell>
          <cell r="S91" t="str">
            <v>Rajasthan</v>
          </cell>
          <cell r="T91" t="str">
            <v>State Sector</v>
          </cell>
        </row>
        <row r="92">
          <cell r="C92" t="str">
            <v>CHHABRA TPS5</v>
          </cell>
          <cell r="D92" t="str">
            <v xml:space="preserve"> 0-5 years</v>
          </cell>
          <cell r="E92">
            <v>3.0910335390000001</v>
          </cell>
          <cell r="F92">
            <v>660</v>
          </cell>
          <cell r="G92">
            <v>10.614034339293095</v>
          </cell>
          <cell r="H92">
            <v>4576</v>
          </cell>
          <cell r="I92">
            <v>48.569821136605206</v>
          </cell>
          <cell r="J92">
            <v>0.44531428898248482</v>
          </cell>
          <cell r="K92">
            <v>3670.0512497941986</v>
          </cell>
          <cell r="N92">
            <v>5.25</v>
          </cell>
          <cell r="O92" t="e">
            <v>#N/A</v>
          </cell>
          <cell r="P92">
            <v>3465</v>
          </cell>
          <cell r="Q92">
            <v>2925.157688772581</v>
          </cell>
          <cell r="R92" t="str">
            <v>NIT issued</v>
          </cell>
          <cell r="S92" t="str">
            <v>Rajasthan</v>
          </cell>
          <cell r="T92" t="str">
            <v>State Sector</v>
          </cell>
        </row>
        <row r="93">
          <cell r="C93" t="str">
            <v>CHHABRA TPS6</v>
          </cell>
          <cell r="D93" t="str">
            <v xml:space="preserve"> 0-5 years</v>
          </cell>
          <cell r="E93">
            <v>1.0677618069999999</v>
          </cell>
          <cell r="F93">
            <v>660</v>
          </cell>
          <cell r="G93">
            <v>10.614034339293095</v>
          </cell>
          <cell r="H93">
            <v>4576</v>
          </cell>
          <cell r="I93">
            <v>48.569821136605206</v>
          </cell>
          <cell r="J93">
            <v>0.61117356055292105</v>
          </cell>
          <cell r="K93">
            <v>5036.9780293231097</v>
          </cell>
          <cell r="N93">
            <v>5.25</v>
          </cell>
          <cell r="O93" t="e">
            <v>#N/A</v>
          </cell>
          <cell r="P93">
            <v>3465</v>
          </cell>
          <cell r="Q93" t="e">
            <v>#N/A</v>
          </cell>
          <cell r="S93" t="str">
            <v>Rajasthan</v>
          </cell>
          <cell r="T93" t="str">
            <v>State Sector</v>
          </cell>
        </row>
        <row r="94">
          <cell r="C94" t="str">
            <v>D.P.L. TPS6</v>
          </cell>
          <cell r="D94" t="str">
            <v xml:space="preserve"> 30-35 years</v>
          </cell>
          <cell r="E94">
            <v>33.33880903</v>
          </cell>
          <cell r="F94">
            <v>110</v>
          </cell>
          <cell r="G94">
            <v>13.940261619398255</v>
          </cell>
          <cell r="I94">
            <v>0</v>
          </cell>
          <cell r="J94">
            <v>1.1973180076628332E-3</v>
          </cell>
          <cell r="K94">
            <v>2.1600022229741458</v>
          </cell>
          <cell r="M94" t="str">
            <v>Y</v>
          </cell>
          <cell r="O94" t="e">
            <v>#N/A</v>
          </cell>
          <cell r="R94" t="str">
            <v>Feasibility Study started</v>
          </cell>
          <cell r="S94" t="str">
            <v>West Bengal</v>
          </cell>
          <cell r="T94" t="str">
            <v>State Sector</v>
          </cell>
        </row>
        <row r="95">
          <cell r="C95" t="str">
            <v>D.P.L. TPS7</v>
          </cell>
          <cell r="D95" t="str">
            <v xml:space="preserve"> 10-15 years</v>
          </cell>
          <cell r="E95">
            <v>12.44353183</v>
          </cell>
          <cell r="F95">
            <v>300</v>
          </cell>
          <cell r="G95">
            <v>13.940261619398255</v>
          </cell>
          <cell r="I95">
            <v>0</v>
          </cell>
          <cell r="J95">
            <v>0.4035943447599028</v>
          </cell>
          <cell r="K95">
            <v>1985.7214426103506</v>
          </cell>
          <cell r="O95" t="e">
            <v>#N/A</v>
          </cell>
          <cell r="Q95">
            <v>2531.4743960000001</v>
          </cell>
          <cell r="R95" t="str">
            <v>Feasibility Study started</v>
          </cell>
          <cell r="S95" t="str">
            <v>West Bengal</v>
          </cell>
          <cell r="T95" t="str">
            <v>State Sector</v>
          </cell>
        </row>
        <row r="96">
          <cell r="C96" t="str">
            <v>D.P.L. TPS8</v>
          </cell>
          <cell r="D96" t="str">
            <v xml:space="preserve"> 5-10 years</v>
          </cell>
          <cell r="E96">
            <v>6.1765913760000002</v>
          </cell>
          <cell r="F96">
            <v>250</v>
          </cell>
          <cell r="G96">
            <v>13.940261619398255</v>
          </cell>
          <cell r="I96">
            <v>0</v>
          </cell>
          <cell r="J96">
            <v>0.56067329048547332</v>
          </cell>
          <cell r="K96">
            <v>2298.8036330518744</v>
          </cell>
          <cell r="O96" t="e">
            <v>#N/A</v>
          </cell>
          <cell r="Q96">
            <v>2531.4743960000001</v>
          </cell>
          <cell r="R96" t="str">
            <v>Feasibility Study started</v>
          </cell>
          <cell r="S96" t="str">
            <v>West Bengal</v>
          </cell>
          <cell r="T96" t="str">
            <v>State Sector</v>
          </cell>
        </row>
        <row r="97">
          <cell r="C97" t="str">
            <v>DADRI (NCTPP)1</v>
          </cell>
          <cell r="D97" t="str">
            <v xml:space="preserve"> 25-30 years</v>
          </cell>
          <cell r="E97">
            <v>28.42436687</v>
          </cell>
          <cell r="F97">
            <v>210</v>
          </cell>
          <cell r="G97">
            <v>13.292014502958034</v>
          </cell>
          <cell r="I97">
            <v>0</v>
          </cell>
          <cell r="J97">
            <v>0.48011283288085521</v>
          </cell>
          <cell r="K97">
            <v>1576.6470763750644</v>
          </cell>
          <cell r="M97" t="str">
            <v>Y</v>
          </cell>
          <cell r="N97">
            <v>8.5</v>
          </cell>
          <cell r="O97">
            <v>6.2321094282871545</v>
          </cell>
          <cell r="P97">
            <v>1785</v>
          </cell>
          <cell r="R97" t="str">
            <v>Bid awarded</v>
          </cell>
          <cell r="S97" t="str">
            <v>Uttar Pradesh</v>
          </cell>
          <cell r="T97" t="str">
            <v>Central Sector</v>
          </cell>
        </row>
        <row r="98">
          <cell r="C98" t="str">
            <v>DADRI (NCTPP)2</v>
          </cell>
          <cell r="D98" t="str">
            <v xml:space="preserve"> 25-30 years</v>
          </cell>
          <cell r="E98">
            <v>27.42231348</v>
          </cell>
          <cell r="F98">
            <v>210</v>
          </cell>
          <cell r="G98">
            <v>13.292014502958034</v>
          </cell>
          <cell r="I98">
            <v>0</v>
          </cell>
          <cell r="J98">
            <v>0.44513134309670638</v>
          </cell>
          <cell r="K98">
            <v>1461.7710309578213</v>
          </cell>
          <cell r="M98" t="str">
            <v>Y</v>
          </cell>
          <cell r="N98">
            <v>8.5</v>
          </cell>
          <cell r="O98">
            <v>6.2321094282871545</v>
          </cell>
          <cell r="P98">
            <v>1785</v>
          </cell>
          <cell r="R98" t="str">
            <v>Bid awarded</v>
          </cell>
          <cell r="S98" t="str">
            <v>Uttar Pradesh</v>
          </cell>
          <cell r="T98" t="str">
            <v>Central Sector</v>
          </cell>
        </row>
        <row r="99">
          <cell r="C99" t="str">
            <v>DADRI (NCTPP)3</v>
          </cell>
          <cell r="D99" t="str">
            <v xml:space="preserve"> 25-30 years</v>
          </cell>
          <cell r="E99">
            <v>27.175906909999998</v>
          </cell>
          <cell r="F99">
            <v>210</v>
          </cell>
          <cell r="G99">
            <v>13.292014502958034</v>
          </cell>
          <cell r="I99">
            <v>0</v>
          </cell>
          <cell r="J99">
            <v>0.51648347569777986</v>
          </cell>
          <cell r="K99">
            <v>1696.0849745855803</v>
          </cell>
          <cell r="M99" t="str">
            <v>Y</v>
          </cell>
          <cell r="N99">
            <v>8.5</v>
          </cell>
          <cell r="O99">
            <v>6.2321094282871545</v>
          </cell>
          <cell r="P99">
            <v>1785</v>
          </cell>
          <cell r="R99" t="str">
            <v>Bid awarded</v>
          </cell>
          <cell r="S99" t="str">
            <v>Uttar Pradesh</v>
          </cell>
          <cell r="T99" t="str">
            <v>Central Sector</v>
          </cell>
        </row>
        <row r="100">
          <cell r="C100" t="str">
            <v>DADRI (NCTPP)4</v>
          </cell>
          <cell r="D100" t="str">
            <v xml:space="preserve"> 25-30 years</v>
          </cell>
          <cell r="E100">
            <v>26.176591380000001</v>
          </cell>
          <cell r="F100">
            <v>210</v>
          </cell>
          <cell r="G100">
            <v>13.292014502958034</v>
          </cell>
          <cell r="I100">
            <v>0</v>
          </cell>
          <cell r="J100">
            <v>0.56937993435679568</v>
          </cell>
          <cell r="K100">
            <v>1869.792155864003</v>
          </cell>
          <cell r="M100" t="str">
            <v>Y</v>
          </cell>
          <cell r="N100">
            <v>8.5</v>
          </cell>
          <cell r="O100">
            <v>6.2321094282871545</v>
          </cell>
          <cell r="P100">
            <v>1785</v>
          </cell>
          <cell r="R100" t="str">
            <v>Bid awarded</v>
          </cell>
          <cell r="S100" t="str">
            <v>Uttar Pradesh</v>
          </cell>
          <cell r="T100" t="str">
            <v>Central Sector</v>
          </cell>
        </row>
        <row r="101">
          <cell r="C101" t="str">
            <v>DADRI (NCTPP)5</v>
          </cell>
          <cell r="D101" t="str">
            <v xml:space="preserve"> 10-15 years</v>
          </cell>
          <cell r="E101">
            <v>10.33812457</v>
          </cell>
          <cell r="F101">
            <v>490</v>
          </cell>
          <cell r="G101">
            <v>13.292014502958034</v>
          </cell>
          <cell r="I101">
            <v>0</v>
          </cell>
          <cell r="J101">
            <v>0.65189019166305606</v>
          </cell>
          <cell r="K101">
            <v>4995.0795319311792</v>
          </cell>
          <cell r="N101">
            <v>5.25</v>
          </cell>
          <cell r="O101">
            <v>6.2321094282871545</v>
          </cell>
          <cell r="P101">
            <v>2572.5</v>
          </cell>
          <cell r="Q101">
            <v>2538.1779945332182</v>
          </cell>
          <cell r="R101" t="str">
            <v>Bid awarded</v>
          </cell>
          <cell r="S101" t="str">
            <v>Uttar Pradesh</v>
          </cell>
          <cell r="T101" t="str">
            <v>Central Sector</v>
          </cell>
        </row>
        <row r="102">
          <cell r="C102" t="str">
            <v>DADRI (NCTPP)6</v>
          </cell>
          <cell r="D102" t="str">
            <v xml:space="preserve"> 5-10 years</v>
          </cell>
          <cell r="E102">
            <v>9.8425735799999998</v>
          </cell>
          <cell r="F102">
            <v>490</v>
          </cell>
          <cell r="G102">
            <v>13.292014502958034</v>
          </cell>
          <cell r="I102">
            <v>0</v>
          </cell>
          <cell r="J102">
            <v>0.58915024241150082</v>
          </cell>
          <cell r="K102">
            <v>4514.3374677787133</v>
          </cell>
          <cell r="N102">
            <v>5.25</v>
          </cell>
          <cell r="O102">
            <v>6.2321094282871545</v>
          </cell>
          <cell r="P102">
            <v>2572.5</v>
          </cell>
          <cell r="Q102">
            <v>2538.1779945332182</v>
          </cell>
          <cell r="R102" t="str">
            <v>Bid awarded</v>
          </cell>
          <cell r="S102" t="str">
            <v>Uttar Pradesh</v>
          </cell>
          <cell r="T102" t="str">
            <v>Central Sector</v>
          </cell>
        </row>
        <row r="103">
          <cell r="C103" t="str">
            <v>DAHANU TPS1</v>
          </cell>
          <cell r="D103" t="str">
            <v xml:space="preserve"> 25-30 years</v>
          </cell>
          <cell r="E103">
            <v>25.33880903</v>
          </cell>
          <cell r="F103">
            <v>250</v>
          </cell>
          <cell r="G103">
            <v>11.997766815636966</v>
          </cell>
          <cell r="H103">
            <v>3871</v>
          </cell>
          <cell r="I103">
            <v>46.443355343330694</v>
          </cell>
          <cell r="J103">
            <v>0.79768339834839497</v>
          </cell>
          <cell r="K103">
            <v>2814.8292370849699</v>
          </cell>
          <cell r="N103">
            <v>8.5</v>
          </cell>
          <cell r="O103">
            <v>8.8151949929420805</v>
          </cell>
          <cell r="P103">
            <v>2125</v>
          </cell>
          <cell r="S103" t="str">
            <v>Maharashtra</v>
          </cell>
          <cell r="T103" t="str">
            <v>Private Sector</v>
          </cell>
        </row>
        <row r="104">
          <cell r="C104" t="str">
            <v>DAHANU TPS2</v>
          </cell>
          <cell r="D104" t="str">
            <v xml:space="preserve"> 25-30 years</v>
          </cell>
          <cell r="E104">
            <v>25.17727584</v>
          </cell>
          <cell r="F104">
            <v>250</v>
          </cell>
          <cell r="G104">
            <v>11.997766815636966</v>
          </cell>
          <cell r="H104">
            <v>3871</v>
          </cell>
          <cell r="I104">
            <v>46.443355343330694</v>
          </cell>
          <cell r="J104">
            <v>0.75418125780650502</v>
          </cell>
          <cell r="K104">
            <v>2661.3208434959511</v>
          </cell>
          <cell r="N104">
            <v>8.5</v>
          </cell>
          <cell r="O104">
            <v>8.8151949929420805</v>
          </cell>
          <cell r="P104">
            <v>2125</v>
          </cell>
          <cell r="S104" t="str">
            <v>Maharashtra</v>
          </cell>
          <cell r="T104" t="str">
            <v>Private Sector</v>
          </cell>
        </row>
        <row r="105">
          <cell r="C105" t="str">
            <v>DAMODARAN SANJEEVAIAH TPS1</v>
          </cell>
          <cell r="D105" t="str">
            <v xml:space="preserve"> 5-10 years</v>
          </cell>
          <cell r="E105">
            <v>5.7577002049999999</v>
          </cell>
          <cell r="F105">
            <v>800</v>
          </cell>
          <cell r="G105">
            <v>12.958732022452125</v>
          </cell>
          <cell r="I105">
            <v>0</v>
          </cell>
          <cell r="J105">
            <v>0.44318361513290311</v>
          </cell>
          <cell r="K105">
            <v>5405.268428469506</v>
          </cell>
          <cell r="O105" t="e">
            <v>#N/A</v>
          </cell>
          <cell r="Q105">
            <v>2326.3641984000001</v>
          </cell>
          <cell r="R105" t="str">
            <v>Feasibility Study started</v>
          </cell>
          <cell r="S105" t="str">
            <v>Andhra Pradesh</v>
          </cell>
          <cell r="T105" t="str">
            <v>State Sector</v>
          </cell>
        </row>
        <row r="106">
          <cell r="C106" t="str">
            <v>DAMODARAN SANJEEVAIAH TPS2</v>
          </cell>
          <cell r="D106" t="str">
            <v xml:space="preserve"> 5-10 years</v>
          </cell>
          <cell r="E106">
            <v>5.1772758379999999</v>
          </cell>
          <cell r="F106">
            <v>800</v>
          </cell>
          <cell r="G106">
            <v>12.958732022452125</v>
          </cell>
          <cell r="I106">
            <v>0</v>
          </cell>
          <cell r="J106">
            <v>0.48038168563366457</v>
          </cell>
          <cell r="K106">
            <v>5858.9529718781168</v>
          </cell>
          <cell r="O106" t="e">
            <v>#N/A</v>
          </cell>
          <cell r="Q106">
            <v>2326.3641984000001</v>
          </cell>
          <cell r="R106" t="str">
            <v>Feasibility Study started</v>
          </cell>
          <cell r="S106" t="str">
            <v>Andhra Pradesh</v>
          </cell>
          <cell r="T106" t="str">
            <v>State Sector</v>
          </cell>
        </row>
        <row r="107">
          <cell r="C107" t="str">
            <v>DARLIPALI STPS1</v>
          </cell>
          <cell r="D107" t="str">
            <v xml:space="preserve"> 0-5 years</v>
          </cell>
          <cell r="E107">
            <v>0.34223134799999999</v>
          </cell>
          <cell r="F107">
            <v>800</v>
          </cell>
          <cell r="G107">
            <v>13.67</v>
          </cell>
          <cell r="I107">
            <v>0</v>
          </cell>
          <cell r="J107">
            <v>5.8579749103942194E-3</v>
          </cell>
          <cell r="K107">
            <v>75.368016023613151</v>
          </cell>
          <cell r="O107" t="e">
            <v>#N/A</v>
          </cell>
          <cell r="Q107" t="e">
            <v>#N/A</v>
          </cell>
          <cell r="S107" t="str">
            <v>Odisha</v>
          </cell>
          <cell r="T107" t="str">
            <v>Central Sector</v>
          </cell>
        </row>
        <row r="108">
          <cell r="C108" t="str">
            <v>DERANG TPP1</v>
          </cell>
          <cell r="D108" t="str">
            <v xml:space="preserve"> 5-10 years</v>
          </cell>
          <cell r="E108">
            <v>6.0917180010000003</v>
          </cell>
          <cell r="F108">
            <v>600</v>
          </cell>
          <cell r="G108">
            <v>16.728439282981306</v>
          </cell>
          <cell r="I108">
            <v>0</v>
          </cell>
          <cell r="J108">
            <v>0.48737016383197568</v>
          </cell>
          <cell r="K108">
            <v>5755.0180192940179</v>
          </cell>
          <cell r="O108" t="e">
            <v>#N/A</v>
          </cell>
          <cell r="Q108">
            <v>2376.393536</v>
          </cell>
          <cell r="R108" t="str">
            <v>Technical Bid evaluation under process</v>
          </cell>
          <cell r="S108" t="str">
            <v>Odisha</v>
          </cell>
          <cell r="T108" t="str">
            <v>Private Sector</v>
          </cell>
        </row>
        <row r="109">
          <cell r="C109" t="str">
            <v>DERANG TPP2</v>
          </cell>
          <cell r="D109" t="str">
            <v xml:space="preserve"> 5-10 years</v>
          </cell>
          <cell r="E109">
            <v>5.3388090349999997</v>
          </cell>
          <cell r="F109">
            <v>600</v>
          </cell>
          <cell r="G109">
            <v>16.728439282981306</v>
          </cell>
          <cell r="I109">
            <v>0</v>
          </cell>
          <cell r="J109">
            <v>0.34875205036659584</v>
          </cell>
          <cell r="K109">
            <v>4118.1723524984727</v>
          </cell>
          <cell r="O109" t="e">
            <v>#N/A</v>
          </cell>
          <cell r="Q109">
            <v>2376.393536</v>
          </cell>
          <cell r="R109" t="str">
            <v>Technical Bid evaluation under process</v>
          </cell>
          <cell r="S109" t="str">
            <v>Odisha</v>
          </cell>
          <cell r="T109" t="str">
            <v>Private Sector</v>
          </cell>
        </row>
        <row r="110">
          <cell r="C110" t="str">
            <v>DHARIWAL TPS1</v>
          </cell>
          <cell r="D110" t="str">
            <v xml:space="preserve"> 5-10 years</v>
          </cell>
          <cell r="E110">
            <v>6.5051334699999996</v>
          </cell>
          <cell r="F110">
            <v>300</v>
          </cell>
          <cell r="G110">
            <v>11.448094329722172</v>
          </cell>
          <cell r="I110">
            <v>0</v>
          </cell>
          <cell r="J110">
            <v>0.35417789495961804</v>
          </cell>
          <cell r="K110">
            <v>1431.0571591765195</v>
          </cell>
          <cell r="O110" t="e">
            <v>#N/A</v>
          </cell>
          <cell r="Q110">
            <v>2531.4743960000001</v>
          </cell>
          <cell r="R110" t="str">
            <v>Feasibility Study under process</v>
          </cell>
          <cell r="S110" t="str">
            <v>Maharashtra</v>
          </cell>
          <cell r="T110" t="str">
            <v>Private Sector</v>
          </cell>
        </row>
        <row r="111">
          <cell r="C111" t="str">
            <v>DHARIWAL TPS2</v>
          </cell>
          <cell r="D111" t="str">
            <v xml:space="preserve"> 5-10 years</v>
          </cell>
          <cell r="E111">
            <v>6.0095824779999996</v>
          </cell>
          <cell r="F111">
            <v>300</v>
          </cell>
          <cell r="G111">
            <v>11.448094329722172</v>
          </cell>
          <cell r="I111">
            <v>0</v>
          </cell>
          <cell r="J111">
            <v>0.79029549950818612</v>
          </cell>
          <cell r="K111">
            <v>3193.1920329616296</v>
          </cell>
          <cell r="O111" t="e">
            <v>#N/A</v>
          </cell>
          <cell r="Q111">
            <v>2531.4743960000001</v>
          </cell>
          <cell r="R111" t="str">
            <v>Feasibility Study under process</v>
          </cell>
          <cell r="S111" t="str">
            <v>Maharashtra</v>
          </cell>
          <cell r="T111" t="str">
            <v>Private Sector</v>
          </cell>
        </row>
        <row r="112">
          <cell r="C112" t="str">
            <v>DR. N TATA RAO TPS1</v>
          </cell>
          <cell r="D112" t="str">
            <v xml:space="preserve"> 40-45 years</v>
          </cell>
          <cell r="E112">
            <v>40.506502400000002</v>
          </cell>
          <cell r="F112">
            <v>210</v>
          </cell>
          <cell r="G112">
            <v>16.558287873098308</v>
          </cell>
          <cell r="H112">
            <v>3420</v>
          </cell>
          <cell r="I112">
            <v>56.629344525996217</v>
          </cell>
          <cell r="J112">
            <v>0.55964352153129959</v>
          </cell>
          <cell r="K112">
            <v>2289.4295206167621</v>
          </cell>
          <cell r="L112" t="str">
            <v>Y</v>
          </cell>
          <cell r="N112">
            <v>9</v>
          </cell>
          <cell r="O112" t="e">
            <v>#N/A</v>
          </cell>
          <cell r="P112">
            <v>1890</v>
          </cell>
          <cell r="S112" t="str">
            <v>Andhra Pradesh</v>
          </cell>
          <cell r="T112" t="str">
            <v>State Sector</v>
          </cell>
        </row>
        <row r="113">
          <cell r="C113" t="str">
            <v>DR. N TATA RAO TPS2</v>
          </cell>
          <cell r="D113" t="str">
            <v xml:space="preserve"> 35-40 years</v>
          </cell>
          <cell r="E113">
            <v>39.564681720000003</v>
          </cell>
          <cell r="F113">
            <v>210</v>
          </cell>
          <cell r="G113">
            <v>16.558287873098308</v>
          </cell>
          <cell r="H113">
            <v>3420</v>
          </cell>
          <cell r="I113">
            <v>56.629344525996217</v>
          </cell>
          <cell r="J113">
            <v>0.62997986127163697</v>
          </cell>
          <cell r="K113">
            <v>2577.1664216587806</v>
          </cell>
          <cell r="L113" t="str">
            <v>Y</v>
          </cell>
          <cell r="N113">
            <v>9</v>
          </cell>
          <cell r="O113" t="e">
            <v>#N/A</v>
          </cell>
          <cell r="P113">
            <v>1890</v>
          </cell>
          <cell r="S113" t="str">
            <v>Andhra Pradesh</v>
          </cell>
          <cell r="T113" t="str">
            <v>State Sector</v>
          </cell>
        </row>
        <row r="114">
          <cell r="C114" t="str">
            <v>DR. N TATA RAO TPS3</v>
          </cell>
          <cell r="D114" t="str">
            <v xml:space="preserve"> 30-35 years</v>
          </cell>
          <cell r="E114">
            <v>30.579055440000001</v>
          </cell>
          <cell r="F114">
            <v>210</v>
          </cell>
          <cell r="G114">
            <v>16.558287873098308</v>
          </cell>
          <cell r="H114">
            <v>3420</v>
          </cell>
          <cell r="I114">
            <v>56.629344525996217</v>
          </cell>
          <cell r="J114">
            <v>0.7477616790604068</v>
          </cell>
          <cell r="K114">
            <v>3058.9966586991159</v>
          </cell>
          <cell r="L114" t="str">
            <v>Y</v>
          </cell>
          <cell r="N114">
            <v>9</v>
          </cell>
          <cell r="O114" t="e">
            <v>#N/A</v>
          </cell>
          <cell r="P114">
            <v>1890</v>
          </cell>
          <cell r="S114" t="str">
            <v>Andhra Pradesh</v>
          </cell>
          <cell r="T114" t="str">
            <v>State Sector</v>
          </cell>
        </row>
        <row r="115">
          <cell r="C115" t="str">
            <v>DR. N TATA RAO TPS4</v>
          </cell>
          <cell r="D115" t="str">
            <v xml:space="preserve"> 25-30 years</v>
          </cell>
          <cell r="E115">
            <v>29.697467490000001</v>
          </cell>
          <cell r="F115">
            <v>210</v>
          </cell>
          <cell r="G115">
            <v>16.558287873098308</v>
          </cell>
          <cell r="H115">
            <v>3420</v>
          </cell>
          <cell r="I115">
            <v>56.629344525996217</v>
          </cell>
          <cell r="J115">
            <v>0.7781354064124445</v>
          </cell>
          <cell r="K115">
            <v>3183.2516627785844</v>
          </cell>
          <cell r="L115" t="str">
            <v>Y</v>
          </cell>
          <cell r="N115">
            <v>9</v>
          </cell>
          <cell r="O115" t="e">
            <v>#N/A</v>
          </cell>
          <cell r="P115">
            <v>1890</v>
          </cell>
          <cell r="S115" t="str">
            <v>Andhra Pradesh</v>
          </cell>
          <cell r="T115" t="str">
            <v>State Sector</v>
          </cell>
        </row>
        <row r="116">
          <cell r="C116" t="str">
            <v>DR. N TATA RAO TPS5</v>
          </cell>
          <cell r="D116" t="str">
            <v xml:space="preserve"> 25-30 years</v>
          </cell>
          <cell r="E116">
            <v>26.094455849999999</v>
          </cell>
          <cell r="F116">
            <v>210</v>
          </cell>
          <cell r="G116">
            <v>16.558287873098308</v>
          </cell>
          <cell r="H116">
            <v>3420</v>
          </cell>
          <cell r="I116">
            <v>56.629344525996217</v>
          </cell>
          <cell r="J116">
            <v>0.77274121451818845</v>
          </cell>
          <cell r="K116">
            <v>3161.1847189340629</v>
          </cell>
          <cell r="L116" t="str">
            <v>Y</v>
          </cell>
          <cell r="N116">
            <v>9</v>
          </cell>
          <cell r="O116" t="e">
            <v>#N/A</v>
          </cell>
          <cell r="P116">
            <v>1890</v>
          </cell>
          <cell r="S116" t="str">
            <v>Andhra Pradesh</v>
          </cell>
          <cell r="T116" t="str">
            <v>State Sector</v>
          </cell>
        </row>
        <row r="117">
          <cell r="C117" t="str">
            <v>DR. N TATA RAO TPS6</v>
          </cell>
          <cell r="D117" t="str">
            <v xml:space="preserve"> 25-30 years</v>
          </cell>
          <cell r="E117">
            <v>25.190965089999999</v>
          </cell>
          <cell r="F117">
            <v>210</v>
          </cell>
          <cell r="G117">
            <v>16.558287873098308</v>
          </cell>
          <cell r="H117">
            <v>3420</v>
          </cell>
          <cell r="I117">
            <v>56.629344525996217</v>
          </cell>
          <cell r="J117">
            <v>0.75920497999535319</v>
          </cell>
          <cell r="K117">
            <v>3105.8097280295401</v>
          </cell>
          <cell r="L117" t="str">
            <v>Y</v>
          </cell>
          <cell r="N117">
            <v>9</v>
          </cell>
          <cell r="O117" t="e">
            <v>#N/A</v>
          </cell>
          <cell r="P117">
            <v>1890</v>
          </cell>
          <cell r="S117" t="str">
            <v>Andhra Pradesh</v>
          </cell>
          <cell r="T117" t="str">
            <v>State Sector</v>
          </cell>
        </row>
        <row r="118">
          <cell r="C118" t="str">
            <v>DR. N TATA RAO TPS7</v>
          </cell>
          <cell r="D118" t="str">
            <v xml:space="preserve"> 10-15 years</v>
          </cell>
          <cell r="E118">
            <v>10.590006839999999</v>
          </cell>
          <cell r="F118">
            <v>500</v>
          </cell>
          <cell r="G118">
            <v>14.35</v>
          </cell>
          <cell r="H118">
            <v>3768</v>
          </cell>
          <cell r="I118">
            <v>54.070799999999998</v>
          </cell>
          <cell r="J118">
            <v>0.71974602683359246</v>
          </cell>
          <cell r="K118">
            <v>6075.5032265070895</v>
          </cell>
          <cell r="N118">
            <v>7.5</v>
          </cell>
          <cell r="O118" t="e">
            <v>#N/A</v>
          </cell>
          <cell r="P118">
            <v>3750</v>
          </cell>
          <cell r="Q118">
            <v>2650.3579058975565</v>
          </cell>
          <cell r="R118" t="str">
            <v>Feasibility Study started</v>
          </cell>
          <cell r="S118" t="str">
            <v>Andhra Pradesh</v>
          </cell>
          <cell r="T118" t="str">
            <v>State Sector</v>
          </cell>
        </row>
        <row r="119">
          <cell r="C119" t="str">
            <v>DSPM TPS1</v>
          </cell>
          <cell r="D119" t="str">
            <v xml:space="preserve"> 10-15 years</v>
          </cell>
          <cell r="E119">
            <v>13.17727584</v>
          </cell>
          <cell r="F119">
            <v>250</v>
          </cell>
          <cell r="G119">
            <v>13.448599591698928</v>
          </cell>
          <cell r="H119">
            <v>3858</v>
          </cell>
          <cell r="I119">
            <v>51.884697224774463</v>
          </cell>
          <cell r="J119">
            <v>0.87849132816592157</v>
          </cell>
          <cell r="K119">
            <v>3474.846505083312</v>
          </cell>
          <cell r="N119">
            <v>9</v>
          </cell>
          <cell r="O119" t="e">
            <v>#N/A</v>
          </cell>
          <cell r="P119">
            <v>2250</v>
          </cell>
          <cell r="Q119">
            <v>2638.6279151656645</v>
          </cell>
          <cell r="R119" t="str">
            <v>Feasiblity Study Completed</v>
          </cell>
          <cell r="S119" t="str">
            <v>Chhatisgarh</v>
          </cell>
          <cell r="T119" t="str">
            <v>State Sector</v>
          </cell>
        </row>
        <row r="120">
          <cell r="C120" t="str">
            <v>DSPM TPS2</v>
          </cell>
          <cell r="D120" t="str">
            <v xml:space="preserve"> 10-15 years</v>
          </cell>
          <cell r="E120">
            <v>12.42436687</v>
          </cell>
          <cell r="F120">
            <v>250</v>
          </cell>
          <cell r="G120">
            <v>13.448599591698928</v>
          </cell>
          <cell r="H120">
            <v>3858</v>
          </cell>
          <cell r="I120">
            <v>51.884697224774463</v>
          </cell>
          <cell r="J120">
            <v>0.89956542175021004</v>
          </cell>
          <cell r="K120">
            <v>3558.2044598989264</v>
          </cell>
          <cell r="N120">
            <v>9</v>
          </cell>
          <cell r="O120" t="e">
            <v>#N/A</v>
          </cell>
          <cell r="P120">
            <v>2250</v>
          </cell>
          <cell r="Q120">
            <v>2638.6279151656645</v>
          </cell>
          <cell r="R120" t="str">
            <v>Feasiblity Study Completed</v>
          </cell>
          <cell r="S120" t="str">
            <v>Chhatisgarh</v>
          </cell>
          <cell r="T120" t="str">
            <v>State Sector</v>
          </cell>
        </row>
        <row r="121">
          <cell r="C121" t="str">
            <v>DURGAPUR STEEL TPS1</v>
          </cell>
          <cell r="D121" t="str">
            <v xml:space="preserve"> 5-10 years</v>
          </cell>
          <cell r="E121">
            <v>8.8432580420000004</v>
          </cell>
          <cell r="F121">
            <v>500</v>
          </cell>
          <cell r="G121">
            <v>13.008347095119248</v>
          </cell>
          <cell r="H121">
            <v>5106</v>
          </cell>
          <cell r="I121">
            <v>66.420620267678885</v>
          </cell>
          <cell r="J121">
            <v>0.69768015366868497</v>
          </cell>
          <cell r="K121">
            <v>5338.6268237049353</v>
          </cell>
          <cell r="N121">
            <v>5.25</v>
          </cell>
          <cell r="O121">
            <v>3.9664309150565074</v>
          </cell>
          <cell r="P121">
            <v>2625</v>
          </cell>
          <cell r="Q121">
            <v>3111.3175416838412</v>
          </cell>
          <cell r="R121" t="str">
            <v>Bid Awarded</v>
          </cell>
          <cell r="S121" t="str">
            <v>West Bengal</v>
          </cell>
          <cell r="T121" t="str">
            <v>Central Sector</v>
          </cell>
        </row>
        <row r="122">
          <cell r="C122" t="str">
            <v>DURGAPUR STEEL TPS2</v>
          </cell>
          <cell r="D122" t="str">
            <v xml:space="preserve"> 5-10 years</v>
          </cell>
          <cell r="E122">
            <v>8.1752224499999997</v>
          </cell>
          <cell r="F122">
            <v>500</v>
          </cell>
          <cell r="G122">
            <v>13.008347095119248</v>
          </cell>
          <cell r="H122">
            <v>5106</v>
          </cell>
          <cell r="I122">
            <v>66.420620267678885</v>
          </cell>
          <cell r="J122">
            <v>0.76825189709612673</v>
          </cell>
          <cell r="K122">
            <v>5878.6396081825005</v>
          </cell>
          <cell r="N122">
            <v>5.25</v>
          </cell>
          <cell r="O122">
            <v>3.9664309150565074</v>
          </cell>
          <cell r="P122">
            <v>2625</v>
          </cell>
          <cell r="Q122">
            <v>3111.3175416838412</v>
          </cell>
          <cell r="R122" t="str">
            <v>Bid Awarded</v>
          </cell>
          <cell r="S122" t="str">
            <v>West Bengal</v>
          </cell>
          <cell r="T122" t="str">
            <v>Central Sector</v>
          </cell>
        </row>
        <row r="123">
          <cell r="C123" t="str">
            <v>DURGAPUR TPS4</v>
          </cell>
          <cell r="D123" t="str">
            <v xml:space="preserve"> 35-40 years</v>
          </cell>
          <cell r="E123">
            <v>37.672826829999998</v>
          </cell>
          <cell r="F123">
            <v>220</v>
          </cell>
          <cell r="G123">
            <v>15.85182007187392</v>
          </cell>
          <cell r="I123">
            <v>0</v>
          </cell>
          <cell r="J123">
            <v>0.41161877742411557</v>
          </cell>
          <cell r="K123">
            <v>1688.7994065235243</v>
          </cell>
          <cell r="L123" t="str">
            <v>Y</v>
          </cell>
          <cell r="O123" t="e">
            <v>#N/A</v>
          </cell>
          <cell r="S123" t="str">
            <v>West Bengal</v>
          </cell>
          <cell r="T123" t="str">
            <v>Central Sector</v>
          </cell>
        </row>
        <row r="124">
          <cell r="C124" t="str">
            <v>FARAKKA STPS1</v>
          </cell>
          <cell r="D124" t="str">
            <v xml:space="preserve"> 30-35 years</v>
          </cell>
          <cell r="E124">
            <v>34.338124569999998</v>
          </cell>
          <cell r="F124">
            <v>200</v>
          </cell>
          <cell r="G124">
            <v>13.797597415656467</v>
          </cell>
          <cell r="H124">
            <v>5055</v>
          </cell>
          <cell r="I124">
            <v>69.746854936143436</v>
          </cell>
          <cell r="J124">
            <v>0.7796218505926521</v>
          </cell>
          <cell r="K124">
            <v>2531.0372778650562</v>
          </cell>
          <cell r="M124" t="str">
            <v>Y</v>
          </cell>
          <cell r="N124">
            <v>8.5</v>
          </cell>
          <cell r="O124">
            <v>6.574263178230944</v>
          </cell>
          <cell r="P124">
            <v>1700</v>
          </cell>
          <cell r="R124" t="str">
            <v>NIT issued</v>
          </cell>
          <cell r="S124" t="str">
            <v>West Bengal</v>
          </cell>
          <cell r="T124" t="str">
            <v>Central Sector</v>
          </cell>
        </row>
        <row r="125">
          <cell r="C125" t="str">
            <v>FARAKKA STPS2</v>
          </cell>
          <cell r="D125" t="str">
            <v xml:space="preserve"> 30-35 years</v>
          </cell>
          <cell r="E125">
            <v>33.423682409999998</v>
          </cell>
          <cell r="F125">
            <v>200</v>
          </cell>
          <cell r="G125">
            <v>13.797597415656467</v>
          </cell>
          <cell r="H125">
            <v>5055</v>
          </cell>
          <cell r="I125">
            <v>69.746854936143436</v>
          </cell>
          <cell r="J125">
            <v>0.79441215106732288</v>
          </cell>
          <cell r="K125">
            <v>2579.0538923606096</v>
          </cell>
          <cell r="M125" t="str">
            <v>Y</v>
          </cell>
          <cell r="N125">
            <v>8.5</v>
          </cell>
          <cell r="O125">
            <v>6.574263178230944</v>
          </cell>
          <cell r="P125">
            <v>1700</v>
          </cell>
          <cell r="R125" t="str">
            <v>NIT issued</v>
          </cell>
          <cell r="S125" t="str">
            <v>West Bengal</v>
          </cell>
          <cell r="T125" t="str">
            <v>Central Sector</v>
          </cell>
        </row>
        <row r="126">
          <cell r="C126" t="str">
            <v>FARAKKA STPS3</v>
          </cell>
          <cell r="D126" t="str">
            <v xml:space="preserve"> 30-35 years</v>
          </cell>
          <cell r="E126">
            <v>32.758384669999998</v>
          </cell>
          <cell r="F126">
            <v>200</v>
          </cell>
          <cell r="G126">
            <v>13.797597415656467</v>
          </cell>
          <cell r="H126">
            <v>5055</v>
          </cell>
          <cell r="I126">
            <v>69.746854936143436</v>
          </cell>
          <cell r="J126">
            <v>0.76360324394094581</v>
          </cell>
          <cell r="K126">
            <v>2479.0329753379974</v>
          </cell>
          <cell r="M126" t="str">
            <v>Y</v>
          </cell>
          <cell r="N126">
            <v>8.5</v>
          </cell>
          <cell r="O126">
            <v>6.574263178230944</v>
          </cell>
          <cell r="P126">
            <v>1700</v>
          </cell>
          <cell r="R126" t="str">
            <v>NIT issued</v>
          </cell>
          <cell r="S126" t="str">
            <v>West Bengal</v>
          </cell>
          <cell r="T126" t="str">
            <v>Central Sector</v>
          </cell>
        </row>
        <row r="127">
          <cell r="C127" t="str">
            <v>FARAKKA STPS4</v>
          </cell>
          <cell r="D127" t="str">
            <v xml:space="preserve"> 25-30 years</v>
          </cell>
          <cell r="E127">
            <v>27.671457910000001</v>
          </cell>
          <cell r="F127">
            <v>500</v>
          </cell>
          <cell r="G127">
            <v>13.797597415656467</v>
          </cell>
          <cell r="H127">
            <v>5055</v>
          </cell>
          <cell r="I127">
            <v>69.746854936143436</v>
          </cell>
          <cell r="J127">
            <v>0.75767318721271659</v>
          </cell>
          <cell r="K127">
            <v>6149.4527116461049</v>
          </cell>
          <cell r="M127" t="str">
            <v>Y</v>
          </cell>
          <cell r="N127">
            <v>5.25</v>
          </cell>
          <cell r="O127">
            <v>6.574263178230944</v>
          </cell>
          <cell r="P127">
            <v>2625</v>
          </cell>
          <cell r="R127" t="str">
            <v>NIT issued</v>
          </cell>
          <cell r="S127" t="str">
            <v>West Bengal</v>
          </cell>
          <cell r="T127" t="str">
            <v>Central Sector</v>
          </cell>
        </row>
        <row r="128">
          <cell r="C128" t="str">
            <v>FARAKKA STPS5</v>
          </cell>
          <cell r="D128" t="str">
            <v xml:space="preserve"> 25-30 years</v>
          </cell>
          <cell r="E128">
            <v>26.253251200000001</v>
          </cell>
          <cell r="F128">
            <v>500</v>
          </cell>
          <cell r="G128">
            <v>13.797597415656467</v>
          </cell>
          <cell r="H128">
            <v>5055</v>
          </cell>
          <cell r="I128">
            <v>69.746854936143436</v>
          </cell>
          <cell r="J128">
            <v>0.78086559034574843</v>
          </cell>
          <cell r="K128">
            <v>6337.6876772526821</v>
          </cell>
          <cell r="M128" t="str">
            <v>Y</v>
          </cell>
          <cell r="N128">
            <v>5.25</v>
          </cell>
          <cell r="O128">
            <v>6.574263178230944</v>
          </cell>
          <cell r="P128">
            <v>2625</v>
          </cell>
          <cell r="R128" t="str">
            <v>NIT issued</v>
          </cell>
          <cell r="S128" t="str">
            <v>West Bengal</v>
          </cell>
          <cell r="T128" t="str">
            <v>Central Sector</v>
          </cell>
        </row>
        <row r="129">
          <cell r="C129" t="str">
            <v>FARAKKA STPS6</v>
          </cell>
          <cell r="D129" t="str">
            <v xml:space="preserve"> 5-10 years</v>
          </cell>
          <cell r="E129">
            <v>9.1772758379999999</v>
          </cell>
          <cell r="F129">
            <v>500</v>
          </cell>
          <cell r="G129">
            <v>13.797597415656467</v>
          </cell>
          <cell r="H129">
            <v>5055</v>
          </cell>
          <cell r="I129">
            <v>69.746854936143436</v>
          </cell>
          <cell r="J129">
            <v>0.72470492507842332</v>
          </cell>
          <cell r="K129">
            <v>5881.8745890444507</v>
          </cell>
          <cell r="N129">
            <v>5.75</v>
          </cell>
          <cell r="O129">
            <v>6.574263178230944</v>
          </cell>
          <cell r="P129">
            <v>2875</v>
          </cell>
          <cell r="Q129">
            <v>2551.5779839456104</v>
          </cell>
          <cell r="R129" t="str">
            <v>NIT issued</v>
          </cell>
          <cell r="S129" t="str">
            <v>West Bengal</v>
          </cell>
          <cell r="T129" t="str">
            <v>Central Sector</v>
          </cell>
        </row>
        <row r="130">
          <cell r="C130" t="str">
            <v>GADARWARA TPP1</v>
          </cell>
          <cell r="D130" t="str">
            <v xml:space="preserve"> 0-5 years</v>
          </cell>
          <cell r="E130">
            <v>1.0677618069999999</v>
          </cell>
          <cell r="F130">
            <v>800</v>
          </cell>
          <cell r="G130">
            <v>13.780440342802244</v>
          </cell>
          <cell r="I130">
            <v>0</v>
          </cell>
          <cell r="J130">
            <v>0.17192735645426094</v>
          </cell>
          <cell r="K130">
            <v>2229.86793309519</v>
          </cell>
          <cell r="O130" t="e">
            <v>#N/A</v>
          </cell>
          <cell r="Q130" t="e">
            <v>#N/A</v>
          </cell>
          <cell r="S130" t="str">
            <v>Madhya Pradesh</v>
          </cell>
          <cell r="T130" t="str">
            <v>Central Sector</v>
          </cell>
        </row>
        <row r="131">
          <cell r="C131" t="str">
            <v>GANDHI NAGAR TPS3</v>
          </cell>
          <cell r="D131" t="str">
            <v xml:space="preserve"> 30-35 years</v>
          </cell>
          <cell r="E131">
            <v>30.176591380000001</v>
          </cell>
          <cell r="F131">
            <v>210</v>
          </cell>
          <cell r="G131">
            <v>13.482373000476915</v>
          </cell>
          <cell r="H131">
            <v>3690</v>
          </cell>
          <cell r="I131">
            <v>49.749956371759822</v>
          </cell>
          <cell r="J131">
            <v>0.49978666257289878</v>
          </cell>
          <cell r="K131">
            <v>1664.7589919399722</v>
          </cell>
          <cell r="M131" t="str">
            <v>Y</v>
          </cell>
          <cell r="N131">
            <v>9</v>
          </cell>
          <cell r="O131">
            <v>9.2799280349046729</v>
          </cell>
          <cell r="P131">
            <v>1890</v>
          </cell>
          <cell r="R131" t="str">
            <v>LoI Placed</v>
          </cell>
          <cell r="S131" t="str">
            <v>Gujarat</v>
          </cell>
          <cell r="T131" t="str">
            <v>State Sector</v>
          </cell>
        </row>
        <row r="132">
          <cell r="C132" t="str">
            <v>GANDHI NAGAR TPS4</v>
          </cell>
          <cell r="D132" t="str">
            <v xml:space="preserve"> 25-30 years</v>
          </cell>
          <cell r="E132">
            <v>28.843258039999998</v>
          </cell>
          <cell r="F132">
            <v>210</v>
          </cell>
          <cell r="G132">
            <v>13.482373000476915</v>
          </cell>
          <cell r="H132">
            <v>3690</v>
          </cell>
          <cell r="I132">
            <v>49.749956371759822</v>
          </cell>
          <cell r="J132">
            <v>0.48391182053713694</v>
          </cell>
          <cell r="K132">
            <v>1611.8808581206122</v>
          </cell>
          <cell r="M132" t="str">
            <v>Y</v>
          </cell>
          <cell r="N132">
            <v>9</v>
          </cell>
          <cell r="O132">
            <v>9.2799280349046729</v>
          </cell>
          <cell r="P132">
            <v>1890</v>
          </cell>
          <cell r="R132" t="str">
            <v>LoI Placed</v>
          </cell>
          <cell r="S132" t="str">
            <v>Gujarat</v>
          </cell>
          <cell r="T132" t="str">
            <v>State Sector</v>
          </cell>
        </row>
        <row r="133">
          <cell r="C133" t="str">
            <v>GANDHI NAGAR TPS5</v>
          </cell>
          <cell r="D133" t="str">
            <v xml:space="preserve"> 20-25 years</v>
          </cell>
          <cell r="E133">
            <v>22.176591380000001</v>
          </cell>
          <cell r="F133">
            <v>210</v>
          </cell>
          <cell r="G133">
            <v>13.482373000476915</v>
          </cell>
          <cell r="H133">
            <v>3829</v>
          </cell>
          <cell r="I133">
            <v>51.624006218826111</v>
          </cell>
          <cell r="J133">
            <v>0.73412776569862304</v>
          </cell>
          <cell r="K133">
            <v>2445.3349612972556</v>
          </cell>
          <cell r="N133">
            <v>9.5</v>
          </cell>
          <cell r="O133">
            <v>9.2799280349046729</v>
          </cell>
          <cell r="P133">
            <v>1995</v>
          </cell>
          <cell r="Q133">
            <v>2856.4477430617258</v>
          </cell>
          <cell r="R133" t="str">
            <v>LoI Placed</v>
          </cell>
          <cell r="S133" t="str">
            <v>Gujarat</v>
          </cell>
          <cell r="T133" t="str">
            <v>State Sector</v>
          </cell>
        </row>
        <row r="134">
          <cell r="C134" t="str">
            <v>GH TPS (LEH.MOH.)1</v>
          </cell>
          <cell r="D134" t="str">
            <v xml:space="preserve"> 20-25 years</v>
          </cell>
          <cell r="E134">
            <v>22.422997949999999</v>
          </cell>
          <cell r="F134">
            <v>210</v>
          </cell>
          <cell r="G134">
            <v>13.559053519231929</v>
          </cell>
          <cell r="H134">
            <v>4102</v>
          </cell>
          <cell r="I134">
            <v>55.619237535889368</v>
          </cell>
          <cell r="J134">
            <v>0.22347343623314089</v>
          </cell>
          <cell r="K134">
            <v>748.61004614409694</v>
          </cell>
          <cell r="N134">
            <v>8.5</v>
          </cell>
          <cell r="O134" t="e">
            <v>#N/A</v>
          </cell>
          <cell r="P134">
            <v>1785</v>
          </cell>
          <cell r="Q134">
            <v>2531.4743960000001</v>
          </cell>
          <cell r="R134" t="str">
            <v>NIT issued</v>
          </cell>
          <cell r="S134" t="str">
            <v>Punjab</v>
          </cell>
          <cell r="T134" t="str">
            <v>State Sector</v>
          </cell>
        </row>
        <row r="135">
          <cell r="C135" t="str">
            <v>GH TPS (LEH.MOH.)2</v>
          </cell>
          <cell r="D135" t="str">
            <v xml:space="preserve"> 20-25 years</v>
          </cell>
          <cell r="E135">
            <v>21.59069131</v>
          </cell>
          <cell r="F135">
            <v>210</v>
          </cell>
          <cell r="G135">
            <v>13.559053519231929</v>
          </cell>
          <cell r="H135">
            <v>4102</v>
          </cell>
          <cell r="I135">
            <v>55.619237535889368</v>
          </cell>
          <cell r="J135">
            <v>0.22551028588216071</v>
          </cell>
          <cell r="K135">
            <v>755.43325580804355</v>
          </cell>
          <cell r="N135">
            <v>8.5</v>
          </cell>
          <cell r="O135" t="e">
            <v>#N/A</v>
          </cell>
          <cell r="P135">
            <v>1785</v>
          </cell>
          <cell r="Q135">
            <v>2531.4743960000001</v>
          </cell>
          <cell r="R135" t="str">
            <v>NIT issued</v>
          </cell>
          <cell r="S135" t="str">
            <v>Punjab</v>
          </cell>
          <cell r="T135" t="str">
            <v>State Sector</v>
          </cell>
        </row>
        <row r="136">
          <cell r="C136" t="str">
            <v>GH TPS (LEH.MOH.)3</v>
          </cell>
          <cell r="D136" t="str">
            <v xml:space="preserve"> 10-15 years</v>
          </cell>
          <cell r="E136">
            <v>12.3394935</v>
          </cell>
          <cell r="F136">
            <v>250</v>
          </cell>
          <cell r="G136">
            <v>13.559053519231929</v>
          </cell>
          <cell r="H136">
            <v>4102</v>
          </cell>
          <cell r="I136">
            <v>55.619237535889368</v>
          </cell>
          <cell r="J136">
            <v>0.29636827750998995</v>
          </cell>
          <cell r="K136">
            <v>1181.9039224001572</v>
          </cell>
          <cell r="N136">
            <v>8.5</v>
          </cell>
          <cell r="O136" t="e">
            <v>#N/A</v>
          </cell>
          <cell r="P136">
            <v>2125</v>
          </cell>
          <cell r="Q136">
            <v>2531.4743960000001</v>
          </cell>
          <cell r="R136" t="str">
            <v>NIT issued</v>
          </cell>
          <cell r="S136" t="str">
            <v>Punjab</v>
          </cell>
          <cell r="T136" t="str">
            <v>State Sector</v>
          </cell>
        </row>
        <row r="137">
          <cell r="C137" t="str">
            <v>GH TPS (LEH.MOH.)4</v>
          </cell>
          <cell r="D137" t="str">
            <v xml:space="preserve"> 10-15 years</v>
          </cell>
          <cell r="E137">
            <v>11.84120465</v>
          </cell>
          <cell r="F137">
            <v>250</v>
          </cell>
          <cell r="G137">
            <v>13.559053519231929</v>
          </cell>
          <cell r="H137">
            <v>4102</v>
          </cell>
          <cell r="I137">
            <v>55.619237535889368</v>
          </cell>
          <cell r="J137">
            <v>0.22256405603521834</v>
          </cell>
          <cell r="K137">
            <v>887.57586683495867</v>
          </cell>
          <cell r="N137">
            <v>8.5</v>
          </cell>
          <cell r="O137" t="e">
            <v>#N/A</v>
          </cell>
          <cell r="P137">
            <v>2125</v>
          </cell>
          <cell r="Q137">
            <v>2531.4743960000001</v>
          </cell>
          <cell r="R137" t="str">
            <v>NIT issued</v>
          </cell>
          <cell r="S137" t="str">
            <v>Punjab</v>
          </cell>
          <cell r="T137" t="str">
            <v>State Sector</v>
          </cell>
        </row>
        <row r="138">
          <cell r="C138" t="str">
            <v>GMR WARORA TPS1</v>
          </cell>
          <cell r="D138" t="str">
            <v xml:space="preserve"> 5-10 years</v>
          </cell>
          <cell r="E138">
            <v>7.2525667350000003</v>
          </cell>
          <cell r="F138">
            <v>300</v>
          </cell>
          <cell r="G138">
            <v>12.975334577258772</v>
          </cell>
          <cell r="I138">
            <v>0</v>
          </cell>
          <cell r="J138">
            <v>0.77694293887682364</v>
          </cell>
          <cell r="K138">
            <v>3558.0333809525287</v>
          </cell>
          <cell r="O138" t="e">
            <v>#N/A</v>
          </cell>
          <cell r="Q138" t="e">
            <v>#N/A</v>
          </cell>
          <cell r="R138" t="str">
            <v>Feasibility study completed</v>
          </cell>
          <cell r="S138" t="str">
            <v>Maharashtra</v>
          </cell>
          <cell r="T138" t="str">
            <v>Private Sector</v>
          </cell>
        </row>
        <row r="139">
          <cell r="C139" t="str">
            <v>GMR WARORA TPS2</v>
          </cell>
          <cell r="D139" t="str">
            <v xml:space="preserve"> 5-10 years</v>
          </cell>
          <cell r="E139">
            <v>6.7570157430000002</v>
          </cell>
          <cell r="F139">
            <v>300</v>
          </cell>
          <cell r="G139">
            <v>12.975334577258772</v>
          </cell>
          <cell r="I139">
            <v>0</v>
          </cell>
          <cell r="J139">
            <v>0.73198090568984164</v>
          </cell>
          <cell r="K139">
            <v>3352.1284078202102</v>
          </cell>
          <cell r="O139" t="e">
            <v>#N/A</v>
          </cell>
          <cell r="Q139" t="e">
            <v>#N/A</v>
          </cell>
          <cell r="R139" t="str">
            <v>Feasibility study completed</v>
          </cell>
          <cell r="S139" t="str">
            <v>Maharashtra</v>
          </cell>
          <cell r="T139" t="str">
            <v>Private Sector</v>
          </cell>
        </row>
        <row r="140">
          <cell r="C140" t="str">
            <v>GND TPS(BHATINDA)1</v>
          </cell>
          <cell r="D140" t="str">
            <v xml:space="preserve"> 40-45 years</v>
          </cell>
          <cell r="E140">
            <v>45.672826829999998</v>
          </cell>
          <cell r="F140">
            <v>110</v>
          </cell>
          <cell r="G140">
            <v>15.34</v>
          </cell>
          <cell r="I140">
            <v>0</v>
          </cell>
          <cell r="J140">
            <v>2.3463804713804697E-3</v>
          </cell>
          <cell r="K140">
            <v>4.6579793028322403</v>
          </cell>
          <cell r="L140" t="str">
            <v>Y</v>
          </cell>
          <cell r="O140" t="e">
            <v>#N/A</v>
          </cell>
          <cell r="S140" t="str">
            <v>Punjab</v>
          </cell>
          <cell r="T140" t="str">
            <v>State Sector</v>
          </cell>
        </row>
        <row r="141">
          <cell r="C141" t="str">
            <v>GND TPS(BHATINDA)2</v>
          </cell>
          <cell r="D141" t="str">
            <v xml:space="preserve"> 40-45 years</v>
          </cell>
          <cell r="E141">
            <v>44.67351129</v>
          </cell>
          <cell r="F141">
            <v>110</v>
          </cell>
          <cell r="G141">
            <v>15.34</v>
          </cell>
          <cell r="I141">
            <v>0</v>
          </cell>
          <cell r="J141">
            <v>3.1144781144781136E-3</v>
          </cell>
          <cell r="K141">
            <v>6.1827886710239639</v>
          </cell>
          <cell r="L141" t="str">
            <v>Y</v>
          </cell>
          <cell r="N141">
            <v>11.002932724059763</v>
          </cell>
          <cell r="O141">
            <v>11.002932724059763</v>
          </cell>
          <cell r="P141">
            <v>1210.322599646574</v>
          </cell>
          <cell r="S141" t="str">
            <v>Punjab</v>
          </cell>
          <cell r="T141" t="str">
            <v>State Sector</v>
          </cell>
        </row>
        <row r="142">
          <cell r="C142" t="str">
            <v>GND TPS(BHATINDA)3</v>
          </cell>
          <cell r="D142" t="str">
            <v xml:space="preserve"> 40-45 years</v>
          </cell>
          <cell r="E142">
            <v>42.176591379999998</v>
          </cell>
          <cell r="F142">
            <v>120</v>
          </cell>
          <cell r="G142">
            <v>15.34</v>
          </cell>
          <cell r="I142">
            <v>0</v>
          </cell>
          <cell r="J142">
            <v>3.0844907407407397E-2</v>
          </cell>
          <cell r="K142">
            <v>66.799183006535927</v>
          </cell>
          <cell r="L142" t="str">
            <v>Y</v>
          </cell>
          <cell r="N142">
            <v>11.002932724059763</v>
          </cell>
          <cell r="O142">
            <v>11.002932724059763</v>
          </cell>
          <cell r="P142">
            <v>1320.3519268871714</v>
          </cell>
          <cell r="S142" t="str">
            <v>Punjab</v>
          </cell>
          <cell r="T142" t="str">
            <v>State Sector</v>
          </cell>
        </row>
        <row r="143">
          <cell r="C143" t="str">
            <v>GND TPS(BHATINDA)4</v>
          </cell>
          <cell r="D143" t="str">
            <v xml:space="preserve"> 35-40 years</v>
          </cell>
          <cell r="E143">
            <v>41.33880903</v>
          </cell>
          <cell r="F143">
            <v>120</v>
          </cell>
          <cell r="G143">
            <v>15.34</v>
          </cell>
          <cell r="I143">
            <v>0</v>
          </cell>
          <cell r="J143">
            <v>2.9407793209876527E-2</v>
          </cell>
          <cell r="K143">
            <v>63.686900871459663</v>
          </cell>
          <cell r="L143" t="str">
            <v>Y</v>
          </cell>
          <cell r="N143">
            <v>11.002932724059763</v>
          </cell>
          <cell r="O143">
            <v>11.002932724059763</v>
          </cell>
          <cell r="P143">
            <v>1320.3519268871714</v>
          </cell>
          <cell r="S143" t="str">
            <v>Punjab</v>
          </cell>
          <cell r="T143" t="str">
            <v>State Sector</v>
          </cell>
        </row>
        <row r="144">
          <cell r="C144" t="str">
            <v>GOINDWAL SAHIB1</v>
          </cell>
          <cell r="D144" t="str">
            <v xml:space="preserve"> 0-5 years</v>
          </cell>
          <cell r="E144">
            <v>4.2546201229999996</v>
          </cell>
          <cell r="F144">
            <v>270</v>
          </cell>
          <cell r="G144">
            <v>13.66628270058</v>
          </cell>
          <cell r="I144">
            <v>0</v>
          </cell>
          <cell r="J144">
            <v>0.39470365794919904</v>
          </cell>
          <cell r="K144">
            <v>1713.4300924369786</v>
          </cell>
          <cell r="O144" t="e">
            <v>#N/A</v>
          </cell>
          <cell r="Q144">
            <v>2531.4743960000001</v>
          </cell>
          <cell r="R144" t="str">
            <v>Bid opened</v>
          </cell>
          <cell r="S144" t="str">
            <v>Punjab</v>
          </cell>
          <cell r="T144" t="str">
            <v>Private Sector</v>
          </cell>
        </row>
        <row r="145">
          <cell r="C145" t="str">
            <v>GOINDWAL SAHIB2</v>
          </cell>
          <cell r="D145" t="str">
            <v xml:space="preserve"> 0-5 years</v>
          </cell>
          <cell r="E145">
            <v>4.1752224499999997</v>
          </cell>
          <cell r="F145">
            <v>270</v>
          </cell>
          <cell r="G145">
            <v>13.66628270058</v>
          </cell>
          <cell r="I145">
            <v>0</v>
          </cell>
          <cell r="J145">
            <v>0.41588620036262963</v>
          </cell>
          <cell r="K145">
            <v>1805.3846636058274</v>
          </cell>
          <cell r="O145" t="e">
            <v>#N/A</v>
          </cell>
          <cell r="Q145">
            <v>2531.4743960000001</v>
          </cell>
          <cell r="R145" t="str">
            <v>Bid opened</v>
          </cell>
          <cell r="S145" t="str">
            <v>Punjab</v>
          </cell>
          <cell r="T145" t="str">
            <v>Private Sector</v>
          </cell>
        </row>
        <row r="146">
          <cell r="C146" t="str">
            <v>HALDIA TPP1</v>
          </cell>
          <cell r="D146" t="str">
            <v xml:space="preserve"> 5-10 years</v>
          </cell>
          <cell r="E146">
            <v>5.3388090349999997</v>
          </cell>
          <cell r="F146">
            <v>300</v>
          </cell>
          <cell r="G146">
            <v>13.698403120136231</v>
          </cell>
          <cell r="H146">
            <v>2504</v>
          </cell>
          <cell r="I146">
            <v>34.300801412821123</v>
          </cell>
          <cell r="J146">
            <v>0.85703171819933754</v>
          </cell>
          <cell r="K146">
            <v>4143.5173985779484</v>
          </cell>
          <cell r="N146">
            <v>9</v>
          </cell>
          <cell r="O146" t="e">
            <v>#N/A</v>
          </cell>
          <cell r="P146">
            <v>2700</v>
          </cell>
          <cell r="Q146">
            <v>2517.85754</v>
          </cell>
          <cell r="R146" t="str">
            <v>Feasibility Study started</v>
          </cell>
          <cell r="S146" t="str">
            <v>West Bengal</v>
          </cell>
          <cell r="T146" t="str">
            <v>Private Sector</v>
          </cell>
        </row>
        <row r="147">
          <cell r="C147" t="str">
            <v>HALDIA TPP2</v>
          </cell>
          <cell r="D147" t="str">
            <v xml:space="preserve"> 5-10 years</v>
          </cell>
          <cell r="E147">
            <v>5.2539356609999999</v>
          </cell>
          <cell r="F147">
            <v>300</v>
          </cell>
          <cell r="G147">
            <v>13.698403120136231</v>
          </cell>
          <cell r="H147">
            <v>2504</v>
          </cell>
          <cell r="I147">
            <v>34.300801412821123</v>
          </cell>
          <cell r="J147">
            <v>0.86689660928721668</v>
          </cell>
          <cell r="K147">
            <v>4191.2114885278334</v>
          </cell>
          <cell r="N147">
            <v>9</v>
          </cell>
          <cell r="O147" t="e">
            <v>#N/A</v>
          </cell>
          <cell r="P147">
            <v>2700</v>
          </cell>
          <cell r="Q147">
            <v>2517.85754</v>
          </cell>
          <cell r="R147" t="str">
            <v>Feasibility Study started</v>
          </cell>
          <cell r="S147" t="str">
            <v>West Bengal</v>
          </cell>
          <cell r="T147" t="str">
            <v>Private Sector</v>
          </cell>
        </row>
        <row r="148">
          <cell r="C148" t="str">
            <v>HARDUAGANJ TPS7</v>
          </cell>
          <cell r="D148" t="str">
            <v xml:space="preserve"> 40-45 years</v>
          </cell>
          <cell r="E148">
            <v>42.176591379999998</v>
          </cell>
          <cell r="F148">
            <v>105</v>
          </cell>
          <cell r="G148">
            <v>12.751268219005874</v>
          </cell>
          <cell r="H148">
            <v>4386</v>
          </cell>
          <cell r="I148">
            <v>55.927062408559763</v>
          </cell>
          <cell r="J148">
            <v>0.2107839528173151</v>
          </cell>
          <cell r="K148">
            <v>332.01774759619497</v>
          </cell>
          <cell r="L148" t="str">
            <v>Y</v>
          </cell>
          <cell r="N148">
            <v>11</v>
          </cell>
          <cell r="O148">
            <v>12.089969839377147</v>
          </cell>
          <cell r="P148">
            <v>1155</v>
          </cell>
          <cell r="S148" t="str">
            <v>Uttar Pradesh</v>
          </cell>
          <cell r="T148" t="str">
            <v>State Sector</v>
          </cell>
        </row>
        <row r="149">
          <cell r="C149" t="str">
            <v>HARDUAGANJ TPS8</v>
          </cell>
          <cell r="D149" t="str">
            <v xml:space="preserve"> 5-10 years</v>
          </cell>
          <cell r="E149">
            <v>8.6735112940000008</v>
          </cell>
          <cell r="F149">
            <v>250</v>
          </cell>
          <cell r="G149">
            <v>12.751268219005874</v>
          </cell>
          <cell r="H149">
            <v>4386</v>
          </cell>
          <cell r="I149">
            <v>55.927062408559763</v>
          </cell>
          <cell r="J149">
            <v>0.69630948475966836</v>
          </cell>
          <cell r="K149">
            <v>2611.4202951789161</v>
          </cell>
          <cell r="N149">
            <v>9</v>
          </cell>
          <cell r="O149">
            <v>12.089969839377147</v>
          </cell>
          <cell r="P149">
            <v>2250</v>
          </cell>
          <cell r="Q149">
            <v>2853.0577457402323</v>
          </cell>
          <cell r="R149" t="str">
            <v>Bid opened</v>
          </cell>
          <cell r="S149" t="str">
            <v>Uttar Pradesh</v>
          </cell>
          <cell r="T149" t="str">
            <v>State Sector</v>
          </cell>
        </row>
        <row r="150">
          <cell r="C150" t="str">
            <v>HARDUAGANJ TPS9</v>
          </cell>
          <cell r="D150" t="str">
            <v xml:space="preserve"> 5-10 years</v>
          </cell>
          <cell r="E150">
            <v>8.0082135520000008</v>
          </cell>
          <cell r="F150">
            <v>250</v>
          </cell>
          <cell r="G150">
            <v>12.751268219005874</v>
          </cell>
          <cell r="H150">
            <v>4386</v>
          </cell>
          <cell r="I150">
            <v>55.927062408559763</v>
          </cell>
          <cell r="J150">
            <v>0.73029028117661499</v>
          </cell>
          <cell r="K150">
            <v>2738.8609567694803</v>
          </cell>
          <cell r="N150">
            <v>9</v>
          </cell>
          <cell r="O150">
            <v>12.089969839377147</v>
          </cell>
          <cell r="P150">
            <v>2250</v>
          </cell>
          <cell r="Q150">
            <v>2853.0577457402323</v>
          </cell>
          <cell r="R150" t="str">
            <v>Bid opened</v>
          </cell>
          <cell r="S150" t="str">
            <v>Uttar Pradesh</v>
          </cell>
          <cell r="T150" t="str">
            <v>State Sector</v>
          </cell>
        </row>
        <row r="151">
          <cell r="C151" t="str">
            <v>IB VALLEY TPS1</v>
          </cell>
          <cell r="D151" t="str">
            <v xml:space="preserve"> 25-30 years</v>
          </cell>
          <cell r="E151">
            <v>25.924709100000001</v>
          </cell>
          <cell r="F151">
            <v>210</v>
          </cell>
          <cell r="G151">
            <v>16.634138093950749</v>
          </cell>
          <cell r="H151">
            <v>3100</v>
          </cell>
          <cell r="I151">
            <v>51.565828091247319</v>
          </cell>
          <cell r="J151">
            <v>0.75934995122276783</v>
          </cell>
          <cell r="K151">
            <v>3120.6325994795293</v>
          </cell>
          <cell r="M151" t="str">
            <v>Y</v>
          </cell>
          <cell r="N151">
            <v>9</v>
          </cell>
          <cell r="O151">
            <v>10.530940532756757</v>
          </cell>
          <cell r="P151">
            <v>1890</v>
          </cell>
          <cell r="R151" t="str">
            <v>Feasibility study completed</v>
          </cell>
          <cell r="S151" t="str">
            <v>Odisha</v>
          </cell>
          <cell r="T151" t="str">
            <v>State Sector</v>
          </cell>
        </row>
        <row r="152">
          <cell r="C152" t="str">
            <v>IB VALLEY TPS2</v>
          </cell>
          <cell r="D152" t="str">
            <v xml:space="preserve"> 20-25 years</v>
          </cell>
          <cell r="E152">
            <v>24.591375769999999</v>
          </cell>
          <cell r="F152">
            <v>210</v>
          </cell>
          <cell r="G152">
            <v>16.634138093950749</v>
          </cell>
          <cell r="H152">
            <v>3100</v>
          </cell>
          <cell r="I152">
            <v>51.565828091247319</v>
          </cell>
          <cell r="J152">
            <v>0.76149251724682931</v>
          </cell>
          <cell r="K152">
            <v>3129.437711497324</v>
          </cell>
          <cell r="M152" t="str">
            <v>Y</v>
          </cell>
          <cell r="N152">
            <v>9</v>
          </cell>
          <cell r="O152">
            <v>10.530940532756757</v>
          </cell>
          <cell r="P152">
            <v>1890</v>
          </cell>
          <cell r="Q152">
            <v>2702.4678647244036</v>
          </cell>
          <cell r="R152" t="str">
            <v>Feasibility study completed</v>
          </cell>
          <cell r="S152" t="str">
            <v>Odisha</v>
          </cell>
          <cell r="T152" t="str">
            <v>State Sector</v>
          </cell>
        </row>
        <row r="153">
          <cell r="C153" t="str">
            <v>IB VALLEY TPS3</v>
          </cell>
          <cell r="D153" t="str">
            <v xml:space="preserve"> 0-5 years</v>
          </cell>
          <cell r="E153">
            <v>0.84052019200000005</v>
          </cell>
          <cell r="F153">
            <v>660</v>
          </cell>
          <cell r="G153">
            <v>12.59</v>
          </cell>
          <cell r="I153">
            <v>0</v>
          </cell>
          <cell r="J153">
            <v>0.46087687334037442</v>
          </cell>
          <cell r="K153">
            <v>4505.4238721582442</v>
          </cell>
          <cell r="O153" t="e">
            <v>#N/A</v>
          </cell>
          <cell r="Q153" t="e">
            <v>#N/A</v>
          </cell>
          <cell r="S153" t="str">
            <v>Odisha</v>
          </cell>
          <cell r="T153" t="str">
            <v>State Sector</v>
          </cell>
        </row>
        <row r="154">
          <cell r="C154" t="str">
            <v>IB VALLEY TPS4</v>
          </cell>
          <cell r="D154" t="str">
            <v xml:space="preserve"> 0-5 years</v>
          </cell>
          <cell r="E154">
            <v>0.67898699500000004</v>
          </cell>
          <cell r="F154">
            <v>660</v>
          </cell>
          <cell r="G154">
            <v>12.59</v>
          </cell>
          <cell r="I154">
            <v>0</v>
          </cell>
          <cell r="J154">
            <v>0.50071275951420524</v>
          </cell>
          <cell r="K154">
            <v>4894.8501222439263</v>
          </cell>
          <cell r="O154" t="e">
            <v>#N/A</v>
          </cell>
          <cell r="Q154" t="e">
            <v>#N/A</v>
          </cell>
          <cell r="S154" t="str">
            <v>Odisha</v>
          </cell>
          <cell r="T154" t="str">
            <v>State Sector</v>
          </cell>
        </row>
        <row r="155">
          <cell r="C155" t="str">
            <v>INDIRA GANDHI STPP1</v>
          </cell>
          <cell r="D155" t="str">
            <v xml:space="preserve"> 5-10 years</v>
          </cell>
          <cell r="E155">
            <v>9.5906913070000002</v>
          </cell>
          <cell r="F155">
            <v>500</v>
          </cell>
          <cell r="G155">
            <v>13.277409991486449</v>
          </cell>
          <cell r="H155">
            <v>5041</v>
          </cell>
          <cell r="I155">
            <v>66.931423767083189</v>
          </cell>
          <cell r="J155">
            <v>0.43200111955196252</v>
          </cell>
          <cell r="K155">
            <v>3374.032930042682</v>
          </cell>
          <cell r="N155">
            <v>5.25</v>
          </cell>
          <cell r="O155" t="e">
            <v>#N/A</v>
          </cell>
          <cell r="P155">
            <v>2625</v>
          </cell>
          <cell r="Q155">
            <v>2394.9910820709633</v>
          </cell>
          <cell r="R155" t="str">
            <v>Bid Awarded</v>
          </cell>
          <cell r="S155" t="str">
            <v>Haryana</v>
          </cell>
          <cell r="T155" t="str">
            <v>Central Sector</v>
          </cell>
        </row>
        <row r="156">
          <cell r="C156" t="str">
            <v>INDIRA GANDHI STPP2</v>
          </cell>
          <cell r="D156" t="str">
            <v xml:space="preserve"> 5-10 years</v>
          </cell>
          <cell r="E156">
            <v>8.5065023960000001</v>
          </cell>
          <cell r="F156">
            <v>500</v>
          </cell>
          <cell r="G156">
            <v>13.277409991486449</v>
          </cell>
          <cell r="H156">
            <v>5041</v>
          </cell>
          <cell r="I156">
            <v>66.931423767083189</v>
          </cell>
          <cell r="J156">
            <v>0.43848040488844081</v>
          </cell>
          <cell r="K156">
            <v>3424.637711139299</v>
          </cell>
          <cell r="N156">
            <v>5.25</v>
          </cell>
          <cell r="O156" t="e">
            <v>#N/A</v>
          </cell>
          <cell r="P156">
            <v>2625</v>
          </cell>
          <cell r="Q156">
            <v>2394.9910820709633</v>
          </cell>
          <cell r="R156" t="str">
            <v>Bid Awarded</v>
          </cell>
          <cell r="S156" t="str">
            <v>Haryana</v>
          </cell>
          <cell r="T156" t="str">
            <v>Central Sector</v>
          </cell>
        </row>
        <row r="157">
          <cell r="C157" t="str">
            <v>INDIRA GANDHI STPP3</v>
          </cell>
          <cell r="D157" t="str">
            <v xml:space="preserve"> 5-10 years</v>
          </cell>
          <cell r="E157">
            <v>7.5044490079999999</v>
          </cell>
          <cell r="F157">
            <v>500</v>
          </cell>
          <cell r="G157">
            <v>13.277409991486449</v>
          </cell>
          <cell r="H157">
            <v>5041</v>
          </cell>
          <cell r="I157">
            <v>66.931423767083189</v>
          </cell>
          <cell r="J157">
            <v>0.53257943464519586</v>
          </cell>
          <cell r="K157">
            <v>4159.5738275401927</v>
          </cell>
          <cell r="N157">
            <v>5.25</v>
          </cell>
          <cell r="O157" t="e">
            <v>#N/A</v>
          </cell>
          <cell r="P157">
            <v>2625</v>
          </cell>
          <cell r="Q157">
            <v>2394.9910820709633</v>
          </cell>
          <cell r="R157" t="str">
            <v>Bid Awarded</v>
          </cell>
          <cell r="S157" t="str">
            <v>Haryana</v>
          </cell>
          <cell r="T157" t="str">
            <v>Central Sector</v>
          </cell>
        </row>
        <row r="158">
          <cell r="C158" t="str">
            <v>ITPCL TPP1</v>
          </cell>
          <cell r="D158" t="str">
            <v xml:space="preserve"> 0-5 years</v>
          </cell>
          <cell r="E158">
            <v>4.6735112939999999</v>
          </cell>
          <cell r="F158">
            <v>600</v>
          </cell>
          <cell r="G158">
            <v>10.925749041185108</v>
          </cell>
          <cell r="I158">
            <v>0</v>
          </cell>
          <cell r="J158">
            <v>0.594400281855339</v>
          </cell>
          <cell r="K158">
            <v>4584.1893949843252</v>
          </cell>
          <cell r="O158" t="e">
            <v>#N/A</v>
          </cell>
          <cell r="Q158">
            <v>2376.393536</v>
          </cell>
          <cell r="S158" t="str">
            <v>Tamil Nadu</v>
          </cell>
          <cell r="T158" t="str">
            <v>Private Sector</v>
          </cell>
        </row>
        <row r="159">
          <cell r="C159" t="str">
            <v>ITPCL TPP2</v>
          </cell>
          <cell r="D159" t="str">
            <v xml:space="preserve"> 0-5 years</v>
          </cell>
          <cell r="E159">
            <v>4.0903490759999999</v>
          </cell>
          <cell r="F159">
            <v>600</v>
          </cell>
          <cell r="G159">
            <v>10.925749041185108</v>
          </cell>
          <cell r="I159">
            <v>0</v>
          </cell>
          <cell r="J159">
            <v>0.61723545739877494</v>
          </cell>
          <cell r="K159">
            <v>4760.3009695483179</v>
          </cell>
          <cell r="O159" t="e">
            <v>#N/A</v>
          </cell>
          <cell r="Q159">
            <v>2376.393536</v>
          </cell>
          <cell r="S159" t="str">
            <v>Tamil Nadu</v>
          </cell>
          <cell r="T159" t="str">
            <v>Private Sector</v>
          </cell>
        </row>
        <row r="160">
          <cell r="C160" t="str">
            <v>JALIPA KAPURDI TPP1</v>
          </cell>
          <cell r="D160" t="str">
            <v xml:space="preserve"> 10-15 years</v>
          </cell>
          <cell r="E160">
            <v>10.590006839999999</v>
          </cell>
          <cell r="F160">
            <v>135</v>
          </cell>
          <cell r="G160">
            <v>12.05</v>
          </cell>
          <cell r="H160">
            <v>2808</v>
          </cell>
          <cell r="I160">
            <v>33.836400000000005</v>
          </cell>
          <cell r="J160">
            <v>0.68166622684120992</v>
          </cell>
          <cell r="K160">
            <v>1304.588864134045</v>
          </cell>
          <cell r="N160">
            <v>11.5</v>
          </cell>
          <cell r="O160" t="e">
            <v>#N/A</v>
          </cell>
          <cell r="P160">
            <v>1552.5</v>
          </cell>
          <cell r="Q160">
            <v>2917.397694903912</v>
          </cell>
          <cell r="S160" t="str">
            <v>Rajasthan</v>
          </cell>
          <cell r="T160" t="str">
            <v>Private Sector</v>
          </cell>
        </row>
        <row r="161">
          <cell r="C161" t="str">
            <v>JALIPA KAPURDI TPP2</v>
          </cell>
          <cell r="D161" t="str">
            <v xml:space="preserve"> 5-10 years</v>
          </cell>
          <cell r="E161">
            <v>9.8425735799999998</v>
          </cell>
          <cell r="F161">
            <v>135</v>
          </cell>
          <cell r="G161">
            <v>12.05</v>
          </cell>
          <cell r="H161">
            <v>2808</v>
          </cell>
          <cell r="I161">
            <v>33.836400000000005</v>
          </cell>
          <cell r="J161">
            <v>0.70179042474249997</v>
          </cell>
          <cell r="K161">
            <v>1343.1030275880728</v>
          </cell>
          <cell r="N161">
            <v>11.5</v>
          </cell>
          <cell r="O161" t="e">
            <v>#N/A</v>
          </cell>
          <cell r="P161">
            <v>1552.5</v>
          </cell>
          <cell r="Q161">
            <v>2917.397694903912</v>
          </cell>
          <cell r="S161" t="str">
            <v>Rajasthan</v>
          </cell>
          <cell r="T161" t="str">
            <v>Private Sector</v>
          </cell>
        </row>
        <row r="162">
          <cell r="C162" t="str">
            <v>JALIPA KAPURDI TPP3</v>
          </cell>
          <cell r="D162" t="str">
            <v xml:space="preserve"> 5-10 years</v>
          </cell>
          <cell r="E162">
            <v>8.5065023960000001</v>
          </cell>
          <cell r="F162">
            <v>135</v>
          </cell>
          <cell r="G162">
            <v>12.05</v>
          </cell>
          <cell r="H162">
            <v>2808</v>
          </cell>
          <cell r="I162">
            <v>33.836400000000005</v>
          </cell>
          <cell r="J162">
            <v>0.66762523936823448</v>
          </cell>
          <cell r="K162">
            <v>1277.7168919320891</v>
          </cell>
          <cell r="N162">
            <v>11.5</v>
          </cell>
          <cell r="O162" t="e">
            <v>#N/A</v>
          </cell>
          <cell r="P162">
            <v>1552.5</v>
          </cell>
          <cell r="Q162">
            <v>2917.397694903912</v>
          </cell>
          <cell r="S162" t="str">
            <v>Rajasthan</v>
          </cell>
          <cell r="T162" t="str">
            <v>Private Sector</v>
          </cell>
        </row>
        <row r="163">
          <cell r="C163" t="str">
            <v>JALIPA KAPURDI TPP4</v>
          </cell>
          <cell r="D163" t="str">
            <v xml:space="preserve"> 5-10 years</v>
          </cell>
          <cell r="E163">
            <v>8.5065023960000001</v>
          </cell>
          <cell r="F163">
            <v>135</v>
          </cell>
          <cell r="G163">
            <v>12.05</v>
          </cell>
          <cell r="H163">
            <v>2808</v>
          </cell>
          <cell r="I163">
            <v>33.836400000000005</v>
          </cell>
          <cell r="J163">
            <v>0.70319869558071291</v>
          </cell>
          <cell r="K163">
            <v>1345.7982094540293</v>
          </cell>
          <cell r="N163">
            <v>11.5</v>
          </cell>
          <cell r="O163" t="e">
            <v>#N/A</v>
          </cell>
          <cell r="P163">
            <v>1552.5</v>
          </cell>
          <cell r="Q163">
            <v>2917.397694903912</v>
          </cell>
          <cell r="S163" t="str">
            <v>Rajasthan</v>
          </cell>
          <cell r="T163" t="str">
            <v>Private Sector</v>
          </cell>
        </row>
        <row r="164">
          <cell r="C164" t="str">
            <v>JALIPA KAPURDI TPP5</v>
          </cell>
          <cell r="D164" t="str">
            <v xml:space="preserve"> 5-10 years</v>
          </cell>
          <cell r="E164">
            <v>7.2525667350000003</v>
          </cell>
          <cell r="F164">
            <v>135</v>
          </cell>
          <cell r="G164">
            <v>12.05</v>
          </cell>
          <cell r="H164">
            <v>2808</v>
          </cell>
          <cell r="I164">
            <v>33.836400000000005</v>
          </cell>
          <cell r="J164">
            <v>0.72805137319167279</v>
          </cell>
          <cell r="K164">
            <v>1393.3618486347691</v>
          </cell>
          <cell r="N164">
            <v>11.5</v>
          </cell>
          <cell r="O164" t="e">
            <v>#N/A</v>
          </cell>
          <cell r="P164">
            <v>1552.5</v>
          </cell>
          <cell r="Q164">
            <v>2917.397694903912</v>
          </cell>
          <cell r="S164" t="str">
            <v>Rajasthan</v>
          </cell>
          <cell r="T164" t="str">
            <v>Private Sector</v>
          </cell>
        </row>
        <row r="165">
          <cell r="C165" t="str">
            <v>JALIPA KAPURDI TPP6</v>
          </cell>
          <cell r="D165" t="str">
            <v xml:space="preserve"> 5-10 years</v>
          </cell>
          <cell r="E165">
            <v>7.1759069130000004</v>
          </cell>
          <cell r="F165">
            <v>135</v>
          </cell>
          <cell r="G165">
            <v>12.05</v>
          </cell>
          <cell r="H165">
            <v>2808</v>
          </cell>
          <cell r="I165">
            <v>33.836400000000005</v>
          </cell>
          <cell r="J165">
            <v>0.66280214614535504</v>
          </cell>
          <cell r="K165">
            <v>1268.4863426375957</v>
          </cell>
          <cell r="N165">
            <v>11.5</v>
          </cell>
          <cell r="O165" t="e">
            <v>#N/A</v>
          </cell>
          <cell r="P165">
            <v>1552.5</v>
          </cell>
          <cell r="Q165">
            <v>2917.397694903912</v>
          </cell>
          <cell r="S165" t="str">
            <v>Rajasthan</v>
          </cell>
          <cell r="T165" t="str">
            <v>Private Sector</v>
          </cell>
        </row>
        <row r="166">
          <cell r="C166" t="str">
            <v>JALIPA KAPURDI TPP7</v>
          </cell>
          <cell r="D166" t="str">
            <v xml:space="preserve"> 5-10 years</v>
          </cell>
          <cell r="E166">
            <v>7.1759069130000004</v>
          </cell>
          <cell r="F166">
            <v>135</v>
          </cell>
          <cell r="G166">
            <v>12.05</v>
          </cell>
          <cell r="H166">
            <v>2808</v>
          </cell>
          <cell r="I166">
            <v>33.836400000000005</v>
          </cell>
          <cell r="J166">
            <v>0.69745598212964199</v>
          </cell>
          <cell r="K166">
            <v>1334.8076693287003</v>
          </cell>
          <cell r="N166">
            <v>11.5</v>
          </cell>
          <cell r="O166" t="e">
            <v>#N/A</v>
          </cell>
          <cell r="P166">
            <v>1552.5</v>
          </cell>
          <cell r="Q166">
            <v>2917.397694903912</v>
          </cell>
          <cell r="S166" t="str">
            <v>Rajasthan</v>
          </cell>
          <cell r="T166" t="str">
            <v>Private Sector</v>
          </cell>
        </row>
        <row r="167">
          <cell r="C167" t="str">
            <v>JALIPA KAPURDI TPP8</v>
          </cell>
          <cell r="D167" t="str">
            <v xml:space="preserve"> 5-10 years</v>
          </cell>
          <cell r="E167">
            <v>7.2525667350000003</v>
          </cell>
          <cell r="F167">
            <v>135</v>
          </cell>
          <cell r="G167">
            <v>12.05</v>
          </cell>
          <cell r="H167">
            <v>2808</v>
          </cell>
          <cell r="I167">
            <v>33.836400000000005</v>
          </cell>
          <cell r="J167">
            <v>0.69249846319325614</v>
          </cell>
          <cell r="K167">
            <v>1325.3198529407407</v>
          </cell>
          <cell r="N167">
            <v>11.5</v>
          </cell>
          <cell r="O167" t="e">
            <v>#N/A</v>
          </cell>
          <cell r="P167">
            <v>1552.5</v>
          </cell>
          <cell r="Q167">
            <v>2917.397694903912</v>
          </cell>
          <cell r="S167" t="str">
            <v>Rajasthan</v>
          </cell>
          <cell r="T167" t="str">
            <v>Private Sector</v>
          </cell>
        </row>
        <row r="168">
          <cell r="C168" t="str">
            <v>JOJOBERA TPS2</v>
          </cell>
          <cell r="D168" t="str">
            <v xml:space="preserve"> 15-20 years</v>
          </cell>
          <cell r="E168">
            <v>19.337440109999999</v>
          </cell>
          <cell r="F168">
            <v>120</v>
          </cell>
          <cell r="G168">
            <v>13.859405618288124</v>
          </cell>
          <cell r="H168">
            <v>3718</v>
          </cell>
          <cell r="I168">
            <v>51.529270088795244</v>
          </cell>
          <cell r="J168">
            <v>0.72321095379914924</v>
          </cell>
          <cell r="K168">
            <v>1415.0504408882036</v>
          </cell>
          <cell r="N168">
            <v>9.11</v>
          </cell>
          <cell r="O168" t="e">
            <v>#N/A</v>
          </cell>
          <cell r="P168">
            <v>1093.1999999999998</v>
          </cell>
          <cell r="Q168">
            <v>2839.1077567624066</v>
          </cell>
          <cell r="R168" t="str">
            <v>NIT issued</v>
          </cell>
          <cell r="S168" t="str">
            <v>Jharkhand</v>
          </cell>
          <cell r="T168" t="str">
            <v>Private Sector</v>
          </cell>
        </row>
        <row r="169">
          <cell r="C169" t="str">
            <v>JOJOBERA TPS3</v>
          </cell>
          <cell r="D169" t="str">
            <v xml:space="preserve"> 15-20 years</v>
          </cell>
          <cell r="E169">
            <v>18.338124570000002</v>
          </cell>
          <cell r="F169">
            <v>120</v>
          </cell>
          <cell r="G169">
            <v>13.859405618288124</v>
          </cell>
          <cell r="H169">
            <v>3702</v>
          </cell>
          <cell r="I169">
            <v>51.30751959890263</v>
          </cell>
          <cell r="J169">
            <v>0.72059455667231609</v>
          </cell>
          <cell r="K169">
            <v>1409.931140788537</v>
          </cell>
          <cell r="N169">
            <v>9.27</v>
          </cell>
          <cell r="O169" t="e">
            <v>#N/A</v>
          </cell>
          <cell r="P169">
            <v>1112.3999999999999</v>
          </cell>
          <cell r="Q169">
            <v>2839.1077567624066</v>
          </cell>
          <cell r="R169" t="str">
            <v>NIT issued</v>
          </cell>
          <cell r="S169" t="str">
            <v>Jharkhand</v>
          </cell>
          <cell r="T169" t="str">
            <v>Private Sector</v>
          </cell>
        </row>
        <row r="170">
          <cell r="C170" t="str">
            <v>JSW RATNAGIRI TPP1</v>
          </cell>
          <cell r="D170" t="str">
            <v xml:space="preserve"> 5-10 years</v>
          </cell>
          <cell r="E170">
            <v>9.7577002050000008</v>
          </cell>
          <cell r="F170">
            <v>300</v>
          </cell>
          <cell r="G170">
            <v>8.9035211548533866</v>
          </cell>
          <cell r="I170">
            <v>0</v>
          </cell>
          <cell r="J170">
            <v>0.83802919576396806</v>
          </cell>
          <cell r="K170">
            <v>2633.4390610126802</v>
          </cell>
          <cell r="O170" t="e">
            <v>#N/A</v>
          </cell>
          <cell r="Q170">
            <v>2554.9979812434003</v>
          </cell>
          <cell r="S170" t="str">
            <v>Maharashtra</v>
          </cell>
          <cell r="T170" t="str">
            <v>Private Sector</v>
          </cell>
        </row>
        <row r="171">
          <cell r="C171" t="str">
            <v>JSW RATNAGIRI TPP2</v>
          </cell>
          <cell r="D171" t="str">
            <v xml:space="preserve"> 5-10 years</v>
          </cell>
          <cell r="E171">
            <v>9.4236824089999995</v>
          </cell>
          <cell r="F171">
            <v>300</v>
          </cell>
          <cell r="G171">
            <v>8.9035211548533866</v>
          </cell>
          <cell r="I171">
            <v>0</v>
          </cell>
          <cell r="J171">
            <v>0.65452038429606663</v>
          </cell>
          <cell r="K171">
            <v>2056.7774427751051</v>
          </cell>
          <cell r="O171" t="e">
            <v>#N/A</v>
          </cell>
          <cell r="Q171">
            <v>2554.9979812434003</v>
          </cell>
          <cell r="S171" t="str">
            <v>Maharashtra</v>
          </cell>
          <cell r="T171" t="str">
            <v>Private Sector</v>
          </cell>
        </row>
        <row r="172">
          <cell r="C172" t="str">
            <v>JSW RATNAGIRI TPP3</v>
          </cell>
          <cell r="D172" t="str">
            <v xml:space="preserve"> 5-10 years</v>
          </cell>
          <cell r="E172">
            <v>9.0102669399999993</v>
          </cell>
          <cell r="F172">
            <v>300</v>
          </cell>
          <cell r="G172">
            <v>8.9035211548533866</v>
          </cell>
          <cell r="I172">
            <v>0</v>
          </cell>
          <cell r="J172">
            <v>0.74378793917600006</v>
          </cell>
          <cell r="K172">
            <v>2337.2935239452895</v>
          </cell>
          <cell r="O172" t="e">
            <v>#N/A</v>
          </cell>
          <cell r="Q172">
            <v>2554.9979812434003</v>
          </cell>
          <cell r="S172" t="str">
            <v>Maharashtra</v>
          </cell>
          <cell r="T172" t="str">
            <v>Private Sector</v>
          </cell>
        </row>
        <row r="173">
          <cell r="C173" t="str">
            <v>JSW RATNAGIRI TPP4</v>
          </cell>
          <cell r="D173" t="str">
            <v xml:space="preserve"> 5-10 years</v>
          </cell>
          <cell r="E173">
            <v>8.5913757700000009</v>
          </cell>
          <cell r="F173">
            <v>300</v>
          </cell>
          <cell r="G173">
            <v>8.9035211548533866</v>
          </cell>
          <cell r="I173">
            <v>0</v>
          </cell>
          <cell r="J173">
            <v>0.74778122696097782</v>
          </cell>
          <cell r="K173">
            <v>2349.8421082762193</v>
          </cell>
          <cell r="O173" t="e">
            <v>#N/A</v>
          </cell>
          <cell r="Q173">
            <v>2554.9979812434003</v>
          </cell>
          <cell r="S173" t="str">
            <v>Maharashtra</v>
          </cell>
          <cell r="T173" t="str">
            <v>Private Sector</v>
          </cell>
        </row>
        <row r="174">
          <cell r="C174" t="str">
            <v>KAHALGAON TPS1</v>
          </cell>
          <cell r="D174" t="str">
            <v xml:space="preserve"> 25-30 years</v>
          </cell>
          <cell r="E174">
            <v>28.17522245</v>
          </cell>
          <cell r="F174">
            <v>210</v>
          </cell>
          <cell r="G174">
            <v>15.974672979051094</v>
          </cell>
          <cell r="H174">
            <v>3868</v>
          </cell>
          <cell r="I174">
            <v>61.790035082969631</v>
          </cell>
          <cell r="J174">
            <v>0.78331569104385323</v>
          </cell>
          <cell r="K174">
            <v>3091.4994362292296</v>
          </cell>
          <cell r="M174" t="str">
            <v>Y</v>
          </cell>
          <cell r="N174">
            <v>9</v>
          </cell>
          <cell r="O174">
            <v>7.6780296319418397</v>
          </cell>
          <cell r="P174">
            <v>1890</v>
          </cell>
          <cell r="R174" t="str">
            <v>NIT issued</v>
          </cell>
          <cell r="S174" t="str">
            <v>Bihar</v>
          </cell>
          <cell r="T174" t="str">
            <v>Central Sector</v>
          </cell>
        </row>
        <row r="175">
          <cell r="C175" t="str">
            <v>KAHALGAON TPS2</v>
          </cell>
          <cell r="D175" t="str">
            <v xml:space="preserve"> 25-30 years</v>
          </cell>
          <cell r="E175">
            <v>26.176591380000001</v>
          </cell>
          <cell r="F175">
            <v>210</v>
          </cell>
          <cell r="G175">
            <v>15.974672979051094</v>
          </cell>
          <cell r="H175">
            <v>3868</v>
          </cell>
          <cell r="I175">
            <v>61.790035082969631</v>
          </cell>
          <cell r="J175">
            <v>0.80569315266623409</v>
          </cell>
          <cell r="K175">
            <v>3179.8162040162274</v>
          </cell>
          <cell r="M175" t="str">
            <v>Y</v>
          </cell>
          <cell r="N175">
            <v>9</v>
          </cell>
          <cell r="O175">
            <v>7.6780296319418397</v>
          </cell>
          <cell r="P175">
            <v>1890</v>
          </cell>
          <cell r="R175" t="str">
            <v>NIT issued</v>
          </cell>
          <cell r="S175" t="str">
            <v>Bihar</v>
          </cell>
          <cell r="T175" t="str">
            <v>Central Sector</v>
          </cell>
        </row>
        <row r="176">
          <cell r="C176" t="str">
            <v>KAHALGAON TPS3</v>
          </cell>
          <cell r="D176" t="str">
            <v xml:space="preserve"> 25-30 years</v>
          </cell>
          <cell r="E176">
            <v>25.17727584</v>
          </cell>
          <cell r="F176">
            <v>210</v>
          </cell>
          <cell r="G176">
            <v>15.974672979051094</v>
          </cell>
          <cell r="H176">
            <v>3868</v>
          </cell>
          <cell r="I176">
            <v>61.790035082969631</v>
          </cell>
          <cell r="J176">
            <v>0.82683020576074406</v>
          </cell>
          <cell r="K176">
            <v>3263.2374714213852</v>
          </cell>
          <cell r="M176" t="str">
            <v>Y</v>
          </cell>
          <cell r="N176">
            <v>9</v>
          </cell>
          <cell r="O176">
            <v>7.6780296319418397</v>
          </cell>
          <cell r="P176">
            <v>1890</v>
          </cell>
          <cell r="R176" t="str">
            <v>NIT issued</v>
          </cell>
          <cell r="S176" t="str">
            <v>Bihar</v>
          </cell>
          <cell r="T176" t="str">
            <v>Central Sector</v>
          </cell>
        </row>
        <row r="177">
          <cell r="C177" t="str">
            <v>KAHALGAON TPS4</v>
          </cell>
          <cell r="D177" t="str">
            <v xml:space="preserve"> 20-25 years</v>
          </cell>
          <cell r="E177">
            <v>24.17522245</v>
          </cell>
          <cell r="F177">
            <v>210</v>
          </cell>
          <cell r="G177">
            <v>15.974672979051094</v>
          </cell>
          <cell r="H177">
            <v>3868</v>
          </cell>
          <cell r="I177">
            <v>61.790035082969631</v>
          </cell>
          <cell r="J177">
            <v>0.82887789118448807</v>
          </cell>
          <cell r="K177">
            <v>3271.3190385410776</v>
          </cell>
          <cell r="M177" t="str">
            <v>Y</v>
          </cell>
          <cell r="N177">
            <v>9</v>
          </cell>
          <cell r="O177">
            <v>7.6780296319418397</v>
          </cell>
          <cell r="P177">
            <v>1890</v>
          </cell>
          <cell r="Q177">
            <v>2570.4579690281448</v>
          </cell>
          <cell r="R177" t="str">
            <v>NIT issued</v>
          </cell>
          <cell r="S177" t="str">
            <v>Bihar</v>
          </cell>
          <cell r="T177" t="str">
            <v>Central Sector</v>
          </cell>
        </row>
        <row r="178">
          <cell r="C178" t="str">
            <v>KAHALGAON TPS5</v>
          </cell>
          <cell r="D178" t="str">
            <v xml:space="preserve"> 10-15 years</v>
          </cell>
          <cell r="E178">
            <v>13.17727584</v>
          </cell>
          <cell r="F178">
            <v>500</v>
          </cell>
          <cell r="G178">
            <v>13.94</v>
          </cell>
          <cell r="H178">
            <v>3922</v>
          </cell>
          <cell r="I178">
            <v>54.67268</v>
          </cell>
          <cell r="J178">
            <v>0.82720906658485915</v>
          </cell>
          <cell r="K178">
            <v>6783.1143459958457</v>
          </cell>
          <cell r="N178">
            <v>5.75</v>
          </cell>
          <cell r="O178">
            <v>7.6780296319418397</v>
          </cell>
          <cell r="P178">
            <v>2875</v>
          </cell>
          <cell r="Q178">
            <v>2570.4579690281448</v>
          </cell>
          <cell r="R178" t="str">
            <v>NIT issued</v>
          </cell>
          <cell r="S178" t="str">
            <v>Bihar</v>
          </cell>
          <cell r="T178" t="str">
            <v>Central Sector</v>
          </cell>
        </row>
        <row r="179">
          <cell r="C179" t="str">
            <v>KAHALGAON TPS6</v>
          </cell>
          <cell r="D179" t="str">
            <v xml:space="preserve"> 10-15 years</v>
          </cell>
          <cell r="E179">
            <v>12.17522245</v>
          </cell>
          <cell r="F179">
            <v>500</v>
          </cell>
          <cell r="G179">
            <v>13.94</v>
          </cell>
          <cell r="H179">
            <v>3922</v>
          </cell>
          <cell r="I179">
            <v>54.67268</v>
          </cell>
          <cell r="J179">
            <v>0.76161708100122993</v>
          </cell>
          <cell r="K179">
            <v>6245.2600642100861</v>
          </cell>
          <cell r="N179">
            <v>5.75</v>
          </cell>
          <cell r="O179">
            <v>7.6780296319418397</v>
          </cell>
          <cell r="P179">
            <v>2875</v>
          </cell>
          <cell r="Q179">
            <v>2570.4579690281448</v>
          </cell>
          <cell r="R179" t="str">
            <v>NIT issued</v>
          </cell>
          <cell r="S179" t="str">
            <v>Bihar</v>
          </cell>
          <cell r="T179" t="str">
            <v>Central Sector</v>
          </cell>
        </row>
        <row r="180">
          <cell r="C180" t="str">
            <v>KAHALGAON TPS7</v>
          </cell>
          <cell r="D180" t="str">
            <v xml:space="preserve"> 10-15 years</v>
          </cell>
          <cell r="E180">
            <v>10.841889119999999</v>
          </cell>
          <cell r="F180">
            <v>500</v>
          </cell>
          <cell r="G180">
            <v>13.94</v>
          </cell>
          <cell r="H180">
            <v>3922</v>
          </cell>
          <cell r="I180">
            <v>54.67268</v>
          </cell>
          <cell r="J180">
            <v>0.8175466559959943</v>
          </cell>
          <cell r="K180">
            <v>6703.8825791671525</v>
          </cell>
          <cell r="N180">
            <v>5.75</v>
          </cell>
          <cell r="O180">
            <v>7.6780296319418397</v>
          </cell>
          <cell r="P180">
            <v>2875</v>
          </cell>
          <cell r="Q180">
            <v>2570.4579690281448</v>
          </cell>
          <cell r="R180" t="str">
            <v>NIT issued</v>
          </cell>
          <cell r="S180" t="str">
            <v>Bihar</v>
          </cell>
          <cell r="T180" t="str">
            <v>Central Sector</v>
          </cell>
        </row>
        <row r="181">
          <cell r="C181" t="str">
            <v>KAKATIYA TPS1</v>
          </cell>
          <cell r="D181" t="str">
            <v xml:space="preserve"> 5-10 years</v>
          </cell>
          <cell r="E181">
            <v>10.009582480000001</v>
          </cell>
          <cell r="F181">
            <v>500</v>
          </cell>
          <cell r="G181">
            <v>11.452512398321444</v>
          </cell>
          <cell r="I181">
            <v>0</v>
          </cell>
          <cell r="J181">
            <v>0.80149749074040832</v>
          </cell>
          <cell r="K181">
            <v>5399.5058528988548</v>
          </cell>
          <cell r="N181">
            <v>6.3292067788303559</v>
          </cell>
          <cell r="O181">
            <v>6.3292067788303559</v>
          </cell>
          <cell r="P181">
            <v>3164.6033894151778</v>
          </cell>
          <cell r="Q181">
            <v>2476.1080435759668</v>
          </cell>
          <cell r="R181" t="str">
            <v>Feasiblity Study started</v>
          </cell>
          <cell r="S181" t="str">
            <v>Telangana</v>
          </cell>
          <cell r="T181" t="str">
            <v>State Sector</v>
          </cell>
        </row>
        <row r="182">
          <cell r="C182" t="str">
            <v>KAKATIYA TPS2</v>
          </cell>
          <cell r="D182" t="str">
            <v xml:space="preserve"> 0-5 years</v>
          </cell>
          <cell r="E182">
            <v>4.4243668720000002</v>
          </cell>
          <cell r="F182">
            <v>600</v>
          </cell>
          <cell r="G182">
            <v>11.452512398321444</v>
          </cell>
          <cell r="I182">
            <v>0</v>
          </cell>
          <cell r="J182">
            <v>0.77809538392584709</v>
          </cell>
          <cell r="K182">
            <v>6290.2214339911397</v>
          </cell>
          <cell r="N182">
            <v>6.3292067788303559</v>
          </cell>
          <cell r="O182">
            <v>6.3292067788303559</v>
          </cell>
          <cell r="P182">
            <v>3797.5240672982136</v>
          </cell>
          <cell r="Q182">
            <v>2476.1080435759668</v>
          </cell>
          <cell r="R182" t="str">
            <v>Feasiblity Study started</v>
          </cell>
          <cell r="S182" t="str">
            <v>Telangana</v>
          </cell>
          <cell r="T182" t="str">
            <v>State Sector</v>
          </cell>
        </row>
        <row r="183">
          <cell r="C183" t="str">
            <v>KALISINDH TPS1</v>
          </cell>
          <cell r="D183" t="str">
            <v xml:space="preserve"> 5-10 years</v>
          </cell>
          <cell r="E183">
            <v>6.0095824779999996</v>
          </cell>
          <cell r="F183">
            <v>600</v>
          </cell>
          <cell r="G183">
            <v>11.631940662424933</v>
          </cell>
          <cell r="H183">
            <v>4358</v>
          </cell>
          <cell r="I183">
            <v>50.691997406847854</v>
          </cell>
          <cell r="J183">
            <v>0.74500499420616662</v>
          </cell>
          <cell r="K183">
            <v>6117.0733311644899</v>
          </cell>
          <cell r="N183">
            <v>5.25</v>
          </cell>
          <cell r="O183" t="e">
            <v>#N/A</v>
          </cell>
          <cell r="P183">
            <v>3150</v>
          </cell>
          <cell r="Q183">
            <v>2648.0179077464377</v>
          </cell>
          <cell r="R183" t="str">
            <v>NIT issued</v>
          </cell>
          <cell r="S183" t="str">
            <v>Rajasthan</v>
          </cell>
          <cell r="T183" t="str">
            <v>State Sector</v>
          </cell>
        </row>
        <row r="184">
          <cell r="C184" t="str">
            <v>KALISINDH TPS2</v>
          </cell>
          <cell r="D184" t="str">
            <v xml:space="preserve"> 0-5 years</v>
          </cell>
          <cell r="E184">
            <v>4.9253935660000003</v>
          </cell>
          <cell r="F184">
            <v>600</v>
          </cell>
          <cell r="G184">
            <v>11.631940662424933</v>
          </cell>
          <cell r="I184">
            <v>0</v>
          </cell>
          <cell r="J184">
            <v>0.41169665194501248</v>
          </cell>
          <cell r="K184">
            <v>3380.351312712985</v>
          </cell>
          <cell r="O184" t="e">
            <v>#N/A</v>
          </cell>
          <cell r="P184">
            <v>0</v>
          </cell>
          <cell r="Q184">
            <v>2648.0179077464377</v>
          </cell>
          <cell r="R184" t="str">
            <v>NIT issued</v>
          </cell>
          <cell r="S184" t="str">
            <v>Rajasthan</v>
          </cell>
          <cell r="T184" t="str">
            <v>State Sector</v>
          </cell>
        </row>
        <row r="185">
          <cell r="C185" t="str">
            <v>KAMALANGA TPS1</v>
          </cell>
          <cell r="D185" t="str">
            <v xml:space="preserve"> 5-10 years</v>
          </cell>
          <cell r="E185">
            <v>7.1759069130000004</v>
          </cell>
          <cell r="F185">
            <v>350</v>
          </cell>
          <cell r="G185">
            <v>14.73962112707283</v>
          </cell>
          <cell r="H185">
            <v>3793</v>
          </cell>
          <cell r="I185">
            <v>55.907382934987247</v>
          </cell>
          <cell r="J185">
            <v>0.6294567280601524</v>
          </cell>
          <cell r="K185">
            <v>3820.3338713208773</v>
          </cell>
          <cell r="N185">
            <v>5.75</v>
          </cell>
          <cell r="O185" t="e">
            <v>#N/A</v>
          </cell>
          <cell r="P185">
            <v>2012.5</v>
          </cell>
          <cell r="Q185">
            <v>2531.4743960000001</v>
          </cell>
          <cell r="R185" t="str">
            <v>Feasibility study completed</v>
          </cell>
          <cell r="S185" t="str">
            <v>Odisha</v>
          </cell>
          <cell r="T185" t="str">
            <v>Private Sector</v>
          </cell>
        </row>
        <row r="186">
          <cell r="C186" t="str">
            <v>KAMALANGA TPS2</v>
          </cell>
          <cell r="D186" t="str">
            <v xml:space="preserve"> 5-10 years</v>
          </cell>
          <cell r="E186">
            <v>6.6721423680000003</v>
          </cell>
          <cell r="F186">
            <v>350</v>
          </cell>
          <cell r="G186">
            <v>14.73962112707283</v>
          </cell>
          <cell r="H186">
            <v>3793</v>
          </cell>
          <cell r="I186">
            <v>55.907382934987247</v>
          </cell>
          <cell r="J186">
            <v>0.66671829245411063</v>
          </cell>
          <cell r="K186">
            <v>4046.4838355786892</v>
          </cell>
          <cell r="N186">
            <v>5.75</v>
          </cell>
          <cell r="O186" t="e">
            <v>#N/A</v>
          </cell>
          <cell r="P186">
            <v>2012.5</v>
          </cell>
          <cell r="Q186">
            <v>2531.4743960000001</v>
          </cell>
          <cell r="R186" t="str">
            <v>Feasibility study completed</v>
          </cell>
          <cell r="S186" t="str">
            <v>Odisha</v>
          </cell>
          <cell r="T186" t="str">
            <v>Private Sector</v>
          </cell>
        </row>
        <row r="187">
          <cell r="C187" t="str">
            <v>KAMALANGA TPS3</v>
          </cell>
          <cell r="D187" t="str">
            <v xml:space="preserve"> 5-10 years</v>
          </cell>
          <cell r="E187">
            <v>6.1765913760000002</v>
          </cell>
          <cell r="F187">
            <v>350</v>
          </cell>
          <cell r="G187">
            <v>14.73962112707283</v>
          </cell>
          <cell r="H187">
            <v>3793</v>
          </cell>
          <cell r="I187">
            <v>55.907382934987247</v>
          </cell>
          <cell r="J187">
            <v>0.6679024307439666</v>
          </cell>
          <cell r="K187">
            <v>4053.6706737129102</v>
          </cell>
          <cell r="N187">
            <v>5.75</v>
          </cell>
          <cell r="O187" t="e">
            <v>#N/A</v>
          </cell>
          <cell r="P187">
            <v>2012.5</v>
          </cell>
          <cell r="Q187">
            <v>2531.4743960000001</v>
          </cell>
          <cell r="R187" t="str">
            <v>Feasibility study completed</v>
          </cell>
          <cell r="S187" t="str">
            <v>Odisha</v>
          </cell>
          <cell r="T187" t="str">
            <v>Private Sector</v>
          </cell>
        </row>
        <row r="188">
          <cell r="C188" t="str">
            <v>KASAIPALLI TPP1</v>
          </cell>
          <cell r="D188" t="str">
            <v xml:space="preserve"> 5-10 years</v>
          </cell>
          <cell r="E188">
            <v>8.4243668720000002</v>
          </cell>
          <cell r="F188">
            <v>135</v>
          </cell>
          <cell r="G188">
            <v>12.22</v>
          </cell>
          <cell r="I188">
            <v>0</v>
          </cell>
          <cell r="J188">
            <v>0.79260247009490747</v>
          </cell>
          <cell r="K188">
            <v>1538.3015234300813</v>
          </cell>
          <cell r="O188" t="e">
            <v>#N/A</v>
          </cell>
          <cell r="Q188">
            <v>2873.0377299536353</v>
          </cell>
          <cell r="S188" t="str">
            <v>Chhatisgarh</v>
          </cell>
          <cell r="T188" t="str">
            <v>Private Sector</v>
          </cell>
        </row>
        <row r="189">
          <cell r="C189" t="str">
            <v>KASAIPALLI TPP2</v>
          </cell>
          <cell r="D189" t="str">
            <v xml:space="preserve"> 5-10 years</v>
          </cell>
          <cell r="E189">
            <v>7.9233401780000001</v>
          </cell>
          <cell r="F189">
            <v>135</v>
          </cell>
          <cell r="G189">
            <v>12.22</v>
          </cell>
          <cell r="I189">
            <v>0</v>
          </cell>
          <cell r="J189">
            <v>0.72231786864670056</v>
          </cell>
          <cell r="K189">
            <v>1401.8915151840731</v>
          </cell>
          <cell r="O189" t="e">
            <v>#N/A</v>
          </cell>
          <cell r="Q189">
            <v>2873.0377299536353</v>
          </cell>
          <cell r="S189" t="str">
            <v>Chhatisgarh</v>
          </cell>
          <cell r="T189" t="str">
            <v>Private Sector</v>
          </cell>
        </row>
        <row r="190">
          <cell r="C190" t="str">
            <v>KAWAI TPS1</v>
          </cell>
          <cell r="D190" t="str">
            <v xml:space="preserve"> 5-10 years</v>
          </cell>
          <cell r="E190">
            <v>7.0088980149999998</v>
          </cell>
          <cell r="F190">
            <v>660</v>
          </cell>
          <cell r="G190">
            <v>11.445818683143269</v>
          </cell>
          <cell r="I190">
            <v>0</v>
          </cell>
          <cell r="J190">
            <v>0.59578506624145267</v>
          </cell>
          <cell r="K190">
            <v>5294.945383451708</v>
          </cell>
          <cell r="O190" t="e">
            <v>#N/A</v>
          </cell>
          <cell r="Q190">
            <v>2450.288063976865</v>
          </cell>
          <cell r="R190" t="str">
            <v>NIT issued</v>
          </cell>
          <cell r="S190" t="str">
            <v>Rajasthan</v>
          </cell>
          <cell r="T190" t="str">
            <v>Private Sector</v>
          </cell>
        </row>
        <row r="191">
          <cell r="C191" t="str">
            <v>KAWAI TPS2</v>
          </cell>
          <cell r="D191" t="str">
            <v xml:space="preserve"> 5-10 years</v>
          </cell>
          <cell r="E191">
            <v>6.4229979469999998</v>
          </cell>
          <cell r="F191">
            <v>660</v>
          </cell>
          <cell r="G191">
            <v>11.445818683143269</v>
          </cell>
          <cell r="I191">
            <v>0</v>
          </cell>
          <cell r="J191">
            <v>0.59920829522903041</v>
          </cell>
          <cell r="K191">
            <v>5325.3687887220358</v>
          </cell>
          <cell r="O191" t="e">
            <v>#N/A</v>
          </cell>
          <cell r="Q191">
            <v>2450.288063976865</v>
          </cell>
          <cell r="R191" t="str">
            <v>NIT issued</v>
          </cell>
          <cell r="S191" t="str">
            <v>Rajasthan</v>
          </cell>
          <cell r="T191" t="str">
            <v>Private Sector</v>
          </cell>
        </row>
        <row r="192">
          <cell r="C192" t="str">
            <v>KHAMBARKHERA TPS1</v>
          </cell>
          <cell r="D192" t="str">
            <v xml:space="preserve"> 5-10 years</v>
          </cell>
          <cell r="E192">
            <v>8.5913757700000009</v>
          </cell>
          <cell r="F192">
            <v>45</v>
          </cell>
          <cell r="G192">
            <v>16.438127281394998</v>
          </cell>
          <cell r="I192">
            <v>0</v>
          </cell>
          <cell r="J192">
            <v>0.13315430202347683</v>
          </cell>
          <cell r="K192">
            <v>115.87803695614714</v>
          </cell>
          <cell r="O192" t="e">
            <v>#N/A</v>
          </cell>
          <cell r="Q192">
            <v>3278.9274092518281</v>
          </cell>
          <cell r="S192" t="str">
            <v>Uttar Pradesh</v>
          </cell>
          <cell r="T192" t="str">
            <v>Private Sector</v>
          </cell>
        </row>
        <row r="193">
          <cell r="C193" t="str">
            <v>KHAMBARKHERA TPS2</v>
          </cell>
          <cell r="D193" t="str">
            <v xml:space="preserve"> 5-10 years</v>
          </cell>
          <cell r="E193">
            <v>8.5065023960000001</v>
          </cell>
          <cell r="F193">
            <v>45</v>
          </cell>
          <cell r="G193">
            <v>16.438127281394998</v>
          </cell>
          <cell r="I193">
            <v>0</v>
          </cell>
          <cell r="J193">
            <v>0.13841128084049167</v>
          </cell>
          <cell r="K193">
            <v>120.45294273371881</v>
          </cell>
          <cell r="O193" t="e">
            <v>#N/A</v>
          </cell>
          <cell r="Q193">
            <v>3278.9274092518281</v>
          </cell>
          <cell r="S193" t="str">
            <v>Uttar Pradesh</v>
          </cell>
          <cell r="T193" t="str">
            <v>Private Sector</v>
          </cell>
        </row>
        <row r="194">
          <cell r="C194" t="str">
            <v>KHAPARKHEDA TPS1</v>
          </cell>
          <cell r="D194" t="str">
            <v xml:space="preserve"> 30-35 years</v>
          </cell>
          <cell r="E194">
            <v>31.175906909999998</v>
          </cell>
          <cell r="F194">
            <v>210</v>
          </cell>
          <cell r="G194">
            <v>17.659125425550069</v>
          </cell>
          <cell r="H194">
            <v>2952</v>
          </cell>
          <cell r="I194">
            <v>52.129738256223803</v>
          </cell>
          <cell r="J194">
            <v>0.38772934123115083</v>
          </cell>
          <cell r="K194">
            <v>1691.602146203561</v>
          </cell>
          <cell r="M194" t="str">
            <v>Y</v>
          </cell>
          <cell r="N194">
            <v>9.6999999999999993</v>
          </cell>
          <cell r="O194" t="e">
            <v>#N/A</v>
          </cell>
          <cell r="P194">
            <v>2036.9999999999998</v>
          </cell>
          <cell r="R194" t="str">
            <v>Feasiblity Study Carried Out</v>
          </cell>
          <cell r="S194" t="str">
            <v>Maharashtra</v>
          </cell>
          <cell r="T194" t="str">
            <v>State Sector</v>
          </cell>
        </row>
        <row r="195">
          <cell r="C195" t="str">
            <v>KHAPARKHEDA TPS2</v>
          </cell>
          <cell r="D195" t="str">
            <v xml:space="preserve"> 30-35 years</v>
          </cell>
          <cell r="E195">
            <v>30.338124570000002</v>
          </cell>
          <cell r="F195">
            <v>210</v>
          </cell>
          <cell r="G195">
            <v>17.659125425550069</v>
          </cell>
          <cell r="H195">
            <v>2952</v>
          </cell>
          <cell r="I195">
            <v>52.129738256223803</v>
          </cell>
          <cell r="J195">
            <v>0.54415924922282943</v>
          </cell>
          <cell r="K195">
            <v>2374.0812365115435</v>
          </cell>
          <cell r="M195" t="str">
            <v>Y</v>
          </cell>
          <cell r="N195">
            <v>9.6999999999999993</v>
          </cell>
          <cell r="O195" t="e">
            <v>#N/A</v>
          </cell>
          <cell r="P195">
            <v>2036.9999999999998</v>
          </cell>
          <cell r="R195" t="str">
            <v>Feasiblity Study Carried Out</v>
          </cell>
          <cell r="S195" t="str">
            <v>Maharashtra</v>
          </cell>
          <cell r="T195" t="str">
            <v>State Sector</v>
          </cell>
        </row>
        <row r="196">
          <cell r="C196" t="str">
            <v>KHAPARKHEDA TPS3</v>
          </cell>
          <cell r="D196" t="str">
            <v xml:space="preserve"> 15-20 years</v>
          </cell>
          <cell r="E196">
            <v>20.008213550000001</v>
          </cell>
          <cell r="F196">
            <v>210</v>
          </cell>
          <cell r="G196">
            <v>17.659125425550069</v>
          </cell>
          <cell r="H196">
            <v>2952</v>
          </cell>
          <cell r="I196">
            <v>52.129738256223803</v>
          </cell>
          <cell r="J196">
            <v>0.54442143019331157</v>
          </cell>
          <cell r="K196">
            <v>2375.2250908583746</v>
          </cell>
          <cell r="N196">
            <v>9.6999999999999993</v>
          </cell>
          <cell r="O196" t="e">
            <v>#N/A</v>
          </cell>
          <cell r="P196">
            <v>2036.9999999999998</v>
          </cell>
          <cell r="Q196">
            <v>2827.8477656591581</v>
          </cell>
          <cell r="R196" t="str">
            <v>Feasiblity Study Carried Out</v>
          </cell>
          <cell r="S196" t="str">
            <v>Maharashtra</v>
          </cell>
          <cell r="T196" t="str">
            <v>State Sector</v>
          </cell>
        </row>
        <row r="197">
          <cell r="C197" t="str">
            <v>KHAPARKHEDA TPS4</v>
          </cell>
          <cell r="D197" t="str">
            <v xml:space="preserve"> 15-20 years</v>
          </cell>
          <cell r="E197">
            <v>19.337440109999999</v>
          </cell>
          <cell r="F197">
            <v>210</v>
          </cell>
          <cell r="G197">
            <v>17.659125425550069</v>
          </cell>
          <cell r="H197">
            <v>2952</v>
          </cell>
          <cell r="I197">
            <v>52.129738256223803</v>
          </cell>
          <cell r="J197">
            <v>0.63123235386826382</v>
          </cell>
          <cell r="K197">
            <v>2753.9675000249695</v>
          </cell>
          <cell r="N197">
            <v>9.6999999999999993</v>
          </cell>
          <cell r="O197" t="e">
            <v>#N/A</v>
          </cell>
          <cell r="P197">
            <v>2036.9999999999998</v>
          </cell>
          <cell r="Q197">
            <v>2827.8477656591581</v>
          </cell>
          <cell r="R197" t="str">
            <v>Feasiblity Study Carried Out</v>
          </cell>
          <cell r="S197" t="str">
            <v>Maharashtra</v>
          </cell>
          <cell r="T197" t="str">
            <v>State Sector</v>
          </cell>
        </row>
        <row r="198">
          <cell r="C198" t="str">
            <v>KHAPARKHEDA TPS5</v>
          </cell>
          <cell r="D198" t="str">
            <v xml:space="preserve"> 5-10 years</v>
          </cell>
          <cell r="E198">
            <v>8.7583846679999997</v>
          </cell>
          <cell r="F198">
            <v>500</v>
          </cell>
          <cell r="G198">
            <v>13.26</v>
          </cell>
          <cell r="H198">
            <v>3025</v>
          </cell>
          <cell r="I198">
            <v>40.111499999999999</v>
          </cell>
          <cell r="J198">
            <v>0.71149685198427415</v>
          </cell>
          <cell r="K198">
            <v>5549.6754454773381</v>
          </cell>
          <cell r="N198">
            <v>6</v>
          </cell>
          <cell r="O198" t="e">
            <v>#N/A</v>
          </cell>
          <cell r="P198">
            <v>3000</v>
          </cell>
          <cell r="Q198">
            <v>2827.8477656591581</v>
          </cell>
          <cell r="R198" t="str">
            <v>Feasiblity Study Carried Out</v>
          </cell>
          <cell r="S198" t="str">
            <v>Maharashtra</v>
          </cell>
          <cell r="T198" t="str">
            <v>State Sector</v>
          </cell>
        </row>
        <row r="199">
          <cell r="C199" t="str">
            <v>KHARGONE STPP1</v>
          </cell>
          <cell r="D199" t="str">
            <v xml:space="preserve"> 0-5 years</v>
          </cell>
          <cell r="E199">
            <v>0.60232717300000005</v>
          </cell>
          <cell r="F199">
            <v>660</v>
          </cell>
          <cell r="G199">
            <v>13.56</v>
          </cell>
          <cell r="I199">
            <v>0</v>
          </cell>
          <cell r="J199">
            <v>0.28220059403202707</v>
          </cell>
          <cell r="K199">
            <v>2971.2734545282701</v>
          </cell>
          <cell r="O199" t="e">
            <v>#N/A</v>
          </cell>
          <cell r="Q199" t="e">
            <v>#N/A</v>
          </cell>
          <cell r="S199" t="str">
            <v>Madhya Pradesh</v>
          </cell>
          <cell r="T199" t="str">
            <v>Central Sector</v>
          </cell>
        </row>
        <row r="200">
          <cell r="C200" t="str">
            <v>KODARMA TPS1</v>
          </cell>
          <cell r="D200" t="str">
            <v xml:space="preserve"> 5-10 years</v>
          </cell>
          <cell r="E200">
            <v>8.8432580420000004</v>
          </cell>
          <cell r="F200">
            <v>500</v>
          </cell>
          <cell r="G200">
            <v>12.076740106364001</v>
          </cell>
          <cell r="H200">
            <v>3540</v>
          </cell>
          <cell r="I200">
            <v>42.751659976528565</v>
          </cell>
          <cell r="J200">
            <v>0.80142073406077252</v>
          </cell>
          <cell r="K200">
            <v>5693.2646594725948</v>
          </cell>
          <cell r="N200">
            <v>5.25</v>
          </cell>
          <cell r="O200" t="e">
            <v>#N/A</v>
          </cell>
          <cell r="P200">
            <v>2625</v>
          </cell>
          <cell r="Q200">
            <v>2778.7578044461484</v>
          </cell>
          <cell r="R200" t="str">
            <v>Bid Awarded</v>
          </cell>
          <cell r="S200" t="str">
            <v>Jharkhand</v>
          </cell>
          <cell r="T200" t="str">
            <v>Central Sector</v>
          </cell>
        </row>
        <row r="201">
          <cell r="C201" t="str">
            <v>KODARMA TPS2</v>
          </cell>
          <cell r="D201" t="str">
            <v xml:space="preserve"> 5-10 years</v>
          </cell>
          <cell r="E201">
            <v>7.2525667350000003</v>
          </cell>
          <cell r="F201">
            <v>500</v>
          </cell>
          <cell r="G201">
            <v>12.076740106364001</v>
          </cell>
          <cell r="H201">
            <v>3540</v>
          </cell>
          <cell r="I201">
            <v>42.751659976528565</v>
          </cell>
          <cell r="J201">
            <v>0.67310131779284421</v>
          </cell>
          <cell r="K201">
            <v>4781.6880471972372</v>
          </cell>
          <cell r="N201">
            <v>5.25</v>
          </cell>
          <cell r="O201" t="e">
            <v>#N/A</v>
          </cell>
          <cell r="P201">
            <v>2625</v>
          </cell>
          <cell r="Q201">
            <v>2778.7578044461484</v>
          </cell>
          <cell r="R201" t="str">
            <v>Bid Awarded</v>
          </cell>
          <cell r="S201" t="str">
            <v>Jharkhand</v>
          </cell>
          <cell r="T201" t="str">
            <v>Central Sector</v>
          </cell>
        </row>
        <row r="202">
          <cell r="C202" t="str">
            <v>KOLAGHAT TPS1</v>
          </cell>
          <cell r="D202" t="str">
            <v xml:space="preserve"> 25-30 years</v>
          </cell>
          <cell r="E202">
            <v>27.337440109999999</v>
          </cell>
          <cell r="F202">
            <v>210</v>
          </cell>
          <cell r="G202">
            <v>17.739919094906128</v>
          </cell>
          <cell r="H202">
            <v>3385</v>
          </cell>
          <cell r="I202">
            <v>60.049626136257238</v>
          </cell>
          <cell r="J202">
            <v>0.16711051398477242</v>
          </cell>
          <cell r="K202">
            <v>732.41255244657509</v>
          </cell>
          <cell r="M202" t="str">
            <v>Y</v>
          </cell>
          <cell r="O202" t="e">
            <v>#N/A</v>
          </cell>
          <cell r="R202" t="str">
            <v>Feasibility study completed</v>
          </cell>
          <cell r="S202" t="str">
            <v>West Bengal</v>
          </cell>
          <cell r="T202" t="str">
            <v>State Sector</v>
          </cell>
        </row>
        <row r="203">
          <cell r="C203" t="str">
            <v>KOLAGHAT TPS2</v>
          </cell>
          <cell r="D203" t="str">
            <v xml:space="preserve"> 25-30 years</v>
          </cell>
          <cell r="E203">
            <v>29.757700209999999</v>
          </cell>
          <cell r="F203">
            <v>210</v>
          </cell>
          <cell r="G203">
            <v>17.739919094906128</v>
          </cell>
          <cell r="H203">
            <v>3385</v>
          </cell>
          <cell r="I203">
            <v>60.049626136257238</v>
          </cell>
          <cell r="J203">
            <v>0.45843893683754766</v>
          </cell>
          <cell r="K203">
            <v>2009.247795747181</v>
          </cell>
          <cell r="M203" t="str">
            <v>Y</v>
          </cell>
          <cell r="O203" t="e">
            <v>#N/A</v>
          </cell>
          <cell r="R203" t="str">
            <v>Feasibility study completed</v>
          </cell>
          <cell r="S203" t="str">
            <v>West Bengal</v>
          </cell>
          <cell r="T203" t="str">
            <v>State Sector</v>
          </cell>
        </row>
        <row r="204">
          <cell r="C204" t="str">
            <v>KOLAGHAT TPS3</v>
          </cell>
          <cell r="D204" t="str">
            <v xml:space="preserve"> 30-35 years</v>
          </cell>
          <cell r="E204">
            <v>34.422997950000003</v>
          </cell>
          <cell r="F204">
            <v>210</v>
          </cell>
          <cell r="G204">
            <v>17.739919094906128</v>
          </cell>
          <cell r="H204">
            <v>3385</v>
          </cell>
          <cell r="I204">
            <v>60.049626136257238</v>
          </cell>
          <cell r="J204">
            <v>9.1184502474824999E-3</v>
          </cell>
          <cell r="K204">
            <v>39.964376033959908</v>
          </cell>
          <cell r="M204" t="str">
            <v>Y</v>
          </cell>
          <cell r="O204" t="e">
            <v>#N/A</v>
          </cell>
          <cell r="R204" t="str">
            <v>Feasibility study completed</v>
          </cell>
          <cell r="S204" t="str">
            <v>West Bengal</v>
          </cell>
          <cell r="T204" t="str">
            <v>State Sector</v>
          </cell>
        </row>
        <row r="205">
          <cell r="C205" t="str">
            <v>KOLAGHAT TPS4</v>
          </cell>
          <cell r="D205" t="str">
            <v xml:space="preserve"> 35-40 years</v>
          </cell>
          <cell r="E205">
            <v>36.339493500000003</v>
          </cell>
          <cell r="F205">
            <v>210</v>
          </cell>
          <cell r="G205">
            <v>17.739919094906128</v>
          </cell>
          <cell r="H205">
            <v>3385</v>
          </cell>
          <cell r="I205">
            <v>60.049626136257238</v>
          </cell>
          <cell r="J205">
            <v>0.48277161562313692</v>
          </cell>
          <cell r="K205">
            <v>2115.8931464929756</v>
          </cell>
          <cell r="M205" t="str">
            <v>Y</v>
          </cell>
          <cell r="O205" t="e">
            <v>#N/A</v>
          </cell>
          <cell r="R205" t="str">
            <v>Feasibility study completed</v>
          </cell>
          <cell r="S205" t="str">
            <v>West Bengal</v>
          </cell>
          <cell r="T205" t="str">
            <v>State Sector</v>
          </cell>
        </row>
        <row r="206">
          <cell r="C206" t="str">
            <v>KOLAGHAT TPS5</v>
          </cell>
          <cell r="D206" t="str">
            <v xml:space="preserve"> 25-30 years</v>
          </cell>
          <cell r="E206">
            <v>26.422997949999999</v>
          </cell>
          <cell r="F206">
            <v>210</v>
          </cell>
          <cell r="G206">
            <v>17.739919094906128</v>
          </cell>
          <cell r="H206">
            <v>3385</v>
          </cell>
          <cell r="I206">
            <v>60.049626136257238</v>
          </cell>
          <cell r="J206">
            <v>0.56405127910282737</v>
          </cell>
          <cell r="K206">
            <v>2472.1259434107287</v>
          </cell>
          <cell r="M206" t="str">
            <v>Y</v>
          </cell>
          <cell r="O206" t="e">
            <v>#N/A</v>
          </cell>
          <cell r="R206" t="str">
            <v>Feasibility study completed</v>
          </cell>
          <cell r="S206" t="str">
            <v>West Bengal</v>
          </cell>
          <cell r="T206" t="str">
            <v>State Sector</v>
          </cell>
        </row>
        <row r="207">
          <cell r="C207" t="str">
            <v>KOLAGHAT TPS6</v>
          </cell>
          <cell r="D207" t="str">
            <v xml:space="preserve"> 25-30 years</v>
          </cell>
          <cell r="E207">
            <v>29.17727584</v>
          </cell>
          <cell r="F207">
            <v>210</v>
          </cell>
          <cell r="G207">
            <v>17.739919094906128</v>
          </cell>
          <cell r="H207">
            <v>3385</v>
          </cell>
          <cell r="I207">
            <v>60.049626136257238</v>
          </cell>
          <cell r="J207">
            <v>0.51281886332788695</v>
          </cell>
          <cell r="K207">
            <v>2247.5843301334962</v>
          </cell>
          <cell r="M207" t="str">
            <v>Y</v>
          </cell>
          <cell r="O207" t="e">
            <v>#N/A</v>
          </cell>
          <cell r="R207" t="str">
            <v>Feasibility study completed</v>
          </cell>
          <cell r="S207" t="str">
            <v>West Bengal</v>
          </cell>
          <cell r="T207" t="str">
            <v>State Sector</v>
          </cell>
        </row>
        <row r="208">
          <cell r="C208" t="str">
            <v>KORADI TPS10</v>
          </cell>
          <cell r="D208" t="str">
            <v xml:space="preserve"> 0-5 years</v>
          </cell>
          <cell r="E208">
            <v>3.422313484</v>
          </cell>
          <cell r="F208">
            <v>660</v>
          </cell>
          <cell r="G208">
            <v>12.59</v>
          </cell>
          <cell r="H208">
            <v>3295</v>
          </cell>
          <cell r="I208">
            <v>41.484050000000003</v>
          </cell>
          <cell r="J208">
            <v>0.515785480183654</v>
          </cell>
          <cell r="K208">
            <v>5042.1974929859462</v>
          </cell>
          <cell r="N208">
            <v>6</v>
          </cell>
          <cell r="O208">
            <v>12.55905979908065</v>
          </cell>
          <cell r="P208">
            <v>3960</v>
          </cell>
          <cell r="Q208">
            <v>3319.5973771176477</v>
          </cell>
          <cell r="R208" t="str">
            <v>Bid opened</v>
          </cell>
          <cell r="S208" t="str">
            <v>Maharashtra</v>
          </cell>
          <cell r="T208" t="str">
            <v>State Sector</v>
          </cell>
        </row>
        <row r="209">
          <cell r="C209" t="str">
            <v>KORADI TPS6</v>
          </cell>
          <cell r="D209" t="str">
            <v xml:space="preserve"> 35-40 years</v>
          </cell>
          <cell r="E209">
            <v>38.176591379999998</v>
          </cell>
          <cell r="F209">
            <v>210</v>
          </cell>
          <cell r="G209">
            <v>15.800214809817858</v>
          </cell>
          <cell r="H209">
            <v>3412</v>
          </cell>
          <cell r="I209">
            <v>53.91033293109853</v>
          </cell>
          <cell r="J209">
            <v>0.15539424999390436</v>
          </cell>
          <cell r="K209">
            <v>606.59427214586765</v>
          </cell>
          <cell r="M209" t="str">
            <v>Y</v>
          </cell>
          <cell r="N209">
            <v>9.91</v>
          </cell>
          <cell r="O209">
            <v>12.55905979908065</v>
          </cell>
          <cell r="P209">
            <v>2081.1</v>
          </cell>
          <cell r="R209" t="str">
            <v>Feasiblity Study Carried Out</v>
          </cell>
          <cell r="S209" t="str">
            <v>Maharashtra</v>
          </cell>
          <cell r="T209" t="str">
            <v>State Sector</v>
          </cell>
        </row>
        <row r="210">
          <cell r="C210" t="str">
            <v>KORADI TPS7</v>
          </cell>
          <cell r="D210" t="str">
            <v xml:space="preserve"> 35-40 years</v>
          </cell>
          <cell r="E210">
            <v>37.33880903</v>
          </cell>
          <cell r="F210">
            <v>210</v>
          </cell>
          <cell r="G210">
            <v>15.800214809817858</v>
          </cell>
          <cell r="H210">
            <v>3412</v>
          </cell>
          <cell r="I210">
            <v>53.91033293109853</v>
          </cell>
          <cell r="J210">
            <v>9.3381250576281938E-2</v>
          </cell>
          <cell r="K210">
            <v>364.52141393656859</v>
          </cell>
          <cell r="M210" t="str">
            <v>Y</v>
          </cell>
          <cell r="N210">
            <v>9.91</v>
          </cell>
          <cell r="O210">
            <v>12.55905979908065</v>
          </cell>
          <cell r="P210">
            <v>2081.1</v>
          </cell>
          <cell r="R210" t="str">
            <v>Feasiblity Study Carried Out</v>
          </cell>
          <cell r="S210" t="str">
            <v>Maharashtra</v>
          </cell>
          <cell r="T210" t="str">
            <v>State Sector</v>
          </cell>
        </row>
        <row r="211">
          <cell r="C211" t="str">
            <v>KORADI TPS8</v>
          </cell>
          <cell r="D211" t="str">
            <v xml:space="preserve"> 5-10 years</v>
          </cell>
          <cell r="E211">
            <v>5.1772758379999999</v>
          </cell>
          <cell r="F211">
            <v>660</v>
          </cell>
          <cell r="G211">
            <v>13.26</v>
          </cell>
          <cell r="H211">
            <v>3295</v>
          </cell>
          <cell r="I211">
            <v>43.691699999999997</v>
          </cell>
          <cell r="J211">
            <v>0.46886104458283651</v>
          </cell>
          <cell r="K211">
            <v>4827.3933150248849</v>
          </cell>
          <cell r="N211">
            <v>6</v>
          </cell>
          <cell r="O211">
            <v>12.55905979908065</v>
          </cell>
          <cell r="P211">
            <v>3960</v>
          </cell>
          <cell r="Q211">
            <v>3319.5973771176477</v>
          </cell>
          <cell r="R211" t="str">
            <v>Bid opened</v>
          </cell>
          <cell r="S211" t="str">
            <v>Maharashtra</v>
          </cell>
          <cell r="T211" t="str">
            <v>State Sector</v>
          </cell>
        </row>
        <row r="212">
          <cell r="C212" t="str">
            <v>KORADI TPS9</v>
          </cell>
          <cell r="D212" t="str">
            <v xml:space="preserve"> 0-5 years</v>
          </cell>
          <cell r="E212">
            <v>4.1752224499999997</v>
          </cell>
          <cell r="F212">
            <v>660</v>
          </cell>
          <cell r="G212">
            <v>12.59</v>
          </cell>
          <cell r="H212">
            <v>3295</v>
          </cell>
          <cell r="I212">
            <v>41.484050000000003</v>
          </cell>
          <cell r="J212">
            <v>0.46310997129869952</v>
          </cell>
          <cell r="K212">
            <v>4527.2541123640167</v>
          </cell>
          <cell r="N212">
            <v>6</v>
          </cell>
          <cell r="O212">
            <v>12.55905979908065</v>
          </cell>
          <cell r="P212">
            <v>3960</v>
          </cell>
          <cell r="Q212">
            <v>3319.5973771176477</v>
          </cell>
          <cell r="R212" t="str">
            <v>Bid opened</v>
          </cell>
          <cell r="S212" t="str">
            <v>Maharashtra</v>
          </cell>
          <cell r="T212" t="str">
            <v>State Sector</v>
          </cell>
        </row>
        <row r="213">
          <cell r="C213" t="str">
            <v>KORBA STPS1</v>
          </cell>
          <cell r="D213" t="str">
            <v xml:space="preserve"> 35-40 years</v>
          </cell>
          <cell r="E213">
            <v>37.253935660000003</v>
          </cell>
          <cell r="F213">
            <v>200</v>
          </cell>
          <cell r="G213">
            <v>13.756578546042785</v>
          </cell>
          <cell r="H213">
            <v>4150</v>
          </cell>
          <cell r="I213">
            <v>57.089800966077554</v>
          </cell>
          <cell r="J213">
            <v>0.87778879089640816</v>
          </cell>
          <cell r="K213">
            <v>2841.2636350123216</v>
          </cell>
          <cell r="M213" t="str">
            <v>Y</v>
          </cell>
          <cell r="N213">
            <v>8.5</v>
          </cell>
          <cell r="O213" t="e">
            <v>#N/A</v>
          </cell>
          <cell r="P213">
            <v>1700</v>
          </cell>
          <cell r="R213" t="str">
            <v>Bid awarded</v>
          </cell>
          <cell r="S213" t="str">
            <v>Chhatisgarh</v>
          </cell>
          <cell r="T213" t="str">
            <v>Central Sector</v>
          </cell>
        </row>
        <row r="214">
          <cell r="C214" t="str">
            <v>KORBA STPS2</v>
          </cell>
          <cell r="D214" t="str">
            <v xml:space="preserve"> 35-40 years</v>
          </cell>
          <cell r="E214">
            <v>36.591375769999999</v>
          </cell>
          <cell r="F214">
            <v>200</v>
          </cell>
          <cell r="G214">
            <v>13.756578546042785</v>
          </cell>
          <cell r="H214">
            <v>4150</v>
          </cell>
          <cell r="I214">
            <v>57.089800966077554</v>
          </cell>
          <cell r="J214">
            <v>0.85662028484765418</v>
          </cell>
          <cell r="K214">
            <v>2772.7445253271289</v>
          </cell>
          <cell r="M214" t="str">
            <v>Y</v>
          </cell>
          <cell r="N214">
            <v>8.5</v>
          </cell>
          <cell r="O214" t="e">
            <v>#N/A</v>
          </cell>
          <cell r="P214">
            <v>1700</v>
          </cell>
          <cell r="R214" t="str">
            <v>Bid awarded</v>
          </cell>
          <cell r="S214" t="str">
            <v>Chhatisgarh</v>
          </cell>
          <cell r="T214" t="str">
            <v>Central Sector</v>
          </cell>
        </row>
        <row r="215">
          <cell r="C215" t="str">
            <v>KORBA STPS3</v>
          </cell>
          <cell r="D215" t="str">
            <v xml:space="preserve"> 35-40 years</v>
          </cell>
          <cell r="E215">
            <v>36.17522245</v>
          </cell>
          <cell r="F215">
            <v>200</v>
          </cell>
          <cell r="G215">
            <v>13.756578546042785</v>
          </cell>
          <cell r="H215">
            <v>4150</v>
          </cell>
          <cell r="I215">
            <v>57.089800966077554</v>
          </cell>
          <cell r="J215">
            <v>0.91811892708630427</v>
          </cell>
          <cell r="K215">
            <v>2971.8059141344174</v>
          </cell>
          <cell r="M215" t="str">
            <v>Y</v>
          </cell>
          <cell r="N215">
            <v>8.5</v>
          </cell>
          <cell r="O215" t="e">
            <v>#N/A</v>
          </cell>
          <cell r="P215">
            <v>1700</v>
          </cell>
          <cell r="R215" t="str">
            <v>Bid awarded</v>
          </cell>
          <cell r="S215" t="str">
            <v>Chhatisgarh</v>
          </cell>
          <cell r="T215" t="str">
            <v>Central Sector</v>
          </cell>
        </row>
        <row r="216">
          <cell r="C216" t="str">
            <v>KORBA STPS4</v>
          </cell>
          <cell r="D216" t="str">
            <v xml:space="preserve"> 30-35 years</v>
          </cell>
          <cell r="E216">
            <v>33.010266940000001</v>
          </cell>
          <cell r="F216">
            <v>500</v>
          </cell>
          <cell r="G216">
            <v>13.756578546042785</v>
          </cell>
          <cell r="H216">
            <v>4150</v>
          </cell>
          <cell r="I216">
            <v>57.089800966077554</v>
          </cell>
          <cell r="J216">
            <v>0.87386850939609162</v>
          </cell>
          <cell r="K216">
            <v>7071.4357578945082</v>
          </cell>
          <cell r="M216" t="str">
            <v>Y</v>
          </cell>
          <cell r="N216">
            <v>5.25</v>
          </cell>
          <cell r="O216" t="e">
            <v>#N/A</v>
          </cell>
          <cell r="P216">
            <v>2625</v>
          </cell>
          <cell r="R216" t="str">
            <v>Bid awarded</v>
          </cell>
          <cell r="S216" t="str">
            <v>Chhatisgarh</v>
          </cell>
          <cell r="T216" t="str">
            <v>Central Sector</v>
          </cell>
        </row>
        <row r="217">
          <cell r="C217" t="str">
            <v>KORBA STPS5</v>
          </cell>
          <cell r="D217" t="str">
            <v xml:space="preserve"> 30-35 years</v>
          </cell>
          <cell r="E217">
            <v>32.17522245</v>
          </cell>
          <cell r="F217">
            <v>500</v>
          </cell>
          <cell r="G217">
            <v>13.756578546042785</v>
          </cell>
          <cell r="H217">
            <v>4150</v>
          </cell>
          <cell r="I217">
            <v>57.089800966077554</v>
          </cell>
          <cell r="J217">
            <v>0.83248639449476503</v>
          </cell>
          <cell r="K217">
            <v>6736.5673378701149</v>
          </cell>
          <cell r="M217" t="str">
            <v>Y</v>
          </cell>
          <cell r="N217">
            <v>5.25</v>
          </cell>
          <cell r="O217" t="e">
            <v>#N/A</v>
          </cell>
          <cell r="P217">
            <v>2625</v>
          </cell>
          <cell r="R217" t="str">
            <v>Bid awarded</v>
          </cell>
          <cell r="S217" t="str">
            <v>Chhatisgarh</v>
          </cell>
          <cell r="T217" t="str">
            <v>Central Sector</v>
          </cell>
        </row>
        <row r="218">
          <cell r="C218" t="str">
            <v>KORBA STPS6</v>
          </cell>
          <cell r="D218" t="str">
            <v xml:space="preserve"> 30-35 years</v>
          </cell>
          <cell r="E218">
            <v>31.252566739999999</v>
          </cell>
          <cell r="F218">
            <v>500</v>
          </cell>
          <cell r="G218">
            <v>13.756578546042785</v>
          </cell>
          <cell r="H218">
            <v>4150</v>
          </cell>
          <cell r="I218">
            <v>57.089800966077554</v>
          </cell>
          <cell r="J218">
            <v>0.88173190698095838</v>
          </cell>
          <cell r="K218">
            <v>7135.0671970209678</v>
          </cell>
          <cell r="M218" t="str">
            <v>Y</v>
          </cell>
          <cell r="N218">
            <v>5.25</v>
          </cell>
          <cell r="O218" t="e">
            <v>#N/A</v>
          </cell>
          <cell r="P218">
            <v>2625</v>
          </cell>
          <cell r="R218" t="str">
            <v>Bid awarded</v>
          </cell>
          <cell r="S218" t="str">
            <v>Chhatisgarh</v>
          </cell>
          <cell r="T218" t="str">
            <v>Central Sector</v>
          </cell>
        </row>
        <row r="219">
          <cell r="C219" t="str">
            <v>KORBA STPS7</v>
          </cell>
          <cell r="D219" t="str">
            <v xml:space="preserve"> 5-10 years</v>
          </cell>
          <cell r="E219">
            <v>9.5058179329999994</v>
          </cell>
          <cell r="F219">
            <v>500</v>
          </cell>
          <cell r="G219">
            <v>13.756578546042785</v>
          </cell>
          <cell r="H219">
            <v>4150</v>
          </cell>
          <cell r="I219">
            <v>57.089800966077554</v>
          </cell>
          <cell r="J219">
            <v>0.90573937567599172</v>
          </cell>
          <cell r="K219">
            <v>7329.3381551356088</v>
          </cell>
          <cell r="N219">
            <v>5.75</v>
          </cell>
          <cell r="O219" t="e">
            <v>#N/A</v>
          </cell>
          <cell r="P219">
            <v>2875</v>
          </cell>
          <cell r="Q219">
            <v>2517.7580106674691</v>
          </cell>
          <cell r="R219" t="str">
            <v>Bid awarded</v>
          </cell>
          <cell r="S219" t="str">
            <v>Chhatisgarh</v>
          </cell>
          <cell r="T219" t="str">
            <v>Central Sector</v>
          </cell>
        </row>
        <row r="220">
          <cell r="C220" t="str">
            <v>KORBA-II2</v>
          </cell>
          <cell r="D220" t="str">
            <v xml:space="preserve"> 45+ years</v>
          </cell>
          <cell r="E220">
            <v>53.010266940000001</v>
          </cell>
          <cell r="F220">
            <v>50</v>
          </cell>
          <cell r="G220">
            <v>17.2</v>
          </cell>
          <cell r="I220">
            <v>0</v>
          </cell>
          <cell r="J220">
            <v>1.384778097062575E-2</v>
          </cell>
          <cell r="K220">
            <v>14.010696040868407</v>
          </cell>
          <cell r="L220" t="str">
            <v>Y</v>
          </cell>
          <cell r="O220" t="e">
            <v>#N/A</v>
          </cell>
          <cell r="P220">
            <v>0</v>
          </cell>
          <cell r="S220" t="str">
            <v>Chhatisgarh</v>
          </cell>
          <cell r="T220" t="str">
            <v>State Sector</v>
          </cell>
        </row>
        <row r="221">
          <cell r="C221" t="str">
            <v>KORBA-II3</v>
          </cell>
          <cell r="D221" t="str">
            <v xml:space="preserve"> 45+ years</v>
          </cell>
          <cell r="E221">
            <v>52.17522245</v>
          </cell>
          <cell r="F221">
            <v>50</v>
          </cell>
          <cell r="G221">
            <v>17.2</v>
          </cell>
          <cell r="I221">
            <v>0</v>
          </cell>
          <cell r="J221">
            <v>0.31251620351978332</v>
          </cell>
          <cell r="K221">
            <v>316.19286473766311</v>
          </cell>
          <cell r="L221" t="str">
            <v>Y</v>
          </cell>
          <cell r="O221" t="e">
            <v>#N/A</v>
          </cell>
          <cell r="P221">
            <v>0</v>
          </cell>
          <cell r="S221" t="str">
            <v>Chhatisgarh</v>
          </cell>
          <cell r="T221" t="str">
            <v>State Sector</v>
          </cell>
        </row>
        <row r="222">
          <cell r="C222" t="str">
            <v>KORBA-II4</v>
          </cell>
          <cell r="D222" t="str">
            <v xml:space="preserve"> 45+ years</v>
          </cell>
          <cell r="E222">
            <v>51.589322379999999</v>
          </cell>
          <cell r="F222">
            <v>50</v>
          </cell>
          <cell r="G222">
            <v>17.2</v>
          </cell>
          <cell r="I222">
            <v>0</v>
          </cell>
          <cell r="J222">
            <v>0.25848877905197415</v>
          </cell>
          <cell r="K222">
            <v>261.52982351140912</v>
          </cell>
          <cell r="L222" t="str">
            <v>Y</v>
          </cell>
          <cell r="O222" t="e">
            <v>#N/A</v>
          </cell>
          <cell r="P222">
            <v>0</v>
          </cell>
          <cell r="S222" t="str">
            <v>Chhatisgarh</v>
          </cell>
          <cell r="T222" t="str">
            <v>State Sector</v>
          </cell>
        </row>
        <row r="223">
          <cell r="C223" t="str">
            <v>KORBA-III1</v>
          </cell>
          <cell r="D223" t="str">
            <v xml:space="preserve"> 40-45 years</v>
          </cell>
          <cell r="E223">
            <v>44.090349080000003</v>
          </cell>
          <cell r="F223">
            <v>120</v>
          </cell>
          <cell r="G223">
            <v>15.987318150982921</v>
          </cell>
          <cell r="I223">
            <v>0</v>
          </cell>
          <cell r="J223">
            <v>0.63797790209531247</v>
          </cell>
          <cell r="K223">
            <v>1439.937274460385</v>
          </cell>
          <cell r="L223" t="str">
            <v>Y</v>
          </cell>
          <cell r="O223" t="e">
            <v>#N/A</v>
          </cell>
          <cell r="P223">
            <v>0</v>
          </cell>
          <cell r="S223" t="str">
            <v>Chhatisgarh</v>
          </cell>
          <cell r="T223" t="str">
            <v>State Sector</v>
          </cell>
        </row>
        <row r="224">
          <cell r="C224" t="str">
            <v>KORBA-III2</v>
          </cell>
          <cell r="D224" t="str">
            <v xml:space="preserve"> 35-40 years</v>
          </cell>
          <cell r="E224">
            <v>39.091033539999998</v>
          </cell>
          <cell r="F224">
            <v>120</v>
          </cell>
          <cell r="G224">
            <v>15.987318150982921</v>
          </cell>
          <cell r="I224">
            <v>0</v>
          </cell>
          <cell r="J224">
            <v>0.62117492895790272</v>
          </cell>
          <cell r="K224">
            <v>1402.0124070584759</v>
          </cell>
          <cell r="L224" t="str">
            <v>Y</v>
          </cell>
          <cell r="O224" t="e">
            <v>#N/A</v>
          </cell>
          <cell r="P224">
            <v>0</v>
          </cell>
          <cell r="S224" t="str">
            <v>Chhatisgarh</v>
          </cell>
          <cell r="T224" t="str">
            <v>State Sector</v>
          </cell>
        </row>
        <row r="225">
          <cell r="C225" t="str">
            <v>KORBA-WEST TPS1</v>
          </cell>
          <cell r="D225" t="str">
            <v xml:space="preserve"> 35-40 years</v>
          </cell>
          <cell r="E225">
            <v>36.925393569999997</v>
          </cell>
          <cell r="F225">
            <v>220</v>
          </cell>
          <cell r="G225">
            <v>14.321103875042285</v>
          </cell>
          <cell r="I225">
            <v>0</v>
          </cell>
          <cell r="J225">
            <v>0.67572815020871779</v>
          </cell>
          <cell r="K225">
            <v>2504.6800784640345</v>
          </cell>
          <cell r="L225" t="str">
            <v>Y</v>
          </cell>
          <cell r="O225" t="e">
            <v>#N/A</v>
          </cell>
          <cell r="P225">
            <v>0</v>
          </cell>
          <cell r="S225" t="str">
            <v>Chhatisgarh</v>
          </cell>
          <cell r="T225" t="str">
            <v>State Sector</v>
          </cell>
        </row>
        <row r="226">
          <cell r="C226" t="str">
            <v>KORBA-WEST TPS2</v>
          </cell>
          <cell r="D226" t="str">
            <v xml:space="preserve"> 35-40 years</v>
          </cell>
          <cell r="E226">
            <v>36.17522245</v>
          </cell>
          <cell r="F226">
            <v>210</v>
          </cell>
          <cell r="G226">
            <v>14.321103875042285</v>
          </cell>
          <cell r="I226">
            <v>0</v>
          </cell>
          <cell r="J226">
            <v>0.73033587879715878</v>
          </cell>
          <cell r="K226">
            <v>2584.0415960283822</v>
          </cell>
          <cell r="L226" t="str">
            <v>Y</v>
          </cell>
          <cell r="O226" t="e">
            <v>#N/A</v>
          </cell>
          <cell r="P226">
            <v>0</v>
          </cell>
          <cell r="S226" t="str">
            <v>Chhatisgarh</v>
          </cell>
          <cell r="T226" t="str">
            <v>State Sector</v>
          </cell>
        </row>
        <row r="227">
          <cell r="C227" t="str">
            <v>KORBA-WEST TPS3</v>
          </cell>
          <cell r="D227" t="str">
            <v xml:space="preserve"> 35-40 years</v>
          </cell>
          <cell r="E227">
            <v>35.175906910000002</v>
          </cell>
          <cell r="F227">
            <v>210</v>
          </cell>
          <cell r="G227">
            <v>14.321103875042285</v>
          </cell>
          <cell r="I227">
            <v>0</v>
          </cell>
          <cell r="J227">
            <v>0.65048571917713294</v>
          </cell>
          <cell r="K227">
            <v>2301.519348528393</v>
          </cell>
          <cell r="L227" t="str">
            <v>Y</v>
          </cell>
          <cell r="O227" t="e">
            <v>#N/A</v>
          </cell>
          <cell r="P227">
            <v>0</v>
          </cell>
          <cell r="S227" t="str">
            <v>Chhatisgarh</v>
          </cell>
          <cell r="T227" t="str">
            <v>State Sector</v>
          </cell>
        </row>
        <row r="228">
          <cell r="C228" t="str">
            <v>KORBA-WEST TPS4</v>
          </cell>
          <cell r="D228" t="str">
            <v xml:space="preserve"> 30-35 years</v>
          </cell>
          <cell r="E228">
            <v>34.176591379999998</v>
          </cell>
          <cell r="F228">
            <v>210</v>
          </cell>
          <cell r="G228">
            <v>14.321103875042285</v>
          </cell>
          <cell r="I228">
            <v>0</v>
          </cell>
          <cell r="J228">
            <v>0.75072582299738888</v>
          </cell>
          <cell r="K228">
            <v>2656.1843805796061</v>
          </cell>
          <cell r="L228" t="str">
            <v>Y</v>
          </cell>
          <cell r="O228" t="e">
            <v>#N/A</v>
          </cell>
          <cell r="P228">
            <v>0</v>
          </cell>
          <cell r="S228" t="str">
            <v>Chhatisgarh</v>
          </cell>
          <cell r="T228" t="str">
            <v>State Sector</v>
          </cell>
        </row>
        <row r="229">
          <cell r="C229" t="str">
            <v>KORBA-WEST TPS5</v>
          </cell>
          <cell r="D229" t="str">
            <v xml:space="preserve"> 5-10 years</v>
          </cell>
          <cell r="E229">
            <v>6.841889117</v>
          </cell>
          <cell r="F229">
            <v>500</v>
          </cell>
          <cell r="G229">
            <v>13.26</v>
          </cell>
          <cell r="I229">
            <v>0</v>
          </cell>
          <cell r="J229">
            <v>0.86924798902071676</v>
          </cell>
          <cell r="K229">
            <v>6780.1343143615904</v>
          </cell>
          <cell r="O229" t="e">
            <v>#N/A</v>
          </cell>
          <cell r="P229">
            <v>0</v>
          </cell>
          <cell r="Q229">
            <v>2610.5779373285304</v>
          </cell>
          <cell r="R229" t="str">
            <v>Feasiblity Study Completed</v>
          </cell>
          <cell r="S229" t="str">
            <v>Chhatisgarh</v>
          </cell>
          <cell r="T229" t="str">
            <v>State Sector</v>
          </cell>
        </row>
        <row r="230">
          <cell r="C230" t="str">
            <v>KOTA TPS1</v>
          </cell>
          <cell r="D230" t="str">
            <v xml:space="preserve"> 35-40 years</v>
          </cell>
          <cell r="E230">
            <v>37.33880903</v>
          </cell>
          <cell r="F230">
            <v>110</v>
          </cell>
          <cell r="G230">
            <v>14.284116629235145</v>
          </cell>
          <cell r="H230">
            <v>3868</v>
          </cell>
          <cell r="I230">
            <v>55.25096312188154</v>
          </cell>
          <cell r="J230">
            <v>0.4062041354136704</v>
          </cell>
          <cell r="K230">
            <v>750.88164353872276</v>
          </cell>
          <cell r="L230" t="str">
            <v>Y</v>
          </cell>
          <cell r="N230">
            <v>9.27</v>
          </cell>
          <cell r="O230">
            <v>9.6309583132037115</v>
          </cell>
          <cell r="P230">
            <v>1019.6999999999999</v>
          </cell>
          <cell r="S230" t="str">
            <v>Rajasthan</v>
          </cell>
          <cell r="T230" t="str">
            <v>State Sector</v>
          </cell>
        </row>
        <row r="231">
          <cell r="C231" t="str">
            <v>KOTA TPS2</v>
          </cell>
          <cell r="D231" t="str">
            <v xml:space="preserve"> 35-40 years</v>
          </cell>
          <cell r="E231">
            <v>36.843258040000002</v>
          </cell>
          <cell r="F231">
            <v>110</v>
          </cell>
          <cell r="G231">
            <v>14.284116629235145</v>
          </cell>
          <cell r="H231">
            <v>3868</v>
          </cell>
          <cell r="I231">
            <v>55.25096312188154</v>
          </cell>
          <cell r="J231">
            <v>0.56882149117104541</v>
          </cell>
          <cell r="K231">
            <v>1051.4851497897562</v>
          </cell>
          <cell r="L231" t="str">
            <v>Y</v>
          </cell>
          <cell r="N231">
            <v>9.27</v>
          </cell>
          <cell r="O231">
            <v>9.6309583132037115</v>
          </cell>
          <cell r="P231">
            <v>1019.6999999999999</v>
          </cell>
          <cell r="S231" t="str">
            <v>Rajasthan</v>
          </cell>
          <cell r="T231" t="str">
            <v>State Sector</v>
          </cell>
        </row>
        <row r="232">
          <cell r="C232" t="str">
            <v>KOTA TPS3</v>
          </cell>
          <cell r="D232" t="str">
            <v xml:space="preserve"> 30-35 years</v>
          </cell>
          <cell r="E232">
            <v>31.671457910000001</v>
          </cell>
          <cell r="F232">
            <v>210</v>
          </cell>
          <cell r="G232">
            <v>14.284116629235145</v>
          </cell>
          <cell r="H232">
            <v>3868</v>
          </cell>
          <cell r="I232">
            <v>55.25096312188154</v>
          </cell>
          <cell r="J232">
            <v>0.68396701829830153</v>
          </cell>
          <cell r="K232">
            <v>2413.7312689221894</v>
          </cell>
          <cell r="L232" t="str">
            <v>Y</v>
          </cell>
          <cell r="N232">
            <v>9.27</v>
          </cell>
          <cell r="O232">
            <v>9.6309583132037115</v>
          </cell>
          <cell r="P232">
            <v>1946.6999999999998</v>
          </cell>
          <cell r="S232" t="str">
            <v>Rajasthan</v>
          </cell>
          <cell r="T232" t="str">
            <v>State Sector</v>
          </cell>
        </row>
        <row r="233">
          <cell r="C233" t="str">
            <v>KOTA TPS4</v>
          </cell>
          <cell r="D233" t="str">
            <v xml:space="preserve"> 30-35 years</v>
          </cell>
          <cell r="E233">
            <v>31.00889802</v>
          </cell>
          <cell r="F233">
            <v>210</v>
          </cell>
          <cell r="G233">
            <v>14.284116629235145</v>
          </cell>
          <cell r="H233">
            <v>3868</v>
          </cell>
          <cell r="I233">
            <v>55.25096312188154</v>
          </cell>
          <cell r="J233">
            <v>0.69111035742973814</v>
          </cell>
          <cell r="K233">
            <v>2438.9402345079307</v>
          </cell>
          <cell r="L233" t="str">
            <v>Y</v>
          </cell>
          <cell r="N233">
            <v>9.27</v>
          </cell>
          <cell r="O233">
            <v>9.6309583132037115</v>
          </cell>
          <cell r="P233">
            <v>1946.6999999999998</v>
          </cell>
          <cell r="S233" t="str">
            <v>Rajasthan</v>
          </cell>
          <cell r="T233" t="str">
            <v>State Sector</v>
          </cell>
        </row>
        <row r="234">
          <cell r="C234" t="str">
            <v>KOTA TPS5</v>
          </cell>
          <cell r="D234" t="str">
            <v xml:space="preserve"> 25-30 years</v>
          </cell>
          <cell r="E234">
            <v>26.176591380000001</v>
          </cell>
          <cell r="F234">
            <v>210</v>
          </cell>
          <cell r="G234">
            <v>14.284116629235145</v>
          </cell>
          <cell r="H234">
            <v>3868</v>
          </cell>
          <cell r="I234">
            <v>55.25096312188154</v>
          </cell>
          <cell r="J234">
            <v>0.71261484895846827</v>
          </cell>
          <cell r="K234">
            <v>2514.8299517552764</v>
          </cell>
          <cell r="L234" t="str">
            <v>Y</v>
          </cell>
          <cell r="N234">
            <v>9.27</v>
          </cell>
          <cell r="O234">
            <v>9.6309583132037115</v>
          </cell>
          <cell r="P234">
            <v>1946.6999999999998</v>
          </cell>
          <cell r="R234" t="str">
            <v>Feasibility Study completed.</v>
          </cell>
          <cell r="S234" t="str">
            <v>Rajasthan</v>
          </cell>
          <cell r="T234" t="str">
            <v>State Sector</v>
          </cell>
        </row>
        <row r="235">
          <cell r="C235" t="str">
            <v>KOTA TPS6</v>
          </cell>
          <cell r="D235" t="str">
            <v xml:space="preserve"> 15-20 years</v>
          </cell>
          <cell r="E235">
            <v>16.843258039999998</v>
          </cell>
          <cell r="F235">
            <v>195</v>
          </cell>
          <cell r="G235">
            <v>14.284116629235145</v>
          </cell>
          <cell r="H235">
            <v>3868</v>
          </cell>
          <cell r="I235">
            <v>55.25096312188154</v>
          </cell>
          <cell r="J235">
            <v>0.83034653149484405</v>
          </cell>
          <cell r="K235">
            <v>2720.9994190798579</v>
          </cell>
          <cell r="N235">
            <v>9.27</v>
          </cell>
          <cell r="O235">
            <v>9.6309583132037115</v>
          </cell>
          <cell r="P235">
            <v>1807.6499999999999</v>
          </cell>
          <cell r="Q235">
            <v>2647.2176719999998</v>
          </cell>
          <cell r="R235" t="str">
            <v>Feasibility Study completed.</v>
          </cell>
          <cell r="S235" t="str">
            <v>Rajasthan</v>
          </cell>
          <cell r="T235" t="str">
            <v>State Sector</v>
          </cell>
        </row>
        <row r="236">
          <cell r="C236" t="str">
            <v>KOTA TPS7</v>
          </cell>
          <cell r="D236" t="str">
            <v xml:space="preserve"> 10-15 years</v>
          </cell>
          <cell r="E236">
            <v>10.75701574</v>
          </cell>
          <cell r="F236">
            <v>195</v>
          </cell>
          <cell r="G236">
            <v>14.284116629235145</v>
          </cell>
          <cell r="H236">
            <v>3868</v>
          </cell>
          <cell r="I236">
            <v>55.25096312188154</v>
          </cell>
          <cell r="J236">
            <v>0.86533750569722434</v>
          </cell>
          <cell r="K236">
            <v>2835.6628961540755</v>
          </cell>
          <cell r="N236">
            <v>9.27</v>
          </cell>
          <cell r="O236">
            <v>9.6309583132037115</v>
          </cell>
          <cell r="P236">
            <v>1807.6499999999999</v>
          </cell>
          <cell r="Q236">
            <v>2647.2176719999998</v>
          </cell>
          <cell r="R236" t="str">
            <v>Feasibility Study completed.</v>
          </cell>
          <cell r="S236" t="str">
            <v>Rajasthan</v>
          </cell>
          <cell r="T236" t="str">
            <v>State Sector</v>
          </cell>
        </row>
        <row r="237">
          <cell r="C237" t="str">
            <v>KOTHAGUDEM NEW TPS10</v>
          </cell>
          <cell r="D237" t="str">
            <v xml:space="preserve"> 20-25 years</v>
          </cell>
          <cell r="E237">
            <v>22.17932923</v>
          </cell>
          <cell r="F237">
            <v>250</v>
          </cell>
          <cell r="G237">
            <v>14.573920688091233</v>
          </cell>
          <cell r="I237">
            <v>0</v>
          </cell>
          <cell r="J237">
            <v>0.85548382682698487</v>
          </cell>
          <cell r="K237">
            <v>3666.9863065062509</v>
          </cell>
          <cell r="L237" t="str">
            <v>Y</v>
          </cell>
          <cell r="O237" t="e">
            <v>#N/A</v>
          </cell>
          <cell r="Q237" t="e">
            <v>#N/A</v>
          </cell>
          <cell r="S237" t="str">
            <v>Telangana</v>
          </cell>
          <cell r="T237" t="str">
            <v>State Sector</v>
          </cell>
        </row>
        <row r="238">
          <cell r="C238" t="str">
            <v>KOTHAGUDEM NEW TPS11</v>
          </cell>
          <cell r="D238" t="str">
            <v xml:space="preserve"> 5-10 years</v>
          </cell>
          <cell r="E238">
            <v>8.9253935660000003</v>
          </cell>
          <cell r="F238">
            <v>500</v>
          </cell>
          <cell r="G238">
            <v>13.26</v>
          </cell>
          <cell r="I238">
            <v>0</v>
          </cell>
          <cell r="J238">
            <v>0.84102828657355833</v>
          </cell>
          <cell r="K238">
            <v>6560.0206352737541</v>
          </cell>
          <cell r="O238" t="e">
            <v>#N/A</v>
          </cell>
          <cell r="Q238" t="e">
            <v>#N/A</v>
          </cell>
          <cell r="R238" t="str">
            <v>Feasiblity Study started</v>
          </cell>
          <cell r="S238" t="str">
            <v>Telangana</v>
          </cell>
          <cell r="T238" t="str">
            <v>State Sector</v>
          </cell>
        </row>
        <row r="239">
          <cell r="C239" t="str">
            <v>KOTHAGUDEM NEW TPS9</v>
          </cell>
          <cell r="D239" t="str">
            <v xml:space="preserve"> 20-25 years</v>
          </cell>
          <cell r="E239">
            <v>23.10472279</v>
          </cell>
          <cell r="F239">
            <v>250</v>
          </cell>
          <cell r="G239">
            <v>14.573920688091233</v>
          </cell>
          <cell r="I239">
            <v>0</v>
          </cell>
          <cell r="J239">
            <v>0.86383426558609999</v>
          </cell>
          <cell r="K239">
            <v>3702.7800218551056</v>
          </cell>
          <cell r="L239" t="str">
            <v>Y</v>
          </cell>
          <cell r="O239" t="e">
            <v>#N/A</v>
          </cell>
          <cell r="Q239" t="e">
            <v>#N/A</v>
          </cell>
          <cell r="S239" t="str">
            <v>Telangana</v>
          </cell>
          <cell r="T239" t="str">
            <v>State Sector</v>
          </cell>
        </row>
        <row r="240">
          <cell r="C240" t="str">
            <v>KOTHAGUDEM STAGE-7 TPS12</v>
          </cell>
          <cell r="D240" t="str">
            <v xml:space="preserve"> 0-5 years</v>
          </cell>
          <cell r="E240">
            <v>1.9603011640000001</v>
          </cell>
          <cell r="F240">
            <v>800</v>
          </cell>
          <cell r="G240">
            <v>10.442686325584562</v>
          </cell>
          <cell r="I240">
            <v>0</v>
          </cell>
          <cell r="J240">
            <v>0.6335653367529791</v>
          </cell>
          <cell r="K240">
            <v>6226.9403091526719</v>
          </cell>
          <cell r="O240" t="e">
            <v>#N/A</v>
          </cell>
          <cell r="Q240" t="e">
            <v>#N/A</v>
          </cell>
          <cell r="S240" t="str">
            <v>Telangana</v>
          </cell>
          <cell r="T240" t="str">
            <v>State Sector</v>
          </cell>
        </row>
        <row r="241">
          <cell r="C241" t="str">
            <v>KOTHAGUDEM TPS1</v>
          </cell>
          <cell r="D241" t="str">
            <v xml:space="preserve"> 45+ years</v>
          </cell>
          <cell r="E241">
            <v>53.834360029999999</v>
          </cell>
          <cell r="F241">
            <v>60</v>
          </cell>
          <cell r="G241">
            <v>20.112035837855366</v>
          </cell>
          <cell r="I241">
            <v>0</v>
          </cell>
          <cell r="J241">
            <v>0.69545582086602087</v>
          </cell>
          <cell r="K241">
            <v>987.31993361664945</v>
          </cell>
          <cell r="L241" t="str">
            <v>Y</v>
          </cell>
          <cell r="O241" t="e">
            <v>#N/A</v>
          </cell>
          <cell r="S241" t="str">
            <v>Telangana</v>
          </cell>
          <cell r="T241" t="str">
            <v>State Sector</v>
          </cell>
        </row>
        <row r="242">
          <cell r="C242" t="str">
            <v>KOTHAGUDEM TPS2</v>
          </cell>
          <cell r="D242" t="str">
            <v xml:space="preserve"> 45+ years</v>
          </cell>
          <cell r="E242">
            <v>53.434633810000001</v>
          </cell>
          <cell r="F242">
            <v>60</v>
          </cell>
          <cell r="G242">
            <v>20.112035837855366</v>
          </cell>
          <cell r="I242">
            <v>0</v>
          </cell>
          <cell r="J242">
            <v>0.73085930550895839</v>
          </cell>
          <cell r="K242">
            <v>1037.5813090465592</v>
          </cell>
          <cell r="L242" t="str">
            <v>Y</v>
          </cell>
          <cell r="O242" t="e">
            <v>#N/A</v>
          </cell>
          <cell r="S242" t="str">
            <v>Telangana</v>
          </cell>
          <cell r="T242" t="str">
            <v>State Sector</v>
          </cell>
        </row>
        <row r="243">
          <cell r="C243" t="str">
            <v>KOTHAGUDEM TPS4</v>
          </cell>
          <cell r="D243" t="str">
            <v xml:space="preserve"> 45+ years</v>
          </cell>
          <cell r="E243">
            <v>52.824093089999998</v>
          </cell>
          <cell r="F243">
            <v>60</v>
          </cell>
          <cell r="G243">
            <v>20.112035837855366</v>
          </cell>
          <cell r="I243">
            <v>0</v>
          </cell>
          <cell r="J243">
            <v>0.76251536086048621</v>
          </cell>
          <cell r="K243">
            <v>1082.5225598499753</v>
          </cell>
          <cell r="L243" t="str">
            <v>Y</v>
          </cell>
          <cell r="O243" t="e">
            <v>#N/A</v>
          </cell>
          <cell r="S243" t="str">
            <v>Telangana</v>
          </cell>
          <cell r="T243" t="str">
            <v>State Sector</v>
          </cell>
        </row>
        <row r="244">
          <cell r="C244" t="str">
            <v>KOTHAGUDEM TPS5</v>
          </cell>
          <cell r="D244" t="str">
            <v xml:space="preserve"> 45+ years</v>
          </cell>
          <cell r="E244">
            <v>45.724845999999999</v>
          </cell>
          <cell r="F244">
            <v>120</v>
          </cell>
          <cell r="G244">
            <v>20.112035837855366</v>
          </cell>
          <cell r="I244">
            <v>0</v>
          </cell>
          <cell r="J244">
            <v>0.67164617814206595</v>
          </cell>
          <cell r="K244">
            <v>1907.0360477861393</v>
          </cell>
          <cell r="L244" t="str">
            <v>Y</v>
          </cell>
          <cell r="O244" t="e">
            <v>#N/A</v>
          </cell>
          <cell r="S244" t="str">
            <v>Telangana</v>
          </cell>
          <cell r="T244" t="str">
            <v>State Sector</v>
          </cell>
        </row>
        <row r="245">
          <cell r="C245" t="str">
            <v>KOTHAGUDEM TPS6</v>
          </cell>
          <cell r="D245" t="str">
            <v xml:space="preserve"> 40-45 years</v>
          </cell>
          <cell r="E245">
            <v>45.3744011</v>
          </cell>
          <cell r="F245">
            <v>120</v>
          </cell>
          <cell r="G245">
            <v>20.112035837855366</v>
          </cell>
          <cell r="I245">
            <v>0</v>
          </cell>
          <cell r="J245">
            <v>0.50615935464878825</v>
          </cell>
          <cell r="K245">
            <v>1437.1616584040717</v>
          </cell>
          <cell r="L245" t="str">
            <v>Y</v>
          </cell>
          <cell r="O245" t="e">
            <v>#N/A</v>
          </cell>
          <cell r="S245" t="str">
            <v>Telangana</v>
          </cell>
          <cell r="T245" t="str">
            <v>State Sector</v>
          </cell>
        </row>
        <row r="246">
          <cell r="C246" t="str">
            <v>KOTHAGUDEM TPS7</v>
          </cell>
          <cell r="D246" t="str">
            <v xml:space="preserve"> 40-45 years</v>
          </cell>
          <cell r="E246">
            <v>43.15126626</v>
          </cell>
          <cell r="F246">
            <v>120</v>
          </cell>
          <cell r="G246">
            <v>20.112035837855366</v>
          </cell>
          <cell r="I246">
            <v>0</v>
          </cell>
          <cell r="J246">
            <v>0.62427421310519093</v>
          </cell>
          <cell r="K246">
            <v>1772.5306371699612</v>
          </cell>
          <cell r="L246" t="str">
            <v>Y</v>
          </cell>
          <cell r="O246" t="e">
            <v>#N/A</v>
          </cell>
          <cell r="S246" t="str">
            <v>Telangana</v>
          </cell>
          <cell r="T246" t="str">
            <v>State Sector</v>
          </cell>
        </row>
        <row r="247">
          <cell r="C247" t="str">
            <v>KOTHAGUDEM TPS8</v>
          </cell>
          <cell r="D247" t="str">
            <v xml:space="preserve"> 40-45 years</v>
          </cell>
          <cell r="E247">
            <v>42.313483920000003</v>
          </cell>
          <cell r="F247">
            <v>120</v>
          </cell>
          <cell r="G247">
            <v>20.112035837855366</v>
          </cell>
          <cell r="I247">
            <v>0</v>
          </cell>
          <cell r="J247">
            <v>0.50128223427109719</v>
          </cell>
          <cell r="K247">
            <v>1423.3138250174848</v>
          </cell>
          <cell r="L247" t="str">
            <v>Y</v>
          </cell>
          <cell r="O247" t="e">
            <v>#N/A</v>
          </cell>
          <cell r="S247" t="str">
            <v>Telangana</v>
          </cell>
          <cell r="T247" t="str">
            <v>State Sector</v>
          </cell>
        </row>
        <row r="248">
          <cell r="C248" t="str">
            <v>KUDGI STPP1</v>
          </cell>
          <cell r="D248" t="str">
            <v xml:space="preserve"> 0-5 years</v>
          </cell>
          <cell r="E248">
            <v>3.3566050650000001</v>
          </cell>
          <cell r="F248">
            <v>800</v>
          </cell>
          <cell r="G248">
            <v>11.628129653563162</v>
          </cell>
          <cell r="I248">
            <v>0</v>
          </cell>
          <cell r="J248">
            <v>0.33382982699398489</v>
          </cell>
          <cell r="K248">
            <v>3653.4743628354036</v>
          </cell>
          <cell r="O248" t="e">
            <v>#N/A</v>
          </cell>
          <cell r="P248">
            <v>0</v>
          </cell>
          <cell r="Q248">
            <v>2382.4454719999999</v>
          </cell>
          <cell r="R248" t="str">
            <v>Bid awarded</v>
          </cell>
          <cell r="S248" t="str">
            <v>Karnataka</v>
          </cell>
          <cell r="T248" t="str">
            <v>Central Sector</v>
          </cell>
        </row>
        <row r="249">
          <cell r="C249" t="str">
            <v>KUDGI STPP2</v>
          </cell>
          <cell r="D249" t="str">
            <v xml:space="preserve"> 0-5 years</v>
          </cell>
          <cell r="E249">
            <v>3.107460643</v>
          </cell>
          <cell r="F249">
            <v>800</v>
          </cell>
          <cell r="G249">
            <v>11.628129653563162</v>
          </cell>
          <cell r="I249">
            <v>0</v>
          </cell>
          <cell r="J249">
            <v>0.29070126773170935</v>
          </cell>
          <cell r="K249">
            <v>3181.4701474254057</v>
          </cell>
          <cell r="O249" t="e">
            <v>#N/A</v>
          </cell>
          <cell r="P249">
            <v>0</v>
          </cell>
          <cell r="Q249">
            <v>2382.4454719999999</v>
          </cell>
          <cell r="R249" t="str">
            <v>Bid awarded</v>
          </cell>
          <cell r="S249" t="str">
            <v>Karnataka</v>
          </cell>
          <cell r="T249" t="str">
            <v>Central Sector</v>
          </cell>
        </row>
        <row r="250">
          <cell r="C250" t="str">
            <v>KUDGI STPP3</v>
          </cell>
          <cell r="D250" t="str">
            <v xml:space="preserve"> 0-5 years</v>
          </cell>
          <cell r="E250">
            <v>2.1163586579999998</v>
          </cell>
          <cell r="F250">
            <v>800</v>
          </cell>
          <cell r="G250">
            <v>11.628129653563162</v>
          </cell>
          <cell r="I250">
            <v>0</v>
          </cell>
          <cell r="J250">
            <v>0.23904959457635153</v>
          </cell>
          <cell r="K250">
            <v>2616.1879335204935</v>
          </cell>
          <cell r="O250" t="e">
            <v>#N/A</v>
          </cell>
          <cell r="P250">
            <v>0</v>
          </cell>
          <cell r="Q250">
            <v>2382.4454719999999</v>
          </cell>
          <cell r="R250" t="str">
            <v>Bid awarded</v>
          </cell>
          <cell r="S250" t="str">
            <v>Karnataka</v>
          </cell>
          <cell r="T250" t="str">
            <v>Central Sector</v>
          </cell>
        </row>
        <row r="251">
          <cell r="C251" t="str">
            <v>KUNDARKI TPS1</v>
          </cell>
          <cell r="D251" t="str">
            <v xml:space="preserve"> 5-10 years</v>
          </cell>
          <cell r="E251">
            <v>8.3394934979999995</v>
          </cell>
          <cell r="F251">
            <v>45</v>
          </cell>
          <cell r="G251">
            <v>15.40713027745071</v>
          </cell>
          <cell r="I251">
            <v>0</v>
          </cell>
          <cell r="J251">
            <v>0.21122519959795927</v>
          </cell>
          <cell r="K251">
            <v>172.29039713397995</v>
          </cell>
          <cell r="O251" t="e">
            <v>#N/A</v>
          </cell>
          <cell r="Q251">
            <v>3369.8973373746121</v>
          </cell>
          <cell r="S251" t="str">
            <v>Uttar Pradesh</v>
          </cell>
          <cell r="T251" t="str">
            <v>Private Sector</v>
          </cell>
        </row>
        <row r="252">
          <cell r="C252" t="str">
            <v>KUNDARKI TPS2</v>
          </cell>
          <cell r="D252" t="str">
            <v xml:space="preserve"> 5-10 years</v>
          </cell>
          <cell r="E252">
            <v>8.2546201230000005</v>
          </cell>
          <cell r="F252">
            <v>45</v>
          </cell>
          <cell r="G252">
            <v>15.40713027745071</v>
          </cell>
          <cell r="I252">
            <v>0</v>
          </cell>
          <cell r="J252">
            <v>0.18363114676376296</v>
          </cell>
          <cell r="K252">
            <v>149.78271182754531</v>
          </cell>
          <cell r="O252" t="e">
            <v>#N/A</v>
          </cell>
          <cell r="Q252">
            <v>3369.8973373746121</v>
          </cell>
          <cell r="S252" t="str">
            <v>Uttar Pradesh</v>
          </cell>
          <cell r="T252" t="str">
            <v>Private Sector</v>
          </cell>
        </row>
        <row r="253">
          <cell r="C253" t="str">
            <v>KUTCH LIG. TPS1</v>
          </cell>
          <cell r="D253" t="str">
            <v xml:space="preserve"> 30-35 years</v>
          </cell>
          <cell r="E253">
            <v>30.176591380000001</v>
          </cell>
          <cell r="F253">
            <v>70</v>
          </cell>
          <cell r="G253">
            <v>14.26</v>
          </cell>
          <cell r="H253">
            <v>2618</v>
          </cell>
          <cell r="I253">
            <v>37.332680000000003</v>
          </cell>
          <cell r="J253">
            <v>0.36090649216137438</v>
          </cell>
          <cell r="K253">
            <v>423.83160055939283</v>
          </cell>
          <cell r="M253" t="str">
            <v>Y</v>
          </cell>
          <cell r="N253">
            <v>12</v>
          </cell>
          <cell r="O253" t="e">
            <v>#N/A</v>
          </cell>
          <cell r="P253">
            <v>840</v>
          </cell>
          <cell r="R253" t="str">
            <v>LoI Placed</v>
          </cell>
          <cell r="S253" t="str">
            <v>Gujarat</v>
          </cell>
          <cell r="T253" t="str">
            <v>State Sector</v>
          </cell>
        </row>
        <row r="254">
          <cell r="C254" t="str">
            <v>KUTCH LIG. TPS2</v>
          </cell>
          <cell r="D254" t="str">
            <v xml:space="preserve"> 25-30 years</v>
          </cell>
          <cell r="E254">
            <v>29.17727584</v>
          </cell>
          <cell r="F254">
            <v>70</v>
          </cell>
          <cell r="G254">
            <v>14.26</v>
          </cell>
          <cell r="H254">
            <v>2618</v>
          </cell>
          <cell r="I254">
            <v>37.332680000000003</v>
          </cell>
          <cell r="J254">
            <v>0.3831635746067053</v>
          </cell>
          <cell r="K254">
            <v>449.96927079107439</v>
          </cell>
          <cell r="M254" t="str">
            <v>Y</v>
          </cell>
          <cell r="N254">
            <v>12</v>
          </cell>
          <cell r="O254" t="e">
            <v>#N/A</v>
          </cell>
          <cell r="P254">
            <v>840</v>
          </cell>
          <cell r="R254" t="str">
            <v>LoI Placed</v>
          </cell>
          <cell r="S254" t="str">
            <v>Gujarat</v>
          </cell>
          <cell r="T254" t="str">
            <v>State Sector</v>
          </cell>
        </row>
        <row r="255">
          <cell r="C255" t="str">
            <v>KUTCH LIG. TPS3</v>
          </cell>
          <cell r="D255" t="str">
            <v xml:space="preserve"> 20-25 years</v>
          </cell>
          <cell r="E255">
            <v>23.175906909999998</v>
          </cell>
          <cell r="F255">
            <v>75</v>
          </cell>
          <cell r="G255">
            <v>14.26</v>
          </cell>
          <cell r="H255">
            <v>2618</v>
          </cell>
          <cell r="I255">
            <v>37.332680000000003</v>
          </cell>
          <cell r="J255">
            <v>0.51162038498586504</v>
          </cell>
          <cell r="K255">
            <v>643.73882557927379</v>
          </cell>
          <cell r="M255" t="str">
            <v>Y</v>
          </cell>
          <cell r="N255">
            <v>12</v>
          </cell>
          <cell r="O255" t="e">
            <v>#N/A</v>
          </cell>
          <cell r="P255">
            <v>900</v>
          </cell>
          <cell r="Q255">
            <v>2517.85754</v>
          </cell>
          <cell r="R255" t="str">
            <v>LoI Placed</v>
          </cell>
          <cell r="S255" t="str">
            <v>Gujarat</v>
          </cell>
          <cell r="T255" t="str">
            <v>State Sector</v>
          </cell>
        </row>
        <row r="256">
          <cell r="C256" t="str">
            <v>KUTCH LIG. TPS4</v>
          </cell>
          <cell r="D256" t="str">
            <v xml:space="preserve"> 10-15 years</v>
          </cell>
          <cell r="E256">
            <v>10.590006839999999</v>
          </cell>
          <cell r="F256">
            <v>75</v>
          </cell>
          <cell r="G256">
            <v>14.26</v>
          </cell>
          <cell r="H256">
            <v>2581</v>
          </cell>
          <cell r="I256">
            <v>36.805059999999997</v>
          </cell>
          <cell r="J256">
            <v>0.48359908261270002</v>
          </cell>
          <cell r="K256">
            <v>608.48143394621491</v>
          </cell>
          <cell r="N256">
            <v>12</v>
          </cell>
          <cell r="O256" t="e">
            <v>#N/A</v>
          </cell>
          <cell r="P256">
            <v>900</v>
          </cell>
          <cell r="Q256">
            <v>2517.85754</v>
          </cell>
          <cell r="S256" t="str">
            <v>Gujarat</v>
          </cell>
          <cell r="T256" t="str">
            <v>State Sector</v>
          </cell>
        </row>
        <row r="257">
          <cell r="C257" t="str">
            <v>LALITPUR TPS1</v>
          </cell>
          <cell r="D257" t="str">
            <v xml:space="preserve"> 0-5 years</v>
          </cell>
          <cell r="E257">
            <v>4.1752224499999997</v>
          </cell>
          <cell r="F257">
            <v>660</v>
          </cell>
          <cell r="G257">
            <v>12.206709363127651</v>
          </cell>
          <cell r="I257">
            <v>0</v>
          </cell>
          <cell r="J257">
            <v>0.38652147713071844</v>
          </cell>
          <cell r="K257">
            <v>3663.5088475310249</v>
          </cell>
          <cell r="O257" t="e">
            <v>#N/A</v>
          </cell>
          <cell r="Q257">
            <v>2382.4454719999999</v>
          </cell>
          <cell r="R257" t="str">
            <v>NIT issued</v>
          </cell>
          <cell r="S257" t="str">
            <v>Uttar Pradesh</v>
          </cell>
          <cell r="T257" t="str">
            <v>Private Sector</v>
          </cell>
        </row>
        <row r="258">
          <cell r="C258" t="str">
            <v>LALITPUR TPS2</v>
          </cell>
          <cell r="D258" t="str">
            <v xml:space="preserve"> 0-5 years</v>
          </cell>
          <cell r="E258">
            <v>4.3394934980000004</v>
          </cell>
          <cell r="F258">
            <v>660</v>
          </cell>
          <cell r="G258">
            <v>12.206709363127651</v>
          </cell>
          <cell r="I258">
            <v>0</v>
          </cell>
          <cell r="J258">
            <v>0.34961324887856121</v>
          </cell>
          <cell r="K258">
            <v>3313.6870944108368</v>
          </cell>
          <cell r="O258" t="e">
            <v>#N/A</v>
          </cell>
          <cell r="Q258">
            <v>2382.4454719999999</v>
          </cell>
          <cell r="R258" t="str">
            <v>NIT issued</v>
          </cell>
          <cell r="S258" t="str">
            <v>Uttar Pradesh</v>
          </cell>
          <cell r="T258" t="str">
            <v>Private Sector</v>
          </cell>
        </row>
        <row r="259">
          <cell r="C259" t="str">
            <v>LALITPUR TPS3</v>
          </cell>
          <cell r="D259" t="str">
            <v xml:space="preserve"> 0-5 years</v>
          </cell>
          <cell r="E259">
            <v>4.0903490759999999</v>
          </cell>
          <cell r="F259">
            <v>660</v>
          </cell>
          <cell r="G259">
            <v>12.206709363127651</v>
          </cell>
          <cell r="I259">
            <v>0</v>
          </cell>
          <cell r="J259">
            <v>0.44282023605762943</v>
          </cell>
          <cell r="K259">
            <v>4197.116974470895</v>
          </cell>
          <cell r="O259" t="e">
            <v>#N/A</v>
          </cell>
          <cell r="Q259">
            <v>2382.4454719999999</v>
          </cell>
          <cell r="R259" t="str">
            <v>NIT issued</v>
          </cell>
          <cell r="S259" t="str">
            <v>Uttar Pradesh</v>
          </cell>
          <cell r="T259" t="str">
            <v>Private Sector</v>
          </cell>
        </row>
        <row r="260">
          <cell r="C260" t="str">
            <v>LARA TPP1</v>
          </cell>
          <cell r="D260" t="str">
            <v xml:space="preserve"> 0-5 years</v>
          </cell>
          <cell r="E260">
            <v>2.0917180009999998</v>
          </cell>
          <cell r="F260">
            <v>800</v>
          </cell>
          <cell r="G260">
            <v>14.394144005300875</v>
          </cell>
          <cell r="I260">
            <v>0</v>
          </cell>
          <cell r="J260">
            <v>0.19113316259736876</v>
          </cell>
          <cell r="K260">
            <v>2589.3630744612828</v>
          </cell>
          <cell r="O260" t="e">
            <v>#N/A</v>
          </cell>
          <cell r="Q260">
            <v>2517.85754</v>
          </cell>
          <cell r="R260" t="str">
            <v>Bid awarded</v>
          </cell>
          <cell r="S260" t="str">
            <v>Chhatisgarh</v>
          </cell>
          <cell r="T260" t="str">
            <v>Central Sector</v>
          </cell>
        </row>
        <row r="261">
          <cell r="C261" t="str">
            <v>MAHADEV PRASAD STPP1</v>
          </cell>
          <cell r="D261" t="str">
            <v xml:space="preserve"> 5-10 years</v>
          </cell>
          <cell r="E261">
            <v>7.5044490079999999</v>
          </cell>
          <cell r="F261">
            <v>270</v>
          </cell>
          <cell r="G261">
            <v>14.199301082364723</v>
          </cell>
          <cell r="H261">
            <v>3403</v>
          </cell>
          <cell r="I261">
            <v>48.32022158328715</v>
          </cell>
          <cell r="J261">
            <v>0.74534322138311104</v>
          </cell>
          <cell r="K261">
            <v>3361.7708926258506</v>
          </cell>
          <cell r="N261">
            <v>9</v>
          </cell>
          <cell r="O261" t="e">
            <v>#N/A</v>
          </cell>
          <cell r="P261">
            <v>2430</v>
          </cell>
          <cell r="Q261">
            <v>2461.4680551433235</v>
          </cell>
          <cell r="R261" t="str">
            <v>Complies with new Norms</v>
          </cell>
          <cell r="S261" t="str">
            <v>Jharkhand</v>
          </cell>
          <cell r="T261" t="str">
            <v>Private Sector</v>
          </cell>
        </row>
        <row r="262">
          <cell r="C262" t="str">
            <v>MAHADEV PRASAD STPP2</v>
          </cell>
          <cell r="D262" t="str">
            <v xml:space="preserve"> 5-10 years</v>
          </cell>
          <cell r="E262">
            <v>7.1759069130000004</v>
          </cell>
          <cell r="F262">
            <v>270</v>
          </cell>
          <cell r="G262">
            <v>14.199301082364723</v>
          </cell>
          <cell r="H262">
            <v>3403</v>
          </cell>
          <cell r="I262">
            <v>48.32022158328715</v>
          </cell>
          <cell r="J262">
            <v>0.43874913892283801</v>
          </cell>
          <cell r="K262">
            <v>1978.9192979556281</v>
          </cell>
          <cell r="N262">
            <v>9</v>
          </cell>
          <cell r="O262" t="e">
            <v>#N/A</v>
          </cell>
          <cell r="P262">
            <v>2430</v>
          </cell>
          <cell r="Q262">
            <v>2461.4680551433235</v>
          </cell>
          <cell r="R262" t="str">
            <v>Complies with new Norms</v>
          </cell>
          <cell r="S262" t="str">
            <v>Jharkhand</v>
          </cell>
          <cell r="T262" t="str">
            <v>Private Sector</v>
          </cell>
        </row>
        <row r="263">
          <cell r="C263" t="str">
            <v>MAHAN TPP1</v>
          </cell>
          <cell r="D263" t="str">
            <v xml:space="preserve"> 5-10 years</v>
          </cell>
          <cell r="E263">
            <v>7.2525667350000003</v>
          </cell>
          <cell r="F263">
            <v>600</v>
          </cell>
          <cell r="G263">
            <v>13.439081966381382</v>
          </cell>
          <cell r="I263">
            <v>0</v>
          </cell>
          <cell r="J263">
            <v>0.3982640157935618</v>
          </cell>
          <cell r="K263">
            <v>3778.0960605952137</v>
          </cell>
          <cell r="O263" t="e">
            <v>#N/A</v>
          </cell>
          <cell r="Q263">
            <v>2517.85754</v>
          </cell>
          <cell r="R263" t="str">
            <v>Feasibility study under process</v>
          </cell>
          <cell r="S263" t="str">
            <v>Madhya Pradesh</v>
          </cell>
          <cell r="T263" t="str">
            <v>Private Sector</v>
          </cell>
        </row>
        <row r="264">
          <cell r="C264" t="str">
            <v>MAHAN TPP2</v>
          </cell>
          <cell r="D264" t="str">
            <v xml:space="preserve"> 0-5 years</v>
          </cell>
          <cell r="E264">
            <v>1.6700889800000001</v>
          </cell>
          <cell r="F264">
            <v>600</v>
          </cell>
          <cell r="G264">
            <v>13.439081966381382</v>
          </cell>
          <cell r="I264">
            <v>0</v>
          </cell>
          <cell r="J264">
            <v>0.32809663398376948</v>
          </cell>
          <cell r="K264">
            <v>3112.4594520012065</v>
          </cell>
          <cell r="O264" t="e">
            <v>#N/A</v>
          </cell>
          <cell r="Q264" t="e">
            <v>#N/A</v>
          </cell>
          <cell r="S264" t="str">
            <v>Madhya Pradesh</v>
          </cell>
          <cell r="T264" t="str">
            <v>Private Sector</v>
          </cell>
        </row>
        <row r="265">
          <cell r="C265" t="str">
            <v>MAHATMA GANDHI TPS1</v>
          </cell>
          <cell r="D265" t="str">
            <v xml:space="preserve"> 5-10 years</v>
          </cell>
          <cell r="E265">
            <v>8.3394934979999995</v>
          </cell>
          <cell r="F265">
            <v>660</v>
          </cell>
          <cell r="G265">
            <v>12.318219445873089</v>
          </cell>
          <cell r="I265">
            <v>0</v>
          </cell>
          <cell r="J265">
            <v>0.61436659603476895</v>
          </cell>
          <cell r="K265">
            <v>5876.2537448381527</v>
          </cell>
          <cell r="O265" t="e">
            <v>#N/A</v>
          </cell>
          <cell r="Q265">
            <v>2365.2581311607687</v>
          </cell>
          <cell r="R265" t="str">
            <v>FGD operational. Meeting new</v>
          </cell>
          <cell r="S265" t="str">
            <v>Haryana</v>
          </cell>
          <cell r="T265" t="str">
            <v>Private Sector</v>
          </cell>
        </row>
        <row r="266">
          <cell r="C266" t="str">
            <v>MAHATMA GANDHI TPS2</v>
          </cell>
          <cell r="D266" t="str">
            <v xml:space="preserve"> 5-10 years</v>
          </cell>
          <cell r="E266">
            <v>8.0903490760000007</v>
          </cell>
          <cell r="F266">
            <v>660</v>
          </cell>
          <cell r="G266">
            <v>12.318219445873089</v>
          </cell>
          <cell r="I266">
            <v>0</v>
          </cell>
          <cell r="J266">
            <v>0.58679749519712876</v>
          </cell>
          <cell r="K266">
            <v>5612.5625984044109</v>
          </cell>
          <cell r="O266" t="e">
            <v>#N/A</v>
          </cell>
          <cell r="Q266">
            <v>2365.2581311607687</v>
          </cell>
          <cell r="R266" t="str">
            <v>FGD operational. Meeting new</v>
          </cell>
          <cell r="S266" t="str">
            <v>Haryana</v>
          </cell>
          <cell r="T266" t="str">
            <v>Private Sector</v>
          </cell>
        </row>
        <row r="267">
          <cell r="C267" t="str">
            <v>MAITHON RB TPP1</v>
          </cell>
          <cell r="D267" t="str">
            <v xml:space="preserve"> 5-10 years</v>
          </cell>
          <cell r="E267">
            <v>8.6735112940000008</v>
          </cell>
          <cell r="F267">
            <v>525</v>
          </cell>
          <cell r="G267">
            <v>11.893285158878017</v>
          </cell>
          <cell r="H267">
            <v>5007</v>
          </cell>
          <cell r="I267">
            <v>59.549678790502227</v>
          </cell>
          <cell r="J267">
            <v>0.7233558897921627</v>
          </cell>
          <cell r="K267">
            <v>5313.6657424027862</v>
          </cell>
          <cell r="N267">
            <v>5.75</v>
          </cell>
          <cell r="O267" t="e">
            <v>#N/A</v>
          </cell>
          <cell r="P267">
            <v>3018.75</v>
          </cell>
          <cell r="Q267">
            <v>2459.9680563285037</v>
          </cell>
          <cell r="R267" t="str">
            <v>Bid Awarded</v>
          </cell>
          <cell r="S267" t="str">
            <v>Jharkhand</v>
          </cell>
          <cell r="T267" t="str">
            <v>Private Sector</v>
          </cell>
        </row>
        <row r="268">
          <cell r="C268" t="str">
            <v>MAITHON RB TPP2</v>
          </cell>
          <cell r="D268" t="str">
            <v xml:space="preserve"> 5-10 years</v>
          </cell>
          <cell r="E268">
            <v>7.8412046540000002</v>
          </cell>
          <cell r="F268">
            <v>525</v>
          </cell>
          <cell r="G268">
            <v>11.893285158878017</v>
          </cell>
          <cell r="H268">
            <v>5007</v>
          </cell>
          <cell r="I268">
            <v>59.549678790502227</v>
          </cell>
          <cell r="J268">
            <v>0.77495785027231356</v>
          </cell>
          <cell r="K268">
            <v>5692.7261378645326</v>
          </cell>
          <cell r="N268">
            <v>5.75</v>
          </cell>
          <cell r="O268" t="e">
            <v>#N/A</v>
          </cell>
          <cell r="P268">
            <v>3018.75</v>
          </cell>
          <cell r="Q268">
            <v>2459.9680563285037</v>
          </cell>
          <cell r="R268" t="str">
            <v>Bid Awarded</v>
          </cell>
          <cell r="S268" t="str">
            <v>Jharkhand</v>
          </cell>
          <cell r="T268" t="str">
            <v>Private Sector</v>
          </cell>
        </row>
        <row r="269">
          <cell r="C269" t="str">
            <v>MAQSOODPUR TPS1</v>
          </cell>
          <cell r="D269" t="str">
            <v xml:space="preserve"> 5-10 years</v>
          </cell>
          <cell r="E269">
            <v>8.5065023960000001</v>
          </cell>
          <cell r="F269">
            <v>45</v>
          </cell>
          <cell r="G269">
            <v>16.583765707293544</v>
          </cell>
          <cell r="I269">
            <v>0</v>
          </cell>
          <cell r="J269">
            <v>0.15058742959549351</v>
          </cell>
          <cell r="K269">
            <v>132.21035210515905</v>
          </cell>
          <cell r="O269" t="e">
            <v>#N/A</v>
          </cell>
          <cell r="Q269">
            <v>3292.0373988933552</v>
          </cell>
          <cell r="S269" t="str">
            <v>Uttar Pradesh</v>
          </cell>
          <cell r="T269" t="str">
            <v>Private Sector</v>
          </cell>
        </row>
        <row r="270">
          <cell r="C270" t="str">
            <v>MAQSOODPUR TPS2</v>
          </cell>
          <cell r="D270" t="str">
            <v xml:space="preserve"> 5-10 years</v>
          </cell>
          <cell r="E270">
            <v>8.3394934979999995</v>
          </cell>
          <cell r="F270">
            <v>45</v>
          </cell>
          <cell r="G270">
            <v>16.583765707293544</v>
          </cell>
          <cell r="I270">
            <v>0</v>
          </cell>
          <cell r="J270">
            <v>0.13889972217481111</v>
          </cell>
          <cell r="K270">
            <v>121.94896496586529</v>
          </cell>
          <cell r="O270" t="e">
            <v>#N/A</v>
          </cell>
          <cell r="Q270">
            <v>3292.0373988933552</v>
          </cell>
          <cell r="S270" t="str">
            <v>Uttar Pradesh</v>
          </cell>
          <cell r="T270" t="str">
            <v>Private Sector</v>
          </cell>
        </row>
        <row r="271">
          <cell r="C271" t="str">
            <v>MARWA TPS1</v>
          </cell>
          <cell r="D271" t="str">
            <v xml:space="preserve"> 5-10 years</v>
          </cell>
          <cell r="E271">
            <v>6.1765913760000002</v>
          </cell>
          <cell r="F271">
            <v>500</v>
          </cell>
          <cell r="G271">
            <v>13.87135392809698</v>
          </cell>
          <cell r="H271">
            <v>3659</v>
          </cell>
          <cell r="I271">
            <v>50.755284022906849</v>
          </cell>
          <cell r="J271">
            <v>0.64821024585261922</v>
          </cell>
          <cell r="K271">
            <v>5289.1492588473175</v>
          </cell>
          <cell r="N271">
            <v>5.25</v>
          </cell>
          <cell r="O271" t="e">
            <v>#N/A</v>
          </cell>
          <cell r="P271">
            <v>2625</v>
          </cell>
          <cell r="Q271">
            <v>2426.4228736</v>
          </cell>
          <cell r="R271" t="str">
            <v>NIT issued</v>
          </cell>
          <cell r="S271" t="str">
            <v>Chhatisgarh</v>
          </cell>
          <cell r="T271" t="str">
            <v>State Sector</v>
          </cell>
        </row>
        <row r="272">
          <cell r="C272" t="str">
            <v>MARWA TPS2</v>
          </cell>
          <cell r="D272" t="str">
            <v xml:space="preserve"> 0-5 years</v>
          </cell>
          <cell r="E272">
            <v>3.8412046540000002</v>
          </cell>
          <cell r="F272">
            <v>500</v>
          </cell>
          <cell r="G272">
            <v>13.87135392809698</v>
          </cell>
          <cell r="H272">
            <v>3659</v>
          </cell>
          <cell r="I272">
            <v>50.755284022906849</v>
          </cell>
          <cell r="J272">
            <v>0.63787644515363917</v>
          </cell>
          <cell r="K272">
            <v>5204.8293724249834</v>
          </cell>
          <cell r="N272">
            <v>5.25</v>
          </cell>
          <cell r="O272" t="e">
            <v>#N/A</v>
          </cell>
          <cell r="P272">
            <v>2625</v>
          </cell>
          <cell r="Q272">
            <v>2426.4228736</v>
          </cell>
          <cell r="R272" t="str">
            <v>NIT issued</v>
          </cell>
          <cell r="S272" t="str">
            <v>Chhatisgarh</v>
          </cell>
          <cell r="T272" t="str">
            <v>State Sector</v>
          </cell>
        </row>
        <row r="273">
          <cell r="C273" t="str">
            <v>MAUDA TPS1</v>
          </cell>
          <cell r="D273" t="str">
            <v xml:space="preserve"> 5-10 years</v>
          </cell>
          <cell r="E273">
            <v>8.0903490760000007</v>
          </cell>
          <cell r="F273">
            <v>500</v>
          </cell>
          <cell r="G273">
            <v>13.804955606107397</v>
          </cell>
          <cell r="H273">
            <v>5394</v>
          </cell>
          <cell r="I273">
            <v>74.463930539343309</v>
          </cell>
          <cell r="J273">
            <v>0.61786222595947249</v>
          </cell>
          <cell r="K273">
            <v>5017.388588271303</v>
          </cell>
          <cell r="N273">
            <v>5.75</v>
          </cell>
          <cell r="O273" t="e">
            <v>#N/A</v>
          </cell>
          <cell r="P273">
            <v>2875</v>
          </cell>
          <cell r="Q273">
            <v>2610.7579371863089</v>
          </cell>
          <cell r="S273" t="str">
            <v>Maharashtra</v>
          </cell>
          <cell r="T273" t="str">
            <v>Central Sector</v>
          </cell>
        </row>
        <row r="274">
          <cell r="C274" t="str">
            <v>MAUDA TPS2</v>
          </cell>
          <cell r="D274" t="str">
            <v xml:space="preserve"> 5-10 years</v>
          </cell>
          <cell r="E274">
            <v>7.1759069130000004</v>
          </cell>
          <cell r="F274">
            <v>500</v>
          </cell>
          <cell r="G274">
            <v>13.804955606107397</v>
          </cell>
          <cell r="H274">
            <v>5394</v>
          </cell>
          <cell r="I274">
            <v>74.463930539343309</v>
          </cell>
          <cell r="J274">
            <v>0.53211521244945836</v>
          </cell>
          <cell r="K274">
            <v>4321.0746383524584</v>
          </cell>
          <cell r="N274">
            <v>5.75</v>
          </cell>
          <cell r="O274" t="e">
            <v>#N/A</v>
          </cell>
          <cell r="P274">
            <v>2875</v>
          </cell>
          <cell r="Q274">
            <v>2610.7579371863089</v>
          </cell>
          <cell r="S274" t="str">
            <v>Maharashtra</v>
          </cell>
          <cell r="T274" t="str">
            <v>Central Sector</v>
          </cell>
        </row>
        <row r="275">
          <cell r="C275" t="str">
            <v>MAUDA TPS3</v>
          </cell>
          <cell r="D275" t="str">
            <v xml:space="preserve"> 0-5 years</v>
          </cell>
          <cell r="E275">
            <v>4.1752224499999997</v>
          </cell>
          <cell r="F275">
            <v>660</v>
          </cell>
          <cell r="G275">
            <v>13.804955606107397</v>
          </cell>
          <cell r="H275">
            <v>3218</v>
          </cell>
          <cell r="I275">
            <v>44.424347140453605</v>
          </cell>
          <cell r="J275">
            <v>0.50307853767426891</v>
          </cell>
          <cell r="K275">
            <v>5392.5702825011158</v>
          </cell>
          <cell r="N275">
            <v>5.75</v>
          </cell>
          <cell r="O275" t="e">
            <v>#N/A</v>
          </cell>
          <cell r="P275">
            <v>3795</v>
          </cell>
          <cell r="Q275">
            <v>2610.7579371863089</v>
          </cell>
          <cell r="S275" t="str">
            <v>Maharashtra</v>
          </cell>
          <cell r="T275" t="str">
            <v>Central Sector</v>
          </cell>
        </row>
        <row r="276">
          <cell r="C276" t="str">
            <v>MAUDA TPS4</v>
          </cell>
          <cell r="D276" t="str">
            <v xml:space="preserve"> 0-5 years</v>
          </cell>
          <cell r="E276">
            <v>3.1759069129999999</v>
          </cell>
          <cell r="F276">
            <v>660</v>
          </cell>
          <cell r="G276">
            <v>13.804955606107397</v>
          </cell>
          <cell r="H276">
            <v>3218</v>
          </cell>
          <cell r="I276">
            <v>44.424347140453605</v>
          </cell>
          <cell r="J276">
            <v>0.48262447743364018</v>
          </cell>
          <cell r="K276">
            <v>5173.3203063045194</v>
          </cell>
          <cell r="N276">
            <v>5.75</v>
          </cell>
          <cell r="O276" t="e">
            <v>#N/A</v>
          </cell>
          <cell r="P276">
            <v>3795</v>
          </cell>
          <cell r="Q276">
            <v>2610.7579371863089</v>
          </cell>
          <cell r="S276" t="str">
            <v>Maharashtra</v>
          </cell>
          <cell r="T276" t="str">
            <v>Central Sector</v>
          </cell>
        </row>
        <row r="277">
          <cell r="C277" t="str">
            <v>MEJA STPP1</v>
          </cell>
          <cell r="D277" t="str">
            <v xml:space="preserve"> 0-5 years</v>
          </cell>
          <cell r="E277">
            <v>2.0917180009999998</v>
          </cell>
          <cell r="F277">
            <v>660</v>
          </cell>
          <cell r="G277">
            <v>13.379173250035944</v>
          </cell>
          <cell r="I277">
            <v>0</v>
          </cell>
          <cell r="J277">
            <v>9.7049031691387622E-2</v>
          </cell>
          <cell r="K277">
            <v>1008.1972162037889</v>
          </cell>
          <cell r="O277" t="e">
            <v>#N/A</v>
          </cell>
          <cell r="Q277">
            <v>2517.85754</v>
          </cell>
          <cell r="R277" t="str">
            <v>Bid awarded</v>
          </cell>
          <cell r="S277" t="str">
            <v>Uttar Pradesh</v>
          </cell>
          <cell r="T277" t="str">
            <v>Central Sector</v>
          </cell>
        </row>
        <row r="278">
          <cell r="C278" t="str">
            <v>MEJIA TPS1</v>
          </cell>
          <cell r="D278" t="str">
            <v xml:space="preserve"> 20-25 years</v>
          </cell>
          <cell r="E278">
            <v>24.17522245</v>
          </cell>
          <cell r="F278">
            <v>210</v>
          </cell>
          <cell r="G278">
            <v>13.453362729299833</v>
          </cell>
          <cell r="H278">
            <v>3263</v>
          </cell>
          <cell r="I278">
            <v>43.898322585705358</v>
          </cell>
          <cell r="J278">
            <v>0.60486988051307344</v>
          </cell>
          <cell r="K278">
            <v>2010.4495533880372</v>
          </cell>
          <cell r="M278" t="str">
            <v>Y</v>
          </cell>
          <cell r="N278">
            <v>9</v>
          </cell>
          <cell r="O278">
            <v>9.3503754790134863</v>
          </cell>
          <cell r="P278">
            <v>1890</v>
          </cell>
          <cell r="Q278">
            <v>2727.6579879999999</v>
          </cell>
          <cell r="R278" t="str">
            <v>NIT issued</v>
          </cell>
          <cell r="S278" t="str">
            <v>West Bengal</v>
          </cell>
          <cell r="T278" t="str">
            <v>Central Sector</v>
          </cell>
        </row>
        <row r="279">
          <cell r="C279" t="str">
            <v>MEJIA TPS2</v>
          </cell>
          <cell r="D279" t="str">
            <v xml:space="preserve"> 20-25 years</v>
          </cell>
          <cell r="E279">
            <v>23.175906909999998</v>
          </cell>
          <cell r="F279">
            <v>210</v>
          </cell>
          <cell r="G279">
            <v>13.453362729299833</v>
          </cell>
          <cell r="H279">
            <v>3263</v>
          </cell>
          <cell r="I279">
            <v>43.898322585705358</v>
          </cell>
          <cell r="J279">
            <v>0.51050022707966669</v>
          </cell>
          <cell r="K279">
            <v>1696.7863446370175</v>
          </cell>
          <cell r="M279" t="str">
            <v>Y</v>
          </cell>
          <cell r="N279">
            <v>9</v>
          </cell>
          <cell r="O279">
            <v>9.3503754790134863</v>
          </cell>
          <cell r="P279">
            <v>1890</v>
          </cell>
          <cell r="Q279">
            <v>2727.6579879999999</v>
          </cell>
          <cell r="R279" t="str">
            <v>NIT issued</v>
          </cell>
          <cell r="S279" t="str">
            <v>West Bengal</v>
          </cell>
          <cell r="T279" t="str">
            <v>Central Sector</v>
          </cell>
        </row>
        <row r="280">
          <cell r="C280" t="str">
            <v>MEJIA TPS3</v>
          </cell>
          <cell r="D280" t="str">
            <v xml:space="preserve"> 20-25 years</v>
          </cell>
          <cell r="E280">
            <v>22.176591380000001</v>
          </cell>
          <cell r="F280">
            <v>210</v>
          </cell>
          <cell r="G280">
            <v>13.453362729299833</v>
          </cell>
          <cell r="H280">
            <v>3263</v>
          </cell>
          <cell r="I280">
            <v>43.898322585705358</v>
          </cell>
          <cell r="J280">
            <v>0.55636283337130754</v>
          </cell>
          <cell r="K280">
            <v>1849.2231898276382</v>
          </cell>
          <cell r="N280">
            <v>9</v>
          </cell>
          <cell r="O280">
            <v>9.3503754790134863</v>
          </cell>
          <cell r="P280">
            <v>1890</v>
          </cell>
          <cell r="Q280">
            <v>2727.6579879999999</v>
          </cell>
          <cell r="R280" t="str">
            <v>NIT issued</v>
          </cell>
          <cell r="S280" t="str">
            <v>West Bengal</v>
          </cell>
          <cell r="T280" t="str">
            <v>Central Sector</v>
          </cell>
        </row>
        <row r="281">
          <cell r="C281" t="str">
            <v>MEJIA TPS4</v>
          </cell>
          <cell r="D281" t="str">
            <v xml:space="preserve"> 15-20 years</v>
          </cell>
          <cell r="E281">
            <v>15.58932238</v>
          </cell>
          <cell r="F281">
            <v>210</v>
          </cell>
          <cell r="G281">
            <v>13.453362729299833</v>
          </cell>
          <cell r="H281">
            <v>3263</v>
          </cell>
          <cell r="I281">
            <v>43.898322585705358</v>
          </cell>
          <cell r="J281">
            <v>0.59232032044181748</v>
          </cell>
          <cell r="K281">
            <v>1968.7376774072529</v>
          </cell>
          <cell r="N281">
            <v>9</v>
          </cell>
          <cell r="O281">
            <v>9.3503754790134863</v>
          </cell>
          <cell r="P281">
            <v>1890</v>
          </cell>
          <cell r="Q281">
            <v>2727.6579879999999</v>
          </cell>
          <cell r="R281" t="str">
            <v>NIT issued</v>
          </cell>
          <cell r="S281" t="str">
            <v>West Bengal</v>
          </cell>
          <cell r="T281" t="str">
            <v>Central Sector</v>
          </cell>
        </row>
        <row r="282">
          <cell r="C282" t="str">
            <v>MEJIA TPS5</v>
          </cell>
          <cell r="D282" t="str">
            <v xml:space="preserve"> 10-15 years</v>
          </cell>
          <cell r="E282">
            <v>12.591375770000001</v>
          </cell>
          <cell r="F282">
            <v>250</v>
          </cell>
          <cell r="G282">
            <v>13.453362729299833</v>
          </cell>
          <cell r="I282">
            <v>0</v>
          </cell>
          <cell r="J282">
            <v>0.64395239919722669</v>
          </cell>
          <cell r="K282">
            <v>2548.0368255303465</v>
          </cell>
          <cell r="N282">
            <v>9</v>
          </cell>
          <cell r="O282">
            <v>9.3503754790134863</v>
          </cell>
          <cell r="P282">
            <v>2250</v>
          </cell>
          <cell r="Q282">
            <v>2727.6579879999999</v>
          </cell>
          <cell r="R282" t="str">
            <v>NIT issued</v>
          </cell>
          <cell r="S282" t="str">
            <v>West Bengal</v>
          </cell>
          <cell r="T282" t="str">
            <v>Central Sector</v>
          </cell>
        </row>
        <row r="283">
          <cell r="C283" t="str">
            <v>MEJIA TPS6</v>
          </cell>
          <cell r="D283" t="str">
            <v xml:space="preserve"> 10-15 years</v>
          </cell>
          <cell r="E283">
            <v>13.17727584</v>
          </cell>
          <cell r="F283">
            <v>250</v>
          </cell>
          <cell r="G283">
            <v>13.453362729299833</v>
          </cell>
          <cell r="I283">
            <v>0</v>
          </cell>
          <cell r="J283">
            <v>0.71871870626386669</v>
          </cell>
          <cell r="K283">
            <v>2843.8774869708527</v>
          </cell>
          <cell r="N283">
            <v>9</v>
          </cell>
          <cell r="O283">
            <v>9.3503754790134863</v>
          </cell>
          <cell r="P283">
            <v>2250</v>
          </cell>
          <cell r="Q283">
            <v>2727.6579879999999</v>
          </cell>
          <cell r="R283" t="str">
            <v>NIT issued</v>
          </cell>
          <cell r="S283" t="str">
            <v>West Bengal</v>
          </cell>
          <cell r="T283" t="str">
            <v>Central Sector</v>
          </cell>
        </row>
        <row r="284">
          <cell r="C284" t="str">
            <v>MEJIA TPS7</v>
          </cell>
          <cell r="D284" t="str">
            <v xml:space="preserve"> 5-10 years</v>
          </cell>
          <cell r="E284">
            <v>9.6728268310000001</v>
          </cell>
          <cell r="F284">
            <v>500</v>
          </cell>
          <cell r="G284">
            <v>13.453362729299833</v>
          </cell>
          <cell r="H284">
            <v>5039</v>
          </cell>
          <cell r="I284">
            <v>67.791494792941862</v>
          </cell>
          <cell r="J284">
            <v>0.64900745547336824</v>
          </cell>
          <cell r="K284">
            <v>5136.0780661783137</v>
          </cell>
          <cell r="N284">
            <v>5.25</v>
          </cell>
          <cell r="O284" t="e">
            <v>#N/A</v>
          </cell>
          <cell r="P284">
            <v>2625</v>
          </cell>
          <cell r="Q284">
            <v>2727.6579879999999</v>
          </cell>
          <cell r="R284" t="str">
            <v>Bid Awarded</v>
          </cell>
          <cell r="S284" t="str">
            <v>West Bengal</v>
          </cell>
          <cell r="T284" t="str">
            <v>Central Sector</v>
          </cell>
        </row>
        <row r="285">
          <cell r="C285" t="str">
            <v>MEJIA TPS8</v>
          </cell>
          <cell r="D285" t="str">
            <v xml:space="preserve"> 5-10 years</v>
          </cell>
          <cell r="E285">
            <v>9.1772758379999999</v>
          </cell>
          <cell r="F285">
            <v>500</v>
          </cell>
          <cell r="G285">
            <v>13.453362729299833</v>
          </cell>
          <cell r="H285">
            <v>5039</v>
          </cell>
          <cell r="I285">
            <v>67.791494792941862</v>
          </cell>
          <cell r="J285">
            <v>0.57972006629941497</v>
          </cell>
          <cell r="K285">
            <v>4587.7554902233987</v>
          </cell>
          <cell r="N285">
            <v>5.25</v>
          </cell>
          <cell r="O285" t="e">
            <v>#N/A</v>
          </cell>
          <cell r="P285">
            <v>2625</v>
          </cell>
          <cell r="Q285">
            <v>2727.6579879999999</v>
          </cell>
          <cell r="R285" t="str">
            <v>Bid Awarded</v>
          </cell>
          <cell r="S285" t="str">
            <v>West Bengal</v>
          </cell>
          <cell r="T285" t="str">
            <v>Central Sector</v>
          </cell>
        </row>
        <row r="286">
          <cell r="C286" t="str">
            <v>METTUR TPS EXT1</v>
          </cell>
          <cell r="D286" t="str">
            <v xml:space="preserve"> 5-10 years</v>
          </cell>
          <cell r="E286">
            <v>7.5893223819999998</v>
          </cell>
          <cell r="F286">
            <v>600</v>
          </cell>
          <cell r="G286">
            <v>14.58229554125497</v>
          </cell>
          <cell r="H286">
            <v>3438</v>
          </cell>
          <cell r="I286">
            <v>50.133932070834582</v>
          </cell>
          <cell r="J286">
            <v>0.54311209918967362</v>
          </cell>
          <cell r="K286">
            <v>5590.4619828813211</v>
          </cell>
          <cell r="N286">
            <v>8.5</v>
          </cell>
          <cell r="O286">
            <v>8.1991540614651637</v>
          </cell>
          <cell r="P286">
            <v>5100</v>
          </cell>
          <cell r="Q286">
            <v>2376.393536</v>
          </cell>
          <cell r="S286" t="str">
            <v>Tamil Nadu</v>
          </cell>
          <cell r="T286" t="str">
            <v>State Sector</v>
          </cell>
        </row>
        <row r="287">
          <cell r="C287" t="str">
            <v>METTUR TPS1</v>
          </cell>
          <cell r="D287" t="str">
            <v xml:space="preserve"> 30-35 years</v>
          </cell>
          <cell r="E287">
            <v>33.33880903</v>
          </cell>
          <cell r="F287">
            <v>210</v>
          </cell>
          <cell r="G287">
            <v>11.417755901062131</v>
          </cell>
          <cell r="H287">
            <v>3623</v>
          </cell>
          <cell r="I287">
            <v>41.366529629548104</v>
          </cell>
          <cell r="J287">
            <v>0.62426471505670433</v>
          </cell>
          <cell r="K287">
            <v>1760.9617037345256</v>
          </cell>
          <cell r="L287" t="str">
            <v>Y</v>
          </cell>
          <cell r="N287">
            <v>8.5</v>
          </cell>
          <cell r="O287">
            <v>8.1991540614651637</v>
          </cell>
          <cell r="P287">
            <v>1785</v>
          </cell>
          <cell r="S287" t="str">
            <v>Tamil Nadu</v>
          </cell>
          <cell r="T287" t="str">
            <v>State Sector</v>
          </cell>
        </row>
        <row r="288">
          <cell r="C288" t="str">
            <v>METTUR TPS2</v>
          </cell>
          <cell r="D288" t="str">
            <v xml:space="preserve"> 30-35 years</v>
          </cell>
          <cell r="E288">
            <v>32.42436687</v>
          </cell>
          <cell r="F288">
            <v>210</v>
          </cell>
          <cell r="G288">
            <v>11.417755901062131</v>
          </cell>
          <cell r="H288">
            <v>3623</v>
          </cell>
          <cell r="I288">
            <v>41.366529629548104</v>
          </cell>
          <cell r="J288">
            <v>0.70906287037947813</v>
          </cell>
          <cell r="K288">
            <v>2000.1652026174841</v>
          </cell>
          <cell r="L288" t="str">
            <v>Y</v>
          </cell>
          <cell r="N288">
            <v>8.5</v>
          </cell>
          <cell r="O288">
            <v>8.1991540614651637</v>
          </cell>
          <cell r="P288">
            <v>1785</v>
          </cell>
          <cell r="S288" t="str">
            <v>Tamil Nadu</v>
          </cell>
          <cell r="T288" t="str">
            <v>State Sector</v>
          </cell>
        </row>
        <row r="289">
          <cell r="C289" t="str">
            <v>METTUR TPS3</v>
          </cell>
          <cell r="D289" t="str">
            <v xml:space="preserve"> 30-35 years</v>
          </cell>
          <cell r="E289">
            <v>31.175906909999998</v>
          </cell>
          <cell r="F289">
            <v>210</v>
          </cell>
          <cell r="G289">
            <v>11.417755901062131</v>
          </cell>
          <cell r="H289">
            <v>3623</v>
          </cell>
          <cell r="I289">
            <v>41.366529629548104</v>
          </cell>
          <cell r="J289">
            <v>0.73038400111720037</v>
          </cell>
          <cell r="K289">
            <v>2060.3090707616821</v>
          </cell>
          <cell r="L289" t="str">
            <v>Y</v>
          </cell>
          <cell r="N289">
            <v>8.5</v>
          </cell>
          <cell r="O289">
            <v>8.1991540614651637</v>
          </cell>
          <cell r="P289">
            <v>1785</v>
          </cell>
          <cell r="S289" t="str">
            <v>Tamil Nadu</v>
          </cell>
          <cell r="T289" t="str">
            <v>State Sector</v>
          </cell>
        </row>
        <row r="290">
          <cell r="C290" t="str">
            <v>METTUR TPS4</v>
          </cell>
          <cell r="D290" t="str">
            <v xml:space="preserve"> 30-35 years</v>
          </cell>
          <cell r="E290">
            <v>30.176591380000001</v>
          </cell>
          <cell r="F290">
            <v>210</v>
          </cell>
          <cell r="G290">
            <v>11.417755901062131</v>
          </cell>
          <cell r="H290">
            <v>3623</v>
          </cell>
          <cell r="I290">
            <v>41.366529629548104</v>
          </cell>
          <cell r="J290">
            <v>0.74167185527353963</v>
          </cell>
          <cell r="K290">
            <v>2092.1504970144033</v>
          </cell>
          <cell r="L290" t="str">
            <v>Y</v>
          </cell>
          <cell r="N290">
            <v>8.5</v>
          </cell>
          <cell r="O290">
            <v>8.1991540614651637</v>
          </cell>
          <cell r="P290">
            <v>1785</v>
          </cell>
          <cell r="S290" t="str">
            <v>Tamil Nadu</v>
          </cell>
          <cell r="T290" t="str">
            <v>State Sector</v>
          </cell>
        </row>
        <row r="291">
          <cell r="C291" t="str">
            <v>MUNDRA TPS1</v>
          </cell>
          <cell r="D291" t="str">
            <v xml:space="preserve"> 10-15 years</v>
          </cell>
          <cell r="E291">
            <v>10.75701574</v>
          </cell>
          <cell r="F291">
            <v>330</v>
          </cell>
          <cell r="G291">
            <v>11.127140647122358</v>
          </cell>
          <cell r="I291">
            <v>0</v>
          </cell>
          <cell r="J291">
            <v>0.6747588165917664</v>
          </cell>
          <cell r="K291">
            <v>2914.9234872750585</v>
          </cell>
          <cell r="N291">
            <v>8.1079574816934699</v>
          </cell>
          <cell r="O291">
            <v>8.1079574816934699</v>
          </cell>
          <cell r="P291">
            <v>2675.6259689588451</v>
          </cell>
          <cell r="Q291">
            <v>2318.3958160000002</v>
          </cell>
          <cell r="R291" t="str">
            <v>NIT issued</v>
          </cell>
          <cell r="S291" t="str">
            <v>Gujarat</v>
          </cell>
          <cell r="T291" t="str">
            <v>Private Sector</v>
          </cell>
        </row>
        <row r="292">
          <cell r="C292" t="str">
            <v>MUNDRA TPS2</v>
          </cell>
          <cell r="D292" t="str">
            <v xml:space="preserve"> 10-15 years</v>
          </cell>
          <cell r="E292">
            <v>10.17659138</v>
          </cell>
          <cell r="F292">
            <v>330</v>
          </cell>
          <cell r="G292">
            <v>11.127140647122358</v>
          </cell>
          <cell r="I292">
            <v>0</v>
          </cell>
          <cell r="J292">
            <v>0.72683906695433842</v>
          </cell>
          <cell r="K292">
            <v>3139.9074982611241</v>
          </cell>
          <cell r="N292">
            <v>8.1079574816934699</v>
          </cell>
          <cell r="O292">
            <v>8.1079574816934699</v>
          </cell>
          <cell r="P292">
            <v>2675.6259689588451</v>
          </cell>
          <cell r="Q292">
            <v>2318.3958160000002</v>
          </cell>
          <cell r="R292" t="str">
            <v>NIT issued</v>
          </cell>
          <cell r="S292" t="str">
            <v>Gujarat</v>
          </cell>
          <cell r="T292" t="str">
            <v>Private Sector</v>
          </cell>
        </row>
        <row r="293">
          <cell r="C293" t="str">
            <v>MUNDRA TPS3</v>
          </cell>
          <cell r="D293" t="str">
            <v xml:space="preserve"> 5-10 years</v>
          </cell>
          <cell r="E293">
            <v>9.7577002050000008</v>
          </cell>
          <cell r="F293">
            <v>330</v>
          </cell>
          <cell r="G293">
            <v>11.127140647122358</v>
          </cell>
          <cell r="I293">
            <v>0</v>
          </cell>
          <cell r="J293">
            <v>0.7244156433346477</v>
          </cell>
          <cell r="K293">
            <v>3129.4384324928033</v>
          </cell>
          <cell r="N293">
            <v>8.1079574816934699</v>
          </cell>
          <cell r="O293">
            <v>8.1079574816934699</v>
          </cell>
          <cell r="P293">
            <v>2675.6259689588451</v>
          </cell>
          <cell r="Q293">
            <v>2318.3958160000002</v>
          </cell>
          <cell r="R293" t="str">
            <v>NIT issued</v>
          </cell>
          <cell r="S293" t="str">
            <v>Gujarat</v>
          </cell>
          <cell r="T293" t="str">
            <v>Private Sector</v>
          </cell>
        </row>
        <row r="294">
          <cell r="C294" t="str">
            <v>MUNDRA TPS4</v>
          </cell>
          <cell r="D294" t="str">
            <v xml:space="preserve"> 5-10 years</v>
          </cell>
          <cell r="E294">
            <v>9.4236824089999995</v>
          </cell>
          <cell r="F294">
            <v>330</v>
          </cell>
          <cell r="G294">
            <v>11.127140647122358</v>
          </cell>
          <cell r="I294">
            <v>0</v>
          </cell>
          <cell r="J294">
            <v>0.72236190959279278</v>
          </cell>
          <cell r="K294">
            <v>3120.5664080397105</v>
          </cell>
          <cell r="N294">
            <v>8.1079574816934699</v>
          </cell>
          <cell r="O294">
            <v>8.1079574816934699</v>
          </cell>
          <cell r="P294">
            <v>2675.6259689588451</v>
          </cell>
          <cell r="Q294">
            <v>2318.3958160000002</v>
          </cell>
          <cell r="R294" t="str">
            <v>NIT issued</v>
          </cell>
          <cell r="S294" t="str">
            <v>Gujarat</v>
          </cell>
          <cell r="T294" t="str">
            <v>Private Sector</v>
          </cell>
        </row>
        <row r="295">
          <cell r="C295" t="str">
            <v>MUNDRA TPS5</v>
          </cell>
          <cell r="D295" t="str">
            <v xml:space="preserve"> 5-10 years</v>
          </cell>
          <cell r="E295">
            <v>9.4236824089999995</v>
          </cell>
          <cell r="F295">
            <v>660</v>
          </cell>
          <cell r="G295">
            <v>11.127140647122358</v>
          </cell>
          <cell r="I295">
            <v>0</v>
          </cell>
          <cell r="J295">
            <v>0.49088605929383272</v>
          </cell>
          <cell r="K295">
            <v>4241.2052088152013</v>
          </cell>
          <cell r="N295">
            <v>8.1079574816934699</v>
          </cell>
          <cell r="O295">
            <v>8.1079574816934699</v>
          </cell>
          <cell r="P295">
            <v>5351.2519379176902</v>
          </cell>
          <cell r="Q295">
            <v>2318.3958160000002</v>
          </cell>
          <cell r="R295" t="str">
            <v>NIT issued</v>
          </cell>
          <cell r="S295" t="str">
            <v>Gujarat</v>
          </cell>
          <cell r="T295" t="str">
            <v>Private Sector</v>
          </cell>
        </row>
        <row r="296">
          <cell r="C296" t="str">
            <v>MUNDRA TPS6</v>
          </cell>
          <cell r="D296" t="str">
            <v xml:space="preserve"> 5-10 years</v>
          </cell>
          <cell r="E296">
            <v>8.8432580420000004</v>
          </cell>
          <cell r="F296">
            <v>660</v>
          </cell>
          <cell r="G296">
            <v>11.127140647122358</v>
          </cell>
          <cell r="I296">
            <v>0</v>
          </cell>
          <cell r="J296">
            <v>0.40235289686195769</v>
          </cell>
          <cell r="K296">
            <v>3476.2877650419755</v>
          </cell>
          <cell r="N296">
            <v>8.1079574816934699</v>
          </cell>
          <cell r="O296">
            <v>8.1079574816934699</v>
          </cell>
          <cell r="P296">
            <v>5351.2519379176902</v>
          </cell>
          <cell r="Q296">
            <v>2318.3958160000002</v>
          </cell>
          <cell r="R296" t="str">
            <v>NIT issued</v>
          </cell>
          <cell r="S296" t="str">
            <v>Gujarat</v>
          </cell>
          <cell r="T296" t="str">
            <v>Private Sector</v>
          </cell>
        </row>
        <row r="297">
          <cell r="C297" t="str">
            <v>MUNDRA TPS7</v>
          </cell>
          <cell r="D297" t="str">
            <v xml:space="preserve"> 5-10 years</v>
          </cell>
          <cell r="E297">
            <v>8.5065023960000001</v>
          </cell>
          <cell r="F297">
            <v>660</v>
          </cell>
          <cell r="G297">
            <v>11.127140647122358</v>
          </cell>
          <cell r="I297">
            <v>0</v>
          </cell>
          <cell r="J297">
            <v>0.66240918119699499</v>
          </cell>
          <cell r="K297">
            <v>5723.1473912728479</v>
          </cell>
          <cell r="N297">
            <v>8.1079574816934699</v>
          </cell>
          <cell r="O297">
            <v>8.1079574816934699</v>
          </cell>
          <cell r="P297">
            <v>5351.2519379176902</v>
          </cell>
          <cell r="Q297">
            <v>2318.3958160000002</v>
          </cell>
          <cell r="S297" t="str">
            <v>Gujarat</v>
          </cell>
          <cell r="T297" t="str">
            <v>Private Sector</v>
          </cell>
        </row>
        <row r="298">
          <cell r="C298" t="str">
            <v>MUNDRA TPS8</v>
          </cell>
          <cell r="D298" t="str">
            <v xml:space="preserve"> 5-10 years</v>
          </cell>
          <cell r="E298">
            <v>8.1752224499999997</v>
          </cell>
          <cell r="F298">
            <v>660</v>
          </cell>
          <cell r="G298">
            <v>11.127140647122358</v>
          </cell>
          <cell r="I298">
            <v>0</v>
          </cell>
          <cell r="J298">
            <v>0.74075884940787873</v>
          </cell>
          <cell r="K298">
            <v>6400.0804893587274</v>
          </cell>
          <cell r="N298">
            <v>8.1079574816934699</v>
          </cell>
          <cell r="O298">
            <v>8.1079574816934699</v>
          </cell>
          <cell r="P298">
            <v>5351.2519379176902</v>
          </cell>
          <cell r="Q298">
            <v>2318.3958160000002</v>
          </cell>
          <cell r="S298" t="str">
            <v>Gujarat</v>
          </cell>
          <cell r="T298" t="str">
            <v>Private Sector</v>
          </cell>
        </row>
        <row r="299">
          <cell r="C299" t="str">
            <v>MUNDRA TPS9</v>
          </cell>
          <cell r="D299" t="str">
            <v xml:space="preserve"> 5-10 years</v>
          </cell>
          <cell r="E299">
            <v>8.1752224499999997</v>
          </cell>
          <cell r="F299">
            <v>660</v>
          </cell>
          <cell r="G299">
            <v>11.127140647122358</v>
          </cell>
          <cell r="I299">
            <v>0</v>
          </cell>
          <cell r="J299">
            <v>0.63480709841988003</v>
          </cell>
          <cell r="K299">
            <v>5484.6682268474933</v>
          </cell>
          <cell r="N299">
            <v>8.1079574816934699</v>
          </cell>
          <cell r="O299">
            <v>8.1079574816934699</v>
          </cell>
          <cell r="P299">
            <v>5351.2519379176902</v>
          </cell>
          <cell r="Q299">
            <v>2318.3958160000002</v>
          </cell>
          <cell r="S299" t="str">
            <v>Gujarat</v>
          </cell>
          <cell r="T299" t="str">
            <v>Private Sector</v>
          </cell>
        </row>
        <row r="300">
          <cell r="C300" t="str">
            <v>MUNDRA UMTPP1</v>
          </cell>
          <cell r="D300" t="str">
            <v xml:space="preserve"> 5-10 years</v>
          </cell>
          <cell r="E300">
            <v>8.1752224499999997</v>
          </cell>
          <cell r="F300">
            <v>800</v>
          </cell>
          <cell r="G300">
            <v>8.4742555983829266</v>
          </cell>
          <cell r="I300">
            <v>0</v>
          </cell>
          <cell r="J300">
            <v>0.78367747912877606</v>
          </cell>
          <cell r="K300">
            <v>6250.4313080787297</v>
          </cell>
          <cell r="O300" t="e">
            <v>#N/A</v>
          </cell>
          <cell r="Q300">
            <v>2256.2482172917503</v>
          </cell>
          <cell r="R300" t="str">
            <v>Bid opened</v>
          </cell>
          <cell r="S300" t="str">
            <v>Gujarat</v>
          </cell>
          <cell r="T300" t="str">
            <v>Private Sector</v>
          </cell>
        </row>
        <row r="301">
          <cell r="C301" t="str">
            <v>MUNDRA UMTPP2</v>
          </cell>
          <cell r="D301" t="str">
            <v xml:space="preserve"> 5-10 years</v>
          </cell>
          <cell r="E301">
            <v>7.8412046540000002</v>
          </cell>
          <cell r="F301">
            <v>800</v>
          </cell>
          <cell r="G301">
            <v>8.4742555983829266</v>
          </cell>
          <cell r="I301">
            <v>0</v>
          </cell>
          <cell r="J301">
            <v>0.83955823793411988</v>
          </cell>
          <cell r="K301">
            <v>6696.1233863357365</v>
          </cell>
          <cell r="O301" t="e">
            <v>#N/A</v>
          </cell>
          <cell r="Q301">
            <v>2256.2482172917503</v>
          </cell>
          <cell r="R301" t="str">
            <v>Bid opened</v>
          </cell>
          <cell r="S301" t="str">
            <v>Gujarat</v>
          </cell>
          <cell r="T301" t="str">
            <v>Private Sector</v>
          </cell>
        </row>
        <row r="302">
          <cell r="C302" t="str">
            <v>MUNDRA UMTPP3</v>
          </cell>
          <cell r="D302" t="str">
            <v xml:space="preserve"> 5-10 years</v>
          </cell>
          <cell r="E302">
            <v>7.5893223819999998</v>
          </cell>
          <cell r="F302">
            <v>800</v>
          </cell>
          <cell r="G302">
            <v>8.4742555983829266</v>
          </cell>
          <cell r="I302">
            <v>0</v>
          </cell>
          <cell r="J302">
            <v>0.86996671322596342</v>
          </cell>
          <cell r="K302">
            <v>6938.6543905523895</v>
          </cell>
          <cell r="O302" t="e">
            <v>#N/A</v>
          </cell>
          <cell r="Q302">
            <v>2256.2482172917503</v>
          </cell>
          <cell r="R302" t="str">
            <v>Bid opened</v>
          </cell>
          <cell r="S302" t="str">
            <v>Gujarat</v>
          </cell>
          <cell r="T302" t="str">
            <v>Private Sector</v>
          </cell>
        </row>
        <row r="303">
          <cell r="C303" t="str">
            <v>MUNDRA UMTPP4</v>
          </cell>
          <cell r="D303" t="str">
            <v xml:space="preserve"> 5-10 years</v>
          </cell>
          <cell r="E303">
            <v>7.3374401100000002</v>
          </cell>
          <cell r="F303">
            <v>800</v>
          </cell>
          <cell r="G303">
            <v>8.4742555983829266</v>
          </cell>
          <cell r="I303">
            <v>0</v>
          </cell>
          <cell r="J303">
            <v>0.77684044657018758</v>
          </cell>
          <cell r="K303">
            <v>6195.9007090801924</v>
          </cell>
          <cell r="O303" t="e">
            <v>#N/A</v>
          </cell>
          <cell r="Q303">
            <v>2256.2482172917503</v>
          </cell>
          <cell r="R303" t="str">
            <v>Bid opened</v>
          </cell>
          <cell r="S303" t="str">
            <v>Gujarat</v>
          </cell>
          <cell r="T303" t="str">
            <v>Private Sector</v>
          </cell>
        </row>
        <row r="304">
          <cell r="C304" t="str">
            <v>MUNDRA UMTPP5</v>
          </cell>
          <cell r="D304" t="str">
            <v xml:space="preserve"> 5-10 years</v>
          </cell>
          <cell r="E304">
            <v>7.1759069130000004</v>
          </cell>
          <cell r="F304">
            <v>800</v>
          </cell>
          <cell r="G304">
            <v>8.4742555983829266</v>
          </cell>
          <cell r="I304">
            <v>0</v>
          </cell>
          <cell r="J304">
            <v>0.61322942875240105</v>
          </cell>
          <cell r="K304">
            <v>4890.9768655983053</v>
          </cell>
          <cell r="O304" t="e">
            <v>#N/A</v>
          </cell>
          <cell r="Q304">
            <v>2256.2482172917503</v>
          </cell>
          <cell r="R304" t="str">
            <v>Bid opened</v>
          </cell>
          <cell r="S304" t="str">
            <v>Gujarat</v>
          </cell>
          <cell r="T304" t="str">
            <v>Private Sector</v>
          </cell>
        </row>
        <row r="305">
          <cell r="C305" t="str">
            <v>MUTHIARA TPP1</v>
          </cell>
          <cell r="D305" t="str">
            <v xml:space="preserve"> 5-10 years</v>
          </cell>
          <cell r="E305">
            <v>5.4236824090000004</v>
          </cell>
          <cell r="F305">
            <v>600</v>
          </cell>
          <cell r="G305">
            <v>12.793802817499486</v>
          </cell>
          <cell r="I305">
            <v>0</v>
          </cell>
          <cell r="J305">
            <v>0.33453279104041322</v>
          </cell>
          <cell r="K305">
            <v>3021.1387514532748</v>
          </cell>
          <cell r="O305" t="e">
            <v>#N/A</v>
          </cell>
          <cell r="Q305">
            <v>2376.393536</v>
          </cell>
          <cell r="R305" t="str">
            <v>Feasiblity Study Completed</v>
          </cell>
          <cell r="S305" t="str">
            <v>Tamil Nadu</v>
          </cell>
          <cell r="T305" t="str">
            <v>Private Sector</v>
          </cell>
        </row>
        <row r="306">
          <cell r="C306" t="str">
            <v>MUTHIARA TPP2</v>
          </cell>
          <cell r="D306" t="str">
            <v xml:space="preserve"> 0-5 years</v>
          </cell>
          <cell r="E306">
            <v>4.3394934980000004</v>
          </cell>
          <cell r="F306">
            <v>600</v>
          </cell>
          <cell r="G306">
            <v>12.793802817499486</v>
          </cell>
          <cell r="I306">
            <v>0</v>
          </cell>
          <cell r="J306">
            <v>0.33858053515350761</v>
          </cell>
          <cell r="K306">
            <v>3057.6936032452445</v>
          </cell>
          <cell r="O306" t="e">
            <v>#N/A</v>
          </cell>
          <cell r="Q306">
            <v>2376.393536</v>
          </cell>
          <cell r="R306" t="str">
            <v>Feasiblity Study Completed</v>
          </cell>
          <cell r="S306" t="str">
            <v>Tamil Nadu</v>
          </cell>
          <cell r="T306" t="str">
            <v>Private Sector</v>
          </cell>
        </row>
        <row r="307">
          <cell r="C307" t="str">
            <v>MUZAFFARPUR TPS1</v>
          </cell>
          <cell r="D307" t="str">
            <v xml:space="preserve"> 5-10 years</v>
          </cell>
          <cell r="E307">
            <v>6.5051334699999996</v>
          </cell>
          <cell r="F307">
            <v>110</v>
          </cell>
          <cell r="G307">
            <v>14.72227844179389</v>
          </cell>
          <cell r="H307">
            <v>3917</v>
          </cell>
          <cell r="I307">
            <v>57.667164656506671</v>
          </cell>
          <cell r="J307">
            <v>0.43942087269821217</v>
          </cell>
          <cell r="K307">
            <v>837.20048059988949</v>
          </cell>
          <cell r="L307" t="str">
            <v>Y</v>
          </cell>
          <cell r="N307">
            <v>12</v>
          </cell>
          <cell r="O307" t="e">
            <v>#N/A</v>
          </cell>
          <cell r="P307">
            <v>1320</v>
          </cell>
          <cell r="Q307">
            <v>2778.595116</v>
          </cell>
          <cell r="R307" t="str">
            <v>NIT issued</v>
          </cell>
          <cell r="S307" t="str">
            <v>Bihar</v>
          </cell>
          <cell r="T307" t="str">
            <v>Central Sector</v>
          </cell>
        </row>
        <row r="308">
          <cell r="C308" t="str">
            <v>MUZAFFARPUR TPS2</v>
          </cell>
          <cell r="D308" t="str">
            <v xml:space="preserve"> 5-10 years</v>
          </cell>
          <cell r="E308">
            <v>5.5058179330000003</v>
          </cell>
          <cell r="F308">
            <v>110</v>
          </cell>
          <cell r="G308">
            <v>14.72227844179389</v>
          </cell>
          <cell r="H308">
            <v>3917</v>
          </cell>
          <cell r="I308">
            <v>57.667164656506671</v>
          </cell>
          <cell r="J308">
            <v>0.33080118624204319</v>
          </cell>
          <cell r="K308">
            <v>630.25434000049245</v>
          </cell>
          <cell r="L308" t="str">
            <v>Y</v>
          </cell>
          <cell r="N308">
            <v>12</v>
          </cell>
          <cell r="O308" t="e">
            <v>#N/A</v>
          </cell>
          <cell r="P308">
            <v>1320</v>
          </cell>
          <cell r="Q308">
            <v>2778.595116</v>
          </cell>
          <cell r="R308" t="str">
            <v>NIT issued</v>
          </cell>
          <cell r="S308" t="str">
            <v>Bihar</v>
          </cell>
          <cell r="T308" t="str">
            <v>Central Sector</v>
          </cell>
        </row>
        <row r="309">
          <cell r="C309" t="str">
            <v>MUZAFFARPUR TPS3</v>
          </cell>
          <cell r="D309" t="str">
            <v xml:space="preserve"> 5-10 years</v>
          </cell>
          <cell r="E309">
            <v>5.1772758379999999</v>
          </cell>
          <cell r="F309">
            <v>195</v>
          </cell>
          <cell r="G309">
            <v>14.72227844179389</v>
          </cell>
          <cell r="H309">
            <v>3677</v>
          </cell>
          <cell r="I309">
            <v>54.133817830476133</v>
          </cell>
          <cell r="J309">
            <v>0.60101795027473925</v>
          </cell>
          <cell r="K309">
            <v>2029.9164169763346</v>
          </cell>
          <cell r="N309">
            <v>9</v>
          </cell>
          <cell r="O309" t="e">
            <v>#N/A</v>
          </cell>
          <cell r="P309">
            <v>1755</v>
          </cell>
          <cell r="Q309">
            <v>2778.595116</v>
          </cell>
          <cell r="R309" t="str">
            <v>NIT issued</v>
          </cell>
          <cell r="S309" t="str">
            <v>Bihar</v>
          </cell>
          <cell r="T309" t="str">
            <v>Central Sector</v>
          </cell>
        </row>
        <row r="310">
          <cell r="C310" t="str">
            <v>MUZAFFARPUR TPS4</v>
          </cell>
          <cell r="D310" t="str">
            <v xml:space="preserve"> 0-5 years</v>
          </cell>
          <cell r="E310">
            <v>3.1759069129999999</v>
          </cell>
          <cell r="F310">
            <v>195</v>
          </cell>
          <cell r="G310">
            <v>14.72227844179389</v>
          </cell>
          <cell r="H310">
            <v>3677</v>
          </cell>
          <cell r="I310">
            <v>54.133817830476133</v>
          </cell>
          <cell r="J310">
            <v>0.62423307341596146</v>
          </cell>
          <cell r="K310">
            <v>2108.3246568050322</v>
          </cell>
          <cell r="N310">
            <v>9</v>
          </cell>
          <cell r="O310" t="e">
            <v>#N/A</v>
          </cell>
          <cell r="P310">
            <v>1755</v>
          </cell>
          <cell r="Q310">
            <v>2778.595116</v>
          </cell>
          <cell r="R310" t="str">
            <v>NIT issued</v>
          </cell>
          <cell r="S310" t="str">
            <v>Bihar</v>
          </cell>
          <cell r="T310" t="str">
            <v>Central Sector</v>
          </cell>
        </row>
        <row r="311">
          <cell r="C311" t="str">
            <v>NABI NAGAR TPP1</v>
          </cell>
          <cell r="D311" t="str">
            <v xml:space="preserve"> 0-5 years</v>
          </cell>
          <cell r="E311">
            <v>4.1752224499999997</v>
          </cell>
          <cell r="F311">
            <v>250</v>
          </cell>
          <cell r="G311">
            <v>13.012626096663118</v>
          </cell>
          <cell r="I311">
            <v>0</v>
          </cell>
          <cell r="J311">
            <v>0.68674927294289334</v>
          </cell>
          <cell r="K311">
            <v>2628.35632675327</v>
          </cell>
          <cell r="O311" t="e">
            <v>#N/A</v>
          </cell>
          <cell r="Q311">
            <v>2376.393536</v>
          </cell>
          <cell r="R311" t="str">
            <v>Bid Awarded</v>
          </cell>
          <cell r="S311" t="str">
            <v>Bihar</v>
          </cell>
          <cell r="T311" t="str">
            <v>Central Sector</v>
          </cell>
        </row>
        <row r="312">
          <cell r="C312" t="str">
            <v>NABI NAGAR TPP2</v>
          </cell>
          <cell r="D312" t="str">
            <v xml:space="preserve"> 0-5 years</v>
          </cell>
          <cell r="E312">
            <v>3.0910335390000001</v>
          </cell>
          <cell r="F312">
            <v>250</v>
          </cell>
          <cell r="G312">
            <v>13.012626096663118</v>
          </cell>
          <cell r="I312">
            <v>0</v>
          </cell>
          <cell r="J312">
            <v>0.47957608247847333</v>
          </cell>
          <cell r="K312">
            <v>1835.4541900573076</v>
          </cell>
          <cell r="O312" t="e">
            <v>#N/A</v>
          </cell>
          <cell r="Q312">
            <v>2376.393536</v>
          </cell>
          <cell r="R312" t="str">
            <v>Bid Awarded</v>
          </cell>
          <cell r="S312" t="str">
            <v>Bihar</v>
          </cell>
          <cell r="T312" t="str">
            <v>Central Sector</v>
          </cell>
        </row>
        <row r="313">
          <cell r="C313" t="str">
            <v>NABI NAGAR TPP3</v>
          </cell>
          <cell r="D313" t="str">
            <v xml:space="preserve"> 0-5 years</v>
          </cell>
          <cell r="E313">
            <v>1.2539356610000001</v>
          </cell>
          <cell r="F313">
            <v>250</v>
          </cell>
          <cell r="G313">
            <v>13.012626096663118</v>
          </cell>
          <cell r="I313">
            <v>0</v>
          </cell>
          <cell r="J313">
            <v>0.71148727455957672</v>
          </cell>
          <cell r="K313">
            <v>2723.0346695228427</v>
          </cell>
          <cell r="O313" t="e">
            <v>#N/A</v>
          </cell>
          <cell r="Q313" t="e">
            <v>#N/A</v>
          </cell>
          <cell r="S313" t="str">
            <v>Bihar</v>
          </cell>
          <cell r="T313" t="str">
            <v>Central Sector</v>
          </cell>
        </row>
        <row r="314">
          <cell r="C314" t="str">
            <v>NABINAGAR STPP1</v>
          </cell>
          <cell r="D314" t="str">
            <v xml:space="preserve"> 0-5 years</v>
          </cell>
          <cell r="E314">
            <v>0.81040383299999996</v>
          </cell>
          <cell r="F314">
            <v>660</v>
          </cell>
          <cell r="G314">
            <v>12.510802479953957</v>
          </cell>
          <cell r="I314">
            <v>0</v>
          </cell>
          <cell r="J314">
            <v>0.39093724485305364</v>
          </cell>
          <cell r="K314">
            <v>3797.6700124625972</v>
          </cell>
          <cell r="O314" t="e">
            <v>#N/A</v>
          </cell>
          <cell r="Q314" t="e">
            <v>#N/A</v>
          </cell>
          <cell r="S314" t="str">
            <v>Bihar</v>
          </cell>
          <cell r="T314" t="str">
            <v>Central Sector</v>
          </cell>
        </row>
        <row r="315">
          <cell r="C315" t="str">
            <v>NASIK TPS3</v>
          </cell>
          <cell r="D315" t="str">
            <v xml:space="preserve"> 40-45 years</v>
          </cell>
          <cell r="E315">
            <v>41.092402460000002</v>
          </cell>
          <cell r="F315">
            <v>210</v>
          </cell>
          <cell r="G315">
            <v>16.654488400042133</v>
          </cell>
          <cell r="H315">
            <v>3261</v>
          </cell>
          <cell r="I315">
            <v>54.310286672537394</v>
          </cell>
          <cell r="J315">
            <v>0.43035244456411503</v>
          </cell>
          <cell r="K315">
            <v>1770.7446554632872</v>
          </cell>
          <cell r="M315" t="str">
            <v>Y</v>
          </cell>
          <cell r="N315">
            <v>11</v>
          </cell>
          <cell r="O315">
            <v>10.694947441704299</v>
          </cell>
          <cell r="P315">
            <v>2310</v>
          </cell>
          <cell r="R315" t="str">
            <v>Feasiblity Study Carried Out</v>
          </cell>
          <cell r="S315" t="str">
            <v>Maharashtra</v>
          </cell>
          <cell r="T315" t="str">
            <v>State Sector</v>
          </cell>
        </row>
        <row r="316">
          <cell r="C316" t="str">
            <v>NASIK TPS4</v>
          </cell>
          <cell r="D316" t="str">
            <v xml:space="preserve"> 35-40 years</v>
          </cell>
          <cell r="E316">
            <v>39.841204650000002</v>
          </cell>
          <cell r="F316">
            <v>210</v>
          </cell>
          <cell r="G316">
            <v>16.654488400042133</v>
          </cell>
          <cell r="H316">
            <v>3261</v>
          </cell>
          <cell r="I316">
            <v>54.310286672537394</v>
          </cell>
          <cell r="J316">
            <v>0.56347350742338886</v>
          </cell>
          <cell r="K316">
            <v>2318.4896806516654</v>
          </cell>
          <cell r="M316" t="str">
            <v>Y</v>
          </cell>
          <cell r="N316">
            <v>11</v>
          </cell>
          <cell r="O316">
            <v>10.694947441704299</v>
          </cell>
          <cell r="P316">
            <v>2310</v>
          </cell>
          <cell r="R316" t="str">
            <v>Feasiblity Study Carried Out</v>
          </cell>
          <cell r="S316" t="str">
            <v>Maharashtra</v>
          </cell>
          <cell r="T316" t="str">
            <v>State Sector</v>
          </cell>
        </row>
        <row r="317">
          <cell r="C317" t="str">
            <v>NASIK TPS5</v>
          </cell>
          <cell r="D317" t="str">
            <v xml:space="preserve"> 35-40 years</v>
          </cell>
          <cell r="E317">
            <v>39.337440110000003</v>
          </cell>
          <cell r="F317">
            <v>210</v>
          </cell>
          <cell r="G317">
            <v>16.654488400042133</v>
          </cell>
          <cell r="H317">
            <v>3261</v>
          </cell>
          <cell r="I317">
            <v>54.310286672537394</v>
          </cell>
          <cell r="J317">
            <v>0.35670371042313292</v>
          </cell>
          <cell r="K317">
            <v>1467.706752439708</v>
          </cell>
          <cell r="M317" t="str">
            <v>Y</v>
          </cell>
          <cell r="N317">
            <v>11</v>
          </cell>
          <cell r="O317">
            <v>10.694947441704299</v>
          </cell>
          <cell r="P317">
            <v>2310</v>
          </cell>
          <cell r="R317" t="str">
            <v>Feasiblity Study Carried Out</v>
          </cell>
          <cell r="S317" t="str">
            <v>Maharashtra</v>
          </cell>
          <cell r="T317" t="str">
            <v>State Sector</v>
          </cell>
        </row>
        <row r="318">
          <cell r="C318" t="str">
            <v>NAWAPARA TPP1</v>
          </cell>
          <cell r="D318" t="str">
            <v xml:space="preserve"> 0-5 years</v>
          </cell>
          <cell r="E318">
            <v>3.7563312799999999</v>
          </cell>
          <cell r="F318">
            <v>300</v>
          </cell>
          <cell r="G318">
            <v>16.062415005950214</v>
          </cell>
          <cell r="I318">
            <v>0</v>
          </cell>
          <cell r="J318">
            <v>0.57574403953393194</v>
          </cell>
          <cell r="K318">
            <v>3263.9434235986664</v>
          </cell>
          <cell r="O318" t="e">
            <v>#N/A</v>
          </cell>
          <cell r="Q318">
            <v>2517.85754</v>
          </cell>
          <cell r="S318" t="str">
            <v>Chhatisgarh</v>
          </cell>
          <cell r="T318" t="str">
            <v>Private Sector</v>
          </cell>
        </row>
        <row r="319">
          <cell r="C319" t="str">
            <v>NAWAPARA TPP2</v>
          </cell>
          <cell r="D319" t="str">
            <v xml:space="preserve"> 0-5 years</v>
          </cell>
          <cell r="E319">
            <v>3.0910335390000001</v>
          </cell>
          <cell r="F319">
            <v>300</v>
          </cell>
          <cell r="G319">
            <v>16.062415005950214</v>
          </cell>
          <cell r="I319">
            <v>0</v>
          </cell>
          <cell r="J319">
            <v>0.53894574944873053</v>
          </cell>
          <cell r="K319">
            <v>3055.330691766485</v>
          </cell>
          <cell r="O319" t="e">
            <v>#N/A</v>
          </cell>
          <cell r="Q319">
            <v>2517.85754</v>
          </cell>
          <cell r="R319" t="str">
            <v>Feasibility study completed</v>
          </cell>
          <cell r="S319" t="str">
            <v>Chhatisgarh</v>
          </cell>
          <cell r="T319" t="str">
            <v>Private Sector</v>
          </cell>
        </row>
        <row r="320">
          <cell r="C320" t="str">
            <v>NEYVELI (EXT) TPS1</v>
          </cell>
          <cell r="D320" t="str">
            <v xml:space="preserve"> 15-20 years</v>
          </cell>
          <cell r="E320">
            <v>17.59069131</v>
          </cell>
          <cell r="F320">
            <v>210</v>
          </cell>
          <cell r="G320">
            <v>14.16</v>
          </cell>
          <cell r="H320">
            <v>2621</v>
          </cell>
          <cell r="I320">
            <v>37.11336</v>
          </cell>
          <cell r="J320">
            <v>0.87756043072689871</v>
          </cell>
          <cell r="K320">
            <v>3070.0161138935368</v>
          </cell>
          <cell r="L320" t="str">
            <v>Y</v>
          </cell>
          <cell r="N320">
            <v>8.5</v>
          </cell>
          <cell r="O320" t="e">
            <v>#N/A</v>
          </cell>
          <cell r="P320">
            <v>1785</v>
          </cell>
          <cell r="Q320">
            <v>2838.3579840000002</v>
          </cell>
          <cell r="R320" t="str">
            <v>Retendering to be done</v>
          </cell>
          <cell r="S320" t="str">
            <v>Tamil Nadu</v>
          </cell>
          <cell r="T320" t="str">
            <v>Central Sector</v>
          </cell>
        </row>
        <row r="321">
          <cell r="C321" t="str">
            <v>NEYVELI (EXT) TPS2</v>
          </cell>
          <cell r="D321" t="str">
            <v xml:space="preserve"> 15-20 years</v>
          </cell>
          <cell r="E321">
            <v>16.843258039999998</v>
          </cell>
          <cell r="F321">
            <v>210</v>
          </cell>
          <cell r="G321">
            <v>14.16</v>
          </cell>
          <cell r="H321">
            <v>2621</v>
          </cell>
          <cell r="I321">
            <v>37.11336</v>
          </cell>
          <cell r="J321">
            <v>0.84047324309981752</v>
          </cell>
          <cell r="K321">
            <v>2940.2720419783736</v>
          </cell>
          <cell r="L321" t="str">
            <v>Y</v>
          </cell>
          <cell r="N321">
            <v>8.5</v>
          </cell>
          <cell r="O321" t="e">
            <v>#N/A</v>
          </cell>
          <cell r="P321">
            <v>1785</v>
          </cell>
          <cell r="Q321">
            <v>2838.3579840000002</v>
          </cell>
          <cell r="R321" t="str">
            <v>Retendering to be done</v>
          </cell>
          <cell r="S321" t="str">
            <v>Tamil Nadu</v>
          </cell>
          <cell r="T321" t="str">
            <v>Central Sector</v>
          </cell>
        </row>
        <row r="322">
          <cell r="C322" t="str">
            <v>NEYVELI NEW TPP1</v>
          </cell>
          <cell r="D322" t="str">
            <v xml:space="preserve"> 0-5 years</v>
          </cell>
          <cell r="E322">
            <v>0.35318275199999999</v>
          </cell>
          <cell r="F322">
            <v>500</v>
          </cell>
          <cell r="G322">
            <v>12</v>
          </cell>
          <cell r="I322">
            <v>0</v>
          </cell>
          <cell r="J322">
            <v>0.38280002471882335</v>
          </cell>
          <cell r="K322">
            <v>2702.1178215446357</v>
          </cell>
          <cell r="O322" t="e">
            <v>#N/A</v>
          </cell>
          <cell r="P322">
            <v>0</v>
          </cell>
          <cell r="Q322" t="e">
            <v>#N/A</v>
          </cell>
          <cell r="S322" t="str">
            <v>Tamil Nadu</v>
          </cell>
          <cell r="T322" t="str">
            <v>Central Sector</v>
          </cell>
        </row>
        <row r="323">
          <cell r="C323" t="str">
            <v>NEYVELI TPS (Z)1</v>
          </cell>
          <cell r="D323" t="str">
            <v xml:space="preserve"> 15-20 years</v>
          </cell>
          <cell r="E323">
            <v>17.59069131</v>
          </cell>
          <cell r="F323">
            <v>250</v>
          </cell>
          <cell r="G323">
            <v>11.48</v>
          </cell>
          <cell r="I323">
            <v>0</v>
          </cell>
          <cell r="J323">
            <v>0.57563503698995333</v>
          </cell>
          <cell r="K323">
            <v>1943.6147719543133</v>
          </cell>
          <cell r="O323" t="e">
            <v>#N/A</v>
          </cell>
          <cell r="Q323" t="e">
            <v>#N/A</v>
          </cell>
          <cell r="S323" t="str">
            <v>Tamil Nadu</v>
          </cell>
          <cell r="T323" t="str">
            <v>Private Sector</v>
          </cell>
        </row>
        <row r="324">
          <cell r="C324" t="str">
            <v>NEYVELI TPS- I1</v>
          </cell>
          <cell r="D324" t="str">
            <v xml:space="preserve"> 45+ years</v>
          </cell>
          <cell r="E324">
            <v>57.924709100000001</v>
          </cell>
          <cell r="F324">
            <v>50</v>
          </cell>
          <cell r="G324">
            <v>15.85</v>
          </cell>
          <cell r="I324">
            <v>0</v>
          </cell>
          <cell r="J324">
            <v>0.63620579785887832</v>
          </cell>
          <cell r="K324">
            <v>593.16834682724834</v>
          </cell>
          <cell r="L324" t="str">
            <v>Y</v>
          </cell>
          <cell r="O324" t="e">
            <v>#N/A</v>
          </cell>
          <cell r="P324">
            <v>0</v>
          </cell>
          <cell r="S324" t="str">
            <v>Tamil Nadu</v>
          </cell>
          <cell r="T324" t="str">
            <v>Central Sector</v>
          </cell>
        </row>
        <row r="325">
          <cell r="C325" t="str">
            <v>NEYVELI TPS- I2</v>
          </cell>
          <cell r="D325" t="str">
            <v xml:space="preserve"> 45+ years</v>
          </cell>
          <cell r="E325">
            <v>56.925393569999997</v>
          </cell>
          <cell r="F325">
            <v>50</v>
          </cell>
          <cell r="G325">
            <v>15.85</v>
          </cell>
          <cell r="I325">
            <v>0</v>
          </cell>
          <cell r="J325">
            <v>0.65867384761728165</v>
          </cell>
          <cell r="K325">
            <v>614.11649910199503</v>
          </cell>
          <cell r="L325" t="str">
            <v>Y</v>
          </cell>
          <cell r="O325" t="e">
            <v>#N/A</v>
          </cell>
          <cell r="P325">
            <v>0</v>
          </cell>
          <cell r="S325" t="str">
            <v>Tamil Nadu</v>
          </cell>
          <cell r="T325" t="str">
            <v>Central Sector</v>
          </cell>
        </row>
        <row r="326">
          <cell r="C326" t="str">
            <v>NEYVELI TPS- I3</v>
          </cell>
          <cell r="D326" t="str">
            <v xml:space="preserve"> 45+ years</v>
          </cell>
          <cell r="E326">
            <v>55.923340179999997</v>
          </cell>
          <cell r="F326">
            <v>50</v>
          </cell>
          <cell r="G326">
            <v>15.85</v>
          </cell>
          <cell r="I326">
            <v>0</v>
          </cell>
          <cell r="J326">
            <v>0.68239560808305499</v>
          </cell>
          <cell r="K326">
            <v>636.23355224214242</v>
          </cell>
          <cell r="L326" t="str">
            <v>Y</v>
          </cell>
          <cell r="O326" t="e">
            <v>#N/A</v>
          </cell>
          <cell r="P326">
            <v>0</v>
          </cell>
          <cell r="S326" t="str">
            <v>Tamil Nadu</v>
          </cell>
          <cell r="T326" t="str">
            <v>Central Sector</v>
          </cell>
        </row>
        <row r="327">
          <cell r="C327" t="str">
            <v>NEYVELI TPS- I4</v>
          </cell>
          <cell r="D327" t="str">
            <v xml:space="preserve"> 45+ years</v>
          </cell>
          <cell r="E327">
            <v>54.924024639999999</v>
          </cell>
          <cell r="F327">
            <v>50</v>
          </cell>
          <cell r="G327">
            <v>15.85</v>
          </cell>
          <cell r="I327">
            <v>0</v>
          </cell>
          <cell r="J327">
            <v>0.6892434807046034</v>
          </cell>
          <cell r="K327">
            <v>642.61818642164496</v>
          </cell>
          <cell r="L327" t="str">
            <v>Y</v>
          </cell>
          <cell r="O327" t="e">
            <v>#N/A</v>
          </cell>
          <cell r="P327">
            <v>0</v>
          </cell>
          <cell r="S327" t="str">
            <v>Tamil Nadu</v>
          </cell>
          <cell r="T327" t="str">
            <v>Central Sector</v>
          </cell>
        </row>
        <row r="328">
          <cell r="C328" t="str">
            <v>NEYVELI TPS- I5</v>
          </cell>
          <cell r="D328" t="str">
            <v xml:space="preserve"> 45+ years</v>
          </cell>
          <cell r="E328">
            <v>53.924709100000001</v>
          </cell>
          <cell r="F328">
            <v>50</v>
          </cell>
          <cell r="G328">
            <v>15.85</v>
          </cell>
          <cell r="I328">
            <v>0</v>
          </cell>
          <cell r="J328">
            <v>0.67326574166769659</v>
          </cell>
          <cell r="K328">
            <v>627.72129443723475</v>
          </cell>
          <cell r="L328" t="str">
            <v>Y</v>
          </cell>
          <cell r="O328" t="e">
            <v>#N/A</v>
          </cell>
          <cell r="P328">
            <v>0</v>
          </cell>
          <cell r="S328" t="str">
            <v>Tamil Nadu</v>
          </cell>
          <cell r="T328" t="str">
            <v>Central Sector</v>
          </cell>
        </row>
        <row r="329">
          <cell r="C329" t="str">
            <v>NEYVELI TPS- I6</v>
          </cell>
          <cell r="D329" t="str">
            <v xml:space="preserve"> 45+ years</v>
          </cell>
          <cell r="E329">
            <v>52.925393569999997</v>
          </cell>
          <cell r="F329">
            <v>50</v>
          </cell>
          <cell r="G329">
            <v>15.85</v>
          </cell>
          <cell r="I329">
            <v>0</v>
          </cell>
          <cell r="J329">
            <v>0.66490159111240588</v>
          </cell>
          <cell r="K329">
            <v>619.92295406656672</v>
          </cell>
          <cell r="L329" t="str">
            <v>Y</v>
          </cell>
          <cell r="O329" t="e">
            <v>#N/A</v>
          </cell>
          <cell r="P329">
            <v>0</v>
          </cell>
          <cell r="S329" t="str">
            <v>Tamil Nadu</v>
          </cell>
          <cell r="T329" t="str">
            <v>Central Sector</v>
          </cell>
        </row>
        <row r="330">
          <cell r="C330" t="str">
            <v>NEYVELI TPS- I7</v>
          </cell>
          <cell r="D330" t="str">
            <v xml:space="preserve"> 45+ years</v>
          </cell>
          <cell r="E330">
            <v>51.923340179999997</v>
          </cell>
          <cell r="F330">
            <v>100</v>
          </cell>
          <cell r="G330">
            <v>15.85</v>
          </cell>
          <cell r="I330">
            <v>0</v>
          </cell>
          <cell r="J330">
            <v>0.40773727814365546</v>
          </cell>
          <cell r="K330">
            <v>760.31010100905166</v>
          </cell>
          <cell r="L330" t="str">
            <v>Y</v>
          </cell>
          <cell r="O330" t="e">
            <v>#N/A</v>
          </cell>
          <cell r="P330">
            <v>0</v>
          </cell>
          <cell r="S330" t="str">
            <v>Tamil Nadu</v>
          </cell>
          <cell r="T330" t="str">
            <v>Central Sector</v>
          </cell>
        </row>
        <row r="331">
          <cell r="C331" t="str">
            <v>NEYVELI TPS- I8</v>
          </cell>
          <cell r="D331" t="str">
            <v xml:space="preserve"> 45+ years</v>
          </cell>
          <cell r="E331">
            <v>50.924024639999999</v>
          </cell>
          <cell r="F331">
            <v>100</v>
          </cell>
          <cell r="G331">
            <v>15.85</v>
          </cell>
          <cell r="I331">
            <v>0</v>
          </cell>
          <cell r="J331">
            <v>0.60692590996168327</v>
          </cell>
          <cell r="K331">
            <v>1131.7383144579621</v>
          </cell>
          <cell r="L331" t="str">
            <v>Y</v>
          </cell>
          <cell r="O331" t="e">
            <v>#N/A</v>
          </cell>
          <cell r="P331">
            <v>0</v>
          </cell>
          <cell r="S331" t="str">
            <v>Tamil Nadu</v>
          </cell>
          <cell r="T331" t="str">
            <v>Central Sector</v>
          </cell>
        </row>
        <row r="332">
          <cell r="C332" t="str">
            <v>NEYVELI TPS- I9</v>
          </cell>
          <cell r="D332" t="str">
            <v xml:space="preserve"> 45+ years</v>
          </cell>
          <cell r="E332">
            <v>49.924709100000001</v>
          </cell>
          <cell r="F332">
            <v>100</v>
          </cell>
          <cell r="G332">
            <v>15.85</v>
          </cell>
          <cell r="I332">
            <v>0</v>
          </cell>
          <cell r="J332">
            <v>0.54795281934365425</v>
          </cell>
          <cell r="K332">
            <v>1021.7708454819906</v>
          </cell>
          <cell r="L332" t="str">
            <v>Y</v>
          </cell>
          <cell r="O332" t="e">
            <v>#N/A</v>
          </cell>
          <cell r="P332">
            <v>0</v>
          </cell>
          <cell r="S332" t="str">
            <v>Tamil Nadu</v>
          </cell>
          <cell r="T332" t="str">
            <v>Central Sector</v>
          </cell>
        </row>
        <row r="333">
          <cell r="C333" t="str">
            <v>NEYVELI TPS-II EXP1</v>
          </cell>
          <cell r="D333" t="str">
            <v xml:space="preserve"> 5-10 years</v>
          </cell>
          <cell r="E333">
            <v>8.2546201230000005</v>
          </cell>
          <cell r="F333">
            <v>250</v>
          </cell>
          <cell r="G333">
            <v>13.17</v>
          </cell>
          <cell r="H333">
            <v>2640</v>
          </cell>
          <cell r="I333">
            <v>34.768800000000006</v>
          </cell>
          <cell r="J333">
            <v>0.4510281123647083</v>
          </cell>
          <cell r="K333">
            <v>1747.0706587774141</v>
          </cell>
          <cell r="N333">
            <v>10</v>
          </cell>
          <cell r="O333" t="e">
            <v>#N/A</v>
          </cell>
          <cell r="P333">
            <v>2500</v>
          </cell>
          <cell r="Q333">
            <v>2838.3579840000002</v>
          </cell>
          <cell r="S333" t="str">
            <v>Tamil Nadu</v>
          </cell>
          <cell r="T333" t="str">
            <v>Central Sector</v>
          </cell>
        </row>
        <row r="334">
          <cell r="C334" t="str">
            <v>NEYVELI TPS-II EXP2</v>
          </cell>
          <cell r="D334" t="str">
            <v xml:space="preserve"> 5-10 years</v>
          </cell>
          <cell r="E334">
            <v>5.3388090349999997</v>
          </cell>
          <cell r="F334">
            <v>250</v>
          </cell>
          <cell r="G334">
            <v>13.17</v>
          </cell>
          <cell r="H334">
            <v>2640</v>
          </cell>
          <cell r="I334">
            <v>34.768800000000006</v>
          </cell>
          <cell r="J334">
            <v>0.35435753804506004</v>
          </cell>
          <cell r="K334">
            <v>1372.6143458980705</v>
          </cell>
          <cell r="N334">
            <v>10</v>
          </cell>
          <cell r="O334" t="e">
            <v>#N/A</v>
          </cell>
          <cell r="P334">
            <v>2500</v>
          </cell>
          <cell r="Q334">
            <v>2838.3579840000002</v>
          </cell>
          <cell r="S334" t="str">
            <v>Tamil Nadu</v>
          </cell>
          <cell r="T334" t="str">
            <v>Central Sector</v>
          </cell>
        </row>
        <row r="335">
          <cell r="C335" t="str">
            <v>NEYVELI TPS-II1</v>
          </cell>
          <cell r="D335" t="str">
            <v xml:space="preserve"> 30-35 years</v>
          </cell>
          <cell r="E335">
            <v>32.339493500000003</v>
          </cell>
          <cell r="F335">
            <v>210</v>
          </cell>
          <cell r="G335">
            <v>13.37</v>
          </cell>
          <cell r="H335">
            <v>2624</v>
          </cell>
          <cell r="I335">
            <v>35.082879999999996</v>
          </cell>
          <cell r="J335">
            <v>0.80047875562163884</v>
          </cell>
          <cell r="K335">
            <v>2644.1225907751477</v>
          </cell>
          <cell r="L335" t="str">
            <v>Y</v>
          </cell>
          <cell r="N335">
            <v>10</v>
          </cell>
          <cell r="O335" t="e">
            <v>#N/A</v>
          </cell>
          <cell r="P335">
            <v>2100</v>
          </cell>
          <cell r="R335" t="str">
            <v>Retendering to be done</v>
          </cell>
          <cell r="S335" t="str">
            <v>Tamil Nadu</v>
          </cell>
          <cell r="T335" t="str">
            <v>Central Sector</v>
          </cell>
        </row>
        <row r="336">
          <cell r="C336" t="str">
            <v>NEYVELI TPS-II2</v>
          </cell>
          <cell r="D336" t="str">
            <v xml:space="preserve"> 30-35 years</v>
          </cell>
          <cell r="E336">
            <v>33.253935660000003</v>
          </cell>
          <cell r="F336">
            <v>210</v>
          </cell>
          <cell r="G336">
            <v>13.37</v>
          </cell>
          <cell r="H336">
            <v>2624</v>
          </cell>
          <cell r="I336">
            <v>35.082879999999996</v>
          </cell>
          <cell r="J336">
            <v>0.79994544577749405</v>
          </cell>
          <cell r="K336">
            <v>2642.3609742464355</v>
          </cell>
          <cell r="L336" t="str">
            <v>Y</v>
          </cell>
          <cell r="N336">
            <v>10</v>
          </cell>
          <cell r="O336" t="e">
            <v>#N/A</v>
          </cell>
          <cell r="P336">
            <v>2100</v>
          </cell>
          <cell r="R336" t="str">
            <v>Retendering to be done</v>
          </cell>
          <cell r="S336" t="str">
            <v>Tamil Nadu</v>
          </cell>
          <cell r="T336" t="str">
            <v>Central Sector</v>
          </cell>
        </row>
        <row r="337">
          <cell r="C337" t="str">
            <v>NEYVELI TPS-II3</v>
          </cell>
          <cell r="D337" t="str">
            <v xml:space="preserve"> 30-35 years</v>
          </cell>
          <cell r="E337">
            <v>33.17727584</v>
          </cell>
          <cell r="F337">
            <v>210</v>
          </cell>
          <cell r="G337">
            <v>13.37</v>
          </cell>
          <cell r="H337">
            <v>2624</v>
          </cell>
          <cell r="I337">
            <v>35.082879999999996</v>
          </cell>
          <cell r="J337">
            <v>0.74941244887729563</v>
          </cell>
          <cell r="K337">
            <v>2475.4415678973919</v>
          </cell>
          <cell r="L337" t="str">
            <v>Y</v>
          </cell>
          <cell r="N337">
            <v>10</v>
          </cell>
          <cell r="O337" t="e">
            <v>#N/A</v>
          </cell>
          <cell r="P337">
            <v>2100</v>
          </cell>
          <cell r="R337" t="str">
            <v>Retendering to be done</v>
          </cell>
          <cell r="S337" t="str">
            <v>Tamil Nadu</v>
          </cell>
          <cell r="T337" t="str">
            <v>Central Sector</v>
          </cell>
        </row>
        <row r="338">
          <cell r="C338" t="str">
            <v>NEYVELI TPS-II4</v>
          </cell>
          <cell r="D338" t="str">
            <v xml:space="preserve"> 25-30 years</v>
          </cell>
          <cell r="E338">
            <v>29.17727584</v>
          </cell>
          <cell r="F338">
            <v>210</v>
          </cell>
          <cell r="G338">
            <v>13.37</v>
          </cell>
          <cell r="H338">
            <v>2624</v>
          </cell>
          <cell r="I338">
            <v>35.082879999999996</v>
          </cell>
          <cell r="J338">
            <v>0.81431915302436897</v>
          </cell>
          <cell r="K338">
            <v>2689.839865819436</v>
          </cell>
          <cell r="L338" t="str">
            <v>Y</v>
          </cell>
          <cell r="N338">
            <v>10</v>
          </cell>
          <cell r="O338" t="e">
            <v>#N/A</v>
          </cell>
          <cell r="P338">
            <v>2100</v>
          </cell>
          <cell r="R338" t="str">
            <v>Retendering to be done</v>
          </cell>
          <cell r="S338" t="str">
            <v>Tamil Nadu</v>
          </cell>
          <cell r="T338" t="str">
            <v>Central Sector</v>
          </cell>
        </row>
        <row r="339">
          <cell r="C339" t="str">
            <v>NEYVELI TPS-II5</v>
          </cell>
          <cell r="D339" t="str">
            <v xml:space="preserve"> 25-30 years</v>
          </cell>
          <cell r="E339">
            <v>28.42436687</v>
          </cell>
          <cell r="F339">
            <v>210</v>
          </cell>
          <cell r="G339">
            <v>13.37</v>
          </cell>
          <cell r="H339">
            <v>2624</v>
          </cell>
          <cell r="I339">
            <v>35.082879999999996</v>
          </cell>
          <cell r="J339">
            <v>0.828396656617988</v>
          </cell>
          <cell r="K339">
            <v>2736.3403444544997</v>
          </cell>
          <cell r="L339" t="str">
            <v>Y</v>
          </cell>
          <cell r="N339">
            <v>10</v>
          </cell>
          <cell r="O339" t="e">
            <v>#N/A</v>
          </cell>
          <cell r="P339">
            <v>2100</v>
          </cell>
          <cell r="R339" t="str">
            <v>Retendering to be done</v>
          </cell>
          <cell r="S339" t="str">
            <v>Tamil Nadu</v>
          </cell>
          <cell r="T339" t="str">
            <v>Central Sector</v>
          </cell>
        </row>
        <row r="340">
          <cell r="C340" t="str">
            <v>NEYVELI TPS-II6</v>
          </cell>
          <cell r="D340" t="str">
            <v xml:space="preserve"> 25-30 years</v>
          </cell>
          <cell r="E340">
            <v>27.589322379999999</v>
          </cell>
          <cell r="F340">
            <v>210</v>
          </cell>
          <cell r="G340">
            <v>13.37</v>
          </cell>
          <cell r="H340">
            <v>2624</v>
          </cell>
          <cell r="I340">
            <v>35.082879999999996</v>
          </cell>
          <cell r="J340">
            <v>0.78928765621273411</v>
          </cell>
          <cell r="K340">
            <v>2607.1564145276398</v>
          </cell>
          <cell r="L340" t="str">
            <v>Y</v>
          </cell>
          <cell r="N340">
            <v>10</v>
          </cell>
          <cell r="O340" t="e">
            <v>#N/A</v>
          </cell>
          <cell r="P340">
            <v>2100</v>
          </cell>
          <cell r="R340" t="str">
            <v>Retendering to be done</v>
          </cell>
          <cell r="S340" t="str">
            <v>Tamil Nadu</v>
          </cell>
          <cell r="T340" t="str">
            <v>Central Sector</v>
          </cell>
        </row>
        <row r="341">
          <cell r="C341" t="str">
            <v>NEYVELI TPS-II7</v>
          </cell>
          <cell r="D341" t="str">
            <v xml:space="preserve"> 25-30 years</v>
          </cell>
          <cell r="E341">
            <v>26.924024639999999</v>
          </cell>
          <cell r="F341">
            <v>210</v>
          </cell>
          <cell r="G341">
            <v>13.37</v>
          </cell>
          <cell r="H341">
            <v>2624</v>
          </cell>
          <cell r="I341">
            <v>35.082879999999996</v>
          </cell>
          <cell r="J341">
            <v>0.81208215961311303</v>
          </cell>
          <cell r="K341">
            <v>2682.4506818185146</v>
          </cell>
          <cell r="L341" t="str">
            <v>Y</v>
          </cell>
          <cell r="N341">
            <v>10</v>
          </cell>
          <cell r="O341" t="e">
            <v>#N/A</v>
          </cell>
          <cell r="P341">
            <v>2100</v>
          </cell>
          <cell r="R341" t="str">
            <v>Retendering to be done</v>
          </cell>
          <cell r="S341" t="str">
            <v>Tamil Nadu</v>
          </cell>
          <cell r="T341" t="str">
            <v>Central Sector</v>
          </cell>
        </row>
        <row r="342">
          <cell r="C342" t="str">
            <v>NIGRI TPP1</v>
          </cell>
          <cell r="D342" t="str">
            <v xml:space="preserve"> 5-10 years</v>
          </cell>
          <cell r="E342">
            <v>5.7577002049999999</v>
          </cell>
          <cell r="F342">
            <v>660</v>
          </cell>
          <cell r="G342">
            <v>11.712575254723165</v>
          </cell>
          <cell r="H342">
            <v>3664</v>
          </cell>
          <cell r="I342">
            <v>42.914875733305678</v>
          </cell>
          <cell r="J342">
            <v>0.5934841518332582</v>
          </cell>
          <cell r="K342">
            <v>5397.4239317053016</v>
          </cell>
          <cell r="N342">
            <v>5.25</v>
          </cell>
          <cell r="O342" t="e">
            <v>#N/A</v>
          </cell>
          <cell r="P342">
            <v>3465</v>
          </cell>
          <cell r="Q342">
            <v>2517.85754</v>
          </cell>
          <cell r="R342" t="str">
            <v>NIT ISSUED</v>
          </cell>
          <cell r="S342" t="str">
            <v>Madhya Pradesh</v>
          </cell>
          <cell r="T342" t="str">
            <v>Private Sector</v>
          </cell>
        </row>
        <row r="343">
          <cell r="C343" t="str">
            <v>NIGRI TPP2</v>
          </cell>
          <cell r="D343" t="str">
            <v xml:space="preserve"> 5-10 years</v>
          </cell>
          <cell r="E343">
            <v>5.2539356609999999</v>
          </cell>
          <cell r="F343">
            <v>660</v>
          </cell>
          <cell r="G343">
            <v>11.712575254723165</v>
          </cell>
          <cell r="H343">
            <v>3664</v>
          </cell>
          <cell r="I343">
            <v>42.914875733305678</v>
          </cell>
          <cell r="J343">
            <v>0.59550640603065652</v>
          </cell>
          <cell r="K343">
            <v>5415.8152622358866</v>
          </cell>
          <cell r="N343">
            <v>5.25</v>
          </cell>
          <cell r="O343" t="e">
            <v>#N/A</v>
          </cell>
          <cell r="P343">
            <v>3465</v>
          </cell>
          <cell r="Q343">
            <v>2517.85754</v>
          </cell>
          <cell r="R343" t="str">
            <v>NIT ISSUED</v>
          </cell>
          <cell r="S343" t="str">
            <v>Madhya Pradesh</v>
          </cell>
          <cell r="T343" t="str">
            <v>Private Sector</v>
          </cell>
        </row>
        <row r="344">
          <cell r="C344" t="str">
            <v>NIWARI TPP1</v>
          </cell>
          <cell r="D344" t="str">
            <v xml:space="preserve"> 5-10 years</v>
          </cell>
          <cell r="E344">
            <v>6.4229979469999998</v>
          </cell>
          <cell r="F344">
            <v>45</v>
          </cell>
          <cell r="G344">
            <v>13.98</v>
          </cell>
          <cell r="H344">
            <v>4396</v>
          </cell>
          <cell r="I344">
            <v>61.45608</v>
          </cell>
          <cell r="J344">
            <v>0.34695512619098523</v>
          </cell>
          <cell r="K344">
            <v>256.78761163146919</v>
          </cell>
          <cell r="N344">
            <v>10.5</v>
          </cell>
          <cell r="O344" t="e">
            <v>#N/A</v>
          </cell>
          <cell r="P344">
            <v>472.5</v>
          </cell>
          <cell r="Q344">
            <v>3237.0292679999998</v>
          </cell>
          <cell r="S344" t="str">
            <v>Madhya Pradesh</v>
          </cell>
          <cell r="T344" t="str">
            <v>Private Sector</v>
          </cell>
        </row>
        <row r="345">
          <cell r="C345" t="str">
            <v>NIWARI TPP2</v>
          </cell>
          <cell r="D345" t="str">
            <v xml:space="preserve"> 0-5 years</v>
          </cell>
          <cell r="E345">
            <v>0.84325804199999999</v>
          </cell>
          <cell r="F345">
            <v>45</v>
          </cell>
          <cell r="G345">
            <v>13.98</v>
          </cell>
          <cell r="I345">
            <v>0</v>
          </cell>
          <cell r="J345">
            <v>6.7577658303464728E-3</v>
          </cell>
          <cell r="K345">
            <v>5.001541745730548</v>
          </cell>
          <cell r="O345" t="e">
            <v>#N/A</v>
          </cell>
          <cell r="P345">
            <v>0</v>
          </cell>
          <cell r="Q345" t="e">
            <v>#N/A</v>
          </cell>
          <cell r="S345" t="str">
            <v>Madhya Pradesh</v>
          </cell>
          <cell r="T345" t="str">
            <v>Private Sector</v>
          </cell>
        </row>
        <row r="346">
          <cell r="C346" t="str">
            <v>NORTH CHENNAI TPS1</v>
          </cell>
          <cell r="D346" t="str">
            <v xml:space="preserve"> 25-30 years</v>
          </cell>
          <cell r="E346">
            <v>26</v>
          </cell>
          <cell r="F346">
            <v>210</v>
          </cell>
          <cell r="G346">
            <v>14.896962898893085</v>
          </cell>
          <cell r="H346">
            <v>4113</v>
          </cell>
          <cell r="I346">
            <v>61.271208403147256</v>
          </cell>
          <cell r="J346">
            <v>0.63713373751104163</v>
          </cell>
          <cell r="K346">
            <v>2344.9236545416061</v>
          </cell>
          <cell r="L346" t="str">
            <v>Y</v>
          </cell>
          <cell r="N346">
            <v>8.5</v>
          </cell>
          <cell r="O346">
            <v>8.8321958009020793</v>
          </cell>
          <cell r="P346">
            <v>1785</v>
          </cell>
          <cell r="R346" t="str">
            <v>Feasibility study completed</v>
          </cell>
          <cell r="S346" t="str">
            <v>Tamil Nadu</v>
          </cell>
          <cell r="T346" t="str">
            <v>State Sector</v>
          </cell>
        </row>
        <row r="347">
          <cell r="C347" t="str">
            <v>NORTH CHENNAI TPS2</v>
          </cell>
          <cell r="D347" t="str">
            <v xml:space="preserve"> 25-30 years</v>
          </cell>
          <cell r="E347">
            <v>25</v>
          </cell>
          <cell r="F347">
            <v>210</v>
          </cell>
          <cell r="G347">
            <v>14.896962898893085</v>
          </cell>
          <cell r="H347">
            <v>4113</v>
          </cell>
          <cell r="I347">
            <v>61.271208403147256</v>
          </cell>
          <cell r="J347">
            <v>0.7224147266024622</v>
          </cell>
          <cell r="K347">
            <v>2658.7940350120975</v>
          </cell>
          <cell r="L347" t="str">
            <v>Y</v>
          </cell>
          <cell r="N347">
            <v>8.5</v>
          </cell>
          <cell r="O347">
            <v>8.8321958009020793</v>
          </cell>
          <cell r="P347">
            <v>1785</v>
          </cell>
          <cell r="Q347">
            <v>2426.1680830345595</v>
          </cell>
          <cell r="R347" t="str">
            <v>Feasibility study completed</v>
          </cell>
          <cell r="S347" t="str">
            <v>Tamil Nadu</v>
          </cell>
          <cell r="T347" t="str">
            <v>State Sector</v>
          </cell>
        </row>
        <row r="348">
          <cell r="C348" t="str">
            <v>NORTH CHENNAI TPS3</v>
          </cell>
          <cell r="D348" t="str">
            <v xml:space="preserve"> 20-25 years</v>
          </cell>
          <cell r="E348">
            <v>24.254620119999998</v>
          </cell>
          <cell r="F348">
            <v>210</v>
          </cell>
          <cell r="G348">
            <v>14.896962898893085</v>
          </cell>
          <cell r="H348">
            <v>4113</v>
          </cell>
          <cell r="I348">
            <v>61.271208403147256</v>
          </cell>
          <cell r="J348">
            <v>0.71672856305877775</v>
          </cell>
          <cell r="K348">
            <v>2637.866530138057</v>
          </cell>
          <cell r="L348" t="str">
            <v>Y</v>
          </cell>
          <cell r="N348">
            <v>8.5</v>
          </cell>
          <cell r="O348">
            <v>8.8321958009020793</v>
          </cell>
          <cell r="P348">
            <v>1785</v>
          </cell>
          <cell r="Q348">
            <v>2426.1680830345595</v>
          </cell>
          <cell r="R348" t="str">
            <v>Feasibility study completed</v>
          </cell>
          <cell r="S348" t="str">
            <v>Tamil Nadu</v>
          </cell>
          <cell r="T348" t="str">
            <v>State Sector</v>
          </cell>
        </row>
        <row r="349">
          <cell r="C349" t="str">
            <v>NORTH CHENNAI TPS4</v>
          </cell>
          <cell r="D349" t="str">
            <v xml:space="preserve"> 5-10 years</v>
          </cell>
          <cell r="E349">
            <v>6.6009582480000004</v>
          </cell>
          <cell r="F349">
            <v>600</v>
          </cell>
          <cell r="G349">
            <v>13.26</v>
          </cell>
          <cell r="I349">
            <v>0</v>
          </cell>
          <cell r="J349">
            <v>0.576578809992218</v>
          </cell>
          <cell r="K349">
            <v>5396.7776615271605</v>
          </cell>
          <cell r="O349" t="e">
            <v>#N/A</v>
          </cell>
          <cell r="P349">
            <v>0</v>
          </cell>
          <cell r="Q349" t="e">
            <v>#N/A</v>
          </cell>
          <cell r="R349" t="str">
            <v>Requested for FGD implementation</v>
          </cell>
          <cell r="S349" t="str">
            <v>Tamil Nadu</v>
          </cell>
          <cell r="T349" t="str">
            <v>State Sector</v>
          </cell>
        </row>
        <row r="350">
          <cell r="C350" t="str">
            <v>NORTH CHENNAI TPS5</v>
          </cell>
          <cell r="D350" t="str">
            <v xml:space="preserve"> 5-10 years</v>
          </cell>
          <cell r="E350">
            <v>7.1348391510000004</v>
          </cell>
          <cell r="F350">
            <v>600</v>
          </cell>
          <cell r="G350">
            <v>13.26</v>
          </cell>
          <cell r="I350">
            <v>0</v>
          </cell>
          <cell r="J350">
            <v>0.56822519967561458</v>
          </cell>
          <cell r="K350">
            <v>5318.587868963753</v>
          </cell>
          <cell r="O350" t="e">
            <v>#N/A</v>
          </cell>
          <cell r="P350">
            <v>0</v>
          </cell>
          <cell r="Q350" t="e">
            <v>#N/A</v>
          </cell>
          <cell r="R350" t="str">
            <v>Requested for FGD implementation</v>
          </cell>
          <cell r="S350" t="str">
            <v>Tamil Nadu</v>
          </cell>
          <cell r="T350" t="str">
            <v>State Sector</v>
          </cell>
        </row>
        <row r="351">
          <cell r="C351" t="str">
            <v>NTPL TUTICORIN (JV) TPP1</v>
          </cell>
          <cell r="D351" t="str">
            <v xml:space="preserve"> 5-10 years</v>
          </cell>
          <cell r="E351">
            <v>5.1772758379999999</v>
          </cell>
          <cell r="F351">
            <v>500</v>
          </cell>
          <cell r="G351">
            <v>12.916746868130126</v>
          </cell>
          <cell r="I351">
            <v>0</v>
          </cell>
          <cell r="J351">
            <v>0.68357893996116748</v>
          </cell>
          <cell r="K351">
            <v>5193.8918422724237</v>
          </cell>
          <cell r="O351" t="e">
            <v>#N/A</v>
          </cell>
          <cell r="P351">
            <v>0</v>
          </cell>
          <cell r="Q351" t="e">
            <v>#N/A</v>
          </cell>
          <cell r="R351" t="str">
            <v>Bid opened</v>
          </cell>
          <cell r="S351" t="str">
            <v>Tamil Nadu</v>
          </cell>
          <cell r="T351" t="str">
            <v>Central Sector</v>
          </cell>
        </row>
        <row r="352">
          <cell r="C352" t="str">
            <v>NTPL TUTICORIN (JV) TPP2</v>
          </cell>
          <cell r="D352" t="str">
            <v xml:space="preserve"> 0-5 years</v>
          </cell>
          <cell r="E352">
            <v>4.8432580420000004</v>
          </cell>
          <cell r="F352">
            <v>500</v>
          </cell>
          <cell r="G352">
            <v>12.916746868130126</v>
          </cell>
          <cell r="I352">
            <v>0</v>
          </cell>
          <cell r="J352">
            <v>0.47051765251485494</v>
          </cell>
          <cell r="K352">
            <v>3575.0337732477597</v>
          </cell>
          <cell r="O352" t="e">
            <v>#N/A</v>
          </cell>
          <cell r="P352">
            <v>0</v>
          </cell>
          <cell r="Q352" t="e">
            <v>#N/A</v>
          </cell>
          <cell r="R352" t="str">
            <v>Bid opened</v>
          </cell>
          <cell r="S352" t="str">
            <v>Tamil Nadu</v>
          </cell>
          <cell r="T352" t="str">
            <v>Central Sector</v>
          </cell>
        </row>
        <row r="353">
          <cell r="C353" t="str">
            <v>OBRA TPS1</v>
          </cell>
          <cell r="D353" t="str">
            <v xml:space="preserve"> 45+ years</v>
          </cell>
          <cell r="E353">
            <v>52.758384669999998</v>
          </cell>
          <cell r="F353">
            <v>50</v>
          </cell>
          <cell r="G353">
            <v>14.67584658947858</v>
          </cell>
          <cell r="H353">
            <v>3940</v>
          </cell>
          <cell r="I353">
            <v>57.822835562545599</v>
          </cell>
          <cell r="J353">
            <v>1.278399378399375</v>
          </cell>
          <cell r="K353">
            <v>1103.6231269102354</v>
          </cell>
          <cell r="L353" t="str">
            <v>Y</v>
          </cell>
          <cell r="N353">
            <v>10</v>
          </cell>
          <cell r="O353" t="e">
            <v>#N/A</v>
          </cell>
          <cell r="P353">
            <v>500</v>
          </cell>
          <cell r="S353" t="str">
            <v>Uttar Pradesh</v>
          </cell>
          <cell r="T353" t="str">
            <v>State Sector</v>
          </cell>
        </row>
        <row r="354">
          <cell r="C354" t="str">
            <v>OBRA TPS10</v>
          </cell>
          <cell r="D354" t="str">
            <v xml:space="preserve"> 40-45 years</v>
          </cell>
          <cell r="E354">
            <v>41.33880903</v>
          </cell>
          <cell r="F354">
            <v>200</v>
          </cell>
          <cell r="G354">
            <v>14.67584658947858</v>
          </cell>
          <cell r="H354">
            <v>3940</v>
          </cell>
          <cell r="I354">
            <v>57.822835562545599</v>
          </cell>
          <cell r="J354">
            <v>0.62579541726992294</v>
          </cell>
          <cell r="K354">
            <v>2160.9594212357938</v>
          </cell>
          <cell r="M354" t="str">
            <v>Y</v>
          </cell>
          <cell r="N354">
            <v>10</v>
          </cell>
          <cell r="O354" t="e">
            <v>#N/A</v>
          </cell>
          <cell r="P354">
            <v>2000</v>
          </cell>
          <cell r="R354" t="str">
            <v>Feasibility study completed</v>
          </cell>
          <cell r="S354" t="str">
            <v>Uttar Pradesh</v>
          </cell>
          <cell r="T354" t="str">
            <v>State Sector</v>
          </cell>
        </row>
        <row r="355">
          <cell r="C355" t="str">
            <v>OBRA TPS11</v>
          </cell>
          <cell r="D355" t="str">
            <v xml:space="preserve"> 40-45 years</v>
          </cell>
          <cell r="E355">
            <v>42.422997950000003</v>
          </cell>
          <cell r="F355">
            <v>200</v>
          </cell>
          <cell r="G355">
            <v>14.67584658947858</v>
          </cell>
          <cell r="H355">
            <v>3940</v>
          </cell>
          <cell r="I355">
            <v>57.822835562545599</v>
          </cell>
          <cell r="J355">
            <v>0.7182351797779416</v>
          </cell>
          <cell r="K355">
            <v>2480.1668973147384</v>
          </cell>
          <cell r="M355" t="str">
            <v>Y</v>
          </cell>
          <cell r="N355">
            <v>10</v>
          </cell>
          <cell r="O355" t="e">
            <v>#N/A</v>
          </cell>
          <cell r="P355">
            <v>2000</v>
          </cell>
          <cell r="R355" t="str">
            <v>Feasibility study completed</v>
          </cell>
          <cell r="S355" t="str">
            <v>Uttar Pradesh</v>
          </cell>
          <cell r="T355" t="str">
            <v>State Sector</v>
          </cell>
        </row>
        <row r="356">
          <cell r="C356" t="str">
            <v>OBRA TPS12</v>
          </cell>
          <cell r="D356" t="str">
            <v xml:space="preserve"> 35-40 years</v>
          </cell>
          <cell r="E356">
            <v>39.175906910000002</v>
          </cell>
          <cell r="F356">
            <v>200</v>
          </cell>
          <cell r="G356">
            <v>14.67584658947858</v>
          </cell>
          <cell r="H356">
            <v>3940</v>
          </cell>
          <cell r="I356">
            <v>57.822835562545599</v>
          </cell>
          <cell r="J356">
            <v>8.8074583899806248E-3</v>
          </cell>
          <cell r="K356">
            <v>30.413390158722745</v>
          </cell>
          <cell r="M356" t="str">
            <v>Y</v>
          </cell>
          <cell r="N356">
            <v>10</v>
          </cell>
          <cell r="O356" t="e">
            <v>#N/A</v>
          </cell>
          <cell r="P356">
            <v>2000</v>
          </cell>
          <cell r="R356" t="str">
            <v>Feasibility study completed</v>
          </cell>
          <cell r="S356" t="str">
            <v>Uttar Pradesh</v>
          </cell>
          <cell r="T356" t="str">
            <v>State Sector</v>
          </cell>
        </row>
        <row r="357">
          <cell r="C357" t="str">
            <v>OBRA TPS13</v>
          </cell>
          <cell r="D357" t="str">
            <v xml:space="preserve"> 35-40 years</v>
          </cell>
          <cell r="E357">
            <v>37.84257358</v>
          </cell>
          <cell r="F357">
            <v>200</v>
          </cell>
          <cell r="G357">
            <v>14.67584658947858</v>
          </cell>
          <cell r="H357">
            <v>3940</v>
          </cell>
          <cell r="I357">
            <v>57.822835562545599</v>
          </cell>
          <cell r="J357">
            <v>8.1806233606613543E-2</v>
          </cell>
          <cell r="K357">
            <v>282.48840811146056</v>
          </cell>
          <cell r="M357" t="str">
            <v>Y</v>
          </cell>
          <cell r="N357">
            <v>10</v>
          </cell>
          <cell r="O357" t="e">
            <v>#N/A</v>
          </cell>
          <cell r="P357">
            <v>2000</v>
          </cell>
          <cell r="R357" t="str">
            <v>Feasibility study completed</v>
          </cell>
          <cell r="S357" t="str">
            <v>Uttar Pradesh</v>
          </cell>
          <cell r="T357" t="str">
            <v>State Sector</v>
          </cell>
        </row>
        <row r="358">
          <cell r="C358" t="str">
            <v>OBRA TPS9</v>
          </cell>
          <cell r="D358" t="str">
            <v xml:space="preserve"> 35-40 years</v>
          </cell>
          <cell r="E358">
            <v>39.589322379999999</v>
          </cell>
          <cell r="F358">
            <v>200</v>
          </cell>
          <cell r="G358">
            <v>14.67584658947858</v>
          </cell>
          <cell r="H358">
            <v>3940</v>
          </cell>
          <cell r="I358">
            <v>57.822835562545599</v>
          </cell>
          <cell r="J358">
            <v>0.66395480271360219</v>
          </cell>
          <cell r="K358">
            <v>2292.7291357581985</v>
          </cell>
          <cell r="M358" t="str">
            <v>Y</v>
          </cell>
          <cell r="N358">
            <v>10</v>
          </cell>
          <cell r="O358" t="e">
            <v>#N/A</v>
          </cell>
          <cell r="P358">
            <v>2000</v>
          </cell>
          <cell r="R358" t="str">
            <v>Feasibility study completed</v>
          </cell>
          <cell r="S358" t="str">
            <v>Uttar Pradesh</v>
          </cell>
          <cell r="T358" t="str">
            <v>State Sector</v>
          </cell>
        </row>
        <row r="359">
          <cell r="C359" t="str">
            <v>OP JINDAL TPS1</v>
          </cell>
          <cell r="D359" t="str">
            <v xml:space="preserve"> 10-15 years</v>
          </cell>
          <cell r="E359">
            <v>12.67351129</v>
          </cell>
          <cell r="F359">
            <v>250</v>
          </cell>
          <cell r="G359">
            <v>15.504771959330938</v>
          </cell>
          <cell r="I359">
            <v>0</v>
          </cell>
          <cell r="J359">
            <v>0.20757181344939338</v>
          </cell>
          <cell r="K359">
            <v>946.57459785812546</v>
          </cell>
          <cell r="O359" t="e">
            <v>#N/A</v>
          </cell>
          <cell r="Q359">
            <v>2517.85754</v>
          </cell>
          <cell r="S359" t="str">
            <v>Chhatisgarh</v>
          </cell>
          <cell r="T359" t="str">
            <v>Private Sector</v>
          </cell>
        </row>
        <row r="360">
          <cell r="C360" t="str">
            <v>OP JINDAL TPS2</v>
          </cell>
          <cell r="D360" t="str">
            <v xml:space="preserve"> 10-15 years</v>
          </cell>
          <cell r="E360">
            <v>12.25462012</v>
          </cell>
          <cell r="F360">
            <v>250</v>
          </cell>
          <cell r="G360">
            <v>15.504771959330938</v>
          </cell>
          <cell r="I360">
            <v>0</v>
          </cell>
          <cell r="J360">
            <v>0.1226949504446445</v>
          </cell>
          <cell r="K360">
            <v>559.51683153106558</v>
          </cell>
          <cell r="O360" t="e">
            <v>#N/A</v>
          </cell>
          <cell r="Q360">
            <v>2517.85754</v>
          </cell>
          <cell r="S360" t="str">
            <v>Chhatisgarh</v>
          </cell>
          <cell r="T360" t="str">
            <v>Private Sector</v>
          </cell>
        </row>
        <row r="361">
          <cell r="C361" t="str">
            <v>OP JINDAL TPS21</v>
          </cell>
          <cell r="D361" t="str">
            <v xml:space="preserve"> 5-10 years</v>
          </cell>
          <cell r="E361">
            <v>6.1765913760000002</v>
          </cell>
          <cell r="F361">
            <v>600</v>
          </cell>
          <cell r="G361">
            <v>15.682284357515757</v>
          </cell>
          <cell r="I361">
            <v>0</v>
          </cell>
          <cell r="J361">
            <v>0.12625300922484792</v>
          </cell>
          <cell r="K361">
            <v>1397.601594110206</v>
          </cell>
          <cell r="O361" t="e">
            <v>#N/A</v>
          </cell>
          <cell r="Q361" t="e">
            <v>#N/A</v>
          </cell>
          <cell r="S361" t="str">
            <v>Chhatisgarh</v>
          </cell>
          <cell r="T361" t="str">
            <v>Private Sector</v>
          </cell>
        </row>
        <row r="362">
          <cell r="C362" t="str">
            <v>OP JINDAL TPS22</v>
          </cell>
          <cell r="D362" t="str">
            <v xml:space="preserve"> 5-10 years</v>
          </cell>
          <cell r="E362">
            <v>6.1765913760000002</v>
          </cell>
          <cell r="F362">
            <v>600</v>
          </cell>
          <cell r="G362">
            <v>15.682284357515757</v>
          </cell>
          <cell r="I362">
            <v>0</v>
          </cell>
          <cell r="J362">
            <v>0.53434674940590277</v>
          </cell>
          <cell r="K362">
            <v>5915.1371786100572</v>
          </cell>
          <cell r="O362" t="e">
            <v>#N/A</v>
          </cell>
          <cell r="Q362" t="e">
            <v>#N/A</v>
          </cell>
          <cell r="S362" t="str">
            <v>Chhatisgarh</v>
          </cell>
          <cell r="T362" t="str">
            <v>Private Sector</v>
          </cell>
        </row>
        <row r="363">
          <cell r="C363" t="str">
            <v>OP JINDAL TPS23</v>
          </cell>
          <cell r="D363" t="str">
            <v xml:space="preserve"> 5-10 years</v>
          </cell>
          <cell r="E363">
            <v>5.3388090349999997</v>
          </cell>
          <cell r="F363">
            <v>600</v>
          </cell>
          <cell r="G363">
            <v>15.682284357515757</v>
          </cell>
          <cell r="I363">
            <v>0</v>
          </cell>
          <cell r="J363">
            <v>0.47152263993616322</v>
          </cell>
          <cell r="K363">
            <v>5219.6838497544195</v>
          </cell>
          <cell r="O363" t="e">
            <v>#N/A</v>
          </cell>
          <cell r="Q363" t="e">
            <v>#N/A</v>
          </cell>
          <cell r="S363" t="str">
            <v>Chhatisgarh</v>
          </cell>
          <cell r="T363" t="str">
            <v>Private Sector</v>
          </cell>
        </row>
        <row r="364">
          <cell r="C364" t="str">
            <v>OP JINDAL TPS24</v>
          </cell>
          <cell r="D364" t="str">
            <v xml:space="preserve"> 5-10 years</v>
          </cell>
          <cell r="E364">
            <v>5.1772758379999999</v>
          </cell>
          <cell r="F364">
            <v>600</v>
          </cell>
          <cell r="G364">
            <v>15.682284357515757</v>
          </cell>
          <cell r="I364">
            <v>0</v>
          </cell>
          <cell r="J364">
            <v>0.22188951732510417</v>
          </cell>
          <cell r="K364">
            <v>2456.2831811606134</v>
          </cell>
          <cell r="O364" t="e">
            <v>#N/A</v>
          </cell>
          <cell r="Q364" t="e">
            <v>#N/A</v>
          </cell>
          <cell r="S364" t="str">
            <v>Chhatisgarh</v>
          </cell>
          <cell r="T364" t="str">
            <v>Private Sector</v>
          </cell>
        </row>
        <row r="365">
          <cell r="C365" t="str">
            <v>OP JINDAL TPS3</v>
          </cell>
          <cell r="D365" t="str">
            <v xml:space="preserve"> 10-15 years</v>
          </cell>
          <cell r="E365">
            <v>12.17522245</v>
          </cell>
          <cell r="F365">
            <v>250</v>
          </cell>
          <cell r="G365">
            <v>15.504771959330938</v>
          </cell>
          <cell r="I365">
            <v>0</v>
          </cell>
          <cell r="J365">
            <v>0.50291250487019667</v>
          </cell>
          <cell r="K365">
            <v>2293.3952069142088</v>
          </cell>
          <cell r="O365" t="e">
            <v>#N/A</v>
          </cell>
          <cell r="Q365">
            <v>2517.85754</v>
          </cell>
          <cell r="S365" t="str">
            <v>Chhatisgarh</v>
          </cell>
          <cell r="T365" t="str">
            <v>Private Sector</v>
          </cell>
        </row>
        <row r="366">
          <cell r="C366" t="str">
            <v>OP JINDAL TPS4</v>
          </cell>
          <cell r="D366" t="str">
            <v xml:space="preserve"> 10-15 years</v>
          </cell>
          <cell r="E366">
            <v>11.92334018</v>
          </cell>
          <cell r="F366">
            <v>250</v>
          </cell>
          <cell r="G366">
            <v>15.504771959330938</v>
          </cell>
          <cell r="I366">
            <v>0</v>
          </cell>
          <cell r="J366">
            <v>0.46317908708088329</v>
          </cell>
          <cell r="K366">
            <v>2112.2018004471124</v>
          </cell>
          <cell r="O366" t="e">
            <v>#N/A</v>
          </cell>
          <cell r="Q366">
            <v>2517.85754</v>
          </cell>
          <cell r="S366" t="str">
            <v>Chhatisgarh</v>
          </cell>
          <cell r="T366" t="str">
            <v>Private Sector</v>
          </cell>
        </row>
        <row r="367">
          <cell r="C367" t="str">
            <v>PAINAMPURAM TPP1</v>
          </cell>
          <cell r="D367" t="str">
            <v xml:space="preserve"> 5-10 years</v>
          </cell>
          <cell r="E367">
            <v>5.2539356609999999</v>
          </cell>
          <cell r="F367">
            <v>660</v>
          </cell>
          <cell r="G367">
            <v>11.678691557498567</v>
          </cell>
          <cell r="I367">
            <v>0</v>
          </cell>
          <cell r="J367">
            <v>0.71045289710269566</v>
          </cell>
          <cell r="K367">
            <v>6442.5009010821286</v>
          </cell>
          <cell r="O367" t="e">
            <v>#N/A</v>
          </cell>
          <cell r="Q367">
            <v>2395.5381072359351</v>
          </cell>
          <cell r="R367" t="str">
            <v>Pilot plant trial under progress</v>
          </cell>
          <cell r="S367" t="str">
            <v>Andhra Pradesh</v>
          </cell>
          <cell r="T367" t="str">
            <v>Private Sector</v>
          </cell>
        </row>
        <row r="368">
          <cell r="C368" t="str">
            <v>PAINAMPURAM TPP2</v>
          </cell>
          <cell r="D368" t="str">
            <v xml:space="preserve"> 0-5 years</v>
          </cell>
          <cell r="E368">
            <v>4.6735112939999999</v>
          </cell>
          <cell r="F368">
            <v>660</v>
          </cell>
          <cell r="G368">
            <v>11.678691557498567</v>
          </cell>
          <cell r="I368">
            <v>0</v>
          </cell>
          <cell r="J368">
            <v>0.85934108065519565</v>
          </cell>
          <cell r="K368">
            <v>7792.6428466062225</v>
          </cell>
          <cell r="O368" t="e">
            <v>#N/A</v>
          </cell>
          <cell r="Q368">
            <v>2395.5381072359351</v>
          </cell>
          <cell r="R368" t="str">
            <v>Pilot plant trial under progress</v>
          </cell>
          <cell r="S368" t="str">
            <v>Andhra Pradesh</v>
          </cell>
          <cell r="T368" t="str">
            <v>Private Sector</v>
          </cell>
        </row>
        <row r="369">
          <cell r="C369" t="str">
            <v>PANIPAT TPS5</v>
          </cell>
          <cell r="D369" t="str">
            <v xml:space="preserve"> 30-35 years</v>
          </cell>
          <cell r="E369">
            <v>31.175906909999998</v>
          </cell>
          <cell r="F369">
            <v>210</v>
          </cell>
          <cell r="G369">
            <v>13.628184438240176</v>
          </cell>
          <cell r="I369">
            <v>0</v>
          </cell>
          <cell r="J369">
            <v>5.218810070585337E-2</v>
          </cell>
          <cell r="K369">
            <v>175.71541529314425</v>
          </cell>
          <cell r="L369" t="str">
            <v>Y</v>
          </cell>
          <cell r="O369" t="e">
            <v>#N/A</v>
          </cell>
          <cell r="S369" t="str">
            <v>Haryana</v>
          </cell>
          <cell r="T369" t="str">
            <v>State Sector</v>
          </cell>
        </row>
        <row r="370">
          <cell r="C370" t="str">
            <v>PANIPAT TPS6</v>
          </cell>
          <cell r="D370" t="str">
            <v xml:space="preserve"> 15-20 years</v>
          </cell>
          <cell r="E370">
            <v>19.175906909999998</v>
          </cell>
          <cell r="F370">
            <v>210</v>
          </cell>
          <cell r="G370">
            <v>13.628184438240176</v>
          </cell>
          <cell r="I370">
            <v>0</v>
          </cell>
          <cell r="J370">
            <v>0.12228309085344663</v>
          </cell>
          <cell r="K370">
            <v>411.72266861653969</v>
          </cell>
          <cell r="O370" t="e">
            <v>#N/A</v>
          </cell>
          <cell r="Q370">
            <v>2837.1177583347458</v>
          </cell>
          <cell r="R370" t="str">
            <v>Retendering to be done</v>
          </cell>
          <cell r="S370" t="str">
            <v>Haryana</v>
          </cell>
          <cell r="T370" t="str">
            <v>State Sector</v>
          </cell>
        </row>
        <row r="371">
          <cell r="C371" t="str">
            <v>PANIPAT TPS7</v>
          </cell>
          <cell r="D371" t="str">
            <v xml:space="preserve"> 15-20 years</v>
          </cell>
          <cell r="E371">
            <v>15.671457910000001</v>
          </cell>
          <cell r="F371">
            <v>250</v>
          </cell>
          <cell r="G371">
            <v>13.628184438240176</v>
          </cell>
          <cell r="I371">
            <v>0</v>
          </cell>
          <cell r="J371">
            <v>0.53534393531641999</v>
          </cell>
          <cell r="K371">
            <v>2145.8134965839677</v>
          </cell>
          <cell r="O371" t="e">
            <v>#N/A</v>
          </cell>
          <cell r="Q371">
            <v>2837.1177583347458</v>
          </cell>
          <cell r="R371" t="str">
            <v>Retendering to be done</v>
          </cell>
          <cell r="S371" t="str">
            <v>Haryana</v>
          </cell>
          <cell r="T371" t="str">
            <v>State Sector</v>
          </cell>
        </row>
        <row r="372">
          <cell r="C372" t="str">
            <v>PANIPAT TPS8</v>
          </cell>
          <cell r="D372" t="str">
            <v xml:space="preserve"> 15-20 years</v>
          </cell>
          <cell r="E372">
            <v>15.337440109999999</v>
          </cell>
          <cell r="F372">
            <v>250</v>
          </cell>
          <cell r="G372">
            <v>13.628184438240176</v>
          </cell>
          <cell r="I372">
            <v>0</v>
          </cell>
          <cell r="J372">
            <v>0.56927000123024507</v>
          </cell>
          <cell r="K372">
            <v>2281.7989917420564</v>
          </cell>
          <cell r="O372" t="e">
            <v>#N/A</v>
          </cell>
          <cell r="Q372">
            <v>2837.1177583347458</v>
          </cell>
          <cell r="R372" t="str">
            <v>Retendering to be done</v>
          </cell>
          <cell r="S372" t="str">
            <v>Haryana</v>
          </cell>
          <cell r="T372" t="str">
            <v>State Sector</v>
          </cell>
        </row>
        <row r="373">
          <cell r="C373" t="str">
            <v>PANKI TPS3</v>
          </cell>
          <cell r="D373" t="str">
            <v xml:space="preserve"> 40-45 years</v>
          </cell>
          <cell r="E373">
            <v>43.337440110000003</v>
          </cell>
          <cell r="F373">
            <v>110</v>
          </cell>
          <cell r="G373">
            <v>18.819951082207197</v>
          </cell>
          <cell r="H373">
            <v>3975</v>
          </cell>
          <cell r="I373">
            <v>74.809305551773605</v>
          </cell>
          <cell r="J373">
            <v>5.8672936259142799E-2</v>
          </cell>
          <cell r="K373">
            <v>142.89929050249191</v>
          </cell>
          <cell r="L373" t="str">
            <v>Y</v>
          </cell>
          <cell r="N373">
            <v>10</v>
          </cell>
          <cell r="O373" t="e">
            <v>#N/A</v>
          </cell>
          <cell r="P373">
            <v>1100</v>
          </cell>
          <cell r="S373" t="str">
            <v>Uttar Pradesh</v>
          </cell>
          <cell r="T373" t="str">
            <v>State Sector</v>
          </cell>
        </row>
        <row r="374">
          <cell r="C374" t="str">
            <v>PANKI TPS4</v>
          </cell>
          <cell r="D374" t="str">
            <v xml:space="preserve"> 40-45 years</v>
          </cell>
          <cell r="E374">
            <v>43.008898019999997</v>
          </cell>
          <cell r="F374">
            <v>110</v>
          </cell>
          <cell r="G374">
            <v>18.819951082207197</v>
          </cell>
          <cell r="H374">
            <v>3975</v>
          </cell>
          <cell r="I374">
            <v>74.809305551773605</v>
          </cell>
          <cell r="J374">
            <v>7.5096407423993566E-2</v>
          </cell>
          <cell r="K374">
            <v>182.89903359834901</v>
          </cell>
          <cell r="L374" t="str">
            <v>Y</v>
          </cell>
          <cell r="N374">
            <v>10</v>
          </cell>
          <cell r="O374" t="e">
            <v>#N/A</v>
          </cell>
          <cell r="P374">
            <v>1100</v>
          </cell>
          <cell r="S374" t="str">
            <v>Uttar Pradesh</v>
          </cell>
          <cell r="T374" t="str">
            <v>State Sector</v>
          </cell>
        </row>
        <row r="375">
          <cell r="C375" t="str">
            <v>PARAS TPS3</v>
          </cell>
          <cell r="D375" t="str">
            <v xml:space="preserve"> 10-15 years</v>
          </cell>
          <cell r="E375">
            <v>13.010266939999999</v>
          </cell>
          <cell r="F375">
            <v>250</v>
          </cell>
          <cell r="G375">
            <v>15.393635520145279</v>
          </cell>
          <cell r="H375">
            <v>3463</v>
          </cell>
          <cell r="I375">
            <v>53.308159806263099</v>
          </cell>
          <cell r="J375">
            <v>0.53155545768078494</v>
          </cell>
          <cell r="K375">
            <v>2406.6385218476507</v>
          </cell>
          <cell r="N375">
            <v>8.5</v>
          </cell>
          <cell r="O375">
            <v>10.324799247218051</v>
          </cell>
          <cell r="P375">
            <v>2125</v>
          </cell>
          <cell r="Q375" t="e">
            <v>#N/A</v>
          </cell>
          <cell r="S375" t="str">
            <v>Maharashtra</v>
          </cell>
          <cell r="T375" t="str">
            <v>State Sector</v>
          </cell>
        </row>
        <row r="376">
          <cell r="C376" t="str">
            <v>PARAS TPS4</v>
          </cell>
          <cell r="D376" t="str">
            <v xml:space="preserve"> 10-15 years</v>
          </cell>
          <cell r="E376">
            <v>10.17659138</v>
          </cell>
          <cell r="F376">
            <v>250</v>
          </cell>
          <cell r="G376">
            <v>15.393635520145279</v>
          </cell>
          <cell r="H376">
            <v>3463</v>
          </cell>
          <cell r="I376">
            <v>53.308159806263099</v>
          </cell>
          <cell r="J376">
            <v>0.72613495193214006</v>
          </cell>
          <cell r="K376">
            <v>3287.6049377886989</v>
          </cell>
          <cell r="N376">
            <v>8.5</v>
          </cell>
          <cell r="O376">
            <v>10.324799247218051</v>
          </cell>
          <cell r="P376">
            <v>2125</v>
          </cell>
          <cell r="Q376" t="e">
            <v>#N/A</v>
          </cell>
          <cell r="S376" t="str">
            <v>Maharashtra</v>
          </cell>
          <cell r="T376" t="str">
            <v>State Sector</v>
          </cell>
        </row>
        <row r="377">
          <cell r="C377" t="str">
            <v>PARICHHA TPS2</v>
          </cell>
          <cell r="D377" t="str">
            <v xml:space="preserve"> 35-40 years</v>
          </cell>
          <cell r="E377">
            <v>35.252566739999999</v>
          </cell>
          <cell r="F377">
            <v>110</v>
          </cell>
          <cell r="G377">
            <v>13.935857129883598</v>
          </cell>
          <cell r="H377">
            <v>3195</v>
          </cell>
          <cell r="I377">
            <v>44.525063529978091</v>
          </cell>
          <cell r="J377">
            <v>0.21576221247863558</v>
          </cell>
          <cell r="K377">
            <v>389.11935339327516</v>
          </cell>
          <cell r="L377" t="str">
            <v>Y</v>
          </cell>
          <cell r="N377">
            <v>11</v>
          </cell>
          <cell r="O377" t="e">
            <v>#N/A</v>
          </cell>
          <cell r="P377">
            <v>1210</v>
          </cell>
          <cell r="S377" t="str">
            <v>Uttar Pradesh</v>
          </cell>
          <cell r="T377" t="str">
            <v>State Sector</v>
          </cell>
        </row>
        <row r="378">
          <cell r="C378" t="str">
            <v>PARICHHA TPS3</v>
          </cell>
          <cell r="D378" t="str">
            <v xml:space="preserve"> 10-15 years</v>
          </cell>
          <cell r="E378">
            <v>14.17659138</v>
          </cell>
          <cell r="F378">
            <v>210</v>
          </cell>
          <cell r="G378">
            <v>13.935857129883598</v>
          </cell>
          <cell r="H378">
            <v>3195</v>
          </cell>
          <cell r="I378">
            <v>44.525063529978091</v>
          </cell>
          <cell r="J378">
            <v>0.61559487708691074</v>
          </cell>
          <cell r="K378">
            <v>2119.478675251768</v>
          </cell>
          <cell r="N378">
            <v>9</v>
          </cell>
          <cell r="O378" t="e">
            <v>#N/A</v>
          </cell>
          <cell r="P378">
            <v>1890</v>
          </cell>
          <cell r="Q378">
            <v>2914.6476970767417</v>
          </cell>
          <cell r="R378" t="str">
            <v>Tender Specification made</v>
          </cell>
          <cell r="S378" t="str">
            <v>Uttar Pradesh</v>
          </cell>
          <cell r="T378" t="str">
            <v>State Sector</v>
          </cell>
        </row>
        <row r="379">
          <cell r="C379" t="str">
            <v>PARICHHA TPS4</v>
          </cell>
          <cell r="D379" t="str">
            <v xml:space="preserve"> 10-15 years</v>
          </cell>
          <cell r="E379">
            <v>13.42368241</v>
          </cell>
          <cell r="F379">
            <v>210</v>
          </cell>
          <cell r="G379">
            <v>13.935857129883598</v>
          </cell>
          <cell r="H379">
            <v>3195</v>
          </cell>
          <cell r="I379">
            <v>44.525063529978091</v>
          </cell>
          <cell r="J379">
            <v>0.64197221125709725</v>
          </cell>
          <cell r="K379">
            <v>2210.2952160720183</v>
          </cell>
          <cell r="N379">
            <v>9</v>
          </cell>
          <cell r="O379" t="e">
            <v>#N/A</v>
          </cell>
          <cell r="P379">
            <v>1890</v>
          </cell>
          <cell r="Q379">
            <v>2914.6476970767417</v>
          </cell>
          <cell r="R379" t="str">
            <v>Tender Specification made</v>
          </cell>
          <cell r="S379" t="str">
            <v>Uttar Pradesh</v>
          </cell>
          <cell r="T379" t="str">
            <v>State Sector</v>
          </cell>
        </row>
        <row r="380">
          <cell r="C380" t="str">
            <v>PARICHHA TPS5</v>
          </cell>
          <cell r="D380" t="str">
            <v xml:space="preserve"> 5-10 years</v>
          </cell>
          <cell r="E380">
            <v>8.0082135520000008</v>
          </cell>
          <cell r="F380">
            <v>250</v>
          </cell>
          <cell r="G380">
            <v>13.26</v>
          </cell>
          <cell r="H380">
            <v>3195</v>
          </cell>
          <cell r="I380">
            <v>42.365699999999997</v>
          </cell>
          <cell r="J380">
            <v>0.43981762319685003</v>
          </cell>
          <cell r="K380">
            <v>1715.2887304677151</v>
          </cell>
          <cell r="N380">
            <v>9</v>
          </cell>
          <cell r="O380" t="e">
            <v>#N/A</v>
          </cell>
          <cell r="P380">
            <v>2250</v>
          </cell>
          <cell r="Q380">
            <v>2914.6476970767417</v>
          </cell>
          <cell r="R380" t="str">
            <v>Tender Specification made</v>
          </cell>
          <cell r="S380" t="str">
            <v>Uttar Pradesh</v>
          </cell>
          <cell r="T380" t="str">
            <v>State Sector</v>
          </cell>
        </row>
        <row r="381">
          <cell r="C381" t="str">
            <v>PARICHHA TPS6</v>
          </cell>
          <cell r="D381" t="str">
            <v xml:space="preserve"> 5-10 years</v>
          </cell>
          <cell r="E381">
            <v>7.1759069130000004</v>
          </cell>
          <cell r="F381">
            <v>250</v>
          </cell>
          <cell r="G381">
            <v>13.26</v>
          </cell>
          <cell r="H381">
            <v>3195</v>
          </cell>
          <cell r="I381">
            <v>42.365699999999997</v>
          </cell>
          <cell r="J381">
            <v>0.66319363581522006</v>
          </cell>
          <cell r="K381">
            <v>2586.455179679358</v>
          </cell>
          <cell r="N381">
            <v>9</v>
          </cell>
          <cell r="O381" t="e">
            <v>#N/A</v>
          </cell>
          <cell r="P381">
            <v>2250</v>
          </cell>
          <cell r="Q381">
            <v>2914.6476970767417</v>
          </cell>
          <cell r="R381" t="str">
            <v>Tender Specification made</v>
          </cell>
          <cell r="S381" t="str">
            <v>Uttar Pradesh</v>
          </cell>
          <cell r="T381" t="str">
            <v>State Sector</v>
          </cell>
        </row>
        <row r="382">
          <cell r="C382" t="str">
            <v>PARLI TPS6</v>
          </cell>
          <cell r="D382" t="str">
            <v xml:space="preserve"> 10-15 years</v>
          </cell>
          <cell r="E382">
            <v>13.25393566</v>
          </cell>
          <cell r="F382">
            <v>250</v>
          </cell>
          <cell r="G382">
            <v>15.092566567040393</v>
          </cell>
          <cell r="H382">
            <v>3381</v>
          </cell>
          <cell r="I382">
            <v>51.027967563163571</v>
          </cell>
          <cell r="J382">
            <v>0.40806132828363001</v>
          </cell>
          <cell r="K382">
            <v>1811.3802236928263</v>
          </cell>
          <cell r="N382">
            <v>8.5</v>
          </cell>
          <cell r="O382">
            <v>11.908995132078106</v>
          </cell>
          <cell r="P382">
            <v>2125</v>
          </cell>
          <cell r="Q382">
            <v>2581.9071960000001</v>
          </cell>
          <cell r="R382" t="str">
            <v>Feasiblity Study Carried Out</v>
          </cell>
          <cell r="S382" t="str">
            <v>Maharashtra</v>
          </cell>
          <cell r="T382" t="str">
            <v>State Sector</v>
          </cell>
        </row>
        <row r="383">
          <cell r="C383" t="str">
            <v>PARLI TPS7</v>
          </cell>
          <cell r="D383" t="str">
            <v xml:space="preserve"> 10-15 years</v>
          </cell>
          <cell r="E383">
            <v>10.253251199999999</v>
          </cell>
          <cell r="F383">
            <v>250</v>
          </cell>
          <cell r="G383">
            <v>15.092566567040393</v>
          </cell>
          <cell r="H383">
            <v>3381</v>
          </cell>
          <cell r="I383">
            <v>51.027967563163571</v>
          </cell>
          <cell r="J383">
            <v>0.34851120406299835</v>
          </cell>
          <cell r="K383">
            <v>1547.0378078471181</v>
          </cell>
          <cell r="N383">
            <v>8.5</v>
          </cell>
          <cell r="O383">
            <v>11.908995132078106</v>
          </cell>
          <cell r="P383">
            <v>2125</v>
          </cell>
          <cell r="Q383">
            <v>2581.9071960000001</v>
          </cell>
          <cell r="R383" t="str">
            <v>Feasiblity Study Carried Out</v>
          </cell>
          <cell r="S383" t="str">
            <v>Maharashtra</v>
          </cell>
          <cell r="T383" t="str">
            <v>State Sector</v>
          </cell>
        </row>
        <row r="384">
          <cell r="C384" t="str">
            <v>PARLI TPS8</v>
          </cell>
          <cell r="D384" t="str">
            <v xml:space="preserve"> 0-5 years</v>
          </cell>
          <cell r="E384">
            <v>4.1752224499999997</v>
          </cell>
          <cell r="F384">
            <v>250</v>
          </cell>
          <cell r="G384">
            <v>15.092566567040393</v>
          </cell>
          <cell r="H384">
            <v>3385</v>
          </cell>
          <cell r="I384">
            <v>51.08833782943173</v>
          </cell>
          <cell r="J384">
            <v>0.50794300663288328</v>
          </cell>
          <cell r="K384">
            <v>2254.7540117263029</v>
          </cell>
          <cell r="N384">
            <v>8.5</v>
          </cell>
          <cell r="O384">
            <v>11.908995132078106</v>
          </cell>
          <cell r="P384">
            <v>2125</v>
          </cell>
          <cell r="Q384">
            <v>2581.9071960000001</v>
          </cell>
          <cell r="R384" t="str">
            <v>Feasiblity Study Carried Out</v>
          </cell>
          <cell r="S384" t="str">
            <v>Maharashtra</v>
          </cell>
          <cell r="T384" t="str">
            <v>State Sector</v>
          </cell>
        </row>
        <row r="385">
          <cell r="C385" t="str">
            <v>PATHADI TPS1</v>
          </cell>
          <cell r="D385" t="str">
            <v xml:space="preserve"> 10-15 years</v>
          </cell>
          <cell r="E385">
            <v>10.924024640000001</v>
          </cell>
          <cell r="F385">
            <v>300</v>
          </cell>
          <cell r="G385">
            <v>13.583946164062594</v>
          </cell>
          <cell r="I385">
            <v>0</v>
          </cell>
          <cell r="J385">
            <v>0.75547728307855966</v>
          </cell>
          <cell r="K385">
            <v>3622.010379356976</v>
          </cell>
          <cell r="O385" t="e">
            <v>#N/A</v>
          </cell>
          <cell r="Q385">
            <v>2566.0679724967717</v>
          </cell>
          <cell r="R385" t="str">
            <v>Tender Specification made</v>
          </cell>
          <cell r="S385" t="str">
            <v>Chhatisgarh</v>
          </cell>
          <cell r="T385" t="str">
            <v>Private Sector</v>
          </cell>
        </row>
        <row r="386">
          <cell r="C386" t="str">
            <v>PATHADI TPS2</v>
          </cell>
          <cell r="D386" t="str">
            <v xml:space="preserve"> 10-15 years</v>
          </cell>
          <cell r="E386">
            <v>10.17659138</v>
          </cell>
          <cell r="F386">
            <v>300</v>
          </cell>
          <cell r="G386">
            <v>13.583946164062594</v>
          </cell>
          <cell r="I386">
            <v>0</v>
          </cell>
          <cell r="J386">
            <v>0.72121211043884159</v>
          </cell>
          <cell r="K386">
            <v>3457.7316992015967</v>
          </cell>
          <cell r="O386" t="e">
            <v>#N/A</v>
          </cell>
          <cell r="Q386">
            <v>2566.0679724967717</v>
          </cell>
          <cell r="R386" t="str">
            <v>Tender Specification made</v>
          </cell>
          <cell r="S386" t="str">
            <v>Chhatisgarh</v>
          </cell>
          <cell r="T386" t="str">
            <v>Private Sector</v>
          </cell>
        </row>
        <row r="387">
          <cell r="C387" t="str">
            <v>RAGHUNATHPUR TPP1</v>
          </cell>
          <cell r="D387" t="str">
            <v xml:space="preserve"> 5-10 years</v>
          </cell>
          <cell r="E387">
            <v>5.7577002049999999</v>
          </cell>
          <cell r="F387">
            <v>600</v>
          </cell>
          <cell r="G387">
            <v>12.25454374701296</v>
          </cell>
          <cell r="H387">
            <v>5694</v>
          </cell>
          <cell r="I387">
            <v>69.777372095491799</v>
          </cell>
          <cell r="J387">
            <v>0.31345226705380486</v>
          </cell>
          <cell r="K387">
            <v>2711.4455429726409</v>
          </cell>
          <cell r="N387">
            <v>5.25</v>
          </cell>
          <cell r="O387" t="e">
            <v>#N/A</v>
          </cell>
          <cell r="P387">
            <v>3150</v>
          </cell>
          <cell r="Q387">
            <v>2376.393536</v>
          </cell>
          <cell r="R387" t="str">
            <v>Bid Awarded</v>
          </cell>
          <cell r="S387" t="str">
            <v>West Bengal</v>
          </cell>
          <cell r="T387" t="str">
            <v>Central Sector</v>
          </cell>
        </row>
        <row r="388">
          <cell r="C388" t="str">
            <v>RAGHUNATHPUR TPP2</v>
          </cell>
          <cell r="D388" t="str">
            <v xml:space="preserve"> 0-5 years</v>
          </cell>
          <cell r="E388">
            <v>4.3394934980000004</v>
          </cell>
          <cell r="F388">
            <v>600</v>
          </cell>
          <cell r="G388">
            <v>12.25454374701296</v>
          </cell>
          <cell r="H388">
            <v>5694</v>
          </cell>
          <cell r="I388">
            <v>69.777372095491799</v>
          </cell>
          <cell r="J388">
            <v>0.39377240975873329</v>
          </cell>
          <cell r="K388">
            <v>3406.2361565330193</v>
          </cell>
          <cell r="N388">
            <v>5.25</v>
          </cell>
          <cell r="O388" t="e">
            <v>#N/A</v>
          </cell>
          <cell r="P388">
            <v>3150</v>
          </cell>
          <cell r="Q388">
            <v>2376.393536</v>
          </cell>
          <cell r="R388" t="str">
            <v>Bid Awarded</v>
          </cell>
          <cell r="S388" t="str">
            <v>West Bengal</v>
          </cell>
          <cell r="T388" t="str">
            <v>Central Sector</v>
          </cell>
        </row>
        <row r="389">
          <cell r="C389" t="str">
            <v>RAICHUR TPS1</v>
          </cell>
          <cell r="D389" t="str">
            <v xml:space="preserve"> 35-40 years</v>
          </cell>
          <cell r="E389">
            <v>35.175906910000002</v>
          </cell>
          <cell r="F389">
            <v>210</v>
          </cell>
          <cell r="G389">
            <v>14.215904215364839</v>
          </cell>
          <cell r="I389">
            <v>0</v>
          </cell>
          <cell r="J389">
            <v>0.44318800125015279</v>
          </cell>
          <cell r="K389">
            <v>1556.5491962187584</v>
          </cell>
          <cell r="L389" t="str">
            <v>Y</v>
          </cell>
          <cell r="N389">
            <v>10.415292532300111</v>
          </cell>
          <cell r="O389">
            <v>10.415292532300111</v>
          </cell>
          <cell r="P389">
            <v>2187.2114317830233</v>
          </cell>
          <cell r="R389" t="str">
            <v>NIT issued</v>
          </cell>
          <cell r="S389" t="str">
            <v>Karnataka</v>
          </cell>
          <cell r="T389" t="str">
            <v>State Sector</v>
          </cell>
        </row>
        <row r="390">
          <cell r="C390" t="str">
            <v>RAICHUR TPS2</v>
          </cell>
          <cell r="D390" t="str">
            <v xml:space="preserve"> 30-35 years</v>
          </cell>
          <cell r="E390">
            <v>34.176591379999998</v>
          </cell>
          <cell r="F390">
            <v>210</v>
          </cell>
          <cell r="G390">
            <v>14.215904215364839</v>
          </cell>
          <cell r="I390">
            <v>0</v>
          </cell>
          <cell r="J390">
            <v>0.46448831713297423</v>
          </cell>
          <cell r="K390">
            <v>1631.3594110104207</v>
          </cell>
          <cell r="L390" t="str">
            <v>Y</v>
          </cell>
          <cell r="N390">
            <v>10.415292532300111</v>
          </cell>
          <cell r="O390">
            <v>10.415292532300111</v>
          </cell>
          <cell r="P390">
            <v>2187.2114317830233</v>
          </cell>
          <cell r="R390" t="str">
            <v>NIT issued</v>
          </cell>
          <cell r="S390" t="str">
            <v>Karnataka</v>
          </cell>
          <cell r="T390" t="str">
            <v>State Sector</v>
          </cell>
        </row>
        <row r="391">
          <cell r="C391" t="str">
            <v>RAICHUR TPS3</v>
          </cell>
          <cell r="D391" t="str">
            <v xml:space="preserve"> 25-30 years</v>
          </cell>
          <cell r="E391">
            <v>29.17727584</v>
          </cell>
          <cell r="F391">
            <v>210</v>
          </cell>
          <cell r="G391">
            <v>14.215904215364839</v>
          </cell>
          <cell r="I391">
            <v>0</v>
          </cell>
          <cell r="J391">
            <v>0.58184191916580352</v>
          </cell>
          <cell r="K391">
            <v>2043.5245743323223</v>
          </cell>
          <cell r="L391" t="str">
            <v>Y</v>
          </cell>
          <cell r="N391">
            <v>10.415292532300111</v>
          </cell>
          <cell r="O391">
            <v>10.415292532300111</v>
          </cell>
          <cell r="P391">
            <v>2187.2114317830233</v>
          </cell>
          <cell r="R391" t="str">
            <v>NIT issued</v>
          </cell>
          <cell r="S391" t="str">
            <v>Karnataka</v>
          </cell>
          <cell r="T391" t="str">
            <v>State Sector</v>
          </cell>
        </row>
        <row r="392">
          <cell r="C392" t="str">
            <v>RAICHUR TPS4</v>
          </cell>
          <cell r="D392" t="str">
            <v xml:space="preserve"> 25-30 years</v>
          </cell>
          <cell r="E392">
            <v>25.672826830000002</v>
          </cell>
          <cell r="F392">
            <v>210</v>
          </cell>
          <cell r="G392">
            <v>14.215904215364839</v>
          </cell>
          <cell r="I392">
            <v>0</v>
          </cell>
          <cell r="J392">
            <v>0.77586685752559914</v>
          </cell>
          <cell r="K392">
            <v>2724.9720887018912</v>
          </cell>
          <cell r="L392" t="str">
            <v>Y</v>
          </cell>
          <cell r="N392">
            <v>10.415292532300111</v>
          </cell>
          <cell r="O392">
            <v>10.415292532300111</v>
          </cell>
          <cell r="P392">
            <v>2187.2114317830233</v>
          </cell>
          <cell r="R392" t="str">
            <v>NIT issued</v>
          </cell>
          <cell r="S392" t="str">
            <v>Karnataka</v>
          </cell>
          <cell r="T392" t="str">
            <v>State Sector</v>
          </cell>
        </row>
        <row r="393">
          <cell r="C393" t="str">
            <v>RAICHUR TPS5</v>
          </cell>
          <cell r="D393" t="str">
            <v xml:space="preserve"> 20-25 years</v>
          </cell>
          <cell r="E393">
            <v>21.33880903</v>
          </cell>
          <cell r="F393">
            <v>210</v>
          </cell>
          <cell r="G393">
            <v>14.215904215364839</v>
          </cell>
          <cell r="I393">
            <v>0</v>
          </cell>
          <cell r="J393">
            <v>0.72167943893455555</v>
          </cell>
          <cell r="K393">
            <v>2534.6569569403468</v>
          </cell>
          <cell r="L393" t="str">
            <v>Y</v>
          </cell>
          <cell r="N393">
            <v>10.415292532300111</v>
          </cell>
          <cell r="O393">
            <v>10.415292532300111</v>
          </cell>
          <cell r="P393">
            <v>2187.2114317830233</v>
          </cell>
          <cell r="Q393">
            <v>2802.2677858704278</v>
          </cell>
          <cell r="R393" t="str">
            <v>NIT issued</v>
          </cell>
          <cell r="S393" t="str">
            <v>Karnataka</v>
          </cell>
          <cell r="T393" t="str">
            <v>State Sector</v>
          </cell>
        </row>
        <row r="394">
          <cell r="C394" t="str">
            <v>RAICHUR TPS6</v>
          </cell>
          <cell r="D394" t="str">
            <v xml:space="preserve"> 20-25 years</v>
          </cell>
          <cell r="E394">
            <v>20.843258039999998</v>
          </cell>
          <cell r="F394">
            <v>210</v>
          </cell>
          <cell r="G394">
            <v>14.215904215364839</v>
          </cell>
          <cell r="I394">
            <v>0</v>
          </cell>
          <cell r="J394">
            <v>0.60663943234567264</v>
          </cell>
          <cell r="K394">
            <v>2130.6175215679646</v>
          </cell>
          <cell r="L394" t="str">
            <v>Y</v>
          </cell>
          <cell r="N394">
            <v>10.415292532300111</v>
          </cell>
          <cell r="O394">
            <v>10.415292532300111</v>
          </cell>
          <cell r="P394">
            <v>2187.2114317830233</v>
          </cell>
          <cell r="Q394">
            <v>2802.2677858704278</v>
          </cell>
          <cell r="R394" t="str">
            <v>NIT issued</v>
          </cell>
          <cell r="S394" t="str">
            <v>Karnataka</v>
          </cell>
          <cell r="T394" t="str">
            <v>State Sector</v>
          </cell>
        </row>
        <row r="395">
          <cell r="C395" t="str">
            <v>RAICHUR TPS7</v>
          </cell>
          <cell r="D395" t="str">
            <v xml:space="preserve"> 15-20 years</v>
          </cell>
          <cell r="E395">
            <v>17.423682410000001</v>
          </cell>
          <cell r="F395">
            <v>210</v>
          </cell>
          <cell r="G395">
            <v>14.215904215364839</v>
          </cell>
          <cell r="I395">
            <v>0</v>
          </cell>
          <cell r="J395">
            <v>0.48474360911917058</v>
          </cell>
          <cell r="K395">
            <v>1702.4993298966592</v>
          </cell>
          <cell r="L395" t="str">
            <v>Y</v>
          </cell>
          <cell r="N395">
            <v>10.415292532300111</v>
          </cell>
          <cell r="O395">
            <v>10.415292532300111</v>
          </cell>
          <cell r="P395">
            <v>2187.2114317830233</v>
          </cell>
          <cell r="Q395">
            <v>2802.2677858704278</v>
          </cell>
          <cell r="R395" t="str">
            <v>NIT issued</v>
          </cell>
          <cell r="S395" t="str">
            <v>Karnataka</v>
          </cell>
          <cell r="T395" t="str">
            <v>State Sector</v>
          </cell>
        </row>
        <row r="396">
          <cell r="C396" t="str">
            <v>RAICHUR TPS8</v>
          </cell>
          <cell r="D396" t="str">
            <v xml:space="preserve"> 5-10 years</v>
          </cell>
          <cell r="E396">
            <v>9.9247091029999996</v>
          </cell>
          <cell r="F396">
            <v>250</v>
          </cell>
          <cell r="G396">
            <v>13.26</v>
          </cell>
          <cell r="I396">
            <v>0</v>
          </cell>
          <cell r="J396">
            <v>0.7046995818304117</v>
          </cell>
          <cell r="K396">
            <v>2748.3283691386055</v>
          </cell>
          <cell r="L396" t="str">
            <v>Y</v>
          </cell>
          <cell r="N396">
            <v>10.415292532300111</v>
          </cell>
          <cell r="O396">
            <v>10.415292532300111</v>
          </cell>
          <cell r="P396">
            <v>2603.8231330750277</v>
          </cell>
          <cell r="Q396">
            <v>2802.2677858704278</v>
          </cell>
          <cell r="R396" t="str">
            <v>NIT issued</v>
          </cell>
          <cell r="S396" t="str">
            <v>Karnataka</v>
          </cell>
          <cell r="T396" t="str">
            <v>State Sector</v>
          </cell>
        </row>
        <row r="397">
          <cell r="C397" t="str">
            <v>RAIKHEDA TPP1</v>
          </cell>
          <cell r="D397" t="str">
            <v xml:space="preserve"> 5-10 years</v>
          </cell>
          <cell r="E397">
            <v>5.2539356609999999</v>
          </cell>
          <cell r="F397">
            <v>685</v>
          </cell>
          <cell r="G397">
            <v>12.276667704014638</v>
          </cell>
          <cell r="I397">
            <v>0</v>
          </cell>
          <cell r="J397">
            <v>0.40413457402160524</v>
          </cell>
          <cell r="K397">
            <v>3998.3255564496785</v>
          </cell>
          <cell r="O397" t="e">
            <v>#N/A</v>
          </cell>
          <cell r="Q397">
            <v>2376.393536</v>
          </cell>
          <cell r="R397" t="str">
            <v>GCEL is under stressed assets</v>
          </cell>
          <cell r="S397" t="str">
            <v>Chhatisgarh</v>
          </cell>
          <cell r="T397" t="str">
            <v>Private Sector</v>
          </cell>
        </row>
        <row r="398">
          <cell r="C398" t="str">
            <v>RAIKHEDA TPP2</v>
          </cell>
          <cell r="D398" t="str">
            <v xml:space="preserve"> 0-5 years</v>
          </cell>
          <cell r="E398">
            <v>4.1752224499999997</v>
          </cell>
          <cell r="F398">
            <v>685</v>
          </cell>
          <cell r="G398">
            <v>12.276667704014638</v>
          </cell>
          <cell r="I398">
            <v>0</v>
          </cell>
          <cell r="J398">
            <v>0.22309672867809185</v>
          </cell>
          <cell r="K398">
            <v>2207.2186077953506</v>
          </cell>
          <cell r="O398" t="e">
            <v>#N/A</v>
          </cell>
          <cell r="Q398">
            <v>2376.393536</v>
          </cell>
          <cell r="R398" t="str">
            <v>GCEL is under stressed assets</v>
          </cell>
          <cell r="S398" t="str">
            <v>Chhatisgarh</v>
          </cell>
          <cell r="T398" t="str">
            <v>Private Sector</v>
          </cell>
        </row>
        <row r="399">
          <cell r="C399" t="str">
            <v>RAJIV GANDHI TPS1</v>
          </cell>
          <cell r="D399" t="str">
            <v xml:space="preserve"> 10-15 years</v>
          </cell>
          <cell r="E399">
            <v>10.17659138</v>
          </cell>
          <cell r="F399">
            <v>600</v>
          </cell>
          <cell r="G399">
            <v>14.087555813202233</v>
          </cell>
          <cell r="I399">
            <v>0</v>
          </cell>
          <cell r="J399">
            <v>0.28012452483425343</v>
          </cell>
          <cell r="K399">
            <v>2785.6022669995059</v>
          </cell>
          <cell r="O399" t="e">
            <v>#N/A</v>
          </cell>
          <cell r="Q399">
            <v>2388.3060133301728</v>
          </cell>
          <cell r="R399" t="str">
            <v>Bid opened</v>
          </cell>
          <cell r="S399" t="str">
            <v>Haryana</v>
          </cell>
          <cell r="T399" t="str">
            <v>State Sector</v>
          </cell>
        </row>
        <row r="400">
          <cell r="C400" t="str">
            <v>RAJIV GANDHI TPS2</v>
          </cell>
          <cell r="D400" t="str">
            <v xml:space="preserve"> 5-10 years</v>
          </cell>
          <cell r="E400">
            <v>9.5906913070000002</v>
          </cell>
          <cell r="F400">
            <v>600</v>
          </cell>
          <cell r="G400">
            <v>14.087555813202233</v>
          </cell>
          <cell r="I400">
            <v>0</v>
          </cell>
          <cell r="J400">
            <v>0.36243595076625484</v>
          </cell>
          <cell r="K400">
            <v>3604.1200130333873</v>
          </cell>
          <cell r="O400" t="e">
            <v>#N/A</v>
          </cell>
          <cell r="Q400">
            <v>2388.3060133301728</v>
          </cell>
          <cell r="R400" t="str">
            <v>Bid opened</v>
          </cell>
          <cell r="S400" t="str">
            <v>Haryana</v>
          </cell>
          <cell r="T400" t="str">
            <v>State Sector</v>
          </cell>
        </row>
        <row r="401">
          <cell r="C401" t="str">
            <v>RAJPURA TPS1</v>
          </cell>
          <cell r="D401" t="str">
            <v xml:space="preserve"> 5-10 years</v>
          </cell>
          <cell r="E401">
            <v>6.3381245719999999</v>
          </cell>
          <cell r="F401">
            <v>700</v>
          </cell>
          <cell r="G401">
            <v>10.416007832573142</v>
          </cell>
          <cell r="I401">
            <v>0</v>
          </cell>
          <cell r="J401">
            <v>0.74981384358257142</v>
          </cell>
          <cell r="K401">
            <v>6431.8197734229243</v>
          </cell>
          <cell r="O401" t="e">
            <v>#N/A</v>
          </cell>
          <cell r="Q401">
            <v>2351.3581421434369</v>
          </cell>
          <cell r="R401" t="str">
            <v>Bid awarded</v>
          </cell>
          <cell r="S401" t="str">
            <v>Punjab</v>
          </cell>
          <cell r="T401" t="str">
            <v>Private Sector</v>
          </cell>
        </row>
        <row r="402">
          <cell r="C402" t="str">
            <v>RAJPURA TPS2</v>
          </cell>
          <cell r="D402" t="str">
            <v xml:space="preserve"> 5-10 years</v>
          </cell>
          <cell r="E402">
            <v>5.8425735799999998</v>
          </cell>
          <cell r="F402">
            <v>700</v>
          </cell>
          <cell r="G402">
            <v>10.416007832573142</v>
          </cell>
          <cell r="I402">
            <v>0</v>
          </cell>
          <cell r="J402">
            <v>0.74724709880303575</v>
          </cell>
          <cell r="K402">
            <v>6409.8025221176285</v>
          </cell>
          <cell r="O402" t="e">
            <v>#N/A</v>
          </cell>
          <cell r="Q402">
            <v>2351.3581421434369</v>
          </cell>
          <cell r="R402" t="str">
            <v>Bid awarded</v>
          </cell>
          <cell r="S402" t="str">
            <v>Punjab</v>
          </cell>
          <cell r="T402" t="str">
            <v>Private Sector</v>
          </cell>
        </row>
        <row r="403">
          <cell r="C403" t="str">
            <v>RAMAGUNDEM - B TPS1</v>
          </cell>
          <cell r="D403" t="str">
            <v xml:space="preserve"> 45+ years</v>
          </cell>
          <cell r="E403">
            <v>48.591375769999999</v>
          </cell>
          <cell r="F403">
            <v>62.5</v>
          </cell>
          <cell r="G403">
            <v>14.266889816200552</v>
          </cell>
          <cell r="I403">
            <v>0</v>
          </cell>
          <cell r="J403">
            <v>9.6403243240578321E-2</v>
          </cell>
          <cell r="K403">
            <v>101.13047420865527</v>
          </cell>
          <cell r="L403" t="str">
            <v>Y</v>
          </cell>
          <cell r="O403" t="e">
            <v>#N/A</v>
          </cell>
          <cell r="S403" t="str">
            <v>Telangana</v>
          </cell>
          <cell r="T403" t="str">
            <v>Central Sector</v>
          </cell>
        </row>
        <row r="404">
          <cell r="C404" t="str">
            <v>RAMAGUNDEM STPS1</v>
          </cell>
          <cell r="D404" t="str">
            <v xml:space="preserve"> 35-40 years</v>
          </cell>
          <cell r="E404">
            <v>36.591375769999999</v>
          </cell>
          <cell r="F404">
            <v>200</v>
          </cell>
          <cell r="G404">
            <v>12.774416458333066</v>
          </cell>
          <cell r="H404">
            <v>4565</v>
          </cell>
          <cell r="I404">
            <v>58.315211132290443</v>
          </cell>
          <cell r="J404">
            <v>0.77016604262672705</v>
          </cell>
          <cell r="K404">
            <v>2314.9227695482609</v>
          </cell>
          <cell r="M404" t="str">
            <v>Y</v>
          </cell>
          <cell r="N404">
            <v>8.5</v>
          </cell>
          <cell r="O404">
            <v>5.9289995911005944</v>
          </cell>
          <cell r="P404">
            <v>1700</v>
          </cell>
          <cell r="R404" t="str">
            <v>Bid awarded</v>
          </cell>
          <cell r="S404" t="str">
            <v>Telangana</v>
          </cell>
          <cell r="T404" t="str">
            <v>Central Sector</v>
          </cell>
        </row>
        <row r="405">
          <cell r="C405" t="str">
            <v>RAMAGUNDEM STPS2</v>
          </cell>
          <cell r="D405" t="str">
            <v xml:space="preserve"> 35-40 years</v>
          </cell>
          <cell r="E405">
            <v>36.008213550000001</v>
          </cell>
          <cell r="F405">
            <v>200</v>
          </cell>
          <cell r="G405">
            <v>12.774416458333066</v>
          </cell>
          <cell r="H405">
            <v>4565</v>
          </cell>
          <cell r="I405">
            <v>58.315211132290443</v>
          </cell>
          <cell r="J405">
            <v>0.81461014012126876</v>
          </cell>
          <cell r="K405">
            <v>2448.5103955506211</v>
          </cell>
          <cell r="M405" t="str">
            <v>Y</v>
          </cell>
          <cell r="N405">
            <v>8.5</v>
          </cell>
          <cell r="O405">
            <v>5.9289995911005944</v>
          </cell>
          <cell r="P405">
            <v>1700</v>
          </cell>
          <cell r="R405" t="str">
            <v>Bid awarded</v>
          </cell>
          <cell r="S405" t="str">
            <v>Telangana</v>
          </cell>
          <cell r="T405" t="str">
            <v>Central Sector</v>
          </cell>
        </row>
        <row r="406">
          <cell r="C406" t="str">
            <v>RAMAGUNDEM STPS3</v>
          </cell>
          <cell r="D406" t="str">
            <v xml:space="preserve"> 35-40 years</v>
          </cell>
          <cell r="E406">
            <v>35.42231348</v>
          </cell>
          <cell r="F406">
            <v>200</v>
          </cell>
          <cell r="G406">
            <v>12.774416458333066</v>
          </cell>
          <cell r="H406">
            <v>4565</v>
          </cell>
          <cell r="I406">
            <v>58.315211132290443</v>
          </cell>
          <cell r="J406">
            <v>0.84845782397036662</v>
          </cell>
          <cell r="K406">
            <v>2550.2479037008261</v>
          </cell>
          <cell r="M406" t="str">
            <v>Y</v>
          </cell>
          <cell r="N406">
            <v>8.5</v>
          </cell>
          <cell r="O406">
            <v>5.9289995911005944</v>
          </cell>
          <cell r="P406">
            <v>1700</v>
          </cell>
          <cell r="R406" t="str">
            <v>Bid awarded</v>
          </cell>
          <cell r="S406" t="str">
            <v>Telangana</v>
          </cell>
          <cell r="T406" t="str">
            <v>Central Sector</v>
          </cell>
        </row>
        <row r="407">
          <cell r="C407" t="str">
            <v>RAMAGUNDEM STPS4</v>
          </cell>
          <cell r="D407" t="str">
            <v xml:space="preserve"> 30-35 years</v>
          </cell>
          <cell r="E407">
            <v>31.92334018</v>
          </cell>
          <cell r="F407">
            <v>500</v>
          </cell>
          <cell r="G407">
            <v>12.774416458333066</v>
          </cell>
          <cell r="H407">
            <v>4565</v>
          </cell>
          <cell r="I407">
            <v>58.315211132290443</v>
          </cell>
          <cell r="J407">
            <v>0.75336452407436827</v>
          </cell>
          <cell r="K407">
            <v>5661.0542208587449</v>
          </cell>
          <cell r="M407" t="str">
            <v>Y</v>
          </cell>
          <cell r="N407">
            <v>5.75</v>
          </cell>
          <cell r="O407">
            <v>5.9289995911005944</v>
          </cell>
          <cell r="P407">
            <v>2875</v>
          </cell>
          <cell r="R407" t="str">
            <v>Bid awarded</v>
          </cell>
          <cell r="S407" t="str">
            <v>Telangana</v>
          </cell>
          <cell r="T407" t="str">
            <v>Central Sector</v>
          </cell>
        </row>
        <row r="408">
          <cell r="C408" t="str">
            <v>RAMAGUNDEM STPS5</v>
          </cell>
          <cell r="D408" t="str">
            <v xml:space="preserve"> 30-35 years</v>
          </cell>
          <cell r="E408">
            <v>31.175906909999998</v>
          </cell>
          <cell r="F408">
            <v>500</v>
          </cell>
          <cell r="G408">
            <v>12.774416458333066</v>
          </cell>
          <cell r="H408">
            <v>4565</v>
          </cell>
          <cell r="I408">
            <v>58.315211132290443</v>
          </cell>
          <cell r="J408">
            <v>0.79002498971947488</v>
          </cell>
          <cell r="K408">
            <v>5936.5342536275721</v>
          </cell>
          <cell r="M408" t="str">
            <v>Y</v>
          </cell>
          <cell r="N408">
            <v>5.75</v>
          </cell>
          <cell r="O408">
            <v>5.9289995911005944</v>
          </cell>
          <cell r="P408">
            <v>2875</v>
          </cell>
          <cell r="R408" t="str">
            <v>Bid awarded</v>
          </cell>
          <cell r="S408" t="str">
            <v>Telangana</v>
          </cell>
          <cell r="T408" t="str">
            <v>Central Sector</v>
          </cell>
        </row>
        <row r="409">
          <cell r="C409" t="str">
            <v>RAMAGUNDEM STPS6</v>
          </cell>
          <cell r="D409" t="str">
            <v xml:space="preserve"> 30-35 years</v>
          </cell>
          <cell r="E409">
            <v>30.590006840000001</v>
          </cell>
          <cell r="F409">
            <v>500</v>
          </cell>
          <cell r="G409">
            <v>12.774416458333066</v>
          </cell>
          <cell r="H409">
            <v>4565</v>
          </cell>
          <cell r="I409">
            <v>58.315211132290443</v>
          </cell>
          <cell r="J409">
            <v>0.80353117006607411</v>
          </cell>
          <cell r="K409">
            <v>6038.024590397461</v>
          </cell>
          <cell r="M409" t="str">
            <v>Y</v>
          </cell>
          <cell r="N409">
            <v>5.75</v>
          </cell>
          <cell r="O409">
            <v>5.9289995911005944</v>
          </cell>
          <cell r="P409">
            <v>2875</v>
          </cell>
          <cell r="R409" t="str">
            <v>Bid awarded</v>
          </cell>
          <cell r="S409" t="str">
            <v>Telangana</v>
          </cell>
          <cell r="T409" t="str">
            <v>Central Sector</v>
          </cell>
        </row>
        <row r="410">
          <cell r="C410" t="str">
            <v>RAMAGUNDEM STPS7</v>
          </cell>
          <cell r="D410" t="str">
            <v xml:space="preserve"> 15-20 years</v>
          </cell>
          <cell r="E410">
            <v>15.671457910000001</v>
          </cell>
          <cell r="F410">
            <v>500</v>
          </cell>
          <cell r="G410">
            <v>12.774416458333066</v>
          </cell>
          <cell r="H410">
            <v>4385</v>
          </cell>
          <cell r="I410">
            <v>56.015816169790497</v>
          </cell>
          <cell r="J410">
            <v>0.84096982658947494</v>
          </cell>
          <cell r="K410">
            <v>6319.3522316153494</v>
          </cell>
          <cell r="N410">
            <v>5.75</v>
          </cell>
          <cell r="O410">
            <v>5.9289995911005944</v>
          </cell>
          <cell r="P410">
            <v>2875</v>
          </cell>
          <cell r="Q410">
            <v>2495.8580279710968</v>
          </cell>
          <cell r="R410" t="str">
            <v>NIT issued</v>
          </cell>
          <cell r="S410" t="str">
            <v>Telangana</v>
          </cell>
          <cell r="T410" t="str">
            <v>Central Sector</v>
          </cell>
        </row>
        <row r="411">
          <cell r="C411" t="str">
            <v>RATIJA TPS1</v>
          </cell>
          <cell r="D411" t="str">
            <v xml:space="preserve"> 5-10 years</v>
          </cell>
          <cell r="E411">
            <v>7.2525667350000003</v>
          </cell>
          <cell r="F411">
            <v>50</v>
          </cell>
          <cell r="G411">
            <v>12.22</v>
          </cell>
          <cell r="I411">
            <v>0</v>
          </cell>
          <cell r="J411">
            <v>0.79589351126472008</v>
          </cell>
          <cell r="K411">
            <v>572.10698280322822</v>
          </cell>
          <cell r="O411" t="e">
            <v>#N/A</v>
          </cell>
          <cell r="Q411">
            <v>3332.7073667591749</v>
          </cell>
          <cell r="S411" t="str">
            <v>Chhatisgarh</v>
          </cell>
          <cell r="T411" t="str">
            <v>Private Sector</v>
          </cell>
        </row>
        <row r="412">
          <cell r="C412" t="str">
            <v>RATIJA TPS2</v>
          </cell>
          <cell r="D412" t="str">
            <v xml:space="preserve"> 0-5 years</v>
          </cell>
          <cell r="E412">
            <v>3.5044490079999999</v>
          </cell>
          <cell r="F412">
            <v>50</v>
          </cell>
          <cell r="G412">
            <v>13.29</v>
          </cell>
          <cell r="I412">
            <v>0</v>
          </cell>
          <cell r="J412">
            <v>0.91863809303105015</v>
          </cell>
          <cell r="K412">
            <v>718.15883861074451</v>
          </cell>
          <cell r="O412" t="e">
            <v>#N/A</v>
          </cell>
          <cell r="Q412">
            <v>3332.7073667591749</v>
          </cell>
          <cell r="S412" t="str">
            <v>Chhatisgarh</v>
          </cell>
          <cell r="T412" t="str">
            <v>Private Sector</v>
          </cell>
        </row>
        <row r="413">
          <cell r="C413" t="str">
            <v>RAYALSEEMA TPS1</v>
          </cell>
          <cell r="D413" t="str">
            <v xml:space="preserve"> 25-30 years</v>
          </cell>
          <cell r="E413">
            <v>26.176591380000001</v>
          </cell>
          <cell r="F413">
            <v>210</v>
          </cell>
          <cell r="G413">
            <v>15.023737846064209</v>
          </cell>
          <cell r="H413">
            <v>3420</v>
          </cell>
          <cell r="I413">
            <v>51.381183433539597</v>
          </cell>
          <cell r="J413">
            <v>0.62866175032214477</v>
          </cell>
          <cell r="K413">
            <v>2333.4333640522741</v>
          </cell>
          <cell r="M413" t="str">
            <v>Y</v>
          </cell>
          <cell r="N413">
            <v>9</v>
          </cell>
          <cell r="O413" t="e">
            <v>#N/A</v>
          </cell>
          <cell r="P413">
            <v>1890</v>
          </cell>
          <cell r="R413" t="str">
            <v>Complies with new Norms</v>
          </cell>
          <cell r="S413" t="str">
            <v>Andhra Pradesh</v>
          </cell>
          <cell r="T413" t="str">
            <v>State Sector</v>
          </cell>
        </row>
        <row r="414">
          <cell r="C414" t="str">
            <v>RAYALSEEMA TPS2</v>
          </cell>
          <cell r="D414" t="str">
            <v xml:space="preserve"> 25-30 years</v>
          </cell>
          <cell r="E414">
            <v>25.25393566</v>
          </cell>
          <cell r="F414">
            <v>210</v>
          </cell>
          <cell r="G414">
            <v>15.023737846064209</v>
          </cell>
          <cell r="H414">
            <v>3420</v>
          </cell>
          <cell r="I414">
            <v>51.381183433539597</v>
          </cell>
          <cell r="J414">
            <v>0.54155199807580956</v>
          </cell>
          <cell r="K414">
            <v>2010.104002719622</v>
          </cell>
          <cell r="M414" t="str">
            <v>Y</v>
          </cell>
          <cell r="N414">
            <v>9</v>
          </cell>
          <cell r="O414" t="e">
            <v>#N/A</v>
          </cell>
          <cell r="P414">
            <v>1890</v>
          </cell>
          <cell r="R414" t="str">
            <v>Complies with new Norms</v>
          </cell>
          <cell r="S414" t="str">
            <v>Andhra Pradesh</v>
          </cell>
          <cell r="T414" t="str">
            <v>State Sector</v>
          </cell>
        </row>
        <row r="415">
          <cell r="C415" t="str">
            <v>RAYALSEEMA TPS3</v>
          </cell>
          <cell r="D415" t="str">
            <v xml:space="preserve"> 10-15 years</v>
          </cell>
          <cell r="E415">
            <v>13.33880903</v>
          </cell>
          <cell r="F415">
            <v>210</v>
          </cell>
          <cell r="G415">
            <v>14.35</v>
          </cell>
          <cell r="H415">
            <v>3420</v>
          </cell>
          <cell r="I415">
            <v>49.076999999999998</v>
          </cell>
          <cell r="J415">
            <v>0.58481607510346423</v>
          </cell>
          <cell r="K415">
            <v>2073.3449909697524</v>
          </cell>
          <cell r="N415">
            <v>9</v>
          </cell>
          <cell r="O415" t="e">
            <v>#N/A</v>
          </cell>
          <cell r="P415">
            <v>1890</v>
          </cell>
          <cell r="Q415">
            <v>2515.4480124926458</v>
          </cell>
          <cell r="R415" t="str">
            <v>Complies with new Norms</v>
          </cell>
          <cell r="S415" t="str">
            <v>Andhra Pradesh</v>
          </cell>
          <cell r="T415" t="str">
            <v>State Sector</v>
          </cell>
        </row>
        <row r="416">
          <cell r="C416" t="str">
            <v>RAYALSEEMA TPS4</v>
          </cell>
          <cell r="D416" t="str">
            <v xml:space="preserve"> 10-15 years</v>
          </cell>
          <cell r="E416">
            <v>12.5065024</v>
          </cell>
          <cell r="F416">
            <v>210</v>
          </cell>
          <cell r="G416">
            <v>14.35</v>
          </cell>
          <cell r="H416">
            <v>3420</v>
          </cell>
          <cell r="I416">
            <v>49.076999999999998</v>
          </cell>
          <cell r="J416">
            <v>0.66355590416243049</v>
          </cell>
          <cell r="K416">
            <v>2352.5008437570405</v>
          </cell>
          <cell r="N416">
            <v>9</v>
          </cell>
          <cell r="O416" t="e">
            <v>#N/A</v>
          </cell>
          <cell r="P416">
            <v>1890</v>
          </cell>
          <cell r="Q416">
            <v>2515.4480124926458</v>
          </cell>
          <cell r="R416" t="str">
            <v>Complies with new Norms</v>
          </cell>
          <cell r="S416" t="str">
            <v>Andhra Pradesh</v>
          </cell>
          <cell r="T416" t="str">
            <v>State Sector</v>
          </cell>
        </row>
        <row r="417">
          <cell r="C417" t="str">
            <v>RAYALSEEMA TPS5</v>
          </cell>
          <cell r="D417" t="str">
            <v xml:space="preserve"> 5-10 years</v>
          </cell>
          <cell r="E417">
            <v>9.4236824089999995</v>
          </cell>
          <cell r="F417">
            <v>210</v>
          </cell>
          <cell r="G417">
            <v>13.26</v>
          </cell>
          <cell r="H417">
            <v>3420</v>
          </cell>
          <cell r="I417">
            <v>45.349199999999996</v>
          </cell>
          <cell r="J417">
            <v>0.53279562247511103</v>
          </cell>
          <cell r="K417">
            <v>1745.4384592284637</v>
          </cell>
          <cell r="N417">
            <v>9</v>
          </cell>
          <cell r="O417" t="e">
            <v>#N/A</v>
          </cell>
          <cell r="P417">
            <v>1890</v>
          </cell>
          <cell r="Q417">
            <v>2515.4480124926458</v>
          </cell>
          <cell r="R417" t="str">
            <v>Complies with new Norms</v>
          </cell>
          <cell r="S417" t="str">
            <v>Andhra Pradesh</v>
          </cell>
          <cell r="T417" t="str">
            <v>State Sector</v>
          </cell>
        </row>
        <row r="418">
          <cell r="C418" t="str">
            <v>RAYALSEEMA TPS6</v>
          </cell>
          <cell r="D418" t="str">
            <v xml:space="preserve"> 0-5 years</v>
          </cell>
          <cell r="E418">
            <v>2.1163586579999998</v>
          </cell>
          <cell r="F418">
            <v>600</v>
          </cell>
          <cell r="G418">
            <v>12.59</v>
          </cell>
          <cell r="I418">
            <v>0</v>
          </cell>
          <cell r="J418">
            <v>0.33249199757213538</v>
          </cell>
          <cell r="K418">
            <v>2954.875940776365</v>
          </cell>
          <cell r="O418" t="e">
            <v>#N/A</v>
          </cell>
          <cell r="Q418">
            <v>2515.4480124926458</v>
          </cell>
          <cell r="R418" t="str">
            <v>Commitment yet to received</v>
          </cell>
          <cell r="S418" t="str">
            <v>Andhra Pradesh</v>
          </cell>
          <cell r="T418" t="str">
            <v>State Sector</v>
          </cell>
        </row>
        <row r="419">
          <cell r="C419" t="str">
            <v>RIHAND STPS1</v>
          </cell>
          <cell r="D419" t="str">
            <v xml:space="preserve"> 30-35 years</v>
          </cell>
          <cell r="E419">
            <v>32.17522245</v>
          </cell>
          <cell r="F419">
            <v>500</v>
          </cell>
          <cell r="G419">
            <v>11.988793386992912</v>
          </cell>
          <cell r="H419">
            <v>4783</v>
          </cell>
          <cell r="I419">
            <v>57.342398769987099</v>
          </cell>
          <cell r="J419">
            <v>0.87470712395018335</v>
          </cell>
          <cell r="K419">
            <v>6168.6370489232631</v>
          </cell>
          <cell r="M419" t="str">
            <v>Y</v>
          </cell>
          <cell r="N419">
            <v>7.75</v>
          </cell>
          <cell r="O419">
            <v>6.4278812690611771</v>
          </cell>
          <cell r="P419">
            <v>3875</v>
          </cell>
          <cell r="R419" t="str">
            <v>NIT issued</v>
          </cell>
          <cell r="S419" t="str">
            <v>Uttar Pradesh</v>
          </cell>
          <cell r="T419" t="str">
            <v>Central Sector</v>
          </cell>
        </row>
        <row r="420">
          <cell r="C420" t="str">
            <v>RIHAND STPS2</v>
          </cell>
          <cell r="D420" t="str">
            <v xml:space="preserve"> 30-35 years</v>
          </cell>
          <cell r="E420">
            <v>30.841889120000001</v>
          </cell>
          <cell r="F420">
            <v>500</v>
          </cell>
          <cell r="G420">
            <v>11.988793386992912</v>
          </cell>
          <cell r="H420">
            <v>4783</v>
          </cell>
          <cell r="I420">
            <v>57.342398769987099</v>
          </cell>
          <cell r="J420">
            <v>0.83154409298435328</v>
          </cell>
          <cell r="K420">
            <v>5864.2413664493142</v>
          </cell>
          <cell r="M420" t="str">
            <v>Y</v>
          </cell>
          <cell r="N420">
            <v>7.75</v>
          </cell>
          <cell r="O420">
            <v>6.4278812690611771</v>
          </cell>
          <cell r="P420">
            <v>3875</v>
          </cell>
          <cell r="R420" t="str">
            <v>NIT issued</v>
          </cell>
          <cell r="S420" t="str">
            <v>Uttar Pradesh</v>
          </cell>
          <cell r="T420" t="str">
            <v>Central Sector</v>
          </cell>
        </row>
        <row r="421">
          <cell r="C421" t="str">
            <v>RIHAND STPS3</v>
          </cell>
          <cell r="D421" t="str">
            <v xml:space="preserve"> 15-20 years</v>
          </cell>
          <cell r="E421">
            <v>15.337440109999999</v>
          </cell>
          <cell r="F421">
            <v>500</v>
          </cell>
          <cell r="G421">
            <v>11.988793386992912</v>
          </cell>
          <cell r="H421">
            <v>4783</v>
          </cell>
          <cell r="I421">
            <v>57.342398769987099</v>
          </cell>
          <cell r="J421">
            <v>0.91709584040296677</v>
          </cell>
          <cell r="K421">
            <v>6467.5720862716435</v>
          </cell>
          <cell r="N421">
            <v>5.75</v>
          </cell>
          <cell r="O421">
            <v>6.4278812690611771</v>
          </cell>
          <cell r="P421">
            <v>2875</v>
          </cell>
          <cell r="Q421">
            <v>2517.7480106753701</v>
          </cell>
          <cell r="R421" t="str">
            <v>Bid awarded</v>
          </cell>
          <cell r="S421" t="str">
            <v>Uttar Pradesh</v>
          </cell>
          <cell r="T421" t="str">
            <v>Central Sector</v>
          </cell>
        </row>
        <row r="422">
          <cell r="C422" t="str">
            <v>RIHAND STPS4</v>
          </cell>
          <cell r="D422" t="str">
            <v xml:space="preserve"> 10-15 years</v>
          </cell>
          <cell r="E422">
            <v>14.67214237</v>
          </cell>
          <cell r="F422">
            <v>500</v>
          </cell>
          <cell r="G422">
            <v>11.988793386992912</v>
          </cell>
          <cell r="H422">
            <v>4783</v>
          </cell>
          <cell r="I422">
            <v>57.342398769987099</v>
          </cell>
          <cell r="J422">
            <v>0.81937532443455663</v>
          </cell>
          <cell r="K422">
            <v>5778.4243947330497</v>
          </cell>
          <cell r="N422">
            <v>5.75</v>
          </cell>
          <cell r="O422">
            <v>6.4278812690611771</v>
          </cell>
          <cell r="P422">
            <v>2875</v>
          </cell>
          <cell r="Q422">
            <v>2517.7480106753701</v>
          </cell>
          <cell r="R422" t="str">
            <v>Bid awarded</v>
          </cell>
          <cell r="S422" t="str">
            <v>Uttar Pradesh</v>
          </cell>
          <cell r="T422" t="str">
            <v>Central Sector</v>
          </cell>
        </row>
        <row r="423">
          <cell r="C423" t="str">
            <v>RIHAND STPS5</v>
          </cell>
          <cell r="D423" t="str">
            <v xml:space="preserve"> 5-10 years</v>
          </cell>
          <cell r="E423">
            <v>8.0082135520000008</v>
          </cell>
          <cell r="F423">
            <v>500</v>
          </cell>
          <cell r="G423">
            <v>11.988793386992912</v>
          </cell>
          <cell r="H423">
            <v>4789</v>
          </cell>
          <cell r="I423">
            <v>57.414331530309056</v>
          </cell>
          <cell r="J423">
            <v>0.90138437696794171</v>
          </cell>
          <cell r="K423">
            <v>6356.7712104305792</v>
          </cell>
          <cell r="N423">
            <v>5.75</v>
          </cell>
          <cell r="O423">
            <v>6.4278812690611771</v>
          </cell>
          <cell r="P423">
            <v>2875</v>
          </cell>
          <cell r="Q423">
            <v>2517.7480106753701</v>
          </cell>
          <cell r="R423" t="str">
            <v>Bid awarded</v>
          </cell>
          <cell r="S423" t="str">
            <v>Uttar Pradesh</v>
          </cell>
          <cell r="T423" t="str">
            <v>Central Sector</v>
          </cell>
        </row>
        <row r="424">
          <cell r="C424" t="str">
            <v>RIHAND STPS6</v>
          </cell>
          <cell r="D424" t="str">
            <v xml:space="preserve"> 5-10 years</v>
          </cell>
          <cell r="E424">
            <v>6.5900068449999996</v>
          </cell>
          <cell r="F424">
            <v>500</v>
          </cell>
          <cell r="G424">
            <v>11.988793386992912</v>
          </cell>
          <cell r="H424">
            <v>4789</v>
          </cell>
          <cell r="I424">
            <v>57.414331530309056</v>
          </cell>
          <cell r="J424">
            <v>0.95479927631229988</v>
          </cell>
          <cell r="K424">
            <v>6733.4654410344228</v>
          </cell>
          <cell r="N424">
            <v>5.75</v>
          </cell>
          <cell r="O424">
            <v>6.4278812690611771</v>
          </cell>
          <cell r="P424">
            <v>2875</v>
          </cell>
          <cell r="Q424">
            <v>2517.7480106753701</v>
          </cell>
          <cell r="R424" t="str">
            <v>Bid awarded</v>
          </cell>
          <cell r="S424" t="str">
            <v>Uttar Pradesh</v>
          </cell>
          <cell r="T424" t="str">
            <v>Central Sector</v>
          </cell>
        </row>
        <row r="425">
          <cell r="C425" t="str">
            <v>ROPAR TPS1</v>
          </cell>
          <cell r="D425" t="str">
            <v xml:space="preserve"> 30-35 years</v>
          </cell>
          <cell r="E425">
            <v>35.671457910000001</v>
          </cell>
          <cell r="F425">
            <v>210</v>
          </cell>
          <cell r="G425">
            <v>14.184873556738339</v>
          </cell>
          <cell r="I425">
            <v>0</v>
          </cell>
          <cell r="J425">
            <v>6.846838197644642E-3</v>
          </cell>
          <cell r="K425">
            <v>23.994731953385237</v>
          </cell>
          <cell r="L425" t="str">
            <v>Y</v>
          </cell>
          <cell r="O425" t="e">
            <v>#N/A</v>
          </cell>
          <cell r="S425" t="str">
            <v>Punjab</v>
          </cell>
          <cell r="T425" t="str">
            <v>State Sector</v>
          </cell>
        </row>
        <row r="426">
          <cell r="C426" t="str">
            <v>ROPAR TPS2</v>
          </cell>
          <cell r="D426" t="str">
            <v xml:space="preserve"> 30-35 years</v>
          </cell>
          <cell r="E426">
            <v>35.175906910000002</v>
          </cell>
          <cell r="F426">
            <v>210</v>
          </cell>
          <cell r="G426">
            <v>14.184873556738339</v>
          </cell>
          <cell r="I426">
            <v>0</v>
          </cell>
          <cell r="J426">
            <v>3.9394895219654169E-2</v>
          </cell>
          <cell r="K426">
            <v>138.05933831655</v>
          </cell>
          <cell r="L426" t="str">
            <v>Y</v>
          </cell>
          <cell r="O426" t="e">
            <v>#N/A</v>
          </cell>
          <cell r="S426" t="str">
            <v>Punjab</v>
          </cell>
          <cell r="T426" t="str">
            <v>State Sector</v>
          </cell>
        </row>
        <row r="427">
          <cell r="C427" t="str">
            <v>ROPAR TPS3</v>
          </cell>
          <cell r="D427" t="str">
            <v xml:space="preserve"> 30-35 years</v>
          </cell>
          <cell r="E427">
            <v>32.17522245</v>
          </cell>
          <cell r="F427">
            <v>210</v>
          </cell>
          <cell r="G427">
            <v>14.184873556738339</v>
          </cell>
          <cell r="H427">
            <v>4198</v>
          </cell>
          <cell r="I427">
            <v>59.548099191187546</v>
          </cell>
          <cell r="J427">
            <v>0.17914588936757084</v>
          </cell>
          <cell r="K427">
            <v>627.81644196067032</v>
          </cell>
          <cell r="L427" t="str">
            <v>Y</v>
          </cell>
          <cell r="N427">
            <v>8.5</v>
          </cell>
          <cell r="O427" t="e">
            <v>#N/A</v>
          </cell>
          <cell r="P427">
            <v>1785</v>
          </cell>
          <cell r="R427" t="str">
            <v>NIT issued</v>
          </cell>
          <cell r="S427" t="str">
            <v>Punjab</v>
          </cell>
          <cell r="T427" t="str">
            <v>State Sector</v>
          </cell>
        </row>
        <row r="428">
          <cell r="C428" t="str">
            <v>ROPAR TPS4</v>
          </cell>
          <cell r="D428" t="str">
            <v xml:space="preserve"> 30-35 years</v>
          </cell>
          <cell r="E428">
            <v>31.337440109999999</v>
          </cell>
          <cell r="F428">
            <v>210</v>
          </cell>
          <cell r="G428">
            <v>14.184873556738339</v>
          </cell>
          <cell r="H428">
            <v>4198</v>
          </cell>
          <cell r="I428">
            <v>59.548099191187546</v>
          </cell>
          <cell r="J428">
            <v>0.1782866898438859</v>
          </cell>
          <cell r="K428">
            <v>624.80537879981034</v>
          </cell>
          <cell r="L428" t="str">
            <v>Y</v>
          </cell>
          <cell r="N428">
            <v>8.5</v>
          </cell>
          <cell r="O428" t="e">
            <v>#N/A</v>
          </cell>
          <cell r="P428">
            <v>1785</v>
          </cell>
          <cell r="R428" t="str">
            <v>NIT issued</v>
          </cell>
          <cell r="S428" t="str">
            <v>Punjab</v>
          </cell>
          <cell r="T428" t="str">
            <v>State Sector</v>
          </cell>
        </row>
        <row r="429">
          <cell r="C429" t="str">
            <v>ROPAR TPS5</v>
          </cell>
          <cell r="D429" t="str">
            <v xml:space="preserve"> 25-30 years</v>
          </cell>
          <cell r="E429">
            <v>28.17522245</v>
          </cell>
          <cell r="F429">
            <v>210</v>
          </cell>
          <cell r="G429">
            <v>14.184873556738339</v>
          </cell>
          <cell r="H429">
            <v>4198</v>
          </cell>
          <cell r="I429">
            <v>59.548099191187546</v>
          </cell>
          <cell r="J429">
            <v>0.22490620373102779</v>
          </cell>
          <cell r="K429">
            <v>788.18338003604583</v>
          </cell>
          <cell r="L429" t="str">
            <v>Y</v>
          </cell>
          <cell r="N429">
            <v>8.5</v>
          </cell>
          <cell r="O429">
            <v>7.829537889972741</v>
          </cell>
          <cell r="P429">
            <v>1785</v>
          </cell>
          <cell r="R429" t="str">
            <v>NIT issued</v>
          </cell>
          <cell r="S429" t="str">
            <v>Punjab</v>
          </cell>
          <cell r="T429" t="str">
            <v>State Sector</v>
          </cell>
        </row>
        <row r="430">
          <cell r="C430" t="str">
            <v>ROPAR TPS6</v>
          </cell>
          <cell r="D430" t="str">
            <v xml:space="preserve"> 25-30 years</v>
          </cell>
          <cell r="E430">
            <v>27.175906909999998</v>
          </cell>
          <cell r="F430">
            <v>210</v>
          </cell>
          <cell r="G430">
            <v>14.184873556738339</v>
          </cell>
          <cell r="H430">
            <v>4198</v>
          </cell>
          <cell r="I430">
            <v>59.548099191187546</v>
          </cell>
          <cell r="J430">
            <v>0.23526000481764683</v>
          </cell>
          <cell r="K430">
            <v>824.46825702606395</v>
          </cell>
          <cell r="L430" t="str">
            <v>Y</v>
          </cell>
          <cell r="N430">
            <v>8.5</v>
          </cell>
          <cell r="O430">
            <v>7.829537889972741</v>
          </cell>
          <cell r="P430">
            <v>1785</v>
          </cell>
          <cell r="R430" t="str">
            <v>NIT issued</v>
          </cell>
          <cell r="S430" t="str">
            <v>Punjab</v>
          </cell>
          <cell r="T430" t="str">
            <v>State Sector</v>
          </cell>
        </row>
        <row r="431">
          <cell r="C431" t="str">
            <v>ROSA TPP PH-I1</v>
          </cell>
          <cell r="D431" t="str">
            <v xml:space="preserve"> 10-15 years</v>
          </cell>
          <cell r="E431">
            <v>10.253251199999999</v>
          </cell>
          <cell r="F431">
            <v>300</v>
          </cell>
          <cell r="G431">
            <v>12.39701408367336</v>
          </cell>
          <cell r="I431">
            <v>0</v>
          </cell>
          <cell r="J431">
            <v>0.53850098630858056</v>
          </cell>
          <cell r="K431">
            <v>2356.1662275315771</v>
          </cell>
          <cell r="O431" t="e">
            <v>#N/A</v>
          </cell>
          <cell r="Q431">
            <v>2681.787881064085</v>
          </cell>
          <cell r="R431" t="str">
            <v>Tendering Under Process</v>
          </cell>
          <cell r="S431" t="str">
            <v>Uttar Pradesh</v>
          </cell>
          <cell r="T431" t="str">
            <v>Private Sector</v>
          </cell>
        </row>
        <row r="432">
          <cell r="C432" t="str">
            <v>ROSA TPP PH-I2</v>
          </cell>
          <cell r="D432" t="str">
            <v xml:space="preserve"> 5-10 years</v>
          </cell>
          <cell r="E432">
            <v>9.9247091029999996</v>
          </cell>
          <cell r="F432">
            <v>300</v>
          </cell>
          <cell r="G432">
            <v>12.39701408367336</v>
          </cell>
          <cell r="I432">
            <v>0</v>
          </cell>
          <cell r="J432">
            <v>0.5743855105310347</v>
          </cell>
          <cell r="K432">
            <v>2513.1759753568767</v>
          </cell>
          <cell r="O432" t="e">
            <v>#N/A</v>
          </cell>
          <cell r="Q432">
            <v>2681.787881064085</v>
          </cell>
          <cell r="R432" t="str">
            <v>Tendering Under Process</v>
          </cell>
          <cell r="S432" t="str">
            <v>Uttar Pradesh</v>
          </cell>
          <cell r="T432" t="str">
            <v>Private Sector</v>
          </cell>
        </row>
        <row r="433">
          <cell r="C433" t="str">
            <v>ROSA TPP PH-I3</v>
          </cell>
          <cell r="D433" t="str">
            <v xml:space="preserve"> 5-10 years</v>
          </cell>
          <cell r="E433">
            <v>8.4243668720000002</v>
          </cell>
          <cell r="F433">
            <v>300</v>
          </cell>
          <cell r="G433">
            <v>12.39701408367336</v>
          </cell>
          <cell r="I433">
            <v>0</v>
          </cell>
          <cell r="J433">
            <v>0.53551217566353326</v>
          </cell>
          <cell r="K433">
            <v>2343.0889354162532</v>
          </cell>
          <cell r="O433" t="e">
            <v>#N/A</v>
          </cell>
          <cell r="Q433">
            <v>2681.787881064085</v>
          </cell>
          <cell r="R433" t="str">
            <v>Tendering Under Process</v>
          </cell>
          <cell r="S433" t="str">
            <v>Uttar Pradesh</v>
          </cell>
          <cell r="T433" t="str">
            <v>Private Sector</v>
          </cell>
        </row>
        <row r="434">
          <cell r="C434" t="str">
            <v>ROSA TPP PH-I4</v>
          </cell>
          <cell r="D434" t="str">
            <v xml:space="preserve"> 5-10 years</v>
          </cell>
          <cell r="E434">
            <v>8.1752224499999997</v>
          </cell>
          <cell r="F434">
            <v>300</v>
          </cell>
          <cell r="G434">
            <v>12.39701408367336</v>
          </cell>
          <cell r="I434">
            <v>0</v>
          </cell>
          <cell r="J434">
            <v>0.53911649851490839</v>
          </cell>
          <cell r="K434">
            <v>2358.8593499399958</v>
          </cell>
          <cell r="O434" t="e">
            <v>#N/A</v>
          </cell>
          <cell r="Q434">
            <v>2681.787881064085</v>
          </cell>
          <cell r="R434" t="str">
            <v>Tendering Under Process</v>
          </cell>
          <cell r="S434" t="str">
            <v>Uttar Pradesh</v>
          </cell>
          <cell r="T434" t="str">
            <v>Private Sector</v>
          </cell>
        </row>
        <row r="435">
          <cell r="C435" t="str">
            <v>SABARMATI (D-F STATIONS) TPP1</v>
          </cell>
          <cell r="D435" t="str">
            <v xml:space="preserve"> 40-45 years</v>
          </cell>
          <cell r="E435">
            <v>41.590691309999997</v>
          </cell>
          <cell r="F435">
            <v>120</v>
          </cell>
          <cell r="G435">
            <v>11.055105494192892</v>
          </cell>
          <cell r="I435">
            <v>0</v>
          </cell>
          <cell r="J435">
            <v>0.80685983753381596</v>
          </cell>
          <cell r="K435">
            <v>1259.2829114772244</v>
          </cell>
          <cell r="M435" t="str">
            <v>Y</v>
          </cell>
          <cell r="O435" t="e">
            <v>#N/A</v>
          </cell>
          <cell r="P435">
            <v>0</v>
          </cell>
          <cell r="R435" t="str">
            <v>Feasibility Study completed</v>
          </cell>
          <cell r="S435" t="str">
            <v>Gujarat</v>
          </cell>
          <cell r="T435" t="str">
            <v>Private Sector</v>
          </cell>
        </row>
        <row r="436">
          <cell r="C436" t="str">
            <v>SABARMATI (D-F STATIONS) TPP2</v>
          </cell>
          <cell r="D436" t="str">
            <v xml:space="preserve"> 35-40 years</v>
          </cell>
          <cell r="E436">
            <v>35.42231348</v>
          </cell>
          <cell r="F436">
            <v>121</v>
          </cell>
          <cell r="G436">
            <v>11.055105494192892</v>
          </cell>
          <cell r="I436">
            <v>0</v>
          </cell>
          <cell r="J436">
            <v>0.81509637566288906</v>
          </cell>
          <cell r="K436">
            <v>1282.7389963851645</v>
          </cell>
          <cell r="M436" t="str">
            <v>Y</v>
          </cell>
          <cell r="O436" t="e">
            <v>#N/A</v>
          </cell>
          <cell r="P436">
            <v>0</v>
          </cell>
          <cell r="R436" t="str">
            <v>Feasibility Study completed</v>
          </cell>
          <cell r="S436" t="str">
            <v>Gujarat</v>
          </cell>
          <cell r="T436" t="str">
            <v>Private Sector</v>
          </cell>
        </row>
        <row r="437">
          <cell r="C437" t="str">
            <v>SABARMATI (D-F STATIONS) TPP3</v>
          </cell>
          <cell r="D437" t="str">
            <v xml:space="preserve"> 30-35 years</v>
          </cell>
          <cell r="E437">
            <v>31.671457910000001</v>
          </cell>
          <cell r="F437">
            <v>121</v>
          </cell>
          <cell r="G437">
            <v>11.055105494192892</v>
          </cell>
          <cell r="I437">
            <v>0</v>
          </cell>
          <cell r="J437">
            <v>0.8162952483112742</v>
          </cell>
          <cell r="K437">
            <v>1284.6256943802728</v>
          </cell>
          <cell r="M437" t="str">
            <v>Y</v>
          </cell>
          <cell r="O437" t="e">
            <v>#N/A</v>
          </cell>
          <cell r="P437">
            <v>0</v>
          </cell>
          <cell r="R437" t="str">
            <v>Feasibility Study completed</v>
          </cell>
          <cell r="S437" t="str">
            <v>Gujarat</v>
          </cell>
          <cell r="T437" t="str">
            <v>Private Sector</v>
          </cell>
        </row>
        <row r="438">
          <cell r="C438" t="str">
            <v>SAGARDIGHI TPS1</v>
          </cell>
          <cell r="D438" t="str">
            <v xml:space="preserve"> 10-15 years</v>
          </cell>
          <cell r="E438">
            <v>11.84120465</v>
          </cell>
          <cell r="F438">
            <v>300</v>
          </cell>
          <cell r="G438">
            <v>12.598612208655084</v>
          </cell>
          <cell r="H438">
            <v>3440</v>
          </cell>
          <cell r="I438">
            <v>43.339225997773489</v>
          </cell>
          <cell r="J438">
            <v>0.58892780556193058</v>
          </cell>
          <cell r="K438">
            <v>2618.7081321772894</v>
          </cell>
          <cell r="O438" t="e">
            <v>#N/A</v>
          </cell>
          <cell r="Q438">
            <v>3345.607356566627</v>
          </cell>
          <cell r="R438" t="str">
            <v>Feasibility study completed</v>
          </cell>
          <cell r="S438" t="str">
            <v>West Bengal</v>
          </cell>
          <cell r="T438" t="str">
            <v>State Sector</v>
          </cell>
        </row>
        <row r="439">
          <cell r="C439" t="str">
            <v>SAGARDIGHI TPS2</v>
          </cell>
          <cell r="D439" t="str">
            <v xml:space="preserve"> 10-15 years</v>
          </cell>
          <cell r="E439">
            <v>12.42436687</v>
          </cell>
          <cell r="F439">
            <v>300</v>
          </cell>
          <cell r="G439">
            <v>12.598612208655084</v>
          </cell>
          <cell r="H439">
            <v>3440</v>
          </cell>
          <cell r="I439">
            <v>43.339225997773489</v>
          </cell>
          <cell r="J439">
            <v>0.41517891214616254</v>
          </cell>
          <cell r="K439">
            <v>1846.1216863555692</v>
          </cell>
          <cell r="O439" t="e">
            <v>#N/A</v>
          </cell>
          <cell r="Q439">
            <v>3345.607356566627</v>
          </cell>
          <cell r="R439" t="str">
            <v>Feasibility study completed</v>
          </cell>
          <cell r="S439" t="str">
            <v>West Bengal</v>
          </cell>
          <cell r="T439" t="str">
            <v>State Sector</v>
          </cell>
        </row>
        <row r="440">
          <cell r="C440" t="str">
            <v>SAGARDIGHI TPS3</v>
          </cell>
          <cell r="D440" t="str">
            <v xml:space="preserve"> 0-5 years</v>
          </cell>
          <cell r="E440">
            <v>4.4243668720000002</v>
          </cell>
          <cell r="F440">
            <v>500</v>
          </cell>
          <cell r="G440">
            <v>12.598612208655084</v>
          </cell>
          <cell r="H440">
            <v>3440</v>
          </cell>
          <cell r="I440">
            <v>43.339225997773489</v>
          </cell>
          <cell r="J440">
            <v>0.45223191974697913</v>
          </cell>
          <cell r="K440">
            <v>3351.4674030987162</v>
          </cell>
          <cell r="O440" t="e">
            <v>#N/A</v>
          </cell>
          <cell r="Q440">
            <v>3345.607356566627</v>
          </cell>
          <cell r="R440" t="str">
            <v>Feasibility Study completed.</v>
          </cell>
          <cell r="S440" t="str">
            <v>West Bengal</v>
          </cell>
          <cell r="T440" t="str">
            <v>State Sector</v>
          </cell>
        </row>
        <row r="441">
          <cell r="C441" t="str">
            <v>SAGARDIGHI TPS4</v>
          </cell>
          <cell r="D441" t="str">
            <v xml:space="preserve"> 0-5 years</v>
          </cell>
          <cell r="E441">
            <v>3.422313484</v>
          </cell>
          <cell r="F441">
            <v>500</v>
          </cell>
          <cell r="G441">
            <v>12.598612208655084</v>
          </cell>
          <cell r="H441">
            <v>3440</v>
          </cell>
          <cell r="I441">
            <v>43.339225997773489</v>
          </cell>
          <cell r="J441">
            <v>0.38911284996262746</v>
          </cell>
          <cell r="K441">
            <v>2883.6952365198426</v>
          </cell>
          <cell r="O441" t="e">
            <v>#N/A</v>
          </cell>
          <cell r="Q441">
            <v>3345.607356566627</v>
          </cell>
          <cell r="R441" t="str">
            <v>Feasibility Study completed.</v>
          </cell>
          <cell r="S441" t="str">
            <v>West Bengal</v>
          </cell>
          <cell r="T441" t="str">
            <v>State Sector</v>
          </cell>
        </row>
        <row r="442">
          <cell r="C442" t="str">
            <v>SALAYA TPP1</v>
          </cell>
          <cell r="D442" t="str">
            <v xml:space="preserve"> 5-10 years</v>
          </cell>
          <cell r="E442">
            <v>8.3394934979999995</v>
          </cell>
          <cell r="F442">
            <v>600</v>
          </cell>
          <cell r="G442">
            <v>10.397199845435228</v>
          </cell>
          <cell r="I442">
            <v>0</v>
          </cell>
          <cell r="J442">
            <v>0.21215856009420556</v>
          </cell>
          <cell r="K442">
            <v>1557.0740810959305</v>
          </cell>
          <cell r="O442" t="e">
            <v>#N/A</v>
          </cell>
          <cell r="Q442">
            <v>2506.1580198328611</v>
          </cell>
          <cell r="R442" t="str">
            <v>Feasibility study under process</v>
          </cell>
          <cell r="S442" t="str">
            <v>Gujarat</v>
          </cell>
          <cell r="T442" t="str">
            <v>Private Sector</v>
          </cell>
        </row>
        <row r="443">
          <cell r="C443" t="str">
            <v>SALAYA TPP2</v>
          </cell>
          <cell r="D443" t="str">
            <v xml:space="preserve"> 5-10 years</v>
          </cell>
          <cell r="E443">
            <v>7.9233401780000001</v>
          </cell>
          <cell r="F443">
            <v>600</v>
          </cell>
          <cell r="G443">
            <v>10.397199845435228</v>
          </cell>
          <cell r="I443">
            <v>0</v>
          </cell>
          <cell r="J443">
            <v>0.15690511748307431</v>
          </cell>
          <cell r="K443">
            <v>1151.5580211127176</v>
          </cell>
          <cell r="O443" t="e">
            <v>#N/A</v>
          </cell>
          <cell r="Q443">
            <v>2506.1580198328611</v>
          </cell>
          <cell r="R443" t="str">
            <v>Feasibility study under process</v>
          </cell>
          <cell r="S443" t="str">
            <v>Gujarat</v>
          </cell>
          <cell r="T443" t="str">
            <v>Private Sector</v>
          </cell>
        </row>
        <row r="444">
          <cell r="C444" t="str">
            <v>SANJAY GANDHI TPS1</v>
          </cell>
          <cell r="D444" t="str">
            <v xml:space="preserve"> 25-30 years</v>
          </cell>
          <cell r="E444">
            <v>27.175906909999998</v>
          </cell>
          <cell r="F444">
            <v>210</v>
          </cell>
          <cell r="G444">
            <v>13.707682017189684</v>
          </cell>
          <cell r="I444">
            <v>0</v>
          </cell>
          <cell r="J444">
            <v>0.62189879512551394</v>
          </cell>
          <cell r="K444">
            <v>2106.1248181121496</v>
          </cell>
          <cell r="M444" t="str">
            <v>Y</v>
          </cell>
          <cell r="N444">
            <v>8.3495046249188931</v>
          </cell>
          <cell r="O444">
            <v>8.3495046249188931</v>
          </cell>
          <cell r="P444">
            <v>1753.3959712329674</v>
          </cell>
          <cell r="R444" t="str">
            <v>Feasibility study under process</v>
          </cell>
          <cell r="S444" t="str">
            <v>Madhya Pradesh</v>
          </cell>
          <cell r="T444" t="str">
            <v>State Sector</v>
          </cell>
        </row>
        <row r="445">
          <cell r="C445" t="str">
            <v>SANJAY GANDHI TPS2</v>
          </cell>
          <cell r="D445" t="str">
            <v xml:space="preserve"> 25-30 years</v>
          </cell>
          <cell r="E445">
            <v>27.175906909999998</v>
          </cell>
          <cell r="F445">
            <v>210</v>
          </cell>
          <cell r="G445">
            <v>13.707682017189684</v>
          </cell>
          <cell r="I445">
            <v>0</v>
          </cell>
          <cell r="J445">
            <v>0.55695314280080954</v>
          </cell>
          <cell r="K445">
            <v>1886.1796256440782</v>
          </cell>
          <cell r="M445" t="str">
            <v>Y</v>
          </cell>
          <cell r="N445">
            <v>8.3495046249188931</v>
          </cell>
          <cell r="O445">
            <v>8.3495046249188931</v>
          </cell>
          <cell r="P445">
            <v>1753.3959712329674</v>
          </cell>
          <cell r="R445" t="str">
            <v>Feasibility study under process</v>
          </cell>
          <cell r="S445" t="str">
            <v>Madhya Pradesh</v>
          </cell>
          <cell r="T445" t="str">
            <v>State Sector</v>
          </cell>
        </row>
        <row r="446">
          <cell r="C446" t="str">
            <v>SANJAY GANDHI TPS3</v>
          </cell>
          <cell r="D446" t="str">
            <v xml:space="preserve"> 20-25 years</v>
          </cell>
          <cell r="E446">
            <v>21.25393566</v>
          </cell>
          <cell r="F446">
            <v>210</v>
          </cell>
          <cell r="G446">
            <v>13.707682017189684</v>
          </cell>
          <cell r="I446">
            <v>0</v>
          </cell>
          <cell r="J446">
            <v>0.51969051668786703</v>
          </cell>
          <cell r="K446">
            <v>1759.9858747321423</v>
          </cell>
          <cell r="N446">
            <v>8.3495046249188931</v>
          </cell>
          <cell r="O446">
            <v>8.3495046249188931</v>
          </cell>
          <cell r="P446">
            <v>1753.3959712329674</v>
          </cell>
          <cell r="Q446">
            <v>2605.358448</v>
          </cell>
          <cell r="R446" t="str">
            <v>Feasibility study under process</v>
          </cell>
          <cell r="S446" t="str">
            <v>Madhya Pradesh</v>
          </cell>
          <cell r="T446" t="str">
            <v>State Sector</v>
          </cell>
        </row>
        <row r="447">
          <cell r="C447" t="str">
            <v>SANJAY GANDHI TPS4</v>
          </cell>
          <cell r="D447" t="str">
            <v xml:space="preserve"> 20-25 years</v>
          </cell>
          <cell r="E447">
            <v>20.506502399999999</v>
          </cell>
          <cell r="F447">
            <v>210</v>
          </cell>
          <cell r="G447">
            <v>13.707682017189684</v>
          </cell>
          <cell r="I447">
            <v>0</v>
          </cell>
          <cell r="J447">
            <v>0.66494624314522022</v>
          </cell>
          <cell r="K447">
            <v>2251.9094688323653</v>
          </cell>
          <cell r="N447">
            <v>8.3495046249188931</v>
          </cell>
          <cell r="O447">
            <v>8.3495046249188931</v>
          </cell>
          <cell r="P447">
            <v>1753.3959712329674</v>
          </cell>
          <cell r="Q447">
            <v>2605.358448</v>
          </cell>
          <cell r="R447" t="str">
            <v>Feasbility Study Under Progress</v>
          </cell>
          <cell r="S447" t="str">
            <v>Madhya Pradesh</v>
          </cell>
          <cell r="T447" t="str">
            <v>State Sector</v>
          </cell>
        </row>
        <row r="448">
          <cell r="C448" t="str">
            <v>SANJAY GANDHI TPS5</v>
          </cell>
          <cell r="D448" t="str">
            <v xml:space="preserve"> 10-15 years</v>
          </cell>
          <cell r="E448">
            <v>12.925393570000001</v>
          </cell>
          <cell r="F448">
            <v>500</v>
          </cell>
          <cell r="G448">
            <v>13.707682017189684</v>
          </cell>
          <cell r="I448">
            <v>0</v>
          </cell>
          <cell r="J448">
            <v>0.7927730313811342</v>
          </cell>
          <cell r="K448">
            <v>6392.4003682212515</v>
          </cell>
          <cell r="N448">
            <v>8.3495046249188931</v>
          </cell>
          <cell r="O448">
            <v>8.3495046249188931</v>
          </cell>
          <cell r="P448">
            <v>4174.7523124594463</v>
          </cell>
          <cell r="Q448">
            <v>2605.358448</v>
          </cell>
          <cell r="R448" t="str">
            <v>Feasbility Study Under Progress</v>
          </cell>
          <cell r="S448" t="str">
            <v>Madhya Pradesh</v>
          </cell>
          <cell r="T448" t="str">
            <v>State Sector</v>
          </cell>
        </row>
        <row r="449">
          <cell r="C449" t="str">
            <v>SANTALDIH TPS5</v>
          </cell>
          <cell r="D449" t="str">
            <v xml:space="preserve"> 10-15 years</v>
          </cell>
          <cell r="E449">
            <v>11.09103354</v>
          </cell>
          <cell r="F449">
            <v>250</v>
          </cell>
          <cell r="G449">
            <v>13.260661642857041</v>
          </cell>
          <cell r="H449">
            <v>3812</v>
          </cell>
          <cell r="I449">
            <v>50.549642182571041</v>
          </cell>
          <cell r="J449">
            <v>0.74505864153548174</v>
          </cell>
          <cell r="K449">
            <v>2905.8736910260991</v>
          </cell>
          <cell r="O449" t="e">
            <v>#N/A</v>
          </cell>
          <cell r="Q449">
            <v>2531.4743960000001</v>
          </cell>
          <cell r="R449" t="str">
            <v>Feasibility study completed</v>
          </cell>
          <cell r="S449" t="str">
            <v>West Bengal</v>
          </cell>
          <cell r="T449" t="str">
            <v>State Sector</v>
          </cell>
        </row>
        <row r="450">
          <cell r="C450" t="str">
            <v>SANTALDIH TPS6</v>
          </cell>
          <cell r="D450" t="str">
            <v xml:space="preserve"> 5-10 years</v>
          </cell>
          <cell r="E450">
            <v>8.594113621</v>
          </cell>
          <cell r="F450">
            <v>250</v>
          </cell>
          <cell r="G450">
            <v>13.260661642857041</v>
          </cell>
          <cell r="H450">
            <v>3812</v>
          </cell>
          <cell r="I450">
            <v>50.549642182571041</v>
          </cell>
          <cell r="J450">
            <v>0.84091430860862326</v>
          </cell>
          <cell r="K450">
            <v>3279.7294462047116</v>
          </cell>
          <cell r="O450" t="e">
            <v>#N/A</v>
          </cell>
          <cell r="Q450">
            <v>2531.4743960000001</v>
          </cell>
          <cell r="R450" t="str">
            <v>Feasibility study completed</v>
          </cell>
          <cell r="S450" t="str">
            <v>West Bengal</v>
          </cell>
          <cell r="T450" t="str">
            <v>State Sector</v>
          </cell>
        </row>
        <row r="451">
          <cell r="C451" t="str">
            <v>SASAN UMPTPP1</v>
          </cell>
          <cell r="D451" t="str">
            <v xml:space="preserve"> 5-10 years</v>
          </cell>
          <cell r="E451">
            <v>7.0088980149999998</v>
          </cell>
          <cell r="F451">
            <v>660</v>
          </cell>
          <cell r="G451">
            <v>11.336818018667429</v>
          </cell>
          <cell r="I451">
            <v>0</v>
          </cell>
          <cell r="J451">
            <v>0.95705514270795466</v>
          </cell>
          <cell r="K451">
            <v>8424.6748132100147</v>
          </cell>
          <cell r="O451" t="e">
            <v>#N/A</v>
          </cell>
          <cell r="Q451">
            <v>2365.8026479999999</v>
          </cell>
          <cell r="R451" t="str">
            <v>Tender Floated</v>
          </cell>
          <cell r="S451" t="str">
            <v>Madhya Pradesh</v>
          </cell>
          <cell r="T451" t="str">
            <v>Private Sector</v>
          </cell>
        </row>
        <row r="452">
          <cell r="C452" t="str">
            <v>SASAN UMPTPP2</v>
          </cell>
          <cell r="D452" t="str">
            <v xml:space="preserve"> 5-10 years</v>
          </cell>
          <cell r="E452">
            <v>6.4229979469999998</v>
          </cell>
          <cell r="F452">
            <v>660</v>
          </cell>
          <cell r="G452">
            <v>11.336818018667429</v>
          </cell>
          <cell r="I452">
            <v>0</v>
          </cell>
          <cell r="J452">
            <v>0.96046733690089647</v>
          </cell>
          <cell r="K452">
            <v>8454.7113546716919</v>
          </cell>
          <cell r="O452" t="e">
            <v>#N/A</v>
          </cell>
          <cell r="Q452">
            <v>2365.8026479999999</v>
          </cell>
          <cell r="R452" t="str">
            <v>Tender Floated</v>
          </cell>
          <cell r="S452" t="str">
            <v>Madhya Pradesh</v>
          </cell>
          <cell r="T452" t="str">
            <v>Private Sector</v>
          </cell>
        </row>
        <row r="453">
          <cell r="C453" t="str">
            <v>SASAN UMPTPP3</v>
          </cell>
          <cell r="D453" t="str">
            <v xml:space="preserve"> 5-10 years</v>
          </cell>
          <cell r="E453">
            <v>6.0095824779999996</v>
          </cell>
          <cell r="F453">
            <v>660</v>
          </cell>
          <cell r="G453">
            <v>11.336818018667429</v>
          </cell>
          <cell r="I453">
            <v>0</v>
          </cell>
          <cell r="J453">
            <v>0.93200441626645836</v>
          </cell>
          <cell r="K453">
            <v>8204.1606393797119</v>
          </cell>
          <cell r="O453" t="e">
            <v>#N/A</v>
          </cell>
          <cell r="Q453">
            <v>2365.8026479999999</v>
          </cell>
          <cell r="R453" t="str">
            <v>Tender Floated</v>
          </cell>
          <cell r="S453" t="str">
            <v>Madhya Pradesh</v>
          </cell>
          <cell r="T453" t="str">
            <v>Private Sector</v>
          </cell>
        </row>
        <row r="454">
          <cell r="C454" t="str">
            <v>SASAN UMPTPP4</v>
          </cell>
          <cell r="D454" t="str">
            <v xml:space="preserve"> 5-10 years</v>
          </cell>
          <cell r="E454">
            <v>6.1765913760000002</v>
          </cell>
          <cell r="F454">
            <v>660</v>
          </cell>
          <cell r="G454">
            <v>11.336818018667429</v>
          </cell>
          <cell r="I454">
            <v>0</v>
          </cell>
          <cell r="J454">
            <v>0.91517946693685603</v>
          </cell>
          <cell r="K454">
            <v>8056.0555610771444</v>
          </cell>
          <cell r="O454" t="e">
            <v>#N/A</v>
          </cell>
          <cell r="Q454">
            <v>2365.8026479999999</v>
          </cell>
          <cell r="R454" t="str">
            <v>Tender Floated</v>
          </cell>
          <cell r="S454" t="str">
            <v>Madhya Pradesh</v>
          </cell>
          <cell r="T454" t="str">
            <v>Private Sector</v>
          </cell>
        </row>
        <row r="455">
          <cell r="C455" t="str">
            <v>SASAN UMPTPP5</v>
          </cell>
          <cell r="D455" t="str">
            <v xml:space="preserve"> 5-10 years</v>
          </cell>
          <cell r="E455">
            <v>5.7577002049999999</v>
          </cell>
          <cell r="F455">
            <v>660</v>
          </cell>
          <cell r="G455">
            <v>11.336818018667429</v>
          </cell>
          <cell r="I455">
            <v>0</v>
          </cell>
          <cell r="J455">
            <v>0.98467871371886351</v>
          </cell>
          <cell r="K455">
            <v>8667.8369807399358</v>
          </cell>
          <cell r="O455" t="e">
            <v>#N/A</v>
          </cell>
          <cell r="Q455">
            <v>2365.8026479999999</v>
          </cell>
          <cell r="R455" t="str">
            <v>Tender Floated</v>
          </cell>
          <cell r="S455" t="str">
            <v>Madhya Pradesh</v>
          </cell>
          <cell r="T455" t="str">
            <v>Private Sector</v>
          </cell>
        </row>
        <row r="456">
          <cell r="C456" t="str">
            <v>SASAN UMPTPP6</v>
          </cell>
          <cell r="D456" t="str">
            <v xml:space="preserve"> 5-10 years</v>
          </cell>
          <cell r="E456">
            <v>5.1772758379999999</v>
          </cell>
          <cell r="F456">
            <v>660</v>
          </cell>
          <cell r="G456">
            <v>11.336818018667429</v>
          </cell>
          <cell r="I456">
            <v>0</v>
          </cell>
          <cell r="J456">
            <v>0.9670131090699432</v>
          </cell>
          <cell r="K456">
            <v>8512.3318610194729</v>
          </cell>
          <cell r="O456" t="e">
            <v>#N/A</v>
          </cell>
          <cell r="Q456">
            <v>2365.8026479999999</v>
          </cell>
          <cell r="R456" t="str">
            <v>Tender Floated</v>
          </cell>
          <cell r="S456" t="str">
            <v>Madhya Pradesh</v>
          </cell>
          <cell r="T456" t="str">
            <v>Private Sector</v>
          </cell>
        </row>
        <row r="457">
          <cell r="C457" t="str">
            <v>SATPURA TPS10</v>
          </cell>
          <cell r="D457" t="str">
            <v xml:space="preserve"> 5-10 years</v>
          </cell>
          <cell r="E457">
            <v>7.1759069130000004</v>
          </cell>
          <cell r="F457">
            <v>250</v>
          </cell>
          <cell r="G457">
            <v>13.26</v>
          </cell>
          <cell r="I457">
            <v>0</v>
          </cell>
          <cell r="J457">
            <v>0.71062352360941838</v>
          </cell>
          <cell r="K457">
            <v>2771.431742076732</v>
          </cell>
          <cell r="N457">
            <v>7.1922854695602778</v>
          </cell>
          <cell r="O457">
            <v>7.1922854695602778</v>
          </cell>
          <cell r="P457">
            <v>1798.0713673900696</v>
          </cell>
          <cell r="Q457">
            <v>3232.4874459450011</v>
          </cell>
          <cell r="R457" t="str">
            <v>Feasbility Study Under Progress</v>
          </cell>
          <cell r="S457" t="str">
            <v>Madhya Pradesh</v>
          </cell>
          <cell r="T457" t="str">
            <v>State Sector</v>
          </cell>
        </row>
        <row r="458">
          <cell r="C458" t="str">
            <v>SATPURA TPS11</v>
          </cell>
          <cell r="D458" t="str">
            <v xml:space="preserve"> 5-10 years</v>
          </cell>
          <cell r="E458">
            <v>6.4229979469999998</v>
          </cell>
          <cell r="F458">
            <v>250</v>
          </cell>
          <cell r="G458">
            <v>13.26</v>
          </cell>
          <cell r="I458">
            <v>0</v>
          </cell>
          <cell r="J458">
            <v>0.75703006999300004</v>
          </cell>
          <cell r="K458">
            <v>2952.4172729727002</v>
          </cell>
          <cell r="N458">
            <v>7.1922854695602778</v>
          </cell>
          <cell r="O458">
            <v>7.1922854695602778</v>
          </cell>
          <cell r="P458">
            <v>1798.0713673900696</v>
          </cell>
          <cell r="Q458">
            <v>3232.4874459450011</v>
          </cell>
          <cell r="R458" t="str">
            <v>Feasbility Study Under Progress</v>
          </cell>
          <cell r="S458" t="str">
            <v>Madhya Pradesh</v>
          </cell>
          <cell r="T458" t="str">
            <v>State Sector</v>
          </cell>
        </row>
        <row r="459">
          <cell r="C459" t="str">
            <v>SATPURA TPS6</v>
          </cell>
          <cell r="D459" t="str">
            <v xml:space="preserve"> 40-45 years</v>
          </cell>
          <cell r="E459">
            <v>40.843258040000002</v>
          </cell>
          <cell r="F459">
            <v>200</v>
          </cell>
          <cell r="G459">
            <v>15.028446018017778</v>
          </cell>
          <cell r="I459">
            <v>0</v>
          </cell>
          <cell r="J459">
            <v>0.48036453349106251</v>
          </cell>
          <cell r="K459">
            <v>1698.6194024801709</v>
          </cell>
          <cell r="L459" t="str">
            <v>Y</v>
          </cell>
          <cell r="O459" t="e">
            <v>#N/A</v>
          </cell>
          <cell r="S459" t="str">
            <v>Madhya Pradesh</v>
          </cell>
          <cell r="T459" t="str">
            <v>State Sector</v>
          </cell>
        </row>
        <row r="460">
          <cell r="C460" t="str">
            <v>SATPURA TPS7</v>
          </cell>
          <cell r="D460" t="str">
            <v xml:space="preserve"> 35-40 years</v>
          </cell>
          <cell r="E460">
            <v>39.671457910000001</v>
          </cell>
          <cell r="F460">
            <v>210</v>
          </cell>
          <cell r="G460">
            <v>15.028446018017778</v>
          </cell>
          <cell r="I460">
            <v>0</v>
          </cell>
          <cell r="J460">
            <v>0.39707521536688301</v>
          </cell>
          <cell r="K460">
            <v>1474.3046143989843</v>
          </cell>
          <cell r="L460" t="str">
            <v>Y</v>
          </cell>
          <cell r="O460" t="e">
            <v>#N/A</v>
          </cell>
          <cell r="S460" t="str">
            <v>Madhya Pradesh</v>
          </cell>
          <cell r="T460" t="str">
            <v>State Sector</v>
          </cell>
        </row>
        <row r="461">
          <cell r="C461" t="str">
            <v>SATPURA TPS8</v>
          </cell>
          <cell r="D461" t="str">
            <v xml:space="preserve"> 35-40 years</v>
          </cell>
          <cell r="E461">
            <v>37.33880903</v>
          </cell>
          <cell r="F461">
            <v>210</v>
          </cell>
          <cell r="G461">
            <v>15.028446018017778</v>
          </cell>
          <cell r="I461">
            <v>0</v>
          </cell>
          <cell r="J461">
            <v>0.49660779256703175</v>
          </cell>
          <cell r="K461">
            <v>1843.8601347897973</v>
          </cell>
          <cell r="L461" t="str">
            <v>Y</v>
          </cell>
          <cell r="O461" t="e">
            <v>#N/A</v>
          </cell>
          <cell r="S461" t="str">
            <v>Madhya Pradesh</v>
          </cell>
          <cell r="T461" t="str">
            <v>State Sector</v>
          </cell>
        </row>
        <row r="462">
          <cell r="C462" t="str">
            <v>SATPURA TPS9</v>
          </cell>
          <cell r="D462" t="str">
            <v xml:space="preserve"> 35-40 years</v>
          </cell>
          <cell r="E462">
            <v>36.254620119999998</v>
          </cell>
          <cell r="F462">
            <v>210</v>
          </cell>
          <cell r="G462">
            <v>15.028446018017778</v>
          </cell>
          <cell r="I462">
            <v>0</v>
          </cell>
          <cell r="J462">
            <v>0.30703743668603967</v>
          </cell>
          <cell r="K462">
            <v>1140.0024282080078</v>
          </cell>
          <cell r="L462" t="str">
            <v>Y</v>
          </cell>
          <cell r="O462" t="e">
            <v>#N/A</v>
          </cell>
          <cell r="S462" t="str">
            <v>Madhya Pradesh</v>
          </cell>
          <cell r="T462" t="str">
            <v>State Sector</v>
          </cell>
        </row>
        <row r="463">
          <cell r="C463" t="str">
            <v>SEIONI TPP1</v>
          </cell>
          <cell r="D463" t="str">
            <v xml:space="preserve"> 0-5 years</v>
          </cell>
          <cell r="E463">
            <v>4.1752224499999997</v>
          </cell>
          <cell r="F463">
            <v>600</v>
          </cell>
          <cell r="G463">
            <v>14.915095828740231</v>
          </cell>
          <cell r="H463">
            <v>3978</v>
          </cell>
          <cell r="I463">
            <v>59.332251206728635</v>
          </cell>
          <cell r="J463">
            <v>0.48200416850586458</v>
          </cell>
          <cell r="K463">
            <v>5074.6859033768642</v>
          </cell>
          <cell r="N463">
            <v>5.75</v>
          </cell>
          <cell r="O463" t="e">
            <v>#N/A</v>
          </cell>
          <cell r="P463">
            <v>3450</v>
          </cell>
          <cell r="Q463">
            <v>2517.85754</v>
          </cell>
          <cell r="R463" t="str">
            <v>Feasibility Study completed</v>
          </cell>
          <cell r="S463" t="str">
            <v>Madhya Pradesh</v>
          </cell>
          <cell r="T463" t="str">
            <v>Private Sector</v>
          </cell>
        </row>
        <row r="464">
          <cell r="C464" t="str">
            <v>SEMBCORP GAYATRI P. LTD1</v>
          </cell>
          <cell r="D464" t="str">
            <v xml:space="preserve"> 0-5 years</v>
          </cell>
          <cell r="E464">
            <v>3.5044490079999999</v>
          </cell>
          <cell r="F464">
            <v>660</v>
          </cell>
          <cell r="G464">
            <v>10.387778043849782</v>
          </cell>
          <cell r="I464">
            <v>0</v>
          </cell>
          <cell r="J464">
            <v>0.79529136432477909</v>
          </cell>
          <cell r="K464">
            <v>6414.6643694653458</v>
          </cell>
          <cell r="O464" t="e">
            <v>#N/A</v>
          </cell>
          <cell r="Q464">
            <v>2517.85754</v>
          </cell>
          <cell r="R464" t="str">
            <v>Pilot plant trial under progress</v>
          </cell>
          <cell r="S464" t="str">
            <v>Andhra Pradesh</v>
          </cell>
          <cell r="T464" t="str">
            <v>Private Sector</v>
          </cell>
        </row>
        <row r="465">
          <cell r="C465" t="str">
            <v>SEMBCORP GAYATRI P. LTD2</v>
          </cell>
          <cell r="D465" t="str">
            <v xml:space="preserve"> 0-5 years</v>
          </cell>
          <cell r="E465">
            <v>3.16495551</v>
          </cell>
          <cell r="F465">
            <v>660</v>
          </cell>
          <cell r="G465">
            <v>10.387778043849782</v>
          </cell>
          <cell r="I465">
            <v>0</v>
          </cell>
          <cell r="J465">
            <v>0.79947265746568186</v>
          </cell>
          <cell r="K465">
            <v>6448.3898609423095</v>
          </cell>
          <cell r="O465" t="e">
            <v>#N/A</v>
          </cell>
          <cell r="Q465">
            <v>2517.85754</v>
          </cell>
          <cell r="R465" t="str">
            <v>Feasibility study under process</v>
          </cell>
          <cell r="S465" t="str">
            <v>Andhra Pradesh</v>
          </cell>
          <cell r="T465" t="str">
            <v>Private Sector</v>
          </cell>
        </row>
        <row r="466">
          <cell r="C466" t="str">
            <v>SHIRPUR TPP1</v>
          </cell>
          <cell r="D466" t="str">
            <v xml:space="preserve"> 0-5 years</v>
          </cell>
          <cell r="E466">
            <v>2.603696099</v>
          </cell>
          <cell r="F466">
            <v>150</v>
          </cell>
          <cell r="G466">
            <v>13.98</v>
          </cell>
          <cell r="I466">
            <v>0</v>
          </cell>
          <cell r="J466">
            <v>2.5185185185185172E-3</v>
          </cell>
          <cell r="K466">
            <v>6.2133333333333303</v>
          </cell>
          <cell r="O466" t="e">
            <v>#N/A</v>
          </cell>
          <cell r="Q466">
            <v>2517.85754</v>
          </cell>
          <cell r="R466" t="str">
            <v>Feasibility study under process</v>
          </cell>
          <cell r="S466" t="str">
            <v>Maharashtra</v>
          </cell>
          <cell r="T466" t="str">
            <v>Private Sector</v>
          </cell>
        </row>
        <row r="467">
          <cell r="C467" t="str">
            <v>SHREE SINGAJI TPP1</v>
          </cell>
          <cell r="D467" t="str">
            <v xml:space="preserve"> 5-10 years</v>
          </cell>
          <cell r="E467">
            <v>6.5051334699999996</v>
          </cell>
          <cell r="F467">
            <v>600</v>
          </cell>
          <cell r="G467">
            <v>14.848206119856593</v>
          </cell>
          <cell r="I467">
            <v>0</v>
          </cell>
          <cell r="J467">
            <v>0.51281763124423196</v>
          </cell>
          <cell r="K467">
            <v>5374.8860404312709</v>
          </cell>
          <cell r="O467" t="e">
            <v>#N/A</v>
          </cell>
          <cell r="Q467">
            <v>2376.393536</v>
          </cell>
          <cell r="R467" t="str">
            <v>NIT issued</v>
          </cell>
          <cell r="S467" t="str">
            <v>Madhya Pradesh</v>
          </cell>
          <cell r="T467" t="str">
            <v>State Sector</v>
          </cell>
        </row>
        <row r="468">
          <cell r="C468" t="str">
            <v>SHREE SINGAJI TPP2</v>
          </cell>
          <cell r="D468" t="str">
            <v xml:space="preserve"> 5-10 years</v>
          </cell>
          <cell r="E468">
            <v>5.5906913070000002</v>
          </cell>
          <cell r="F468">
            <v>600</v>
          </cell>
          <cell r="G468">
            <v>14.848206119856593</v>
          </cell>
          <cell r="I468">
            <v>0</v>
          </cell>
          <cell r="J468">
            <v>0.48362332593809515</v>
          </cell>
          <cell r="K468">
            <v>5068.897996164299</v>
          </cell>
          <cell r="O468" t="e">
            <v>#N/A</v>
          </cell>
          <cell r="Q468">
            <v>2376.393536</v>
          </cell>
          <cell r="R468" t="str">
            <v>NIT issued</v>
          </cell>
          <cell r="S468" t="str">
            <v>Madhya Pradesh</v>
          </cell>
          <cell r="T468" t="str">
            <v>State Sector</v>
          </cell>
        </row>
        <row r="469">
          <cell r="C469" t="str">
            <v>SHREE SINGAJI TPP3</v>
          </cell>
          <cell r="D469" t="str">
            <v xml:space="preserve"> 0-5 years</v>
          </cell>
          <cell r="E469">
            <v>1.453798768</v>
          </cell>
          <cell r="F469">
            <v>660</v>
          </cell>
          <cell r="G469">
            <v>12.59</v>
          </cell>
          <cell r="I469">
            <v>0</v>
          </cell>
          <cell r="J469">
            <v>0.48589889523994384</v>
          </cell>
          <cell r="K469">
            <v>4750.0332707138696</v>
          </cell>
          <cell r="O469" t="e">
            <v>#N/A</v>
          </cell>
          <cell r="Q469" t="e">
            <v>#N/A</v>
          </cell>
          <cell r="S469" t="str">
            <v>Madhya Pradesh</v>
          </cell>
          <cell r="T469" t="str">
            <v>State Sector</v>
          </cell>
        </row>
        <row r="470">
          <cell r="C470" t="str">
            <v>SHREE SINGAJI TPP4</v>
          </cell>
          <cell r="D470" t="str">
            <v xml:space="preserve"> 0-5 years</v>
          </cell>
          <cell r="E470">
            <v>1.0677618069999999</v>
          </cell>
          <cell r="F470">
            <v>660</v>
          </cell>
          <cell r="G470">
            <v>12.59</v>
          </cell>
          <cell r="I470">
            <v>0</v>
          </cell>
          <cell r="J470">
            <v>0.36873574241419826</v>
          </cell>
          <cell r="K470">
            <v>3604.6738564900456</v>
          </cell>
          <cell r="O470" t="e">
            <v>#N/A</v>
          </cell>
          <cell r="Q470" t="e">
            <v>#N/A</v>
          </cell>
          <cell r="S470" t="str">
            <v>Madhya Pradesh</v>
          </cell>
          <cell r="T470" t="str">
            <v>State Sector</v>
          </cell>
        </row>
        <row r="471">
          <cell r="C471" t="str">
            <v>SIKKA REP. TPS3</v>
          </cell>
          <cell r="D471" t="str">
            <v xml:space="preserve"> 5-10 years</v>
          </cell>
          <cell r="E471">
            <v>5.1772758379999999</v>
          </cell>
          <cell r="F471">
            <v>250</v>
          </cell>
          <cell r="G471">
            <v>10.028516920837104</v>
          </cell>
          <cell r="H471">
            <v>5022</v>
          </cell>
          <cell r="I471">
            <v>50.363211976443935</v>
          </cell>
          <cell r="J471">
            <v>0.65122717112716</v>
          </cell>
          <cell r="K471">
            <v>1920.836089693413</v>
          </cell>
          <cell r="N471">
            <v>9</v>
          </cell>
          <cell r="O471">
            <v>11.70305648334285</v>
          </cell>
          <cell r="P471">
            <v>2250</v>
          </cell>
          <cell r="Q471">
            <v>3250.5774316517304</v>
          </cell>
          <cell r="R471" t="str">
            <v>Bidding Under Progresse</v>
          </cell>
          <cell r="S471" t="str">
            <v>Gujarat</v>
          </cell>
          <cell r="T471" t="str">
            <v>State Sector</v>
          </cell>
        </row>
        <row r="472">
          <cell r="C472" t="str">
            <v>SIKKA REP. TPS4</v>
          </cell>
          <cell r="D472" t="str">
            <v xml:space="preserve"> 0-5 years</v>
          </cell>
          <cell r="E472">
            <v>4.6735112939999999</v>
          </cell>
          <cell r="F472">
            <v>250</v>
          </cell>
          <cell r="G472">
            <v>10.028516920837104</v>
          </cell>
          <cell r="H472">
            <v>5022</v>
          </cell>
          <cell r="I472">
            <v>50.363211976443935</v>
          </cell>
          <cell r="J472">
            <v>0.60938017007860334</v>
          </cell>
          <cell r="K472">
            <v>1797.4056902517252</v>
          </cell>
          <cell r="N472">
            <v>9</v>
          </cell>
          <cell r="O472">
            <v>11.70305648334285</v>
          </cell>
          <cell r="P472">
            <v>2250</v>
          </cell>
          <cell r="Q472">
            <v>3250.5774316517304</v>
          </cell>
          <cell r="R472" t="str">
            <v>Bidding Under Progresse</v>
          </cell>
          <cell r="S472" t="str">
            <v>Gujarat</v>
          </cell>
          <cell r="T472" t="str">
            <v>State Sector</v>
          </cell>
        </row>
        <row r="473">
          <cell r="C473" t="str">
            <v>SIMHADRI STPP1</v>
          </cell>
          <cell r="D473" t="str">
            <v xml:space="preserve"> 15-20 years</v>
          </cell>
          <cell r="E473">
            <v>18.253251200000001</v>
          </cell>
          <cell r="F473">
            <v>500</v>
          </cell>
          <cell r="G473">
            <v>14.678310890369962</v>
          </cell>
          <cell r="H473">
            <v>4809</v>
          </cell>
          <cell r="I473">
            <v>70.587997071789161</v>
          </cell>
          <cell r="J473">
            <v>0.64647128908663909</v>
          </cell>
          <cell r="K473">
            <v>5581.8273899481892</v>
          </cell>
          <cell r="N473">
            <v>5.25</v>
          </cell>
          <cell r="O473" t="e">
            <v>#N/A</v>
          </cell>
          <cell r="P473">
            <v>2625</v>
          </cell>
          <cell r="Q473">
            <v>2517.85754</v>
          </cell>
          <cell r="R473" t="str">
            <v>Bid awarded</v>
          </cell>
          <cell r="S473" t="str">
            <v>Andhra Pradesh</v>
          </cell>
          <cell r="T473" t="str">
            <v>Central Sector</v>
          </cell>
        </row>
        <row r="474">
          <cell r="C474" t="str">
            <v>SIMHADRI STPP2</v>
          </cell>
          <cell r="D474" t="str">
            <v xml:space="preserve"> 15-20 years</v>
          </cell>
          <cell r="E474">
            <v>17.757700209999999</v>
          </cell>
          <cell r="F474">
            <v>500</v>
          </cell>
          <cell r="G474">
            <v>14.678310890369962</v>
          </cell>
          <cell r="H474">
            <v>4809</v>
          </cell>
          <cell r="I474">
            <v>70.587997071789161</v>
          </cell>
          <cell r="J474">
            <v>0.68137391803650083</v>
          </cell>
          <cell r="K474">
            <v>5883.1871773701305</v>
          </cell>
          <cell r="N474">
            <v>5.25</v>
          </cell>
          <cell r="O474" t="e">
            <v>#N/A</v>
          </cell>
          <cell r="P474">
            <v>2625</v>
          </cell>
          <cell r="Q474">
            <v>2517.85754</v>
          </cell>
          <cell r="R474" t="str">
            <v>Bid awarded</v>
          </cell>
          <cell r="S474" t="str">
            <v>Andhra Pradesh</v>
          </cell>
          <cell r="T474" t="str">
            <v>Central Sector</v>
          </cell>
        </row>
        <row r="475">
          <cell r="C475" t="str">
            <v>SIMHADRI STPP3</v>
          </cell>
          <cell r="D475" t="str">
            <v xml:space="preserve"> 5-10 years</v>
          </cell>
          <cell r="E475">
            <v>9.1772758379999999</v>
          </cell>
          <cell r="F475">
            <v>500</v>
          </cell>
          <cell r="G475">
            <v>13.17</v>
          </cell>
          <cell r="H475">
            <v>4732</v>
          </cell>
          <cell r="I475">
            <v>62.320440000000005</v>
          </cell>
          <cell r="J475">
            <v>0.64471818429942662</v>
          </cell>
          <cell r="K475">
            <v>4994.6696983667352</v>
          </cell>
          <cell r="N475">
            <v>5.25</v>
          </cell>
          <cell r="O475" t="e">
            <v>#N/A</v>
          </cell>
          <cell r="P475">
            <v>2625</v>
          </cell>
          <cell r="Q475">
            <v>2517.85754</v>
          </cell>
          <cell r="R475" t="str">
            <v>Bid awarded</v>
          </cell>
          <cell r="S475" t="str">
            <v>Andhra Pradesh</v>
          </cell>
          <cell r="T475" t="str">
            <v>Central Sector</v>
          </cell>
        </row>
        <row r="476">
          <cell r="C476" t="str">
            <v>SIMHADRI STPP4</v>
          </cell>
          <cell r="D476" t="str">
            <v xml:space="preserve"> 5-10 years</v>
          </cell>
          <cell r="E476">
            <v>8.1752224499999997</v>
          </cell>
          <cell r="F476">
            <v>500</v>
          </cell>
          <cell r="G476">
            <v>13.17</v>
          </cell>
          <cell r="H476">
            <v>4732</v>
          </cell>
          <cell r="I476">
            <v>62.320440000000005</v>
          </cell>
          <cell r="J476">
            <v>0.6826857415058466</v>
          </cell>
          <cell r="K476">
            <v>5288.8065974305882</v>
          </cell>
          <cell r="N476">
            <v>5.25</v>
          </cell>
          <cell r="O476" t="e">
            <v>#N/A</v>
          </cell>
          <cell r="P476">
            <v>2625</v>
          </cell>
          <cell r="Q476">
            <v>2517.85754</v>
          </cell>
          <cell r="R476" t="str">
            <v>Bid awarded</v>
          </cell>
          <cell r="S476" t="str">
            <v>Andhra Pradesh</v>
          </cell>
          <cell r="T476" t="str">
            <v>Central Sector</v>
          </cell>
        </row>
        <row r="477">
          <cell r="C477" t="str">
            <v>SIMHAPURI TPS2</v>
          </cell>
          <cell r="D477" t="str">
            <v xml:space="preserve"> 5-10 years</v>
          </cell>
          <cell r="E477">
            <v>7.8412046540000002</v>
          </cell>
          <cell r="F477">
            <v>150</v>
          </cell>
          <cell r="G477">
            <v>10.55</v>
          </cell>
          <cell r="I477">
            <v>0</v>
          </cell>
          <cell r="J477">
            <v>5.9408602150537492E-3</v>
          </cell>
          <cell r="K477">
            <v>11.060483870967719</v>
          </cell>
          <cell r="O477" t="e">
            <v>#N/A</v>
          </cell>
          <cell r="Q477">
            <v>2926.0376880772756</v>
          </cell>
          <cell r="S477" t="str">
            <v>Andhra Pradesh</v>
          </cell>
          <cell r="T477" t="str">
            <v>Private Sector</v>
          </cell>
        </row>
        <row r="478">
          <cell r="C478" t="str">
            <v>SIMHAPURI TPS3</v>
          </cell>
          <cell r="D478" t="str">
            <v xml:space="preserve"> 5-10 years</v>
          </cell>
          <cell r="E478">
            <v>6.2532511980000001</v>
          </cell>
          <cell r="F478">
            <v>150</v>
          </cell>
          <cell r="G478">
            <v>10.55</v>
          </cell>
          <cell r="I478">
            <v>0</v>
          </cell>
          <cell r="J478">
            <v>2.1282807260954998E-2</v>
          </cell>
          <cell r="K478">
            <v>39.623579400542695</v>
          </cell>
          <cell r="O478" t="e">
            <v>#N/A</v>
          </cell>
          <cell r="Q478">
            <v>2926.0376880772756</v>
          </cell>
          <cell r="S478" t="str">
            <v>Andhra Pradesh</v>
          </cell>
          <cell r="T478" t="str">
            <v>Private Sector</v>
          </cell>
        </row>
        <row r="479">
          <cell r="C479" t="str">
            <v>SINGARENI TPP1</v>
          </cell>
          <cell r="D479" t="str">
            <v xml:space="preserve"> 0-5 years</v>
          </cell>
          <cell r="E479">
            <v>4.1752224499999997</v>
          </cell>
          <cell r="F479">
            <v>600</v>
          </cell>
          <cell r="G479">
            <v>12.66116534480653</v>
          </cell>
          <cell r="H479">
            <v>4130</v>
          </cell>
          <cell r="I479">
            <v>52.290612874050971</v>
          </cell>
          <cell r="J479">
            <v>0.87153641931167358</v>
          </cell>
          <cell r="K479">
            <v>7789.1765004181652</v>
          </cell>
          <cell r="N479">
            <v>5.75</v>
          </cell>
          <cell r="O479" t="e">
            <v>#N/A</v>
          </cell>
          <cell r="P479">
            <v>3450</v>
          </cell>
          <cell r="Q479">
            <v>2376.393536</v>
          </cell>
          <cell r="R479" t="str">
            <v>Feasibility study completed</v>
          </cell>
          <cell r="S479" t="str">
            <v>Telangana</v>
          </cell>
          <cell r="T479" t="str">
            <v>State Sector</v>
          </cell>
        </row>
        <row r="480">
          <cell r="C480" t="str">
            <v>SINGARENI TPP2</v>
          </cell>
          <cell r="D480" t="str">
            <v xml:space="preserve"> 0-5 years</v>
          </cell>
          <cell r="E480">
            <v>3.425051335</v>
          </cell>
          <cell r="F480">
            <v>600</v>
          </cell>
          <cell r="G480">
            <v>12.66116534480653</v>
          </cell>
          <cell r="H480">
            <v>4130</v>
          </cell>
          <cell r="I480">
            <v>52.290612874050971</v>
          </cell>
          <cell r="J480">
            <v>0.86487598820117362</v>
          </cell>
          <cell r="K480">
            <v>7729.6502748480007</v>
          </cell>
          <cell r="N480">
            <v>5.75</v>
          </cell>
          <cell r="O480" t="e">
            <v>#N/A</v>
          </cell>
          <cell r="P480">
            <v>3450</v>
          </cell>
          <cell r="Q480">
            <v>2376.393536</v>
          </cell>
          <cell r="R480" t="str">
            <v>Feasibility study completed</v>
          </cell>
          <cell r="S480" t="str">
            <v>Telangana</v>
          </cell>
          <cell r="T480" t="str">
            <v>State Sector</v>
          </cell>
        </row>
        <row r="481">
          <cell r="C481" t="str">
            <v>SINGRAULI STPS1</v>
          </cell>
          <cell r="D481" t="str">
            <v xml:space="preserve"> 35-40 years</v>
          </cell>
          <cell r="E481">
            <v>38.253251200000001</v>
          </cell>
          <cell r="F481">
            <v>200</v>
          </cell>
          <cell r="G481">
            <v>13.183686537156232</v>
          </cell>
          <cell r="H481">
            <v>4665</v>
          </cell>
          <cell r="I481">
            <v>61.501897695833826</v>
          </cell>
          <cell r="J481">
            <v>0.81691760300245408</v>
          </cell>
          <cell r="K481">
            <v>2534.1142599222103</v>
          </cell>
          <cell r="M481" t="str">
            <v>Y</v>
          </cell>
          <cell r="N481">
            <v>8.5</v>
          </cell>
          <cell r="O481">
            <v>6.9525387889063985</v>
          </cell>
          <cell r="P481">
            <v>1700</v>
          </cell>
          <cell r="R481" t="str">
            <v>NIT issued</v>
          </cell>
          <cell r="S481" t="str">
            <v>Uttar Pradesh</v>
          </cell>
          <cell r="T481" t="str">
            <v>Central Sector</v>
          </cell>
        </row>
        <row r="482">
          <cell r="C482" t="str">
            <v>SINGRAULI STPS2</v>
          </cell>
          <cell r="D482" t="str">
            <v xml:space="preserve"> 35-40 years</v>
          </cell>
          <cell r="E482">
            <v>37.505817929999999</v>
          </cell>
          <cell r="F482">
            <v>200</v>
          </cell>
          <cell r="G482">
            <v>13.183686537156232</v>
          </cell>
          <cell r="H482">
            <v>4665</v>
          </cell>
          <cell r="I482">
            <v>61.501897695833826</v>
          </cell>
          <cell r="J482">
            <v>0.86465607380481457</v>
          </cell>
          <cell r="K482">
            <v>2682.2010916449176</v>
          </cell>
          <cell r="M482" t="str">
            <v>Y</v>
          </cell>
          <cell r="N482">
            <v>8.5</v>
          </cell>
          <cell r="O482">
            <v>6.9525387889063985</v>
          </cell>
          <cell r="P482">
            <v>1700</v>
          </cell>
          <cell r="R482" t="str">
            <v>NIT issued</v>
          </cell>
          <cell r="S482" t="str">
            <v>Uttar Pradesh</v>
          </cell>
          <cell r="T482" t="str">
            <v>Central Sector</v>
          </cell>
        </row>
        <row r="483">
          <cell r="C483" t="str">
            <v>SINGRAULI STPS3</v>
          </cell>
          <cell r="D483" t="str">
            <v xml:space="preserve"> 35-40 years</v>
          </cell>
          <cell r="E483">
            <v>37.17727584</v>
          </cell>
          <cell r="F483">
            <v>200</v>
          </cell>
          <cell r="G483">
            <v>13.183686537156232</v>
          </cell>
          <cell r="H483">
            <v>4665</v>
          </cell>
          <cell r="I483">
            <v>61.501897695833826</v>
          </cell>
          <cell r="J483">
            <v>0.82384066566467085</v>
          </cell>
          <cell r="K483">
            <v>2555.589904161212</v>
          </cell>
          <cell r="M483" t="str">
            <v>Y</v>
          </cell>
          <cell r="N483">
            <v>8.5</v>
          </cell>
          <cell r="O483">
            <v>6.9525387889063985</v>
          </cell>
          <cell r="P483">
            <v>1700</v>
          </cell>
          <cell r="R483" t="str">
            <v>NIT issued</v>
          </cell>
          <cell r="S483" t="str">
            <v>Uttar Pradesh</v>
          </cell>
          <cell r="T483" t="str">
            <v>Central Sector</v>
          </cell>
        </row>
        <row r="484">
          <cell r="C484" t="str">
            <v>SINGRAULI STPS4</v>
          </cell>
          <cell r="D484" t="str">
            <v xml:space="preserve"> 35-40 years</v>
          </cell>
          <cell r="E484">
            <v>36.506502400000002</v>
          </cell>
          <cell r="F484">
            <v>200</v>
          </cell>
          <cell r="G484">
            <v>13.183686537156232</v>
          </cell>
          <cell r="H484">
            <v>4665</v>
          </cell>
          <cell r="I484">
            <v>61.501897695833826</v>
          </cell>
          <cell r="J484">
            <v>0.86040622976881875</v>
          </cell>
          <cell r="K484">
            <v>2669.0178889149479</v>
          </cell>
          <cell r="M484" t="str">
            <v>Y</v>
          </cell>
          <cell r="N484">
            <v>8.5</v>
          </cell>
          <cell r="O484">
            <v>6.9525387889063985</v>
          </cell>
          <cell r="P484">
            <v>1700</v>
          </cell>
          <cell r="R484" t="str">
            <v>NIT issued</v>
          </cell>
          <cell r="S484" t="str">
            <v>Uttar Pradesh</v>
          </cell>
          <cell r="T484" t="str">
            <v>Central Sector</v>
          </cell>
        </row>
        <row r="485">
          <cell r="C485" t="str">
            <v>SINGRAULI STPS5</v>
          </cell>
          <cell r="D485" t="str">
            <v xml:space="preserve"> 35-40 years</v>
          </cell>
          <cell r="E485">
            <v>36.254620119999998</v>
          </cell>
          <cell r="F485">
            <v>200</v>
          </cell>
          <cell r="G485">
            <v>13.183686537156232</v>
          </cell>
          <cell r="H485">
            <v>4665</v>
          </cell>
          <cell r="I485">
            <v>61.501897695833826</v>
          </cell>
          <cell r="J485">
            <v>0.79294628989588534</v>
          </cell>
          <cell r="K485">
            <v>2459.7541945384392</v>
          </cell>
          <cell r="M485" t="str">
            <v>Y</v>
          </cell>
          <cell r="N485">
            <v>8.5</v>
          </cell>
          <cell r="O485">
            <v>6.9525387889063985</v>
          </cell>
          <cell r="P485">
            <v>1700</v>
          </cell>
          <cell r="R485" t="str">
            <v>NIT issued</v>
          </cell>
          <cell r="S485" t="str">
            <v>Uttar Pradesh</v>
          </cell>
          <cell r="T485" t="str">
            <v>Central Sector</v>
          </cell>
        </row>
        <row r="486">
          <cell r="C486" t="str">
            <v>SINGRAULI STPS6</v>
          </cell>
          <cell r="D486" t="str">
            <v xml:space="preserve"> 30-35 years</v>
          </cell>
          <cell r="E486">
            <v>33.423682409999998</v>
          </cell>
          <cell r="F486">
            <v>500</v>
          </cell>
          <cell r="G486">
            <v>13.183686537156232</v>
          </cell>
          <cell r="H486">
            <v>4665</v>
          </cell>
          <cell r="I486">
            <v>61.501897695833826</v>
          </cell>
          <cell r="J486">
            <v>0.86693612133705</v>
          </cell>
          <cell r="K486">
            <v>6723.1847479092403</v>
          </cell>
          <cell r="M486" t="str">
            <v>Y</v>
          </cell>
          <cell r="N486">
            <v>5.25</v>
          </cell>
          <cell r="O486">
            <v>6.9525387889063985</v>
          </cell>
          <cell r="P486">
            <v>2625</v>
          </cell>
          <cell r="R486" t="str">
            <v>NIT issued</v>
          </cell>
          <cell r="S486" t="str">
            <v>Uttar Pradesh</v>
          </cell>
          <cell r="T486" t="str">
            <v>Central Sector</v>
          </cell>
        </row>
        <row r="487">
          <cell r="C487" t="str">
            <v>SINGRAULI STPS7</v>
          </cell>
          <cell r="D487" t="str">
            <v xml:space="preserve"> 30-35 years</v>
          </cell>
          <cell r="E487">
            <v>32.506502400000002</v>
          </cell>
          <cell r="F487">
            <v>500</v>
          </cell>
          <cell r="G487">
            <v>13.183686537156232</v>
          </cell>
          <cell r="H487">
            <v>4665</v>
          </cell>
          <cell r="I487">
            <v>61.501897695833826</v>
          </cell>
          <cell r="J487">
            <v>0.88246688111716654</v>
          </cell>
          <cell r="K487">
            <v>6843.6274941591982</v>
          </cell>
          <cell r="M487" t="str">
            <v>Y</v>
          </cell>
          <cell r="N487">
            <v>5.25</v>
          </cell>
          <cell r="O487">
            <v>6.9525387889063985</v>
          </cell>
          <cell r="P487">
            <v>2625</v>
          </cell>
          <cell r="R487" t="str">
            <v>NIT issued</v>
          </cell>
          <cell r="S487" t="str">
            <v>Uttar Pradesh</v>
          </cell>
          <cell r="T487" t="str">
            <v>Central Sector</v>
          </cell>
        </row>
        <row r="488">
          <cell r="C488" t="str">
            <v>SIPAT STPS1</v>
          </cell>
          <cell r="D488" t="str">
            <v xml:space="preserve"> 5-10 years</v>
          </cell>
          <cell r="E488">
            <v>8.5913757700000009</v>
          </cell>
          <cell r="F488">
            <v>660</v>
          </cell>
          <cell r="G488">
            <v>12.562502818164178</v>
          </cell>
          <cell r="H488">
            <v>4523</v>
          </cell>
          <cell r="I488">
            <v>56.820200246556581</v>
          </cell>
          <cell r="J488">
            <v>0.89485139992184348</v>
          </cell>
          <cell r="K488">
            <v>8728.7509811943182</v>
          </cell>
          <cell r="N488">
            <v>5.75</v>
          </cell>
          <cell r="O488" t="e">
            <v>#N/A</v>
          </cell>
          <cell r="P488">
            <v>3795</v>
          </cell>
          <cell r="Q488">
            <v>2430.74807941581</v>
          </cell>
          <cell r="R488" t="str">
            <v>Bid awarded</v>
          </cell>
          <cell r="S488" t="str">
            <v>Chhatisgarh</v>
          </cell>
          <cell r="T488" t="str">
            <v>Central Sector</v>
          </cell>
        </row>
        <row r="489">
          <cell r="C489" t="str">
            <v>SIPAT STPS2</v>
          </cell>
          <cell r="D489" t="str">
            <v xml:space="preserve"> 5-10 years</v>
          </cell>
          <cell r="E489">
            <v>8.0082135520000008</v>
          </cell>
          <cell r="F489">
            <v>660</v>
          </cell>
          <cell r="G489">
            <v>12.562502818164178</v>
          </cell>
          <cell r="H489">
            <v>4523</v>
          </cell>
          <cell r="I489">
            <v>56.820200246556581</v>
          </cell>
          <cell r="J489">
            <v>0.88956723176643315</v>
          </cell>
          <cell r="K489">
            <v>8677.2070176095694</v>
          </cell>
          <cell r="N489">
            <v>5.75</v>
          </cell>
          <cell r="O489" t="e">
            <v>#N/A</v>
          </cell>
          <cell r="P489">
            <v>3795</v>
          </cell>
          <cell r="Q489">
            <v>2430.74807941581</v>
          </cell>
          <cell r="R489" t="str">
            <v>Bid awarded</v>
          </cell>
          <cell r="S489" t="str">
            <v>Chhatisgarh</v>
          </cell>
          <cell r="T489" t="str">
            <v>Central Sector</v>
          </cell>
        </row>
        <row r="490">
          <cell r="C490" t="str">
            <v>SIPAT STPS3</v>
          </cell>
          <cell r="D490" t="str">
            <v xml:space="preserve"> 5-10 years</v>
          </cell>
          <cell r="E490">
            <v>7.7563312800000004</v>
          </cell>
          <cell r="F490">
            <v>660</v>
          </cell>
          <cell r="G490">
            <v>12.562502818164178</v>
          </cell>
          <cell r="H490">
            <v>4523</v>
          </cell>
          <cell r="I490">
            <v>56.820200246556581</v>
          </cell>
          <cell r="J490">
            <v>0.84729476526970959</v>
          </cell>
          <cell r="K490">
            <v>8264.8638805892697</v>
          </cell>
          <cell r="N490">
            <v>5.75</v>
          </cell>
          <cell r="O490" t="e">
            <v>#N/A</v>
          </cell>
          <cell r="P490">
            <v>3795</v>
          </cell>
          <cell r="Q490">
            <v>2430.74807941581</v>
          </cell>
          <cell r="R490" t="str">
            <v>Bid awarded</v>
          </cell>
          <cell r="S490" t="str">
            <v>Chhatisgarh</v>
          </cell>
          <cell r="T490" t="str">
            <v>Central Sector</v>
          </cell>
        </row>
        <row r="491">
          <cell r="C491" t="str">
            <v>SIPAT STPS4</v>
          </cell>
          <cell r="D491" t="str">
            <v xml:space="preserve"> 10-15 years</v>
          </cell>
          <cell r="E491">
            <v>11.92334018</v>
          </cell>
          <cell r="F491">
            <v>500</v>
          </cell>
          <cell r="G491">
            <v>12.562502818164178</v>
          </cell>
          <cell r="H491">
            <v>4463</v>
          </cell>
          <cell r="I491">
            <v>56.066450077466726</v>
          </cell>
          <cell r="J491">
            <v>0.87458164531725002</v>
          </cell>
          <cell r="K491">
            <v>6462.9025788309509</v>
          </cell>
          <cell r="N491">
            <v>5.75</v>
          </cell>
          <cell r="O491" t="e">
            <v>#N/A</v>
          </cell>
          <cell r="P491">
            <v>2875</v>
          </cell>
          <cell r="Q491">
            <v>2430.74807941581</v>
          </cell>
          <cell r="R491" t="str">
            <v>NIT ISSUED</v>
          </cell>
          <cell r="S491" t="str">
            <v>Chhatisgarh</v>
          </cell>
          <cell r="T491" t="str">
            <v>Central Sector</v>
          </cell>
        </row>
        <row r="492">
          <cell r="C492" t="str">
            <v>SIPAT STPS5</v>
          </cell>
          <cell r="D492" t="str">
            <v xml:space="preserve"> 10-15 years</v>
          </cell>
          <cell r="E492">
            <v>11.337440109999999</v>
          </cell>
          <cell r="F492">
            <v>500</v>
          </cell>
          <cell r="G492">
            <v>12.562502818164178</v>
          </cell>
          <cell r="H492">
            <v>4463</v>
          </cell>
          <cell r="I492">
            <v>56.066450077466726</v>
          </cell>
          <cell r="J492">
            <v>0.88183905426009168</v>
          </cell>
          <cell r="K492">
            <v>6516.5327084174332</v>
          </cell>
          <cell r="N492">
            <v>5.75</v>
          </cell>
          <cell r="O492" t="e">
            <v>#N/A</v>
          </cell>
          <cell r="P492">
            <v>2875</v>
          </cell>
          <cell r="Q492">
            <v>2430.74807941581</v>
          </cell>
          <cell r="R492" t="str">
            <v>NIT ISSUED</v>
          </cell>
          <cell r="S492" t="str">
            <v>Chhatisgarh</v>
          </cell>
          <cell r="T492" t="str">
            <v>Central Sector</v>
          </cell>
        </row>
        <row r="493">
          <cell r="C493" t="str">
            <v>SOLAPUR STPS1</v>
          </cell>
          <cell r="D493" t="str">
            <v xml:space="preserve"> 0-5 years</v>
          </cell>
          <cell r="E493">
            <v>3.0910335390000001</v>
          </cell>
          <cell r="F493">
            <v>660</v>
          </cell>
          <cell r="G493">
            <v>13.303393037659202</v>
          </cell>
          <cell r="H493">
            <v>3427</v>
          </cell>
          <cell r="I493">
            <v>45.59072794005808</v>
          </cell>
          <cell r="J493">
            <v>0.24382802341216731</v>
          </cell>
          <cell r="K493">
            <v>2518.6687284369841</v>
          </cell>
          <cell r="N493">
            <v>5.75</v>
          </cell>
          <cell r="O493" t="e">
            <v>#N/A</v>
          </cell>
          <cell r="P493">
            <v>3795</v>
          </cell>
          <cell r="Q493">
            <v>2517.85754</v>
          </cell>
          <cell r="R493" t="str">
            <v>Bid awarded</v>
          </cell>
          <cell r="S493" t="str">
            <v>Maharashtra</v>
          </cell>
          <cell r="T493" t="str">
            <v>Central Sector</v>
          </cell>
        </row>
        <row r="494">
          <cell r="C494" t="str">
            <v>SOLAPUR STPS2</v>
          </cell>
          <cell r="D494" t="str">
            <v xml:space="preserve"> 0-5 years</v>
          </cell>
          <cell r="E494">
            <v>1.0677618069999999</v>
          </cell>
          <cell r="F494">
            <v>660</v>
          </cell>
          <cell r="G494">
            <v>13.303393037659202</v>
          </cell>
          <cell r="H494">
            <v>3427</v>
          </cell>
          <cell r="I494">
            <v>45.59072794005808</v>
          </cell>
          <cell r="J494">
            <v>3.2607354088292489E-2</v>
          </cell>
          <cell r="K494">
            <v>336.82397088716226</v>
          </cell>
          <cell r="N494">
            <v>5.75</v>
          </cell>
          <cell r="O494" t="e">
            <v>#N/A</v>
          </cell>
          <cell r="P494">
            <v>3795</v>
          </cell>
          <cell r="Q494" t="e">
            <v>#N/A</v>
          </cell>
          <cell r="S494" t="str">
            <v>Maharashtra</v>
          </cell>
          <cell r="T494" t="str">
            <v>Central Sector</v>
          </cell>
        </row>
        <row r="495">
          <cell r="C495" t="str">
            <v>SOUTHERN REPL. TPS1</v>
          </cell>
          <cell r="D495" t="str">
            <v xml:space="preserve"> 25-30 years</v>
          </cell>
          <cell r="E495">
            <v>29.092402459999999</v>
          </cell>
          <cell r="F495">
            <v>68</v>
          </cell>
          <cell r="G495">
            <v>14.144144273881587</v>
          </cell>
          <cell r="H495">
            <v>3986</v>
          </cell>
          <cell r="I495">
            <v>56.378559075692003</v>
          </cell>
          <cell r="J495">
            <v>0.21922284573203862</v>
          </cell>
          <cell r="K495">
            <v>248.05756465318723</v>
          </cell>
          <cell r="M495" t="str">
            <v>Y</v>
          </cell>
          <cell r="N495">
            <v>9</v>
          </cell>
          <cell r="O495" t="e">
            <v>#N/A</v>
          </cell>
          <cell r="P495">
            <v>612</v>
          </cell>
          <cell r="R495" t="str">
            <v>Feasibility Study started</v>
          </cell>
          <cell r="S495" t="str">
            <v>West Bengal</v>
          </cell>
          <cell r="T495" t="str">
            <v>Private Sector</v>
          </cell>
        </row>
        <row r="496">
          <cell r="C496" t="str">
            <v>SOUTHERN REPL. TPS2</v>
          </cell>
          <cell r="D496" t="str">
            <v xml:space="preserve"> 25-30 years</v>
          </cell>
          <cell r="E496">
            <v>29.757700209999999</v>
          </cell>
          <cell r="F496">
            <v>68</v>
          </cell>
          <cell r="G496">
            <v>14.144144273881587</v>
          </cell>
          <cell r="H496">
            <v>3986</v>
          </cell>
          <cell r="I496">
            <v>56.378559075692003</v>
          </cell>
          <cell r="J496">
            <v>0.30482020735082416</v>
          </cell>
          <cell r="K496">
            <v>344.91367922916459</v>
          </cell>
          <cell r="M496" t="str">
            <v>Y</v>
          </cell>
          <cell r="N496">
            <v>9</v>
          </cell>
          <cell r="O496" t="e">
            <v>#N/A</v>
          </cell>
          <cell r="P496">
            <v>612</v>
          </cell>
          <cell r="R496" t="str">
            <v>Feasibility Study started</v>
          </cell>
          <cell r="S496" t="str">
            <v>West Bengal</v>
          </cell>
          <cell r="T496" t="str">
            <v>Private Sector</v>
          </cell>
        </row>
        <row r="497">
          <cell r="C497" t="str">
            <v>STERLITE TPP1</v>
          </cell>
          <cell r="D497" t="str">
            <v xml:space="preserve"> 10-15 years</v>
          </cell>
          <cell r="E497">
            <v>10.17659138</v>
          </cell>
          <cell r="F497">
            <v>600</v>
          </cell>
          <cell r="G497">
            <v>19.006065585457648</v>
          </cell>
          <cell r="I497">
            <v>0</v>
          </cell>
          <cell r="J497">
            <v>7.7964456391875691E-3</v>
          </cell>
          <cell r="K497">
            <v>104.59747563660298</v>
          </cell>
          <cell r="O497" t="e">
            <v>#N/A</v>
          </cell>
          <cell r="Q497">
            <v>2554.2479818359902</v>
          </cell>
          <cell r="S497" t="str">
            <v>Odisha</v>
          </cell>
          <cell r="T497" t="str">
            <v>Private Sector</v>
          </cell>
        </row>
        <row r="498">
          <cell r="C498" t="str">
            <v>STERLITE TPP2</v>
          </cell>
          <cell r="D498" t="str">
            <v xml:space="preserve"> 5-10 years</v>
          </cell>
          <cell r="E498">
            <v>9.4236824089999995</v>
          </cell>
          <cell r="F498">
            <v>600</v>
          </cell>
          <cell r="G498">
            <v>19.006065585457648</v>
          </cell>
          <cell r="I498">
            <v>0</v>
          </cell>
          <cell r="J498">
            <v>9.4808093316785413E-2</v>
          </cell>
          <cell r="K498">
            <v>1271.9497691371855</v>
          </cell>
          <cell r="O498" t="e">
            <v>#N/A</v>
          </cell>
          <cell r="Q498">
            <v>2554.2479818359902</v>
          </cell>
          <cell r="R498" t="str">
            <v>Feasibility Study started</v>
          </cell>
          <cell r="S498" t="str">
            <v>Odisha</v>
          </cell>
          <cell r="T498" t="str">
            <v>Private Sector</v>
          </cell>
        </row>
        <row r="499">
          <cell r="C499" t="str">
            <v>SURAT LIG. TPS1</v>
          </cell>
          <cell r="D499" t="str">
            <v xml:space="preserve"> 20-25 years</v>
          </cell>
          <cell r="E499">
            <v>20.3394935</v>
          </cell>
          <cell r="F499">
            <v>125</v>
          </cell>
          <cell r="G499">
            <v>11.37</v>
          </cell>
          <cell r="I499">
            <v>0</v>
          </cell>
          <cell r="J499">
            <v>0.77304855427253005</v>
          </cell>
          <cell r="K499">
            <v>1292.5826561880392</v>
          </cell>
          <cell r="O499" t="e">
            <v>#N/A</v>
          </cell>
          <cell r="Q499">
            <v>2961.2876602255451</v>
          </cell>
          <cell r="S499" t="str">
            <v>Gujarat</v>
          </cell>
          <cell r="T499" t="str">
            <v>Private Sector</v>
          </cell>
        </row>
        <row r="500">
          <cell r="C500" t="str">
            <v>SURAT LIG. TPS2</v>
          </cell>
          <cell r="D500" t="str">
            <v xml:space="preserve"> 20-25 years</v>
          </cell>
          <cell r="E500">
            <v>20.506502399999999</v>
          </cell>
          <cell r="F500">
            <v>125</v>
          </cell>
          <cell r="G500">
            <v>11.37</v>
          </cell>
          <cell r="I500">
            <v>0</v>
          </cell>
          <cell r="J500">
            <v>0.76470103080436003</v>
          </cell>
          <cell r="K500">
            <v>1278.6251059184665</v>
          </cell>
          <cell r="O500" t="e">
            <v>#N/A</v>
          </cell>
          <cell r="Q500">
            <v>2961.2876602255451</v>
          </cell>
          <cell r="S500" t="str">
            <v>Gujarat</v>
          </cell>
          <cell r="T500" t="str">
            <v>Private Sector</v>
          </cell>
        </row>
        <row r="501">
          <cell r="C501" t="str">
            <v>SURAT LIG. TPS3</v>
          </cell>
          <cell r="D501" t="str">
            <v xml:space="preserve"> 5-10 years</v>
          </cell>
          <cell r="E501">
            <v>10.091718</v>
          </cell>
          <cell r="F501">
            <v>125</v>
          </cell>
          <cell r="G501">
            <v>11.37</v>
          </cell>
          <cell r="I501">
            <v>0</v>
          </cell>
          <cell r="J501">
            <v>0.78957665500780994</v>
          </cell>
          <cell r="K501">
            <v>1320.2186128586468</v>
          </cell>
          <cell r="O501" t="e">
            <v>#N/A</v>
          </cell>
          <cell r="Q501">
            <v>2961.2876602255451</v>
          </cell>
          <cell r="S501" t="str">
            <v>Gujarat</v>
          </cell>
          <cell r="T501" t="str">
            <v>Private Sector</v>
          </cell>
        </row>
        <row r="502">
          <cell r="C502" t="str">
            <v>SURAT LIG. TPS4</v>
          </cell>
          <cell r="D502" t="str">
            <v xml:space="preserve"> 5-10 years</v>
          </cell>
          <cell r="E502">
            <v>10.091718</v>
          </cell>
          <cell r="F502">
            <v>125</v>
          </cell>
          <cell r="G502">
            <v>11.37</v>
          </cell>
          <cell r="I502">
            <v>0</v>
          </cell>
          <cell r="J502">
            <v>0.81636282220616008</v>
          </cell>
          <cell r="K502">
            <v>1365.0066600711823</v>
          </cell>
          <cell r="O502" t="e">
            <v>#N/A</v>
          </cell>
          <cell r="Q502">
            <v>2961.2876602255451</v>
          </cell>
          <cell r="S502" t="str">
            <v>Gujarat</v>
          </cell>
          <cell r="T502" t="str">
            <v>Private Sector</v>
          </cell>
        </row>
        <row r="503">
          <cell r="C503" t="str">
            <v>SURATGARH TPS1</v>
          </cell>
          <cell r="D503" t="str">
            <v xml:space="preserve"> 20-25 years</v>
          </cell>
          <cell r="E503">
            <v>22.009582479999999</v>
          </cell>
          <cell r="F503">
            <v>250</v>
          </cell>
          <cell r="G503">
            <v>12.88663586373525</v>
          </cell>
          <cell r="H503">
            <v>3952</v>
          </cell>
          <cell r="I503">
            <v>50.92798493348171</v>
          </cell>
          <cell r="J503">
            <v>0.58519415273289999</v>
          </cell>
          <cell r="K503">
            <v>2217.9952811341041</v>
          </cell>
          <cell r="N503">
            <v>9</v>
          </cell>
          <cell r="O503">
            <v>8.742568283856631</v>
          </cell>
          <cell r="P503">
            <v>2250</v>
          </cell>
          <cell r="Q503">
            <v>2531.4743960000001</v>
          </cell>
          <cell r="R503" t="str">
            <v>Tender Specification made</v>
          </cell>
          <cell r="S503" t="str">
            <v>Rajasthan</v>
          </cell>
          <cell r="T503" t="str">
            <v>State Sector</v>
          </cell>
        </row>
        <row r="504">
          <cell r="C504" t="str">
            <v>SURATGARH TPS2</v>
          </cell>
          <cell r="D504" t="str">
            <v xml:space="preserve"> 20-25 years</v>
          </cell>
          <cell r="E504">
            <v>20.17522245</v>
          </cell>
          <cell r="F504">
            <v>250</v>
          </cell>
          <cell r="G504">
            <v>12.88663586373525</v>
          </cell>
          <cell r="H504">
            <v>3952</v>
          </cell>
          <cell r="I504">
            <v>50.92798493348171</v>
          </cell>
          <cell r="J504">
            <v>0.42411310194464164</v>
          </cell>
          <cell r="K504">
            <v>1607.467973470536</v>
          </cell>
          <cell r="N504">
            <v>9</v>
          </cell>
          <cell r="O504">
            <v>8.742568283856631</v>
          </cell>
          <cell r="P504">
            <v>2250</v>
          </cell>
          <cell r="Q504">
            <v>2531.4743960000001</v>
          </cell>
          <cell r="R504" t="str">
            <v>Tender Specification made</v>
          </cell>
          <cell r="S504" t="str">
            <v>Rajasthan</v>
          </cell>
          <cell r="T504" t="str">
            <v>State Sector</v>
          </cell>
        </row>
        <row r="505">
          <cell r="C505" t="str">
            <v>SURATGARH TPS3</v>
          </cell>
          <cell r="D505" t="str">
            <v xml:space="preserve"> 15-20 years</v>
          </cell>
          <cell r="E505">
            <v>18.590006840000001</v>
          </cell>
          <cell r="F505">
            <v>250</v>
          </cell>
          <cell r="G505">
            <v>12.88663586373525</v>
          </cell>
          <cell r="H505">
            <v>3952</v>
          </cell>
          <cell r="I505">
            <v>50.92798493348171</v>
          </cell>
          <cell r="J505">
            <v>0.4476994907922367</v>
          </cell>
          <cell r="K505">
            <v>1696.8647982997784</v>
          </cell>
          <cell r="N505">
            <v>9</v>
          </cell>
          <cell r="O505">
            <v>8.742568283856631</v>
          </cell>
          <cell r="P505">
            <v>2250</v>
          </cell>
          <cell r="Q505">
            <v>2531.4743960000001</v>
          </cell>
          <cell r="R505" t="str">
            <v>Tender Specification made</v>
          </cell>
          <cell r="S505" t="str">
            <v>Rajasthan</v>
          </cell>
          <cell r="T505" t="str">
            <v>State Sector</v>
          </cell>
        </row>
        <row r="506">
          <cell r="C506" t="str">
            <v>SURATGARH TPS4</v>
          </cell>
          <cell r="D506" t="str">
            <v xml:space="preserve"> 15-20 years</v>
          </cell>
          <cell r="E506">
            <v>18.176591380000001</v>
          </cell>
          <cell r="F506">
            <v>250</v>
          </cell>
          <cell r="G506">
            <v>12.88663586373525</v>
          </cell>
          <cell r="H506">
            <v>3952</v>
          </cell>
          <cell r="I506">
            <v>50.92798493348171</v>
          </cell>
          <cell r="J506">
            <v>0.50528537048807831</v>
          </cell>
          <cell r="K506">
            <v>1915.126051986007</v>
          </cell>
          <cell r="N506">
            <v>9</v>
          </cell>
          <cell r="O506">
            <v>8.742568283856631</v>
          </cell>
          <cell r="P506">
            <v>2250</v>
          </cell>
          <cell r="Q506">
            <v>2531.4743960000001</v>
          </cell>
          <cell r="R506" t="str">
            <v>Tender Specification made</v>
          </cell>
          <cell r="S506" t="str">
            <v>Rajasthan</v>
          </cell>
          <cell r="T506" t="str">
            <v>State Sector</v>
          </cell>
        </row>
        <row r="507">
          <cell r="C507" t="str">
            <v>SURATGARH TPS5</v>
          </cell>
          <cell r="D507" t="str">
            <v xml:space="preserve"> 15-20 years</v>
          </cell>
          <cell r="E507">
            <v>16.925393570000001</v>
          </cell>
          <cell r="F507">
            <v>250</v>
          </cell>
          <cell r="G507">
            <v>12.88663586373525</v>
          </cell>
          <cell r="H507">
            <v>3952</v>
          </cell>
          <cell r="I507">
            <v>50.92798493348171</v>
          </cell>
          <cell r="J507">
            <v>0.47192488823560497</v>
          </cell>
          <cell r="K507">
            <v>1788.6835852135873</v>
          </cell>
          <cell r="N507">
            <v>9</v>
          </cell>
          <cell r="O507">
            <v>8.742568283856631</v>
          </cell>
          <cell r="P507">
            <v>2250</v>
          </cell>
          <cell r="Q507">
            <v>2531.4743960000001</v>
          </cell>
          <cell r="R507" t="str">
            <v>Tender Specification made</v>
          </cell>
          <cell r="S507" t="str">
            <v>Rajasthan</v>
          </cell>
          <cell r="T507" t="str">
            <v>State Sector</v>
          </cell>
        </row>
        <row r="508">
          <cell r="C508" t="str">
            <v>SURATGARH TPS6</v>
          </cell>
          <cell r="D508" t="str">
            <v xml:space="preserve"> 10-15 years</v>
          </cell>
          <cell r="E508">
            <v>10.75701574</v>
          </cell>
          <cell r="F508">
            <v>250</v>
          </cell>
          <cell r="G508">
            <v>12.88663586373525</v>
          </cell>
          <cell r="H508">
            <v>3952</v>
          </cell>
          <cell r="I508">
            <v>50.92798493348171</v>
          </cell>
          <cell r="J508">
            <v>0.39675126988683329</v>
          </cell>
          <cell r="K508">
            <v>1503.7615127959323</v>
          </cell>
          <cell r="N508">
            <v>9</v>
          </cell>
          <cell r="O508">
            <v>8.742568283856631</v>
          </cell>
          <cell r="P508">
            <v>2250</v>
          </cell>
          <cell r="Q508">
            <v>2531.4743960000001</v>
          </cell>
          <cell r="R508" t="str">
            <v>Tender Specification made</v>
          </cell>
          <cell r="S508" t="str">
            <v>Rajasthan</v>
          </cell>
          <cell r="T508" t="str">
            <v>State Sector</v>
          </cell>
        </row>
        <row r="509">
          <cell r="C509" t="str">
            <v>SVPL TPP1</v>
          </cell>
          <cell r="D509" t="str">
            <v xml:space="preserve"> 5-10 years</v>
          </cell>
          <cell r="E509">
            <v>8.4243668720000002</v>
          </cell>
          <cell r="F509">
            <v>63</v>
          </cell>
          <cell r="G509">
            <v>12.22</v>
          </cell>
          <cell r="I509">
            <v>0</v>
          </cell>
          <cell r="J509">
            <v>0.20316257890568851</v>
          </cell>
          <cell r="K509">
            <v>184.00793293686277</v>
          </cell>
          <cell r="O509" t="e">
            <v>#N/A</v>
          </cell>
          <cell r="Q509">
            <v>2517.85754</v>
          </cell>
          <cell r="S509" t="str">
            <v>Chhatisgarh</v>
          </cell>
          <cell r="T509" t="str">
            <v>Private Sector</v>
          </cell>
        </row>
        <row r="510">
          <cell r="C510" t="str">
            <v>TALCHER (OLD) TPS1</v>
          </cell>
          <cell r="D510" t="str">
            <v xml:space="preserve"> 45+ years</v>
          </cell>
          <cell r="E510">
            <v>49.33880903</v>
          </cell>
          <cell r="F510">
            <v>60</v>
          </cell>
          <cell r="G510">
            <v>17.522745461401975</v>
          </cell>
          <cell r="I510">
            <v>0</v>
          </cell>
          <cell r="J510">
            <v>0.92381981105794431</v>
          </cell>
          <cell r="K510">
            <v>1142.6724283319168</v>
          </cell>
          <cell r="L510" t="str">
            <v>Y</v>
          </cell>
          <cell r="O510" t="e">
            <v>#N/A</v>
          </cell>
          <cell r="P510">
            <v>0</v>
          </cell>
          <cell r="R510" t="str">
            <v>NIT issued</v>
          </cell>
          <cell r="S510" t="str">
            <v>Odisha</v>
          </cell>
          <cell r="T510" t="str">
            <v>Central Sector</v>
          </cell>
        </row>
        <row r="511">
          <cell r="C511" t="str">
            <v>TALCHER (OLD) TPS2</v>
          </cell>
          <cell r="D511" t="str">
            <v xml:space="preserve"> 45+ years</v>
          </cell>
          <cell r="E511">
            <v>48.925393569999997</v>
          </cell>
          <cell r="F511">
            <v>60</v>
          </cell>
          <cell r="G511">
            <v>17.522745461401975</v>
          </cell>
          <cell r="I511">
            <v>0</v>
          </cell>
          <cell r="J511">
            <v>0.95883306431994442</v>
          </cell>
          <cell r="K511">
            <v>1185.9803100744321</v>
          </cell>
          <cell r="L511" t="str">
            <v>Y</v>
          </cell>
          <cell r="O511" t="e">
            <v>#N/A</v>
          </cell>
          <cell r="P511">
            <v>0</v>
          </cell>
          <cell r="R511" t="str">
            <v>NIT issued</v>
          </cell>
          <cell r="S511" t="str">
            <v>Odisha</v>
          </cell>
          <cell r="T511" t="str">
            <v>Central Sector</v>
          </cell>
        </row>
        <row r="512">
          <cell r="C512" t="str">
            <v>TALCHER (OLD) TPS3</v>
          </cell>
          <cell r="D512" t="str">
            <v xml:space="preserve"> 45+ years</v>
          </cell>
          <cell r="E512">
            <v>48.339493500000003</v>
          </cell>
          <cell r="F512">
            <v>60</v>
          </cell>
          <cell r="G512">
            <v>17.522745461401975</v>
          </cell>
          <cell r="I512">
            <v>0</v>
          </cell>
          <cell r="J512">
            <v>0.90750364529076377</v>
          </cell>
          <cell r="K512">
            <v>1122.490968121728</v>
          </cell>
          <cell r="L512" t="str">
            <v>Y</v>
          </cell>
          <cell r="O512" t="e">
            <v>#N/A</v>
          </cell>
          <cell r="P512">
            <v>0</v>
          </cell>
          <cell r="R512" t="str">
            <v>NIT issued</v>
          </cell>
          <cell r="S512" t="str">
            <v>Odisha</v>
          </cell>
          <cell r="T512" t="str">
            <v>Central Sector</v>
          </cell>
        </row>
        <row r="513">
          <cell r="C513" t="str">
            <v>TALCHER (OLD) TPS4</v>
          </cell>
          <cell r="D513" t="str">
            <v xml:space="preserve"> 45+ years</v>
          </cell>
          <cell r="E513">
            <v>47.923340179999997</v>
          </cell>
          <cell r="F513">
            <v>60</v>
          </cell>
          <cell r="G513">
            <v>17.522745461401975</v>
          </cell>
          <cell r="I513">
            <v>0</v>
          </cell>
          <cell r="J513">
            <v>0.87672141223934719</v>
          </cell>
          <cell r="K513">
            <v>1084.4164339221848</v>
          </cell>
          <cell r="L513" t="str">
            <v>Y</v>
          </cell>
          <cell r="O513" t="e">
            <v>#N/A</v>
          </cell>
          <cell r="P513">
            <v>0</v>
          </cell>
          <cell r="R513" t="str">
            <v>NIT issued</v>
          </cell>
          <cell r="S513" t="str">
            <v>Odisha</v>
          </cell>
          <cell r="T513" t="str">
            <v>Central Sector</v>
          </cell>
        </row>
        <row r="514">
          <cell r="C514" t="str">
            <v>TALCHER (OLD) TPS5</v>
          </cell>
          <cell r="D514" t="str">
            <v xml:space="preserve"> 45+ years</v>
          </cell>
          <cell r="E514">
            <v>47.337440110000003</v>
          </cell>
          <cell r="F514">
            <v>110</v>
          </cell>
          <cell r="G514">
            <v>17.522745461401975</v>
          </cell>
          <cell r="I514">
            <v>0</v>
          </cell>
          <cell r="J514">
            <v>0.80008420952733716</v>
          </cell>
          <cell r="K514">
            <v>1814.310487806822</v>
          </cell>
          <cell r="L514" t="str">
            <v>Y</v>
          </cell>
          <cell r="O514" t="e">
            <v>#N/A</v>
          </cell>
          <cell r="P514">
            <v>0</v>
          </cell>
          <cell r="R514" t="str">
            <v>NIT issued</v>
          </cell>
          <cell r="S514" t="str">
            <v>Odisha</v>
          </cell>
          <cell r="T514" t="str">
            <v>Central Sector</v>
          </cell>
        </row>
        <row r="515">
          <cell r="C515" t="str">
            <v>TALCHER (OLD) TPS6</v>
          </cell>
          <cell r="D515" t="str">
            <v xml:space="preserve"> 45+ years</v>
          </cell>
          <cell r="E515">
            <v>46.924024639999999</v>
          </cell>
          <cell r="F515">
            <v>110</v>
          </cell>
          <cell r="G515">
            <v>17.522745461401975</v>
          </cell>
          <cell r="I515">
            <v>0</v>
          </cell>
          <cell r="J515">
            <v>0.88398365240411736</v>
          </cell>
          <cell r="K515">
            <v>2004.5650101681845</v>
          </cell>
          <cell r="L515" t="str">
            <v>Y</v>
          </cell>
          <cell r="O515" t="e">
            <v>#N/A</v>
          </cell>
          <cell r="P515">
            <v>0</v>
          </cell>
          <cell r="R515" t="str">
            <v>NIT issued</v>
          </cell>
          <cell r="S515" t="str">
            <v>Odisha</v>
          </cell>
          <cell r="T515" t="str">
            <v>Central Sector</v>
          </cell>
        </row>
        <row r="516">
          <cell r="C516" t="str">
            <v>TALCHER STPS1</v>
          </cell>
          <cell r="D516" t="str">
            <v xml:space="preserve"> 25-30 years</v>
          </cell>
          <cell r="E516">
            <v>25.25393566</v>
          </cell>
          <cell r="F516">
            <v>500</v>
          </cell>
          <cell r="G516">
            <v>16.88926876693478</v>
          </cell>
          <cell r="H516">
            <v>4042</v>
          </cell>
          <cell r="I516">
            <v>68.266424355950377</v>
          </cell>
          <cell r="J516">
            <v>0.77147842391143018</v>
          </cell>
          <cell r="K516">
            <v>7664.5332054890514</v>
          </cell>
          <cell r="M516" t="str">
            <v>Y</v>
          </cell>
          <cell r="N516">
            <v>5.75</v>
          </cell>
          <cell r="O516">
            <v>6.142876179080794</v>
          </cell>
          <cell r="P516">
            <v>2875</v>
          </cell>
          <cell r="R516" t="str">
            <v>NIT issued</v>
          </cell>
          <cell r="S516" t="str">
            <v>Odisha</v>
          </cell>
          <cell r="T516" t="str">
            <v>Central Sector</v>
          </cell>
        </row>
        <row r="517">
          <cell r="C517" t="str">
            <v>TALCHER STPS2</v>
          </cell>
          <cell r="D517" t="str">
            <v xml:space="preserve"> 20-25 years</v>
          </cell>
          <cell r="E517">
            <v>24.17522245</v>
          </cell>
          <cell r="F517">
            <v>500</v>
          </cell>
          <cell r="G517">
            <v>16.88926876693478</v>
          </cell>
          <cell r="H517">
            <v>4042</v>
          </cell>
          <cell r="I517">
            <v>68.266424355950377</v>
          </cell>
          <cell r="J517">
            <v>0.78203221988276161</v>
          </cell>
          <cell r="K517">
            <v>7769.3837329427042</v>
          </cell>
          <cell r="M517" t="str">
            <v>Y</v>
          </cell>
          <cell r="N517">
            <v>5.75</v>
          </cell>
          <cell r="O517">
            <v>6.142876179080794</v>
          </cell>
          <cell r="P517">
            <v>2875</v>
          </cell>
          <cell r="Q517">
            <v>2492.4980306258999</v>
          </cell>
          <cell r="R517" t="str">
            <v>NIT issued</v>
          </cell>
          <cell r="S517" t="str">
            <v>Odisha</v>
          </cell>
          <cell r="T517" t="str">
            <v>Central Sector</v>
          </cell>
        </row>
        <row r="518">
          <cell r="C518" t="str">
            <v>TALCHER STPS3</v>
          </cell>
          <cell r="D518" t="str">
            <v xml:space="preserve"> 15-20 years</v>
          </cell>
          <cell r="E518">
            <v>17.25393566</v>
          </cell>
          <cell r="F518">
            <v>500</v>
          </cell>
          <cell r="G518">
            <v>16.88926876693478</v>
          </cell>
          <cell r="H518">
            <v>4095</v>
          </cell>
          <cell r="I518">
            <v>69.161555600597936</v>
          </cell>
          <cell r="J518">
            <v>0.78937699442649334</v>
          </cell>
          <cell r="K518">
            <v>7842.3530690024845</v>
          </cell>
          <cell r="N518">
            <v>5.75</v>
          </cell>
          <cell r="O518">
            <v>6.142876179080794</v>
          </cell>
          <cell r="P518">
            <v>2875</v>
          </cell>
          <cell r="Q518">
            <v>2492.4980306258999</v>
          </cell>
          <cell r="R518" t="str">
            <v>NIT issued</v>
          </cell>
          <cell r="S518" t="str">
            <v>Odisha</v>
          </cell>
          <cell r="T518" t="str">
            <v>Central Sector</v>
          </cell>
        </row>
        <row r="519">
          <cell r="C519" t="str">
            <v>TALCHER STPS4</v>
          </cell>
          <cell r="D519" t="str">
            <v xml:space="preserve"> 15-20 years</v>
          </cell>
          <cell r="E519">
            <v>16.591375769999999</v>
          </cell>
          <cell r="F519">
            <v>500</v>
          </cell>
          <cell r="G519">
            <v>16.88926876693478</v>
          </cell>
          <cell r="H519">
            <v>4095</v>
          </cell>
          <cell r="I519">
            <v>69.161555600597936</v>
          </cell>
          <cell r="J519">
            <v>0.81442205588513916</v>
          </cell>
          <cell r="K519">
            <v>8091.1723479786433</v>
          </cell>
          <cell r="N519">
            <v>5.75</v>
          </cell>
          <cell r="O519">
            <v>6.142876179080794</v>
          </cell>
          <cell r="P519">
            <v>2875</v>
          </cell>
          <cell r="Q519">
            <v>2492.4980306258999</v>
          </cell>
          <cell r="R519" t="str">
            <v>NIT issued</v>
          </cell>
          <cell r="S519" t="str">
            <v>Odisha</v>
          </cell>
          <cell r="T519" t="str">
            <v>Central Sector</v>
          </cell>
        </row>
        <row r="520">
          <cell r="C520" t="str">
            <v>TALCHER STPS5</v>
          </cell>
          <cell r="D520" t="str">
            <v xml:space="preserve"> 15-20 years</v>
          </cell>
          <cell r="E520">
            <v>16.008213550000001</v>
          </cell>
          <cell r="F520">
            <v>500</v>
          </cell>
          <cell r="G520">
            <v>16.88926876693478</v>
          </cell>
          <cell r="H520">
            <v>4095</v>
          </cell>
          <cell r="I520">
            <v>69.161555600597936</v>
          </cell>
          <cell r="J520">
            <v>0.80414497419047259</v>
          </cell>
          <cell r="K520">
            <v>7989.0709392251329</v>
          </cell>
          <cell r="N520">
            <v>5.75</v>
          </cell>
          <cell r="O520">
            <v>6.142876179080794</v>
          </cell>
          <cell r="P520">
            <v>2875</v>
          </cell>
          <cell r="Q520">
            <v>2492.4980306258999</v>
          </cell>
          <cell r="R520" t="str">
            <v>NIT issued</v>
          </cell>
          <cell r="S520" t="str">
            <v>Odisha</v>
          </cell>
          <cell r="T520" t="str">
            <v>Central Sector</v>
          </cell>
        </row>
        <row r="521">
          <cell r="C521" t="str">
            <v>TALCHER STPS6</v>
          </cell>
          <cell r="D521" t="str">
            <v xml:space="preserve"> 15-20 years</v>
          </cell>
          <cell r="E521">
            <v>15.252566740000001</v>
          </cell>
          <cell r="F521">
            <v>500</v>
          </cell>
          <cell r="G521">
            <v>16.88926876693478</v>
          </cell>
          <cell r="H521">
            <v>4095</v>
          </cell>
          <cell r="I521">
            <v>69.161555600597936</v>
          </cell>
          <cell r="J521">
            <v>0.84126735077402492</v>
          </cell>
          <cell r="K521">
            <v>8357.876701217474</v>
          </cell>
          <cell r="N521">
            <v>5.75</v>
          </cell>
          <cell r="O521">
            <v>6.142876179080794</v>
          </cell>
          <cell r="P521">
            <v>2875</v>
          </cell>
          <cell r="Q521">
            <v>2492.4980306258999</v>
          </cell>
          <cell r="R521" t="str">
            <v>NIT issued</v>
          </cell>
          <cell r="S521" t="str">
            <v>Odisha</v>
          </cell>
          <cell r="T521" t="str">
            <v>Central Sector</v>
          </cell>
        </row>
        <row r="522">
          <cell r="C522" t="str">
            <v>TALWANDI SABO TPS1</v>
          </cell>
          <cell r="D522" t="str">
            <v xml:space="preserve"> 5-10 years</v>
          </cell>
          <cell r="E522">
            <v>5.9247091029999996</v>
          </cell>
          <cell r="F522">
            <v>660</v>
          </cell>
          <cell r="G522">
            <v>12.735889123114235</v>
          </cell>
          <cell r="I522">
            <v>0</v>
          </cell>
          <cell r="J522">
            <v>0.60293298463689338</v>
          </cell>
          <cell r="K522">
            <v>5962.4304036029607</v>
          </cell>
          <cell r="O522" t="e">
            <v>#N/A</v>
          </cell>
          <cell r="Q522">
            <v>2567.0879716908494</v>
          </cell>
          <cell r="R522" t="str">
            <v>Bid awarded</v>
          </cell>
          <cell r="S522" t="str">
            <v>Punjab</v>
          </cell>
          <cell r="T522" t="str">
            <v>Private Sector</v>
          </cell>
        </row>
        <row r="523">
          <cell r="C523" t="str">
            <v>TALWANDI SABO TPS2</v>
          </cell>
          <cell r="D523" t="str">
            <v xml:space="preserve"> 0-5 years</v>
          </cell>
          <cell r="E523">
            <v>4.59137577</v>
          </cell>
          <cell r="F523">
            <v>660</v>
          </cell>
          <cell r="G523">
            <v>12.735889123114235</v>
          </cell>
          <cell r="I523">
            <v>0</v>
          </cell>
          <cell r="J523">
            <v>0.57509519947531251</v>
          </cell>
          <cell r="K523">
            <v>5687.1413402316202</v>
          </cell>
          <cell r="O523" t="e">
            <v>#N/A</v>
          </cell>
          <cell r="Q523">
            <v>2567.0879716908494</v>
          </cell>
          <cell r="R523" t="str">
            <v>Bid awarded</v>
          </cell>
          <cell r="S523" t="str">
            <v>Punjab</v>
          </cell>
          <cell r="T523" t="str">
            <v>Private Sector</v>
          </cell>
        </row>
        <row r="524">
          <cell r="C524" t="str">
            <v>TALWANDI SABO TPS3</v>
          </cell>
          <cell r="D524" t="str">
            <v xml:space="preserve"> 0-5 years</v>
          </cell>
          <cell r="E524">
            <v>4.1752224499999997</v>
          </cell>
          <cell r="F524">
            <v>660</v>
          </cell>
          <cell r="G524">
            <v>12.735889123114235</v>
          </cell>
          <cell r="I524">
            <v>0</v>
          </cell>
          <cell r="J524">
            <v>0.56745135864801211</v>
          </cell>
          <cell r="K524">
            <v>5611.5510671659576</v>
          </cell>
          <cell r="O524" t="e">
            <v>#N/A</v>
          </cell>
          <cell r="Q524">
            <v>2567.0879716908494</v>
          </cell>
          <cell r="R524" t="str">
            <v>Bid awarded</v>
          </cell>
          <cell r="S524" t="str">
            <v>Punjab</v>
          </cell>
          <cell r="T524" t="str">
            <v>Private Sector</v>
          </cell>
        </row>
        <row r="525">
          <cell r="C525" t="str">
            <v>TANDA STPS1</v>
          </cell>
          <cell r="D525" t="str">
            <v xml:space="preserve"> 30-35 years</v>
          </cell>
          <cell r="E525">
            <v>32.17522245</v>
          </cell>
          <cell r="F525">
            <v>110</v>
          </cell>
          <cell r="G525">
            <v>14.116051998660719</v>
          </cell>
          <cell r="H525">
            <v>5387</v>
          </cell>
          <cell r="I525">
            <v>76.0431721167853</v>
          </cell>
          <cell r="J525">
            <v>0.6716125514373561</v>
          </cell>
          <cell r="K525">
            <v>1226.890525758495</v>
          </cell>
          <cell r="L525" t="str">
            <v>Y</v>
          </cell>
          <cell r="N525">
            <v>12</v>
          </cell>
          <cell r="O525">
            <v>11.434847342158408</v>
          </cell>
          <cell r="P525">
            <v>1320</v>
          </cell>
          <cell r="R525" t="str">
            <v>Bid awarded</v>
          </cell>
          <cell r="S525" t="str">
            <v>Uttar Pradesh</v>
          </cell>
          <cell r="T525" t="str">
            <v>Central Sector</v>
          </cell>
        </row>
        <row r="526">
          <cell r="C526" t="str">
            <v>TANDA STPS2</v>
          </cell>
          <cell r="D526" t="str">
            <v xml:space="preserve"> 30-35 years</v>
          </cell>
          <cell r="E526">
            <v>31.175906909999998</v>
          </cell>
          <cell r="F526">
            <v>110</v>
          </cell>
          <cell r="G526">
            <v>14.116051998660719</v>
          </cell>
          <cell r="H526">
            <v>5387</v>
          </cell>
          <cell r="I526">
            <v>76.0431721167853</v>
          </cell>
          <cell r="J526">
            <v>0.66276602216243563</v>
          </cell>
          <cell r="K526">
            <v>1210.7298347022954</v>
          </cell>
          <cell r="L526" t="str">
            <v>Y</v>
          </cell>
          <cell r="N526">
            <v>12</v>
          </cell>
          <cell r="O526">
            <v>11.434847342158408</v>
          </cell>
          <cell r="P526">
            <v>1320</v>
          </cell>
          <cell r="R526" t="str">
            <v>Bid awarded</v>
          </cell>
          <cell r="S526" t="str">
            <v>Uttar Pradesh</v>
          </cell>
          <cell r="T526" t="str">
            <v>Central Sector</v>
          </cell>
        </row>
        <row r="527">
          <cell r="C527" t="str">
            <v>TANDA STPS3</v>
          </cell>
          <cell r="D527" t="str">
            <v xml:space="preserve"> 30-35 years</v>
          </cell>
          <cell r="E527">
            <v>30.176591380000001</v>
          </cell>
          <cell r="F527">
            <v>110</v>
          </cell>
          <cell r="G527">
            <v>14.116051998660719</v>
          </cell>
          <cell r="H527">
            <v>5387</v>
          </cell>
          <cell r="I527">
            <v>76.0431721167853</v>
          </cell>
          <cell r="J527">
            <v>0.64605972136853029</v>
          </cell>
          <cell r="K527">
            <v>1180.2110450807379</v>
          </cell>
          <cell r="L527" t="str">
            <v>Y</v>
          </cell>
          <cell r="N527">
            <v>12</v>
          </cell>
          <cell r="O527">
            <v>11.434847342158408</v>
          </cell>
          <cell r="P527">
            <v>1320</v>
          </cell>
          <cell r="R527" t="str">
            <v>NIT issued</v>
          </cell>
          <cell r="S527" t="str">
            <v>Uttar Pradesh</v>
          </cell>
          <cell r="T527" t="str">
            <v>Central Sector</v>
          </cell>
        </row>
        <row r="528">
          <cell r="C528" t="str">
            <v>TANDA STPS4</v>
          </cell>
          <cell r="D528" t="str">
            <v xml:space="preserve"> 20-25 years</v>
          </cell>
          <cell r="E528">
            <v>22.253251200000001</v>
          </cell>
          <cell r="F528">
            <v>110</v>
          </cell>
          <cell r="G528">
            <v>14.116051998660719</v>
          </cell>
          <cell r="H528">
            <v>5387</v>
          </cell>
          <cell r="I528">
            <v>76.0431721167853</v>
          </cell>
          <cell r="J528">
            <v>0.66379538639479929</v>
          </cell>
          <cell r="K528">
            <v>1212.6102599884798</v>
          </cell>
          <cell r="L528" t="str">
            <v>Y</v>
          </cell>
          <cell r="N528">
            <v>12</v>
          </cell>
          <cell r="O528">
            <v>11.434847342158408</v>
          </cell>
          <cell r="P528">
            <v>1320</v>
          </cell>
          <cell r="Q528">
            <v>3101.9675490714635</v>
          </cell>
          <cell r="R528" t="str">
            <v>NIT issued</v>
          </cell>
          <cell r="S528" t="str">
            <v>Uttar Pradesh</v>
          </cell>
          <cell r="T528" t="str">
            <v>Central Sector</v>
          </cell>
        </row>
        <row r="529">
          <cell r="C529" t="str">
            <v>TANDA STPS5</v>
          </cell>
          <cell r="D529" t="str">
            <v xml:space="preserve"> 0-5 years</v>
          </cell>
          <cell r="E529">
            <v>0.60232717300000005</v>
          </cell>
          <cell r="F529">
            <v>660</v>
          </cell>
          <cell r="G529">
            <v>12.9</v>
          </cell>
          <cell r="I529">
            <v>0</v>
          </cell>
          <cell r="J529">
            <v>0.54643025039356563</v>
          </cell>
          <cell r="K529">
            <v>5473.3025315891973</v>
          </cell>
          <cell r="O529" t="e">
            <v>#N/A</v>
          </cell>
          <cell r="Q529" t="e">
            <v>#N/A</v>
          </cell>
          <cell r="S529" t="str">
            <v>Uttar Pradesh</v>
          </cell>
          <cell r="T529" t="str">
            <v>Central Sector</v>
          </cell>
        </row>
        <row r="530">
          <cell r="C530" t="str">
            <v>TENUGHAT TPS1</v>
          </cell>
          <cell r="D530" t="str">
            <v xml:space="preserve"> 20-25 years</v>
          </cell>
          <cell r="E530">
            <v>23.671457910000001</v>
          </cell>
          <cell r="F530">
            <v>210</v>
          </cell>
          <cell r="G530">
            <v>14.68212040827826</v>
          </cell>
          <cell r="I530">
            <v>0</v>
          </cell>
          <cell r="J530">
            <v>0.51644711597612303</v>
          </cell>
          <cell r="K530">
            <v>1873.333100784226</v>
          </cell>
          <cell r="L530" t="str">
            <v>Y</v>
          </cell>
          <cell r="O530" t="e">
            <v>#N/A</v>
          </cell>
          <cell r="Q530">
            <v>2861.3777391664344</v>
          </cell>
          <cell r="R530" t="str">
            <v>Feasiblity Study Completed</v>
          </cell>
          <cell r="S530" t="str">
            <v>Jharkhand</v>
          </cell>
          <cell r="T530" t="str">
            <v>State Sector</v>
          </cell>
        </row>
        <row r="531">
          <cell r="C531" t="str">
            <v>TENUGHAT TPS2</v>
          </cell>
          <cell r="D531" t="str">
            <v xml:space="preserve"> 20-25 years</v>
          </cell>
          <cell r="E531">
            <v>22.67214237</v>
          </cell>
          <cell r="F531">
            <v>210</v>
          </cell>
          <cell r="G531">
            <v>14.68212040827826</v>
          </cell>
          <cell r="I531">
            <v>0</v>
          </cell>
          <cell r="J531">
            <v>0.61519852742934522</v>
          </cell>
          <cell r="K531">
            <v>2231.5387758703009</v>
          </cell>
          <cell r="L531" t="str">
            <v>Y</v>
          </cell>
          <cell r="O531" t="e">
            <v>#N/A</v>
          </cell>
          <cell r="Q531">
            <v>2861.3777391664344</v>
          </cell>
          <cell r="R531" t="str">
            <v>Feasiblity Study Completed</v>
          </cell>
          <cell r="S531" t="str">
            <v>Jharkhand</v>
          </cell>
          <cell r="T531" t="str">
            <v>State Sector</v>
          </cell>
        </row>
        <row r="532">
          <cell r="C532" t="str">
            <v>THAMMINAPATNAM TPS1</v>
          </cell>
          <cell r="D532" t="str">
            <v xml:space="preserve"> 5-10 years</v>
          </cell>
          <cell r="E532">
            <v>8.1752224499999997</v>
          </cell>
          <cell r="F532">
            <v>150</v>
          </cell>
          <cell r="G532">
            <v>17.396357577760803</v>
          </cell>
          <cell r="I532">
            <v>0</v>
          </cell>
          <cell r="J532">
            <v>3.3012788557931112E-2</v>
          </cell>
          <cell r="K532">
            <v>101.34746018696119</v>
          </cell>
          <cell r="O532" t="e">
            <v>#N/A</v>
          </cell>
          <cell r="Q532">
            <v>2847.2877502992251</v>
          </cell>
          <cell r="S532" t="str">
            <v>Andhra Pradesh</v>
          </cell>
          <cell r="T532" t="str">
            <v>Private Sector</v>
          </cell>
        </row>
        <row r="533">
          <cell r="C533" t="str">
            <v>THAMMINAPATNAM TPS2</v>
          </cell>
          <cell r="D533" t="str">
            <v xml:space="preserve"> 5-10 years</v>
          </cell>
          <cell r="E533">
            <v>7.8412046540000002</v>
          </cell>
          <cell r="F533">
            <v>150</v>
          </cell>
          <cell r="G533">
            <v>17.396357577760803</v>
          </cell>
          <cell r="I533">
            <v>0</v>
          </cell>
          <cell r="J533">
            <v>5.3678586632609451E-2</v>
          </cell>
          <cell r="K533">
            <v>164.79033305817973</v>
          </cell>
          <cell r="O533" t="e">
            <v>#N/A</v>
          </cell>
          <cell r="Q533">
            <v>2847.2877502992251</v>
          </cell>
          <cell r="S533" t="str">
            <v>Andhra Pradesh</v>
          </cell>
          <cell r="T533" t="str">
            <v>Private Sector</v>
          </cell>
        </row>
        <row r="534">
          <cell r="C534" t="str">
            <v>TIRORA TPS1</v>
          </cell>
          <cell r="D534" t="str">
            <v xml:space="preserve"> 5-10 years</v>
          </cell>
          <cell r="E534">
            <v>7.6714579059999997</v>
          </cell>
          <cell r="F534">
            <v>660</v>
          </cell>
          <cell r="G534">
            <v>12.875775175331281</v>
          </cell>
          <cell r="I534">
            <v>0</v>
          </cell>
          <cell r="J534">
            <v>0.75874792649912881</v>
          </cell>
          <cell r="K534">
            <v>7585.7043444612154</v>
          </cell>
          <cell r="O534" t="e">
            <v>#N/A</v>
          </cell>
          <cell r="Q534">
            <v>2461.8080548746825</v>
          </cell>
          <cell r="R534" t="str">
            <v>NIT issued</v>
          </cell>
          <cell r="S534" t="str">
            <v>Maharashtra</v>
          </cell>
          <cell r="T534" t="str">
            <v>Private Sector</v>
          </cell>
        </row>
        <row r="535">
          <cell r="C535" t="str">
            <v>TIRORA TPS2</v>
          </cell>
          <cell r="D535" t="str">
            <v xml:space="preserve"> 5-10 years</v>
          </cell>
          <cell r="E535">
            <v>7.1759069130000004</v>
          </cell>
          <cell r="F535">
            <v>660</v>
          </cell>
          <cell r="G535">
            <v>12.875775175331281</v>
          </cell>
          <cell r="I535">
            <v>0</v>
          </cell>
          <cell r="J535">
            <v>0.68593343643097848</v>
          </cell>
          <cell r="K535">
            <v>6857.7297769414854</v>
          </cell>
          <cell r="O535" t="e">
            <v>#N/A</v>
          </cell>
          <cell r="Q535">
            <v>2461.8080548746825</v>
          </cell>
          <cell r="R535" t="str">
            <v>NIT issued</v>
          </cell>
          <cell r="S535" t="str">
            <v>Maharashtra</v>
          </cell>
          <cell r="T535" t="str">
            <v>Private Sector</v>
          </cell>
        </row>
        <row r="536">
          <cell r="C536" t="str">
            <v>TIRORA TPS3</v>
          </cell>
          <cell r="D536" t="str">
            <v xml:space="preserve"> 5-10 years</v>
          </cell>
          <cell r="E536">
            <v>6.9240246409999999</v>
          </cell>
          <cell r="F536">
            <v>660</v>
          </cell>
          <cell r="G536">
            <v>12.875775175331281</v>
          </cell>
          <cell r="I536">
            <v>0</v>
          </cell>
          <cell r="J536">
            <v>0.76427411936739265</v>
          </cell>
          <cell r="K536">
            <v>7640.9533458555779</v>
          </cell>
          <cell r="O536" t="e">
            <v>#N/A</v>
          </cell>
          <cell r="Q536">
            <v>2461.8080548746825</v>
          </cell>
          <cell r="R536" t="str">
            <v>NIT issued</v>
          </cell>
          <cell r="S536" t="str">
            <v>Maharashtra</v>
          </cell>
          <cell r="T536" t="str">
            <v>Private Sector</v>
          </cell>
        </row>
        <row r="537">
          <cell r="C537" t="str">
            <v>TIRORA TPS4</v>
          </cell>
          <cell r="D537" t="str">
            <v xml:space="preserve"> 5-10 years</v>
          </cell>
          <cell r="E537">
            <v>6.1765913760000002</v>
          </cell>
          <cell r="F537">
            <v>660</v>
          </cell>
          <cell r="G537">
            <v>12.875775175331281</v>
          </cell>
          <cell r="I537">
            <v>0</v>
          </cell>
          <cell r="J537">
            <v>0.69919482158685609</v>
          </cell>
          <cell r="K537">
            <v>6990.3126064652106</v>
          </cell>
          <cell r="O537" t="e">
            <v>#N/A</v>
          </cell>
          <cell r="Q537">
            <v>2461.8080548746825</v>
          </cell>
          <cell r="R537" t="str">
            <v>NIT issued</v>
          </cell>
          <cell r="S537" t="str">
            <v>Maharashtra</v>
          </cell>
          <cell r="T537" t="str">
            <v>Private Sector</v>
          </cell>
        </row>
        <row r="538">
          <cell r="C538" t="str">
            <v>TIRORA TPS5</v>
          </cell>
          <cell r="D538" t="str">
            <v xml:space="preserve"> 5-10 years</v>
          </cell>
          <cell r="E538">
            <v>5.6728268310000001</v>
          </cell>
          <cell r="F538">
            <v>660</v>
          </cell>
          <cell r="G538">
            <v>12.875775175331281</v>
          </cell>
          <cell r="I538">
            <v>0</v>
          </cell>
          <cell r="J538">
            <v>0.72994774872522095</v>
          </cell>
          <cell r="K538">
            <v>7297.7699382760038</v>
          </cell>
          <cell r="O538" t="e">
            <v>#N/A</v>
          </cell>
          <cell r="Q538">
            <v>2461.8080548746825</v>
          </cell>
          <cell r="R538" t="str">
            <v>NIT issued</v>
          </cell>
          <cell r="S538" t="str">
            <v>Maharashtra</v>
          </cell>
          <cell r="T538" t="str">
            <v>Private Sector</v>
          </cell>
        </row>
        <row r="539">
          <cell r="C539" t="str">
            <v>TORANGALLU TPS(SBU-I)1</v>
          </cell>
          <cell r="D539" t="str">
            <v xml:space="preserve"> 20-25 years</v>
          </cell>
          <cell r="E539">
            <v>21.33880903</v>
          </cell>
          <cell r="F539">
            <v>130</v>
          </cell>
          <cell r="G539">
            <v>11.48</v>
          </cell>
          <cell r="I539">
            <v>0</v>
          </cell>
          <cell r="J539">
            <v>0.78005289715022752</v>
          </cell>
          <cell r="K539">
            <v>1369.5893455376465</v>
          </cell>
          <cell r="N539">
            <v>7.9164121407753303</v>
          </cell>
          <cell r="O539">
            <v>7.9164121407753303</v>
          </cell>
          <cell r="P539">
            <v>1029.133578300793</v>
          </cell>
          <cell r="Q539">
            <v>2423.7680849308476</v>
          </cell>
          <cell r="S539" t="str">
            <v>Karnataka</v>
          </cell>
          <cell r="T539" t="str">
            <v>Private Sector</v>
          </cell>
        </row>
        <row r="540">
          <cell r="C540" t="str">
            <v>TORANGALLU TPS(SBU-I)2</v>
          </cell>
          <cell r="D540" t="str">
            <v xml:space="preserve"> 20-25 years</v>
          </cell>
          <cell r="E540">
            <v>21.010266940000001</v>
          </cell>
          <cell r="F540">
            <v>130</v>
          </cell>
          <cell r="G540">
            <v>11.48</v>
          </cell>
          <cell r="I540">
            <v>0</v>
          </cell>
          <cell r="J540">
            <v>0.36779959134714102</v>
          </cell>
          <cell r="K540">
            <v>645.76954132526282</v>
          </cell>
          <cell r="N540">
            <v>7.9164121407753303</v>
          </cell>
          <cell r="O540">
            <v>7.9164121407753303</v>
          </cell>
          <cell r="P540">
            <v>1029.133578300793</v>
          </cell>
          <cell r="Q540">
            <v>2423.7680849308476</v>
          </cell>
          <cell r="S540" t="str">
            <v>Karnataka</v>
          </cell>
          <cell r="T540" t="str">
            <v>Private Sector</v>
          </cell>
        </row>
        <row r="541">
          <cell r="C541" t="str">
            <v>TORANGALLU TPS(SBU-II)3</v>
          </cell>
          <cell r="D541" t="str">
            <v xml:space="preserve"> 10-15 years</v>
          </cell>
          <cell r="E541">
            <v>11.09103354</v>
          </cell>
          <cell r="F541">
            <v>300</v>
          </cell>
          <cell r="G541">
            <v>9.444580192153941</v>
          </cell>
          <cell r="I541">
            <v>0</v>
          </cell>
          <cell r="J541">
            <v>0.59539343083029583</v>
          </cell>
          <cell r="K541">
            <v>1984.6732953029609</v>
          </cell>
          <cell r="O541" t="e">
            <v>#N/A</v>
          </cell>
          <cell r="Q541" t="e">
            <v>#N/A</v>
          </cell>
          <cell r="S541" t="str">
            <v>Karnataka</v>
          </cell>
          <cell r="T541" t="str">
            <v>Private Sector</v>
          </cell>
        </row>
        <row r="542">
          <cell r="C542" t="str">
            <v>TORANGALLU TPS(SBU-II)4</v>
          </cell>
          <cell r="D542" t="str">
            <v xml:space="preserve"> 10-15 years</v>
          </cell>
          <cell r="E542">
            <v>10.75701574</v>
          </cell>
          <cell r="F542">
            <v>300</v>
          </cell>
          <cell r="G542">
            <v>9.444580192153941</v>
          </cell>
          <cell r="I542">
            <v>0</v>
          </cell>
          <cell r="J542">
            <v>0.23673969417765278</v>
          </cell>
          <cell r="K542">
            <v>789.14365635064985</v>
          </cell>
          <cell r="O542" t="e">
            <v>#N/A</v>
          </cell>
          <cell r="Q542" t="e">
            <v>#N/A</v>
          </cell>
          <cell r="S542" t="str">
            <v>Karnataka</v>
          </cell>
          <cell r="T542" t="str">
            <v>Private Sector</v>
          </cell>
        </row>
        <row r="543">
          <cell r="C543" t="str">
            <v>TROMBAY TPS5</v>
          </cell>
          <cell r="D543" t="str">
            <v xml:space="preserve"> 35-40 years</v>
          </cell>
          <cell r="E543">
            <v>36.339493500000003</v>
          </cell>
          <cell r="F543">
            <v>500</v>
          </cell>
          <cell r="G543">
            <v>9.7938280799133146</v>
          </cell>
          <cell r="H543">
            <v>4819</v>
          </cell>
          <cell r="I543">
            <v>47.196457517102267</v>
          </cell>
          <cell r="J543">
            <v>0.71510558917609746</v>
          </cell>
          <cell r="K543">
            <v>4119.7771761034228</v>
          </cell>
          <cell r="N543">
            <v>5.4210441202686521</v>
          </cell>
          <cell r="O543">
            <v>5.4210441202686521</v>
          </cell>
          <cell r="P543">
            <v>2710.5220601343262</v>
          </cell>
          <cell r="S543" t="str">
            <v>Maharashtra</v>
          </cell>
          <cell r="T543" t="str">
            <v>Private Sector</v>
          </cell>
        </row>
        <row r="544">
          <cell r="C544" t="str">
            <v>TROMBAY TPS8</v>
          </cell>
          <cell r="D544" t="str">
            <v xml:space="preserve"> 10-15 years</v>
          </cell>
          <cell r="E544">
            <v>11.17590691</v>
          </cell>
          <cell r="F544">
            <v>250</v>
          </cell>
          <cell r="G544">
            <v>9.7938280799133146</v>
          </cell>
          <cell r="H544">
            <v>4819</v>
          </cell>
          <cell r="I544">
            <v>47.196457517102267</v>
          </cell>
          <cell r="J544">
            <v>0.79249443393609664</v>
          </cell>
          <cell r="K544">
            <v>2282.8100706642208</v>
          </cell>
          <cell r="N544">
            <v>5.4210441202686521</v>
          </cell>
          <cell r="O544">
            <v>5.4210441202686521</v>
          </cell>
          <cell r="P544">
            <v>1355.2610300671631</v>
          </cell>
          <cell r="Q544">
            <v>2531.4743960000001</v>
          </cell>
          <cell r="S544" t="str">
            <v>Maharashtra</v>
          </cell>
          <cell r="T544" t="str">
            <v>Private Sector</v>
          </cell>
        </row>
        <row r="545">
          <cell r="C545" t="str">
            <v>TUTICORIN TPS1</v>
          </cell>
          <cell r="D545" t="str">
            <v xml:space="preserve"> 40-45 years</v>
          </cell>
          <cell r="E545">
            <v>40.821355240000003</v>
          </cell>
          <cell r="F545">
            <v>210</v>
          </cell>
          <cell r="G545">
            <v>15.43771434450896</v>
          </cell>
          <cell r="H545">
            <v>3440</v>
          </cell>
          <cell r="I545">
            <v>53.105737345110825</v>
          </cell>
          <cell r="J545">
            <v>0.48274759994964289</v>
          </cell>
          <cell r="K545">
            <v>1841.210711987263</v>
          </cell>
          <cell r="L545" t="str">
            <v>Y</v>
          </cell>
          <cell r="N545">
            <v>8.5</v>
          </cell>
          <cell r="O545" t="e">
            <v>#N/A</v>
          </cell>
          <cell r="P545">
            <v>1785</v>
          </cell>
          <cell r="S545" t="str">
            <v>Tamil Nadu</v>
          </cell>
          <cell r="T545" t="str">
            <v>State Sector</v>
          </cell>
        </row>
        <row r="546">
          <cell r="C546" t="str">
            <v>TUTICORIN TPS2</v>
          </cell>
          <cell r="D546" t="str">
            <v xml:space="preserve"> 35-40 years</v>
          </cell>
          <cell r="E546">
            <v>39.37850787</v>
          </cell>
          <cell r="F546">
            <v>210</v>
          </cell>
          <cell r="G546">
            <v>15.43771434450896</v>
          </cell>
          <cell r="H546">
            <v>3440</v>
          </cell>
          <cell r="I546">
            <v>53.105737345110825</v>
          </cell>
          <cell r="J546">
            <v>0.64104929394860322</v>
          </cell>
          <cell r="K546">
            <v>2444.9770999444891</v>
          </cell>
          <cell r="L546" t="str">
            <v>Y</v>
          </cell>
          <cell r="N546">
            <v>8.5</v>
          </cell>
          <cell r="O546" t="e">
            <v>#N/A</v>
          </cell>
          <cell r="P546">
            <v>1785</v>
          </cell>
          <cell r="S546" t="str">
            <v>Tamil Nadu</v>
          </cell>
          <cell r="T546" t="str">
            <v>State Sector</v>
          </cell>
        </row>
        <row r="547">
          <cell r="C547" t="str">
            <v>TUTICORIN TPS3</v>
          </cell>
          <cell r="D547" t="str">
            <v xml:space="preserve"> 35-40 years</v>
          </cell>
          <cell r="E547">
            <v>38.050650240000003</v>
          </cell>
          <cell r="F547">
            <v>210</v>
          </cell>
          <cell r="G547">
            <v>15.43771434450896</v>
          </cell>
          <cell r="H547">
            <v>3440</v>
          </cell>
          <cell r="I547">
            <v>53.105737345110825</v>
          </cell>
          <cell r="J547">
            <v>0.640268778843881</v>
          </cell>
          <cell r="K547">
            <v>2442.0001969586792</v>
          </cell>
          <cell r="L547" t="str">
            <v>Y</v>
          </cell>
          <cell r="N547">
            <v>8.5</v>
          </cell>
          <cell r="O547" t="e">
            <v>#N/A</v>
          </cell>
          <cell r="P547">
            <v>1785</v>
          </cell>
          <cell r="S547" t="str">
            <v>Tamil Nadu</v>
          </cell>
          <cell r="T547" t="str">
            <v>State Sector</v>
          </cell>
        </row>
        <row r="548">
          <cell r="C548" t="str">
            <v>TUTICORIN TPS4</v>
          </cell>
          <cell r="D548" t="str">
            <v xml:space="preserve"> 25-30 years</v>
          </cell>
          <cell r="E548">
            <v>28.227241620000001</v>
          </cell>
          <cell r="F548">
            <v>210</v>
          </cell>
          <cell r="G548">
            <v>15.43771434450896</v>
          </cell>
          <cell r="H548">
            <v>3440</v>
          </cell>
          <cell r="I548">
            <v>53.105737345110825</v>
          </cell>
          <cell r="J548">
            <v>0.63625418478889884</v>
          </cell>
          <cell r="K548">
            <v>2426.6884407136263</v>
          </cell>
          <cell r="L548" t="str">
            <v>Y</v>
          </cell>
          <cell r="N548">
            <v>8.5</v>
          </cell>
          <cell r="O548" t="e">
            <v>#N/A</v>
          </cell>
          <cell r="P548">
            <v>1785</v>
          </cell>
          <cell r="S548" t="str">
            <v>Tamil Nadu</v>
          </cell>
          <cell r="T548" t="str">
            <v>State Sector</v>
          </cell>
        </row>
        <row r="549">
          <cell r="C549" t="str">
            <v>TUTICORIN TPS5</v>
          </cell>
          <cell r="D549" t="str">
            <v xml:space="preserve"> 25-30 years</v>
          </cell>
          <cell r="E549">
            <v>29.095140310000001</v>
          </cell>
          <cell r="F549">
            <v>210</v>
          </cell>
          <cell r="G549">
            <v>15.43771434450896</v>
          </cell>
          <cell r="H549">
            <v>3440</v>
          </cell>
          <cell r="I549">
            <v>53.105737345110825</v>
          </cell>
          <cell r="J549">
            <v>0.62434365218093058</v>
          </cell>
          <cell r="K549">
            <v>2381.2613889259992</v>
          </cell>
          <cell r="L549" t="str">
            <v>Y</v>
          </cell>
          <cell r="N549">
            <v>8.5</v>
          </cell>
          <cell r="O549" t="e">
            <v>#N/A</v>
          </cell>
          <cell r="P549">
            <v>1785</v>
          </cell>
          <cell r="S549" t="str">
            <v>Tamil Nadu</v>
          </cell>
          <cell r="T549" t="str">
            <v>State Sector</v>
          </cell>
        </row>
        <row r="550">
          <cell r="C550" t="str">
            <v>UCHPINDA TPP1</v>
          </cell>
          <cell r="D550" t="str">
            <v xml:space="preserve"> 0-5 years</v>
          </cell>
          <cell r="E550">
            <v>4.59137577</v>
          </cell>
          <cell r="F550">
            <v>360</v>
          </cell>
          <cell r="G550">
            <v>14.589000742807398</v>
          </cell>
          <cell r="I550">
            <v>0</v>
          </cell>
          <cell r="J550">
            <v>0.23829861293053242</v>
          </cell>
          <cell r="K550">
            <v>1472.4163656226631</v>
          </cell>
          <cell r="O550" t="e">
            <v>#N/A</v>
          </cell>
          <cell r="Q550">
            <v>2501.4668799999999</v>
          </cell>
          <cell r="R550" t="str">
            <v>Feasibility study completed</v>
          </cell>
          <cell r="S550" t="str">
            <v>Chhatisgarh</v>
          </cell>
          <cell r="T550" t="str">
            <v>Private Sector</v>
          </cell>
        </row>
        <row r="551">
          <cell r="C551" t="str">
            <v>UCHPINDA TPP2</v>
          </cell>
          <cell r="D551" t="str">
            <v xml:space="preserve"> 0-5 years</v>
          </cell>
          <cell r="E551">
            <v>4.8240930869999996</v>
          </cell>
          <cell r="F551">
            <v>360</v>
          </cell>
          <cell r="G551">
            <v>14.589000742807398</v>
          </cell>
          <cell r="I551">
            <v>0</v>
          </cell>
          <cell r="J551">
            <v>0.26868690870148498</v>
          </cell>
          <cell r="K551">
            <v>1660.1817221485785</v>
          </cell>
          <cell r="O551" t="e">
            <v>#N/A</v>
          </cell>
          <cell r="Q551">
            <v>2501.4668799999999</v>
          </cell>
          <cell r="R551" t="str">
            <v>Feasibility study completed</v>
          </cell>
          <cell r="S551" t="str">
            <v>Chhatisgarh</v>
          </cell>
          <cell r="T551" t="str">
            <v>Private Sector</v>
          </cell>
        </row>
        <row r="552">
          <cell r="C552" t="str">
            <v>UCHPINDA TPP3</v>
          </cell>
          <cell r="D552" t="str">
            <v xml:space="preserve"> 0-5 years</v>
          </cell>
          <cell r="E552">
            <v>4.3394934980000004</v>
          </cell>
          <cell r="F552">
            <v>360</v>
          </cell>
          <cell r="G552">
            <v>14.589000742807398</v>
          </cell>
          <cell r="I552">
            <v>0</v>
          </cell>
          <cell r="J552">
            <v>0.11913419661181829</v>
          </cell>
          <cell r="K552">
            <v>736.11482097751605</v>
          </cell>
          <cell r="O552" t="e">
            <v>#N/A</v>
          </cell>
          <cell r="Q552">
            <v>2501.4668799999999</v>
          </cell>
          <cell r="R552" t="str">
            <v>Feasibility study completed</v>
          </cell>
          <cell r="S552" t="str">
            <v>Chhatisgarh</v>
          </cell>
          <cell r="T552" t="str">
            <v>Private Sector</v>
          </cell>
        </row>
        <row r="553">
          <cell r="C553" t="str">
            <v>UDUPI TPP1</v>
          </cell>
          <cell r="D553" t="str">
            <v xml:space="preserve"> 5-10 years</v>
          </cell>
          <cell r="E553">
            <v>8.1752224499999997</v>
          </cell>
          <cell r="F553">
            <v>600</v>
          </cell>
          <cell r="G553">
            <v>8.8348603266680463</v>
          </cell>
          <cell r="H553">
            <v>5568</v>
          </cell>
          <cell r="I553">
            <v>49.192502298887682</v>
          </cell>
          <cell r="J553">
            <v>0.41541514166485133</v>
          </cell>
          <cell r="K553">
            <v>2590.6833559002221</v>
          </cell>
          <cell r="N553">
            <v>6.45</v>
          </cell>
          <cell r="O553" t="e">
            <v>#N/A</v>
          </cell>
          <cell r="P553">
            <v>3870</v>
          </cell>
          <cell r="Q553">
            <v>2464.7380525596313</v>
          </cell>
          <cell r="R553" t="str">
            <v>NIT issued</v>
          </cell>
          <cell r="S553" t="str">
            <v>Karnataka</v>
          </cell>
          <cell r="T553" t="str">
            <v>Private Sector</v>
          </cell>
        </row>
        <row r="554">
          <cell r="C554" t="str">
            <v>UDUPI TPP2</v>
          </cell>
          <cell r="D554" t="str">
            <v xml:space="preserve"> 5-10 years</v>
          </cell>
          <cell r="E554">
            <v>8.1752224499999997</v>
          </cell>
          <cell r="F554">
            <v>600</v>
          </cell>
          <cell r="G554">
            <v>8.8348603266680463</v>
          </cell>
          <cell r="H554">
            <v>5568</v>
          </cell>
          <cell r="I554">
            <v>49.192502298887682</v>
          </cell>
          <cell r="J554">
            <v>0.46272421071423614</v>
          </cell>
          <cell r="K554">
            <v>2885.7203092432874</v>
          </cell>
          <cell r="N554">
            <v>6.45</v>
          </cell>
          <cell r="O554" t="e">
            <v>#N/A</v>
          </cell>
          <cell r="P554">
            <v>3870</v>
          </cell>
          <cell r="Q554">
            <v>2464.7380525596313</v>
          </cell>
          <cell r="R554" t="str">
            <v>NIT issued</v>
          </cell>
          <cell r="S554" t="str">
            <v>Karnataka</v>
          </cell>
          <cell r="T554" t="str">
            <v>Private Sector</v>
          </cell>
        </row>
        <row r="555">
          <cell r="C555" t="str">
            <v>UKAI TPS3</v>
          </cell>
          <cell r="D555" t="str">
            <v xml:space="preserve"> 40-45 years</v>
          </cell>
          <cell r="E555">
            <v>41.33880903</v>
          </cell>
          <cell r="F555">
            <v>200</v>
          </cell>
          <cell r="G555">
            <v>12.782661442187354</v>
          </cell>
          <cell r="H555">
            <v>3901</v>
          </cell>
          <cell r="I555">
            <v>49.865162285972865</v>
          </cell>
          <cell r="J555">
            <v>0.66032280712402303</v>
          </cell>
          <cell r="K555">
            <v>1986.0430320049804</v>
          </cell>
          <cell r="M555" t="str">
            <v>Y</v>
          </cell>
          <cell r="N555">
            <v>9</v>
          </cell>
          <cell r="O555" t="e">
            <v>#N/A</v>
          </cell>
          <cell r="P555">
            <v>1800</v>
          </cell>
          <cell r="R555" t="str">
            <v>LoI Placed</v>
          </cell>
          <cell r="S555" t="str">
            <v>Gujarat</v>
          </cell>
          <cell r="T555" t="str">
            <v>State Sector</v>
          </cell>
        </row>
        <row r="556">
          <cell r="C556" t="str">
            <v>UKAI TPS4</v>
          </cell>
          <cell r="D556" t="str">
            <v xml:space="preserve"> 40-45 years</v>
          </cell>
          <cell r="E556">
            <v>41.17727584</v>
          </cell>
          <cell r="F556">
            <v>200</v>
          </cell>
          <cell r="G556">
            <v>12.782661442187354</v>
          </cell>
          <cell r="H556">
            <v>3901</v>
          </cell>
          <cell r="I556">
            <v>49.865162285972865</v>
          </cell>
          <cell r="J556">
            <v>0.73444943047389377</v>
          </cell>
          <cell r="K556">
            <v>2208.9925685070834</v>
          </cell>
          <cell r="M556" t="str">
            <v>Y</v>
          </cell>
          <cell r="N556">
            <v>9</v>
          </cell>
          <cell r="O556" t="e">
            <v>#N/A</v>
          </cell>
          <cell r="P556">
            <v>1800</v>
          </cell>
          <cell r="R556" t="str">
            <v>LoI Placed</v>
          </cell>
          <cell r="S556" t="str">
            <v>Gujarat</v>
          </cell>
          <cell r="T556" t="str">
            <v>State Sector</v>
          </cell>
        </row>
        <row r="557">
          <cell r="C557" t="str">
            <v>UKAI TPS5</v>
          </cell>
          <cell r="D557" t="str">
            <v xml:space="preserve"> 35-40 years</v>
          </cell>
          <cell r="E557">
            <v>35.337440110000003</v>
          </cell>
          <cell r="F557">
            <v>210</v>
          </cell>
          <cell r="G557">
            <v>12.782661442187354</v>
          </cell>
          <cell r="H557">
            <v>3901</v>
          </cell>
          <cell r="I557">
            <v>49.865162285972865</v>
          </cell>
          <cell r="J557">
            <v>0.67448588996999004</v>
          </cell>
          <cell r="K557">
            <v>2130.073180698766</v>
          </cell>
          <cell r="M557" t="str">
            <v>Y</v>
          </cell>
          <cell r="N557">
            <v>9</v>
          </cell>
          <cell r="O557" t="e">
            <v>#N/A</v>
          </cell>
          <cell r="P557">
            <v>1890</v>
          </cell>
          <cell r="R557" t="str">
            <v>LoI Placed</v>
          </cell>
          <cell r="S557" t="str">
            <v>Gujarat</v>
          </cell>
          <cell r="T557" t="str">
            <v>State Sector</v>
          </cell>
        </row>
        <row r="558">
          <cell r="C558" t="str">
            <v>UKAI TPS6</v>
          </cell>
          <cell r="D558" t="str">
            <v xml:space="preserve"> 5-10 years</v>
          </cell>
          <cell r="E558">
            <v>7.1759069130000004</v>
          </cell>
          <cell r="F558">
            <v>500</v>
          </cell>
          <cell r="G558">
            <v>12.782661442187354</v>
          </cell>
          <cell r="H558">
            <v>3949</v>
          </cell>
          <cell r="I558">
            <v>50.478730035197863</v>
          </cell>
          <cell r="J558">
            <v>0.71309917780484999</v>
          </cell>
          <cell r="K558">
            <v>5361.9443321068002</v>
          </cell>
          <cell r="N558">
            <v>6</v>
          </cell>
          <cell r="O558" t="e">
            <v>#N/A</v>
          </cell>
          <cell r="P558">
            <v>3000</v>
          </cell>
          <cell r="Q558">
            <v>2959.0076620270188</v>
          </cell>
          <cell r="R558" t="str">
            <v>e-tender for EPC floated</v>
          </cell>
          <cell r="S558" t="str">
            <v>Gujarat</v>
          </cell>
          <cell r="T558" t="str">
            <v>State Sector</v>
          </cell>
        </row>
        <row r="559">
          <cell r="C559" t="str">
            <v>UNCHAHAR STPS1</v>
          </cell>
          <cell r="D559" t="str">
            <v xml:space="preserve"> 30-35 years</v>
          </cell>
          <cell r="E559">
            <v>31.504449009999998</v>
          </cell>
          <cell r="F559">
            <v>210</v>
          </cell>
          <cell r="G559">
            <v>13.21968205136662</v>
          </cell>
          <cell r="I559">
            <v>0</v>
          </cell>
          <cell r="J559">
            <v>0.65614640754456155</v>
          </cell>
          <cell r="K559">
            <v>2142.9998191128948</v>
          </cell>
          <cell r="M559" t="str">
            <v>Y</v>
          </cell>
          <cell r="N559">
            <v>9</v>
          </cell>
          <cell r="O559" t="e">
            <v>#N/A</v>
          </cell>
          <cell r="P559">
            <v>1890</v>
          </cell>
          <cell r="R559" t="str">
            <v>NIT issued</v>
          </cell>
          <cell r="S559" t="str">
            <v>Uttar Pradesh</v>
          </cell>
          <cell r="T559" t="str">
            <v>Central Sector</v>
          </cell>
        </row>
        <row r="560">
          <cell r="C560" t="str">
            <v>UNCHAHAR STPS2</v>
          </cell>
          <cell r="D560" t="str">
            <v xml:space="preserve"> 30-35 years</v>
          </cell>
          <cell r="E560">
            <v>31.175906909999998</v>
          </cell>
          <cell r="F560">
            <v>210</v>
          </cell>
          <cell r="G560">
            <v>13.21968205136662</v>
          </cell>
          <cell r="I560">
            <v>0</v>
          </cell>
          <cell r="J560">
            <v>0.68800741256868847</v>
          </cell>
          <cell r="K560">
            <v>2247.0591071290714</v>
          </cell>
          <cell r="M560" t="str">
            <v>Y</v>
          </cell>
          <cell r="N560">
            <v>9</v>
          </cell>
          <cell r="O560" t="e">
            <v>#N/A</v>
          </cell>
          <cell r="P560">
            <v>1890</v>
          </cell>
          <cell r="R560" t="str">
            <v>NIT issued</v>
          </cell>
          <cell r="S560" t="str">
            <v>Uttar Pradesh</v>
          </cell>
          <cell r="T560" t="str">
            <v>Central Sector</v>
          </cell>
        </row>
        <row r="561">
          <cell r="C561" t="str">
            <v>UNCHAHAR STPS3</v>
          </cell>
          <cell r="D561" t="str">
            <v xml:space="preserve"> 20-25 years</v>
          </cell>
          <cell r="E561">
            <v>21.33880903</v>
          </cell>
          <cell r="F561">
            <v>210</v>
          </cell>
          <cell r="G561">
            <v>13.21968205136662</v>
          </cell>
          <cell r="I561">
            <v>0</v>
          </cell>
          <cell r="J561">
            <v>0.68347562508915671</v>
          </cell>
          <cell r="K561">
            <v>2232.2581120504919</v>
          </cell>
          <cell r="N561">
            <v>9</v>
          </cell>
          <cell r="O561" t="e">
            <v>#N/A</v>
          </cell>
          <cell r="P561">
            <v>1890</v>
          </cell>
          <cell r="Q561">
            <v>2637.3779161533143</v>
          </cell>
          <cell r="R561" t="str">
            <v>NIT issued</v>
          </cell>
          <cell r="S561" t="str">
            <v>Uttar Pradesh</v>
          </cell>
          <cell r="T561" t="str">
            <v>Central Sector</v>
          </cell>
        </row>
        <row r="562">
          <cell r="C562" t="str">
            <v>UNCHAHAR STPS4</v>
          </cell>
          <cell r="D562" t="str">
            <v xml:space="preserve"> 20-25 years</v>
          </cell>
          <cell r="E562">
            <v>20.591375769999999</v>
          </cell>
          <cell r="F562">
            <v>210</v>
          </cell>
          <cell r="G562">
            <v>13.21968205136662</v>
          </cell>
          <cell r="I562">
            <v>0</v>
          </cell>
          <cell r="J562">
            <v>0.70671449107389683</v>
          </cell>
          <cell r="K562">
            <v>2308.1571568811305</v>
          </cell>
          <cell r="N562">
            <v>9</v>
          </cell>
          <cell r="O562" t="e">
            <v>#N/A</v>
          </cell>
          <cell r="P562">
            <v>1890</v>
          </cell>
          <cell r="Q562">
            <v>2637.3779161533143</v>
          </cell>
          <cell r="R562" t="str">
            <v>NIT issued</v>
          </cell>
          <cell r="S562" t="str">
            <v>Uttar Pradesh</v>
          </cell>
          <cell r="T562" t="str">
            <v>Central Sector</v>
          </cell>
        </row>
        <row r="563">
          <cell r="C563" t="str">
            <v>UNCHAHAR STPS5</v>
          </cell>
          <cell r="D563" t="str">
            <v xml:space="preserve"> 10-15 years</v>
          </cell>
          <cell r="E563">
            <v>13.67282683</v>
          </cell>
          <cell r="F563">
            <v>210</v>
          </cell>
          <cell r="G563">
            <v>13.21968205136662</v>
          </cell>
          <cell r="I563">
            <v>0</v>
          </cell>
          <cell r="J563">
            <v>0.69340071524840274</v>
          </cell>
          <cell r="K563">
            <v>2264.6738445324213</v>
          </cell>
          <cell r="N563">
            <v>9</v>
          </cell>
          <cell r="O563" t="e">
            <v>#N/A</v>
          </cell>
          <cell r="P563">
            <v>1890</v>
          </cell>
          <cell r="Q563">
            <v>2637.3779161533143</v>
          </cell>
          <cell r="R563" t="str">
            <v>NIT issued</v>
          </cell>
          <cell r="S563" t="str">
            <v>Uttar Pradesh</v>
          </cell>
          <cell r="T563" t="str">
            <v>Central Sector</v>
          </cell>
        </row>
        <row r="564">
          <cell r="C564" t="str">
            <v>UNCHAHAR STPS6</v>
          </cell>
          <cell r="D564" t="str">
            <v xml:space="preserve"> 0-5 years</v>
          </cell>
          <cell r="E564">
            <v>3.1759069129999999</v>
          </cell>
          <cell r="F564">
            <v>500</v>
          </cell>
          <cell r="G564">
            <v>13.21968205136662</v>
          </cell>
          <cell r="H564">
            <v>3581</v>
          </cell>
          <cell r="I564">
            <v>47.339681425943866</v>
          </cell>
          <cell r="J564">
            <v>0.32482135029515419</v>
          </cell>
          <cell r="K564">
            <v>2525.9029261161877</v>
          </cell>
          <cell r="O564" t="e">
            <v>#N/A</v>
          </cell>
          <cell r="Q564">
            <v>2637.3779161533143</v>
          </cell>
          <cell r="R564" t="str">
            <v>Bid awarded</v>
          </cell>
          <cell r="S564" t="str">
            <v>Uttar Pradesh</v>
          </cell>
          <cell r="T564" t="str">
            <v>Central Sector</v>
          </cell>
        </row>
        <row r="565">
          <cell r="C565" t="str">
            <v>UTRAULA TPS1</v>
          </cell>
          <cell r="D565" t="str">
            <v xml:space="preserve"> 5-10 years</v>
          </cell>
          <cell r="E565">
            <v>8.2546201230000005</v>
          </cell>
          <cell r="F565">
            <v>45</v>
          </cell>
          <cell r="G565">
            <v>16.198762472960397</v>
          </cell>
          <cell r="I565">
            <v>0</v>
          </cell>
          <cell r="J565">
            <v>0.19082309741897499</v>
          </cell>
          <cell r="K565">
            <v>163.6463662647119</v>
          </cell>
          <cell r="O565" t="e">
            <v>#N/A</v>
          </cell>
          <cell r="Q565">
            <v>3375.5673328946314</v>
          </cell>
          <cell r="S565" t="str">
            <v>Uttar Pradesh</v>
          </cell>
          <cell r="T565" t="str">
            <v>Private Sector</v>
          </cell>
        </row>
        <row r="566">
          <cell r="C566" t="str">
            <v>UTRAULA TPS2</v>
          </cell>
          <cell r="D566" t="str">
            <v xml:space="preserve"> 5-10 years</v>
          </cell>
          <cell r="E566">
            <v>8.1752224499999997</v>
          </cell>
          <cell r="F566">
            <v>45</v>
          </cell>
          <cell r="G566">
            <v>16.198762472960397</v>
          </cell>
          <cell r="I566">
            <v>0</v>
          </cell>
          <cell r="J566">
            <v>0.1811269272344537</v>
          </cell>
          <cell r="K566">
            <v>155.33110967972277</v>
          </cell>
          <cell r="O566" t="e">
            <v>#N/A</v>
          </cell>
          <cell r="Q566">
            <v>3375.5673328946314</v>
          </cell>
          <cell r="S566" t="str">
            <v>Uttar Pradesh</v>
          </cell>
          <cell r="T566" t="str">
            <v>Private Sector</v>
          </cell>
        </row>
        <row r="567">
          <cell r="C567" t="str">
            <v>VALLUR TPP1</v>
          </cell>
          <cell r="D567" t="str">
            <v xml:space="preserve"> 5-10 years</v>
          </cell>
          <cell r="E567">
            <v>8.1752224499999997</v>
          </cell>
          <cell r="F567">
            <v>500</v>
          </cell>
          <cell r="G567">
            <v>15.253941181453632</v>
          </cell>
          <cell r="H567">
            <v>3999</v>
          </cell>
          <cell r="I567">
            <v>61.000510784633072</v>
          </cell>
          <cell r="J567">
            <v>0.52164714791861588</v>
          </cell>
          <cell r="K567">
            <v>4680.6911246021227</v>
          </cell>
          <cell r="N567">
            <v>6.69</v>
          </cell>
          <cell r="O567" t="e">
            <v>#N/A</v>
          </cell>
          <cell r="P567">
            <v>3345</v>
          </cell>
          <cell r="Q567">
            <v>2640.2779138619662</v>
          </cell>
          <cell r="R567" t="str">
            <v>NIT issued</v>
          </cell>
          <cell r="S567" t="str">
            <v>Tamil Nadu</v>
          </cell>
          <cell r="T567" t="str">
            <v>Central Sector</v>
          </cell>
        </row>
        <row r="568">
          <cell r="C568" t="str">
            <v>VALLUR TPP2</v>
          </cell>
          <cell r="D568" t="str">
            <v xml:space="preserve"> 5-10 years</v>
          </cell>
          <cell r="E568">
            <v>7.2525667350000003</v>
          </cell>
          <cell r="F568">
            <v>500</v>
          </cell>
          <cell r="G568">
            <v>15.253941181453632</v>
          </cell>
          <cell r="H568">
            <v>3999</v>
          </cell>
          <cell r="I568">
            <v>61.000510784633072</v>
          </cell>
          <cell r="J568">
            <v>0.52009688984232916</v>
          </cell>
          <cell r="K568">
            <v>4666.780803712858</v>
          </cell>
          <cell r="N568">
            <v>6.69</v>
          </cell>
          <cell r="O568" t="e">
            <v>#N/A</v>
          </cell>
          <cell r="P568">
            <v>3345</v>
          </cell>
          <cell r="Q568">
            <v>2640.2779138619662</v>
          </cell>
          <cell r="R568" t="str">
            <v>NIT issued</v>
          </cell>
          <cell r="S568" t="str">
            <v>Tamil Nadu</v>
          </cell>
          <cell r="T568" t="str">
            <v>Central Sector</v>
          </cell>
        </row>
        <row r="569">
          <cell r="C569" t="str">
            <v>VALLUR TPP3</v>
          </cell>
          <cell r="D569" t="str">
            <v xml:space="preserve"> 5-10 years</v>
          </cell>
          <cell r="E569">
            <v>6.2532511980000001</v>
          </cell>
          <cell r="F569">
            <v>500</v>
          </cell>
          <cell r="G569">
            <v>15.253941181453632</v>
          </cell>
          <cell r="H569">
            <v>3999</v>
          </cell>
          <cell r="I569">
            <v>61.000510784633072</v>
          </cell>
          <cell r="J569">
            <v>0.42683032446050334</v>
          </cell>
          <cell r="K569">
            <v>3829.9086257536987</v>
          </cell>
          <cell r="N569">
            <v>6.69</v>
          </cell>
          <cell r="O569" t="e">
            <v>#N/A</v>
          </cell>
          <cell r="P569">
            <v>3345</v>
          </cell>
          <cell r="Q569">
            <v>2640.2779138619662</v>
          </cell>
          <cell r="R569" t="str">
            <v>NIT issued</v>
          </cell>
          <cell r="S569" t="str">
            <v>Tamil Nadu</v>
          </cell>
          <cell r="T569" t="str">
            <v>Central Sector</v>
          </cell>
        </row>
        <row r="570">
          <cell r="C570" t="str">
            <v>VINDHYACHAL STPS1</v>
          </cell>
          <cell r="D570" t="str">
            <v xml:space="preserve"> 30-35 years</v>
          </cell>
          <cell r="E570">
            <v>32.591375769999999</v>
          </cell>
          <cell r="F570">
            <v>210</v>
          </cell>
          <cell r="G570">
            <v>13.831783033127248</v>
          </cell>
          <cell r="H570">
            <v>4727</v>
          </cell>
          <cell r="I570">
            <v>65.382838397592508</v>
          </cell>
          <cell r="J570">
            <v>0.95348557374995435</v>
          </cell>
          <cell r="K570">
            <v>3258.3119671511836</v>
          </cell>
          <cell r="M570" t="str">
            <v>Y</v>
          </cell>
          <cell r="N570">
            <v>9</v>
          </cell>
          <cell r="O570" t="e">
            <v>#N/A</v>
          </cell>
          <cell r="P570">
            <v>1890</v>
          </cell>
          <cell r="R570" t="str">
            <v>Bid awarded</v>
          </cell>
          <cell r="S570" t="str">
            <v>Madhya Pradesh</v>
          </cell>
          <cell r="T570" t="str">
            <v>Central Sector</v>
          </cell>
        </row>
        <row r="571">
          <cell r="C571" t="str">
            <v>VINDHYACHAL STPS10</v>
          </cell>
          <cell r="D571" t="str">
            <v xml:space="preserve"> 10-15 years</v>
          </cell>
          <cell r="E571">
            <v>13.17727584</v>
          </cell>
          <cell r="F571">
            <v>500</v>
          </cell>
          <cell r="G571">
            <v>13.831783033127248</v>
          </cell>
          <cell r="H571">
            <v>4727</v>
          </cell>
          <cell r="I571">
            <v>65.382838397592508</v>
          </cell>
          <cell r="J571">
            <v>0.90758802681991668</v>
          </cell>
          <cell r="K571">
            <v>7384.4474531983296</v>
          </cell>
          <cell r="N571">
            <v>5.75</v>
          </cell>
          <cell r="O571" t="e">
            <v>#N/A</v>
          </cell>
          <cell r="P571">
            <v>2875</v>
          </cell>
          <cell r="Q571">
            <v>2517.8180106200616</v>
          </cell>
          <cell r="R571" t="str">
            <v>Bid awarded</v>
          </cell>
          <cell r="S571" t="str">
            <v>Madhya Pradesh</v>
          </cell>
          <cell r="T571" t="str">
            <v>Central Sector</v>
          </cell>
        </row>
        <row r="572">
          <cell r="C572" t="str">
            <v>VINDHYACHAL STPS11</v>
          </cell>
          <cell r="D572" t="str">
            <v xml:space="preserve"> 5-10 years</v>
          </cell>
          <cell r="E572">
            <v>7.9233401780000001</v>
          </cell>
          <cell r="F572">
            <v>500</v>
          </cell>
          <cell r="G572">
            <v>13.17</v>
          </cell>
          <cell r="H572">
            <v>4727</v>
          </cell>
          <cell r="I572">
            <v>62.254589999999993</v>
          </cell>
          <cell r="J572">
            <v>0.91532930144310842</v>
          </cell>
          <cell r="K572">
            <v>7091.109941179845</v>
          </cell>
          <cell r="N572">
            <v>5.75</v>
          </cell>
          <cell r="O572" t="e">
            <v>#N/A</v>
          </cell>
          <cell r="P572">
            <v>2875</v>
          </cell>
          <cell r="Q572">
            <v>2517.8180106200616</v>
          </cell>
          <cell r="R572" t="str">
            <v>Bid awarded</v>
          </cell>
          <cell r="S572" t="str">
            <v>Madhya Pradesh</v>
          </cell>
          <cell r="T572" t="str">
            <v>Central Sector</v>
          </cell>
        </row>
        <row r="573">
          <cell r="C573" t="str">
            <v>VINDHYACHAL STPS12</v>
          </cell>
          <cell r="D573" t="str">
            <v xml:space="preserve"> 5-10 years</v>
          </cell>
          <cell r="E573">
            <v>7.1759069130000004</v>
          </cell>
          <cell r="F573">
            <v>500</v>
          </cell>
          <cell r="G573">
            <v>13.17</v>
          </cell>
          <cell r="H573">
            <v>4727</v>
          </cell>
          <cell r="I573">
            <v>62.254589999999993</v>
          </cell>
          <cell r="J573">
            <v>0.93945392264185013</v>
          </cell>
          <cell r="K573">
            <v>7278.0048007018631</v>
          </cell>
          <cell r="N573">
            <v>5.75</v>
          </cell>
          <cell r="O573" t="e">
            <v>#N/A</v>
          </cell>
          <cell r="P573">
            <v>2875</v>
          </cell>
          <cell r="Q573">
            <v>2517.8180106200616</v>
          </cell>
          <cell r="R573" t="str">
            <v>Bid awarded</v>
          </cell>
          <cell r="S573" t="str">
            <v>Madhya Pradesh</v>
          </cell>
          <cell r="T573" t="str">
            <v>Central Sector</v>
          </cell>
        </row>
        <row r="574">
          <cell r="C574" t="str">
            <v>VINDHYACHAL STPS13</v>
          </cell>
          <cell r="D574" t="str">
            <v xml:space="preserve"> 0-5 years</v>
          </cell>
          <cell r="E574">
            <v>4.7583846679999997</v>
          </cell>
          <cell r="F574">
            <v>500</v>
          </cell>
          <cell r="G574">
            <v>12.9</v>
          </cell>
          <cell r="H574">
            <v>4660</v>
          </cell>
          <cell r="I574">
            <v>60.113999999999997</v>
          </cell>
          <cell r="J574">
            <v>0.91534311374252497</v>
          </cell>
          <cell r="K574">
            <v>6945.8389219285718</v>
          </cell>
          <cell r="N574">
            <v>6.75</v>
          </cell>
          <cell r="O574" t="e">
            <v>#N/A</v>
          </cell>
          <cell r="P574">
            <v>3375</v>
          </cell>
          <cell r="Q574">
            <v>2517.8180106200616</v>
          </cell>
          <cell r="S574" t="str">
            <v>Madhya Pradesh</v>
          </cell>
          <cell r="T574" t="str">
            <v>Central Sector</v>
          </cell>
        </row>
        <row r="575">
          <cell r="C575" t="str">
            <v>VINDHYACHAL STPS2</v>
          </cell>
          <cell r="D575" t="str">
            <v xml:space="preserve"> 30-35 years</v>
          </cell>
          <cell r="E575">
            <v>31.841204650000002</v>
          </cell>
          <cell r="F575">
            <v>210</v>
          </cell>
          <cell r="G575">
            <v>13.831783033127248</v>
          </cell>
          <cell r="H575">
            <v>4727</v>
          </cell>
          <cell r="I575">
            <v>65.382838397592508</v>
          </cell>
          <cell r="J575">
            <v>0.88852792382762691</v>
          </cell>
          <cell r="K575">
            <v>3036.3345257227502</v>
          </cell>
          <cell r="M575" t="str">
            <v>Y</v>
          </cell>
          <cell r="N575">
            <v>9</v>
          </cell>
          <cell r="O575" t="e">
            <v>#N/A</v>
          </cell>
          <cell r="P575">
            <v>1890</v>
          </cell>
          <cell r="R575" t="str">
            <v>Bid awarded</v>
          </cell>
          <cell r="S575" t="str">
            <v>Madhya Pradesh</v>
          </cell>
          <cell r="T575" t="str">
            <v>Central Sector</v>
          </cell>
        </row>
        <row r="576">
          <cell r="C576" t="str">
            <v>VINDHYACHAL STPS3</v>
          </cell>
          <cell r="D576" t="str">
            <v xml:space="preserve"> 30-35 years</v>
          </cell>
          <cell r="E576">
            <v>31.252566739999999</v>
          </cell>
          <cell r="F576">
            <v>210</v>
          </cell>
          <cell r="G576">
            <v>13.831783033127248</v>
          </cell>
          <cell r="H576">
            <v>4727</v>
          </cell>
          <cell r="I576">
            <v>65.382838397592508</v>
          </cell>
          <cell r="J576">
            <v>0.89923657417280356</v>
          </cell>
          <cell r="K576">
            <v>3072.9288115015056</v>
          </cell>
          <cell r="M576" t="str">
            <v>Y</v>
          </cell>
          <cell r="N576">
            <v>9</v>
          </cell>
          <cell r="O576" t="e">
            <v>#N/A</v>
          </cell>
          <cell r="P576">
            <v>1890</v>
          </cell>
          <cell r="R576" t="str">
            <v>Bid awarded</v>
          </cell>
          <cell r="S576" t="str">
            <v>Madhya Pradesh</v>
          </cell>
          <cell r="T576" t="str">
            <v>Central Sector</v>
          </cell>
        </row>
        <row r="577">
          <cell r="C577" t="str">
            <v>VINDHYACHAL STPS4</v>
          </cell>
          <cell r="D577" t="str">
            <v xml:space="preserve"> 30-35 years</v>
          </cell>
          <cell r="E577">
            <v>30.422997949999999</v>
          </cell>
          <cell r="F577">
            <v>210</v>
          </cell>
          <cell r="G577">
            <v>13.831783033127248</v>
          </cell>
          <cell r="H577">
            <v>4727</v>
          </cell>
          <cell r="I577">
            <v>65.382838397592508</v>
          </cell>
          <cell r="J577">
            <v>0.86235172045343056</v>
          </cell>
          <cell r="K577">
            <v>2946.8835271373282</v>
          </cell>
          <cell r="M577" t="str">
            <v>Y</v>
          </cell>
          <cell r="N577">
            <v>9</v>
          </cell>
          <cell r="O577" t="e">
            <v>#N/A</v>
          </cell>
          <cell r="P577">
            <v>1890</v>
          </cell>
          <cell r="R577" t="str">
            <v>Bid awarded</v>
          </cell>
          <cell r="S577" t="str">
            <v>Madhya Pradesh</v>
          </cell>
          <cell r="T577" t="str">
            <v>Central Sector</v>
          </cell>
        </row>
        <row r="578">
          <cell r="C578" t="str">
            <v>VINDHYACHAL STPS5</v>
          </cell>
          <cell r="D578" t="str">
            <v xml:space="preserve"> 30-35 years</v>
          </cell>
          <cell r="E578">
            <v>30.176591380000001</v>
          </cell>
          <cell r="F578">
            <v>210</v>
          </cell>
          <cell r="G578">
            <v>13.831783033127248</v>
          </cell>
          <cell r="H578">
            <v>4727</v>
          </cell>
          <cell r="I578">
            <v>65.382838397592508</v>
          </cell>
          <cell r="J578">
            <v>0.84785447430773209</v>
          </cell>
          <cell r="K578">
            <v>2897.3426091541755</v>
          </cell>
          <cell r="M578" t="str">
            <v>Y</v>
          </cell>
          <cell r="N578">
            <v>9</v>
          </cell>
          <cell r="O578" t="e">
            <v>#N/A</v>
          </cell>
          <cell r="P578">
            <v>1890</v>
          </cell>
          <cell r="R578" t="str">
            <v>Bid awarded</v>
          </cell>
          <cell r="S578" t="str">
            <v>Madhya Pradesh</v>
          </cell>
          <cell r="T578" t="str">
            <v>Central Sector</v>
          </cell>
        </row>
        <row r="579">
          <cell r="C579" t="str">
            <v>VINDHYACHAL STPS6</v>
          </cell>
          <cell r="D579" t="str">
            <v xml:space="preserve"> 25-30 years</v>
          </cell>
          <cell r="E579">
            <v>29.25393566</v>
          </cell>
          <cell r="F579">
            <v>210</v>
          </cell>
          <cell r="G579">
            <v>13.831783033127248</v>
          </cell>
          <cell r="H579">
            <v>4727</v>
          </cell>
          <cell r="I579">
            <v>65.382838397592508</v>
          </cell>
          <cell r="J579">
            <v>0.84837511486428174</v>
          </cell>
          <cell r="K579">
            <v>2899.1217754076497</v>
          </cell>
          <cell r="M579" t="str">
            <v>Y</v>
          </cell>
          <cell r="N579">
            <v>9</v>
          </cell>
          <cell r="O579" t="e">
            <v>#N/A</v>
          </cell>
          <cell r="P579">
            <v>1890</v>
          </cell>
          <cell r="R579" t="str">
            <v>Bid awarded</v>
          </cell>
          <cell r="S579" t="str">
            <v>Madhya Pradesh</v>
          </cell>
          <cell r="T579" t="str">
            <v>Central Sector</v>
          </cell>
        </row>
        <row r="580">
          <cell r="C580" t="str">
            <v>VINDHYACHAL STPS7</v>
          </cell>
          <cell r="D580" t="str">
            <v xml:space="preserve"> 20-25 years</v>
          </cell>
          <cell r="E580">
            <v>21.17727584</v>
          </cell>
          <cell r="F580">
            <v>500</v>
          </cell>
          <cell r="G580">
            <v>13.831783033127248</v>
          </cell>
          <cell r="H580">
            <v>4727</v>
          </cell>
          <cell r="I580">
            <v>65.382838397592508</v>
          </cell>
          <cell r="J580">
            <v>0.85503003337040839</v>
          </cell>
          <cell r="K580">
            <v>6956.8175931688475</v>
          </cell>
          <cell r="N580">
            <v>5.75</v>
          </cell>
          <cell r="O580" t="e">
            <v>#N/A</v>
          </cell>
          <cell r="P580">
            <v>2875</v>
          </cell>
          <cell r="Q580">
            <v>2517.8180106200616</v>
          </cell>
          <cell r="R580" t="str">
            <v>Bid awarded</v>
          </cell>
          <cell r="S580" t="str">
            <v>Madhya Pradesh</v>
          </cell>
          <cell r="T580" t="str">
            <v>Central Sector</v>
          </cell>
        </row>
        <row r="581">
          <cell r="C581" t="str">
            <v>VINDHYACHAL STPS8</v>
          </cell>
          <cell r="D581" t="str">
            <v xml:space="preserve"> 20-25 years</v>
          </cell>
          <cell r="E581">
            <v>20.254620119999998</v>
          </cell>
          <cell r="F581">
            <v>500</v>
          </cell>
          <cell r="G581">
            <v>13.831783033127248</v>
          </cell>
          <cell r="H581">
            <v>4727</v>
          </cell>
          <cell r="I581">
            <v>65.382838397592508</v>
          </cell>
          <cell r="J581">
            <v>0.88030996632059999</v>
          </cell>
          <cell r="K581">
            <v>7162.5037976741733</v>
          </cell>
          <cell r="N581">
            <v>5.75</v>
          </cell>
          <cell r="O581" t="e">
            <v>#N/A</v>
          </cell>
          <cell r="P581">
            <v>2875</v>
          </cell>
          <cell r="Q581">
            <v>2517.8180106200616</v>
          </cell>
          <cell r="R581" t="str">
            <v>Bid awarded</v>
          </cell>
          <cell r="S581" t="str">
            <v>Madhya Pradesh</v>
          </cell>
          <cell r="T581" t="str">
            <v>Central Sector</v>
          </cell>
        </row>
        <row r="582">
          <cell r="C582" t="str">
            <v>VINDHYACHAL STPS9</v>
          </cell>
          <cell r="D582" t="str">
            <v xml:space="preserve"> 10-15 years</v>
          </cell>
          <cell r="E582">
            <v>13.84257358</v>
          </cell>
          <cell r="F582">
            <v>500</v>
          </cell>
          <cell r="G582">
            <v>13.831783033127248</v>
          </cell>
          <cell r="H582">
            <v>4727</v>
          </cell>
          <cell r="I582">
            <v>65.382838397592508</v>
          </cell>
          <cell r="J582">
            <v>0.89437803651617498</v>
          </cell>
          <cell r="K582">
            <v>7276.9664415800544</v>
          </cell>
          <cell r="N582">
            <v>5.75</v>
          </cell>
          <cell r="O582" t="e">
            <v>#N/A</v>
          </cell>
          <cell r="P582">
            <v>2875</v>
          </cell>
          <cell r="Q582">
            <v>2517.8180106200616</v>
          </cell>
          <cell r="R582" t="str">
            <v>Bid awarded</v>
          </cell>
          <cell r="S582" t="str">
            <v>Madhya Pradesh</v>
          </cell>
          <cell r="T582" t="str">
            <v>Central Sector</v>
          </cell>
        </row>
        <row r="583">
          <cell r="C583" t="str">
            <v>VIZAG TPS1</v>
          </cell>
          <cell r="D583" t="str">
            <v xml:space="preserve"> 0-5 years</v>
          </cell>
          <cell r="E583">
            <v>4.4243668720000002</v>
          </cell>
          <cell r="F583">
            <v>520</v>
          </cell>
          <cell r="G583">
            <v>14.675483863604677</v>
          </cell>
          <cell r="I583">
            <v>0</v>
          </cell>
          <cell r="J583">
            <v>0.25786499577694472</v>
          </cell>
          <cell r="K583">
            <v>2315.0972517020955</v>
          </cell>
          <cell r="O583" t="e">
            <v>#N/A</v>
          </cell>
          <cell r="Q583">
            <v>2426.4228736</v>
          </cell>
          <cell r="R583" t="str">
            <v>Feasibility Study completed</v>
          </cell>
          <cell r="S583" t="str">
            <v>Andhra Pradesh</v>
          </cell>
          <cell r="T583" t="str">
            <v>Private Sector</v>
          </cell>
        </row>
        <row r="584">
          <cell r="C584" t="str">
            <v>VIZAG TPS2</v>
          </cell>
          <cell r="D584" t="str">
            <v xml:space="preserve"> 0-5 years</v>
          </cell>
          <cell r="E584">
            <v>4.1752224499999997</v>
          </cell>
          <cell r="F584">
            <v>520</v>
          </cell>
          <cell r="G584">
            <v>14.675483863604677</v>
          </cell>
          <cell r="I584">
            <v>0</v>
          </cell>
          <cell r="J584">
            <v>0.26278925731706571</v>
          </cell>
          <cell r="K584">
            <v>2359.3069914686266</v>
          </cell>
          <cell r="O584" t="e">
            <v>#N/A</v>
          </cell>
          <cell r="Q584">
            <v>2426.4228736</v>
          </cell>
          <cell r="R584" t="str">
            <v>Feasibility Study completed</v>
          </cell>
          <cell r="S584" t="str">
            <v>Andhra Pradesh</v>
          </cell>
          <cell r="T584" t="str">
            <v>Private Sector</v>
          </cell>
        </row>
        <row r="585">
          <cell r="C585" t="str">
            <v>WANAKBORI TPS1</v>
          </cell>
          <cell r="D585" t="str">
            <v xml:space="preserve"> 35-40 years</v>
          </cell>
          <cell r="E585">
            <v>38.176591379999998</v>
          </cell>
          <cell r="F585">
            <v>210</v>
          </cell>
          <cell r="G585">
            <v>13.131697927147947</v>
          </cell>
          <cell r="H585">
            <v>3864</v>
          </cell>
          <cell r="I585">
            <v>50.740880790499666</v>
          </cell>
          <cell r="J585">
            <v>0.42043437099842862</v>
          </cell>
          <cell r="K585">
            <v>1364.0160037762132</v>
          </cell>
          <cell r="M585" t="str">
            <v>Y</v>
          </cell>
          <cell r="N585">
            <v>9</v>
          </cell>
          <cell r="O585">
            <v>8.756245179584516</v>
          </cell>
          <cell r="P585">
            <v>1890</v>
          </cell>
          <cell r="R585" t="str">
            <v>LoI Placed</v>
          </cell>
          <cell r="S585" t="str">
            <v>Gujarat</v>
          </cell>
          <cell r="T585" t="str">
            <v>State Sector</v>
          </cell>
        </row>
        <row r="586">
          <cell r="C586" t="str">
            <v>WANAKBORI TPS2</v>
          </cell>
          <cell r="D586" t="str">
            <v xml:space="preserve"> 35-40 years</v>
          </cell>
          <cell r="E586">
            <v>37.33880903</v>
          </cell>
          <cell r="F586">
            <v>210</v>
          </cell>
          <cell r="G586">
            <v>13.131697927147947</v>
          </cell>
          <cell r="H586">
            <v>3864</v>
          </cell>
          <cell r="I586">
            <v>50.740880790499666</v>
          </cell>
          <cell r="J586">
            <v>0.44170254059478176</v>
          </cell>
          <cell r="K586">
            <v>1433.0163655486356</v>
          </cell>
          <cell r="M586" t="str">
            <v>Y</v>
          </cell>
          <cell r="N586">
            <v>9</v>
          </cell>
          <cell r="O586">
            <v>8.756245179584516</v>
          </cell>
          <cell r="P586">
            <v>1890</v>
          </cell>
          <cell r="R586" t="str">
            <v>LoI Placed</v>
          </cell>
          <cell r="S586" t="str">
            <v>Gujarat</v>
          </cell>
          <cell r="T586" t="str">
            <v>State Sector</v>
          </cell>
        </row>
        <row r="587">
          <cell r="C587" t="str">
            <v>WANAKBORI TPS3</v>
          </cell>
          <cell r="D587" t="str">
            <v xml:space="preserve"> 35-40 years</v>
          </cell>
          <cell r="E587">
            <v>36.17522245</v>
          </cell>
          <cell r="F587">
            <v>210</v>
          </cell>
          <cell r="G587">
            <v>13.131697927147947</v>
          </cell>
          <cell r="H587">
            <v>3864</v>
          </cell>
          <cell r="I587">
            <v>50.740880790499666</v>
          </cell>
          <cell r="J587">
            <v>0.68362853552199798</v>
          </cell>
          <cell r="K587">
            <v>2217.8973162343714</v>
          </cell>
          <cell r="M587" t="str">
            <v>Y</v>
          </cell>
          <cell r="N587">
            <v>9</v>
          </cell>
          <cell r="O587">
            <v>8.756245179584516</v>
          </cell>
          <cell r="P587">
            <v>1890</v>
          </cell>
          <cell r="R587" t="str">
            <v>LoI Placed</v>
          </cell>
          <cell r="S587" t="str">
            <v>Gujarat</v>
          </cell>
          <cell r="T587" t="str">
            <v>State Sector</v>
          </cell>
        </row>
        <row r="588">
          <cell r="C588" t="str">
            <v>WANAKBORI TPS4</v>
          </cell>
          <cell r="D588" t="str">
            <v xml:space="preserve"> 30-35 years</v>
          </cell>
          <cell r="E588">
            <v>34.176591379999998</v>
          </cell>
          <cell r="F588">
            <v>210</v>
          </cell>
          <cell r="G588">
            <v>13.131697927147947</v>
          </cell>
          <cell r="H588">
            <v>3864</v>
          </cell>
          <cell r="I588">
            <v>50.740880790499666</v>
          </cell>
          <cell r="J588">
            <v>0.59954476023301795</v>
          </cell>
          <cell r="K588">
            <v>1945.1041692808358</v>
          </cell>
          <cell r="M588" t="str">
            <v>Y</v>
          </cell>
          <cell r="N588">
            <v>9</v>
          </cell>
          <cell r="O588">
            <v>8.756245179584516</v>
          </cell>
          <cell r="P588">
            <v>1890</v>
          </cell>
          <cell r="R588" t="str">
            <v>LoI Placed</v>
          </cell>
          <cell r="S588" t="str">
            <v>Gujarat</v>
          </cell>
          <cell r="T588" t="str">
            <v>State Sector</v>
          </cell>
        </row>
        <row r="589">
          <cell r="C589" t="str">
            <v>WANAKBORI TPS5</v>
          </cell>
          <cell r="D589" t="str">
            <v xml:space="preserve"> 30-35 years</v>
          </cell>
          <cell r="E589">
            <v>33.672826829999998</v>
          </cell>
          <cell r="F589">
            <v>210</v>
          </cell>
          <cell r="G589">
            <v>13.131697927147947</v>
          </cell>
          <cell r="H589">
            <v>3864</v>
          </cell>
          <cell r="I589">
            <v>50.740880790499666</v>
          </cell>
          <cell r="J589">
            <v>0.57494562384340664</v>
          </cell>
          <cell r="K589">
            <v>1865.2971458093195</v>
          </cell>
          <cell r="M589" t="str">
            <v>Y</v>
          </cell>
          <cell r="N589">
            <v>9</v>
          </cell>
          <cell r="O589">
            <v>8.756245179584516</v>
          </cell>
          <cell r="P589">
            <v>1890</v>
          </cell>
          <cell r="R589" t="str">
            <v>LoI Placed</v>
          </cell>
          <cell r="S589" t="str">
            <v>Gujarat</v>
          </cell>
          <cell r="T589" t="str">
            <v>State Sector</v>
          </cell>
        </row>
        <row r="590">
          <cell r="C590" t="str">
            <v>WANAKBORI TPS6</v>
          </cell>
          <cell r="D590" t="str">
            <v xml:space="preserve"> 30-35 years</v>
          </cell>
          <cell r="E590">
            <v>32.506502400000002</v>
          </cell>
          <cell r="F590">
            <v>210</v>
          </cell>
          <cell r="G590">
            <v>13.131697927147947</v>
          </cell>
          <cell r="H590">
            <v>3864</v>
          </cell>
          <cell r="I590">
            <v>50.740880790499666</v>
          </cell>
          <cell r="J590">
            <v>0.58023470494777185</v>
          </cell>
          <cell r="K590">
            <v>1882.4565213724834</v>
          </cell>
          <cell r="M590" t="str">
            <v>Y</v>
          </cell>
          <cell r="N590">
            <v>9</v>
          </cell>
          <cell r="O590">
            <v>8.756245179584516</v>
          </cell>
          <cell r="P590">
            <v>1890</v>
          </cell>
          <cell r="R590" t="str">
            <v>LoI Placed</v>
          </cell>
          <cell r="S590" t="str">
            <v>Gujarat</v>
          </cell>
          <cell r="T590" t="str">
            <v>State Sector</v>
          </cell>
        </row>
        <row r="591">
          <cell r="C591" t="str">
            <v>WANAKBORI TPS7</v>
          </cell>
          <cell r="D591" t="str">
            <v xml:space="preserve"> 20-25 years</v>
          </cell>
          <cell r="E591">
            <v>21.423682410000001</v>
          </cell>
          <cell r="F591">
            <v>210</v>
          </cell>
          <cell r="G591">
            <v>13.131697927147947</v>
          </cell>
          <cell r="H591">
            <v>3834</v>
          </cell>
          <cell r="I591">
            <v>50.346929852685228</v>
          </cell>
          <cell r="J591">
            <v>0.76812714103686108</v>
          </cell>
          <cell r="K591">
            <v>2492.0362976533693</v>
          </cell>
          <cell r="N591">
            <v>9.5</v>
          </cell>
          <cell r="O591">
            <v>8.756245179584516</v>
          </cell>
          <cell r="P591">
            <v>1995</v>
          </cell>
          <cell r="Q591">
            <v>2836.7277586428927</v>
          </cell>
          <cell r="R591" t="str">
            <v>Feasibility study under process</v>
          </cell>
          <cell r="S591" t="str">
            <v>Gujarat</v>
          </cell>
          <cell r="T591" t="str">
            <v>State Sector</v>
          </cell>
        </row>
        <row r="592">
          <cell r="C592" t="str">
            <v>WANAKBORI TPS8</v>
          </cell>
          <cell r="D592" t="str">
            <v xml:space="preserve"> 0-5 years</v>
          </cell>
          <cell r="E592">
            <v>0.53661875400000003</v>
          </cell>
          <cell r="F592">
            <v>800</v>
          </cell>
          <cell r="G592">
            <v>13.131697927147947</v>
          </cell>
          <cell r="I592">
            <v>0</v>
          </cell>
          <cell r="J592">
            <v>9.1819444444444273E-2</v>
          </cell>
          <cell r="K592">
            <v>1134.8190195604564</v>
          </cell>
          <cell r="O592" t="e">
            <v>#N/A</v>
          </cell>
          <cell r="Q592" t="e">
            <v>#N/A</v>
          </cell>
          <cell r="S592" t="str">
            <v>Gujarat</v>
          </cell>
          <cell r="T592" t="str">
            <v>State Sector</v>
          </cell>
        </row>
        <row r="593">
          <cell r="C593" t="str">
            <v>WARDHA WARORA TPP2</v>
          </cell>
          <cell r="D593" t="str">
            <v xml:space="preserve"> 5-10 years</v>
          </cell>
          <cell r="E593">
            <v>9.5906913070000002</v>
          </cell>
          <cell r="F593">
            <v>135</v>
          </cell>
          <cell r="G593">
            <v>14.831276623093615</v>
          </cell>
          <cell r="I593">
            <v>0</v>
          </cell>
          <cell r="J593">
            <v>3.5960402335027779E-2</v>
          </cell>
          <cell r="K593">
            <v>84.706730657238481</v>
          </cell>
          <cell r="O593" t="e">
            <v>#N/A</v>
          </cell>
          <cell r="Q593">
            <v>2796.9977900343597</v>
          </cell>
          <cell r="R593" t="str">
            <v>Feasibility study completed. Preparing tender</v>
          </cell>
          <cell r="S593" t="str">
            <v>Maharashtra</v>
          </cell>
          <cell r="T593" t="str">
            <v>Private Sector</v>
          </cell>
        </row>
        <row r="594">
          <cell r="C594" t="str">
            <v>WARDHA WARORA TPP3</v>
          </cell>
          <cell r="D594" t="str">
            <v xml:space="preserve"> 5-10 years</v>
          </cell>
          <cell r="E594">
            <v>9.3388090350000006</v>
          </cell>
          <cell r="F594">
            <v>135</v>
          </cell>
          <cell r="G594">
            <v>14.831276623093615</v>
          </cell>
          <cell r="I594">
            <v>0</v>
          </cell>
          <cell r="J594">
            <v>0.27656970546292103</v>
          </cell>
          <cell r="K594">
            <v>651.47534586340532</v>
          </cell>
          <cell r="O594" t="e">
            <v>#N/A</v>
          </cell>
          <cell r="Q594">
            <v>2796.9977900343597</v>
          </cell>
          <cell r="R594" t="str">
            <v>Feasibility study completed. Preparing tender</v>
          </cell>
          <cell r="S594" t="str">
            <v>Maharashtra</v>
          </cell>
          <cell r="T594" t="str">
            <v>Private Sector</v>
          </cell>
        </row>
        <row r="595">
          <cell r="C595" t="str">
            <v>WARDHA WARORA TPP4</v>
          </cell>
          <cell r="D595" t="str">
            <v xml:space="preserve"> 5-10 years</v>
          </cell>
          <cell r="E595">
            <v>9.0924024639999992</v>
          </cell>
          <cell r="F595">
            <v>135</v>
          </cell>
          <cell r="G595">
            <v>14.831276623093615</v>
          </cell>
          <cell r="I595">
            <v>0</v>
          </cell>
          <cell r="J595">
            <v>0.29364336770426852</v>
          </cell>
          <cell r="K595">
            <v>691.69330825816246</v>
          </cell>
          <cell r="O595" t="e">
            <v>#N/A</v>
          </cell>
          <cell r="Q595">
            <v>2796.9977900343597</v>
          </cell>
          <cell r="R595" t="str">
            <v>Feasibility study completed. Preparing tender</v>
          </cell>
          <cell r="S595" t="str">
            <v>Maharashtra</v>
          </cell>
          <cell r="T595" t="str">
            <v>Private Sector</v>
          </cell>
        </row>
        <row r="596">
          <cell r="C596" t="str">
            <v>YAMUNA NAGAR TPS1</v>
          </cell>
          <cell r="D596" t="str">
            <v xml:space="preserve"> 10-15 years</v>
          </cell>
          <cell r="E596">
            <v>12.5065024</v>
          </cell>
          <cell r="F596">
            <v>300</v>
          </cell>
          <cell r="G596">
            <v>13.542839920490486</v>
          </cell>
          <cell r="I596">
            <v>0</v>
          </cell>
          <cell r="J596">
            <v>0.56228686270557227</v>
          </cell>
          <cell r="K596">
            <v>2687.6332838881331</v>
          </cell>
          <cell r="O596" t="e">
            <v>#N/A</v>
          </cell>
          <cell r="Q596">
            <v>2537.3279952048206</v>
          </cell>
          <cell r="R596" t="str">
            <v>Bid opened</v>
          </cell>
          <cell r="S596" t="str">
            <v>Haryana</v>
          </cell>
          <cell r="T596" t="str">
            <v>State Sector</v>
          </cell>
        </row>
        <row r="597">
          <cell r="C597" t="str">
            <v>YAMUNA NAGAR TPS2</v>
          </cell>
          <cell r="D597" t="str">
            <v xml:space="preserve"> 10-15 years</v>
          </cell>
          <cell r="E597">
            <v>12.17522245</v>
          </cell>
          <cell r="F597">
            <v>300</v>
          </cell>
          <cell r="G597">
            <v>13.542839920490486</v>
          </cell>
          <cell r="I597">
            <v>0</v>
          </cell>
          <cell r="J597">
            <v>0.65198699919859993</v>
          </cell>
          <cell r="K597">
            <v>3116.384315430917</v>
          </cell>
          <cell r="O597" t="e">
            <v>#N/A</v>
          </cell>
          <cell r="Q597">
            <v>2537.3279952048206</v>
          </cell>
          <cell r="R597" t="str">
            <v>Bid opened</v>
          </cell>
          <cell r="S597" t="str">
            <v>Haryana</v>
          </cell>
          <cell r="T597" t="str">
            <v>State Sector</v>
          </cell>
        </row>
        <row r="598">
          <cell r="C598" t="str">
            <v>YERMARUS TPS1</v>
          </cell>
          <cell r="D598" t="str">
            <v xml:space="preserve"> 0-5 years</v>
          </cell>
          <cell r="E598">
            <v>4.1752224499999997</v>
          </cell>
          <cell r="F598">
            <v>800</v>
          </cell>
          <cell r="G598">
            <v>12.901149487688841</v>
          </cell>
          <cell r="I598">
            <v>0</v>
          </cell>
          <cell r="J598">
            <v>5.3202466429115629E-2</v>
          </cell>
          <cell r="K598">
            <v>645.99809177954626</v>
          </cell>
          <cell r="O598" t="e">
            <v>#N/A</v>
          </cell>
          <cell r="Q598">
            <v>2382.4454719999999</v>
          </cell>
          <cell r="S598" t="str">
            <v>Karnataka</v>
          </cell>
          <cell r="T598" t="str">
            <v>State Sector</v>
          </cell>
        </row>
        <row r="599">
          <cell r="C599" t="str">
            <v>YERMARUS TPS2</v>
          </cell>
          <cell r="D599" t="str">
            <v xml:space="preserve"> 0-5 years</v>
          </cell>
          <cell r="E599">
            <v>3.0910335390000001</v>
          </cell>
          <cell r="F599">
            <v>800</v>
          </cell>
          <cell r="G599">
            <v>12.901149487688841</v>
          </cell>
          <cell r="I599">
            <v>0</v>
          </cell>
          <cell r="J599">
            <v>4.0647980137395415E-2</v>
          </cell>
          <cell r="K599">
            <v>493.5582758824894</v>
          </cell>
          <cell r="O599" t="e">
            <v>#N/A</v>
          </cell>
          <cell r="Q599">
            <v>2382.4454719999999</v>
          </cell>
          <cell r="S599" t="str">
            <v>Karnataka</v>
          </cell>
          <cell r="T599" t="str">
            <v>State Sector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wnership"/>
    </sheetNames>
    <sheetDataSet>
      <sheetData sheetId="0" refreshError="1">
        <row r="2">
          <cell r="C2" t="str">
            <v>MUNDRA UMTPP2</v>
          </cell>
          <cell r="D2" t="str">
            <v>PVT SECTOR</v>
          </cell>
        </row>
        <row r="3">
          <cell r="C3" t="str">
            <v>MUNDRA UMTPP3</v>
          </cell>
          <cell r="D3" t="str">
            <v>PVT SECTOR</v>
          </cell>
        </row>
        <row r="4">
          <cell r="C4" t="str">
            <v>MUNDRA UMTPP5</v>
          </cell>
          <cell r="D4" t="str">
            <v>PVT SECTOR</v>
          </cell>
        </row>
        <row r="5">
          <cell r="C5" t="str">
            <v>SASAN UMPTPP3</v>
          </cell>
          <cell r="D5" t="str">
            <v>PVT SECTOR</v>
          </cell>
        </row>
        <row r="6">
          <cell r="C6" t="str">
            <v>MUNDRA UMTPP1</v>
          </cell>
          <cell r="D6" t="str">
            <v>PVT SECTOR</v>
          </cell>
        </row>
        <row r="7">
          <cell r="C7" t="str">
            <v>SASAN UMPTPP1</v>
          </cell>
          <cell r="D7" t="str">
            <v>PVT SECTOR</v>
          </cell>
        </row>
        <row r="8">
          <cell r="C8" t="str">
            <v>SASAN UMPTPP4</v>
          </cell>
          <cell r="D8" t="str">
            <v>PVT SECTOR</v>
          </cell>
        </row>
        <row r="9">
          <cell r="C9" t="str">
            <v>SASAN UMPTPP6</v>
          </cell>
          <cell r="D9" t="str">
            <v>PVT SECTOR</v>
          </cell>
        </row>
        <row r="10">
          <cell r="C10" t="str">
            <v>SASAN UMPTPP5</v>
          </cell>
          <cell r="D10" t="str">
            <v>PVT SECTOR</v>
          </cell>
        </row>
        <row r="11">
          <cell r="C11" t="str">
            <v>SIPAT STPS1</v>
          </cell>
          <cell r="D11" t="str">
            <v>CENTRAL SECTOR</v>
          </cell>
        </row>
        <row r="12">
          <cell r="C12" t="str">
            <v>SIPAT STPS3</v>
          </cell>
          <cell r="D12" t="str">
            <v>CENTRAL SECTOR</v>
          </cell>
        </row>
        <row r="13">
          <cell r="C13" t="str">
            <v>MUNDRA UMTPP4</v>
          </cell>
          <cell r="D13" t="str">
            <v>PVT SECTOR</v>
          </cell>
        </row>
        <row r="14">
          <cell r="C14" t="str">
            <v>SIPAT STPS2</v>
          </cell>
          <cell r="D14" t="str">
            <v>CENTRAL SECTOR</v>
          </cell>
        </row>
        <row r="15">
          <cell r="C15" t="str">
            <v>SASAN UMPTPP2</v>
          </cell>
          <cell r="D15" t="str">
            <v>PVT SECTOR</v>
          </cell>
        </row>
        <row r="16">
          <cell r="C16" t="str">
            <v>TIRORA TPS3</v>
          </cell>
          <cell r="D16" t="str">
            <v>PVT SECTOR</v>
          </cell>
        </row>
        <row r="17">
          <cell r="C17" t="str">
            <v>TIRORA TPS2</v>
          </cell>
          <cell r="D17" t="str">
            <v>PVT SECTOR</v>
          </cell>
        </row>
        <row r="18">
          <cell r="C18" t="str">
            <v>NABINAGAR STPP1</v>
          </cell>
          <cell r="D18" t="str">
            <v>CENTRAL SECTOR</v>
          </cell>
        </row>
        <row r="19">
          <cell r="C19" t="str">
            <v>PAINAMPURAM TPP1</v>
          </cell>
          <cell r="D19" t="str">
            <v>PVT SECTOR</v>
          </cell>
        </row>
        <row r="20">
          <cell r="C20" t="str">
            <v>RAJPURA TPS2</v>
          </cell>
          <cell r="D20" t="str">
            <v>PVT SECTOR</v>
          </cell>
        </row>
        <row r="21">
          <cell r="C21" t="str">
            <v>DAMODARAN SANJEEVAIAH TPS1</v>
          </cell>
          <cell r="D21" t="str">
            <v>STATE SECTOR</v>
          </cell>
        </row>
        <row r="22">
          <cell r="C22" t="str">
            <v>TANDA STPS5</v>
          </cell>
          <cell r="D22" t="str">
            <v>CENTRAL SECTOR</v>
          </cell>
        </row>
        <row r="23">
          <cell r="C23" t="str">
            <v>KAWAI TPS2</v>
          </cell>
          <cell r="D23" t="str">
            <v>PVT SECTOR</v>
          </cell>
        </row>
        <row r="24">
          <cell r="C24" t="str">
            <v>KAWAI TPS1</v>
          </cell>
          <cell r="D24" t="str">
            <v>PVT SECTOR</v>
          </cell>
        </row>
        <row r="25">
          <cell r="C25" t="str">
            <v>RIHAND STPS5</v>
          </cell>
          <cell r="D25" t="str">
            <v>CENTRAL SECTOR</v>
          </cell>
        </row>
        <row r="26">
          <cell r="C26" t="str">
            <v>KORBA STPS6</v>
          </cell>
          <cell r="D26" t="str">
            <v>CENTRAL SECTOR</v>
          </cell>
        </row>
        <row r="27">
          <cell r="C27" t="str">
            <v>RIHAND STPS4</v>
          </cell>
          <cell r="D27" t="str">
            <v>CENTRAL SECTOR</v>
          </cell>
        </row>
        <row r="28">
          <cell r="C28" t="str">
            <v>KORBA STPS7</v>
          </cell>
          <cell r="D28" t="str">
            <v>CENTRAL SECTOR</v>
          </cell>
        </row>
        <row r="29">
          <cell r="C29" t="str">
            <v>SEMBCORP GAYATRI P. LTD2</v>
          </cell>
          <cell r="D29" t="str">
            <v>PVT SECTOR</v>
          </cell>
        </row>
        <row r="30">
          <cell r="C30" t="str">
            <v>ANPARA C TPS2</v>
          </cell>
          <cell r="D30" t="str">
            <v>PVT SECTOR</v>
          </cell>
        </row>
        <row r="31">
          <cell r="C31" t="str">
            <v>KORBA STPS4</v>
          </cell>
          <cell r="D31" t="str">
            <v>CENTRAL SECTOR</v>
          </cell>
        </row>
        <row r="32">
          <cell r="C32" t="str">
            <v>SIPAT STPS4</v>
          </cell>
          <cell r="D32" t="str">
            <v>CENTRAL SECTOR</v>
          </cell>
        </row>
        <row r="33">
          <cell r="C33" t="str">
            <v>LARA TPP1</v>
          </cell>
          <cell r="D33" t="str">
            <v>CENTRAL SECTOR</v>
          </cell>
        </row>
        <row r="34">
          <cell r="C34" t="str">
            <v>RIHAND STPS6</v>
          </cell>
          <cell r="D34" t="str">
            <v>CENTRAL SECTOR</v>
          </cell>
        </row>
        <row r="35">
          <cell r="C35" t="str">
            <v>SIPAT STPS5</v>
          </cell>
          <cell r="D35" t="str">
            <v>CENTRAL SECTOR</v>
          </cell>
        </row>
        <row r="36">
          <cell r="C36" t="str">
            <v>RIHAND STPS3</v>
          </cell>
          <cell r="D36" t="str">
            <v>CENTRAL SECTOR</v>
          </cell>
        </row>
        <row r="37">
          <cell r="C37" t="str">
            <v>RIHAND STPS2</v>
          </cell>
          <cell r="D37" t="str">
            <v>CENTRAL SECTOR</v>
          </cell>
        </row>
        <row r="38">
          <cell r="C38" t="str">
            <v>VINDHYACHAL STPS9</v>
          </cell>
          <cell r="D38" t="str">
            <v>CENTRAL SECTOR</v>
          </cell>
        </row>
        <row r="39">
          <cell r="C39" t="str">
            <v>AKALTARA TPS3</v>
          </cell>
          <cell r="D39" t="str">
            <v>PVT SECTOR</v>
          </cell>
        </row>
        <row r="40">
          <cell r="C40" t="str">
            <v>SEMBCORP GAYATRI P. LTD1</v>
          </cell>
          <cell r="D40" t="str">
            <v>PVT SECTOR</v>
          </cell>
        </row>
        <row r="41">
          <cell r="C41" t="str">
            <v>ANPARA TPS5</v>
          </cell>
          <cell r="D41" t="str">
            <v>STATE SECTOR</v>
          </cell>
        </row>
        <row r="42">
          <cell r="C42" t="str">
            <v>TALCHER STPS5</v>
          </cell>
          <cell r="D42" t="str">
            <v>CENTRAL SECTOR</v>
          </cell>
        </row>
        <row r="43">
          <cell r="C43" t="str">
            <v>BARH II5</v>
          </cell>
          <cell r="D43" t="str">
            <v>CENTRAL SECTOR</v>
          </cell>
        </row>
        <row r="44">
          <cell r="C44" t="str">
            <v>VINDHYACHAL STPS12</v>
          </cell>
          <cell r="D44" t="str">
            <v>CENTRAL SECTOR</v>
          </cell>
        </row>
        <row r="45">
          <cell r="C45" t="str">
            <v>BARADARHA TPS2</v>
          </cell>
          <cell r="D45" t="str">
            <v>PVT SECTOR</v>
          </cell>
        </row>
        <row r="46">
          <cell r="C46" t="str">
            <v>VINDHYACHAL STPS13</v>
          </cell>
          <cell r="D46" t="str">
            <v>CENTRAL SECTOR</v>
          </cell>
        </row>
        <row r="47">
          <cell r="C47" t="str">
            <v>SINGARENI TPP2</v>
          </cell>
          <cell r="D47" t="str">
            <v>STATE SECTOR</v>
          </cell>
        </row>
        <row r="48">
          <cell r="C48" t="str">
            <v>TALCHER STPS2</v>
          </cell>
          <cell r="D48" t="str">
            <v>CENTRAL SECTOR</v>
          </cell>
        </row>
        <row r="49">
          <cell r="C49" t="str">
            <v>BARA TPP1</v>
          </cell>
          <cell r="D49" t="str">
            <v>PVT SECTOR</v>
          </cell>
        </row>
        <row r="50">
          <cell r="C50" t="str">
            <v>AKALTARA TPS2</v>
          </cell>
          <cell r="D50" t="str">
            <v>PVT SECTOR</v>
          </cell>
        </row>
        <row r="51">
          <cell r="C51" t="str">
            <v>VINDHYACHAL STPS8</v>
          </cell>
          <cell r="D51" t="str">
            <v>CENTRAL SECTOR</v>
          </cell>
        </row>
        <row r="52">
          <cell r="C52" t="str">
            <v>TALCHER STPS3</v>
          </cell>
          <cell r="D52" t="str">
            <v>CENTRAL SECTOR</v>
          </cell>
        </row>
        <row r="53">
          <cell r="C53" t="str">
            <v>SINGRAULI STPS7</v>
          </cell>
          <cell r="D53" t="str">
            <v>CENTRAL SECTOR</v>
          </cell>
        </row>
        <row r="54">
          <cell r="C54" t="str">
            <v>TALCHER STPS4</v>
          </cell>
          <cell r="D54" t="str">
            <v>CENTRAL SECTOR</v>
          </cell>
        </row>
        <row r="55">
          <cell r="C55" t="str">
            <v>KAKATIYA TPS2</v>
          </cell>
          <cell r="D55" t="str">
            <v>STATE SECTOR</v>
          </cell>
        </row>
        <row r="56">
          <cell r="C56" t="str">
            <v>RIHAND STPS1</v>
          </cell>
          <cell r="D56" t="str">
            <v>CENTRAL SECTOR</v>
          </cell>
        </row>
        <row r="57">
          <cell r="C57" t="str">
            <v>VINDHYACHAL STPS11</v>
          </cell>
          <cell r="D57" t="str">
            <v>CENTRAL SECTOR</v>
          </cell>
        </row>
        <row r="58">
          <cell r="C58" t="str">
            <v>KOTHAGUDEM NEW TPS11</v>
          </cell>
          <cell r="D58" t="str">
            <v>STATE SECTOR</v>
          </cell>
        </row>
        <row r="59">
          <cell r="C59" t="str">
            <v>TALCHER STPS6</v>
          </cell>
          <cell r="D59" t="str">
            <v>CENTRAL SECTOR</v>
          </cell>
        </row>
        <row r="60">
          <cell r="C60" t="str">
            <v>NIGRI TPP1</v>
          </cell>
          <cell r="D60" t="str">
            <v>PVT SECTOR</v>
          </cell>
        </row>
        <row r="61">
          <cell r="C61" t="str">
            <v>SANJAY GANDHI TPS5</v>
          </cell>
          <cell r="D61" t="str">
            <v>STATE SECTOR</v>
          </cell>
        </row>
        <row r="62">
          <cell r="C62" t="str">
            <v>VINDHYACHAL STPS7</v>
          </cell>
          <cell r="D62" t="str">
            <v>CENTRAL SECTOR</v>
          </cell>
        </row>
        <row r="63">
          <cell r="C63" t="str">
            <v>BARADARHA TPS1</v>
          </cell>
          <cell r="D63" t="str">
            <v>PVT SECTOR</v>
          </cell>
        </row>
        <row r="64">
          <cell r="C64" t="str">
            <v>MAITHON RB TPP1</v>
          </cell>
          <cell r="D64" t="str">
            <v>PVT SECTOR</v>
          </cell>
        </row>
        <row r="65">
          <cell r="C65" t="str">
            <v>KAKATIYA TPS1</v>
          </cell>
          <cell r="D65" t="str">
            <v>STATE SECTOR</v>
          </cell>
        </row>
        <row r="66">
          <cell r="C66" t="str">
            <v>CHANDRAPUR STPS9</v>
          </cell>
          <cell r="D66" t="str">
            <v>STATE SECTOR</v>
          </cell>
        </row>
        <row r="67">
          <cell r="C67" t="str">
            <v>KHAPARKHEDA TPS5</v>
          </cell>
          <cell r="D67" t="str">
            <v>STATE SECTOR</v>
          </cell>
        </row>
        <row r="68">
          <cell r="C68" t="str">
            <v>CHANDRAPUR STPS8</v>
          </cell>
          <cell r="D68" t="str">
            <v>STATE SECTOR</v>
          </cell>
        </row>
        <row r="69">
          <cell r="C69" t="str">
            <v>AKALTARA TPS4</v>
          </cell>
          <cell r="D69" t="str">
            <v>PVT SECTOR</v>
          </cell>
        </row>
        <row r="70">
          <cell r="C70" t="str">
            <v>ANPARA TPS4</v>
          </cell>
          <cell r="D70" t="str">
            <v>STATE SECTOR</v>
          </cell>
        </row>
        <row r="71">
          <cell r="C71" t="str">
            <v>RAMAGUNDEM STPS5</v>
          </cell>
          <cell r="D71" t="str">
            <v>CENTRAL SECTOR</v>
          </cell>
        </row>
        <row r="72">
          <cell r="C72" t="str">
            <v>SEIONI TPP1</v>
          </cell>
          <cell r="D72" t="str">
            <v>PVT SECTOR</v>
          </cell>
        </row>
        <row r="73">
          <cell r="C73" t="str">
            <v>RAMAGUNDEM STPS4</v>
          </cell>
          <cell r="D73" t="str">
            <v>CENTRAL SECTOR</v>
          </cell>
        </row>
        <row r="74">
          <cell r="C74" t="str">
            <v>KODARMA TPS2</v>
          </cell>
          <cell r="D74" t="str">
            <v>CENTRAL SECTOR</v>
          </cell>
        </row>
        <row r="75">
          <cell r="C75" t="str">
            <v>DR. N TATA RAO TPS7</v>
          </cell>
          <cell r="D75" t="str">
            <v>STATE SECTOR</v>
          </cell>
        </row>
        <row r="76">
          <cell r="C76" t="str">
            <v>RAJPURA TPS1</v>
          </cell>
          <cell r="D76" t="str">
            <v>PVT SECTOR</v>
          </cell>
        </row>
        <row r="77">
          <cell r="C77" t="str">
            <v>NORTH CHENNAI TPS4</v>
          </cell>
          <cell r="D77" t="str">
            <v>STATE SECTOR</v>
          </cell>
        </row>
        <row r="78">
          <cell r="C78" t="str">
            <v>DAMODARAN SANJEEVAIAH TPS2</v>
          </cell>
          <cell r="D78" t="str">
            <v>STATE SECTOR</v>
          </cell>
        </row>
        <row r="79">
          <cell r="C79" t="str">
            <v>SAGARDIGHI TPS4</v>
          </cell>
          <cell r="D79" t="str">
            <v>STATE SECTOR</v>
          </cell>
        </row>
        <row r="80">
          <cell r="C80" t="str">
            <v>KODARMA TPS1</v>
          </cell>
          <cell r="D80" t="str">
            <v>CENTRAL SECTOR</v>
          </cell>
        </row>
        <row r="81">
          <cell r="C81" t="str">
            <v>NIGRI TPP2</v>
          </cell>
          <cell r="D81" t="str">
            <v>PVT SECTOR</v>
          </cell>
        </row>
        <row r="82">
          <cell r="C82" t="str">
            <v>DERANG TPP1</v>
          </cell>
          <cell r="D82" t="str">
            <v>PVT SECTOR</v>
          </cell>
        </row>
        <row r="83">
          <cell r="C83" t="str">
            <v>MARWA TPS1</v>
          </cell>
          <cell r="D83" t="str">
            <v>STATE SECTOR</v>
          </cell>
        </row>
        <row r="84">
          <cell r="C84" t="str">
            <v>IB VALLEY TPS4</v>
          </cell>
          <cell r="D84" t="str">
            <v>STATE SECTOR</v>
          </cell>
        </row>
        <row r="85">
          <cell r="C85" t="str">
            <v>MAITHON RB TPP2</v>
          </cell>
          <cell r="D85" t="str">
            <v>PVT SECTOR</v>
          </cell>
        </row>
        <row r="86">
          <cell r="C86" t="str">
            <v>RAIKHEDA TPP2</v>
          </cell>
          <cell r="D86" t="str">
            <v>PVT SECTOR</v>
          </cell>
        </row>
        <row r="87">
          <cell r="C87" t="str">
            <v>RAMAGUNDEM STPS6</v>
          </cell>
          <cell r="D87" t="str">
            <v>CENTRAL SECTOR</v>
          </cell>
        </row>
        <row r="88">
          <cell r="C88" t="str">
            <v>SINGRAULI STPS6</v>
          </cell>
          <cell r="D88" t="str">
            <v>CENTRAL SECTOR</v>
          </cell>
        </row>
        <row r="89">
          <cell r="C89" t="str">
            <v>ITPCL TPP2</v>
          </cell>
          <cell r="D89" t="str">
            <v>PVT SECTOR</v>
          </cell>
        </row>
        <row r="90">
          <cell r="C90" t="str">
            <v>CHHABRA TPS6</v>
          </cell>
          <cell r="D90" t="str">
            <v>STATE SECTOR</v>
          </cell>
        </row>
        <row r="91">
          <cell r="C91" t="str">
            <v>DURGAPUR STEEL TPS1</v>
          </cell>
          <cell r="D91" t="str">
            <v>CENTRAL SECTOR</v>
          </cell>
        </row>
        <row r="92">
          <cell r="C92" t="str">
            <v>CHANDRAPUR STPS6</v>
          </cell>
          <cell r="D92" t="str">
            <v>STATE SECTOR</v>
          </cell>
        </row>
        <row r="93">
          <cell r="C93" t="str">
            <v>CHHABRA TPS5</v>
          </cell>
          <cell r="D93" t="str">
            <v>STATE SECTOR</v>
          </cell>
        </row>
        <row r="94">
          <cell r="C94" t="str">
            <v>KAHALGAON TPS7</v>
          </cell>
          <cell r="D94" t="str">
            <v>CENTRAL SECTOR</v>
          </cell>
        </row>
        <row r="95">
          <cell r="C95" t="str">
            <v>KORADI TPS9</v>
          </cell>
          <cell r="D95" t="str">
            <v>STATE SECTOR</v>
          </cell>
        </row>
        <row r="96">
          <cell r="C96" t="str">
            <v>RAMAGUNDEM STPS7</v>
          </cell>
          <cell r="D96" t="str">
            <v>CENTRAL SECTOR</v>
          </cell>
        </row>
        <row r="97">
          <cell r="C97" t="str">
            <v>VINDHYACHAL STPS10</v>
          </cell>
          <cell r="D97" t="str">
            <v>CENTRAL SECTOR</v>
          </cell>
        </row>
        <row r="98">
          <cell r="C98" t="str">
            <v>ANPARA C TPS1</v>
          </cell>
          <cell r="D98" t="str">
            <v>PVT SECTOR</v>
          </cell>
        </row>
        <row r="99">
          <cell r="C99" t="str">
            <v>KORBA STPS5</v>
          </cell>
          <cell r="D99" t="str">
            <v>CENTRAL SECTOR</v>
          </cell>
        </row>
        <row r="100">
          <cell r="C100" t="str">
            <v>NTPL TUTICORIN (JV) TPP1</v>
          </cell>
          <cell r="D100" t="str">
            <v>CENTRAL SECTOR</v>
          </cell>
        </row>
        <row r="101">
          <cell r="C101" t="str">
            <v>IB VALLEY TPS3</v>
          </cell>
          <cell r="D101" t="str">
            <v>STATE SECTOR</v>
          </cell>
        </row>
        <row r="102">
          <cell r="C102" t="str">
            <v>MUNDRA TPS8</v>
          </cell>
          <cell r="D102" t="str">
            <v>PVT SECTOR</v>
          </cell>
        </row>
        <row r="103">
          <cell r="C103" t="str">
            <v>MUNDRA TPS7</v>
          </cell>
          <cell r="D103" t="str">
            <v>PVT SECTOR</v>
          </cell>
        </row>
        <row r="104">
          <cell r="C104" t="str">
            <v>KOTHAGUDEM STAGE-7 TPS12</v>
          </cell>
          <cell r="D104" t="str">
            <v>STATE SECTOR</v>
          </cell>
        </row>
        <row r="105">
          <cell r="C105" t="str">
            <v>BOKARO A TPS1</v>
          </cell>
          <cell r="D105" t="str">
            <v>CENTRAL SECTOR</v>
          </cell>
        </row>
        <row r="106">
          <cell r="C106" t="str">
            <v>FARAKKA STPS5</v>
          </cell>
          <cell r="D106" t="str">
            <v>CENTRAL SECTOR</v>
          </cell>
        </row>
        <row r="107">
          <cell r="C107" t="str">
            <v>FARAKKA STPS4</v>
          </cell>
          <cell r="D107" t="str">
            <v>CENTRAL SECTOR</v>
          </cell>
        </row>
        <row r="108">
          <cell r="C108" t="str">
            <v>FARAKKA STPS6</v>
          </cell>
          <cell r="D108" t="str">
            <v>CENTRAL SECTOR</v>
          </cell>
        </row>
        <row r="109">
          <cell r="C109" t="str">
            <v>TROMBAY TPS5</v>
          </cell>
          <cell r="D109" t="str">
            <v>PVT SECTOR</v>
          </cell>
        </row>
        <row r="110">
          <cell r="C110" t="str">
            <v>ANUPPUR TPP2</v>
          </cell>
          <cell r="D110" t="str">
            <v>PVT SECTOR</v>
          </cell>
        </row>
        <row r="111">
          <cell r="C111" t="str">
            <v>MAHATMA GANDHI TPS2</v>
          </cell>
          <cell r="D111" t="str">
            <v>PVT SECTOR</v>
          </cell>
        </row>
        <row r="112">
          <cell r="C112" t="str">
            <v>MEJIA TPS7</v>
          </cell>
          <cell r="D112" t="str">
            <v>CENTRAL SECTOR</v>
          </cell>
        </row>
        <row r="113">
          <cell r="C113" t="str">
            <v>NTPL TUTICORIN (JV) TPP2</v>
          </cell>
          <cell r="D113" t="str">
            <v>CENTRAL SECTOR</v>
          </cell>
        </row>
        <row r="114">
          <cell r="C114" t="str">
            <v>ANUPPUR TPP1</v>
          </cell>
          <cell r="D114" t="str">
            <v>PVT SECTOR</v>
          </cell>
        </row>
        <row r="115">
          <cell r="C115" t="str">
            <v>SALAYA TPP1</v>
          </cell>
          <cell r="D115" t="str">
            <v>PVT SECTOR</v>
          </cell>
        </row>
        <row r="116">
          <cell r="C116" t="str">
            <v>KAHALGAON TPS5</v>
          </cell>
          <cell r="D116" t="str">
            <v>CENTRAL SECTOR</v>
          </cell>
        </row>
        <row r="117">
          <cell r="C117" t="str">
            <v>MEJIA TPS8</v>
          </cell>
          <cell r="D117" t="str">
            <v>CENTRAL SECTOR</v>
          </cell>
        </row>
        <row r="118">
          <cell r="C118" t="str">
            <v>PAINAMPURAM TPP2</v>
          </cell>
          <cell r="D118" t="str">
            <v>PVT SECTOR</v>
          </cell>
        </row>
        <row r="119">
          <cell r="C119" t="str">
            <v>METTUR TPS EXT1</v>
          </cell>
          <cell r="D119" t="str">
            <v>STATE SECTOR</v>
          </cell>
        </row>
        <row r="120">
          <cell r="C120" t="str">
            <v>KAHALGAON TPS6</v>
          </cell>
          <cell r="D120" t="str">
            <v>CENTRAL SECTOR</v>
          </cell>
        </row>
        <row r="121">
          <cell r="C121" t="str">
            <v>OP JINDAL TPS23</v>
          </cell>
          <cell r="D121" t="str">
            <v>PVT SECTOR</v>
          </cell>
        </row>
        <row r="122">
          <cell r="C122" t="str">
            <v>SINGARENI TPP1</v>
          </cell>
          <cell r="D122" t="str">
            <v>STATE SECTOR</v>
          </cell>
        </row>
        <row r="123">
          <cell r="C123" t="str">
            <v>TIRORA TPS4</v>
          </cell>
          <cell r="D123" t="str">
            <v>PVT SECTOR</v>
          </cell>
        </row>
        <row r="124">
          <cell r="C124" t="str">
            <v>TALWANDI SABO TPS1</v>
          </cell>
          <cell r="D124" t="str">
            <v>PVT SECTOR</v>
          </cell>
        </row>
        <row r="125">
          <cell r="C125" t="str">
            <v>SIMHADRI STPP3</v>
          </cell>
          <cell r="D125" t="str">
            <v>CENTRAL SECTOR</v>
          </cell>
        </row>
        <row r="126">
          <cell r="C126" t="str">
            <v>KALISINDH TPS2</v>
          </cell>
          <cell r="D126" t="str">
            <v>STATE SECTOR</v>
          </cell>
        </row>
        <row r="127">
          <cell r="C127" t="str">
            <v>SHREE SINGAJI TPP4</v>
          </cell>
          <cell r="D127" t="str">
            <v>STATE SECTOR</v>
          </cell>
        </row>
        <row r="128">
          <cell r="C128" t="str">
            <v>DURGAPUR STEEL TPS2</v>
          </cell>
          <cell r="D128" t="str">
            <v>CENTRAL SECTOR</v>
          </cell>
        </row>
        <row r="129">
          <cell r="C129" t="str">
            <v>SIMHADRI STPP4</v>
          </cell>
          <cell r="D129" t="str">
            <v>CENTRAL SECTOR</v>
          </cell>
        </row>
        <row r="130">
          <cell r="C130" t="str">
            <v>SALAYA TPP2</v>
          </cell>
          <cell r="D130" t="str">
            <v>PVT SECTOR</v>
          </cell>
        </row>
        <row r="131">
          <cell r="C131" t="str">
            <v>BARA TPP2</v>
          </cell>
          <cell r="D131" t="str">
            <v>PVT SECTOR</v>
          </cell>
        </row>
        <row r="132">
          <cell r="C132" t="str">
            <v>KALISINDH TPS1</v>
          </cell>
          <cell r="D132" t="str">
            <v>STATE SECTOR</v>
          </cell>
        </row>
        <row r="133">
          <cell r="C133" t="str">
            <v>TALWANDI SABO TPS2</v>
          </cell>
          <cell r="D133" t="str">
            <v>PVT SECTOR</v>
          </cell>
        </row>
        <row r="134">
          <cell r="C134" t="str">
            <v>KORADI TPS10</v>
          </cell>
          <cell r="D134" t="str">
            <v>STATE SECTOR</v>
          </cell>
        </row>
        <row r="135">
          <cell r="C135" t="str">
            <v>ITPCL TPP1</v>
          </cell>
          <cell r="D135" t="str">
            <v>PVT SECTOR</v>
          </cell>
        </row>
        <row r="136">
          <cell r="C136" t="str">
            <v>KORBA-WEST TPS5</v>
          </cell>
          <cell r="D136" t="str">
            <v>STATE SECTOR</v>
          </cell>
        </row>
        <row r="137">
          <cell r="C137" t="str">
            <v>KORADI TPS8</v>
          </cell>
          <cell r="D137" t="str">
            <v>STATE SECTOR</v>
          </cell>
        </row>
        <row r="138">
          <cell r="C138" t="str">
            <v>MAHATMA GANDHI TPS1</v>
          </cell>
          <cell r="D138" t="str">
            <v>PVT SECTOR</v>
          </cell>
        </row>
        <row r="139">
          <cell r="C139" t="str">
            <v>STERLITE TPP2</v>
          </cell>
          <cell r="D139" t="str">
            <v>PVT SECTOR</v>
          </cell>
        </row>
        <row r="140">
          <cell r="C140" t="str">
            <v>TIRORA TPS1</v>
          </cell>
          <cell r="D140" t="str">
            <v>PVT SECTOR</v>
          </cell>
        </row>
        <row r="141">
          <cell r="C141" t="str">
            <v>UNCHAHAR STPS6</v>
          </cell>
          <cell r="D141" t="str">
            <v>CENTRAL SECTOR</v>
          </cell>
        </row>
        <row r="142">
          <cell r="C142" t="str">
            <v>TALCHER STPS1</v>
          </cell>
          <cell r="D142" t="str">
            <v>CENTRAL SECTOR</v>
          </cell>
        </row>
        <row r="143">
          <cell r="C143" t="str">
            <v>TIRORA TPS5</v>
          </cell>
          <cell r="D143" t="str">
            <v>PVT SECTOR</v>
          </cell>
        </row>
        <row r="144">
          <cell r="C144" t="str">
            <v>SHREE SINGAJI TPP3</v>
          </cell>
          <cell r="D144" t="str">
            <v>STATE SECTOR</v>
          </cell>
        </row>
        <row r="145">
          <cell r="C145" t="str">
            <v>CHANDRAPUR STPS7</v>
          </cell>
          <cell r="D145" t="str">
            <v>STATE SECTOR</v>
          </cell>
        </row>
        <row r="146">
          <cell r="C146" t="str">
            <v>UCHPINDA TPP2</v>
          </cell>
          <cell r="D146" t="str">
            <v>PVT SECTOR</v>
          </cell>
        </row>
        <row r="147">
          <cell r="C147" t="str">
            <v>SIMHADRI STPP1</v>
          </cell>
          <cell r="D147" t="str">
            <v>CENTRAL SECTOR</v>
          </cell>
        </row>
        <row r="148">
          <cell r="C148" t="str">
            <v>RAIKHEDA TPP1</v>
          </cell>
          <cell r="D148" t="str">
            <v>PVT SECTOR</v>
          </cell>
        </row>
        <row r="149">
          <cell r="C149" t="str">
            <v>RAGHUNATHPUR TPP2</v>
          </cell>
          <cell r="D149" t="str">
            <v>CENTRAL SECTOR</v>
          </cell>
        </row>
        <row r="150">
          <cell r="C150" t="str">
            <v>GADARWARA TPP1</v>
          </cell>
          <cell r="D150" t="str">
            <v>CENTRAL SECTOR</v>
          </cell>
        </row>
        <row r="151">
          <cell r="C151" t="str">
            <v>LALITPUR TPS1</v>
          </cell>
          <cell r="D151" t="str">
            <v>PVT SECTOR</v>
          </cell>
        </row>
        <row r="152">
          <cell r="C152" t="str">
            <v>ANPARA TPS6</v>
          </cell>
          <cell r="D152" t="str">
            <v>STATE SECTOR</v>
          </cell>
        </row>
        <row r="153">
          <cell r="C153" t="str">
            <v>NEYVELI NEW TPP1</v>
          </cell>
          <cell r="D153" t="str">
            <v>CENTRAL SECTOR</v>
          </cell>
        </row>
        <row r="154">
          <cell r="C154" t="str">
            <v>SAGARDIGHI TPS3</v>
          </cell>
          <cell r="D154" t="str">
            <v>STATE SECTOR</v>
          </cell>
        </row>
        <row r="155">
          <cell r="C155" t="str">
            <v>BARA TPP3</v>
          </cell>
          <cell r="D155" t="str">
            <v>PVT SECTOR</v>
          </cell>
        </row>
        <row r="156">
          <cell r="C156" t="str">
            <v>CHANDRAPUR STPS5</v>
          </cell>
          <cell r="D156" t="str">
            <v>STATE SECTOR</v>
          </cell>
        </row>
        <row r="157">
          <cell r="C157" t="str">
            <v>KAMALANGA TPS1</v>
          </cell>
          <cell r="D157" t="str">
            <v>PVT SECTOR</v>
          </cell>
        </row>
        <row r="158">
          <cell r="C158" t="str">
            <v>PATHADI TPS1</v>
          </cell>
          <cell r="D158" t="str">
            <v>PVT SECTOR</v>
          </cell>
        </row>
        <row r="159">
          <cell r="C159" t="str">
            <v>KAMALANGA TPS2</v>
          </cell>
          <cell r="D159" t="str">
            <v>PVT SECTOR</v>
          </cell>
        </row>
        <row r="160">
          <cell r="C160" t="str">
            <v>BANDAKHAR TPP1</v>
          </cell>
          <cell r="D160" t="str">
            <v>PVT SECTOR</v>
          </cell>
        </row>
        <row r="161">
          <cell r="C161" t="str">
            <v>UKAI TPS6</v>
          </cell>
          <cell r="D161" t="str">
            <v>STATE SECTOR</v>
          </cell>
        </row>
        <row r="162">
          <cell r="C162" t="str">
            <v>DHARIWAL TPS2</v>
          </cell>
          <cell r="D162" t="str">
            <v>PVT SECTOR</v>
          </cell>
        </row>
        <row r="163">
          <cell r="C163" t="str">
            <v>DADRI (NCTPP)5</v>
          </cell>
          <cell r="D163" t="str">
            <v>CENTRAL SECTOR</v>
          </cell>
        </row>
        <row r="164">
          <cell r="C164" t="str">
            <v>SHREE SINGAJI TPP2</v>
          </cell>
          <cell r="D164" t="str">
            <v>STATE SECTOR</v>
          </cell>
        </row>
        <row r="165">
          <cell r="C165" t="str">
            <v>BARH II4</v>
          </cell>
          <cell r="D165" t="str">
            <v>CENTRAL SECTOR</v>
          </cell>
        </row>
        <row r="166">
          <cell r="C166" t="str">
            <v>JSW RATNAGIRI TPP1</v>
          </cell>
          <cell r="D166" t="str">
            <v>PVT SECTOR</v>
          </cell>
        </row>
        <row r="167">
          <cell r="C167" t="str">
            <v>BUDGE BUDGE TPS3</v>
          </cell>
          <cell r="D167" t="str">
            <v>PVT SECTOR</v>
          </cell>
        </row>
        <row r="168">
          <cell r="C168" t="str">
            <v>HALDIA TPP2</v>
          </cell>
          <cell r="D168" t="str">
            <v>PVT SECTOR</v>
          </cell>
        </row>
        <row r="169">
          <cell r="C169" t="str">
            <v>MAUDA TPS4</v>
          </cell>
          <cell r="D169" t="str">
            <v>CENTRAL SECTOR</v>
          </cell>
        </row>
        <row r="170">
          <cell r="C170" t="str">
            <v>GMR WARORA TPS1</v>
          </cell>
          <cell r="D170" t="str">
            <v>PVT SECTOR</v>
          </cell>
        </row>
        <row r="171">
          <cell r="C171" t="str">
            <v>NORTH CHENNAI TPS5</v>
          </cell>
          <cell r="D171" t="str">
            <v>STATE SECTOR</v>
          </cell>
        </row>
        <row r="172">
          <cell r="C172" t="str">
            <v>SIMHADRI STPP2</v>
          </cell>
          <cell r="D172" t="str">
            <v>CENTRAL SECTOR</v>
          </cell>
        </row>
        <row r="173">
          <cell r="C173" t="str">
            <v>SANTALDIH TPS6</v>
          </cell>
          <cell r="D173" t="str">
            <v>STATE SECTOR</v>
          </cell>
        </row>
        <row r="174">
          <cell r="C174" t="str">
            <v>SAGARDIGHI TPS1</v>
          </cell>
          <cell r="D174" t="str">
            <v>STATE SECTOR</v>
          </cell>
        </row>
        <row r="175">
          <cell r="C175" t="str">
            <v>LALITPUR TPS3</v>
          </cell>
          <cell r="D175" t="str">
            <v>PVT SECTOR</v>
          </cell>
        </row>
        <row r="176">
          <cell r="C176" t="str">
            <v>DSPM TPS1</v>
          </cell>
          <cell r="D176" t="str">
            <v>STATE SECTOR</v>
          </cell>
        </row>
        <row r="177">
          <cell r="C177" t="str">
            <v>MUNDRA TPS9</v>
          </cell>
          <cell r="D177" t="str">
            <v>PVT SECTOR</v>
          </cell>
        </row>
        <row r="178">
          <cell r="C178" t="str">
            <v>VIZAG TPS1</v>
          </cell>
          <cell r="D178" t="str">
            <v>PVT SECTOR</v>
          </cell>
        </row>
        <row r="179">
          <cell r="C179" t="str">
            <v>HALDIA TPP1</v>
          </cell>
          <cell r="D179" t="str">
            <v>PVT SECTOR</v>
          </cell>
        </row>
        <row r="180">
          <cell r="C180" t="str">
            <v>BUDGE BUDGE TPS1</v>
          </cell>
          <cell r="D180" t="str">
            <v>PVT SECTOR</v>
          </cell>
        </row>
        <row r="181">
          <cell r="C181" t="str">
            <v>MUNDRA TPS5</v>
          </cell>
          <cell r="D181" t="str">
            <v>PVT SECTOR</v>
          </cell>
        </row>
        <row r="182">
          <cell r="C182" t="str">
            <v>KOTHAGUDEM NEW TPS10</v>
          </cell>
          <cell r="D182" t="str">
            <v>STATE SECTOR</v>
          </cell>
        </row>
        <row r="183">
          <cell r="C183" t="str">
            <v>MAUDA TPS1</v>
          </cell>
          <cell r="D183" t="str">
            <v>CENTRAL SECTOR</v>
          </cell>
        </row>
        <row r="184">
          <cell r="C184" t="str">
            <v>SATPURA TPS10</v>
          </cell>
          <cell r="D184" t="str">
            <v>STATE SECTOR</v>
          </cell>
        </row>
        <row r="185">
          <cell r="C185" t="str">
            <v>BELLARY TPS3</v>
          </cell>
          <cell r="D185" t="str">
            <v>STATE SECTOR</v>
          </cell>
        </row>
        <row r="186">
          <cell r="C186" t="str">
            <v>KHARGONE STPP1</v>
          </cell>
          <cell r="D186" t="str">
            <v>CENTRAL SECTOR</v>
          </cell>
        </row>
        <row r="187">
          <cell r="C187" t="str">
            <v>TALWANDI SABO TPS3</v>
          </cell>
          <cell r="D187" t="str">
            <v>PVT SECTOR</v>
          </cell>
        </row>
        <row r="188">
          <cell r="C188" t="str">
            <v>CHANDRAPURA(DVC)7</v>
          </cell>
          <cell r="D188" t="str">
            <v>CENTRAL SECTOR</v>
          </cell>
        </row>
        <row r="189">
          <cell r="C189" t="str">
            <v>DSPM TPS2</v>
          </cell>
          <cell r="D189" t="str">
            <v>STATE SECTOR</v>
          </cell>
        </row>
        <row r="190">
          <cell r="C190" t="str">
            <v>CHHABRA TPS4</v>
          </cell>
          <cell r="D190" t="str">
            <v>STATE SECTOR</v>
          </cell>
        </row>
        <row r="191">
          <cell r="C191" t="str">
            <v>JSW RATNAGIRI TPP2</v>
          </cell>
          <cell r="D191" t="str">
            <v>PVT SECTOR</v>
          </cell>
        </row>
        <row r="192">
          <cell r="C192" t="str">
            <v>SATPURA TPS11</v>
          </cell>
          <cell r="D192" t="str">
            <v>STATE SECTOR</v>
          </cell>
        </row>
        <row r="193">
          <cell r="C193" t="str">
            <v>BALCO TPS1</v>
          </cell>
          <cell r="D193" t="str">
            <v>PVT SECTOR</v>
          </cell>
        </row>
        <row r="194">
          <cell r="C194" t="str">
            <v>TORANGALLU TPS(SBU-II)3</v>
          </cell>
          <cell r="D194" t="str">
            <v>PVT SECTOR</v>
          </cell>
        </row>
        <row r="195">
          <cell r="C195" t="str">
            <v>JSW RATNAGIRI TPP4</v>
          </cell>
          <cell r="D195" t="str">
            <v>PVT SECTOR</v>
          </cell>
        </row>
        <row r="196">
          <cell r="C196" t="str">
            <v>RAGHUNATHPUR TPP1</v>
          </cell>
          <cell r="D196" t="str">
            <v>CENTRAL SECTOR</v>
          </cell>
        </row>
        <row r="197">
          <cell r="C197" t="str">
            <v>PATHADI TPS2</v>
          </cell>
          <cell r="D197" t="str">
            <v>PVT SECTOR</v>
          </cell>
        </row>
        <row r="198">
          <cell r="C198" t="str">
            <v>DHARIWAL TPS1</v>
          </cell>
          <cell r="D198" t="str">
            <v>PVT SECTOR</v>
          </cell>
        </row>
        <row r="199">
          <cell r="C199" t="str">
            <v>BUDGE BUDGE TPS2</v>
          </cell>
          <cell r="D199" t="str">
            <v>PVT SECTOR</v>
          </cell>
        </row>
        <row r="200">
          <cell r="C200" t="str">
            <v>KAMALANGA TPS3</v>
          </cell>
          <cell r="D200" t="str">
            <v>PVT SECTOR</v>
          </cell>
        </row>
        <row r="201">
          <cell r="C201" t="str">
            <v>GMR WARORA TPS2</v>
          </cell>
          <cell r="D201" t="str">
            <v>PVT SECTOR</v>
          </cell>
        </row>
        <row r="202">
          <cell r="C202" t="str">
            <v>LALITPUR TPS2</v>
          </cell>
          <cell r="D202" t="str">
            <v>PVT SECTOR</v>
          </cell>
        </row>
        <row r="203">
          <cell r="C203" t="str">
            <v>RAJIV GANDHI TPS2</v>
          </cell>
          <cell r="D203" t="str">
            <v>STATE SECTOR</v>
          </cell>
        </row>
        <row r="204">
          <cell r="C204" t="str">
            <v>KUDGI STPP3</v>
          </cell>
          <cell r="D204" t="str">
            <v>CENTRAL SECTOR</v>
          </cell>
        </row>
        <row r="205">
          <cell r="C205" t="str">
            <v>CHANDRAPURA(DVC)8</v>
          </cell>
          <cell r="D205" t="str">
            <v>CENTRAL SECTOR</v>
          </cell>
        </row>
        <row r="206">
          <cell r="C206" t="str">
            <v>MAUDA TPS3</v>
          </cell>
          <cell r="D206" t="str">
            <v>CENTRAL SECTOR</v>
          </cell>
        </row>
        <row r="207">
          <cell r="C207" t="str">
            <v>NABI NAGAR TPP2</v>
          </cell>
          <cell r="D207" t="str">
            <v>CENTRAL SECTOR</v>
          </cell>
        </row>
        <row r="208">
          <cell r="C208" t="str">
            <v>NEYVELI (EXT) TPS1</v>
          </cell>
          <cell r="D208" t="str">
            <v>CENTRAL SECTOR</v>
          </cell>
        </row>
        <row r="209">
          <cell r="C209" t="str">
            <v>CHHABRA TPS1</v>
          </cell>
          <cell r="D209" t="str">
            <v>STATE SECTOR</v>
          </cell>
        </row>
        <row r="210">
          <cell r="C210" t="str">
            <v>NEYVELI (EXT) TPS2</v>
          </cell>
          <cell r="D210" t="str">
            <v>CENTRAL SECTOR</v>
          </cell>
        </row>
        <row r="211">
          <cell r="C211" t="str">
            <v>KUDGI STPP2</v>
          </cell>
          <cell r="D211" t="str">
            <v>CENTRAL SECTOR</v>
          </cell>
        </row>
        <row r="212">
          <cell r="C212" t="str">
            <v>ROSA TPP PH-I1</v>
          </cell>
          <cell r="D212" t="str">
            <v>PVT SECTOR</v>
          </cell>
        </row>
        <row r="213">
          <cell r="C213" t="str">
            <v>SINGRAULI STPS1</v>
          </cell>
          <cell r="D213" t="str">
            <v>CENTRAL SECTOR</v>
          </cell>
        </row>
        <row r="214">
          <cell r="C214" t="str">
            <v>DADRI (NCTPP)6</v>
          </cell>
          <cell r="D214" t="str">
            <v>CENTRAL SECTOR</v>
          </cell>
        </row>
        <row r="215">
          <cell r="C215" t="str">
            <v>KORBA STPS3</v>
          </cell>
          <cell r="D215" t="str">
            <v>CENTRAL SECTOR</v>
          </cell>
        </row>
        <row r="216">
          <cell r="C216" t="str">
            <v>MEJIA TPS5</v>
          </cell>
          <cell r="D216" t="str">
            <v>CENTRAL SECTOR</v>
          </cell>
        </row>
        <row r="217">
          <cell r="C217" t="str">
            <v>CHHABRA TPS3</v>
          </cell>
          <cell r="D217" t="str">
            <v>STATE SECTOR</v>
          </cell>
        </row>
        <row r="218">
          <cell r="C218" t="str">
            <v>KORBA STPS1</v>
          </cell>
          <cell r="D218" t="str">
            <v>CENTRAL SECTOR</v>
          </cell>
        </row>
        <row r="219">
          <cell r="C219" t="str">
            <v>KORBA STPS2</v>
          </cell>
          <cell r="D219" t="str">
            <v>CENTRAL SECTOR</v>
          </cell>
        </row>
        <row r="220">
          <cell r="C220" t="str">
            <v>PARAS TPS3</v>
          </cell>
          <cell r="D220" t="str">
            <v>STATE SECTOR</v>
          </cell>
        </row>
        <row r="221">
          <cell r="C221" t="str">
            <v>OP JINDAL TPS24</v>
          </cell>
          <cell r="D221" t="str">
            <v>PVT SECTOR</v>
          </cell>
        </row>
        <row r="222">
          <cell r="C222" t="str">
            <v>UDUPI TPP2</v>
          </cell>
          <cell r="D222" t="str">
            <v>PVT SECTOR</v>
          </cell>
        </row>
        <row r="223">
          <cell r="C223" t="str">
            <v>MAHADEV PRASAD STPP1</v>
          </cell>
          <cell r="D223" t="str">
            <v>PVT SECTOR</v>
          </cell>
        </row>
        <row r="224">
          <cell r="C224" t="str">
            <v>ROSA TPP PH-I4</v>
          </cell>
          <cell r="D224" t="str">
            <v>PVT SECTOR</v>
          </cell>
        </row>
        <row r="225">
          <cell r="C225" t="str">
            <v>PARAS TPS4</v>
          </cell>
          <cell r="D225" t="str">
            <v>STATE SECTOR</v>
          </cell>
        </row>
        <row r="226">
          <cell r="C226" t="str">
            <v>VINDHYACHAL STPS4</v>
          </cell>
          <cell r="D226" t="str">
            <v>CENTRAL SECTOR</v>
          </cell>
        </row>
        <row r="227">
          <cell r="C227" t="str">
            <v>VINDHYACHAL STPS6</v>
          </cell>
          <cell r="D227" t="str">
            <v>CENTRAL SECTOR</v>
          </cell>
        </row>
        <row r="228">
          <cell r="C228" t="str">
            <v>SINGRAULI STPS3</v>
          </cell>
          <cell r="D228" t="str">
            <v>CENTRAL SECTOR</v>
          </cell>
        </row>
        <row r="229">
          <cell r="C229" t="str">
            <v>OP JINDAL TPS21</v>
          </cell>
          <cell r="D229" t="str">
            <v>PVT SECTOR</v>
          </cell>
        </row>
        <row r="230">
          <cell r="C230" t="str">
            <v>VINDHYACHAL STPS5</v>
          </cell>
          <cell r="D230" t="str">
            <v>CENTRAL SECTOR</v>
          </cell>
        </row>
        <row r="231">
          <cell r="C231" t="str">
            <v>BAKRESWAR TPS4</v>
          </cell>
          <cell r="D231" t="str">
            <v>STATE SECTOR</v>
          </cell>
        </row>
        <row r="232">
          <cell r="C232" t="str">
            <v>ROSA TPP PH-I2</v>
          </cell>
          <cell r="D232" t="str">
            <v>PVT SECTOR</v>
          </cell>
        </row>
        <row r="233">
          <cell r="C233" t="str">
            <v>MEJA STPP1</v>
          </cell>
          <cell r="D233" t="str">
            <v>CENTRAL SECTOR</v>
          </cell>
        </row>
        <row r="234">
          <cell r="C234" t="str">
            <v>VINDHYACHAL STPS1</v>
          </cell>
          <cell r="D234" t="str">
            <v>CENTRAL SECTOR</v>
          </cell>
        </row>
        <row r="235">
          <cell r="C235" t="str">
            <v>BINJKOTE  TPP2</v>
          </cell>
          <cell r="D235" t="str">
            <v>PVT SECTOR</v>
          </cell>
        </row>
        <row r="236">
          <cell r="C236" t="str">
            <v>ROSA TPP PH-I3</v>
          </cell>
          <cell r="D236" t="str">
            <v>PVT SECTOR</v>
          </cell>
        </row>
        <row r="237">
          <cell r="C237" t="str">
            <v>NEYVELI TPS-II3</v>
          </cell>
          <cell r="D237" t="str">
            <v>CENTRAL SECTOR</v>
          </cell>
        </row>
        <row r="238">
          <cell r="C238" t="str">
            <v>VINDHYACHAL STPS3</v>
          </cell>
          <cell r="D238" t="str">
            <v>CENTRAL SECTOR</v>
          </cell>
        </row>
        <row r="239">
          <cell r="C239" t="str">
            <v>NAWAPARA TPP2</v>
          </cell>
          <cell r="D239" t="str">
            <v>PVT SECTOR</v>
          </cell>
        </row>
        <row r="240">
          <cell r="C240" t="str">
            <v>VINDHYACHAL STPS2</v>
          </cell>
          <cell r="D240" t="str">
            <v>CENTRAL SECTOR</v>
          </cell>
        </row>
        <row r="241">
          <cell r="C241" t="str">
            <v>SHREE SINGAJI TPP1</v>
          </cell>
          <cell r="D241" t="str">
            <v>STATE SECTOR</v>
          </cell>
        </row>
        <row r="242">
          <cell r="C242" t="str">
            <v>BAKRESWAR TPS3</v>
          </cell>
          <cell r="D242" t="str">
            <v>STATE SECTOR</v>
          </cell>
        </row>
        <row r="243">
          <cell r="C243" t="str">
            <v>BAKRESWAR TPS5</v>
          </cell>
          <cell r="D243" t="str">
            <v>STATE SECTOR</v>
          </cell>
        </row>
        <row r="244">
          <cell r="C244" t="str">
            <v>KORBA-WEST TPS3</v>
          </cell>
          <cell r="D244" t="str">
            <v>STATE SECTOR</v>
          </cell>
        </row>
        <row r="245">
          <cell r="C245" t="str">
            <v>MUNDRA TPS6</v>
          </cell>
          <cell r="D245" t="str">
            <v>PVT SECTOR</v>
          </cell>
        </row>
        <row r="246">
          <cell r="C246" t="str">
            <v>CHHABRA TPS2</v>
          </cell>
          <cell r="D246" t="str">
            <v>STATE SECTOR</v>
          </cell>
        </row>
        <row r="247">
          <cell r="C247" t="str">
            <v>SINGRAULI STPS5</v>
          </cell>
          <cell r="D247" t="str">
            <v>CENTRAL SECTOR</v>
          </cell>
        </row>
        <row r="248">
          <cell r="C248" t="str">
            <v>SANTALDIH TPS5</v>
          </cell>
          <cell r="D248" t="str">
            <v>STATE SECTOR</v>
          </cell>
        </row>
        <row r="249">
          <cell r="C249" t="str">
            <v>BHILAI TPS1</v>
          </cell>
          <cell r="D249" t="str">
            <v>CENTRAL SECTOR</v>
          </cell>
        </row>
        <row r="250">
          <cell r="C250" t="str">
            <v>KAHALGAON TPS2</v>
          </cell>
          <cell r="D250" t="str">
            <v>CENTRAL SECTOR</v>
          </cell>
        </row>
        <row r="251">
          <cell r="C251" t="str">
            <v>MUTHIARA TPP2</v>
          </cell>
          <cell r="D251" t="str">
            <v>PVT SECTOR</v>
          </cell>
        </row>
        <row r="252">
          <cell r="C252" t="str">
            <v>BAKRESWAR TPS1</v>
          </cell>
          <cell r="D252" t="str">
            <v>STATE SECTOR</v>
          </cell>
        </row>
        <row r="253">
          <cell r="C253" t="str">
            <v>BAKRESWAR TPS2</v>
          </cell>
          <cell r="D253" t="str">
            <v>STATE SECTOR</v>
          </cell>
        </row>
        <row r="254">
          <cell r="C254" t="str">
            <v>ANPARA TPS3</v>
          </cell>
          <cell r="D254" t="str">
            <v>STATE SECTOR</v>
          </cell>
        </row>
        <row r="255">
          <cell r="C255" t="str">
            <v>MEJIA TPS6</v>
          </cell>
          <cell r="D255" t="str">
            <v>CENTRAL SECTOR</v>
          </cell>
        </row>
        <row r="256">
          <cell r="C256" t="str">
            <v>KAHALGAON TPS1</v>
          </cell>
          <cell r="D256" t="str">
            <v>CENTRAL SECTOR</v>
          </cell>
        </row>
        <row r="257">
          <cell r="C257" t="str">
            <v>MUNDRA TPS3</v>
          </cell>
          <cell r="D257" t="str">
            <v>PVT SECTOR</v>
          </cell>
        </row>
        <row r="258">
          <cell r="C258" t="str">
            <v>HARDUAGANJ TPS8</v>
          </cell>
          <cell r="D258" t="str">
            <v>STATE SECTOR</v>
          </cell>
        </row>
        <row r="259">
          <cell r="C259" t="str">
            <v>DAHANU TPS2</v>
          </cell>
          <cell r="D259" t="str">
            <v>PVT SECTOR</v>
          </cell>
        </row>
        <row r="260">
          <cell r="C260" t="str">
            <v>KORBA-WEST TPS1</v>
          </cell>
          <cell r="D260" t="str">
            <v>STATE SECTOR</v>
          </cell>
        </row>
        <row r="261">
          <cell r="C261" t="str">
            <v>WANAKBORI TPS8</v>
          </cell>
          <cell r="D261" t="str">
            <v>STATE SECTOR</v>
          </cell>
        </row>
        <row r="262">
          <cell r="C262" t="str">
            <v>RAMAGUNDEM STPS2</v>
          </cell>
          <cell r="D262" t="str">
            <v>CENTRAL SECTOR</v>
          </cell>
        </row>
        <row r="263">
          <cell r="C263" t="str">
            <v>VALLUR TPP3</v>
          </cell>
          <cell r="D263" t="str">
            <v>CENTRAL SECTOR</v>
          </cell>
        </row>
        <row r="264">
          <cell r="C264" t="str">
            <v>KAHALGAON TPS4</v>
          </cell>
          <cell r="D264" t="str">
            <v>CENTRAL SECTOR</v>
          </cell>
        </row>
        <row r="265">
          <cell r="C265" t="str">
            <v>HARDUAGANJ TPS9</v>
          </cell>
          <cell r="D265" t="str">
            <v>STATE SECTOR</v>
          </cell>
        </row>
        <row r="266">
          <cell r="C266" t="str">
            <v>AMARKANTAK TPS3</v>
          </cell>
          <cell r="D266" t="str">
            <v>STATE SECTOR</v>
          </cell>
        </row>
        <row r="267">
          <cell r="C267" t="str">
            <v>TUTICORIN TPS2</v>
          </cell>
          <cell r="D267" t="str">
            <v>STATE SECTOR</v>
          </cell>
        </row>
        <row r="268">
          <cell r="C268" t="str">
            <v>SINGRAULI STPS2</v>
          </cell>
          <cell r="D268" t="str">
            <v>CENTRAL SECTOR</v>
          </cell>
        </row>
        <row r="269">
          <cell r="C269" t="str">
            <v>RAMAGUNDEM STPS3</v>
          </cell>
          <cell r="D269" t="str">
            <v>CENTRAL SECTOR</v>
          </cell>
        </row>
        <row r="270">
          <cell r="C270" t="str">
            <v>BALCO TPS2</v>
          </cell>
          <cell r="D270" t="str">
            <v>PVT SECTOR</v>
          </cell>
        </row>
        <row r="271">
          <cell r="C271" t="str">
            <v>NABI NAGAR TPP1</v>
          </cell>
          <cell r="D271" t="str">
            <v>CENTRAL SECTOR</v>
          </cell>
        </row>
        <row r="272">
          <cell r="C272" t="str">
            <v>KAHALGAON TPS3</v>
          </cell>
          <cell r="D272" t="str">
            <v>CENTRAL SECTOR</v>
          </cell>
        </row>
        <row r="273">
          <cell r="C273" t="str">
            <v>ANPARA TPS2</v>
          </cell>
          <cell r="D273" t="str">
            <v>STATE SECTOR</v>
          </cell>
        </row>
        <row r="274">
          <cell r="C274" t="str">
            <v>TUTICORIN TPS4</v>
          </cell>
          <cell r="D274" t="str">
            <v>STATE SECTOR</v>
          </cell>
        </row>
        <row r="275">
          <cell r="C275" t="str">
            <v>MUNDRA TPS2</v>
          </cell>
          <cell r="D275" t="str">
            <v>PVT SECTOR</v>
          </cell>
        </row>
        <row r="276">
          <cell r="C276" t="str">
            <v>NEYVELI TPS-II1</v>
          </cell>
          <cell r="D276" t="str">
            <v>CENTRAL SECTOR</v>
          </cell>
        </row>
        <row r="277">
          <cell r="C277" t="str">
            <v>NABI NAGAR TPP3</v>
          </cell>
          <cell r="D277" t="str">
            <v>CENTRAL SECTOR</v>
          </cell>
        </row>
        <row r="278">
          <cell r="C278" t="str">
            <v>KHAPARKHEDA TPS4</v>
          </cell>
          <cell r="D278" t="str">
            <v>STATE SECTOR</v>
          </cell>
        </row>
        <row r="279">
          <cell r="C279" t="str">
            <v>MAHADEV PRASAD STPP2</v>
          </cell>
          <cell r="D279" t="str">
            <v>PVT SECTOR</v>
          </cell>
        </row>
        <row r="280">
          <cell r="C280" t="str">
            <v>MUTHIARA TPP1</v>
          </cell>
          <cell r="D280" t="str">
            <v>PVT SECTOR</v>
          </cell>
        </row>
        <row r="281">
          <cell r="C281" t="str">
            <v>BHUSAWAL TPS4</v>
          </cell>
          <cell r="D281" t="str">
            <v>STATE SECTOR</v>
          </cell>
        </row>
        <row r="282">
          <cell r="C282" t="str">
            <v>DERANG TPP2</v>
          </cell>
          <cell r="D282" t="str">
            <v>PVT SECTOR</v>
          </cell>
        </row>
        <row r="283">
          <cell r="C283" t="str">
            <v>KORBA-WEST TPS2</v>
          </cell>
          <cell r="D283" t="str">
            <v>STATE SECTOR</v>
          </cell>
        </row>
        <row r="284">
          <cell r="C284" t="str">
            <v>DARLIPALI STPS1</v>
          </cell>
          <cell r="D284" t="str">
            <v>CENTRAL SECTOR</v>
          </cell>
        </row>
        <row r="285">
          <cell r="C285" t="str">
            <v>VALLUR TPP2</v>
          </cell>
          <cell r="D285" t="str">
            <v>CENTRAL SECTOR</v>
          </cell>
        </row>
        <row r="286">
          <cell r="C286" t="str">
            <v>IB VALLEY TPS1</v>
          </cell>
          <cell r="D286" t="str">
            <v>STATE SECTOR</v>
          </cell>
        </row>
        <row r="287">
          <cell r="C287" t="str">
            <v>YAMUNA NAGAR TPS1</v>
          </cell>
          <cell r="D287" t="str">
            <v>STATE SECTOR</v>
          </cell>
        </row>
        <row r="288">
          <cell r="C288" t="str">
            <v>SINGRAULI STPS4</v>
          </cell>
          <cell r="D288" t="str">
            <v>CENTRAL SECTOR</v>
          </cell>
        </row>
        <row r="289">
          <cell r="C289" t="str">
            <v>KORBA-WEST TPS4</v>
          </cell>
          <cell r="D289" t="str">
            <v>STATE SECTOR</v>
          </cell>
        </row>
        <row r="290">
          <cell r="C290" t="str">
            <v>KOTA TPS7</v>
          </cell>
          <cell r="D290" t="str">
            <v>STATE SECTOR</v>
          </cell>
        </row>
        <row r="291">
          <cell r="C291" t="str">
            <v>VALLUR TPP1</v>
          </cell>
          <cell r="D291" t="str">
            <v>CENTRAL SECTOR</v>
          </cell>
        </row>
        <row r="292">
          <cell r="C292" t="str">
            <v>MUZAFFARPUR TPS3</v>
          </cell>
          <cell r="D292" t="str">
            <v>CENTRAL SECTOR</v>
          </cell>
        </row>
        <row r="293">
          <cell r="C293" t="str">
            <v>CHANDRAPUR STPS4</v>
          </cell>
          <cell r="D293" t="str">
            <v>STATE SECTOR</v>
          </cell>
        </row>
        <row r="294">
          <cell r="C294" t="str">
            <v>D.P.L. TPS8</v>
          </cell>
          <cell r="D294" t="str">
            <v>STATE SECTOR</v>
          </cell>
        </row>
        <row r="295">
          <cell r="C295" t="str">
            <v>RAMAGUNDEM STPS1</v>
          </cell>
          <cell r="D295" t="str">
            <v>CENTRAL SECTOR</v>
          </cell>
        </row>
        <row r="296">
          <cell r="C296" t="str">
            <v>ANPARA TPS1</v>
          </cell>
          <cell r="D296" t="str">
            <v>STATE SECTOR</v>
          </cell>
        </row>
        <row r="297">
          <cell r="C297" t="str">
            <v>KHAPARKHEDA TPS3</v>
          </cell>
          <cell r="D297" t="str">
            <v>STATE SECTOR</v>
          </cell>
        </row>
        <row r="298">
          <cell r="C298" t="str">
            <v>UCHPINDA TPP3</v>
          </cell>
          <cell r="D298" t="str">
            <v>PVT SECTOR</v>
          </cell>
        </row>
        <row r="299">
          <cell r="C299" t="str">
            <v>KHAPARKHEDA TPS1</v>
          </cell>
          <cell r="D299" t="str">
            <v>STATE SECTOR</v>
          </cell>
        </row>
        <row r="300">
          <cell r="C300" t="str">
            <v>BINA TPS2</v>
          </cell>
          <cell r="D300" t="str">
            <v>PVT SECTOR</v>
          </cell>
        </row>
        <row r="301">
          <cell r="C301" t="str">
            <v>MUNDRA TPS4</v>
          </cell>
          <cell r="D301" t="str">
            <v>PVT SECTOR</v>
          </cell>
        </row>
        <row r="302">
          <cell r="C302" t="str">
            <v>BONGAIGAON TPS1</v>
          </cell>
          <cell r="D302" t="str">
            <v>CENTRAL SECTOR</v>
          </cell>
        </row>
        <row r="303">
          <cell r="C303" t="str">
            <v>NORTH CHENNAI TPS2</v>
          </cell>
          <cell r="D303" t="str">
            <v>STATE SECTOR</v>
          </cell>
        </row>
        <row r="304">
          <cell r="C304" t="str">
            <v>IB VALLEY TPS2</v>
          </cell>
          <cell r="D304" t="str">
            <v>STATE SECTOR</v>
          </cell>
        </row>
        <row r="305">
          <cell r="C305" t="str">
            <v>DAHANU TPS1</v>
          </cell>
          <cell r="D305" t="str">
            <v>PVT SECTOR</v>
          </cell>
        </row>
        <row r="306">
          <cell r="C306" t="str">
            <v>VIZAG TPS2</v>
          </cell>
          <cell r="D306" t="str">
            <v>PVT SECTOR</v>
          </cell>
        </row>
        <row r="307">
          <cell r="C307" t="str">
            <v>BHUSAWAL TPS5</v>
          </cell>
          <cell r="D307" t="str">
            <v>STATE SECTOR</v>
          </cell>
        </row>
        <row r="308">
          <cell r="C308" t="str">
            <v>RAYALSEEMA TPS6</v>
          </cell>
          <cell r="D308" t="str">
            <v>STATE SECTOR</v>
          </cell>
        </row>
        <row r="309">
          <cell r="C309" t="str">
            <v>TUTICORIN TPS1</v>
          </cell>
          <cell r="D309" t="str">
            <v>STATE SECTOR</v>
          </cell>
        </row>
        <row r="310">
          <cell r="C310" t="str">
            <v>AVANTHA BHANDAR1</v>
          </cell>
          <cell r="D310" t="str">
            <v>PVT SECTOR</v>
          </cell>
        </row>
        <row r="311">
          <cell r="C311" t="str">
            <v>METTUR TPS3</v>
          </cell>
          <cell r="D311" t="str">
            <v>STATE SECTOR</v>
          </cell>
        </row>
        <row r="312">
          <cell r="C312" t="str">
            <v>NORTH CHENNAI TPS3</v>
          </cell>
          <cell r="D312" t="str">
            <v>STATE SECTOR</v>
          </cell>
        </row>
        <row r="313">
          <cell r="C313" t="str">
            <v>KUDGI STPP1</v>
          </cell>
          <cell r="D313" t="str">
            <v>CENTRAL SECTOR</v>
          </cell>
        </row>
        <row r="314">
          <cell r="C314" t="str">
            <v>BONGAIGAON TPS2</v>
          </cell>
          <cell r="D314" t="str">
            <v>CENTRAL SECTOR</v>
          </cell>
        </row>
        <row r="315">
          <cell r="C315" t="str">
            <v>BHILAI TPS2</v>
          </cell>
          <cell r="D315" t="str">
            <v>CENTRAL SECTOR</v>
          </cell>
        </row>
        <row r="316">
          <cell r="C316" t="str">
            <v>NEYVELI TPS-II7</v>
          </cell>
          <cell r="D316" t="str">
            <v>CENTRAL SECTOR</v>
          </cell>
        </row>
        <row r="317">
          <cell r="C317" t="str">
            <v>SIKKA REP. TPS3</v>
          </cell>
          <cell r="D317" t="str">
            <v>STATE SECTOR</v>
          </cell>
        </row>
        <row r="318">
          <cell r="C318" t="str">
            <v>TENUGHAT TPS1</v>
          </cell>
          <cell r="D318" t="str">
            <v>STATE SECTOR</v>
          </cell>
        </row>
        <row r="319">
          <cell r="C319" t="str">
            <v>OBRA TPS9</v>
          </cell>
          <cell r="D319" t="str">
            <v>STATE SECTOR</v>
          </cell>
        </row>
        <row r="320">
          <cell r="C320" t="str">
            <v>MAHAN TPP2</v>
          </cell>
          <cell r="D320" t="str">
            <v>PVT SECTOR</v>
          </cell>
        </row>
        <row r="321">
          <cell r="C321" t="str">
            <v>OBRA TPS11</v>
          </cell>
          <cell r="D321" t="str">
            <v>STATE SECTOR</v>
          </cell>
        </row>
        <row r="322">
          <cell r="C322" t="str">
            <v>CHANDRAPUR STPS3</v>
          </cell>
          <cell r="D322" t="str">
            <v>STATE SECTOR</v>
          </cell>
        </row>
        <row r="323">
          <cell r="C323" t="str">
            <v>NEYVELI TPS-II4</v>
          </cell>
          <cell r="D323" t="str">
            <v>CENTRAL SECTOR</v>
          </cell>
        </row>
        <row r="324">
          <cell r="C324" t="str">
            <v>BONGAIGAON TPS3</v>
          </cell>
          <cell r="D324" t="str">
            <v>CENTRAL SECTOR</v>
          </cell>
        </row>
        <row r="325">
          <cell r="C325" t="str">
            <v>OP JINDAL TPS22</v>
          </cell>
          <cell r="D325" t="str">
            <v>PVT SECTOR</v>
          </cell>
        </row>
        <row r="326">
          <cell r="C326" t="str">
            <v>DR. N TATA RAO TPS3</v>
          </cell>
          <cell r="D326" t="str">
            <v>STATE SECTOR</v>
          </cell>
        </row>
        <row r="327">
          <cell r="C327" t="str">
            <v>TUTICORIN TPS3</v>
          </cell>
          <cell r="D327" t="str">
            <v>STATE SECTOR</v>
          </cell>
        </row>
        <row r="328">
          <cell r="C328" t="str">
            <v>MUNDRA TPS1</v>
          </cell>
          <cell r="D328" t="str">
            <v>PVT SECTOR</v>
          </cell>
        </row>
        <row r="329">
          <cell r="C329" t="str">
            <v>UNCHAHAR STPS5</v>
          </cell>
          <cell r="D329" t="str">
            <v>CENTRAL SECTOR</v>
          </cell>
        </row>
        <row r="330">
          <cell r="C330" t="str">
            <v>UNCHAHAR STPS4</v>
          </cell>
          <cell r="D330" t="str">
            <v>CENTRAL SECTOR</v>
          </cell>
        </row>
        <row r="331">
          <cell r="C331" t="str">
            <v>UNCHAHAR STPS3</v>
          </cell>
          <cell r="D331" t="str">
            <v>CENTRAL SECTOR</v>
          </cell>
        </row>
        <row r="332">
          <cell r="C332" t="str">
            <v>OP JINDAL TPS4</v>
          </cell>
          <cell r="D332" t="str">
            <v>PVT SECTOR</v>
          </cell>
        </row>
        <row r="333">
          <cell r="C333" t="str">
            <v>SANJAY GANDHI TPS4</v>
          </cell>
          <cell r="D333" t="str">
            <v>STATE SECTOR</v>
          </cell>
        </row>
        <row r="334">
          <cell r="C334" t="str">
            <v>NEYVELI TPS-II2</v>
          </cell>
          <cell r="D334" t="str">
            <v>CENTRAL SECTOR</v>
          </cell>
        </row>
        <row r="335">
          <cell r="C335" t="str">
            <v>SIKKA REP. TPS4</v>
          </cell>
          <cell r="D335" t="str">
            <v>STATE SECTOR</v>
          </cell>
        </row>
        <row r="336">
          <cell r="C336" t="str">
            <v>NEYVELI TPS-II5</v>
          </cell>
          <cell r="D336" t="str">
            <v>CENTRAL SECTOR</v>
          </cell>
        </row>
        <row r="337">
          <cell r="C337" t="str">
            <v>NEYVELI TPS (Z)1</v>
          </cell>
          <cell r="D337" t="str">
            <v>PVT SECTOR</v>
          </cell>
        </row>
        <row r="338">
          <cell r="C338" t="str">
            <v>MEJIA TPS3</v>
          </cell>
          <cell r="D338" t="str">
            <v>CENTRAL SECTOR</v>
          </cell>
        </row>
        <row r="339">
          <cell r="C339" t="str">
            <v>FARAKKA STPS1</v>
          </cell>
          <cell r="D339" t="str">
            <v>CENTRAL SECTOR</v>
          </cell>
        </row>
        <row r="340">
          <cell r="C340" t="str">
            <v>TENUGHAT TPS2</v>
          </cell>
          <cell r="D340" t="str">
            <v>STATE SECTOR</v>
          </cell>
        </row>
        <row r="341">
          <cell r="C341" t="str">
            <v>FARAKKA STPS2</v>
          </cell>
          <cell r="D341" t="str">
            <v>CENTRAL SECTOR</v>
          </cell>
        </row>
        <row r="342">
          <cell r="C342" t="str">
            <v>PARICHHA TPS6</v>
          </cell>
          <cell r="D342" t="str">
            <v>STATE SECTOR</v>
          </cell>
        </row>
        <row r="343">
          <cell r="C343" t="str">
            <v>JSW RATNAGIRI TPP3</v>
          </cell>
          <cell r="D343" t="str">
            <v>PVT SECTOR</v>
          </cell>
        </row>
        <row r="344">
          <cell r="C344" t="str">
            <v>DR. N TATA RAO TPS6</v>
          </cell>
          <cell r="D344" t="str">
            <v>STATE SECTOR</v>
          </cell>
        </row>
        <row r="345">
          <cell r="C345" t="str">
            <v>KOLAGHAT TPS5</v>
          </cell>
          <cell r="D345" t="str">
            <v>STATE SECTOR</v>
          </cell>
        </row>
        <row r="346">
          <cell r="C346" t="str">
            <v>MUZAFFARPUR TPS4</v>
          </cell>
          <cell r="D346" t="str">
            <v>CENTRAL SECTOR</v>
          </cell>
        </row>
        <row r="347">
          <cell r="C347" t="str">
            <v>MEJIA TPS4</v>
          </cell>
          <cell r="D347" t="str">
            <v>CENTRAL SECTOR</v>
          </cell>
        </row>
        <row r="348">
          <cell r="C348" t="str">
            <v>DR. N TATA RAO TPS5</v>
          </cell>
          <cell r="D348" t="str">
            <v>STATE SECTOR</v>
          </cell>
        </row>
        <row r="349">
          <cell r="C349" t="str">
            <v>SANJAY GANDHI TPS2</v>
          </cell>
          <cell r="D349" t="str">
            <v>STATE SECTOR</v>
          </cell>
        </row>
        <row r="350">
          <cell r="C350" t="str">
            <v>METTUR TPS4</v>
          </cell>
          <cell r="D350" t="str">
            <v>STATE SECTOR</v>
          </cell>
        </row>
        <row r="351">
          <cell r="C351" t="str">
            <v>KOTA TPS6</v>
          </cell>
          <cell r="D351" t="str">
            <v>STATE SECTOR</v>
          </cell>
        </row>
        <row r="352">
          <cell r="C352" t="str">
            <v>SURATGARH TPS1</v>
          </cell>
          <cell r="D352" t="str">
            <v>STATE SECTOR</v>
          </cell>
        </row>
        <row r="353">
          <cell r="C353" t="str">
            <v>UNCHAHAR STPS2</v>
          </cell>
          <cell r="D353" t="str">
            <v>CENTRAL SECTOR</v>
          </cell>
        </row>
        <row r="354">
          <cell r="C354" t="str">
            <v>KOTA TPS4</v>
          </cell>
          <cell r="D354" t="str">
            <v>STATE SECTOR</v>
          </cell>
        </row>
        <row r="355">
          <cell r="C355" t="str">
            <v>MAUDA TPS2</v>
          </cell>
          <cell r="D355" t="str">
            <v>CENTRAL SECTOR</v>
          </cell>
        </row>
        <row r="356">
          <cell r="C356" t="str">
            <v>KHAPARKHEDA TPS2</v>
          </cell>
          <cell r="D356" t="str">
            <v>STATE SECTOR</v>
          </cell>
        </row>
        <row r="357">
          <cell r="C357" t="str">
            <v>SANJAY GANDHI TPS3</v>
          </cell>
          <cell r="D357" t="str">
            <v>STATE SECTOR</v>
          </cell>
        </row>
        <row r="358">
          <cell r="C358" t="str">
            <v>KOTA TPS3</v>
          </cell>
          <cell r="D358" t="str">
            <v>STATE SECTOR</v>
          </cell>
        </row>
        <row r="359">
          <cell r="C359" t="str">
            <v>BARAUNI TPS8</v>
          </cell>
          <cell r="D359" t="str">
            <v>CENTRAL SECTOR</v>
          </cell>
        </row>
        <row r="360">
          <cell r="C360" t="str">
            <v>METTUR TPS1</v>
          </cell>
          <cell r="D360" t="str">
            <v>STATE SECTOR</v>
          </cell>
        </row>
        <row r="361">
          <cell r="C361" t="str">
            <v>JALIPA KAPURDI TPP6</v>
          </cell>
          <cell r="D361" t="str">
            <v>PVT SECTOR</v>
          </cell>
        </row>
        <row r="362">
          <cell r="C362" t="str">
            <v>SANJAY GANDHI TPS1</v>
          </cell>
          <cell r="D362" t="str">
            <v>STATE SECTOR</v>
          </cell>
        </row>
        <row r="363">
          <cell r="C363" t="str">
            <v>D.P.L. TPS7</v>
          </cell>
          <cell r="D363" t="str">
            <v>STATE SECTOR</v>
          </cell>
        </row>
        <row r="364">
          <cell r="C364" t="str">
            <v>JALIPA KAPURDI TPP2</v>
          </cell>
          <cell r="D364" t="str">
            <v>PVT SECTOR</v>
          </cell>
        </row>
        <row r="365">
          <cell r="C365" t="str">
            <v>SAGARDIGHI TPS2</v>
          </cell>
          <cell r="D365" t="str">
            <v>STATE SECTOR</v>
          </cell>
        </row>
        <row r="366">
          <cell r="C366" t="str">
            <v>TORANGALLU TPS(SBU-I)1</v>
          </cell>
          <cell r="D366" t="str">
            <v>PVT SECTOR</v>
          </cell>
        </row>
        <row r="367">
          <cell r="C367" t="str">
            <v>PARICHHA TPS3</v>
          </cell>
          <cell r="D367" t="str">
            <v>STATE SECTOR</v>
          </cell>
        </row>
        <row r="368">
          <cell r="C368" t="str">
            <v>JALIPA KAPURDI TPP7</v>
          </cell>
          <cell r="D368" t="str">
            <v>PVT SECTOR</v>
          </cell>
        </row>
        <row r="369">
          <cell r="C369" t="str">
            <v>SURAT LIG. TPS3</v>
          </cell>
          <cell r="D369" t="str">
            <v>PVT SECTOR</v>
          </cell>
        </row>
        <row r="370">
          <cell r="C370" t="str">
            <v>KOTHAGUDEM NEW TPS9</v>
          </cell>
          <cell r="D370" t="str">
            <v>STATE SECTOR</v>
          </cell>
        </row>
        <row r="371">
          <cell r="C371" t="str">
            <v>BINA TPS1</v>
          </cell>
          <cell r="D371" t="str">
            <v>PVT SECTOR</v>
          </cell>
        </row>
        <row r="372">
          <cell r="C372" t="str">
            <v>TROMBAY TPS8</v>
          </cell>
          <cell r="D372" t="str">
            <v>PVT SECTOR</v>
          </cell>
        </row>
        <row r="373">
          <cell r="C373" t="str">
            <v>PARICHHA TPS4</v>
          </cell>
          <cell r="D373" t="str">
            <v>STATE SECTOR</v>
          </cell>
        </row>
        <row r="374">
          <cell r="C374" t="str">
            <v>RAICHUR TPS3</v>
          </cell>
          <cell r="D374" t="str">
            <v>STATE SECTOR</v>
          </cell>
        </row>
        <row r="375">
          <cell r="C375" t="str">
            <v>TALCHER (OLD) TPS5</v>
          </cell>
          <cell r="D375" t="str">
            <v>CENTRAL SECTOR</v>
          </cell>
        </row>
        <row r="376">
          <cell r="C376" t="str">
            <v>SATPURA TPS7</v>
          </cell>
          <cell r="D376" t="str">
            <v>STATE SECTOR</v>
          </cell>
        </row>
        <row r="377">
          <cell r="C377" t="str">
            <v>PARLI TPS8</v>
          </cell>
          <cell r="D377" t="str">
            <v>STATE SECTOR</v>
          </cell>
        </row>
        <row r="378">
          <cell r="C378" t="str">
            <v>UDUPI TPP1</v>
          </cell>
          <cell r="D378" t="str">
            <v>PVT SECTOR</v>
          </cell>
        </row>
        <row r="379">
          <cell r="C379" t="str">
            <v>JALIPA KAPURDI TPP3</v>
          </cell>
          <cell r="D379" t="str">
            <v>PVT SECTOR</v>
          </cell>
        </row>
        <row r="380">
          <cell r="C380" t="str">
            <v>RAICHUR TPS8</v>
          </cell>
          <cell r="D380" t="str">
            <v>STATE SECTOR</v>
          </cell>
        </row>
        <row r="381">
          <cell r="C381" t="str">
            <v>UNCHAHAR STPS1</v>
          </cell>
          <cell r="D381" t="str">
            <v>CENTRAL SECTOR</v>
          </cell>
        </row>
        <row r="382">
          <cell r="C382" t="str">
            <v>SURAT LIG. TPS2</v>
          </cell>
          <cell r="D382" t="str">
            <v>PVT SECTOR</v>
          </cell>
        </row>
        <row r="383">
          <cell r="C383" t="str">
            <v>SURAT LIG. TPS4</v>
          </cell>
          <cell r="D383" t="str">
            <v>PVT SECTOR</v>
          </cell>
        </row>
        <row r="384">
          <cell r="C384" t="str">
            <v>NEYVELI TPS-II6</v>
          </cell>
          <cell r="D384" t="str">
            <v>CENTRAL SECTOR</v>
          </cell>
        </row>
        <row r="385">
          <cell r="C385" t="str">
            <v>RAICHUR TPS6</v>
          </cell>
          <cell r="D385" t="str">
            <v>STATE SECTOR</v>
          </cell>
        </row>
        <row r="386">
          <cell r="C386" t="str">
            <v>FARAKKA STPS3</v>
          </cell>
          <cell r="D386" t="str">
            <v>CENTRAL SECTOR</v>
          </cell>
        </row>
        <row r="387">
          <cell r="C387" t="str">
            <v>BELLARY TPS2</v>
          </cell>
          <cell r="D387" t="str">
            <v>STATE SECTOR</v>
          </cell>
        </row>
        <row r="388">
          <cell r="C388" t="str">
            <v>DR. N TATA RAO TPS4</v>
          </cell>
          <cell r="D388" t="str">
            <v>STATE SECTOR</v>
          </cell>
        </row>
        <row r="389">
          <cell r="C389" t="str">
            <v>SURAT LIG. TPS1</v>
          </cell>
          <cell r="D389" t="str">
            <v>PVT SECTOR</v>
          </cell>
        </row>
        <row r="390">
          <cell r="C390" t="str">
            <v>NEYVELI TPS-II EXP2</v>
          </cell>
          <cell r="D390" t="str">
            <v>CENTRAL SECTOR</v>
          </cell>
        </row>
        <row r="391">
          <cell r="C391" t="str">
            <v>YERMARUS TPS1</v>
          </cell>
          <cell r="D391" t="str">
            <v>STATE SECTOR</v>
          </cell>
        </row>
        <row r="392">
          <cell r="C392" t="str">
            <v>KASAIPALLI TPP1</v>
          </cell>
          <cell r="D392" t="str">
            <v>PVT SECTOR</v>
          </cell>
        </row>
        <row r="393">
          <cell r="C393" t="str">
            <v>NORTH CHENNAI TPS1</v>
          </cell>
          <cell r="D393" t="str">
            <v>STATE SECTOR</v>
          </cell>
        </row>
        <row r="394">
          <cell r="C394" t="str">
            <v>DR. N TATA RAO TPS1</v>
          </cell>
          <cell r="D394" t="str">
            <v>STATE SECTOR</v>
          </cell>
        </row>
        <row r="395">
          <cell r="C395" t="str">
            <v>SATPURA TPS6</v>
          </cell>
          <cell r="D395" t="str">
            <v>STATE SECTOR</v>
          </cell>
        </row>
        <row r="396">
          <cell r="C396" t="str">
            <v>RAICHUR TPS4</v>
          </cell>
          <cell r="D396" t="str">
            <v>STATE SECTOR</v>
          </cell>
        </row>
        <row r="397">
          <cell r="C397" t="str">
            <v>SURATGARH TPS4</v>
          </cell>
          <cell r="D397" t="str">
            <v>STATE SECTOR</v>
          </cell>
        </row>
        <row r="398">
          <cell r="C398" t="str">
            <v>METTUR TPS2</v>
          </cell>
          <cell r="D398" t="str">
            <v>STATE SECTOR</v>
          </cell>
        </row>
        <row r="399">
          <cell r="C399" t="str">
            <v>PARICHHA TPS5</v>
          </cell>
          <cell r="D399" t="str">
            <v>STATE SECTOR</v>
          </cell>
        </row>
        <row r="400">
          <cell r="C400" t="str">
            <v>GOINDWAL SAHIB1</v>
          </cell>
          <cell r="D400" t="str">
            <v>PVT SECTOR</v>
          </cell>
        </row>
        <row r="401">
          <cell r="C401" t="str">
            <v>JALIPA KAPURDI TPP8</v>
          </cell>
          <cell r="D401" t="str">
            <v>PVT SECTOR</v>
          </cell>
        </row>
        <row r="402">
          <cell r="C402" t="str">
            <v>PANIPAT TPS8</v>
          </cell>
          <cell r="D402" t="str">
            <v>STATE SECTOR</v>
          </cell>
        </row>
        <row r="403">
          <cell r="C403" t="str">
            <v>KOTA TPS5</v>
          </cell>
          <cell r="D403" t="str">
            <v>STATE SECTOR</v>
          </cell>
        </row>
        <row r="404">
          <cell r="C404" t="str">
            <v>BHAVNAGAR TPP1</v>
          </cell>
          <cell r="D404" t="str">
            <v>STATE SECTOR</v>
          </cell>
        </row>
        <row r="405">
          <cell r="C405" t="str">
            <v>MARWA TPS2</v>
          </cell>
          <cell r="D405" t="str">
            <v>STATE SECTOR</v>
          </cell>
        </row>
        <row r="406">
          <cell r="C406" t="str">
            <v>YAMUNA NAGAR TPS2</v>
          </cell>
          <cell r="D406" t="str">
            <v>STATE SECTOR</v>
          </cell>
        </row>
        <row r="407">
          <cell r="C407" t="str">
            <v>INDIRA GANDHI STPP2</v>
          </cell>
          <cell r="D407" t="str">
            <v>CENTRAL SECTOR</v>
          </cell>
        </row>
        <row r="408">
          <cell r="C408" t="str">
            <v>TALCHER (OLD) TPS6</v>
          </cell>
          <cell r="D408" t="str">
            <v>CENTRAL SECTOR</v>
          </cell>
        </row>
        <row r="409">
          <cell r="C409" t="str">
            <v>JALIPA KAPURDI TPP5</v>
          </cell>
          <cell r="D409" t="str">
            <v>PVT SECTOR</v>
          </cell>
        </row>
        <row r="410">
          <cell r="C410" t="str">
            <v>INDIRA GANDHI STPP1</v>
          </cell>
          <cell r="D410" t="str">
            <v>CENTRAL SECTOR</v>
          </cell>
        </row>
        <row r="411">
          <cell r="C411" t="str">
            <v>GOINDWAL SAHIB2</v>
          </cell>
          <cell r="D411" t="str">
            <v>PVT SECTOR</v>
          </cell>
        </row>
        <row r="412">
          <cell r="C412" t="str">
            <v>DR. N TATA RAO TPS2</v>
          </cell>
          <cell r="D412" t="str">
            <v>STATE SECTOR</v>
          </cell>
        </row>
        <row r="413">
          <cell r="C413" t="str">
            <v>BARSINGSAR LIGNITE2</v>
          </cell>
          <cell r="D413" t="str">
            <v>CENTRAL SECTOR</v>
          </cell>
        </row>
        <row r="414">
          <cell r="C414" t="str">
            <v>PANIPAT TPS7</v>
          </cell>
          <cell r="D414" t="str">
            <v>STATE SECTOR</v>
          </cell>
        </row>
        <row r="415">
          <cell r="C415" t="str">
            <v>BARSINGSAR LIGNITE1</v>
          </cell>
          <cell r="D415" t="str">
            <v>CENTRAL SECTOR</v>
          </cell>
        </row>
        <row r="416">
          <cell r="C416" t="str">
            <v>JALIPA KAPURDI TPP1</v>
          </cell>
          <cell r="D416" t="str">
            <v>PVT SECTOR</v>
          </cell>
        </row>
        <row r="417">
          <cell r="C417" t="str">
            <v>KORBA-III1</v>
          </cell>
          <cell r="D417" t="str">
            <v>STATE SECTOR</v>
          </cell>
        </row>
        <row r="418">
          <cell r="C418" t="str">
            <v>JOJOBERA TPS2</v>
          </cell>
          <cell r="D418" t="str">
            <v>PVT SECTOR</v>
          </cell>
        </row>
        <row r="419">
          <cell r="C419" t="str">
            <v>JALIPA KAPURDI TPP4</v>
          </cell>
          <cell r="D419" t="str">
            <v>PVT SECTOR</v>
          </cell>
        </row>
        <row r="420">
          <cell r="C420" t="str">
            <v>JOJOBERA TPS3</v>
          </cell>
          <cell r="D420" t="str">
            <v>PVT SECTOR</v>
          </cell>
        </row>
        <row r="421">
          <cell r="C421" t="str">
            <v>RAICHUR TPS5</v>
          </cell>
          <cell r="D421" t="str">
            <v>STATE SECTOR</v>
          </cell>
        </row>
        <row r="422">
          <cell r="C422" t="str">
            <v>OBRA TPS12</v>
          </cell>
          <cell r="D422" t="str">
            <v>STATE SECTOR</v>
          </cell>
        </row>
        <row r="423">
          <cell r="C423" t="str">
            <v>PARLI TPS6</v>
          </cell>
          <cell r="D423" t="str">
            <v>STATE SECTOR</v>
          </cell>
        </row>
        <row r="424">
          <cell r="C424" t="str">
            <v>WARDHA WARORA TPP2</v>
          </cell>
          <cell r="D424" t="str">
            <v>PVT SECTOR</v>
          </cell>
        </row>
        <row r="425">
          <cell r="C425" t="str">
            <v>WANAKBORI TPS3</v>
          </cell>
          <cell r="D425" t="str">
            <v>STATE SECTOR</v>
          </cell>
        </row>
        <row r="426">
          <cell r="C426" t="str">
            <v>RAICHUR TPS7</v>
          </cell>
          <cell r="D426" t="str">
            <v>STATE SECTOR</v>
          </cell>
        </row>
        <row r="427">
          <cell r="C427" t="str">
            <v>NEYVELI TPS-II EXP1</v>
          </cell>
          <cell r="D427" t="str">
            <v>CENTRAL SECTOR</v>
          </cell>
        </row>
        <row r="428">
          <cell r="C428" t="str">
            <v>MEJIA TPS1</v>
          </cell>
          <cell r="D428" t="str">
            <v>CENTRAL SECTOR</v>
          </cell>
        </row>
        <row r="429">
          <cell r="C429" t="str">
            <v>KASAIPALLI TPP2</v>
          </cell>
          <cell r="D429" t="str">
            <v>PVT SECTOR</v>
          </cell>
        </row>
        <row r="430">
          <cell r="C430" t="str">
            <v>OBRA TPS10</v>
          </cell>
          <cell r="D430" t="str">
            <v>STATE SECTOR</v>
          </cell>
        </row>
        <row r="431">
          <cell r="C431" t="str">
            <v>RAICHUR TPS2</v>
          </cell>
          <cell r="D431" t="str">
            <v>STATE SECTOR</v>
          </cell>
        </row>
        <row r="432">
          <cell r="C432" t="str">
            <v>RAJIV GANDHI TPS1</v>
          </cell>
          <cell r="D432" t="str">
            <v>STATE SECTOR</v>
          </cell>
        </row>
        <row r="433">
          <cell r="C433" t="str">
            <v>UKAI TPS4</v>
          </cell>
          <cell r="D433" t="str">
            <v>STATE SECTOR</v>
          </cell>
        </row>
        <row r="434">
          <cell r="C434" t="str">
            <v>PARLI TPS7</v>
          </cell>
          <cell r="D434" t="str">
            <v>STATE SECTOR</v>
          </cell>
        </row>
        <row r="435">
          <cell r="C435" t="str">
            <v>INDIRA GANDHI STPP3</v>
          </cell>
          <cell r="D435" t="str">
            <v>CENTRAL SECTOR</v>
          </cell>
        </row>
        <row r="436">
          <cell r="C436" t="str">
            <v>UKAI TPS3</v>
          </cell>
          <cell r="D436" t="str">
            <v>STATE SECTOR</v>
          </cell>
        </row>
        <row r="437">
          <cell r="C437" t="str">
            <v>MAHAN TPP1</v>
          </cell>
          <cell r="D437" t="str">
            <v>PVT SECTOR</v>
          </cell>
        </row>
        <row r="438">
          <cell r="C438" t="str">
            <v>SABARMATI (D-F STATIONS) TPP2</v>
          </cell>
          <cell r="D438" t="str">
            <v>PVT SECTOR</v>
          </cell>
        </row>
        <row r="439">
          <cell r="C439" t="str">
            <v>GANDHI NAGAR TPS5</v>
          </cell>
          <cell r="D439" t="str">
            <v>STATE SECTOR</v>
          </cell>
        </row>
        <row r="440">
          <cell r="C440" t="str">
            <v>KORBA-III2</v>
          </cell>
          <cell r="D440" t="str">
            <v>STATE SECTOR</v>
          </cell>
        </row>
        <row r="441">
          <cell r="C441" t="str">
            <v>OP JINDAL TPS3</v>
          </cell>
          <cell r="D441" t="str">
            <v>PVT SECTOR</v>
          </cell>
        </row>
        <row r="442">
          <cell r="C442" t="str">
            <v>BHADRADRI TPP1</v>
          </cell>
          <cell r="D442" t="str">
            <v>STATE SECTOR</v>
          </cell>
        </row>
        <row r="443">
          <cell r="C443" t="str">
            <v>UCHPINDA TPP1</v>
          </cell>
          <cell r="D443" t="str">
            <v>PVT SECTOR</v>
          </cell>
        </row>
        <row r="444">
          <cell r="C444" t="str">
            <v>YERMARUS TPS2</v>
          </cell>
          <cell r="D444" t="str">
            <v>STATE SECTOR</v>
          </cell>
        </row>
        <row r="445">
          <cell r="C445" t="str">
            <v>WANAKBORI TPS7</v>
          </cell>
          <cell r="D445" t="str">
            <v>STATE SECTOR</v>
          </cell>
        </row>
        <row r="446">
          <cell r="C446" t="str">
            <v>RAICHUR TPS1</v>
          </cell>
          <cell r="D446" t="str">
            <v>STATE SECTOR</v>
          </cell>
        </row>
        <row r="447">
          <cell r="C447" t="str">
            <v>BHAVNAGAR TPP2</v>
          </cell>
          <cell r="D447" t="str">
            <v>STATE SECTOR</v>
          </cell>
        </row>
        <row r="448">
          <cell r="C448" t="str">
            <v>RAYALSEEMA TPS3</v>
          </cell>
          <cell r="D448" t="str">
            <v>STATE SECTOR</v>
          </cell>
        </row>
        <row r="449">
          <cell r="C449" t="str">
            <v>TALCHER (OLD) TPS4</v>
          </cell>
          <cell r="D449" t="str">
            <v>CENTRAL SECTOR</v>
          </cell>
        </row>
        <row r="450">
          <cell r="C450" t="str">
            <v>MEJIA TPS2</v>
          </cell>
          <cell r="D450" t="str">
            <v>CENTRAL SECTOR</v>
          </cell>
        </row>
        <row r="451">
          <cell r="C451" t="str">
            <v>TALCHER (OLD) TPS1</v>
          </cell>
          <cell r="D451" t="str">
            <v>CENTRAL SECTOR</v>
          </cell>
        </row>
        <row r="452">
          <cell r="C452" t="str">
            <v>TALCHER (OLD) TPS2</v>
          </cell>
          <cell r="D452" t="str">
            <v>CENTRAL SECTOR</v>
          </cell>
        </row>
        <row r="453">
          <cell r="C453" t="str">
            <v>TALCHER (OLD) TPS3</v>
          </cell>
          <cell r="D453" t="str">
            <v>CENTRAL SECTOR</v>
          </cell>
        </row>
        <row r="454">
          <cell r="C454" t="str">
            <v>BANDEL TPS5</v>
          </cell>
          <cell r="D454" t="str">
            <v>STATE SECTOR</v>
          </cell>
        </row>
        <row r="455">
          <cell r="C455" t="str">
            <v>KUTCH LIG. TPS3</v>
          </cell>
          <cell r="D455" t="str">
            <v>STATE SECTOR</v>
          </cell>
        </row>
        <row r="456">
          <cell r="C456" t="str">
            <v>TANDA STPS1</v>
          </cell>
          <cell r="D456" t="str">
            <v>CENTRAL SECTOR</v>
          </cell>
        </row>
        <row r="457">
          <cell r="C457" t="str">
            <v>TANDA STPS3</v>
          </cell>
          <cell r="D457" t="str">
            <v>CENTRAL SECTOR</v>
          </cell>
        </row>
        <row r="458">
          <cell r="C458" t="str">
            <v>SOLAPUR STPS1</v>
          </cell>
          <cell r="D458" t="str">
            <v>CENTRAL SECTOR</v>
          </cell>
        </row>
        <row r="459">
          <cell r="C459" t="str">
            <v>TANDA STPS4</v>
          </cell>
          <cell r="D459" t="str">
            <v>CENTRAL SECTOR</v>
          </cell>
        </row>
        <row r="460">
          <cell r="C460" t="str">
            <v>BINJKOTE  TPP1</v>
          </cell>
          <cell r="D460" t="str">
            <v>PVT SECTOR</v>
          </cell>
        </row>
        <row r="461">
          <cell r="C461" t="str">
            <v>SABARMATI (D-F STATIONS) TPP3</v>
          </cell>
          <cell r="D461" t="str">
            <v>PVT SECTOR</v>
          </cell>
        </row>
        <row r="462">
          <cell r="C462" t="str">
            <v>ROPAR TPS4</v>
          </cell>
          <cell r="D462" t="str">
            <v>STATE SECTOR</v>
          </cell>
        </row>
        <row r="463">
          <cell r="C463" t="str">
            <v>TANDA STPS2</v>
          </cell>
          <cell r="D463" t="str">
            <v>CENTRAL SECTOR</v>
          </cell>
        </row>
        <row r="464">
          <cell r="C464" t="str">
            <v>WANAKBORI TPS4</v>
          </cell>
          <cell r="D464" t="str">
            <v>STATE SECTOR</v>
          </cell>
        </row>
        <row r="465">
          <cell r="C465" t="str">
            <v>GH TPS (LEH.MOH.)3</v>
          </cell>
          <cell r="D465" t="str">
            <v>STATE SECTOR</v>
          </cell>
        </row>
        <row r="466">
          <cell r="C466" t="str">
            <v>OP JINDAL TPS1</v>
          </cell>
          <cell r="D466" t="str">
            <v>PVT SECTOR</v>
          </cell>
        </row>
        <row r="467">
          <cell r="C467" t="str">
            <v>ROPAR TPS6</v>
          </cell>
          <cell r="D467" t="str">
            <v>STATE SECTOR</v>
          </cell>
        </row>
        <row r="468">
          <cell r="C468" t="str">
            <v>SATPURA TPS8</v>
          </cell>
          <cell r="D468" t="str">
            <v>STATE SECTOR</v>
          </cell>
        </row>
        <row r="469">
          <cell r="C469" t="str">
            <v>GH TPS (LEH.MOH.)4</v>
          </cell>
          <cell r="D469" t="str">
            <v>STATE SECTOR</v>
          </cell>
        </row>
        <row r="470">
          <cell r="C470" t="str">
            <v>WANAKBORI TPS6</v>
          </cell>
          <cell r="D470" t="str">
            <v>STATE SECTOR</v>
          </cell>
        </row>
        <row r="471">
          <cell r="C471" t="str">
            <v>OP JINDAL TPS2</v>
          </cell>
          <cell r="D471" t="str">
            <v>PVT SECTOR</v>
          </cell>
        </row>
        <row r="472">
          <cell r="C472" t="str">
            <v>NASIK TPS4</v>
          </cell>
          <cell r="D472" t="str">
            <v>STATE SECTOR</v>
          </cell>
        </row>
        <row r="473">
          <cell r="C473" t="str">
            <v>UKAI TPS5</v>
          </cell>
          <cell r="D473" t="str">
            <v>STATE SECTOR</v>
          </cell>
        </row>
        <row r="474">
          <cell r="C474" t="str">
            <v>RATIJA TPS2</v>
          </cell>
          <cell r="D474" t="str">
            <v>PVT SECTOR</v>
          </cell>
        </row>
        <row r="475">
          <cell r="C475" t="str">
            <v>KOTHAGUDEM TPS5</v>
          </cell>
          <cell r="D475" t="str">
            <v>STATE SECTOR</v>
          </cell>
        </row>
        <row r="476">
          <cell r="C476" t="str">
            <v>AMRAVATI TPS2</v>
          </cell>
          <cell r="D476" t="str">
            <v>PVT SECTOR</v>
          </cell>
        </row>
        <row r="477">
          <cell r="C477" t="str">
            <v>BELLARY TPS1</v>
          </cell>
          <cell r="D477" t="str">
            <v>STATE SECTOR</v>
          </cell>
        </row>
        <row r="478">
          <cell r="C478" t="str">
            <v>SURATGARH TPS6</v>
          </cell>
          <cell r="D478" t="str">
            <v>STATE SECTOR</v>
          </cell>
        </row>
        <row r="479">
          <cell r="C479" t="str">
            <v>WARDHA WARORA TPP3</v>
          </cell>
          <cell r="D479" t="str">
            <v>PVT SECTOR</v>
          </cell>
        </row>
        <row r="480">
          <cell r="C480" t="str">
            <v>ROPAR TPS3</v>
          </cell>
          <cell r="D480" t="str">
            <v>STATE SECTOR</v>
          </cell>
        </row>
        <row r="481">
          <cell r="C481" t="str">
            <v>NASIK TPS3</v>
          </cell>
          <cell r="D481" t="str">
            <v>STATE SECTOR</v>
          </cell>
        </row>
        <row r="482">
          <cell r="C482" t="str">
            <v>SABARMATI (D-F STATIONS) TPP1</v>
          </cell>
          <cell r="D482" t="str">
            <v>PVT SECTOR</v>
          </cell>
        </row>
        <row r="483">
          <cell r="C483" t="str">
            <v>WANAKBORI TPS5</v>
          </cell>
          <cell r="D483" t="str">
            <v>STATE SECTOR</v>
          </cell>
        </row>
        <row r="484">
          <cell r="C484" t="str">
            <v>AKRIMOTA LIG TPS2</v>
          </cell>
          <cell r="D484" t="str">
            <v>STATE SECTOR</v>
          </cell>
        </row>
        <row r="485">
          <cell r="C485" t="str">
            <v>AKRIMOTA LIG TPS1</v>
          </cell>
          <cell r="D485" t="str">
            <v>STATE SECTOR</v>
          </cell>
        </row>
        <row r="486">
          <cell r="C486" t="str">
            <v>KHARGONE STPP2</v>
          </cell>
          <cell r="D486" t="str">
            <v>CENTRAL SECTOR</v>
          </cell>
        </row>
        <row r="487">
          <cell r="C487" t="str">
            <v>KOTA TPS2</v>
          </cell>
          <cell r="D487" t="str">
            <v>STATE SECTOR</v>
          </cell>
        </row>
        <row r="488">
          <cell r="C488" t="str">
            <v>RAYALSEEMA TPS1</v>
          </cell>
          <cell r="D488" t="str">
            <v>STATE SECTOR</v>
          </cell>
        </row>
        <row r="489">
          <cell r="C489" t="str">
            <v>NEYVELI TPS- I5</v>
          </cell>
          <cell r="D489" t="str">
            <v>CENTRAL SECTOR</v>
          </cell>
        </row>
        <row r="490">
          <cell r="C490" t="str">
            <v>KUTCH LIG. TPS4</v>
          </cell>
          <cell r="D490" t="str">
            <v>STATE SECTOR</v>
          </cell>
        </row>
        <row r="491">
          <cell r="C491" t="str">
            <v>NEYVELI TPS- I6</v>
          </cell>
          <cell r="D491" t="str">
            <v>CENTRAL SECTOR</v>
          </cell>
        </row>
        <row r="492">
          <cell r="C492" t="str">
            <v>KOTHAGUDEM TPS7</v>
          </cell>
          <cell r="D492" t="str">
            <v>STATE SECTOR</v>
          </cell>
        </row>
        <row r="493">
          <cell r="C493" t="str">
            <v>KOTA TPS1</v>
          </cell>
          <cell r="D493" t="str">
            <v>STATE SECTOR</v>
          </cell>
        </row>
        <row r="494">
          <cell r="C494" t="str">
            <v>ICCL IMP2</v>
          </cell>
          <cell r="D494" t="str">
            <v>PVT SECTOR</v>
          </cell>
        </row>
        <row r="495">
          <cell r="C495" t="str">
            <v>WARDHA WARORA TPP4</v>
          </cell>
          <cell r="D495" t="str">
            <v>PVT SECTOR</v>
          </cell>
        </row>
        <row r="496">
          <cell r="C496" t="str">
            <v>RAYALSEEMA TPS4</v>
          </cell>
          <cell r="D496" t="str">
            <v>STATE SECTOR</v>
          </cell>
        </row>
        <row r="497">
          <cell r="C497" t="str">
            <v>NEYVELI TPS- I8</v>
          </cell>
          <cell r="D497" t="str">
            <v>CENTRAL SECTOR</v>
          </cell>
        </row>
        <row r="498">
          <cell r="C498" t="str">
            <v>SVPL TPP1</v>
          </cell>
          <cell r="D498" t="str">
            <v>PVT SECTOR</v>
          </cell>
        </row>
        <row r="499">
          <cell r="C499" t="str">
            <v>ROPAR TPS5</v>
          </cell>
          <cell r="D499" t="str">
            <v>STATE SECTOR</v>
          </cell>
        </row>
        <row r="500">
          <cell r="C500" t="str">
            <v>GH TPS (LEH.MOH.)2</v>
          </cell>
          <cell r="D500" t="str">
            <v>STATE SECTOR</v>
          </cell>
        </row>
        <row r="501">
          <cell r="C501" t="str">
            <v>NALCO IMP1</v>
          </cell>
          <cell r="D501" t="str">
            <v>PVT SECTOR</v>
          </cell>
        </row>
        <row r="502">
          <cell r="C502" t="str">
            <v>RAMAGUNDEM - B TPS1</v>
          </cell>
          <cell r="D502" t="str">
            <v>STATE SECTOR</v>
          </cell>
        </row>
        <row r="503">
          <cell r="C503" t="str">
            <v>RATIJA TPS1</v>
          </cell>
          <cell r="D503" t="str">
            <v>PVT SECTOR</v>
          </cell>
        </row>
        <row r="504">
          <cell r="C504" t="str">
            <v>NEYVELI TPS- I3</v>
          </cell>
          <cell r="D504" t="str">
            <v>CENTRAL SECTOR</v>
          </cell>
        </row>
        <row r="505">
          <cell r="C505" t="str">
            <v>GH TPS (LEH.MOH.)1</v>
          </cell>
          <cell r="D505" t="str">
            <v>STATE SECTOR</v>
          </cell>
        </row>
        <row r="506">
          <cell r="C506" t="str">
            <v>WANAKBORI TPS2</v>
          </cell>
          <cell r="D506" t="str">
            <v>STATE SECTOR</v>
          </cell>
        </row>
        <row r="507">
          <cell r="C507" t="str">
            <v>DURGAPUR TPS4</v>
          </cell>
          <cell r="D507" t="str">
            <v>CENTRAL SECTOR</v>
          </cell>
        </row>
        <row r="508">
          <cell r="C508" t="str">
            <v>CHAKABURA TPP2</v>
          </cell>
          <cell r="D508" t="str">
            <v>PVT SECTOR</v>
          </cell>
        </row>
        <row r="509">
          <cell r="C509" t="str">
            <v>NIWARI TPP1</v>
          </cell>
          <cell r="D509" t="str">
            <v>PVT SECTOR</v>
          </cell>
        </row>
        <row r="510">
          <cell r="C510" t="str">
            <v>KOLAGHAT TPS4</v>
          </cell>
          <cell r="D510" t="str">
            <v>STATE SECTOR</v>
          </cell>
        </row>
        <row r="511">
          <cell r="C511" t="str">
            <v>AMRAVATI TPS1</v>
          </cell>
          <cell r="D511" t="str">
            <v>PVT SECTOR</v>
          </cell>
        </row>
        <row r="512">
          <cell r="C512" t="str">
            <v>KOTHAGUDEM TPS4</v>
          </cell>
          <cell r="D512" t="str">
            <v>STATE SECTOR</v>
          </cell>
        </row>
        <row r="513">
          <cell r="C513" t="str">
            <v>DADRI (NCTPP)2</v>
          </cell>
          <cell r="D513" t="str">
            <v>CENTRAL SECTOR</v>
          </cell>
        </row>
        <row r="514">
          <cell r="C514" t="str">
            <v>KOTHAGUDEM TPS1</v>
          </cell>
          <cell r="D514" t="str">
            <v>STATE SECTOR</v>
          </cell>
        </row>
        <row r="515">
          <cell r="C515" t="str">
            <v>RAYALSEEMA TPS2</v>
          </cell>
          <cell r="D515" t="str">
            <v>STATE SECTOR</v>
          </cell>
        </row>
        <row r="516">
          <cell r="C516" t="str">
            <v>WANAKBORI TPS1</v>
          </cell>
          <cell r="D516" t="str">
            <v>STATE SECTOR</v>
          </cell>
        </row>
        <row r="517">
          <cell r="C517" t="str">
            <v>DADRI (NCTPP)3</v>
          </cell>
          <cell r="D517" t="str">
            <v>CENTRAL SECTOR</v>
          </cell>
        </row>
        <row r="518">
          <cell r="C518" t="str">
            <v>RAYALSEEMA TPS5</v>
          </cell>
          <cell r="D518" t="str">
            <v>STATE SECTOR</v>
          </cell>
        </row>
        <row r="519">
          <cell r="C519" t="str">
            <v>GANDHI NAGAR TPS4</v>
          </cell>
          <cell r="D519" t="str">
            <v>STATE SECTOR</v>
          </cell>
        </row>
        <row r="520">
          <cell r="C520" t="str">
            <v>BANDEL TPS2</v>
          </cell>
          <cell r="D520" t="str">
            <v>STATE SECTOR</v>
          </cell>
        </row>
        <row r="521">
          <cell r="C521" t="str">
            <v>KOLAGHAT TPS6</v>
          </cell>
          <cell r="D521" t="str">
            <v>STATE SECTOR</v>
          </cell>
        </row>
        <row r="522">
          <cell r="C522" t="str">
            <v>NEYVELI TPS- I1</v>
          </cell>
          <cell r="D522" t="str">
            <v>CENTRAL SECTOR</v>
          </cell>
        </row>
        <row r="523">
          <cell r="C523" t="str">
            <v>NEYVELI TPS- I2</v>
          </cell>
          <cell r="D523" t="str">
            <v>CENTRAL SECTOR</v>
          </cell>
        </row>
        <row r="524">
          <cell r="C524" t="str">
            <v>NEYVELI TPS- I4</v>
          </cell>
          <cell r="D524" t="str">
            <v>CENTRAL SECTOR</v>
          </cell>
        </row>
        <row r="525">
          <cell r="C525" t="str">
            <v>SURATGARH TPS3</v>
          </cell>
          <cell r="D525" t="str">
            <v>STATE SECTOR</v>
          </cell>
        </row>
        <row r="526">
          <cell r="C526" t="str">
            <v>NEYVELI TPS- I9</v>
          </cell>
          <cell r="D526" t="str">
            <v>CENTRAL SECTOR</v>
          </cell>
        </row>
        <row r="527">
          <cell r="C527" t="str">
            <v>GANDHI NAGAR TPS3</v>
          </cell>
          <cell r="D527" t="str">
            <v>STATE SECTOR</v>
          </cell>
        </row>
        <row r="528">
          <cell r="C528" t="str">
            <v>AMRAVATI TPS3</v>
          </cell>
          <cell r="D528" t="str">
            <v>PVT SECTOR</v>
          </cell>
        </row>
        <row r="529">
          <cell r="C529" t="str">
            <v>PANIPAT TPS6</v>
          </cell>
          <cell r="D529" t="str">
            <v>STATE SECTOR</v>
          </cell>
        </row>
        <row r="530">
          <cell r="C530" t="str">
            <v>SATPURA TPS9</v>
          </cell>
          <cell r="D530" t="str">
            <v>STATE SECTOR</v>
          </cell>
        </row>
        <row r="531">
          <cell r="C531" t="str">
            <v>DADRI (NCTPP)4</v>
          </cell>
          <cell r="D531" t="str">
            <v>CENTRAL SECTOR</v>
          </cell>
        </row>
        <row r="532">
          <cell r="C532" t="str">
            <v>KUNDARKI TPS1</v>
          </cell>
          <cell r="D532" t="str">
            <v>PVT SECTOR</v>
          </cell>
        </row>
        <row r="533">
          <cell r="C533" t="str">
            <v>KUNDARKI TPS2</v>
          </cell>
          <cell r="D533" t="str">
            <v>PVT SECTOR</v>
          </cell>
        </row>
        <row r="534">
          <cell r="C534" t="str">
            <v>UTRAULA TPS1</v>
          </cell>
          <cell r="D534" t="str">
            <v>PVT SECTOR</v>
          </cell>
        </row>
        <row r="535">
          <cell r="C535" t="str">
            <v>UTRAULA TPS2</v>
          </cell>
          <cell r="D535" t="str">
            <v>PVT SECTOR</v>
          </cell>
        </row>
        <row r="536">
          <cell r="C536" t="str">
            <v>AMRAVATI TPS5</v>
          </cell>
          <cell r="D536" t="str">
            <v>PVT SECTOR</v>
          </cell>
        </row>
        <row r="537">
          <cell r="C537" t="str">
            <v>KOTHAGUDEM TPS2</v>
          </cell>
          <cell r="D537" t="str">
            <v>STATE SECTOR</v>
          </cell>
        </row>
        <row r="538">
          <cell r="C538" t="str">
            <v>MAQSOODPUR TPS1</v>
          </cell>
          <cell r="D538" t="str">
            <v>PVT SECTOR</v>
          </cell>
        </row>
        <row r="539">
          <cell r="C539" t="str">
            <v>DADRI (NCTPP)1</v>
          </cell>
          <cell r="D539" t="str">
            <v>CENTRAL SECTOR</v>
          </cell>
        </row>
        <row r="540">
          <cell r="C540" t="str">
            <v>BARKHERA TPS2</v>
          </cell>
          <cell r="D540" t="str">
            <v>PVT SECTOR</v>
          </cell>
        </row>
        <row r="541">
          <cell r="C541" t="str">
            <v>BARKHERA TPS1</v>
          </cell>
          <cell r="D541" t="str">
            <v>PVT SECTOR</v>
          </cell>
        </row>
        <row r="542">
          <cell r="C542" t="str">
            <v>KHAMBARKHERA TPS1</v>
          </cell>
          <cell r="D542" t="str">
            <v>PVT SECTOR</v>
          </cell>
        </row>
        <row r="543">
          <cell r="C543" t="str">
            <v>KHAMBARKHERA TPS2</v>
          </cell>
          <cell r="D543" t="str">
            <v>PVT SECTOR</v>
          </cell>
        </row>
        <row r="544">
          <cell r="C544" t="str">
            <v>MAQSOODPUR TPS2</v>
          </cell>
          <cell r="D544" t="str">
            <v>PVT SECTOR</v>
          </cell>
        </row>
        <row r="545">
          <cell r="C545" t="str">
            <v>BARAUNI TPS7</v>
          </cell>
          <cell r="D545" t="str">
            <v>CENTRAL SECTOR</v>
          </cell>
        </row>
        <row r="546">
          <cell r="C546" t="str">
            <v>MUZAFFARPUR TPS2</v>
          </cell>
          <cell r="D546" t="str">
            <v>CENTRAL SECTOR</v>
          </cell>
        </row>
        <row r="547">
          <cell r="C547" t="str">
            <v>BANDEL TPS1</v>
          </cell>
          <cell r="D547" t="str">
            <v>STATE SECTOR</v>
          </cell>
        </row>
        <row r="548">
          <cell r="C548" t="str">
            <v>TORANGALLU TPS(SBU-II)4</v>
          </cell>
          <cell r="D548" t="str">
            <v>PVT SECTOR</v>
          </cell>
        </row>
        <row r="549">
          <cell r="C549" t="str">
            <v>MUZAFFARPUR TPS1</v>
          </cell>
          <cell r="D549" t="str">
            <v>CENTRAL SECTOR</v>
          </cell>
        </row>
        <row r="550">
          <cell r="C550" t="str">
            <v>SURATGARH TPS2</v>
          </cell>
          <cell r="D550" t="str">
            <v>STATE SECTOR</v>
          </cell>
        </row>
        <row r="551">
          <cell r="C551" t="str">
            <v>SURATGARH TPS7</v>
          </cell>
          <cell r="D551" t="str">
            <v>STATE SECTOR</v>
          </cell>
        </row>
        <row r="552">
          <cell r="C552" t="str">
            <v>HARDUAGANJ TPS7</v>
          </cell>
          <cell r="D552" t="str">
            <v>STATE SECTOR</v>
          </cell>
        </row>
        <row r="553">
          <cell r="C553" t="str">
            <v>BARAUNI TPS6</v>
          </cell>
          <cell r="D553" t="str">
            <v>CENTRAL SECTOR</v>
          </cell>
        </row>
        <row r="554">
          <cell r="C554" t="str">
            <v>KOLAGHAT TPS3</v>
          </cell>
          <cell r="D554" t="str">
            <v>STATE SECTOR</v>
          </cell>
        </row>
        <row r="555">
          <cell r="C555" t="str">
            <v>SOUTHERN REPL. TPS2</v>
          </cell>
          <cell r="D555" t="str">
            <v>PVT SECTOR</v>
          </cell>
        </row>
        <row r="556">
          <cell r="C556" t="str">
            <v>SOUTHERN REPL. TPS1</v>
          </cell>
          <cell r="D556" t="str">
            <v>PVT SECTOR</v>
          </cell>
        </row>
        <row r="557">
          <cell r="C557" t="str">
            <v>TORANGALLU TPS(SBU-I)2</v>
          </cell>
          <cell r="D557" t="str">
            <v>PVT SECTOR</v>
          </cell>
        </row>
        <row r="558">
          <cell r="C558" t="str">
            <v>SOLAPUR STPS2</v>
          </cell>
          <cell r="D558" t="str">
            <v>CENTRAL SECTOR</v>
          </cell>
        </row>
        <row r="559">
          <cell r="C559" t="str">
            <v>BHUSAWAL TPS3</v>
          </cell>
          <cell r="D559" t="str">
            <v>STATE SECTOR</v>
          </cell>
        </row>
        <row r="560">
          <cell r="C560" t="str">
            <v>PARICHHA TPS1</v>
          </cell>
          <cell r="D560" t="str">
            <v>STATE SECTOR</v>
          </cell>
        </row>
        <row r="561">
          <cell r="C561" t="str">
            <v>SABARMATI (C-STATION) TPP16</v>
          </cell>
          <cell r="D561" t="str">
            <v>PVT SECTOR</v>
          </cell>
        </row>
        <row r="562">
          <cell r="C562" t="str">
            <v>BOKARO B TPS3</v>
          </cell>
          <cell r="D562" t="str">
            <v>CENTRAL SECTOR</v>
          </cell>
        </row>
        <row r="563">
          <cell r="C563" t="str">
            <v>RAJGHAT TPS2</v>
          </cell>
          <cell r="D563" t="str">
            <v>STATE SECTOR</v>
          </cell>
        </row>
        <row r="564">
          <cell r="C564" t="str">
            <v>DR. N TATA RAO TPS8</v>
          </cell>
          <cell r="D564" t="str">
            <v>STATE SECTOR</v>
          </cell>
        </row>
        <row r="565">
          <cell r="C565" t="str">
            <v>NASIK (P) TPS5</v>
          </cell>
          <cell r="D565" t="str">
            <v>PVT SECTOR</v>
          </cell>
        </row>
        <row r="566">
          <cell r="C566" t="str">
            <v>UTKAL TPP (IND BARATH)2</v>
          </cell>
          <cell r="D566" t="str">
            <v>PVT SECTOR</v>
          </cell>
        </row>
        <row r="567">
          <cell r="C567" t="str">
            <v>D.P.L. TPS6</v>
          </cell>
          <cell r="D567" t="str">
            <v>STATE SECTOR</v>
          </cell>
        </row>
        <row r="568">
          <cell r="C568" t="str">
            <v>AKALTARA TPS1</v>
          </cell>
          <cell r="D568" t="str">
            <v>PVT SECTOR</v>
          </cell>
        </row>
        <row r="569">
          <cell r="C569" t="str">
            <v>BARH I2</v>
          </cell>
          <cell r="D569" t="str">
            <v>CENTRAL SECTOR</v>
          </cell>
        </row>
        <row r="570">
          <cell r="C570" t="str">
            <v>BHADRADRI TPP2</v>
          </cell>
          <cell r="D570" t="str">
            <v>STATE SECTOR</v>
          </cell>
        </row>
        <row r="571">
          <cell r="C571" t="str">
            <v>LANCO VIDARBHA TPP1</v>
          </cell>
          <cell r="D571" t="str">
            <v>PVT SECTOR</v>
          </cell>
        </row>
        <row r="572">
          <cell r="C572" t="str">
            <v>SIMHAPURI TPS1</v>
          </cell>
          <cell r="D572" t="str">
            <v>PVT SECTOR</v>
          </cell>
        </row>
        <row r="573">
          <cell r="C573" t="str">
            <v>NASIK (P) TPS3</v>
          </cell>
          <cell r="D573" t="str">
            <v>PVT SECTOR</v>
          </cell>
        </row>
        <row r="574">
          <cell r="C574" t="str">
            <v>PARICHHA TPS2</v>
          </cell>
          <cell r="D574" t="str">
            <v>STATE SECTOR</v>
          </cell>
        </row>
        <row r="575">
          <cell r="C575" t="str">
            <v>GEPL TPP PH-I1</v>
          </cell>
          <cell r="D575" t="str">
            <v>PVT SECTOR</v>
          </cell>
        </row>
        <row r="576">
          <cell r="C576" t="str">
            <v>PARLI TPS5</v>
          </cell>
          <cell r="D576" t="str">
            <v>STATE SECTOR</v>
          </cell>
        </row>
        <row r="577">
          <cell r="C577" t="str">
            <v>BUTIBORI TPP2</v>
          </cell>
          <cell r="D577" t="str">
            <v>PVT SECTOR</v>
          </cell>
        </row>
        <row r="578">
          <cell r="C578" t="str">
            <v>OBRA TPS13</v>
          </cell>
          <cell r="D578" t="str">
            <v>STATE SECTOR</v>
          </cell>
        </row>
        <row r="579">
          <cell r="C579" t="str">
            <v>SIMHAPURI TPS4</v>
          </cell>
          <cell r="D579" t="str">
            <v>PVT SECTOR</v>
          </cell>
        </row>
        <row r="580">
          <cell r="C580" t="str">
            <v>KUTCH LIG. TPS2</v>
          </cell>
          <cell r="D580" t="str">
            <v>STATE SECTOR</v>
          </cell>
        </row>
        <row r="581">
          <cell r="C581" t="str">
            <v>KORBA-II2</v>
          </cell>
          <cell r="D581" t="str">
            <v>STATE SECTOR</v>
          </cell>
        </row>
        <row r="582">
          <cell r="C582" t="str">
            <v>SWASTIK KORBA TPP1</v>
          </cell>
          <cell r="D582" t="str">
            <v>PVT SECTOR</v>
          </cell>
        </row>
        <row r="583">
          <cell r="C583" t="str">
            <v>UCHPINDA TPP4</v>
          </cell>
          <cell r="D583" t="str">
            <v>PVT SECTOR</v>
          </cell>
        </row>
        <row r="584">
          <cell r="C584" t="str">
            <v>BHADRADRI TPP4</v>
          </cell>
          <cell r="D584" t="str">
            <v>STATE SECTOR</v>
          </cell>
        </row>
        <row r="585">
          <cell r="C585" t="str">
            <v>MAITRISHI USHA TPS1</v>
          </cell>
          <cell r="D585" t="str">
            <v>PVT SECTOR</v>
          </cell>
        </row>
        <row r="586">
          <cell r="C586" t="str">
            <v>NORTH KARANPURA TPP1</v>
          </cell>
          <cell r="D586" t="str">
            <v>CENTRAL SECTOR</v>
          </cell>
        </row>
        <row r="587">
          <cell r="C587" t="str">
            <v>THAMMINAPATNAM TPS3</v>
          </cell>
          <cell r="D587" t="str">
            <v>PVT SECTOR</v>
          </cell>
        </row>
        <row r="588">
          <cell r="C588" t="str">
            <v>DAMODARAN SANJEEVAIAH TPS3</v>
          </cell>
          <cell r="D588" t="str">
            <v>STATE SECTOR</v>
          </cell>
        </row>
        <row r="589">
          <cell r="C589" t="str">
            <v>MIHAN TPS4</v>
          </cell>
          <cell r="D589" t="str">
            <v>PVT SECTOR</v>
          </cell>
        </row>
        <row r="590">
          <cell r="C590" t="str">
            <v>CHANDRAPURA(DVC)3</v>
          </cell>
          <cell r="D590" t="str">
            <v>CENTRAL SECTOR</v>
          </cell>
        </row>
        <row r="591">
          <cell r="C591" t="str">
            <v>KORADI TPS6</v>
          </cell>
          <cell r="D591" t="str">
            <v>STATE SECTOR</v>
          </cell>
        </row>
        <row r="592">
          <cell r="C592" t="str">
            <v>KORBA-II4</v>
          </cell>
          <cell r="D592" t="str">
            <v>STATE SECTOR</v>
          </cell>
        </row>
        <row r="593">
          <cell r="C593" t="str">
            <v>TITAGARH TPS1</v>
          </cell>
          <cell r="D593" t="str">
            <v>PVT SECTOR</v>
          </cell>
        </row>
        <row r="594">
          <cell r="C594" t="str">
            <v>WARDHA WARORA TPP1</v>
          </cell>
          <cell r="D594" t="str">
            <v>PVT SECTOR</v>
          </cell>
        </row>
        <row r="595">
          <cell r="C595" t="str">
            <v>TANDA STPS6</v>
          </cell>
          <cell r="D595" t="str">
            <v>CENTRAL SECTOR</v>
          </cell>
        </row>
        <row r="596">
          <cell r="C596" t="str">
            <v>SALORA TPP1</v>
          </cell>
          <cell r="D596" t="str">
            <v>PVT SECTOR</v>
          </cell>
        </row>
        <row r="597">
          <cell r="C597" t="str">
            <v>CHAKABURA TPP1</v>
          </cell>
          <cell r="D597" t="str">
            <v>PVT SECTOR</v>
          </cell>
        </row>
        <row r="598">
          <cell r="C598" t="str">
            <v>SHIRPUR TPP2</v>
          </cell>
          <cell r="D598" t="str">
            <v>PVT SECTOR</v>
          </cell>
        </row>
        <row r="599">
          <cell r="C599" t="str">
            <v>NABI NAGAR TPP4</v>
          </cell>
          <cell r="D599" t="str">
            <v>CENTRAL SECTOR</v>
          </cell>
        </row>
        <row r="600">
          <cell r="C600" t="str">
            <v>GIRAL TPS2</v>
          </cell>
          <cell r="D600" t="str">
            <v>STATE SECTOR</v>
          </cell>
        </row>
        <row r="601">
          <cell r="C601" t="str">
            <v>UTKAL TPP (IND BARATH)1</v>
          </cell>
          <cell r="D601" t="str">
            <v>PVT SECTOR</v>
          </cell>
        </row>
        <row r="602">
          <cell r="C602" t="str">
            <v>HIRANMAYE TPP2</v>
          </cell>
          <cell r="D602" t="str">
            <v>PVT SECTOR</v>
          </cell>
        </row>
        <row r="603">
          <cell r="C603" t="str">
            <v>NAWAPARA TPP1</v>
          </cell>
          <cell r="D603" t="str">
            <v>PVT SECTOR</v>
          </cell>
        </row>
        <row r="604">
          <cell r="C604" t="str">
            <v>NORTH CHENNAI TPS6</v>
          </cell>
          <cell r="D604" t="str">
            <v>STATE SECTOR</v>
          </cell>
        </row>
        <row r="605">
          <cell r="C605" t="str">
            <v>TITAGARH TPS2</v>
          </cell>
          <cell r="D605" t="str">
            <v>PVT SECTOR</v>
          </cell>
        </row>
        <row r="606">
          <cell r="C606" t="str">
            <v>SIMHAPURI TPS3</v>
          </cell>
          <cell r="D606" t="str">
            <v>PVT SECTOR</v>
          </cell>
        </row>
        <row r="607">
          <cell r="C607" t="str">
            <v>MAITRISHI USHA TPS2</v>
          </cell>
          <cell r="D607" t="str">
            <v>PVT SECTOR</v>
          </cell>
        </row>
        <row r="608">
          <cell r="C608" t="str">
            <v>KORADI TPS7</v>
          </cell>
          <cell r="D608" t="str">
            <v>STATE SECTOR</v>
          </cell>
        </row>
        <row r="609">
          <cell r="C609" t="str">
            <v>BHADRADRI TPP3</v>
          </cell>
          <cell r="D609" t="str">
            <v>STATE SECTOR</v>
          </cell>
        </row>
        <row r="610">
          <cell r="C610" t="str">
            <v>INDBHARATH TUTICORIN TPP2</v>
          </cell>
          <cell r="D610" t="str">
            <v>PVT SECTOR</v>
          </cell>
        </row>
        <row r="611">
          <cell r="C611" t="str">
            <v>KORBA-II3</v>
          </cell>
          <cell r="D611" t="str">
            <v>STATE SECTOR</v>
          </cell>
        </row>
        <row r="612">
          <cell r="C612" t="str">
            <v>RAJGHAT TPS1</v>
          </cell>
          <cell r="D612" t="str">
            <v>STATE SECTOR</v>
          </cell>
        </row>
        <row r="613">
          <cell r="C613" t="str">
            <v>DARLIPALI STPS2</v>
          </cell>
          <cell r="D613" t="str">
            <v>CENTRAL SECTOR</v>
          </cell>
        </row>
        <row r="614">
          <cell r="C614" t="str">
            <v>BARH I1</v>
          </cell>
          <cell r="D614" t="str">
            <v>CENTRAL SECTOR</v>
          </cell>
        </row>
        <row r="615">
          <cell r="C615" t="str">
            <v>THAMMINAPATNAM TPS1</v>
          </cell>
          <cell r="D615" t="str">
            <v>PVT SECTOR</v>
          </cell>
        </row>
        <row r="616">
          <cell r="C616" t="str">
            <v>PATHADI STAGE II1</v>
          </cell>
          <cell r="D616" t="str">
            <v>PVT SECTOR</v>
          </cell>
        </row>
        <row r="617">
          <cell r="C617" t="str">
            <v>KOLAGHAT TPS1</v>
          </cell>
          <cell r="D617" t="str">
            <v>STATE SECTOR</v>
          </cell>
        </row>
        <row r="618">
          <cell r="C618" t="str">
            <v>SABARMATI (C-STATION) TPP15</v>
          </cell>
          <cell r="D618" t="str">
            <v>PVT SECTOR</v>
          </cell>
        </row>
        <row r="619">
          <cell r="C619" t="str">
            <v>KOLAGHAT TPS2</v>
          </cell>
          <cell r="D619" t="str">
            <v>STATE SECTOR</v>
          </cell>
        </row>
        <row r="620">
          <cell r="C620" t="str">
            <v>SURATGARH TPS8</v>
          </cell>
          <cell r="D620" t="str">
            <v>STATE SECTOR</v>
          </cell>
        </row>
        <row r="621">
          <cell r="C621" t="str">
            <v>INDBHARATH TUTICORIN TPP1</v>
          </cell>
          <cell r="D621" t="str">
            <v>PVT SECTOR</v>
          </cell>
        </row>
        <row r="622">
          <cell r="C622" t="str">
            <v>MIHAN TPS3</v>
          </cell>
          <cell r="D622" t="str">
            <v>PVT SECTOR</v>
          </cell>
        </row>
        <row r="623">
          <cell r="C623" t="str">
            <v>MEJA STPP2</v>
          </cell>
          <cell r="D623" t="str">
            <v>CENTRAL SECTOR</v>
          </cell>
        </row>
        <row r="624">
          <cell r="C624" t="str">
            <v>GEPL TPP PH-I2</v>
          </cell>
          <cell r="D624" t="str">
            <v>PVT SECTOR</v>
          </cell>
        </row>
        <row r="625">
          <cell r="C625" t="str">
            <v>SALORA TPP2</v>
          </cell>
          <cell r="D625" t="str">
            <v>PVT SECTOR</v>
          </cell>
        </row>
        <row r="626">
          <cell r="C626" t="str">
            <v>PARLI TPS4</v>
          </cell>
          <cell r="D626" t="str">
            <v>STATE SECTOR</v>
          </cell>
        </row>
        <row r="627">
          <cell r="C627" t="str">
            <v>KUTCH LIG. TPS1</v>
          </cell>
          <cell r="D627" t="str">
            <v>STATE SECTOR</v>
          </cell>
        </row>
        <row r="628">
          <cell r="C628" t="str">
            <v>TUTICORIN TPS5</v>
          </cell>
          <cell r="D628" t="str">
            <v>STATE SECTOR</v>
          </cell>
        </row>
        <row r="629">
          <cell r="C629" t="str">
            <v>MIHAN TPS2</v>
          </cell>
          <cell r="D629" t="str">
            <v>PVT SECTOR</v>
          </cell>
        </row>
        <row r="630">
          <cell r="C630" t="str">
            <v>TITAGARH TPS4</v>
          </cell>
          <cell r="D630" t="str">
            <v>PVT SECTOR</v>
          </cell>
        </row>
        <row r="631">
          <cell r="C631" t="str">
            <v>KATGHORA TPP1</v>
          </cell>
          <cell r="D631" t="str">
            <v>PVT SECTOR</v>
          </cell>
        </row>
        <row r="632">
          <cell r="C632" t="str">
            <v>ANPARA TPS7</v>
          </cell>
          <cell r="D632" t="str">
            <v>STATE SECTOR</v>
          </cell>
        </row>
        <row r="633">
          <cell r="C633" t="str">
            <v>AMRAVATI TPS4</v>
          </cell>
          <cell r="D633" t="str">
            <v>PVT SECTOR</v>
          </cell>
        </row>
        <row r="634">
          <cell r="C634" t="str">
            <v>NABINAGAR STPP2</v>
          </cell>
          <cell r="D634" t="str">
            <v>CENTRAL SECTOR</v>
          </cell>
        </row>
        <row r="635">
          <cell r="C635" t="str">
            <v>NASIK TPS5</v>
          </cell>
          <cell r="D635" t="str">
            <v>STATE SECTOR</v>
          </cell>
        </row>
        <row r="636">
          <cell r="C636" t="str">
            <v>TELANGANA STPP1</v>
          </cell>
          <cell r="D636" t="str">
            <v>CENTRAL SECTOR</v>
          </cell>
        </row>
        <row r="637">
          <cell r="C637" t="str">
            <v>SHIRPUR TPP1</v>
          </cell>
          <cell r="D637" t="str">
            <v>PVT SECTOR</v>
          </cell>
        </row>
        <row r="638">
          <cell r="C638" t="str">
            <v>SIMHAPURI TPS2</v>
          </cell>
          <cell r="D638" t="str">
            <v>PVT SECTOR</v>
          </cell>
        </row>
        <row r="639">
          <cell r="C639" t="str">
            <v>NASIK (P) TPS2</v>
          </cell>
          <cell r="D639" t="str">
            <v>PVT SECTOR</v>
          </cell>
        </row>
        <row r="640">
          <cell r="C640" t="str">
            <v>LANCO BABANDH TPP1</v>
          </cell>
          <cell r="D640" t="str">
            <v>PVT SECTOR</v>
          </cell>
        </row>
        <row r="641">
          <cell r="C641" t="str">
            <v>SURATGARH TPS5</v>
          </cell>
          <cell r="D641" t="str">
            <v>STATE SECTOR</v>
          </cell>
        </row>
        <row r="642">
          <cell r="C642" t="str">
            <v>THAMMINAPATNAM TPS4</v>
          </cell>
          <cell r="D642" t="str">
            <v>PVT SECTOR</v>
          </cell>
        </row>
        <row r="643">
          <cell r="C643" t="str">
            <v>BUTIBORI TPP1</v>
          </cell>
          <cell r="D643" t="str">
            <v>PVT SECTOR</v>
          </cell>
        </row>
        <row r="644">
          <cell r="C644" t="str">
            <v>HARDUAGANJ TPS10</v>
          </cell>
          <cell r="D644" t="str">
            <v>STATE SECTOR</v>
          </cell>
        </row>
        <row r="645">
          <cell r="C645" t="str">
            <v>STERLITE TPP1</v>
          </cell>
          <cell r="D645" t="str">
            <v>PVT SECTOR</v>
          </cell>
        </row>
        <row r="646">
          <cell r="C646" t="str">
            <v>NASIK (P) TPS1</v>
          </cell>
          <cell r="D646" t="str">
            <v>PVT SECTOR</v>
          </cell>
        </row>
        <row r="647">
          <cell r="C647" t="str">
            <v>NASIK (P) TPS4</v>
          </cell>
          <cell r="D647" t="str">
            <v>PVT SECTOR</v>
          </cell>
        </row>
        <row r="648">
          <cell r="C648" t="str">
            <v>TITAGARH TPS3</v>
          </cell>
          <cell r="D648" t="str">
            <v>PVT SECTOR</v>
          </cell>
        </row>
        <row r="649">
          <cell r="C649" t="str">
            <v>KORBA-II1</v>
          </cell>
          <cell r="D649" t="str">
            <v>STATE SECTOR</v>
          </cell>
        </row>
        <row r="650">
          <cell r="C650" t="str">
            <v>HIRANMAYE TPP3</v>
          </cell>
          <cell r="D650" t="str">
            <v>PVT SECTOR</v>
          </cell>
        </row>
        <row r="651">
          <cell r="C651" t="str">
            <v>NEYVELI NEW TPP2</v>
          </cell>
          <cell r="D651" t="str">
            <v>CENTRAL SECTOR</v>
          </cell>
        </row>
        <row r="652">
          <cell r="C652" t="str">
            <v>LARA TPP2</v>
          </cell>
          <cell r="D652" t="str">
            <v>CENTRAL SECTOR</v>
          </cell>
        </row>
        <row r="653">
          <cell r="C653" t="str">
            <v>MIHAN TPS1</v>
          </cell>
          <cell r="D653" t="str">
            <v>PVT SECTOR</v>
          </cell>
        </row>
        <row r="654">
          <cell r="C654" t="str">
            <v>SINGHITARAI TPP1</v>
          </cell>
          <cell r="D654" t="str">
            <v>PVT SECTOR</v>
          </cell>
        </row>
        <row r="655">
          <cell r="C655" t="str">
            <v>PANIPAT TPS5</v>
          </cell>
          <cell r="D655" t="str">
            <v>STATE SECTOR</v>
          </cell>
        </row>
        <row r="656">
          <cell r="C656" t="str">
            <v>NABINAGAR STPP3</v>
          </cell>
          <cell r="D656" t="str">
            <v>CENTRAL SECTOR</v>
          </cell>
        </row>
        <row r="657">
          <cell r="C657" t="str">
            <v>GADARWARA TPP2</v>
          </cell>
          <cell r="D657" t="str">
            <v>CENTRAL SECTOR</v>
          </cell>
        </row>
        <row r="658">
          <cell r="C658" t="str">
            <v>NIWARI TPP2</v>
          </cell>
          <cell r="D658" t="str">
            <v>PVT SECTOR</v>
          </cell>
        </row>
        <row r="659">
          <cell r="C659" t="str">
            <v>TROMBAY TPS6</v>
          </cell>
          <cell r="D659" t="str">
            <v>PVT SECTOR</v>
          </cell>
        </row>
        <row r="660">
          <cell r="C660" t="str">
            <v>THAMMINAPATNAM TPS2</v>
          </cell>
          <cell r="D660" t="str">
            <v>PVT SECTOR</v>
          </cell>
        </row>
        <row r="661">
          <cell r="C661" t="str">
            <v>BELA TPS1</v>
          </cell>
          <cell r="D661" t="str">
            <v>PVT SECTOR</v>
          </cell>
        </row>
        <row r="662">
          <cell r="C662" t="str">
            <v>HIRANMAYE TPP1</v>
          </cell>
          <cell r="D662" t="str">
            <v>PVT SECTOR</v>
          </cell>
        </row>
        <row r="663">
          <cell r="C663" t="str">
            <v>GIRAL TPS1</v>
          </cell>
          <cell r="D663" t="str">
            <v>STATE SECTOR</v>
          </cell>
        </row>
        <row r="664">
          <cell r="C664" t="str">
            <v>SINGHITARAI TPP2</v>
          </cell>
          <cell r="D664" t="str">
            <v>PVT SECTOR</v>
          </cell>
        </row>
        <row r="665">
          <cell r="C665" t="str">
            <v>OBRA TPS7</v>
          </cell>
          <cell r="D665" t="str">
            <v>STATE SECTOR</v>
          </cell>
        </row>
        <row r="666">
          <cell r="C666" t="str">
            <v>BARAUNI TPS9</v>
          </cell>
          <cell r="D666" t="str">
            <v>CENTRAL SECTOR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ed coal req (reg.)"/>
      <sheetName val="VC reg"/>
      <sheetName val="Sheet1"/>
      <sheetName val="SHR regression"/>
      <sheetName val="State allocation"/>
      <sheetName val="Allocation summary"/>
    </sheetNames>
    <sheetDataSet>
      <sheetData sheetId="0">
        <row r="2">
          <cell r="A2" t="str">
            <v>DARLIPALI STPS1</v>
          </cell>
          <cell r="B2" t="str">
            <v>DARLIPALI STPS</v>
          </cell>
          <cell r="C2" t="str">
            <v xml:space="preserve"> 0-5 years</v>
          </cell>
          <cell r="D2">
            <v>0.34223134839151198</v>
          </cell>
          <cell r="E2">
            <v>800</v>
          </cell>
          <cell r="F2">
            <v>13.67</v>
          </cell>
          <cell r="G2">
            <v>5.8579749103942194E-3</v>
          </cell>
          <cell r="H2">
            <v>11.140672115331965</v>
          </cell>
          <cell r="I2">
            <v>0.112473118279569</v>
          </cell>
        </row>
        <row r="3">
          <cell r="A3" t="str">
            <v>WANAKBORI TPS8</v>
          </cell>
          <cell r="B3" t="str">
            <v>WANAKBORI TPS UNIT 8</v>
          </cell>
          <cell r="C3" t="str">
            <v xml:space="preserve"> 0-5 years</v>
          </cell>
          <cell r="D3">
            <v>0.53661875427789096</v>
          </cell>
          <cell r="E3">
            <v>800</v>
          </cell>
          <cell r="F3">
            <v>13.131697927147947</v>
          </cell>
          <cell r="G3">
            <v>9.1819444444444273E-2</v>
          </cell>
          <cell r="H3">
            <v>11.150749352840521</v>
          </cell>
          <cell r="I3">
            <v>1.7629333333333299</v>
          </cell>
        </row>
        <row r="4">
          <cell r="A4" t="str">
            <v>GADARWARA TPP1</v>
          </cell>
          <cell r="B4" t="str">
            <v>GADARWARA TPP</v>
          </cell>
          <cell r="C4" t="str">
            <v xml:space="preserve"> 0-5 years</v>
          </cell>
          <cell r="D4">
            <v>1.06776180698151</v>
          </cell>
          <cell r="E4">
            <v>800</v>
          </cell>
          <cell r="F4">
            <v>13.780440342802244</v>
          </cell>
          <cell r="G4">
            <v>0.17192735645426094</v>
          </cell>
          <cell r="H4">
            <v>11.178284339835729</v>
          </cell>
          <cell r="I4">
            <v>3.3010052439218098</v>
          </cell>
        </row>
        <row r="5">
          <cell r="A5" t="str">
            <v>KOTHAGUDEM STAGE-7 TPS12</v>
          </cell>
          <cell r="B5" t="str">
            <v>KOTHAGUDEM STAGE-7 TPS UNIT 12</v>
          </cell>
          <cell r="C5" t="str">
            <v xml:space="preserve"> 0-5 years</v>
          </cell>
          <cell r="D5">
            <v>1.9603011635865799</v>
          </cell>
          <cell r="E5">
            <v>800</v>
          </cell>
          <cell r="F5">
            <v>10.442686325584562</v>
          </cell>
          <cell r="G5">
            <v>0.6335653367529791</v>
          </cell>
          <cell r="H5">
            <v>11.224554472621492</v>
          </cell>
          <cell r="I5">
            <v>12.164454465657199</v>
          </cell>
        </row>
        <row r="6">
          <cell r="A6" t="str">
            <v>LARA TPP1</v>
          </cell>
          <cell r="B6" t="str">
            <v>LARA TPP UNIT 1</v>
          </cell>
          <cell r="C6" t="str">
            <v xml:space="preserve"> 0-5 years</v>
          </cell>
          <cell r="D6">
            <v>2.0917180013689198</v>
          </cell>
          <cell r="E6">
            <v>800</v>
          </cell>
          <cell r="F6">
            <v>14.394144005300875</v>
          </cell>
          <cell r="G6">
            <v>0.19113316259736876</v>
          </cell>
          <cell r="H6">
            <v>11.231367252908967</v>
          </cell>
          <cell r="I6">
            <v>3.6697567218694802</v>
          </cell>
        </row>
        <row r="7">
          <cell r="A7" t="str">
            <v>KUDGI STPP3</v>
          </cell>
          <cell r="B7" t="str">
            <v>KUDGI STPP</v>
          </cell>
          <cell r="C7" t="str">
            <v xml:space="preserve"> 0-5 years</v>
          </cell>
          <cell r="D7">
            <v>2.1163586584531102</v>
          </cell>
          <cell r="E7">
            <v>800</v>
          </cell>
          <cell r="F7">
            <v>11.628129653563162</v>
          </cell>
          <cell r="G7">
            <v>0.23904959457635153</v>
          </cell>
          <cell r="H7">
            <v>11.232644649212869</v>
          </cell>
          <cell r="I7">
            <v>4.5897522158659498</v>
          </cell>
        </row>
        <row r="8">
          <cell r="A8" t="str">
            <v>YERMARUS TPS2</v>
          </cell>
          <cell r="B8" t="str">
            <v>YERMARUS TPS</v>
          </cell>
          <cell r="C8" t="str">
            <v xml:space="preserve"> 0-5 years</v>
          </cell>
          <cell r="D8">
            <v>3.0910335386721401</v>
          </cell>
          <cell r="E8">
            <v>800</v>
          </cell>
          <cell r="F8">
            <v>12.901149487688841</v>
          </cell>
          <cell r="G8">
            <v>4.0647980137395415E-2</v>
          </cell>
          <cell r="H8">
            <v>11.283172769678302</v>
          </cell>
          <cell r="I8">
            <v>0.78044121863799198</v>
          </cell>
        </row>
        <row r="9">
          <cell r="A9" t="str">
            <v>KUDGI STPP2</v>
          </cell>
          <cell r="B9" t="str">
            <v>KUDGI STPP</v>
          </cell>
          <cell r="C9" t="str">
            <v xml:space="preserve"> 0-5 years</v>
          </cell>
          <cell r="D9">
            <v>3.1074606433949299</v>
          </cell>
          <cell r="E9">
            <v>800</v>
          </cell>
          <cell r="F9">
            <v>11.628129653563162</v>
          </cell>
          <cell r="G9">
            <v>0.29070126773170935</v>
          </cell>
          <cell r="H9">
            <v>11.284024367214236</v>
          </cell>
          <cell r="I9">
            <v>5.5814643404488198</v>
          </cell>
        </row>
        <row r="10">
          <cell r="A10" t="str">
            <v>KUDGI STPP1</v>
          </cell>
          <cell r="B10" t="str">
            <v>KUDGI STPP</v>
          </cell>
          <cell r="C10" t="str">
            <v xml:space="preserve"> 0-5 years</v>
          </cell>
          <cell r="D10">
            <v>3.3566050650239498</v>
          </cell>
          <cell r="E10">
            <v>800</v>
          </cell>
          <cell r="F10">
            <v>11.628129653563162</v>
          </cell>
          <cell r="G10">
            <v>0.33382982699398489</v>
          </cell>
          <cell r="H10">
            <v>11.296940263175907</v>
          </cell>
          <cell r="I10">
            <v>6.4095326782845099</v>
          </cell>
        </row>
        <row r="11">
          <cell r="A11" t="str">
            <v>YERMARUS TPS1</v>
          </cell>
          <cell r="B11" t="str">
            <v>YERMARUS TPS</v>
          </cell>
          <cell r="C11" t="str">
            <v xml:space="preserve"> 0-5 years</v>
          </cell>
          <cell r="D11">
            <v>4.1752224503764497</v>
          </cell>
          <cell r="E11">
            <v>800</v>
          </cell>
          <cell r="F11">
            <v>12.901149487688841</v>
          </cell>
          <cell r="G11">
            <v>5.3202466429115629E-2</v>
          </cell>
          <cell r="H11">
            <v>11.339378207049966</v>
          </cell>
          <cell r="I11">
            <v>1.02148735543902</v>
          </cell>
        </row>
        <row r="12">
          <cell r="A12" t="str">
            <v>DAMODARAN SANJEEVAIAH TPS2</v>
          </cell>
          <cell r="B12" t="str">
            <v>DAMODARAN SANJEEVAIAH TPS</v>
          </cell>
          <cell r="C12" t="str">
            <v xml:space="preserve"> 5-10 years</v>
          </cell>
          <cell r="D12">
            <v>5.1772758384667998</v>
          </cell>
          <cell r="E12">
            <v>800</v>
          </cell>
          <cell r="F12">
            <v>12.958732022452125</v>
          </cell>
          <cell r="G12">
            <v>0.48038168563366457</v>
          </cell>
          <cell r="H12">
            <v>11.391325656741959</v>
          </cell>
          <cell r="I12">
            <v>9.2233283641663597</v>
          </cell>
        </row>
        <row r="13">
          <cell r="A13" t="str">
            <v>DAMODARAN SANJEEVAIAH TPS1</v>
          </cell>
          <cell r="B13" t="str">
            <v>DAMODARAN SANJEEVAIAH TPS</v>
          </cell>
          <cell r="C13" t="str">
            <v xml:space="preserve"> 5-10 years</v>
          </cell>
          <cell r="D13">
            <v>5.7577002053388</v>
          </cell>
          <cell r="E13">
            <v>800</v>
          </cell>
          <cell r="F13">
            <v>12.958732022452125</v>
          </cell>
          <cell r="G13">
            <v>0.44318361513290311</v>
          </cell>
          <cell r="H13">
            <v>11.421415436344969</v>
          </cell>
          <cell r="I13">
            <v>8.5091254105517393</v>
          </cell>
        </row>
        <row r="14">
          <cell r="A14" t="str">
            <v>TANDA STPS5</v>
          </cell>
          <cell r="B14" t="str">
            <v>TANDA STPS UNIT 5-6</v>
          </cell>
          <cell r="C14" t="str">
            <v xml:space="preserve"> 0-5 years</v>
          </cell>
          <cell r="D14">
            <v>0.60232717316906204</v>
          </cell>
          <cell r="E14">
            <v>660</v>
          </cell>
          <cell r="F14">
            <v>12.9</v>
          </cell>
          <cell r="G14">
            <v>0.54643025039356563</v>
          </cell>
          <cell r="H14">
            <v>11.473355742984257</v>
          </cell>
          <cell r="I14">
            <v>8.6554551662340806</v>
          </cell>
        </row>
        <row r="15">
          <cell r="A15" t="str">
            <v>KHARGONE STPP1</v>
          </cell>
          <cell r="B15" t="str">
            <v>KHARGONE STPP UNIT 1</v>
          </cell>
          <cell r="C15" t="str">
            <v xml:space="preserve"> 0-5 years</v>
          </cell>
          <cell r="D15">
            <v>0.60232717316906204</v>
          </cell>
          <cell r="E15">
            <v>660</v>
          </cell>
          <cell r="F15">
            <v>13.56</v>
          </cell>
          <cell r="G15">
            <v>0.28220059403202707</v>
          </cell>
          <cell r="H15">
            <v>11.473355742984257</v>
          </cell>
          <cell r="I15">
            <v>4.4700574094673096</v>
          </cell>
        </row>
        <row r="16">
          <cell r="A16" t="str">
            <v>IB VALLEY TPS4</v>
          </cell>
          <cell r="B16" t="str">
            <v>IB VALLEY TPS UNIT 3-4</v>
          </cell>
          <cell r="C16" t="str">
            <v xml:space="preserve"> 0-5 years</v>
          </cell>
          <cell r="D16">
            <v>0.67898699520876105</v>
          </cell>
          <cell r="E16">
            <v>660</v>
          </cell>
          <cell r="F16">
            <v>12.59</v>
          </cell>
          <cell r="G16">
            <v>0.50071275951420524</v>
          </cell>
          <cell r="H16">
            <v>11.477329864818618</v>
          </cell>
          <cell r="I16">
            <v>7.9312901107050102</v>
          </cell>
        </row>
        <row r="17">
          <cell r="A17" t="str">
            <v>NABINAGAR STPP1</v>
          </cell>
          <cell r="B17" t="str">
            <v>NABINAGAR STPP</v>
          </cell>
          <cell r="C17" t="str">
            <v xml:space="preserve"> 0-5 years</v>
          </cell>
          <cell r="D17">
            <v>0.81040383299110197</v>
          </cell>
          <cell r="E17">
            <v>660</v>
          </cell>
          <cell r="F17">
            <v>12.510802479953957</v>
          </cell>
          <cell r="G17">
            <v>0.39093724485305364</v>
          </cell>
          <cell r="H17">
            <v>11.484142645106093</v>
          </cell>
          <cell r="I17">
            <v>6.1924459584723701</v>
          </cell>
        </row>
        <row r="18">
          <cell r="A18" t="str">
            <v>IB VALLEY TPS3</v>
          </cell>
          <cell r="B18" t="str">
            <v>IB VALLEY TPS UNIT 3-4</v>
          </cell>
          <cell r="C18" t="str">
            <v xml:space="preserve"> 0-5 years</v>
          </cell>
          <cell r="D18">
            <v>0.84052019164955505</v>
          </cell>
          <cell r="E18">
            <v>660</v>
          </cell>
          <cell r="F18">
            <v>12.59</v>
          </cell>
          <cell r="G18">
            <v>0.46087687334037442</v>
          </cell>
          <cell r="H18">
            <v>11.485703907255306</v>
          </cell>
          <cell r="I18">
            <v>7.3002896737115304</v>
          </cell>
        </row>
        <row r="19">
          <cell r="A19" t="str">
            <v>MUNDRA UMTPP5</v>
          </cell>
          <cell r="B19" t="str">
            <v>MUNDRA UMTPP</v>
          </cell>
          <cell r="C19" t="str">
            <v xml:space="preserve"> 5-10 years</v>
          </cell>
          <cell r="D19">
            <v>7.1759069130732298</v>
          </cell>
          <cell r="E19">
            <v>800</v>
          </cell>
          <cell r="F19">
            <v>8.4742555983829266</v>
          </cell>
          <cell r="G19">
            <v>0.61322942875240105</v>
          </cell>
          <cell r="H19">
            <v>11.49493669028063</v>
          </cell>
          <cell r="I19">
            <v>11.7740050320461</v>
          </cell>
        </row>
        <row r="20">
          <cell r="A20" t="str">
            <v>CHHABRA TPS6</v>
          </cell>
          <cell r="B20" t="str">
            <v>CHHABRA TPS UNIT 6</v>
          </cell>
          <cell r="C20" t="str">
            <v xml:space="preserve"> 0-5 years</v>
          </cell>
          <cell r="D20">
            <v>1.06776180698151</v>
          </cell>
          <cell r="E20">
            <v>660</v>
          </cell>
          <cell r="F20">
            <v>10.614034339293095</v>
          </cell>
          <cell r="G20">
            <v>0.61117356055292105</v>
          </cell>
          <cell r="H20">
            <v>11.497484339835729</v>
          </cell>
          <cell r="I20">
            <v>9.6809891991582706</v>
          </cell>
        </row>
        <row r="21">
          <cell r="A21" t="str">
            <v>SHREE SINGAJI TPP4</v>
          </cell>
          <cell r="B21" t="str">
            <v>SHREE SINGAJI TPP UNIT 3-4</v>
          </cell>
          <cell r="C21" t="str">
            <v xml:space="preserve"> 0-5 years</v>
          </cell>
          <cell r="D21">
            <v>1.06776180698151</v>
          </cell>
          <cell r="E21">
            <v>660</v>
          </cell>
          <cell r="F21">
            <v>12.59</v>
          </cell>
          <cell r="G21">
            <v>0.36873574241419826</v>
          </cell>
          <cell r="H21">
            <v>11.497484339835729</v>
          </cell>
          <cell r="I21">
            <v>5.8407741598409002</v>
          </cell>
        </row>
        <row r="22">
          <cell r="A22" t="str">
            <v>SOLAPUR STPS2</v>
          </cell>
          <cell r="B22" t="str">
            <v>SOLAPUR STPS</v>
          </cell>
          <cell r="C22" t="str">
            <v xml:space="preserve"> 0-5 years</v>
          </cell>
          <cell r="D22">
            <v>1.06776180698151</v>
          </cell>
          <cell r="E22">
            <v>660</v>
          </cell>
          <cell r="F22">
            <v>13.303393037659202</v>
          </cell>
          <cell r="G22">
            <v>3.2607354088292489E-2</v>
          </cell>
          <cell r="H22">
            <v>11.497484339835729</v>
          </cell>
          <cell r="I22">
            <v>0.51650048875855303</v>
          </cell>
        </row>
        <row r="23">
          <cell r="A23" t="str">
            <v>MUNDRA UMTPP4</v>
          </cell>
          <cell r="B23" t="str">
            <v>MUNDRA UMTPP</v>
          </cell>
          <cell r="C23" t="str">
            <v xml:space="preserve"> 5-10 years</v>
          </cell>
          <cell r="D23">
            <v>7.3374401095140298</v>
          </cell>
          <cell r="E23">
            <v>800</v>
          </cell>
          <cell r="F23">
            <v>8.4742555983829266</v>
          </cell>
          <cell r="G23">
            <v>0.77684044657018758</v>
          </cell>
          <cell r="H23">
            <v>11.503310732717317</v>
          </cell>
          <cell r="I23">
            <v>14.915336574147601</v>
          </cell>
        </row>
        <row r="24">
          <cell r="A24" t="str">
            <v>MUNDRA UMTPP3</v>
          </cell>
          <cell r="B24" t="str">
            <v>MUNDRA UMTPP</v>
          </cell>
          <cell r="C24" t="str">
            <v xml:space="preserve"> 5-10 years</v>
          </cell>
          <cell r="D24">
            <v>7.5893223819301801</v>
          </cell>
          <cell r="E24">
            <v>800</v>
          </cell>
          <cell r="F24">
            <v>8.4742555983829266</v>
          </cell>
          <cell r="G24">
            <v>0.86996671322596342</v>
          </cell>
          <cell r="H24">
            <v>11.516368561601643</v>
          </cell>
          <cell r="I24">
            <v>16.703360893938498</v>
          </cell>
        </row>
        <row r="25">
          <cell r="A25" t="str">
            <v>SHREE SINGAJI TPP3</v>
          </cell>
          <cell r="B25" t="str">
            <v>SHREE SINGAJI TPP UNIT 3-4</v>
          </cell>
          <cell r="C25" t="str">
            <v xml:space="preserve"> 0-5 years</v>
          </cell>
          <cell r="D25">
            <v>1.45379876796714</v>
          </cell>
          <cell r="E25">
            <v>660</v>
          </cell>
          <cell r="F25">
            <v>12.59</v>
          </cell>
          <cell r="G25">
            <v>0.48589889523994384</v>
          </cell>
          <cell r="H25">
            <v>11.517496881930185</v>
          </cell>
          <cell r="I25">
            <v>7.6966385006007103</v>
          </cell>
        </row>
        <row r="26">
          <cell r="A26" t="str">
            <v>MUNDRA UMTPP2</v>
          </cell>
          <cell r="B26" t="str">
            <v>MUNDRA UMTPP</v>
          </cell>
          <cell r="C26" t="str">
            <v xml:space="preserve"> 5-10 years</v>
          </cell>
          <cell r="D26">
            <v>7.8412046543463303</v>
          </cell>
          <cell r="E26">
            <v>800</v>
          </cell>
          <cell r="F26">
            <v>8.4742555983829266</v>
          </cell>
          <cell r="G26">
            <v>0.83955823793411988</v>
          </cell>
          <cell r="H26">
            <v>11.52942639048597</v>
          </cell>
          <cell r="I26">
            <v>16.119518168335102</v>
          </cell>
        </row>
        <row r="27">
          <cell r="A27" t="str">
            <v>MUNDRA UMTPP1</v>
          </cell>
          <cell r="B27" t="str">
            <v>MUNDRA UMTPP</v>
          </cell>
          <cell r="C27" t="str">
            <v xml:space="preserve"> 5-10 years</v>
          </cell>
          <cell r="D27">
            <v>8.1752224503764506</v>
          </cell>
          <cell r="E27">
            <v>800</v>
          </cell>
          <cell r="F27">
            <v>8.4742555983829266</v>
          </cell>
          <cell r="G27">
            <v>0.78367747912877606</v>
          </cell>
          <cell r="H27">
            <v>11.546742207049967</v>
          </cell>
          <cell r="I27">
            <v>15.0466075992725</v>
          </cell>
        </row>
        <row r="28">
          <cell r="A28" t="str">
            <v>MEJA STPP1</v>
          </cell>
          <cell r="B28" t="str">
            <v>MEJA STPP</v>
          </cell>
          <cell r="C28" t="str">
            <v xml:space="preserve"> 0-5 years</v>
          </cell>
          <cell r="D28">
            <v>2.0917180013689198</v>
          </cell>
          <cell r="E28">
            <v>660</v>
          </cell>
          <cell r="F28">
            <v>13.379173250035944</v>
          </cell>
          <cell r="G28">
            <v>9.7049031691387622E-2</v>
          </cell>
          <cell r="H28">
            <v>11.550567252908966</v>
          </cell>
          <cell r="I28">
            <v>1.53725666199158</v>
          </cell>
        </row>
        <row r="29">
          <cell r="A29" t="str">
            <v>BELLARY TPS3</v>
          </cell>
          <cell r="B29" t="str">
            <v>BELLARY TPS UNIT 3</v>
          </cell>
          <cell r="C29" t="str">
            <v xml:space="preserve"> 0-5 years</v>
          </cell>
          <cell r="D29">
            <v>4.1752224503764497</v>
          </cell>
          <cell r="E29">
            <v>700</v>
          </cell>
          <cell r="F29">
            <v>12.59</v>
          </cell>
          <cell r="G29">
            <v>0.16989100317855477</v>
          </cell>
          <cell r="H29">
            <v>11.567378207049966</v>
          </cell>
          <cell r="I29">
            <v>2.8541688533997198</v>
          </cell>
        </row>
        <row r="30">
          <cell r="A30" t="str">
            <v>BARA TPP3</v>
          </cell>
          <cell r="B30" t="str">
            <v>BARA TPP</v>
          </cell>
          <cell r="C30" t="str">
            <v xml:space="preserve"> 0-5 years</v>
          </cell>
          <cell r="D30">
            <v>3.0088980150581701</v>
          </cell>
          <cell r="E30">
            <v>660</v>
          </cell>
          <cell r="F30">
            <v>12.965635622092615</v>
          </cell>
          <cell r="G30">
            <v>0.46042392482258521</v>
          </cell>
          <cell r="H30">
            <v>11.598114781998632</v>
          </cell>
          <cell r="I30">
            <v>7.2931149691897499</v>
          </cell>
        </row>
        <row r="31">
          <cell r="A31" t="str">
            <v>RAIKHEDA TPP2</v>
          </cell>
          <cell r="C31" t="str">
            <v xml:space="preserve"> 0-5 years</v>
          </cell>
          <cell r="D31">
            <v>4.1752224503764497</v>
          </cell>
          <cell r="E31">
            <v>685</v>
          </cell>
          <cell r="F31">
            <v>12.276667704014638</v>
          </cell>
          <cell r="G31">
            <v>0.22309672867809185</v>
          </cell>
          <cell r="H31">
            <v>11.601578207049966</v>
          </cell>
          <cell r="I31">
            <v>3.6677102194678302</v>
          </cell>
        </row>
        <row r="32">
          <cell r="A32" t="str">
            <v>CHHABRA TPS5</v>
          </cell>
          <cell r="B32" t="str">
            <v>CHHABRA TPS UNIT 5</v>
          </cell>
          <cell r="C32" t="str">
            <v xml:space="preserve"> 0-5 years</v>
          </cell>
          <cell r="D32">
            <v>3.0910335386721401</v>
          </cell>
          <cell r="E32">
            <v>660</v>
          </cell>
          <cell r="F32">
            <v>10.614034339293095</v>
          </cell>
          <cell r="G32">
            <v>0.44531428898248482</v>
          </cell>
          <cell r="H32">
            <v>11.602372769678304</v>
          </cell>
          <cell r="I32">
            <v>7.0537783374825596</v>
          </cell>
        </row>
        <row r="33">
          <cell r="A33" t="str">
            <v>SOLAPUR STPS1</v>
          </cell>
          <cell r="B33" t="str">
            <v>SOLAPUR STPS</v>
          </cell>
          <cell r="C33" t="str">
            <v xml:space="preserve"> 0-5 years</v>
          </cell>
          <cell r="D33">
            <v>3.0910335386721401</v>
          </cell>
          <cell r="E33">
            <v>660</v>
          </cell>
          <cell r="F33">
            <v>13.303393037659202</v>
          </cell>
          <cell r="G33">
            <v>0.24382802341216731</v>
          </cell>
          <cell r="H33">
            <v>11.602372769678304</v>
          </cell>
          <cell r="I33">
            <v>3.86223589084873</v>
          </cell>
        </row>
        <row r="34">
          <cell r="A34" t="str">
            <v>SEMBCORP GAYATRI P. LTD2</v>
          </cell>
          <cell r="C34" t="str">
            <v xml:space="preserve"> 0-5 years</v>
          </cell>
          <cell r="D34">
            <v>3.1649555099247002</v>
          </cell>
          <cell r="E34">
            <v>660</v>
          </cell>
          <cell r="F34">
            <v>10.387778043849782</v>
          </cell>
          <cell r="G34">
            <v>0.79947265746568186</v>
          </cell>
          <cell r="H34">
            <v>11.606204958590007</v>
          </cell>
          <cell r="I34">
            <v>12.6636468942564</v>
          </cell>
        </row>
        <row r="35">
          <cell r="A35" t="str">
            <v>MAUDA TPS4</v>
          </cell>
          <cell r="B35" t="str">
            <v>MAUDA TPS UNIT 3-4</v>
          </cell>
          <cell r="C35" t="str">
            <v xml:space="preserve"> 0-5 years</v>
          </cell>
          <cell r="D35">
            <v>3.1759069130732298</v>
          </cell>
          <cell r="E35">
            <v>660</v>
          </cell>
          <cell r="F35">
            <v>13.804955606107397</v>
          </cell>
          <cell r="G35">
            <v>0.48262447743364018</v>
          </cell>
          <cell r="H35">
            <v>11.60677269028063</v>
          </cell>
          <cell r="I35">
            <v>7.6447717225488603</v>
          </cell>
        </row>
        <row r="36">
          <cell r="A36" t="str">
            <v>KORADI TPS10</v>
          </cell>
          <cell r="B36" t="str">
            <v>KORADI TPS UNIT 8-10</v>
          </cell>
          <cell r="C36" t="str">
            <v xml:space="preserve"> 0-5 years</v>
          </cell>
          <cell r="D36">
            <v>3.4223134839151199</v>
          </cell>
          <cell r="E36">
            <v>660</v>
          </cell>
          <cell r="F36">
            <v>12.59</v>
          </cell>
          <cell r="G36">
            <v>0.515785480183654</v>
          </cell>
          <cell r="H36">
            <v>11.619546653319645</v>
          </cell>
          <cell r="I36">
            <v>8.1700420061090799</v>
          </cell>
        </row>
        <row r="37">
          <cell r="A37" t="str">
            <v>BARA TPP1</v>
          </cell>
          <cell r="B37" t="str">
            <v>BARA TPP</v>
          </cell>
          <cell r="C37" t="str">
            <v xml:space="preserve"> 0-5 years</v>
          </cell>
          <cell r="D37">
            <v>3.4223134839151199</v>
          </cell>
          <cell r="E37">
            <v>660</v>
          </cell>
          <cell r="F37">
            <v>12.965635622092615</v>
          </cell>
          <cell r="G37">
            <v>0.56229419816131876</v>
          </cell>
          <cell r="H37">
            <v>11.619546653319645</v>
          </cell>
          <cell r="I37">
            <v>8.9067400988752894</v>
          </cell>
        </row>
        <row r="38">
          <cell r="A38" t="str">
            <v>SEMBCORP GAYATRI P. LTD1</v>
          </cell>
          <cell r="C38" t="str">
            <v xml:space="preserve"> 0-5 years</v>
          </cell>
          <cell r="D38">
            <v>3.5044490075290802</v>
          </cell>
          <cell r="E38">
            <v>660</v>
          </cell>
          <cell r="F38">
            <v>10.387778043849782</v>
          </cell>
          <cell r="G38">
            <v>0.79529136432477909</v>
          </cell>
          <cell r="H38">
            <v>11.623804640999316</v>
          </cell>
          <cell r="I38">
            <v>12.597415210904501</v>
          </cell>
        </row>
        <row r="39">
          <cell r="A39" t="str">
            <v>RAJPURA TPS2</v>
          </cell>
          <cell r="B39" t="str">
            <v>RAJPURA TPS</v>
          </cell>
          <cell r="C39" t="str">
            <v xml:space="preserve"> 5-10 years</v>
          </cell>
          <cell r="D39">
            <v>5.8425735797399003</v>
          </cell>
          <cell r="E39">
            <v>700</v>
          </cell>
          <cell r="F39">
            <v>10.416007832573142</v>
          </cell>
          <cell r="G39">
            <v>0.74724709880303575</v>
          </cell>
          <cell r="H39">
            <v>11.653815356947296</v>
          </cell>
          <cell r="I39">
            <v>12.553751259890999</v>
          </cell>
        </row>
        <row r="40">
          <cell r="A40" t="str">
            <v>LALITPUR TPS3</v>
          </cell>
          <cell r="B40" t="str">
            <v>LALITPUR TPS</v>
          </cell>
          <cell r="C40" t="str">
            <v xml:space="preserve"> 0-5 years</v>
          </cell>
          <cell r="D40">
            <v>4.0903490759753502</v>
          </cell>
          <cell r="E40">
            <v>660</v>
          </cell>
          <cell r="F40">
            <v>12.206709363127651</v>
          </cell>
          <cell r="G40">
            <v>0.44282023605762943</v>
          </cell>
          <cell r="H40">
            <v>11.654178286447639</v>
          </cell>
          <cell r="I40">
            <v>7.0142725391528504</v>
          </cell>
        </row>
        <row r="41">
          <cell r="A41" t="str">
            <v>RAIKHEDA TPP1</v>
          </cell>
          <cell r="C41" t="str">
            <v xml:space="preserve"> 5-10 years</v>
          </cell>
          <cell r="D41">
            <v>5.2539356605065004</v>
          </cell>
          <cell r="E41">
            <v>685</v>
          </cell>
          <cell r="F41">
            <v>12.276667704014638</v>
          </cell>
          <cell r="G41">
            <v>0.40413457402160524</v>
          </cell>
          <cell r="H41">
            <v>11.657499778576318</v>
          </cell>
          <cell r="I41">
            <v>6.6439723969151903</v>
          </cell>
        </row>
        <row r="42">
          <cell r="A42" t="str">
            <v>LALITPUR TPS1</v>
          </cell>
          <cell r="B42" t="str">
            <v>LALITPUR TPS</v>
          </cell>
          <cell r="C42" t="str">
            <v xml:space="preserve"> 0-5 years</v>
          </cell>
          <cell r="D42">
            <v>4.1752224503764497</v>
          </cell>
          <cell r="E42">
            <v>660</v>
          </cell>
          <cell r="F42">
            <v>12.206709363127651</v>
          </cell>
          <cell r="G42">
            <v>0.38652147713071844</v>
          </cell>
          <cell r="H42">
            <v>11.658578207049967</v>
          </cell>
          <cell r="I42">
            <v>6.12250019775058</v>
          </cell>
        </row>
        <row r="43">
          <cell r="A43" t="str">
            <v>KORADI TPS9</v>
          </cell>
          <cell r="B43" t="str">
            <v>KORADI TPS UNIT 8-10</v>
          </cell>
          <cell r="C43" t="str">
            <v xml:space="preserve"> 0-5 years</v>
          </cell>
          <cell r="D43">
            <v>4.1752224503764497</v>
          </cell>
          <cell r="E43">
            <v>660</v>
          </cell>
          <cell r="F43">
            <v>12.59</v>
          </cell>
          <cell r="G43">
            <v>0.46310997129869952</v>
          </cell>
          <cell r="H43">
            <v>11.658578207049967</v>
          </cell>
          <cell r="I43">
            <v>7.3356619453713998</v>
          </cell>
        </row>
        <row r="44">
          <cell r="A44" t="str">
            <v>TALWANDI SABO TPS3</v>
          </cell>
          <cell r="B44" t="str">
            <v>TALWANDI SABO TPS</v>
          </cell>
          <cell r="C44" t="str">
            <v xml:space="preserve"> 0-5 years</v>
          </cell>
          <cell r="D44">
            <v>4.1752224503764497</v>
          </cell>
          <cell r="E44">
            <v>660</v>
          </cell>
          <cell r="F44">
            <v>12.735889123114235</v>
          </cell>
          <cell r="G44">
            <v>0.56745135864801211</v>
          </cell>
          <cell r="H44">
            <v>11.658578207049967</v>
          </cell>
          <cell r="I44">
            <v>8.9884295209845106</v>
          </cell>
        </row>
        <row r="45">
          <cell r="A45" t="str">
            <v>MAUDA TPS3</v>
          </cell>
          <cell r="B45" t="str">
            <v>MAUDA TPS UNIT 3-4</v>
          </cell>
          <cell r="C45" t="str">
            <v xml:space="preserve"> 0-5 years</v>
          </cell>
          <cell r="D45">
            <v>4.1752224503764497</v>
          </cell>
          <cell r="E45">
            <v>660</v>
          </cell>
          <cell r="F45">
            <v>13.804955606107397</v>
          </cell>
          <cell r="G45">
            <v>0.50307853767426891</v>
          </cell>
          <cell r="H45">
            <v>11.658578207049967</v>
          </cell>
          <cell r="I45">
            <v>7.9687640367604198</v>
          </cell>
        </row>
        <row r="46">
          <cell r="A46" t="str">
            <v>MAHAN TPP2</v>
          </cell>
          <cell r="C46" t="str">
            <v xml:space="preserve"> 0-5 years</v>
          </cell>
          <cell r="D46">
            <v>1.67008898015058</v>
          </cell>
          <cell r="E46">
            <v>600</v>
          </cell>
          <cell r="F46">
            <v>13.439081966381382</v>
          </cell>
          <cell r="G46">
            <v>0.32809663398376948</v>
          </cell>
          <cell r="H46">
            <v>11.665509582819986</v>
          </cell>
          <cell r="I46">
            <v>4.7245915293662799</v>
          </cell>
        </row>
        <row r="47">
          <cell r="A47" t="str">
            <v>LALITPUR TPS2</v>
          </cell>
          <cell r="B47" t="str">
            <v>LALITPUR TPS</v>
          </cell>
          <cell r="C47" t="str">
            <v xml:space="preserve"> 0-5 years</v>
          </cell>
          <cell r="D47">
            <v>4.33949349760438</v>
          </cell>
          <cell r="E47">
            <v>660</v>
          </cell>
          <cell r="F47">
            <v>12.206709363127651</v>
          </cell>
          <cell r="G47">
            <v>0.34961324887856121</v>
          </cell>
          <cell r="H47">
            <v>11.66709418240931</v>
          </cell>
          <cell r="I47">
            <v>5.5378738622364096</v>
          </cell>
        </row>
        <row r="48">
          <cell r="A48" t="str">
            <v>RAJPURA TPS1</v>
          </cell>
          <cell r="B48" t="str">
            <v>RAJPURA TPS</v>
          </cell>
          <cell r="C48" t="str">
            <v xml:space="preserve"> 5-10 years</v>
          </cell>
          <cell r="D48">
            <v>6.3381245722108099</v>
          </cell>
          <cell r="E48">
            <v>700</v>
          </cell>
          <cell r="F48">
            <v>10.416007832573142</v>
          </cell>
          <cell r="G48">
            <v>0.74981384358257142</v>
          </cell>
          <cell r="H48">
            <v>11.67950521594798</v>
          </cell>
          <cell r="I48">
            <v>12.5968725721872</v>
          </cell>
        </row>
        <row r="49">
          <cell r="A49" t="str">
            <v>TALWANDI SABO TPS2</v>
          </cell>
          <cell r="B49" t="str">
            <v>TALWANDI SABO TPS</v>
          </cell>
          <cell r="C49" t="str">
            <v xml:space="preserve"> 0-5 years</v>
          </cell>
          <cell r="D49">
            <v>4.5913757700205302</v>
          </cell>
          <cell r="E49">
            <v>660</v>
          </cell>
          <cell r="F49">
            <v>12.735889123114235</v>
          </cell>
          <cell r="G49">
            <v>0.57509519947531251</v>
          </cell>
          <cell r="H49">
            <v>11.680152011293636</v>
          </cell>
          <cell r="I49">
            <v>9.1095079596889494</v>
          </cell>
        </row>
        <row r="50">
          <cell r="A50" t="str">
            <v>PAINAMPURAM TPP2</v>
          </cell>
          <cell r="B50" t="str">
            <v>PAINAMPURAM TPP</v>
          </cell>
          <cell r="C50" t="str">
            <v xml:space="preserve"> 0-5 years</v>
          </cell>
          <cell r="D50">
            <v>4.6735112936344896</v>
          </cell>
          <cell r="E50">
            <v>660</v>
          </cell>
          <cell r="F50">
            <v>11.678691557498567</v>
          </cell>
          <cell r="G50">
            <v>0.85934108065519565</v>
          </cell>
          <cell r="H50">
            <v>11.684409998973306</v>
          </cell>
          <cell r="I50">
            <v>13.611962717578299</v>
          </cell>
        </row>
        <row r="51">
          <cell r="A51" t="str">
            <v>BARA TPP2</v>
          </cell>
          <cell r="B51" t="str">
            <v>BARA TPP</v>
          </cell>
          <cell r="C51" t="str">
            <v xml:space="preserve"> 0-5 years</v>
          </cell>
          <cell r="D51">
            <v>4.6735112936344896</v>
          </cell>
          <cell r="E51">
            <v>660</v>
          </cell>
          <cell r="F51">
            <v>12.965635622092615</v>
          </cell>
          <cell r="G51">
            <v>0.33807644665697034</v>
          </cell>
          <cell r="H51">
            <v>11.684409998973306</v>
          </cell>
          <cell r="I51">
            <v>5.3551309150464101</v>
          </cell>
        </row>
        <row r="52">
          <cell r="A52" t="str">
            <v>RAYALSEEMA TPS6</v>
          </cell>
          <cell r="B52" t="str">
            <v>RAYALSEEMA TPS UNIT 6</v>
          </cell>
          <cell r="C52" t="str">
            <v xml:space="preserve"> 0-5 years</v>
          </cell>
          <cell r="D52">
            <v>2.1163586584531102</v>
          </cell>
          <cell r="E52">
            <v>600</v>
          </cell>
          <cell r="F52">
            <v>12.59</v>
          </cell>
          <cell r="G52">
            <v>0.33249199757213538</v>
          </cell>
          <cell r="H52">
            <v>11.688644649212868</v>
          </cell>
          <cell r="I52">
            <v>4.7878847650387497</v>
          </cell>
        </row>
        <row r="53">
          <cell r="A53" t="str">
            <v>AKALTARA TPS2</v>
          </cell>
          <cell r="B53" t="str">
            <v>AKALTARA TPS</v>
          </cell>
          <cell r="C53" t="str">
            <v xml:space="preserve"> 0-5 years</v>
          </cell>
          <cell r="D53">
            <v>2.3381245722108099</v>
          </cell>
          <cell r="E53">
            <v>600</v>
          </cell>
          <cell r="F53">
            <v>12.887075528159945</v>
          </cell>
          <cell r="G53">
            <v>0.6352213702943118</v>
          </cell>
          <cell r="H53">
            <v>11.700141215947982</v>
          </cell>
          <cell r="I53">
            <v>9.1471877322380895</v>
          </cell>
        </row>
        <row r="54">
          <cell r="A54" t="str">
            <v>SASAN UMPTPP6</v>
          </cell>
          <cell r="B54" t="str">
            <v>SASAN UMPTPP</v>
          </cell>
          <cell r="C54" t="str">
            <v xml:space="preserve"> 5-10 years</v>
          </cell>
          <cell r="D54">
            <v>5.1772758384667998</v>
          </cell>
          <cell r="E54">
            <v>660</v>
          </cell>
          <cell r="F54">
            <v>11.336818018667429</v>
          </cell>
          <cell r="G54">
            <v>0.9670131090699432</v>
          </cell>
          <cell r="H54">
            <v>11.710525656741957</v>
          </cell>
          <cell r="I54">
            <v>15.3174876476679</v>
          </cell>
        </row>
        <row r="55">
          <cell r="A55" t="str">
            <v>BARH II5</v>
          </cell>
          <cell r="B55" t="str">
            <v>BARH II</v>
          </cell>
          <cell r="C55" t="str">
            <v xml:space="preserve"> 5-10 years</v>
          </cell>
          <cell r="D55">
            <v>5.1772758384667998</v>
          </cell>
          <cell r="E55">
            <v>660</v>
          </cell>
          <cell r="F55">
            <v>12.629514687645356</v>
          </cell>
          <cell r="G55">
            <v>0.79384212539310606</v>
          </cell>
          <cell r="H55">
            <v>11.710525656741957</v>
          </cell>
          <cell r="I55">
            <v>12.5744592662268</v>
          </cell>
        </row>
        <row r="56">
          <cell r="A56" t="str">
            <v>KORADI TPS8</v>
          </cell>
          <cell r="B56" t="str">
            <v>KORADI TPS UNIT 8-10</v>
          </cell>
          <cell r="C56" t="str">
            <v xml:space="preserve"> 5-10 years</v>
          </cell>
          <cell r="D56">
            <v>5.1772758384667998</v>
          </cell>
          <cell r="E56">
            <v>660</v>
          </cell>
          <cell r="F56">
            <v>13.26</v>
          </cell>
          <cell r="G56">
            <v>0.46886104458283651</v>
          </cell>
          <cell r="H56">
            <v>11.710525656741957</v>
          </cell>
          <cell r="I56">
            <v>7.4267589461921304</v>
          </cell>
        </row>
        <row r="57">
          <cell r="A57" t="str">
            <v>PAINAMPURAM TPP1</v>
          </cell>
          <cell r="B57" t="str">
            <v>PAINAMPURAM TPP</v>
          </cell>
          <cell r="C57" t="str">
            <v xml:space="preserve"> 5-10 years</v>
          </cell>
          <cell r="D57">
            <v>5.2539356605065004</v>
          </cell>
          <cell r="E57">
            <v>660</v>
          </cell>
          <cell r="F57">
            <v>11.678691557498567</v>
          </cell>
          <cell r="G57">
            <v>0.71045289710269566</v>
          </cell>
          <cell r="H57">
            <v>11.714499778576318</v>
          </cell>
          <cell r="I57">
            <v>11.253573890106701</v>
          </cell>
        </row>
        <row r="58">
          <cell r="A58" t="str">
            <v>NIGRI TPP2</v>
          </cell>
          <cell r="B58" t="str">
            <v>NIGRI TPP</v>
          </cell>
          <cell r="C58" t="str">
            <v xml:space="preserve"> 5-10 years</v>
          </cell>
          <cell r="D58">
            <v>5.2539356605065004</v>
          </cell>
          <cell r="E58">
            <v>660</v>
          </cell>
          <cell r="F58">
            <v>11.712575254723165</v>
          </cell>
          <cell r="G58">
            <v>0.59550640603065652</v>
          </cell>
          <cell r="H58">
            <v>11.714499778576318</v>
          </cell>
          <cell r="I58">
            <v>9.4328214715255996</v>
          </cell>
        </row>
        <row r="59">
          <cell r="A59" t="str">
            <v>TIRORA TPS5</v>
          </cell>
          <cell r="B59" t="str">
            <v>TIRORA TPS UNIT 1,4-5</v>
          </cell>
          <cell r="C59" t="str">
            <v xml:space="preserve"> 5-10 years</v>
          </cell>
          <cell r="D59">
            <v>5.6728268309377103</v>
          </cell>
          <cell r="E59">
            <v>660</v>
          </cell>
          <cell r="F59">
            <v>12.875775175331281</v>
          </cell>
          <cell r="G59">
            <v>0.72994774872522095</v>
          </cell>
          <cell r="H59">
            <v>11.736215515742643</v>
          </cell>
          <cell r="I59">
            <v>11.562372339807499</v>
          </cell>
        </row>
        <row r="60">
          <cell r="A60" t="str">
            <v>SASAN UMPTPP5</v>
          </cell>
          <cell r="B60" t="str">
            <v>SASAN UMPTPP</v>
          </cell>
          <cell r="C60" t="str">
            <v xml:space="preserve"> 5-10 years</v>
          </cell>
          <cell r="D60">
            <v>5.7577002053388</v>
          </cell>
          <cell r="E60">
            <v>660</v>
          </cell>
          <cell r="F60">
            <v>11.336818018667429</v>
          </cell>
          <cell r="G60">
            <v>0.98467871371886351</v>
          </cell>
          <cell r="H60">
            <v>11.740615436344969</v>
          </cell>
          <cell r="I60">
            <v>15.597310825306799</v>
          </cell>
        </row>
        <row r="61">
          <cell r="A61" t="str">
            <v>NIGRI TPP1</v>
          </cell>
          <cell r="B61" t="str">
            <v>NIGRI TPP</v>
          </cell>
          <cell r="C61" t="str">
            <v xml:space="preserve"> 5-10 years</v>
          </cell>
          <cell r="D61">
            <v>5.7577002053388</v>
          </cell>
          <cell r="E61">
            <v>660</v>
          </cell>
          <cell r="F61">
            <v>11.712575254723165</v>
          </cell>
          <cell r="G61">
            <v>0.5934841518332582</v>
          </cell>
          <cell r="H61">
            <v>11.740615436344969</v>
          </cell>
          <cell r="I61">
            <v>9.4007889650388101</v>
          </cell>
        </row>
        <row r="62">
          <cell r="A62" t="str">
            <v>TALWANDI SABO TPS1</v>
          </cell>
          <cell r="B62" t="str">
            <v>TALWANDI SABO TPS</v>
          </cell>
          <cell r="C62" t="str">
            <v xml:space="preserve"> 5-10 years</v>
          </cell>
          <cell r="D62">
            <v>5.9247091033538597</v>
          </cell>
          <cell r="E62">
            <v>660</v>
          </cell>
          <cell r="F62">
            <v>12.735889123114235</v>
          </cell>
          <cell r="G62">
            <v>0.60293298463689338</v>
          </cell>
          <cell r="H62">
            <v>11.749273344626967</v>
          </cell>
          <cell r="I62">
            <v>9.5504584766483909</v>
          </cell>
        </row>
        <row r="63">
          <cell r="A63" t="str">
            <v>SASAN UMPTPP3</v>
          </cell>
          <cell r="B63" t="str">
            <v>SASAN UMPTPP</v>
          </cell>
          <cell r="C63" t="str">
            <v xml:space="preserve"> 5-10 years</v>
          </cell>
          <cell r="D63">
            <v>6.00958247775496</v>
          </cell>
          <cell r="E63">
            <v>660</v>
          </cell>
          <cell r="F63">
            <v>11.336818018667429</v>
          </cell>
          <cell r="G63">
            <v>0.93200441626645836</v>
          </cell>
          <cell r="H63">
            <v>11.753673265229295</v>
          </cell>
          <cell r="I63">
            <v>14.7629499536607</v>
          </cell>
        </row>
        <row r="64">
          <cell r="A64" t="str">
            <v>SINGARENI TPP2</v>
          </cell>
          <cell r="B64" t="str">
            <v>SINGARENI TPP</v>
          </cell>
          <cell r="C64" t="str">
            <v xml:space="preserve"> 0-5 years</v>
          </cell>
          <cell r="D64">
            <v>3.4250513347022502</v>
          </cell>
          <cell r="E64">
            <v>600</v>
          </cell>
          <cell r="F64">
            <v>12.66116534480653</v>
          </cell>
          <cell r="G64">
            <v>0.86487598820117362</v>
          </cell>
          <cell r="H64">
            <v>11.7564885862423</v>
          </cell>
          <cell r="I64">
            <v>12.4542142300969</v>
          </cell>
        </row>
        <row r="65">
          <cell r="A65" t="str">
            <v>SASAN UMPTPP4</v>
          </cell>
          <cell r="B65" t="str">
            <v>SASAN UMPTPP</v>
          </cell>
          <cell r="C65" t="str">
            <v xml:space="preserve"> 5-10 years</v>
          </cell>
          <cell r="D65">
            <v>6.1765913757700197</v>
          </cell>
          <cell r="E65">
            <v>660</v>
          </cell>
          <cell r="F65">
            <v>11.336818018667429</v>
          </cell>
          <cell r="G65">
            <v>0.91517946693685603</v>
          </cell>
          <cell r="H65">
            <v>11.762331173511294</v>
          </cell>
          <cell r="I65">
            <v>14.4964427562798</v>
          </cell>
        </row>
        <row r="66">
          <cell r="A66" t="str">
            <v>TIRORA TPS4</v>
          </cell>
          <cell r="B66" t="str">
            <v>TIRORA TPS UNIT 1,4-5</v>
          </cell>
          <cell r="C66" t="str">
            <v xml:space="preserve"> 5-10 years</v>
          </cell>
          <cell r="D66">
            <v>6.1765913757700197</v>
          </cell>
          <cell r="E66">
            <v>660</v>
          </cell>
          <cell r="F66">
            <v>12.875775175331281</v>
          </cell>
          <cell r="G66">
            <v>0.69919482158685609</v>
          </cell>
          <cell r="H66">
            <v>11.762331173511294</v>
          </cell>
          <cell r="I66">
            <v>11.0752459739358</v>
          </cell>
        </row>
        <row r="67">
          <cell r="A67" t="str">
            <v>SASAN UMPTPP2</v>
          </cell>
          <cell r="B67" t="str">
            <v>SASAN UMPTPP</v>
          </cell>
          <cell r="C67" t="str">
            <v xml:space="preserve"> 5-10 years</v>
          </cell>
          <cell r="D67">
            <v>6.4229979466118996</v>
          </cell>
          <cell r="E67">
            <v>660</v>
          </cell>
          <cell r="F67">
            <v>11.336818018667429</v>
          </cell>
          <cell r="G67">
            <v>0.96046733690089647</v>
          </cell>
          <cell r="H67">
            <v>11.775105136550309</v>
          </cell>
          <cell r="I67">
            <v>15.2138026165102</v>
          </cell>
        </row>
        <row r="68">
          <cell r="A68" t="str">
            <v>KAWAI TPS2</v>
          </cell>
          <cell r="B68" t="str">
            <v>KAWAI TPS</v>
          </cell>
          <cell r="C68" t="str">
            <v xml:space="preserve"> 5-10 years</v>
          </cell>
          <cell r="D68">
            <v>6.4229979466118996</v>
          </cell>
          <cell r="E68">
            <v>660</v>
          </cell>
          <cell r="F68">
            <v>11.445818683143269</v>
          </cell>
          <cell r="G68">
            <v>0.59920829522903041</v>
          </cell>
          <cell r="H68">
            <v>11.775105136550309</v>
          </cell>
          <cell r="I68">
            <v>9.4914593964278406</v>
          </cell>
        </row>
        <row r="69">
          <cell r="A69" t="str">
            <v>BARH II4</v>
          </cell>
          <cell r="B69" t="str">
            <v>BARH II</v>
          </cell>
          <cell r="C69" t="str">
            <v xml:space="preserve"> 5-10 years</v>
          </cell>
          <cell r="D69">
            <v>6.5051334702258696</v>
          </cell>
          <cell r="E69">
            <v>660</v>
          </cell>
          <cell r="F69">
            <v>12.629514687645356</v>
          </cell>
          <cell r="G69">
            <v>0.76879185454102905</v>
          </cell>
          <cell r="H69">
            <v>11.779363124229981</v>
          </cell>
          <cell r="I69">
            <v>12.1776629759299</v>
          </cell>
        </row>
        <row r="70">
          <cell r="A70" t="str">
            <v>ITPCL TPP2</v>
          </cell>
          <cell r="B70" t="str">
            <v>ITPCL TPP UNIT 2</v>
          </cell>
          <cell r="C70" t="str">
            <v xml:space="preserve"> 0-5 years</v>
          </cell>
          <cell r="D70">
            <v>4.0903490759753502</v>
          </cell>
          <cell r="E70">
            <v>600</v>
          </cell>
          <cell r="F70">
            <v>10.925749041185108</v>
          </cell>
          <cell r="G70">
            <v>0.61723545739877494</v>
          </cell>
          <cell r="H70">
            <v>11.79097828644764</v>
          </cell>
          <cell r="I70">
            <v>8.8881905865423594</v>
          </cell>
        </row>
        <row r="71">
          <cell r="A71" t="str">
            <v>SINGARENI TPP1</v>
          </cell>
          <cell r="B71" t="str">
            <v>SINGARENI TPP</v>
          </cell>
          <cell r="C71" t="str">
            <v xml:space="preserve"> 0-5 years</v>
          </cell>
          <cell r="D71">
            <v>4.1752224503764497</v>
          </cell>
          <cell r="E71">
            <v>600</v>
          </cell>
          <cell r="F71">
            <v>12.66116534480653</v>
          </cell>
          <cell r="G71">
            <v>0.87153641931167358</v>
          </cell>
          <cell r="H71">
            <v>11.795378207049966</v>
          </cell>
          <cell r="I71">
            <v>12.550124438088099</v>
          </cell>
        </row>
        <row r="72">
          <cell r="A72" t="str">
            <v>ANPARA TPS7</v>
          </cell>
          <cell r="B72" t="str">
            <v>ANPARA - D</v>
          </cell>
          <cell r="C72" t="str">
            <v xml:space="preserve"> 0-5 years</v>
          </cell>
          <cell r="D72">
            <v>4.1752224503764497</v>
          </cell>
          <cell r="E72">
            <v>600</v>
          </cell>
          <cell r="F72">
            <v>13.153682597016777</v>
          </cell>
          <cell r="G72">
            <v>0.50475270687055762</v>
          </cell>
          <cell r="H72">
            <v>11.795378207049966</v>
          </cell>
          <cell r="I72">
            <v>7.2684389789360297</v>
          </cell>
        </row>
        <row r="73">
          <cell r="A73" t="str">
            <v>ANUPPUR TPP2</v>
          </cell>
          <cell r="B73" t="str">
            <v>ANUPPUR TPP</v>
          </cell>
          <cell r="C73" t="str">
            <v xml:space="preserve"> 0-5 years</v>
          </cell>
          <cell r="D73">
            <v>4.1752224503764497</v>
          </cell>
          <cell r="E73">
            <v>600</v>
          </cell>
          <cell r="F73">
            <v>13.774742695675402</v>
          </cell>
          <cell r="G73">
            <v>0.63842380622551398</v>
          </cell>
          <cell r="H73">
            <v>11.795378207049966</v>
          </cell>
          <cell r="I73">
            <v>9.1933028096474008</v>
          </cell>
        </row>
        <row r="74">
          <cell r="A74" t="str">
            <v>SEIONI TPP1</v>
          </cell>
          <cell r="B74" t="str">
            <v>SEIONI TPP</v>
          </cell>
          <cell r="C74" t="str">
            <v xml:space="preserve"> 0-5 years</v>
          </cell>
          <cell r="D74">
            <v>4.1752224503764497</v>
          </cell>
          <cell r="E74">
            <v>600</v>
          </cell>
          <cell r="F74">
            <v>14.915095828740231</v>
          </cell>
          <cell r="G74">
            <v>0.48200416850586458</v>
          </cell>
          <cell r="H74">
            <v>11.795378207049966</v>
          </cell>
          <cell r="I74">
            <v>6.94086002648445</v>
          </cell>
        </row>
        <row r="75">
          <cell r="A75" t="str">
            <v>TIRORA TPS3</v>
          </cell>
          <cell r="B75" t="str">
            <v>TIRORA TPS UNIT 2-3</v>
          </cell>
          <cell r="C75" t="str">
            <v xml:space="preserve"> 5-10 years</v>
          </cell>
          <cell r="D75">
            <v>6.9240246406570796</v>
          </cell>
          <cell r="E75">
            <v>660</v>
          </cell>
          <cell r="F75">
            <v>12.875775175331281</v>
          </cell>
          <cell r="G75">
            <v>0.76427411936739265</v>
          </cell>
          <cell r="H75">
            <v>11.801078861396304</v>
          </cell>
          <cell r="I75">
            <v>12.1061020507795</v>
          </cell>
        </row>
        <row r="76">
          <cell r="A76" t="str">
            <v>RAGHUNATHPUR TPP2</v>
          </cell>
          <cell r="B76" t="str">
            <v>RAGHUNATHPUR TPP</v>
          </cell>
          <cell r="C76" t="str">
            <v xml:space="preserve"> 0-5 years</v>
          </cell>
          <cell r="D76">
            <v>4.33949349760438</v>
          </cell>
          <cell r="E76">
            <v>600</v>
          </cell>
          <cell r="F76">
            <v>12.25454374701296</v>
          </cell>
          <cell r="G76">
            <v>0.39377240975873329</v>
          </cell>
          <cell r="H76">
            <v>11.803894182409309</v>
          </cell>
          <cell r="I76">
            <v>5.6703227005257597</v>
          </cell>
        </row>
        <row r="77">
          <cell r="A77" t="str">
            <v>MUTHIARA TPP2</v>
          </cell>
          <cell r="B77" t="str">
            <v>MUTHIARA TPP</v>
          </cell>
          <cell r="C77" t="str">
            <v xml:space="preserve"> 0-5 years</v>
          </cell>
          <cell r="D77">
            <v>4.33949349760438</v>
          </cell>
          <cell r="E77">
            <v>600</v>
          </cell>
          <cell r="F77">
            <v>12.793802817499486</v>
          </cell>
          <cell r="G77">
            <v>0.33858053515350761</v>
          </cell>
          <cell r="H77">
            <v>11.803894182409309</v>
          </cell>
          <cell r="I77">
            <v>4.8755597062105096</v>
          </cell>
        </row>
        <row r="78">
          <cell r="A78" t="str">
            <v>SASAN UMPTPP1</v>
          </cell>
          <cell r="B78" t="str">
            <v>SASAN UMPTPP</v>
          </cell>
          <cell r="C78" t="str">
            <v xml:space="preserve"> 5-10 years</v>
          </cell>
          <cell r="D78">
            <v>7.0088980150581701</v>
          </cell>
          <cell r="E78">
            <v>660</v>
          </cell>
          <cell r="F78">
            <v>11.336818018667429</v>
          </cell>
          <cell r="G78">
            <v>0.95705514270795466</v>
          </cell>
          <cell r="H78">
            <v>11.80547878199863</v>
          </cell>
          <cell r="I78">
            <v>15.159753460494001</v>
          </cell>
        </row>
        <row r="79">
          <cell r="A79" t="str">
            <v>KAWAI TPS1</v>
          </cell>
          <cell r="B79" t="str">
            <v>KAWAI TPS</v>
          </cell>
          <cell r="C79" t="str">
            <v xml:space="preserve"> 5-10 years</v>
          </cell>
          <cell r="D79">
            <v>7.0088980150581701</v>
          </cell>
          <cell r="E79">
            <v>660</v>
          </cell>
          <cell r="F79">
            <v>11.445818683143269</v>
          </cell>
          <cell r="G79">
            <v>0.59578506624145267</v>
          </cell>
          <cell r="H79">
            <v>11.80547878199863</v>
          </cell>
          <cell r="I79">
            <v>9.4372354492646107</v>
          </cell>
        </row>
        <row r="80">
          <cell r="A80" t="str">
            <v>KAKATIYA TPS2</v>
          </cell>
          <cell r="B80" t="str">
            <v>KAKATIYA TPS UNIT 2</v>
          </cell>
          <cell r="C80" t="str">
            <v xml:space="preserve"> 0-5 years</v>
          </cell>
          <cell r="D80">
            <v>4.4243668720054696</v>
          </cell>
          <cell r="E80">
            <v>600</v>
          </cell>
          <cell r="F80">
            <v>11.452512398321444</v>
          </cell>
          <cell r="G80">
            <v>0.77809538392584709</v>
          </cell>
          <cell r="H80">
            <v>11.808294103011637</v>
          </cell>
          <cell r="I80">
            <v>11.204573528532199</v>
          </cell>
        </row>
        <row r="81">
          <cell r="A81" t="str">
            <v>TIRORA TPS2</v>
          </cell>
          <cell r="B81" t="str">
            <v>TIRORA TPS UNIT 2-3</v>
          </cell>
          <cell r="C81" t="str">
            <v xml:space="preserve"> 5-10 years</v>
          </cell>
          <cell r="D81">
            <v>7.1759069130732298</v>
          </cell>
          <cell r="E81">
            <v>660</v>
          </cell>
          <cell r="F81">
            <v>12.875775175331281</v>
          </cell>
          <cell r="G81">
            <v>0.68593343643097848</v>
          </cell>
          <cell r="H81">
            <v>11.81413669028063</v>
          </cell>
          <cell r="I81">
            <v>10.8651856330667</v>
          </cell>
        </row>
        <row r="82">
          <cell r="A82" t="str">
            <v>ITPCL TPP1</v>
          </cell>
          <cell r="B82" t="str">
            <v>ITPCL TPP UNIT 1</v>
          </cell>
          <cell r="C82" t="str">
            <v xml:space="preserve"> 0-5 years</v>
          </cell>
          <cell r="D82">
            <v>4.6735112936344896</v>
          </cell>
          <cell r="E82">
            <v>600</v>
          </cell>
          <cell r="F82">
            <v>10.925749041185108</v>
          </cell>
          <cell r="G82">
            <v>0.594400281855339</v>
          </cell>
          <cell r="H82">
            <v>11.821209998973305</v>
          </cell>
          <cell r="I82">
            <v>8.5593640587168807</v>
          </cell>
        </row>
        <row r="83">
          <cell r="A83" t="str">
            <v>NEYVELI NEW TPP1</v>
          </cell>
          <cell r="B83" t="str">
            <v>NEYVELI NEW TPP</v>
          </cell>
          <cell r="C83" t="str">
            <v xml:space="preserve"> 0-5 years</v>
          </cell>
          <cell r="D83">
            <v>0.35318275154004097</v>
          </cell>
          <cell r="E83">
            <v>500</v>
          </cell>
          <cell r="F83">
            <v>12</v>
          </cell>
          <cell r="G83">
            <v>0.38280002471882335</v>
          </cell>
          <cell r="H83">
            <v>11.825239847022587</v>
          </cell>
          <cell r="I83">
            <v>4.5936002966258798</v>
          </cell>
        </row>
        <row r="84">
          <cell r="A84" t="str">
            <v>KALISINDH TPS2</v>
          </cell>
          <cell r="B84" t="str">
            <v>KALISINDH TPS UNIT 2</v>
          </cell>
          <cell r="C84" t="str">
            <v xml:space="preserve"> 0-5 years</v>
          </cell>
          <cell r="D84">
            <v>4.9253935660506496</v>
          </cell>
          <cell r="E84">
            <v>600</v>
          </cell>
          <cell r="F84">
            <v>11.631940662424933</v>
          </cell>
          <cell r="G84">
            <v>0.41169665194501248</v>
          </cell>
          <cell r="H84">
            <v>11.834267827857632</v>
          </cell>
          <cell r="I84">
            <v>5.9284317880081803</v>
          </cell>
        </row>
        <row r="85">
          <cell r="A85" t="str">
            <v>ANPARA TPS6</v>
          </cell>
          <cell r="B85" t="str">
            <v>ANPARA - D</v>
          </cell>
          <cell r="C85" t="str">
            <v xml:space="preserve"> 0-5 years</v>
          </cell>
          <cell r="D85">
            <v>4.9253935660506496</v>
          </cell>
          <cell r="E85">
            <v>600</v>
          </cell>
          <cell r="F85">
            <v>13.153682597016777</v>
          </cell>
          <cell r="G85">
            <v>0.66090639290569719</v>
          </cell>
          <cell r="H85">
            <v>11.834267827857632</v>
          </cell>
          <cell r="I85">
            <v>9.5170520578420401</v>
          </cell>
        </row>
        <row r="86">
          <cell r="A86" t="str">
            <v>TIRORA TPS1</v>
          </cell>
          <cell r="B86" t="str">
            <v>TIRORA TPS UNIT 1,4-5</v>
          </cell>
          <cell r="C86" t="str">
            <v xml:space="preserve"> 5-10 years</v>
          </cell>
          <cell r="D86">
            <v>7.6714579055441403</v>
          </cell>
          <cell r="E86">
            <v>660</v>
          </cell>
          <cell r="F86">
            <v>12.875775175331281</v>
          </cell>
          <cell r="G86">
            <v>0.75874792649912881</v>
          </cell>
          <cell r="H86">
            <v>11.839826549281314</v>
          </cell>
          <cell r="I86">
            <v>12.018567155746201</v>
          </cell>
        </row>
        <row r="87">
          <cell r="A87" t="str">
            <v>ANUPPUR TPP1</v>
          </cell>
          <cell r="B87" t="str">
            <v>ANUPPUR TPP</v>
          </cell>
          <cell r="C87" t="str">
            <v xml:space="preserve"> 0-5 years</v>
          </cell>
          <cell r="D87">
            <v>5.0924024640657004</v>
          </cell>
          <cell r="E87">
            <v>600</v>
          </cell>
          <cell r="F87">
            <v>13.774742695675402</v>
          </cell>
          <cell r="G87">
            <v>0.61182865123315966</v>
          </cell>
          <cell r="H87">
            <v>11.84292573613963</v>
          </cell>
          <cell r="I87">
            <v>8.8103325777574995</v>
          </cell>
        </row>
        <row r="88">
          <cell r="A88" t="str">
            <v>SIPAT STPS3</v>
          </cell>
          <cell r="B88" t="str">
            <v>SIPAT STPS UNIT 1-3</v>
          </cell>
          <cell r="C88" t="str">
            <v xml:space="preserve"> 5-10 years</v>
          </cell>
          <cell r="D88">
            <v>7.7563312799452397</v>
          </cell>
          <cell r="E88">
            <v>660</v>
          </cell>
          <cell r="F88">
            <v>12.562502818164178</v>
          </cell>
          <cell r="G88">
            <v>0.84729476526970959</v>
          </cell>
          <cell r="H88">
            <v>11.844226469883642</v>
          </cell>
          <cell r="I88">
            <v>13.421149081872199</v>
          </cell>
        </row>
        <row r="89">
          <cell r="A89" t="str">
            <v>BARADARHA TPS2</v>
          </cell>
          <cell r="B89" t="str">
            <v>BARADARHA TPS</v>
          </cell>
          <cell r="C89" t="str">
            <v xml:space="preserve"> 5-10 years</v>
          </cell>
          <cell r="D89">
            <v>5.1772758384667998</v>
          </cell>
          <cell r="E89">
            <v>600</v>
          </cell>
          <cell r="F89">
            <v>14.712081034171026</v>
          </cell>
          <cell r="G89">
            <v>0.59280092464442014</v>
          </cell>
          <cell r="H89">
            <v>11.847325656741958</v>
          </cell>
          <cell r="I89">
            <v>8.5363333148796503</v>
          </cell>
        </row>
        <row r="90">
          <cell r="A90" t="str">
            <v>OP JINDAL TPS24</v>
          </cell>
          <cell r="B90" t="str">
            <v>OP JINDAL TPS2</v>
          </cell>
          <cell r="C90" t="str">
            <v xml:space="preserve"> 5-10 years</v>
          </cell>
          <cell r="D90">
            <v>5.1772758384667998</v>
          </cell>
          <cell r="E90">
            <v>600</v>
          </cell>
          <cell r="F90">
            <v>15.682284357515757</v>
          </cell>
          <cell r="G90">
            <v>0.22188951732510417</v>
          </cell>
          <cell r="H90">
            <v>11.847325656741958</v>
          </cell>
          <cell r="I90">
            <v>3.1952090494815</v>
          </cell>
        </row>
        <row r="91">
          <cell r="A91" t="str">
            <v>OP JINDAL TPS23</v>
          </cell>
          <cell r="B91" t="str">
            <v>OP JINDAL TPS2</v>
          </cell>
          <cell r="C91" t="str">
            <v xml:space="preserve"> 5-10 years</v>
          </cell>
          <cell r="D91">
            <v>5.3388090349075901</v>
          </cell>
          <cell r="E91">
            <v>600</v>
          </cell>
          <cell r="F91">
            <v>15.682284357515757</v>
          </cell>
          <cell r="G91">
            <v>0.47152263993616322</v>
          </cell>
          <cell r="H91">
            <v>11.855699699178645</v>
          </cell>
          <cell r="I91">
            <v>6.7899260150807503</v>
          </cell>
        </row>
        <row r="92">
          <cell r="A92" t="str">
            <v>DERANG TPP2</v>
          </cell>
          <cell r="B92" t="str">
            <v>DERANG TPP</v>
          </cell>
          <cell r="C92" t="str">
            <v xml:space="preserve"> 5-10 years</v>
          </cell>
          <cell r="D92">
            <v>5.3388090349075901</v>
          </cell>
          <cell r="E92">
            <v>600</v>
          </cell>
          <cell r="F92">
            <v>16.728439282981306</v>
          </cell>
          <cell r="G92">
            <v>0.34875205036659584</v>
          </cell>
          <cell r="H92">
            <v>11.855699699178645</v>
          </cell>
          <cell r="I92">
            <v>5.0220295252789802</v>
          </cell>
        </row>
        <row r="93">
          <cell r="A93" t="str">
            <v>SIPAT STPS2</v>
          </cell>
          <cell r="B93" t="str">
            <v>SIPAT STPS UNIT 1-3</v>
          </cell>
          <cell r="C93" t="str">
            <v xml:space="preserve"> 5-10 years</v>
          </cell>
          <cell r="D93">
            <v>8.00821355236139</v>
          </cell>
          <cell r="E93">
            <v>660</v>
          </cell>
          <cell r="F93">
            <v>12.562502818164178</v>
          </cell>
          <cell r="G93">
            <v>0.88956723176643315</v>
          </cell>
          <cell r="H93">
            <v>11.857284298767969</v>
          </cell>
          <cell r="I93">
            <v>14.0907449511803</v>
          </cell>
        </row>
        <row r="94">
          <cell r="A94" t="str">
            <v>MUTHIARA TPP1</v>
          </cell>
          <cell r="B94" t="str">
            <v>MUTHIARA TPP</v>
          </cell>
          <cell r="C94" t="str">
            <v xml:space="preserve"> 5-10 years</v>
          </cell>
          <cell r="D94">
            <v>5.4236824093086904</v>
          </cell>
          <cell r="E94">
            <v>600</v>
          </cell>
          <cell r="F94">
            <v>12.793802817499486</v>
          </cell>
          <cell r="G94">
            <v>0.33453279104041322</v>
          </cell>
          <cell r="H94">
            <v>11.860099619780971</v>
          </cell>
          <cell r="I94">
            <v>4.8172721909819503</v>
          </cell>
        </row>
        <row r="95">
          <cell r="A95" t="str">
            <v>MAHATMA GANDHI TPS2</v>
          </cell>
          <cell r="B95" t="str">
            <v>MAHATMA GANDHI TPS</v>
          </cell>
          <cell r="C95" t="str">
            <v xml:space="preserve"> 5-10 years</v>
          </cell>
          <cell r="D95">
            <v>8.0903490759753591</v>
          </cell>
          <cell r="E95">
            <v>660</v>
          </cell>
          <cell r="F95">
            <v>12.318219445873089</v>
          </cell>
          <cell r="G95">
            <v>0.58679749519712876</v>
          </cell>
          <cell r="H95">
            <v>11.861542286447639</v>
          </cell>
          <cell r="I95">
            <v>9.2948723239225206</v>
          </cell>
        </row>
        <row r="96">
          <cell r="A96" t="str">
            <v>MUNDRA TPS8</v>
          </cell>
          <cell r="B96" t="str">
            <v>MUNDRA TPS UNIT 7-9</v>
          </cell>
          <cell r="C96" t="str">
            <v xml:space="preserve"> 5-10 years</v>
          </cell>
          <cell r="D96">
            <v>8.1752224503764506</v>
          </cell>
          <cell r="E96">
            <v>660</v>
          </cell>
          <cell r="F96">
            <v>11.127140647122358</v>
          </cell>
          <cell r="G96">
            <v>0.74075884940787873</v>
          </cell>
          <cell r="H96">
            <v>11.865942207049965</v>
          </cell>
          <cell r="I96">
            <v>11.7336201746208</v>
          </cell>
        </row>
        <row r="97">
          <cell r="A97" t="str">
            <v>MUNDRA TPS9</v>
          </cell>
          <cell r="B97" t="str">
            <v>MUNDRA TPS UNIT 7-9</v>
          </cell>
          <cell r="C97" t="str">
            <v xml:space="preserve"> 5-10 years</v>
          </cell>
          <cell r="D97">
            <v>8.1752224503764506</v>
          </cell>
          <cell r="E97">
            <v>660</v>
          </cell>
          <cell r="F97">
            <v>11.127140647122358</v>
          </cell>
          <cell r="G97">
            <v>0.63480709841988003</v>
          </cell>
          <cell r="H97">
            <v>11.865942207049965</v>
          </cell>
          <cell r="I97">
            <v>10.0553444389709</v>
          </cell>
        </row>
        <row r="98">
          <cell r="A98" t="str">
            <v>SHREE SINGAJI TPP2</v>
          </cell>
          <cell r="B98" t="str">
            <v>SHREE SINGAJI TPP UNIT 1-2</v>
          </cell>
          <cell r="C98" t="str">
            <v xml:space="preserve"> 5-10 years</v>
          </cell>
          <cell r="D98">
            <v>5.5906913073237501</v>
          </cell>
          <cell r="E98">
            <v>600</v>
          </cell>
          <cell r="F98">
            <v>14.848206119856593</v>
          </cell>
          <cell r="G98">
            <v>0.48362332593809515</v>
          </cell>
          <cell r="H98">
            <v>11.868757528062972</v>
          </cell>
          <cell r="I98">
            <v>6.9641758935085702</v>
          </cell>
        </row>
        <row r="99">
          <cell r="A99" t="str">
            <v>MAHATMA GANDHI TPS1</v>
          </cell>
          <cell r="B99" t="str">
            <v>MAHATMA GANDHI TPS</v>
          </cell>
          <cell r="C99" t="str">
            <v xml:space="preserve"> 5-10 years</v>
          </cell>
          <cell r="D99">
            <v>8.33949349760438</v>
          </cell>
          <cell r="E99">
            <v>660</v>
          </cell>
          <cell r="F99">
            <v>12.318219445873089</v>
          </cell>
          <cell r="G99">
            <v>0.61436659603476895</v>
          </cell>
          <cell r="H99">
            <v>11.87445818240931</v>
          </cell>
          <cell r="I99">
            <v>9.7315668811907408</v>
          </cell>
        </row>
        <row r="100">
          <cell r="A100" t="str">
            <v>RAGHUNATHPUR TPP1</v>
          </cell>
          <cell r="B100" t="str">
            <v>RAGHUNATHPUR TPP</v>
          </cell>
          <cell r="C100" t="str">
            <v xml:space="preserve"> 5-10 years</v>
          </cell>
          <cell r="D100">
            <v>5.7577002053388</v>
          </cell>
          <cell r="E100">
            <v>600</v>
          </cell>
          <cell r="F100">
            <v>12.25454374701296</v>
          </cell>
          <cell r="G100">
            <v>0.31345226705380486</v>
          </cell>
          <cell r="H100">
            <v>11.877415436344968</v>
          </cell>
          <cell r="I100">
            <v>4.51371264557479</v>
          </cell>
        </row>
        <row r="101">
          <cell r="A101" t="str">
            <v>AKALTARA TPS4</v>
          </cell>
          <cell r="B101" t="str">
            <v>AKALTARA TPS</v>
          </cell>
          <cell r="C101" t="str">
            <v xml:space="preserve"> 5-10 years</v>
          </cell>
          <cell r="D101">
            <v>5.7577002053388</v>
          </cell>
          <cell r="E101">
            <v>600</v>
          </cell>
          <cell r="F101">
            <v>12.887075528159945</v>
          </cell>
          <cell r="G101">
            <v>0.69709262096370139</v>
          </cell>
          <cell r="H101">
            <v>11.877415436344968</v>
          </cell>
          <cell r="I101">
            <v>10.038133741877299</v>
          </cell>
        </row>
        <row r="102">
          <cell r="A102" t="str">
            <v>MUNDRA TPS7</v>
          </cell>
          <cell r="B102" t="str">
            <v>MUNDRA TPS UNIT 7-9</v>
          </cell>
          <cell r="C102" t="str">
            <v xml:space="preserve"> 5-10 years</v>
          </cell>
          <cell r="D102">
            <v>8.5065023956194299</v>
          </cell>
          <cell r="E102">
            <v>660</v>
          </cell>
          <cell r="F102">
            <v>11.127140647122358</v>
          </cell>
          <cell r="G102">
            <v>0.66240918119699499</v>
          </cell>
          <cell r="H102">
            <v>11.883116090691308</v>
          </cell>
          <cell r="I102">
            <v>10.4925614301604</v>
          </cell>
        </row>
        <row r="103">
          <cell r="A103" t="str">
            <v>SIPAT STPS1</v>
          </cell>
          <cell r="B103" t="str">
            <v>SIPAT STPS UNIT 1-3</v>
          </cell>
          <cell r="C103" t="str">
            <v xml:space="preserve"> 5-10 years</v>
          </cell>
          <cell r="D103">
            <v>8.5913757700205302</v>
          </cell>
          <cell r="E103">
            <v>660</v>
          </cell>
          <cell r="F103">
            <v>12.562502818164178</v>
          </cell>
          <cell r="G103">
            <v>0.89485139992184348</v>
          </cell>
          <cell r="H103">
            <v>11.887516011293634</v>
          </cell>
          <cell r="I103">
            <v>14.174446174762</v>
          </cell>
        </row>
        <row r="104">
          <cell r="A104" t="str">
            <v>KALISINDH TPS1</v>
          </cell>
          <cell r="B104" t="str">
            <v>KALISINDH TPS UNIT 1</v>
          </cell>
          <cell r="C104" t="str">
            <v xml:space="preserve"> 5-10 years</v>
          </cell>
          <cell r="D104">
            <v>6.00958247775496</v>
          </cell>
          <cell r="E104">
            <v>600</v>
          </cell>
          <cell r="F104">
            <v>11.631940662424933</v>
          </cell>
          <cell r="G104">
            <v>0.74500499420616662</v>
          </cell>
          <cell r="H104">
            <v>11.890473265229296</v>
          </cell>
          <cell r="I104">
            <v>10.728071916568799</v>
          </cell>
        </row>
        <row r="105">
          <cell r="A105" t="str">
            <v>DERANG TPP1</v>
          </cell>
          <cell r="B105" t="str">
            <v>DERANG TPP</v>
          </cell>
          <cell r="C105" t="str">
            <v xml:space="preserve"> 5-10 years</v>
          </cell>
          <cell r="D105">
            <v>6.0917180013689203</v>
          </cell>
          <cell r="E105">
            <v>600</v>
          </cell>
          <cell r="F105">
            <v>16.728439282981306</v>
          </cell>
          <cell r="G105">
            <v>0.48737016383197568</v>
          </cell>
          <cell r="H105">
            <v>11.894731252908967</v>
          </cell>
          <cell r="I105">
            <v>7.01813035918045</v>
          </cell>
        </row>
        <row r="106">
          <cell r="A106" t="str">
            <v>AVANTHA BHANDAR1</v>
          </cell>
          <cell r="B106" t="str">
            <v>AVANTHA BHANDAR</v>
          </cell>
          <cell r="C106" t="str">
            <v xml:space="preserve"> 5-10 years</v>
          </cell>
          <cell r="D106">
            <v>6.1765913757700197</v>
          </cell>
          <cell r="E106">
            <v>600</v>
          </cell>
          <cell r="F106">
            <v>12.22</v>
          </cell>
          <cell r="G106">
            <v>1.0413626650081111E-2</v>
          </cell>
          <cell r="H106">
            <v>11.899131173511295</v>
          </cell>
          <cell r="I106">
            <v>0.14995622376116799</v>
          </cell>
        </row>
        <row r="107">
          <cell r="A107" t="str">
            <v>OP JINDAL TPS22</v>
          </cell>
          <cell r="B107" t="str">
            <v>OP JINDAL TPS2</v>
          </cell>
          <cell r="C107" t="str">
            <v xml:space="preserve"> 5-10 years</v>
          </cell>
          <cell r="D107">
            <v>6.1765913757700197</v>
          </cell>
          <cell r="E107">
            <v>600</v>
          </cell>
          <cell r="F107">
            <v>15.682284357515757</v>
          </cell>
          <cell r="G107">
            <v>0.53434674940590277</v>
          </cell>
          <cell r="H107">
            <v>11.899131173511295</v>
          </cell>
          <cell r="I107">
            <v>7.6945931914449996</v>
          </cell>
        </row>
        <row r="108">
          <cell r="A108" t="str">
            <v>OP JINDAL TPS21</v>
          </cell>
          <cell r="B108" t="str">
            <v>OP JINDAL TPS2</v>
          </cell>
          <cell r="C108" t="str">
            <v xml:space="preserve"> 5-10 years</v>
          </cell>
          <cell r="D108">
            <v>6.1765913757700197</v>
          </cell>
          <cell r="E108">
            <v>600</v>
          </cell>
          <cell r="F108">
            <v>15.682284357515757</v>
          </cell>
          <cell r="G108">
            <v>0.12625300922484792</v>
          </cell>
          <cell r="H108">
            <v>11.899131173511295</v>
          </cell>
          <cell r="I108">
            <v>1.8180433328378101</v>
          </cell>
        </row>
        <row r="109">
          <cell r="A109" t="str">
            <v>MUNDRA TPS6</v>
          </cell>
          <cell r="B109" t="str">
            <v>MUNDRA TPS UNIT 5-6</v>
          </cell>
          <cell r="C109" t="str">
            <v xml:space="preserve"> 5-10 years</v>
          </cell>
          <cell r="D109">
            <v>8.8432580424366805</v>
          </cell>
          <cell r="E109">
            <v>660</v>
          </cell>
          <cell r="F109">
            <v>11.127140647122358</v>
          </cell>
          <cell r="G109">
            <v>0.40235289686195769</v>
          </cell>
          <cell r="H109">
            <v>11.900573840177961</v>
          </cell>
          <cell r="I109">
            <v>6.3732698862934098</v>
          </cell>
        </row>
        <row r="110">
          <cell r="A110" t="str">
            <v>BARADARHA TPS1</v>
          </cell>
          <cell r="B110" t="str">
            <v>BARADARHA TPS</v>
          </cell>
          <cell r="C110" t="str">
            <v xml:space="preserve"> 5-10 years</v>
          </cell>
          <cell r="D110">
            <v>6.2532511978097096</v>
          </cell>
          <cell r="E110">
            <v>600</v>
          </cell>
          <cell r="F110">
            <v>14.712081034171026</v>
          </cell>
          <cell r="G110">
            <v>0.62179770815578128</v>
          </cell>
          <cell r="H110">
            <v>11.903105295345654</v>
          </cell>
          <cell r="I110">
            <v>8.9538869974432505</v>
          </cell>
        </row>
        <row r="111">
          <cell r="A111" t="str">
            <v>SHREE SINGAJI TPP1</v>
          </cell>
          <cell r="B111" t="str">
            <v>SHREE SINGAJI TPP UNIT 1-2</v>
          </cell>
          <cell r="C111" t="str">
            <v xml:space="preserve"> 5-10 years</v>
          </cell>
          <cell r="D111">
            <v>6.5051334702258696</v>
          </cell>
          <cell r="E111">
            <v>600</v>
          </cell>
          <cell r="F111">
            <v>14.848206119856593</v>
          </cell>
          <cell r="G111">
            <v>0.51281763124423196</v>
          </cell>
          <cell r="H111">
            <v>11.91616312422998</v>
          </cell>
          <cell r="I111">
            <v>7.3845738899169397</v>
          </cell>
        </row>
        <row r="112">
          <cell r="A112" t="str">
            <v>NORTH CHENNAI TPS4</v>
          </cell>
          <cell r="B112" t="str">
            <v>NORTH CHENNAI TPS UNIT 4-5</v>
          </cell>
          <cell r="C112" t="str">
            <v xml:space="preserve"> 5-10 years</v>
          </cell>
          <cell r="D112">
            <v>6.6009582477754902</v>
          </cell>
          <cell r="E112">
            <v>600</v>
          </cell>
          <cell r="F112">
            <v>13.26</v>
          </cell>
          <cell r="G112">
            <v>0.576578809992218</v>
          </cell>
          <cell r="H112">
            <v>11.921130776522929</v>
          </cell>
          <cell r="I112">
            <v>8.3027348638879399</v>
          </cell>
        </row>
        <row r="113">
          <cell r="A113" t="str">
            <v>AKALTARA TPS3</v>
          </cell>
          <cell r="B113" t="str">
            <v>AKALTARA TPS</v>
          </cell>
          <cell r="C113" t="str">
            <v xml:space="preserve"> 5-10 years</v>
          </cell>
          <cell r="D113">
            <v>6.7570157426420199</v>
          </cell>
          <cell r="E113">
            <v>600</v>
          </cell>
          <cell r="F113">
            <v>12.887075528159945</v>
          </cell>
          <cell r="G113">
            <v>0.27086440555889024</v>
          </cell>
          <cell r="H113">
            <v>11.929220953114307</v>
          </cell>
          <cell r="I113">
            <v>3.90044744004802</v>
          </cell>
        </row>
        <row r="114">
          <cell r="A114" t="str">
            <v>MUNDRA TPS5</v>
          </cell>
          <cell r="B114" t="str">
            <v>MUNDRA TPS UNIT 5-6</v>
          </cell>
          <cell r="C114" t="str">
            <v xml:space="preserve"> 5-10 years</v>
          </cell>
          <cell r="D114">
            <v>9.4236824093086895</v>
          </cell>
          <cell r="E114">
            <v>660</v>
          </cell>
          <cell r="F114">
            <v>11.127140647122358</v>
          </cell>
          <cell r="G114">
            <v>0.49088605929383272</v>
          </cell>
          <cell r="H114">
            <v>11.930663619780972</v>
          </cell>
          <cell r="I114">
            <v>7.7756351792143104</v>
          </cell>
        </row>
        <row r="115">
          <cell r="A115" t="str">
            <v>NORTH CHENNAI TPS5</v>
          </cell>
          <cell r="B115" t="str">
            <v>NORTH CHENNAI TPS UNIT 4-5</v>
          </cell>
          <cell r="C115" t="str">
            <v xml:space="preserve"> 5-10 years</v>
          </cell>
          <cell r="D115">
            <v>7.1348391512662497</v>
          </cell>
          <cell r="E115">
            <v>600</v>
          </cell>
          <cell r="F115">
            <v>13.26</v>
          </cell>
          <cell r="G115">
            <v>0.56822519967561458</v>
          </cell>
          <cell r="H115">
            <v>11.948807696440795</v>
          </cell>
          <cell r="I115">
            <v>8.1824428753288494</v>
          </cell>
        </row>
        <row r="116">
          <cell r="A116" t="str">
            <v>MAHAN TPP1</v>
          </cell>
          <cell r="C116" t="str">
            <v xml:space="preserve"> 5-10 years</v>
          </cell>
          <cell r="D116">
            <v>7.2525667351129304</v>
          </cell>
          <cell r="E116">
            <v>600</v>
          </cell>
          <cell r="F116">
            <v>13.439081966381382</v>
          </cell>
          <cell r="G116">
            <v>0.3982640157935618</v>
          </cell>
          <cell r="H116">
            <v>11.95491081211499</v>
          </cell>
          <cell r="I116">
            <v>5.7350018274272898</v>
          </cell>
        </row>
        <row r="117">
          <cell r="A117" t="str">
            <v>UNCHAHAR STPS6</v>
          </cell>
          <cell r="B117" t="str">
            <v>UNCHAHAR STPS UNIT 6</v>
          </cell>
          <cell r="C117" t="str">
            <v xml:space="preserve"> 0-5 years</v>
          </cell>
          <cell r="D117">
            <v>3.1759069130732298</v>
          </cell>
          <cell r="E117">
            <v>500</v>
          </cell>
          <cell r="F117">
            <v>13.21968205136662</v>
          </cell>
          <cell r="G117">
            <v>0.32482135029515419</v>
          </cell>
          <cell r="H117">
            <v>11.971572690280631</v>
          </cell>
          <cell r="I117">
            <v>3.89785620354185</v>
          </cell>
        </row>
        <row r="118">
          <cell r="A118" t="str">
            <v>METTUR TPS EXT1</v>
          </cell>
          <cell r="B118" t="str">
            <v>METTUR TPS EXT</v>
          </cell>
          <cell r="C118" t="str">
            <v xml:space="preserve"> 5-10 years</v>
          </cell>
          <cell r="D118">
            <v>7.5893223819301801</v>
          </cell>
          <cell r="E118">
            <v>600</v>
          </cell>
          <cell r="F118">
            <v>14.58229554125497</v>
          </cell>
          <cell r="G118">
            <v>0.54311209918967362</v>
          </cell>
          <cell r="H118">
            <v>11.972368561601643</v>
          </cell>
          <cell r="I118">
            <v>7.8208142283313</v>
          </cell>
        </row>
        <row r="119">
          <cell r="A119" t="str">
            <v>VIZAG TPS2</v>
          </cell>
          <cell r="B119" t="str">
            <v>VIZAG TPS</v>
          </cell>
          <cell r="C119" t="str">
            <v xml:space="preserve"> 0-5 years</v>
          </cell>
          <cell r="D119">
            <v>4.1752224503764497</v>
          </cell>
          <cell r="E119">
            <v>520</v>
          </cell>
          <cell r="F119">
            <v>14.675483863604677</v>
          </cell>
          <cell r="G119">
            <v>0.26278925731706571</v>
          </cell>
          <cell r="H119">
            <v>11.977778207049965</v>
          </cell>
          <cell r="I119">
            <v>3.2796099313169802</v>
          </cell>
        </row>
        <row r="120">
          <cell r="A120" t="str">
            <v>SAGARDIGHI TPS4</v>
          </cell>
          <cell r="B120" t="str">
            <v>SAGARDIGHI TPS UNIT 3-4</v>
          </cell>
          <cell r="C120" t="str">
            <v xml:space="preserve"> 0-5 years</v>
          </cell>
          <cell r="D120">
            <v>3.4223134839151199</v>
          </cell>
          <cell r="E120">
            <v>500</v>
          </cell>
          <cell r="F120">
            <v>12.598612208655084</v>
          </cell>
          <cell r="G120">
            <v>0.38911284996262746</v>
          </cell>
          <cell r="H120">
            <v>11.984346653319644</v>
          </cell>
          <cell r="I120">
            <v>4.6693541995515302</v>
          </cell>
        </row>
        <row r="121">
          <cell r="A121" t="str">
            <v>SALAYA TPP2</v>
          </cell>
          <cell r="B121" t="str">
            <v>SALAYA TPP</v>
          </cell>
          <cell r="C121" t="str">
            <v xml:space="preserve"> 5-10 years</v>
          </cell>
          <cell r="D121">
            <v>7.9233401779603003</v>
          </cell>
          <cell r="E121">
            <v>600</v>
          </cell>
          <cell r="F121">
            <v>10.397199845435228</v>
          </cell>
          <cell r="G121">
            <v>0.15690511748307431</v>
          </cell>
          <cell r="H121">
            <v>11.989684378165641</v>
          </cell>
          <cell r="I121">
            <v>2.2594336917562701</v>
          </cell>
        </row>
        <row r="122">
          <cell r="A122" t="str">
            <v>VIZAG TPS1</v>
          </cell>
          <cell r="B122" t="str">
            <v>VIZAG TPS</v>
          </cell>
          <cell r="C122" t="str">
            <v xml:space="preserve"> 0-5 years</v>
          </cell>
          <cell r="D122">
            <v>4.4243668720054696</v>
          </cell>
          <cell r="E122">
            <v>520</v>
          </cell>
          <cell r="F122">
            <v>14.675483863604677</v>
          </cell>
          <cell r="G122">
            <v>0.25786499577694472</v>
          </cell>
          <cell r="H122">
            <v>11.990694103011636</v>
          </cell>
          <cell r="I122">
            <v>3.2181551472962702</v>
          </cell>
        </row>
        <row r="123">
          <cell r="A123" t="str">
            <v>UDUPI TPP2</v>
          </cell>
          <cell r="B123" t="str">
            <v>UDUPI TPP</v>
          </cell>
          <cell r="C123" t="str">
            <v xml:space="preserve"> 5-10 years</v>
          </cell>
          <cell r="D123">
            <v>8.1752224503764506</v>
          </cell>
          <cell r="E123">
            <v>600</v>
          </cell>
          <cell r="F123">
            <v>8.8348603266680463</v>
          </cell>
          <cell r="G123">
            <v>0.46272421071423614</v>
          </cell>
          <cell r="H123">
            <v>12.002742207049966</v>
          </cell>
          <cell r="I123">
            <v>6.6632286342849998</v>
          </cell>
        </row>
        <row r="124">
          <cell r="A124" t="str">
            <v>UDUPI TPP1</v>
          </cell>
          <cell r="B124" t="str">
            <v>UDUPI TPP</v>
          </cell>
          <cell r="C124" t="str">
            <v xml:space="preserve"> 5-10 years</v>
          </cell>
          <cell r="D124">
            <v>8.1752224503764506</v>
          </cell>
          <cell r="E124">
            <v>600</v>
          </cell>
          <cell r="F124">
            <v>8.8348603266680463</v>
          </cell>
          <cell r="G124">
            <v>0.41541514166485133</v>
          </cell>
          <cell r="H124">
            <v>12.002742207049966</v>
          </cell>
          <cell r="I124">
            <v>5.9819780399738596</v>
          </cell>
        </row>
        <row r="125">
          <cell r="A125" t="str">
            <v>MARWA TPS2</v>
          </cell>
          <cell r="B125" t="str">
            <v>MARWA TPS</v>
          </cell>
          <cell r="C125" t="str">
            <v xml:space="preserve"> 0-5 years</v>
          </cell>
          <cell r="D125">
            <v>3.8412046543463298</v>
          </cell>
          <cell r="E125">
            <v>500</v>
          </cell>
          <cell r="F125">
            <v>13.87135392809698</v>
          </cell>
          <cell r="G125">
            <v>0.63787644515363917</v>
          </cell>
          <cell r="H125">
            <v>12.006062390485969</v>
          </cell>
          <cell r="I125">
            <v>7.6545173418436701</v>
          </cell>
        </row>
        <row r="126">
          <cell r="A126" t="str">
            <v>SALAYA TPP1</v>
          </cell>
          <cell r="B126" t="str">
            <v>SALAYA TPP</v>
          </cell>
          <cell r="C126" t="str">
            <v xml:space="preserve"> 5-10 years</v>
          </cell>
          <cell r="D126">
            <v>8.33949349760438</v>
          </cell>
          <cell r="E126">
            <v>600</v>
          </cell>
          <cell r="F126">
            <v>10.397199845435228</v>
          </cell>
          <cell r="G126">
            <v>0.21215856009420556</v>
          </cell>
          <cell r="H126">
            <v>12.011258182409309</v>
          </cell>
          <cell r="I126">
            <v>3.0550832653565601</v>
          </cell>
        </row>
        <row r="127">
          <cell r="A127" t="str">
            <v>ANPARA C TPS2</v>
          </cell>
          <cell r="B127" t="str">
            <v>ANPARA C TPS</v>
          </cell>
          <cell r="C127" t="str">
            <v xml:space="preserve"> 5-10 years</v>
          </cell>
          <cell r="D127">
            <v>8.33949349760438</v>
          </cell>
          <cell r="E127">
            <v>600</v>
          </cell>
          <cell r="F127">
            <v>12.409526800288296</v>
          </cell>
          <cell r="G127">
            <v>0.78427533495476387</v>
          </cell>
          <cell r="H127">
            <v>12.011258182409309</v>
          </cell>
          <cell r="I127">
            <v>11.2935648233486</v>
          </cell>
        </row>
        <row r="128">
          <cell r="A128" t="str">
            <v>CHANDRAPUR STPS9</v>
          </cell>
          <cell r="B128" t="str">
            <v>CHANDRAPUR UNITS 8-9</v>
          </cell>
          <cell r="C128" t="str">
            <v xml:space="preserve"> 0-5 years</v>
          </cell>
          <cell r="D128">
            <v>4.1752224503764497</v>
          </cell>
          <cell r="E128">
            <v>500</v>
          </cell>
          <cell r="F128">
            <v>12.59</v>
          </cell>
          <cell r="G128">
            <v>0.74091905556438331</v>
          </cell>
          <cell r="H128">
            <v>12.023378207049966</v>
          </cell>
          <cell r="I128">
            <v>8.8910286667726002</v>
          </cell>
        </row>
        <row r="129">
          <cell r="A129" t="str">
            <v>BOKARO A TPS1</v>
          </cell>
          <cell r="C129" t="str">
            <v xml:space="preserve"> 0-5 years</v>
          </cell>
          <cell r="D129">
            <v>4.1752224503764497</v>
          </cell>
          <cell r="E129">
            <v>500</v>
          </cell>
          <cell r="F129">
            <v>13.428072521810114</v>
          </cell>
          <cell r="G129">
            <v>0.66869912838633094</v>
          </cell>
          <cell r="H129">
            <v>12.023378207049966</v>
          </cell>
          <cell r="I129">
            <v>8.0243895406359709</v>
          </cell>
        </row>
        <row r="130">
          <cell r="A130" t="str">
            <v>ANPARA C TPS1</v>
          </cell>
          <cell r="B130" t="str">
            <v>ANPARA C TPS</v>
          </cell>
          <cell r="C130" t="str">
            <v xml:space="preserve"> 5-10 years</v>
          </cell>
          <cell r="D130">
            <v>8.5913757700205302</v>
          </cell>
          <cell r="E130">
            <v>600</v>
          </cell>
          <cell r="F130">
            <v>12.409526800288296</v>
          </cell>
          <cell r="G130">
            <v>0.77630405403416669</v>
          </cell>
          <cell r="H130">
            <v>12.024316011293635</v>
          </cell>
          <cell r="I130">
            <v>11.178778378092</v>
          </cell>
        </row>
        <row r="131">
          <cell r="A131" t="str">
            <v>SAGARDIGHI TPS3</v>
          </cell>
          <cell r="B131" t="str">
            <v>SAGARDIGHI TPS UNIT 3-4</v>
          </cell>
          <cell r="C131" t="str">
            <v xml:space="preserve"> 0-5 years</v>
          </cell>
          <cell r="D131">
            <v>4.4243668720054696</v>
          </cell>
          <cell r="E131">
            <v>500</v>
          </cell>
          <cell r="F131">
            <v>12.598612208655084</v>
          </cell>
          <cell r="G131">
            <v>0.45223191974697913</v>
          </cell>
          <cell r="H131">
            <v>12.036294103011636</v>
          </cell>
          <cell r="I131">
            <v>5.4267830369637498</v>
          </cell>
        </row>
        <row r="132">
          <cell r="A132" t="str">
            <v>VINDHYACHAL STPS13</v>
          </cell>
          <cell r="B132" t="str">
            <v>VINDHYACHAL STPS UNIT 13</v>
          </cell>
          <cell r="C132" t="str">
            <v xml:space="preserve"> 0-5 years</v>
          </cell>
          <cell r="D132">
            <v>4.7583846680355899</v>
          </cell>
          <cell r="E132">
            <v>500</v>
          </cell>
          <cell r="F132">
            <v>12.9</v>
          </cell>
          <cell r="G132">
            <v>0.91534311374252497</v>
          </cell>
          <cell r="H132">
            <v>12.053609919575633</v>
          </cell>
          <cell r="I132">
            <v>10.984117364910301</v>
          </cell>
        </row>
        <row r="133">
          <cell r="A133" t="str">
            <v>NTPL TUTICORIN (JV) TPP2</v>
          </cell>
          <cell r="B133" t="str">
            <v>NTPL TUTICORIN (JV) TPP</v>
          </cell>
          <cell r="C133" t="str">
            <v xml:space="preserve"> 0-5 years</v>
          </cell>
          <cell r="D133">
            <v>4.8432580424366796</v>
          </cell>
          <cell r="E133">
            <v>500</v>
          </cell>
          <cell r="F133">
            <v>12.916746868130126</v>
          </cell>
          <cell r="G133">
            <v>0.47051765251485494</v>
          </cell>
          <cell r="H133">
            <v>12.058009840177959</v>
          </cell>
          <cell r="I133">
            <v>5.6462118301782596</v>
          </cell>
        </row>
        <row r="134">
          <cell r="A134" t="str">
            <v>STERLITE TPP2</v>
          </cell>
          <cell r="B134" t="str">
            <v>STERLITE TPP UNIT 1-2</v>
          </cell>
          <cell r="C134" t="str">
            <v xml:space="preserve"> 5-10 years</v>
          </cell>
          <cell r="D134">
            <v>9.4236824093086895</v>
          </cell>
          <cell r="E134">
            <v>600</v>
          </cell>
          <cell r="F134">
            <v>19.006065585457648</v>
          </cell>
          <cell r="G134">
            <v>9.4808093316785413E-2</v>
          </cell>
          <cell r="H134">
            <v>12.067463619780973</v>
          </cell>
          <cell r="I134">
            <v>1.36523654376171</v>
          </cell>
        </row>
        <row r="135">
          <cell r="A135" t="str">
            <v>NTPL TUTICORIN (JV) TPP1</v>
          </cell>
          <cell r="B135" t="str">
            <v>NTPL TUTICORIN (JV) TPP</v>
          </cell>
          <cell r="C135" t="str">
            <v xml:space="preserve"> 5-10 years</v>
          </cell>
          <cell r="D135">
            <v>5.1772758384667998</v>
          </cell>
          <cell r="E135">
            <v>500</v>
          </cell>
          <cell r="F135">
            <v>12.916746868130126</v>
          </cell>
          <cell r="G135">
            <v>0.68357893996116748</v>
          </cell>
          <cell r="H135">
            <v>12.075325656741958</v>
          </cell>
          <cell r="I135">
            <v>8.2029472795340101</v>
          </cell>
        </row>
        <row r="136">
          <cell r="A136" t="str">
            <v>CHANDRAPUR STPS8</v>
          </cell>
          <cell r="B136" t="str">
            <v>CHANDRAPUR UNITS 8-9</v>
          </cell>
          <cell r="C136" t="str">
            <v xml:space="preserve"> 5-10 years</v>
          </cell>
          <cell r="D136">
            <v>5.1772758384667998</v>
          </cell>
          <cell r="E136">
            <v>500</v>
          </cell>
          <cell r="F136">
            <v>13.26</v>
          </cell>
          <cell r="G136">
            <v>0.71303710080381744</v>
          </cell>
          <cell r="H136">
            <v>12.075325656741958</v>
          </cell>
          <cell r="I136">
            <v>8.5564452096458101</v>
          </cell>
        </row>
        <row r="137">
          <cell r="A137" t="str">
            <v>RAJIV GANDHI TPS2</v>
          </cell>
          <cell r="B137" t="str">
            <v>RAJIV GANDHI TPS</v>
          </cell>
          <cell r="C137" t="str">
            <v xml:space="preserve"> 5-10 years</v>
          </cell>
          <cell r="D137">
            <v>9.5906913073237501</v>
          </cell>
          <cell r="E137">
            <v>600</v>
          </cell>
          <cell r="F137">
            <v>14.087555813202233</v>
          </cell>
          <cell r="G137">
            <v>0.36243595076625484</v>
          </cell>
          <cell r="H137">
            <v>12.076121528062972</v>
          </cell>
          <cell r="I137">
            <v>5.2190776910340704</v>
          </cell>
        </row>
        <row r="138">
          <cell r="A138" t="str">
            <v>RAJIV GANDHI TPS1</v>
          </cell>
          <cell r="B138" t="str">
            <v>RAJIV GANDHI TPS</v>
          </cell>
          <cell r="C138" t="str">
            <v xml:space="preserve"> 10-15 years</v>
          </cell>
          <cell r="D138">
            <v>10.17659137577</v>
          </cell>
          <cell r="E138">
            <v>600</v>
          </cell>
          <cell r="F138">
            <v>14.087555813202233</v>
          </cell>
          <cell r="G138">
            <v>0.28012452483425343</v>
          </cell>
          <cell r="H138">
            <v>12.106495173511293</v>
          </cell>
          <cell r="I138">
            <v>4.0337931576132497</v>
          </cell>
        </row>
        <row r="139">
          <cell r="A139" t="str">
            <v>STERLITE TPP1</v>
          </cell>
          <cell r="B139" t="str">
            <v>STERLITE TPP UNIT 1-2</v>
          </cell>
          <cell r="C139" t="str">
            <v xml:space="preserve"> 10-15 years</v>
          </cell>
          <cell r="D139">
            <v>10.17659137577</v>
          </cell>
          <cell r="E139">
            <v>600</v>
          </cell>
          <cell r="F139">
            <v>19.006065585457648</v>
          </cell>
          <cell r="G139">
            <v>7.7964456391875691E-3</v>
          </cell>
          <cell r="H139">
            <v>12.106495173511293</v>
          </cell>
          <cell r="I139">
            <v>0.112268817204301</v>
          </cell>
        </row>
        <row r="140">
          <cell r="A140" t="str">
            <v>MARWA TPS1</v>
          </cell>
          <cell r="B140" t="str">
            <v>MARWA TPS</v>
          </cell>
          <cell r="C140" t="str">
            <v xml:space="preserve"> 5-10 years</v>
          </cell>
          <cell r="D140">
            <v>6.1765913757700197</v>
          </cell>
          <cell r="E140">
            <v>500</v>
          </cell>
          <cell r="F140">
            <v>13.87135392809698</v>
          </cell>
          <cell r="G140">
            <v>0.64821024585261922</v>
          </cell>
          <cell r="H140">
            <v>12.127131173511295</v>
          </cell>
          <cell r="I140">
            <v>7.7785229502314301</v>
          </cell>
        </row>
        <row r="141">
          <cell r="A141" t="str">
            <v>VALLUR TPP3</v>
          </cell>
          <cell r="B141" t="str">
            <v>VALLUR TPP</v>
          </cell>
          <cell r="C141" t="str">
            <v xml:space="preserve"> 5-10 years</v>
          </cell>
          <cell r="D141">
            <v>6.2532511978097096</v>
          </cell>
          <cell r="E141">
            <v>500</v>
          </cell>
          <cell r="F141">
            <v>15.253941181453632</v>
          </cell>
          <cell r="G141">
            <v>0.42683032446050334</v>
          </cell>
          <cell r="H141">
            <v>12.131105295345654</v>
          </cell>
          <cell r="I141">
            <v>5.1219638935260399</v>
          </cell>
        </row>
        <row r="142">
          <cell r="A142" t="str">
            <v>RIHAND STPS6</v>
          </cell>
          <cell r="B142" t="str">
            <v>RIHAND STPS UNIT 5-6</v>
          </cell>
          <cell r="C142" t="str">
            <v xml:space="preserve"> 5-10 years</v>
          </cell>
          <cell r="D142">
            <v>6.5900068446269602</v>
          </cell>
          <cell r="E142">
            <v>500</v>
          </cell>
          <cell r="F142">
            <v>11.988793386992912</v>
          </cell>
          <cell r="G142">
            <v>0.95479927631229988</v>
          </cell>
          <cell r="H142">
            <v>12.148563044832308</v>
          </cell>
          <cell r="I142">
            <v>11.457591315747599</v>
          </cell>
        </row>
        <row r="143">
          <cell r="A143" t="str">
            <v>MAITHON RB TPP2</v>
          </cell>
          <cell r="B143" t="str">
            <v>MAITHON RB TPP</v>
          </cell>
          <cell r="C143" t="str">
            <v xml:space="preserve"> 5-10 years</v>
          </cell>
          <cell r="D143">
            <v>7.8412046543463303</v>
          </cell>
          <cell r="E143">
            <v>525</v>
          </cell>
          <cell r="F143">
            <v>11.893285158878017</v>
          </cell>
          <cell r="G143">
            <v>0.77495785027231356</v>
          </cell>
          <cell r="H143">
            <v>12.156426390485969</v>
          </cell>
          <cell r="I143">
            <v>9.7644689134311502</v>
          </cell>
        </row>
        <row r="144">
          <cell r="A144" t="str">
            <v>KORBA-WEST TPS5</v>
          </cell>
          <cell r="B144" t="str">
            <v>KORBA-WEST TPS UNIT 5</v>
          </cell>
          <cell r="C144" t="str">
            <v xml:space="preserve"> 5-10 years</v>
          </cell>
          <cell r="D144">
            <v>6.8418891170431202</v>
          </cell>
          <cell r="E144">
            <v>500</v>
          </cell>
          <cell r="F144">
            <v>13.26</v>
          </cell>
          <cell r="G144">
            <v>0.86924798902071676</v>
          </cell>
          <cell r="H144">
            <v>12.161620873716632</v>
          </cell>
          <cell r="I144">
            <v>10.4309758682486</v>
          </cell>
        </row>
        <row r="145">
          <cell r="A145" t="str">
            <v>UKAI TPS6</v>
          </cell>
          <cell r="B145" t="str">
            <v>UKAI TPS UNIT 6</v>
          </cell>
          <cell r="C145" t="str">
            <v xml:space="preserve"> 5-10 years</v>
          </cell>
          <cell r="D145">
            <v>7.1759069130732298</v>
          </cell>
          <cell r="E145">
            <v>500</v>
          </cell>
          <cell r="F145">
            <v>12.782661442187354</v>
          </cell>
          <cell r="G145">
            <v>0.71309917780484999</v>
          </cell>
          <cell r="H145">
            <v>12.178936690280629</v>
          </cell>
          <cell r="I145">
            <v>8.5571901336581995</v>
          </cell>
        </row>
        <row r="146">
          <cell r="A146" t="str">
            <v>VINDHYACHAL STPS12</v>
          </cell>
          <cell r="B146" t="str">
            <v>VINDHYACHAL STPS UNIT 11-12</v>
          </cell>
          <cell r="C146" t="str">
            <v xml:space="preserve"> 5-10 years</v>
          </cell>
          <cell r="D146">
            <v>7.1759069130732298</v>
          </cell>
          <cell r="E146">
            <v>500</v>
          </cell>
          <cell r="F146">
            <v>13.17</v>
          </cell>
          <cell r="G146">
            <v>0.93945392264185013</v>
          </cell>
          <cell r="H146">
            <v>12.178936690280629</v>
          </cell>
          <cell r="I146">
            <v>11.273447071702201</v>
          </cell>
        </row>
        <row r="147">
          <cell r="A147" t="str">
            <v>MAUDA TPS2</v>
          </cell>
          <cell r="B147" t="str">
            <v>MAUDA TPS UNIT 1-2</v>
          </cell>
          <cell r="C147" t="str">
            <v xml:space="preserve"> 5-10 years</v>
          </cell>
          <cell r="D147">
            <v>7.1759069130732298</v>
          </cell>
          <cell r="E147">
            <v>500</v>
          </cell>
          <cell r="F147">
            <v>13.804955606107397</v>
          </cell>
          <cell r="G147">
            <v>0.53211521244945836</v>
          </cell>
          <cell r="H147">
            <v>12.178936690280629</v>
          </cell>
          <cell r="I147">
            <v>6.3853825493935004</v>
          </cell>
        </row>
        <row r="148">
          <cell r="A148" t="str">
            <v>KODARMA TPS2</v>
          </cell>
          <cell r="B148" t="str">
            <v>KODARMA TPS</v>
          </cell>
          <cell r="C148" t="str">
            <v xml:space="preserve"> 5-10 years</v>
          </cell>
          <cell r="D148">
            <v>7.2525667351129304</v>
          </cell>
          <cell r="E148">
            <v>500</v>
          </cell>
          <cell r="F148">
            <v>12.076740106364001</v>
          </cell>
          <cell r="G148">
            <v>0.67310131779284421</v>
          </cell>
          <cell r="H148">
            <v>12.18291081211499</v>
          </cell>
          <cell r="I148">
            <v>8.0772158135141296</v>
          </cell>
        </row>
        <row r="149">
          <cell r="A149" t="str">
            <v>VALLUR TPP2</v>
          </cell>
          <cell r="B149" t="str">
            <v>VALLUR TPP</v>
          </cell>
          <cell r="C149" t="str">
            <v xml:space="preserve"> 5-10 years</v>
          </cell>
          <cell r="D149">
            <v>7.2525667351129304</v>
          </cell>
          <cell r="E149">
            <v>500</v>
          </cell>
          <cell r="F149">
            <v>15.253941181453632</v>
          </cell>
          <cell r="G149">
            <v>0.52009688984232916</v>
          </cell>
          <cell r="H149">
            <v>12.18291081211499</v>
          </cell>
          <cell r="I149">
            <v>6.2411626781079503</v>
          </cell>
        </row>
        <row r="150">
          <cell r="A150" t="str">
            <v>INDIRA GANDHI STPP3</v>
          </cell>
          <cell r="B150" t="str">
            <v>INDIRA GANDHI STPP</v>
          </cell>
          <cell r="C150" t="str">
            <v xml:space="preserve"> 5-10 years</v>
          </cell>
          <cell r="D150">
            <v>7.5044490075290797</v>
          </cell>
          <cell r="E150">
            <v>500</v>
          </cell>
          <cell r="F150">
            <v>13.277409991486449</v>
          </cell>
          <cell r="G150">
            <v>0.53257943464519586</v>
          </cell>
          <cell r="H150">
            <v>12.195968640999315</v>
          </cell>
          <cell r="I150">
            <v>6.3909532157423499</v>
          </cell>
        </row>
        <row r="151">
          <cell r="A151" t="str">
            <v>MAITHON RB TPP1</v>
          </cell>
          <cell r="B151" t="str">
            <v>MAITHON RB TPP</v>
          </cell>
          <cell r="C151" t="str">
            <v xml:space="preserve"> 5-10 years</v>
          </cell>
          <cell r="D151">
            <v>8.6735112936344905</v>
          </cell>
          <cell r="E151">
            <v>525</v>
          </cell>
          <cell r="F151">
            <v>11.893285158878017</v>
          </cell>
          <cell r="G151">
            <v>0.7233558897921627</v>
          </cell>
          <cell r="H151">
            <v>12.199573998973307</v>
          </cell>
          <cell r="I151">
            <v>9.1142842113812499</v>
          </cell>
        </row>
        <row r="152">
          <cell r="A152" t="str">
            <v>VINDHYACHAL STPS11</v>
          </cell>
          <cell r="B152" t="str">
            <v>VINDHYACHAL STPS UNIT 11-12</v>
          </cell>
          <cell r="C152" t="str">
            <v xml:space="preserve"> 5-10 years</v>
          </cell>
          <cell r="D152">
            <v>7.9233401779603003</v>
          </cell>
          <cell r="E152">
            <v>500</v>
          </cell>
          <cell r="F152">
            <v>13.17</v>
          </cell>
          <cell r="G152">
            <v>0.91532930144310842</v>
          </cell>
          <cell r="H152">
            <v>12.217684378165639</v>
          </cell>
          <cell r="I152">
            <v>10.983951617317301</v>
          </cell>
        </row>
        <row r="153">
          <cell r="A153" t="str">
            <v>RIHAND STPS5</v>
          </cell>
          <cell r="B153" t="str">
            <v>RIHAND STPS UNIT 5-6</v>
          </cell>
          <cell r="C153" t="str">
            <v xml:space="preserve"> 5-10 years</v>
          </cell>
          <cell r="D153">
            <v>8.00821355236139</v>
          </cell>
          <cell r="E153">
            <v>500</v>
          </cell>
          <cell r="F153">
            <v>11.988793386992912</v>
          </cell>
          <cell r="G153">
            <v>0.90138437696794171</v>
          </cell>
          <cell r="H153">
            <v>12.222084298767967</v>
          </cell>
          <cell r="I153">
            <v>10.8166125236153</v>
          </cell>
        </row>
        <row r="154">
          <cell r="A154" t="str">
            <v>MAUDA TPS1</v>
          </cell>
          <cell r="B154" t="str">
            <v>MAUDA TPS UNIT 1-2</v>
          </cell>
          <cell r="C154" t="str">
            <v xml:space="preserve"> 5-10 years</v>
          </cell>
          <cell r="D154">
            <v>8.0903490759753591</v>
          </cell>
          <cell r="E154">
            <v>500</v>
          </cell>
          <cell r="F154">
            <v>13.804955606107397</v>
          </cell>
          <cell r="G154">
            <v>0.61786222595947249</v>
          </cell>
          <cell r="H154">
            <v>12.22634228644764</v>
          </cell>
          <cell r="I154">
            <v>7.4143467115136703</v>
          </cell>
        </row>
        <row r="155">
          <cell r="A155" t="str">
            <v>DURGAPUR STEEL TPS2</v>
          </cell>
          <cell r="B155" t="str">
            <v>DURGAPUR STEEL TPS</v>
          </cell>
          <cell r="C155" t="str">
            <v xml:space="preserve"> 5-10 years</v>
          </cell>
          <cell r="D155">
            <v>8.1752224503764506</v>
          </cell>
          <cell r="E155">
            <v>500</v>
          </cell>
          <cell r="F155">
            <v>13.008347095119248</v>
          </cell>
          <cell r="G155">
            <v>0.76825189709612673</v>
          </cell>
          <cell r="H155">
            <v>12.230742207049966</v>
          </cell>
          <cell r="I155">
            <v>9.2190227651535199</v>
          </cell>
        </row>
        <row r="156">
          <cell r="A156" t="str">
            <v>SIMHADRI STPP4</v>
          </cell>
          <cell r="B156" t="str">
            <v>SIMHADRI STPP UNIT 3-4</v>
          </cell>
          <cell r="C156" t="str">
            <v xml:space="preserve"> 5-10 years</v>
          </cell>
          <cell r="D156">
            <v>8.1752224503764506</v>
          </cell>
          <cell r="E156">
            <v>500</v>
          </cell>
          <cell r="F156">
            <v>13.17</v>
          </cell>
          <cell r="G156">
            <v>0.6826857415058466</v>
          </cell>
          <cell r="H156">
            <v>12.230742207049966</v>
          </cell>
          <cell r="I156">
            <v>8.1922288980701605</v>
          </cell>
        </row>
        <row r="157">
          <cell r="A157" t="str">
            <v>BHUSAWAL TPS5</v>
          </cell>
          <cell r="B157" t="str">
            <v>BHUSAWAL TPS UNIT 4-5</v>
          </cell>
          <cell r="C157" t="str">
            <v xml:space="preserve"> 5-10 years</v>
          </cell>
          <cell r="D157">
            <v>8.1752224503764506</v>
          </cell>
          <cell r="E157">
            <v>500</v>
          </cell>
          <cell r="F157">
            <v>13.26</v>
          </cell>
          <cell r="G157">
            <v>0.69700316923271577</v>
          </cell>
          <cell r="H157">
            <v>12.230742207049966</v>
          </cell>
          <cell r="I157">
            <v>8.3640380307925906</v>
          </cell>
        </row>
        <row r="158">
          <cell r="A158" t="str">
            <v>BHUSAWAL TPS4</v>
          </cell>
          <cell r="B158" t="str">
            <v>BHUSAWAL TPS UNIT 4-5</v>
          </cell>
          <cell r="C158" t="str">
            <v xml:space="preserve"> 5-10 years</v>
          </cell>
          <cell r="D158">
            <v>8.1752224503764506</v>
          </cell>
          <cell r="E158">
            <v>500</v>
          </cell>
          <cell r="F158">
            <v>13.26</v>
          </cell>
          <cell r="G158">
            <v>0.69021110993402424</v>
          </cell>
          <cell r="H158">
            <v>12.230742207049966</v>
          </cell>
          <cell r="I158">
            <v>8.2825333192082908</v>
          </cell>
        </row>
        <row r="159">
          <cell r="A159" t="str">
            <v>BELLARY TPS2</v>
          </cell>
          <cell r="B159" t="str">
            <v>BELLARY TPS UNIT 2</v>
          </cell>
          <cell r="C159" t="str">
            <v xml:space="preserve"> 5-10 years</v>
          </cell>
          <cell r="D159">
            <v>8.1752224503764506</v>
          </cell>
          <cell r="E159">
            <v>500</v>
          </cell>
          <cell r="F159">
            <v>13.352648309991732</v>
          </cell>
          <cell r="G159">
            <v>0.43364948885004417</v>
          </cell>
          <cell r="H159">
            <v>12.230742207049966</v>
          </cell>
          <cell r="I159">
            <v>5.2037938662005301</v>
          </cell>
        </row>
        <row r="160">
          <cell r="A160" t="str">
            <v>VALLUR TPP1</v>
          </cell>
          <cell r="B160" t="str">
            <v>VALLUR TPP</v>
          </cell>
          <cell r="C160" t="str">
            <v xml:space="preserve"> 5-10 years</v>
          </cell>
          <cell r="D160">
            <v>8.1752224503764506</v>
          </cell>
          <cell r="E160">
            <v>500</v>
          </cell>
          <cell r="F160">
            <v>15.253941181453632</v>
          </cell>
          <cell r="G160">
            <v>0.52164714791861588</v>
          </cell>
          <cell r="H160">
            <v>12.230742207049966</v>
          </cell>
          <cell r="I160">
            <v>6.2597657750233902</v>
          </cell>
        </row>
        <row r="161">
          <cell r="A161" t="str">
            <v>INDIRA GANDHI STPP2</v>
          </cell>
          <cell r="B161" t="str">
            <v>INDIRA GANDHI STPP</v>
          </cell>
          <cell r="C161" t="str">
            <v xml:space="preserve"> 5-10 years</v>
          </cell>
          <cell r="D161">
            <v>8.5065023956194299</v>
          </cell>
          <cell r="E161">
            <v>500</v>
          </cell>
          <cell r="F161">
            <v>13.277409991486449</v>
          </cell>
          <cell r="G161">
            <v>0.43848040488844081</v>
          </cell>
          <cell r="H161">
            <v>12.247916090691307</v>
          </cell>
          <cell r="I161">
            <v>5.26176485866129</v>
          </cell>
        </row>
        <row r="162">
          <cell r="A162" t="str">
            <v>KHAPARKHEDA TPS5</v>
          </cell>
          <cell r="B162" t="str">
            <v>KHAPARKHEDA TPS UNIT 5</v>
          </cell>
          <cell r="C162" t="str">
            <v xml:space="preserve"> 5-10 years</v>
          </cell>
          <cell r="D162">
            <v>8.7583846680355908</v>
          </cell>
          <cell r="E162">
            <v>500</v>
          </cell>
          <cell r="F162">
            <v>13.26</v>
          </cell>
          <cell r="G162">
            <v>0.71149685198427415</v>
          </cell>
          <cell r="H162">
            <v>12.260973919575633</v>
          </cell>
          <cell r="I162">
            <v>8.5379622238112898</v>
          </cell>
        </row>
        <row r="163">
          <cell r="A163" t="str">
            <v>KODARMA TPS1</v>
          </cell>
          <cell r="B163" t="str">
            <v>KODARMA TPS</v>
          </cell>
          <cell r="C163" t="str">
            <v xml:space="preserve"> 5-10 years</v>
          </cell>
          <cell r="D163">
            <v>8.8432580424366805</v>
          </cell>
          <cell r="E163">
            <v>500</v>
          </cell>
          <cell r="F163">
            <v>12.076740106364001</v>
          </cell>
          <cell r="G163">
            <v>0.80142073406077252</v>
          </cell>
          <cell r="H163">
            <v>12.265373840177961</v>
          </cell>
          <cell r="I163">
            <v>9.6170488087292707</v>
          </cell>
        </row>
        <row r="164">
          <cell r="A164" t="str">
            <v>DURGAPUR STEEL TPS1</v>
          </cell>
          <cell r="B164" t="str">
            <v>DURGAPUR STEEL TPS</v>
          </cell>
          <cell r="C164" t="str">
            <v xml:space="preserve"> 5-10 years</v>
          </cell>
          <cell r="D164">
            <v>8.8432580424366805</v>
          </cell>
          <cell r="E164">
            <v>500</v>
          </cell>
          <cell r="F164">
            <v>13.008347095119248</v>
          </cell>
          <cell r="G164">
            <v>0.69768015366868497</v>
          </cell>
          <cell r="H164">
            <v>12.265373840177961</v>
          </cell>
          <cell r="I164">
            <v>8.3721618440242196</v>
          </cell>
        </row>
        <row r="165">
          <cell r="A165" t="str">
            <v>KOTHAGUDEM NEW TPS11</v>
          </cell>
          <cell r="B165" t="str">
            <v>KOTHAGUDEM NEW TPS UNIT 11</v>
          </cell>
          <cell r="C165" t="str">
            <v xml:space="preserve"> 5-10 years</v>
          </cell>
          <cell r="D165">
            <v>8.9253935660506496</v>
          </cell>
          <cell r="E165">
            <v>500</v>
          </cell>
          <cell r="F165">
            <v>13.26</v>
          </cell>
          <cell r="G165">
            <v>0.84102828657355833</v>
          </cell>
          <cell r="H165">
            <v>12.269631827857634</v>
          </cell>
          <cell r="I165">
            <v>10.0923394388827</v>
          </cell>
        </row>
        <row r="166">
          <cell r="A166" t="str">
            <v>SIMHADRI STPP3</v>
          </cell>
          <cell r="B166" t="str">
            <v>SIMHADRI STPP UNIT 3-4</v>
          </cell>
          <cell r="C166" t="str">
            <v xml:space="preserve"> 5-10 years</v>
          </cell>
          <cell r="D166">
            <v>9.1772758384667998</v>
          </cell>
          <cell r="E166">
            <v>500</v>
          </cell>
          <cell r="F166">
            <v>13.17</v>
          </cell>
          <cell r="G166">
            <v>0.64471818429942662</v>
          </cell>
          <cell r="H166">
            <v>12.282689656741958</v>
          </cell>
          <cell r="I166">
            <v>7.7366182115931199</v>
          </cell>
        </row>
        <row r="167">
          <cell r="A167" t="str">
            <v>MEJIA TPS8</v>
          </cell>
          <cell r="B167" t="str">
            <v>MEJIA TPS</v>
          </cell>
          <cell r="C167" t="str">
            <v xml:space="preserve"> 5-10 years</v>
          </cell>
          <cell r="D167">
            <v>9.1772758384667998</v>
          </cell>
          <cell r="E167">
            <v>500</v>
          </cell>
          <cell r="F167">
            <v>13.453362729299833</v>
          </cell>
          <cell r="G167">
            <v>0.57972006629941497</v>
          </cell>
          <cell r="H167">
            <v>12.282689656741958</v>
          </cell>
          <cell r="I167">
            <v>6.9566407955929801</v>
          </cell>
        </row>
        <row r="168">
          <cell r="A168" t="str">
            <v>FARAKKA STPS6</v>
          </cell>
          <cell r="B168" t="str">
            <v>FARAKKA STPS UNIT 6</v>
          </cell>
          <cell r="C168" t="str">
            <v xml:space="preserve"> 5-10 years</v>
          </cell>
          <cell r="D168">
            <v>9.1772758384667998</v>
          </cell>
          <cell r="E168">
            <v>500</v>
          </cell>
          <cell r="F168">
            <v>13.797597415656467</v>
          </cell>
          <cell r="G168">
            <v>0.72470492507842332</v>
          </cell>
          <cell r="H168">
            <v>12.282689656741958</v>
          </cell>
          <cell r="I168">
            <v>8.6964591009410803</v>
          </cell>
        </row>
        <row r="169">
          <cell r="A169" t="str">
            <v>KORBA STPS7</v>
          </cell>
          <cell r="B169" t="str">
            <v>KORBA STPS UNIT 7</v>
          </cell>
          <cell r="C169" t="str">
            <v xml:space="preserve"> 5-10 years</v>
          </cell>
          <cell r="D169">
            <v>9.5058179329226498</v>
          </cell>
          <cell r="E169">
            <v>500</v>
          </cell>
          <cell r="F169">
            <v>13.756578546042785</v>
          </cell>
          <cell r="G169">
            <v>0.90573937567599172</v>
          </cell>
          <cell r="H169">
            <v>12.299721607460643</v>
          </cell>
          <cell r="I169">
            <v>10.868872508111901</v>
          </cell>
        </row>
        <row r="170">
          <cell r="A170" t="str">
            <v>INDIRA GANDHI STPP1</v>
          </cell>
          <cell r="B170" t="str">
            <v>INDIRA GANDHI STPP</v>
          </cell>
          <cell r="C170" t="str">
            <v xml:space="preserve"> 5-10 years</v>
          </cell>
          <cell r="D170">
            <v>9.5906913073237501</v>
          </cell>
          <cell r="E170">
            <v>500</v>
          </cell>
          <cell r="F170">
            <v>13.277409991486449</v>
          </cell>
          <cell r="G170">
            <v>0.43200111955196252</v>
          </cell>
          <cell r="H170">
            <v>12.304121528062971</v>
          </cell>
          <cell r="I170">
            <v>5.1840134346235498</v>
          </cell>
        </row>
        <row r="171">
          <cell r="A171" t="str">
            <v>MEJIA TPS7</v>
          </cell>
          <cell r="B171" t="str">
            <v>MEJIA TPS</v>
          </cell>
          <cell r="C171" t="str">
            <v xml:space="preserve"> 5-10 years</v>
          </cell>
          <cell r="D171">
            <v>9.6728268309377103</v>
          </cell>
          <cell r="E171">
            <v>500</v>
          </cell>
          <cell r="F171">
            <v>13.453362729299833</v>
          </cell>
          <cell r="G171">
            <v>0.64900745547336824</v>
          </cell>
          <cell r="H171">
            <v>12.308379515742642</v>
          </cell>
          <cell r="I171">
            <v>7.7880894656804198</v>
          </cell>
        </row>
        <row r="172">
          <cell r="A172" t="str">
            <v>KAKATIYA TPS1</v>
          </cell>
          <cell r="B172" t="str">
            <v>KAKATIYA TPS UNIT 1</v>
          </cell>
          <cell r="C172" t="str">
            <v xml:space="preserve"> 5-10 years</v>
          </cell>
          <cell r="D172">
            <v>10.009582477754901</v>
          </cell>
          <cell r="E172">
            <v>500</v>
          </cell>
          <cell r="F172">
            <v>11.452512398321444</v>
          </cell>
          <cell r="G172">
            <v>0.80149749074040832</v>
          </cell>
          <cell r="H172">
            <v>12.325837265229293</v>
          </cell>
          <cell r="I172">
            <v>9.6179698888849003</v>
          </cell>
        </row>
        <row r="173">
          <cell r="A173" t="str">
            <v>DADRI (NCTPP)6</v>
          </cell>
          <cell r="B173" t="str">
            <v>DADRI (NCTPP) UNIT 5-6</v>
          </cell>
          <cell r="C173" t="str">
            <v xml:space="preserve"> 5-10 years</v>
          </cell>
          <cell r="D173">
            <v>9.8425735797399003</v>
          </cell>
          <cell r="E173">
            <v>490</v>
          </cell>
          <cell r="F173">
            <v>13.292014502958034</v>
          </cell>
          <cell r="G173">
            <v>0.58915024241150082</v>
          </cell>
          <cell r="H173">
            <v>12.339979356947296</v>
          </cell>
          <cell r="I173">
            <v>6.9284068507592496</v>
          </cell>
        </row>
        <row r="174">
          <cell r="A174" t="str">
            <v>UCHPINDA TPP3</v>
          </cell>
          <cell r="C174" t="str">
            <v xml:space="preserve"> 0-5 years</v>
          </cell>
          <cell r="D174">
            <v>4.33949349760438</v>
          </cell>
          <cell r="E174">
            <v>360</v>
          </cell>
          <cell r="F174">
            <v>14.589000742807398</v>
          </cell>
          <cell r="G174">
            <v>0.11913419661181829</v>
          </cell>
          <cell r="H174">
            <v>12.351094182409309</v>
          </cell>
          <cell r="I174">
            <v>1.0293194587261101</v>
          </cell>
        </row>
        <row r="175">
          <cell r="A175" t="str">
            <v>DR. N TATA RAO TPS7</v>
          </cell>
          <cell r="B175" t="str">
            <v>DR. N TATA RAO TPS UNIT 7</v>
          </cell>
          <cell r="C175" t="str">
            <v xml:space="preserve"> 10-15 years</v>
          </cell>
          <cell r="D175">
            <v>10.590006844626901</v>
          </cell>
          <cell r="E175">
            <v>500</v>
          </cell>
          <cell r="F175">
            <v>14.35</v>
          </cell>
          <cell r="G175">
            <v>0.71974602683359246</v>
          </cell>
          <cell r="H175">
            <v>12.355927044832303</v>
          </cell>
          <cell r="I175">
            <v>8.6369523220031095</v>
          </cell>
        </row>
        <row r="176">
          <cell r="A176" t="str">
            <v>UCHPINDA TPP1</v>
          </cell>
          <cell r="B176" t="str">
            <v>UCHPINDA TPP UNIT 1-2</v>
          </cell>
          <cell r="C176" t="str">
            <v xml:space="preserve"> 0-5 years</v>
          </cell>
          <cell r="D176">
            <v>4.5913757700205302</v>
          </cell>
          <cell r="E176">
            <v>360</v>
          </cell>
          <cell r="F176">
            <v>14.589000742807398</v>
          </cell>
          <cell r="G176">
            <v>0.23829861293053242</v>
          </cell>
          <cell r="H176">
            <v>12.364152011293635</v>
          </cell>
          <cell r="I176">
            <v>2.0589000157198001</v>
          </cell>
        </row>
        <row r="177">
          <cell r="A177" t="str">
            <v>DADRI (NCTPP)5</v>
          </cell>
          <cell r="B177" t="str">
            <v>DADRI (NCTPP) UNIT 5-6</v>
          </cell>
          <cell r="C177" t="str">
            <v xml:space="preserve"> 10-15 years</v>
          </cell>
          <cell r="D177">
            <v>10.3381245722108</v>
          </cell>
          <cell r="E177">
            <v>490</v>
          </cell>
          <cell r="F177">
            <v>13.292014502958034</v>
          </cell>
          <cell r="G177">
            <v>0.65189019166305606</v>
          </cell>
          <cell r="H177">
            <v>12.365669215947982</v>
          </cell>
          <cell r="I177">
            <v>7.6662286539575399</v>
          </cell>
        </row>
        <row r="178">
          <cell r="A178" t="str">
            <v>KAHALGAON TPS7</v>
          </cell>
          <cell r="B178" t="str">
            <v>KAHALGAON TPS UNIT 5-7</v>
          </cell>
          <cell r="C178" t="str">
            <v xml:space="preserve"> 10-15 years</v>
          </cell>
          <cell r="D178">
            <v>10.841889117043101</v>
          </cell>
          <cell r="E178">
            <v>500</v>
          </cell>
          <cell r="F178">
            <v>13.94</v>
          </cell>
          <cell r="G178">
            <v>0.8175466559959943</v>
          </cell>
          <cell r="H178">
            <v>12.368984873716633</v>
          </cell>
          <cell r="I178">
            <v>9.8105598719519307</v>
          </cell>
        </row>
        <row r="179">
          <cell r="A179" t="str">
            <v>BINJKOTE  TPP2</v>
          </cell>
          <cell r="C179" t="str">
            <v xml:space="preserve"> 0-5 years</v>
          </cell>
          <cell r="D179">
            <v>2.0917180013689198</v>
          </cell>
          <cell r="E179">
            <v>300</v>
          </cell>
          <cell r="F179">
            <v>16.009194928836298</v>
          </cell>
          <cell r="G179">
            <v>0.40377928016278608</v>
          </cell>
          <cell r="H179">
            <v>12.371367252908968</v>
          </cell>
          <cell r="I179">
            <v>2.9072108171720599</v>
          </cell>
        </row>
        <row r="180">
          <cell r="A180" t="str">
            <v>UCHPINDA TPP2</v>
          </cell>
          <cell r="B180" t="str">
            <v>UCHPINDA TPP UNIT 1-2</v>
          </cell>
          <cell r="C180" t="str">
            <v xml:space="preserve"> 0-5 years</v>
          </cell>
          <cell r="D180">
            <v>4.8240930869267604</v>
          </cell>
          <cell r="E180">
            <v>360</v>
          </cell>
          <cell r="F180">
            <v>14.589000742807398</v>
          </cell>
          <cell r="G180">
            <v>0.26868690870148498</v>
          </cell>
          <cell r="H180">
            <v>12.376216309719371</v>
          </cell>
          <cell r="I180">
            <v>2.3214548911808301</v>
          </cell>
        </row>
        <row r="181">
          <cell r="A181" t="str">
            <v>SIPAT STPS5</v>
          </cell>
          <cell r="B181" t="str">
            <v>SIPAT STPS UNIT 4-5</v>
          </cell>
          <cell r="C181" t="str">
            <v xml:space="preserve"> 10-15 years</v>
          </cell>
          <cell r="D181">
            <v>11.337440109514</v>
          </cell>
          <cell r="E181">
            <v>500</v>
          </cell>
          <cell r="F181">
            <v>12.562502818164178</v>
          </cell>
          <cell r="G181">
            <v>0.88183905426009168</v>
          </cell>
          <cell r="H181">
            <v>12.394674732717316</v>
          </cell>
          <cell r="I181">
            <v>10.5820686511211</v>
          </cell>
        </row>
        <row r="182">
          <cell r="A182" t="str">
            <v>BINJKOTE  TPP1</v>
          </cell>
          <cell r="C182" t="str">
            <v xml:space="preserve"> 0-5 years</v>
          </cell>
          <cell r="D182">
            <v>3.0910335386721401</v>
          </cell>
          <cell r="E182">
            <v>300</v>
          </cell>
          <cell r="F182">
            <v>16.009194928836298</v>
          </cell>
          <cell r="G182">
            <v>0.35035059952955694</v>
          </cell>
          <cell r="H182">
            <v>12.423172769678303</v>
          </cell>
          <cell r="I182">
            <v>2.52252431661281</v>
          </cell>
        </row>
        <row r="183">
          <cell r="A183" t="str">
            <v>NAWAPARA TPP2</v>
          </cell>
          <cell r="B183" t="str">
            <v>NAWAPARA TPP</v>
          </cell>
          <cell r="C183" t="str">
            <v xml:space="preserve"> 0-5 years</v>
          </cell>
          <cell r="D183">
            <v>3.0910335386721401</v>
          </cell>
          <cell r="E183">
            <v>300</v>
          </cell>
          <cell r="F183">
            <v>16.062415005950214</v>
          </cell>
          <cell r="G183">
            <v>0.53894574944873053</v>
          </cell>
          <cell r="H183">
            <v>12.423172769678303</v>
          </cell>
          <cell r="I183">
            <v>3.8804093960308599</v>
          </cell>
        </row>
        <row r="184">
          <cell r="A184" t="str">
            <v>SIPAT STPS4</v>
          </cell>
          <cell r="B184" t="str">
            <v>SIPAT STPS UNIT 4-5</v>
          </cell>
          <cell r="C184" t="str">
            <v xml:space="preserve"> 10-15 years</v>
          </cell>
          <cell r="D184">
            <v>11.9233401779603</v>
          </cell>
          <cell r="E184">
            <v>500</v>
          </cell>
          <cell r="F184">
            <v>12.562502818164178</v>
          </cell>
          <cell r="G184">
            <v>0.87458164531725002</v>
          </cell>
          <cell r="H184">
            <v>12.425048378165641</v>
          </cell>
          <cell r="I184">
            <v>10.494979743807001</v>
          </cell>
        </row>
        <row r="185">
          <cell r="A185" t="str">
            <v>KAHALGAON TPS6</v>
          </cell>
          <cell r="B185" t="str">
            <v>KAHALGAON TPS UNIT 5-7</v>
          </cell>
          <cell r="C185" t="str">
            <v xml:space="preserve"> 10-15 years</v>
          </cell>
          <cell r="D185">
            <v>12.175222450376401</v>
          </cell>
          <cell r="E185">
            <v>500</v>
          </cell>
          <cell r="F185">
            <v>13.94</v>
          </cell>
          <cell r="G185">
            <v>0.76161708100122993</v>
          </cell>
          <cell r="H185">
            <v>12.438106207049964</v>
          </cell>
          <cell r="I185">
            <v>9.1394049720147592</v>
          </cell>
        </row>
        <row r="186">
          <cell r="A186" t="str">
            <v>NABI NAGAR TPP3</v>
          </cell>
          <cell r="B186" t="str">
            <v>NABI NAGAR TPP</v>
          </cell>
          <cell r="C186" t="str">
            <v xml:space="preserve"> 0-5 years</v>
          </cell>
          <cell r="D186">
            <v>1.2539356605065</v>
          </cell>
          <cell r="E186">
            <v>250</v>
          </cell>
          <cell r="F186">
            <v>13.012626096663118</v>
          </cell>
          <cell r="G186">
            <v>0.71148727455957672</v>
          </cell>
          <cell r="H186">
            <v>12.441935778576319</v>
          </cell>
          <cell r="I186">
            <v>4.2689236473574601</v>
          </cell>
        </row>
        <row r="187">
          <cell r="A187" t="str">
            <v>BONGAIGAON TPS3</v>
          </cell>
          <cell r="B187" t="str">
            <v>BONGAIGAON TPS</v>
          </cell>
          <cell r="C187" t="str">
            <v xml:space="preserve"> 0-5 years</v>
          </cell>
          <cell r="D187">
            <v>1.3388090349075901</v>
          </cell>
          <cell r="E187">
            <v>250</v>
          </cell>
          <cell r="F187">
            <v>11.648444335366905</v>
          </cell>
          <cell r="G187">
            <v>0.49649108696272165</v>
          </cell>
          <cell r="H187">
            <v>12.446335699178645</v>
          </cell>
          <cell r="I187">
            <v>2.9789465217763298</v>
          </cell>
        </row>
        <row r="188">
          <cell r="A188" t="str">
            <v>BELLARY TPS1</v>
          </cell>
          <cell r="B188" t="str">
            <v>BELLARY TPS UNIT 1</v>
          </cell>
          <cell r="C188" t="str">
            <v xml:space="preserve"> 10-15 years</v>
          </cell>
          <cell r="D188">
            <v>12.4243668720054</v>
          </cell>
          <cell r="E188">
            <v>500</v>
          </cell>
          <cell r="F188">
            <v>13.352648309991732</v>
          </cell>
          <cell r="G188">
            <v>0.32939362585412335</v>
          </cell>
          <cell r="H188">
            <v>12.451022103011633</v>
          </cell>
          <cell r="I188">
            <v>3.9527235102494802</v>
          </cell>
        </row>
        <row r="189">
          <cell r="A189" t="str">
            <v>NAWAPARA TPP1</v>
          </cell>
          <cell r="B189" t="str">
            <v>NAWAPARA TPP</v>
          </cell>
          <cell r="C189" t="str">
            <v xml:space="preserve"> 0-5 years</v>
          </cell>
          <cell r="D189">
            <v>3.7563312799452402</v>
          </cell>
          <cell r="E189">
            <v>300</v>
          </cell>
          <cell r="F189">
            <v>16.062415005950214</v>
          </cell>
          <cell r="G189">
            <v>0.57574403953393194</v>
          </cell>
          <cell r="H189">
            <v>12.457662469883642</v>
          </cell>
          <cell r="I189">
            <v>4.14535708464431</v>
          </cell>
        </row>
        <row r="190">
          <cell r="A190" t="str">
            <v>KAMALANGA TPS3</v>
          </cell>
          <cell r="B190" t="str">
            <v>KAMALANGA TPS</v>
          </cell>
          <cell r="C190" t="str">
            <v xml:space="preserve"> 5-10 years</v>
          </cell>
          <cell r="D190">
            <v>6.1765913757700197</v>
          </cell>
          <cell r="E190">
            <v>350</v>
          </cell>
          <cell r="F190">
            <v>14.73962112707283</v>
          </cell>
          <cell r="G190">
            <v>0.6679024307439666</v>
          </cell>
          <cell r="H190">
            <v>12.469131173511293</v>
          </cell>
          <cell r="I190">
            <v>5.6103804182493198</v>
          </cell>
        </row>
        <row r="191">
          <cell r="A191" t="str">
            <v>SANJAY GANDHI TPS5</v>
          </cell>
          <cell r="C191" t="str">
            <v xml:space="preserve"> 10-15 years</v>
          </cell>
          <cell r="D191">
            <v>12.9253935660506</v>
          </cell>
          <cell r="E191">
            <v>500</v>
          </cell>
          <cell r="F191">
            <v>13.707682017189684</v>
          </cell>
          <cell r="G191">
            <v>0.7927730313811342</v>
          </cell>
          <cell r="H191">
            <v>12.47699582785763</v>
          </cell>
          <cell r="I191">
            <v>9.5132763765736108</v>
          </cell>
        </row>
        <row r="192">
          <cell r="A192" t="str">
            <v>BALCO TPS2</v>
          </cell>
          <cell r="B192" t="str">
            <v>BALCO TPS</v>
          </cell>
          <cell r="C192" t="str">
            <v xml:space="preserve"> 0-5 years</v>
          </cell>
          <cell r="D192">
            <v>4.1752224503764497</v>
          </cell>
          <cell r="E192">
            <v>300</v>
          </cell>
          <cell r="F192">
            <v>13.41843071860092</v>
          </cell>
          <cell r="G192">
            <v>0.4858731133750403</v>
          </cell>
          <cell r="H192">
            <v>12.479378207049965</v>
          </cell>
          <cell r="I192">
            <v>3.49828641630029</v>
          </cell>
        </row>
        <row r="193">
          <cell r="A193" t="str">
            <v>VINDHYACHAL STPS10</v>
          </cell>
          <cell r="B193" t="str">
            <v>VINDHYACHAL STPS UNIT 9-10</v>
          </cell>
          <cell r="C193" t="str">
            <v xml:space="preserve"> 10-15 years</v>
          </cell>
          <cell r="D193">
            <v>13.1772758384668</v>
          </cell>
          <cell r="E193">
            <v>500</v>
          </cell>
          <cell r="F193">
            <v>13.831783033127248</v>
          </cell>
          <cell r="G193">
            <v>0.90758802681991668</v>
          </cell>
          <cell r="H193">
            <v>12.490053656741958</v>
          </cell>
          <cell r="I193">
            <v>10.891056321839001</v>
          </cell>
        </row>
        <row r="194">
          <cell r="A194" t="str">
            <v>KAHALGAON TPS5</v>
          </cell>
          <cell r="B194" t="str">
            <v>KAHALGAON TPS UNIT 5-7</v>
          </cell>
          <cell r="C194" t="str">
            <v xml:space="preserve"> 10-15 years</v>
          </cell>
          <cell r="D194">
            <v>13.1772758384668</v>
          </cell>
          <cell r="E194">
            <v>500</v>
          </cell>
          <cell r="F194">
            <v>13.94</v>
          </cell>
          <cell r="G194">
            <v>0.82720906658485915</v>
          </cell>
          <cell r="H194">
            <v>12.490053656741958</v>
          </cell>
          <cell r="I194">
            <v>9.9265087990183094</v>
          </cell>
        </row>
        <row r="195">
          <cell r="A195" t="str">
            <v>KAMALANGA TPS2</v>
          </cell>
          <cell r="B195" t="str">
            <v>KAMALANGA TPS</v>
          </cell>
          <cell r="C195" t="str">
            <v xml:space="preserve"> 5-10 years</v>
          </cell>
          <cell r="D195">
            <v>6.6721423682409302</v>
          </cell>
          <cell r="E195">
            <v>350</v>
          </cell>
          <cell r="F195">
            <v>14.73962112707283</v>
          </cell>
          <cell r="G195">
            <v>0.66671829245411063</v>
          </cell>
          <cell r="H195">
            <v>12.494821032511979</v>
          </cell>
          <cell r="I195">
            <v>5.6004336566145296</v>
          </cell>
        </row>
        <row r="196">
          <cell r="A196" t="str">
            <v>BARAUNI TPS8</v>
          </cell>
          <cell r="B196" t="str">
            <v>BARAUNI TPS</v>
          </cell>
          <cell r="C196" t="str">
            <v xml:space="preserve"> 0-5 years</v>
          </cell>
          <cell r="D196">
            <v>2.3381245722108099</v>
          </cell>
          <cell r="E196">
            <v>250</v>
          </cell>
          <cell r="F196">
            <v>13.53</v>
          </cell>
          <cell r="G196">
            <v>1.20163358147229E-2</v>
          </cell>
          <cell r="H196">
            <v>12.498141215947982</v>
          </cell>
          <cell r="I196">
            <v>7.2098014888337406E-2</v>
          </cell>
        </row>
        <row r="197">
          <cell r="A197" t="str">
            <v>BANDAKHAR TPP1</v>
          </cell>
          <cell r="B197" t="str">
            <v>BANDAKHAR TPP</v>
          </cell>
          <cell r="C197" t="str">
            <v xml:space="preserve"> 0-5 years</v>
          </cell>
          <cell r="D197">
            <v>4.8432580424366796</v>
          </cell>
          <cell r="E197">
            <v>300</v>
          </cell>
          <cell r="F197">
            <v>16.355276607949687</v>
          </cell>
          <cell r="G197">
            <v>0.83089808747596661</v>
          </cell>
          <cell r="H197">
            <v>12.514009840177961</v>
          </cell>
          <cell r="I197">
            <v>5.9824662298269597</v>
          </cell>
        </row>
        <row r="198">
          <cell r="A198" t="str">
            <v>BALCO TPS1</v>
          </cell>
          <cell r="B198" t="str">
            <v>BALCO TPS</v>
          </cell>
          <cell r="C198" t="str">
            <v xml:space="preserve"> 0-5 years</v>
          </cell>
          <cell r="D198">
            <v>4.9253935660506496</v>
          </cell>
          <cell r="E198">
            <v>300</v>
          </cell>
          <cell r="F198">
            <v>13.41843071860092</v>
          </cell>
          <cell r="G198">
            <v>0.60880845503366954</v>
          </cell>
          <cell r="H198">
            <v>12.518267827857633</v>
          </cell>
          <cell r="I198">
            <v>4.3834208762424201</v>
          </cell>
        </row>
        <row r="199">
          <cell r="A199" t="str">
            <v>KAMALANGA TPS1</v>
          </cell>
          <cell r="B199" t="str">
            <v>KAMALANGA TPS</v>
          </cell>
          <cell r="C199" t="str">
            <v xml:space="preserve"> 5-10 years</v>
          </cell>
          <cell r="D199">
            <v>7.1759069130732298</v>
          </cell>
          <cell r="E199">
            <v>350</v>
          </cell>
          <cell r="F199">
            <v>14.73962112707283</v>
          </cell>
          <cell r="G199">
            <v>0.6294567280601524</v>
          </cell>
          <cell r="H199">
            <v>12.52093669028063</v>
          </cell>
          <cell r="I199">
            <v>5.2874365157052798</v>
          </cell>
        </row>
        <row r="200">
          <cell r="A200" t="str">
            <v>VINDHYACHAL STPS9</v>
          </cell>
          <cell r="B200" t="str">
            <v>VINDHYACHAL STPS UNIT 9-10</v>
          </cell>
          <cell r="C200" t="str">
            <v xml:space="preserve"> 10-15 years</v>
          </cell>
          <cell r="D200">
            <v>13.8425735797399</v>
          </cell>
          <cell r="E200">
            <v>500</v>
          </cell>
          <cell r="F200">
            <v>13.831783033127248</v>
          </cell>
          <cell r="G200">
            <v>0.89437803651617498</v>
          </cell>
          <cell r="H200">
            <v>12.524543356947298</v>
          </cell>
          <cell r="I200">
            <v>10.732536438194099</v>
          </cell>
        </row>
        <row r="201">
          <cell r="A201" t="str">
            <v>HALDIA TPP2</v>
          </cell>
          <cell r="B201" t="str">
            <v>HALDIA TPP</v>
          </cell>
          <cell r="C201" t="str">
            <v xml:space="preserve"> 5-10 years</v>
          </cell>
          <cell r="D201">
            <v>5.2539356605065004</v>
          </cell>
          <cell r="E201">
            <v>300</v>
          </cell>
          <cell r="F201">
            <v>13.698403120136231</v>
          </cell>
          <cell r="G201">
            <v>0.86689660928721668</v>
          </cell>
          <cell r="H201">
            <v>12.535299778576318</v>
          </cell>
          <cell r="I201">
            <v>6.2416555868679602</v>
          </cell>
        </row>
        <row r="202">
          <cell r="A202" t="str">
            <v>NABI NAGAR TPP2</v>
          </cell>
          <cell r="B202" t="str">
            <v>NABI NAGAR TPP</v>
          </cell>
          <cell r="C202" t="str">
            <v xml:space="preserve"> 0-5 years</v>
          </cell>
          <cell r="D202">
            <v>3.0910335386721401</v>
          </cell>
          <cell r="E202">
            <v>250</v>
          </cell>
          <cell r="F202">
            <v>13.012626096663118</v>
          </cell>
          <cell r="G202">
            <v>0.47957608247847333</v>
          </cell>
          <cell r="H202">
            <v>12.537172769678303</v>
          </cell>
          <cell r="I202">
            <v>2.8774564948708399</v>
          </cell>
        </row>
        <row r="203">
          <cell r="A203" t="str">
            <v>BONGAIGAON TPS2</v>
          </cell>
          <cell r="B203" t="str">
            <v>BONGAIGAON TPS</v>
          </cell>
          <cell r="C203" t="str">
            <v xml:space="preserve"> 0-5 years</v>
          </cell>
          <cell r="D203">
            <v>3.1074606433949299</v>
          </cell>
          <cell r="E203">
            <v>250</v>
          </cell>
          <cell r="F203">
            <v>11.648444335366905</v>
          </cell>
          <cell r="G203">
            <v>0.59498356998664004</v>
          </cell>
          <cell r="H203">
            <v>12.538024367214238</v>
          </cell>
          <cell r="I203">
            <v>3.56990141991984</v>
          </cell>
        </row>
        <row r="204">
          <cell r="A204" t="str">
            <v>HALDIA TPP1</v>
          </cell>
          <cell r="B204" t="str">
            <v>HALDIA TPP</v>
          </cell>
          <cell r="C204" t="str">
            <v xml:space="preserve"> 5-10 years</v>
          </cell>
          <cell r="D204">
            <v>5.3388090349075901</v>
          </cell>
          <cell r="E204">
            <v>300</v>
          </cell>
          <cell r="F204">
            <v>13.698403120136231</v>
          </cell>
          <cell r="G204">
            <v>0.85703171819933754</v>
          </cell>
          <cell r="H204">
            <v>12.539699699178644</v>
          </cell>
          <cell r="I204">
            <v>6.1706283710352299</v>
          </cell>
        </row>
        <row r="205">
          <cell r="A205" t="str">
            <v>BHAVNAGAR TPP2</v>
          </cell>
          <cell r="B205" t="str">
            <v>BHAVNAGAR TPP</v>
          </cell>
          <cell r="C205" t="str">
            <v xml:space="preserve"> 0-5 years</v>
          </cell>
          <cell r="D205">
            <v>3.1759069130732298</v>
          </cell>
          <cell r="E205">
            <v>250</v>
          </cell>
          <cell r="F205">
            <v>13.43</v>
          </cell>
          <cell r="G205">
            <v>7.822912083384817E-2</v>
          </cell>
          <cell r="H205">
            <v>12.541572690280629</v>
          </cell>
          <cell r="I205">
            <v>0.46937472500308902</v>
          </cell>
        </row>
        <row r="206">
          <cell r="A206" t="str">
            <v>GOINDWAL SAHIB2</v>
          </cell>
          <cell r="B206" t="str">
            <v>GOINDWAL SAHIB</v>
          </cell>
          <cell r="C206" t="str">
            <v xml:space="preserve"> 0-5 years</v>
          </cell>
          <cell r="D206">
            <v>4.1752224503764497</v>
          </cell>
          <cell r="E206">
            <v>270</v>
          </cell>
          <cell r="F206">
            <v>13.66628270058</v>
          </cell>
          <cell r="G206">
            <v>0.41588620036262963</v>
          </cell>
          <cell r="H206">
            <v>12.547778207049966</v>
          </cell>
          <cell r="I206">
            <v>2.6949425783498402</v>
          </cell>
        </row>
        <row r="207">
          <cell r="A207" t="str">
            <v>GOINDWAL SAHIB1</v>
          </cell>
          <cell r="B207" t="str">
            <v>GOINDWAL SAHIB</v>
          </cell>
          <cell r="C207" t="str">
            <v xml:space="preserve"> 0-5 years</v>
          </cell>
          <cell r="D207">
            <v>4.2546201232032796</v>
          </cell>
          <cell r="E207">
            <v>270</v>
          </cell>
          <cell r="F207">
            <v>13.66628270058</v>
          </cell>
          <cell r="G207">
            <v>0.39470365794919904</v>
          </cell>
          <cell r="H207">
            <v>12.551894261806982</v>
          </cell>
          <cell r="I207">
            <v>2.5576797035108099</v>
          </cell>
        </row>
        <row r="208">
          <cell r="A208" t="str">
            <v>RIHAND STPS4</v>
          </cell>
          <cell r="B208" t="str">
            <v>RIHAND STPS UNIT 3-4</v>
          </cell>
          <cell r="C208" t="str">
            <v xml:space="preserve"> 10-15 years</v>
          </cell>
          <cell r="D208">
            <v>14.6721423682409</v>
          </cell>
          <cell r="E208">
            <v>500</v>
          </cell>
          <cell r="F208">
            <v>11.988793386992912</v>
          </cell>
          <cell r="G208">
            <v>0.81937532443455663</v>
          </cell>
          <cell r="H208">
            <v>12.567549032511977</v>
          </cell>
          <cell r="I208">
            <v>9.83250389321468</v>
          </cell>
        </row>
        <row r="209">
          <cell r="A209" t="str">
            <v>DHARIWAL TPS2</v>
          </cell>
          <cell r="B209" t="str">
            <v>DHARIWAL TPS</v>
          </cell>
          <cell r="C209" t="str">
            <v xml:space="preserve"> 5-10 years</v>
          </cell>
          <cell r="D209">
            <v>6.00958247775496</v>
          </cell>
          <cell r="E209">
            <v>300</v>
          </cell>
          <cell r="F209">
            <v>11.448094329722172</v>
          </cell>
          <cell r="G209">
            <v>0.79029549950818612</v>
          </cell>
          <cell r="H209">
            <v>12.574473265229296</v>
          </cell>
          <cell r="I209">
            <v>5.6901275964589404</v>
          </cell>
        </row>
        <row r="210">
          <cell r="A210" t="str">
            <v>BHAVNAGAR TPP1</v>
          </cell>
          <cell r="B210" t="str">
            <v>BHAVNAGAR TPP</v>
          </cell>
          <cell r="C210" t="str">
            <v xml:space="preserve"> 0-5 years</v>
          </cell>
          <cell r="D210">
            <v>4.00821355236139</v>
          </cell>
          <cell r="E210">
            <v>250</v>
          </cell>
          <cell r="F210">
            <v>13.43</v>
          </cell>
          <cell r="G210">
            <v>0.1814536911088733</v>
          </cell>
          <cell r="H210">
            <v>12.584720298767968</v>
          </cell>
          <cell r="I210">
            <v>1.08872214665324</v>
          </cell>
        </row>
        <row r="211">
          <cell r="A211" t="str">
            <v>NABI NAGAR TPP1</v>
          </cell>
          <cell r="B211" t="str">
            <v>NABI NAGAR TPP</v>
          </cell>
          <cell r="C211" t="str">
            <v xml:space="preserve"> 0-5 years</v>
          </cell>
          <cell r="D211">
            <v>4.1752224503764497</v>
          </cell>
          <cell r="E211">
            <v>250</v>
          </cell>
          <cell r="F211">
            <v>13.012626096663118</v>
          </cell>
          <cell r="G211">
            <v>0.68674927294289334</v>
          </cell>
          <cell r="H211">
            <v>12.593378207049966</v>
          </cell>
          <cell r="I211">
            <v>4.1204956376573598</v>
          </cell>
        </row>
        <row r="212">
          <cell r="A212" t="str">
            <v>PARLI TPS8</v>
          </cell>
          <cell r="B212" t="str">
            <v>PARLI TPS UNIT 8</v>
          </cell>
          <cell r="C212" t="str">
            <v xml:space="preserve"> 0-5 years</v>
          </cell>
          <cell r="D212">
            <v>4.1752224503764497</v>
          </cell>
          <cell r="E212">
            <v>250</v>
          </cell>
          <cell r="F212">
            <v>15.092566567040393</v>
          </cell>
          <cell r="G212">
            <v>0.50794300663288328</v>
          </cell>
          <cell r="H212">
            <v>12.593378207049966</v>
          </cell>
          <cell r="I212">
            <v>3.0476580397972999</v>
          </cell>
        </row>
        <row r="213">
          <cell r="A213" t="str">
            <v>TALCHER STPS6</v>
          </cell>
          <cell r="B213" t="str">
            <v>TALCHER STPS UNIT 3-6</v>
          </cell>
          <cell r="C213" t="str">
            <v xml:space="preserve"> 15-20 years</v>
          </cell>
          <cell r="D213">
            <v>15.2525667351129</v>
          </cell>
          <cell r="E213">
            <v>500</v>
          </cell>
          <cell r="F213">
            <v>16.88926876693478</v>
          </cell>
          <cell r="G213">
            <v>0.84126735077402492</v>
          </cell>
          <cell r="H213">
            <v>12.597638812114988</v>
          </cell>
          <cell r="I213">
            <v>10.0952082092883</v>
          </cell>
        </row>
        <row r="214">
          <cell r="A214" t="str">
            <v>AMRAVATI TPS5</v>
          </cell>
          <cell r="B214" t="str">
            <v>AMRAVATI TPS</v>
          </cell>
          <cell r="C214" t="str">
            <v xml:space="preserve"> 5-10 years</v>
          </cell>
          <cell r="D214">
            <v>5.1772758384667998</v>
          </cell>
          <cell r="E214">
            <v>270</v>
          </cell>
          <cell r="F214">
            <v>12.602974798017808</v>
          </cell>
          <cell r="G214">
            <v>0.33050491128931481</v>
          </cell>
          <cell r="H214">
            <v>12.599725656741958</v>
          </cell>
          <cell r="I214">
            <v>2.1416718251547602</v>
          </cell>
        </row>
        <row r="215">
          <cell r="A215" t="str">
            <v>AMRAVATI TPS4</v>
          </cell>
          <cell r="B215" t="str">
            <v>AMRAVATI TPS</v>
          </cell>
          <cell r="C215" t="str">
            <v xml:space="preserve"> 5-10 years</v>
          </cell>
          <cell r="D215">
            <v>5.1772758384667998</v>
          </cell>
          <cell r="E215">
            <v>270</v>
          </cell>
          <cell r="F215">
            <v>12.602974798017808</v>
          </cell>
          <cell r="G215">
            <v>0.30964994207699076</v>
          </cell>
          <cell r="H215">
            <v>12.599725656741958</v>
          </cell>
          <cell r="I215">
            <v>2.0065316246589</v>
          </cell>
        </row>
        <row r="216">
          <cell r="A216" t="str">
            <v>DHARIWAL TPS1</v>
          </cell>
          <cell r="B216" t="str">
            <v>DHARIWAL TPS</v>
          </cell>
          <cell r="C216" t="str">
            <v xml:space="preserve"> 5-10 years</v>
          </cell>
          <cell r="D216">
            <v>6.5051334702258696</v>
          </cell>
          <cell r="E216">
            <v>300</v>
          </cell>
          <cell r="F216">
            <v>11.448094329722172</v>
          </cell>
          <cell r="G216">
            <v>0.35417789495961804</v>
          </cell>
          <cell r="H216">
            <v>12.600163124229979</v>
          </cell>
          <cell r="I216">
            <v>2.5500808437092499</v>
          </cell>
        </row>
        <row r="217">
          <cell r="A217" t="str">
            <v>RIHAND STPS3</v>
          </cell>
          <cell r="B217" t="str">
            <v>RIHAND STPS UNIT 3-4</v>
          </cell>
          <cell r="C217" t="str">
            <v xml:space="preserve"> 15-20 years</v>
          </cell>
          <cell r="D217">
            <v>15.337440109514</v>
          </cell>
          <cell r="E217">
            <v>500</v>
          </cell>
          <cell r="F217">
            <v>11.988793386992912</v>
          </cell>
          <cell r="G217">
            <v>0.91709584040296677</v>
          </cell>
          <cell r="H217">
            <v>12.602038732717316</v>
          </cell>
          <cell r="I217">
            <v>11.0051500848356</v>
          </cell>
        </row>
        <row r="218">
          <cell r="A218" t="str">
            <v>AMRAVATI TPS3</v>
          </cell>
          <cell r="B218" t="str">
            <v>AMRAVATI TPS</v>
          </cell>
          <cell r="C218" t="str">
            <v xml:space="preserve"> 5-10 years</v>
          </cell>
          <cell r="D218">
            <v>5.3388090349075901</v>
          </cell>
          <cell r="E218">
            <v>270</v>
          </cell>
          <cell r="F218">
            <v>12.602974798017808</v>
          </cell>
          <cell r="G218">
            <v>0.36643067193790591</v>
          </cell>
          <cell r="H218">
            <v>12.608099699178645</v>
          </cell>
          <cell r="I218">
            <v>2.3744707541576302</v>
          </cell>
        </row>
        <row r="219">
          <cell r="A219" t="str">
            <v>GMR WARORA TPS2</v>
          </cell>
          <cell r="C219" t="str">
            <v xml:space="preserve"> 5-10 years</v>
          </cell>
          <cell r="D219">
            <v>6.7570157426420199</v>
          </cell>
          <cell r="E219">
            <v>300</v>
          </cell>
          <cell r="F219">
            <v>12.975334577258772</v>
          </cell>
          <cell r="G219">
            <v>0.73198090568984164</v>
          </cell>
          <cell r="H219">
            <v>12.613220953114306</v>
          </cell>
          <cell r="I219">
            <v>5.2702625209668597</v>
          </cell>
        </row>
        <row r="220">
          <cell r="A220" t="str">
            <v>SIKKA REP. TPS4</v>
          </cell>
          <cell r="B220" t="str">
            <v>SIKKA REP. TPS UNIT 3-4</v>
          </cell>
          <cell r="C220" t="str">
            <v xml:space="preserve"> 0-5 years</v>
          </cell>
          <cell r="D220">
            <v>4.6735112936344896</v>
          </cell>
          <cell r="E220">
            <v>250</v>
          </cell>
          <cell r="F220">
            <v>10.028516920837104</v>
          </cell>
          <cell r="G220">
            <v>0.60938017007860334</v>
          </cell>
          <cell r="H220">
            <v>12.619209998973307</v>
          </cell>
          <cell r="I220">
            <v>3.6562810204716198</v>
          </cell>
        </row>
        <row r="221">
          <cell r="A221" t="str">
            <v>RAMAGUNDEM STPS7</v>
          </cell>
          <cell r="B221" t="str">
            <v>RAMAGUNDEM STPS UNIT 7</v>
          </cell>
          <cell r="C221" t="str">
            <v xml:space="preserve"> 15-20 years</v>
          </cell>
          <cell r="D221">
            <v>15.6714579055441</v>
          </cell>
          <cell r="E221">
            <v>500</v>
          </cell>
          <cell r="F221">
            <v>12.774416458333066</v>
          </cell>
          <cell r="G221">
            <v>0.84096982658947494</v>
          </cell>
          <cell r="H221">
            <v>12.619354549281312</v>
          </cell>
          <cell r="I221">
            <v>10.091637919073699</v>
          </cell>
        </row>
        <row r="222">
          <cell r="A222" t="str">
            <v>BONGAIGAON TPS1</v>
          </cell>
          <cell r="B222" t="str">
            <v>BONGAIGAON TPS</v>
          </cell>
          <cell r="C222" t="str">
            <v xml:space="preserve"> 0-5 years</v>
          </cell>
          <cell r="D222">
            <v>4.9253935660506496</v>
          </cell>
          <cell r="E222">
            <v>250</v>
          </cell>
          <cell r="F222">
            <v>11.648444335366905</v>
          </cell>
          <cell r="G222">
            <v>0.66346499233659506</v>
          </cell>
          <cell r="H222">
            <v>12.632267827857632</v>
          </cell>
          <cell r="I222">
            <v>3.9807899540195701</v>
          </cell>
        </row>
        <row r="223">
          <cell r="A223" t="str">
            <v>BUTIBORI TPP2</v>
          </cell>
          <cell r="B223" t="str">
            <v>BUTIBORI TPP</v>
          </cell>
          <cell r="C223" t="str">
            <v xml:space="preserve"> 5-10 years</v>
          </cell>
          <cell r="D223">
            <v>7.1759069130732298</v>
          </cell>
          <cell r="E223">
            <v>300</v>
          </cell>
          <cell r="F223">
            <v>13.166019874134683</v>
          </cell>
          <cell r="G223">
            <v>0.42600631397712085</v>
          </cell>
          <cell r="H223">
            <v>12.634936690280629</v>
          </cell>
          <cell r="I223">
            <v>3.0672454606352701</v>
          </cell>
        </row>
        <row r="224">
          <cell r="A224" t="str">
            <v>TALCHER STPS5</v>
          </cell>
          <cell r="B224" t="str">
            <v>TALCHER STPS UNIT 3-6</v>
          </cell>
          <cell r="C224" t="str">
            <v xml:space="preserve"> 15-20 years</v>
          </cell>
          <cell r="D224">
            <v>16.008213552361301</v>
          </cell>
          <cell r="E224">
            <v>500</v>
          </cell>
          <cell r="F224">
            <v>16.88926876693478</v>
          </cell>
          <cell r="G224">
            <v>0.80414497419047259</v>
          </cell>
          <cell r="H224">
            <v>12.636812298767962</v>
          </cell>
          <cell r="I224">
            <v>9.6497396902856707</v>
          </cell>
        </row>
        <row r="225">
          <cell r="A225" t="str">
            <v>GMR WARORA TPS1</v>
          </cell>
          <cell r="C225" t="str">
            <v xml:space="preserve"> 5-10 years</v>
          </cell>
          <cell r="D225">
            <v>7.2525667351129304</v>
          </cell>
          <cell r="E225">
            <v>300</v>
          </cell>
          <cell r="F225">
            <v>12.975334577258772</v>
          </cell>
          <cell r="G225">
            <v>0.77694293887682364</v>
          </cell>
          <cell r="H225">
            <v>12.63891081211499</v>
          </cell>
          <cell r="I225">
            <v>5.5939891599131304</v>
          </cell>
        </row>
        <row r="226">
          <cell r="A226" t="str">
            <v>SIKKA REP. TPS3</v>
          </cell>
          <cell r="B226" t="str">
            <v>SIKKA REP. TPS UNIT 3-4</v>
          </cell>
          <cell r="C226" t="str">
            <v xml:space="preserve"> 5-10 years</v>
          </cell>
          <cell r="D226">
            <v>5.1772758384667998</v>
          </cell>
          <cell r="E226">
            <v>250</v>
          </cell>
          <cell r="F226">
            <v>10.028516920837104</v>
          </cell>
          <cell r="G226">
            <v>0.65122717112716</v>
          </cell>
          <cell r="H226">
            <v>12.645325656741958</v>
          </cell>
          <cell r="I226">
            <v>3.90736302676296</v>
          </cell>
        </row>
        <row r="227">
          <cell r="A227" t="str">
            <v>NEYVELI TPS-II EXP2</v>
          </cell>
          <cell r="B227" t="str">
            <v>NEYVELI TPS-II EXP</v>
          </cell>
          <cell r="C227" t="str">
            <v xml:space="preserve"> 5-10 years</v>
          </cell>
          <cell r="D227">
            <v>5.3388090349075901</v>
          </cell>
          <cell r="E227">
            <v>250</v>
          </cell>
          <cell r="F227">
            <v>13.17</v>
          </cell>
          <cell r="G227">
            <v>0.35435753804506004</v>
          </cell>
          <cell r="H227">
            <v>12.653699699178645</v>
          </cell>
          <cell r="I227">
            <v>2.1261452282703601</v>
          </cell>
        </row>
        <row r="228">
          <cell r="A228" t="str">
            <v>AMRAVATI TPS2</v>
          </cell>
          <cell r="B228" t="str">
            <v>AMRAVATI TPS</v>
          </cell>
          <cell r="C228" t="str">
            <v xml:space="preserve"> 5-10 years</v>
          </cell>
          <cell r="D228">
            <v>6.2532511978097096</v>
          </cell>
          <cell r="E228">
            <v>270</v>
          </cell>
          <cell r="F228">
            <v>12.602974798017808</v>
          </cell>
          <cell r="G228">
            <v>0.41382930107731941</v>
          </cell>
          <cell r="H228">
            <v>12.655505295345653</v>
          </cell>
          <cell r="I228">
            <v>2.68161387098103</v>
          </cell>
        </row>
        <row r="229">
          <cell r="A229" t="str">
            <v>BUTIBORI TPP1</v>
          </cell>
          <cell r="B229" t="str">
            <v>BUTIBORI TPP</v>
          </cell>
          <cell r="C229" t="str">
            <v xml:space="preserve"> 5-10 years</v>
          </cell>
          <cell r="D229">
            <v>7.7563312799452397</v>
          </cell>
          <cell r="E229">
            <v>300</v>
          </cell>
          <cell r="F229">
            <v>13.166019874134683</v>
          </cell>
          <cell r="G229">
            <v>0.22892321636523333</v>
          </cell>
          <cell r="H229">
            <v>12.665026469883642</v>
          </cell>
          <cell r="I229">
            <v>1.64824715782968</v>
          </cell>
        </row>
        <row r="230">
          <cell r="A230" t="str">
            <v>MUZAFFARPUR TPS4</v>
          </cell>
          <cell r="B230" t="str">
            <v>MUZAFFARPUR TPS UNIT 3-4</v>
          </cell>
          <cell r="C230" t="str">
            <v xml:space="preserve"> 0-5 years</v>
          </cell>
          <cell r="D230">
            <v>3.1759069130732298</v>
          </cell>
          <cell r="E230">
            <v>195</v>
          </cell>
          <cell r="F230">
            <v>14.72227844179389</v>
          </cell>
          <cell r="G230">
            <v>0.62423307341596146</v>
          </cell>
          <cell r="H230">
            <v>12.66697269028063</v>
          </cell>
          <cell r="I230">
            <v>2.9214107835866998</v>
          </cell>
        </row>
        <row r="231">
          <cell r="A231" t="str">
            <v>TALCHER STPS4</v>
          </cell>
          <cell r="B231" t="str">
            <v>TALCHER STPS UNIT 3-6</v>
          </cell>
          <cell r="C231" t="str">
            <v xml:space="preserve"> 15-20 years</v>
          </cell>
          <cell r="D231">
            <v>16.591375770020498</v>
          </cell>
          <cell r="E231">
            <v>500</v>
          </cell>
          <cell r="F231">
            <v>16.88926876693478</v>
          </cell>
          <cell r="G231">
            <v>0.81442205588513916</v>
          </cell>
          <cell r="H231">
            <v>12.667044011293633</v>
          </cell>
          <cell r="I231">
            <v>9.7730646706216699</v>
          </cell>
        </row>
        <row r="232">
          <cell r="A232" t="str">
            <v>MUNDRA TPS4</v>
          </cell>
          <cell r="B232" t="str">
            <v>MUNDRA TPS UNIT 1-4</v>
          </cell>
          <cell r="C232" t="str">
            <v xml:space="preserve"> 5-10 years</v>
          </cell>
          <cell r="D232">
            <v>9.4236824093086895</v>
          </cell>
          <cell r="E232">
            <v>330</v>
          </cell>
          <cell r="F232">
            <v>11.127140647122358</v>
          </cell>
          <cell r="G232">
            <v>0.72236190959279278</v>
          </cell>
          <cell r="H232">
            <v>12.683063619780972</v>
          </cell>
          <cell r="I232">
            <v>5.7211063239749196</v>
          </cell>
        </row>
        <row r="233">
          <cell r="A233" t="str">
            <v>CHHABRA TPS4</v>
          </cell>
          <cell r="B233" t="str">
            <v>CHHABRA TPS UNIT 1-4</v>
          </cell>
          <cell r="C233" t="str">
            <v xml:space="preserve"> 5-10 years</v>
          </cell>
          <cell r="D233">
            <v>5.9247091033538597</v>
          </cell>
          <cell r="E233">
            <v>250</v>
          </cell>
          <cell r="F233">
            <v>10.614034339293095</v>
          </cell>
          <cell r="G233">
            <v>0.8200820217833199</v>
          </cell>
          <cell r="H233">
            <v>12.684073344626968</v>
          </cell>
          <cell r="I233">
            <v>4.9204921306999196</v>
          </cell>
        </row>
        <row r="234">
          <cell r="A234" t="str">
            <v>ROSA TPP PH-I4</v>
          </cell>
          <cell r="B234" t="str">
            <v>ROSA TPP PH-I UNIT 3-4</v>
          </cell>
          <cell r="C234" t="str">
            <v xml:space="preserve"> 5-10 years</v>
          </cell>
          <cell r="D234">
            <v>8.1752224503764506</v>
          </cell>
          <cell r="E234">
            <v>300</v>
          </cell>
          <cell r="F234">
            <v>12.39701408367336</v>
          </cell>
          <cell r="G234">
            <v>0.53911649851490839</v>
          </cell>
          <cell r="H234">
            <v>12.686742207049967</v>
          </cell>
          <cell r="I234">
            <v>3.8816387893073401</v>
          </cell>
        </row>
        <row r="235">
          <cell r="A235" t="str">
            <v>D.P.L. TPS8</v>
          </cell>
          <cell r="C235" t="str">
            <v xml:space="preserve"> 5-10 years</v>
          </cell>
          <cell r="D235">
            <v>6.1765913757700197</v>
          </cell>
          <cell r="E235">
            <v>250</v>
          </cell>
          <cell r="F235">
            <v>13.940261619398255</v>
          </cell>
          <cell r="G235">
            <v>0.56067329048547332</v>
          </cell>
          <cell r="H235">
            <v>12.697131173511295</v>
          </cell>
          <cell r="I235">
            <v>3.3640397429128401</v>
          </cell>
        </row>
        <row r="236">
          <cell r="A236" t="str">
            <v>ROSA TPP PH-I3</v>
          </cell>
          <cell r="B236" t="str">
            <v>ROSA TPP PH-I UNIT 3-4</v>
          </cell>
          <cell r="C236" t="str">
            <v xml:space="preserve"> 5-10 years</v>
          </cell>
          <cell r="D236">
            <v>8.4243668720054696</v>
          </cell>
          <cell r="E236">
            <v>300</v>
          </cell>
          <cell r="F236">
            <v>12.39701408367336</v>
          </cell>
          <cell r="G236">
            <v>0.53551217566353326</v>
          </cell>
          <cell r="H236">
            <v>12.699658103011636</v>
          </cell>
          <cell r="I236">
            <v>3.8556876647774398</v>
          </cell>
        </row>
        <row r="237">
          <cell r="A237" t="str">
            <v>MUNDRA TPS3</v>
          </cell>
          <cell r="B237" t="str">
            <v>MUNDRA TPS UNIT 1-4</v>
          </cell>
          <cell r="C237" t="str">
            <v xml:space="preserve"> 5-10 years</v>
          </cell>
          <cell r="D237">
            <v>9.7577002053388</v>
          </cell>
          <cell r="E237">
            <v>330</v>
          </cell>
          <cell r="F237">
            <v>11.127140647122358</v>
          </cell>
          <cell r="G237">
            <v>0.7244156433346477</v>
          </cell>
          <cell r="H237">
            <v>12.700379436344969</v>
          </cell>
          <cell r="I237">
            <v>5.7373718952104102</v>
          </cell>
        </row>
        <row r="238">
          <cell r="A238" t="str">
            <v>TALCHER STPS3</v>
          </cell>
          <cell r="B238" t="str">
            <v>TALCHER STPS UNIT 3-6</v>
          </cell>
          <cell r="C238" t="str">
            <v xml:space="preserve"> 15-20 years</v>
          </cell>
          <cell r="D238">
            <v>17.2539356605065</v>
          </cell>
          <cell r="E238">
            <v>500</v>
          </cell>
          <cell r="F238">
            <v>16.88926876693478</v>
          </cell>
          <cell r="G238">
            <v>0.78937699442649334</v>
          </cell>
          <cell r="H238">
            <v>12.701391778576319</v>
          </cell>
          <cell r="I238">
            <v>9.4725239331179196</v>
          </cell>
        </row>
        <row r="239">
          <cell r="A239" t="str">
            <v>BELA TPS1</v>
          </cell>
          <cell r="C239" t="str">
            <v xml:space="preserve"> 5-10 years</v>
          </cell>
          <cell r="D239">
            <v>7.1759069130732298</v>
          </cell>
          <cell r="E239">
            <v>270</v>
          </cell>
          <cell r="F239">
            <v>11.15</v>
          </cell>
          <cell r="G239">
            <v>2.8690124563033641E-2</v>
          </cell>
          <cell r="H239">
            <v>12.703336690280629</v>
          </cell>
          <cell r="I239">
            <v>0.18591200716845799</v>
          </cell>
        </row>
        <row r="240">
          <cell r="A240" t="str">
            <v>AMRAVATI TPS1</v>
          </cell>
          <cell r="B240" t="str">
            <v>AMRAVATI TPS</v>
          </cell>
          <cell r="C240" t="str">
            <v xml:space="preserve"> 5-10 years</v>
          </cell>
          <cell r="D240">
            <v>7.1759069130732298</v>
          </cell>
          <cell r="E240">
            <v>270</v>
          </cell>
          <cell r="F240">
            <v>12.602974798017808</v>
          </cell>
          <cell r="G240">
            <v>0.31847038425018515</v>
          </cell>
          <cell r="H240">
            <v>12.703336690280629</v>
          </cell>
          <cell r="I240">
            <v>2.0636880899411998</v>
          </cell>
        </row>
        <row r="241">
          <cell r="A241" t="str">
            <v>MAHADEV PRASAD STPP2</v>
          </cell>
          <cell r="B241" t="str">
            <v>MAHADEV PRASAD STPP</v>
          </cell>
          <cell r="C241" t="str">
            <v xml:space="preserve"> 5-10 years</v>
          </cell>
          <cell r="D241">
            <v>7.1759069130732298</v>
          </cell>
          <cell r="E241">
            <v>270</v>
          </cell>
          <cell r="F241">
            <v>14.199301082364723</v>
          </cell>
          <cell r="G241">
            <v>0.43874913892283801</v>
          </cell>
          <cell r="H241">
            <v>12.703336690280629</v>
          </cell>
          <cell r="I241">
            <v>2.8430944202199901</v>
          </cell>
        </row>
        <row r="242">
          <cell r="A242" t="str">
            <v>JSW RATNAGIRI TPP4</v>
          </cell>
          <cell r="C242" t="str">
            <v xml:space="preserve"> 5-10 years</v>
          </cell>
          <cell r="D242">
            <v>8.5913757700205302</v>
          </cell>
          <cell r="E242">
            <v>300</v>
          </cell>
          <cell r="F242">
            <v>8.9035211548533866</v>
          </cell>
          <cell r="G242">
            <v>0.74778122696097782</v>
          </cell>
          <cell r="H242">
            <v>12.708316011293634</v>
          </cell>
          <cell r="I242">
            <v>5.3840248341190398</v>
          </cell>
        </row>
        <row r="243">
          <cell r="A243" t="str">
            <v>SATPURA TPS11</v>
          </cell>
          <cell r="B243" t="str">
            <v>SATPURA TPS UNIT 10-11</v>
          </cell>
          <cell r="C243" t="str">
            <v xml:space="preserve"> 5-10 years</v>
          </cell>
          <cell r="D243">
            <v>6.4229979466118996</v>
          </cell>
          <cell r="E243">
            <v>250</v>
          </cell>
          <cell r="F243">
            <v>13.26</v>
          </cell>
          <cell r="G243">
            <v>0.75703006999300004</v>
          </cell>
          <cell r="H243">
            <v>12.709905136550308</v>
          </cell>
          <cell r="I243">
            <v>4.542180419958</v>
          </cell>
        </row>
        <row r="244">
          <cell r="A244" t="str">
            <v>MAHADEV PRASAD STPP1</v>
          </cell>
          <cell r="B244" t="str">
            <v>MAHADEV PRASAD STPP</v>
          </cell>
          <cell r="C244" t="str">
            <v xml:space="preserve"> 5-10 years</v>
          </cell>
          <cell r="D244">
            <v>7.5044490075290797</v>
          </cell>
          <cell r="E244">
            <v>270</v>
          </cell>
          <cell r="F244">
            <v>14.199301082364723</v>
          </cell>
          <cell r="G244">
            <v>0.74534322138311104</v>
          </cell>
          <cell r="H244">
            <v>12.720368640999315</v>
          </cell>
          <cell r="I244">
            <v>4.82982407456256</v>
          </cell>
        </row>
        <row r="245">
          <cell r="A245" t="str">
            <v>MUNDRA TPS2</v>
          </cell>
          <cell r="B245" t="str">
            <v>MUNDRA TPS UNIT 1-4</v>
          </cell>
          <cell r="C245" t="str">
            <v xml:space="preserve"> 10-15 years</v>
          </cell>
          <cell r="D245">
            <v>10.17659137577</v>
          </cell>
          <cell r="E245">
            <v>330</v>
          </cell>
          <cell r="F245">
            <v>11.127140647122358</v>
          </cell>
          <cell r="G245">
            <v>0.72683906695433842</v>
          </cell>
          <cell r="H245">
            <v>12.722095173511294</v>
          </cell>
          <cell r="I245">
            <v>5.7565654102783599</v>
          </cell>
        </row>
        <row r="246">
          <cell r="A246" t="str">
            <v>CHHABRA TPS3</v>
          </cell>
          <cell r="B246" t="str">
            <v>CHHABRA TPS UNIT 1-4</v>
          </cell>
          <cell r="C246" t="str">
            <v xml:space="preserve"> 5-10 years</v>
          </cell>
          <cell r="D246">
            <v>6.6721423682409302</v>
          </cell>
          <cell r="E246">
            <v>250</v>
          </cell>
          <cell r="F246">
            <v>10.614034339293095</v>
          </cell>
          <cell r="G246">
            <v>0.72873790605935662</v>
          </cell>
          <cell r="H246">
            <v>12.722821032511979</v>
          </cell>
          <cell r="I246">
            <v>4.3724274363561397</v>
          </cell>
        </row>
        <row r="247">
          <cell r="A247" t="str">
            <v>SIMHADRI STPP2</v>
          </cell>
          <cell r="B247" t="str">
            <v>SIMHADRI STPP UNIT 1-2</v>
          </cell>
          <cell r="C247" t="str">
            <v xml:space="preserve"> 15-20 years</v>
          </cell>
          <cell r="D247">
            <v>17.7577002053388</v>
          </cell>
          <cell r="E247">
            <v>500</v>
          </cell>
          <cell r="F247">
            <v>14.678310890369962</v>
          </cell>
          <cell r="G247">
            <v>0.68137391803650083</v>
          </cell>
          <cell r="H247">
            <v>12.727507436344968</v>
          </cell>
          <cell r="I247">
            <v>8.1764870164380099</v>
          </cell>
        </row>
        <row r="248">
          <cell r="A248" t="str">
            <v>JSW RATNAGIRI TPP3</v>
          </cell>
          <cell r="C248" t="str">
            <v xml:space="preserve"> 5-10 years</v>
          </cell>
          <cell r="D248">
            <v>9.0102669404517393</v>
          </cell>
          <cell r="E248">
            <v>300</v>
          </cell>
          <cell r="F248">
            <v>8.9035211548533866</v>
          </cell>
          <cell r="G248">
            <v>0.74378793917600006</v>
          </cell>
          <cell r="H248">
            <v>12.730031748459959</v>
          </cell>
          <cell r="I248">
            <v>5.3552731620672001</v>
          </cell>
        </row>
        <row r="249">
          <cell r="A249" t="str">
            <v>SHIRPUR TPP1</v>
          </cell>
          <cell r="C249" t="str">
            <v xml:space="preserve"> 0-5 years</v>
          </cell>
          <cell r="D249">
            <v>2.6036960985626201</v>
          </cell>
          <cell r="E249">
            <v>150</v>
          </cell>
          <cell r="F249">
            <v>13.98</v>
          </cell>
          <cell r="G249">
            <v>2.5185185185185172E-3</v>
          </cell>
          <cell r="H249">
            <v>12.739908709445585</v>
          </cell>
          <cell r="I249">
            <v>9.0666666666666604E-3</v>
          </cell>
        </row>
        <row r="250">
          <cell r="A250" t="str">
            <v>SATPURA TPS10</v>
          </cell>
          <cell r="B250" t="str">
            <v>SATPURA TPS UNIT 10-11</v>
          </cell>
          <cell r="C250" t="str">
            <v xml:space="preserve"> 5-10 years</v>
          </cell>
          <cell r="D250">
            <v>7.1759069130732298</v>
          </cell>
          <cell r="E250">
            <v>250</v>
          </cell>
          <cell r="F250">
            <v>13.26</v>
          </cell>
          <cell r="G250">
            <v>0.71062352360941838</v>
          </cell>
          <cell r="H250">
            <v>12.74893669028063</v>
          </cell>
          <cell r="I250">
            <v>4.2637411416565101</v>
          </cell>
        </row>
        <row r="251">
          <cell r="A251" t="str">
            <v>PARICHHA TPS6</v>
          </cell>
          <cell r="B251" t="str">
            <v>PARICHHA TPS UNIT 5-6</v>
          </cell>
          <cell r="C251" t="str">
            <v xml:space="preserve"> 5-10 years</v>
          </cell>
          <cell r="D251">
            <v>7.1759069130732298</v>
          </cell>
          <cell r="E251">
            <v>250</v>
          </cell>
          <cell r="F251">
            <v>13.26</v>
          </cell>
          <cell r="G251">
            <v>0.66319363581522006</v>
          </cell>
          <cell r="H251">
            <v>12.74893669028063</v>
          </cell>
          <cell r="I251">
            <v>3.9791618148913201</v>
          </cell>
        </row>
        <row r="252">
          <cell r="A252" t="str">
            <v>BINA TPS2</v>
          </cell>
          <cell r="B252" t="str">
            <v>BINA TPS</v>
          </cell>
          <cell r="C252" t="str">
            <v xml:space="preserve"> 5-10 years</v>
          </cell>
          <cell r="D252">
            <v>7.1759069130732298</v>
          </cell>
          <cell r="E252">
            <v>250</v>
          </cell>
          <cell r="F252">
            <v>13.976925876531116</v>
          </cell>
          <cell r="G252">
            <v>0.53807568006191331</v>
          </cell>
          <cell r="H252">
            <v>12.74893669028063</v>
          </cell>
          <cell r="I252">
            <v>3.2284540803714799</v>
          </cell>
        </row>
        <row r="253">
          <cell r="A253" t="str">
            <v>JSW RATNAGIRI TPP2</v>
          </cell>
          <cell r="C253" t="str">
            <v xml:space="preserve"> 5-10 years</v>
          </cell>
          <cell r="D253">
            <v>9.4236824093086895</v>
          </cell>
          <cell r="E253">
            <v>300</v>
          </cell>
          <cell r="F253">
            <v>8.9035211548533866</v>
          </cell>
          <cell r="G253">
            <v>0.65452038429606663</v>
          </cell>
          <cell r="H253">
            <v>12.751463619780973</v>
          </cell>
          <cell r="I253">
            <v>4.7125467669316796</v>
          </cell>
        </row>
        <row r="254">
          <cell r="A254" t="str">
            <v>MUNDRA TPS1</v>
          </cell>
          <cell r="B254" t="str">
            <v>MUNDRA TPS UNIT 1-4</v>
          </cell>
          <cell r="C254" t="str">
            <v xml:space="preserve"> 10-15 years</v>
          </cell>
          <cell r="D254">
            <v>10.757015742642</v>
          </cell>
          <cell r="E254">
            <v>330</v>
          </cell>
          <cell r="F254">
            <v>11.127140647122358</v>
          </cell>
          <cell r="G254">
            <v>0.6747588165917664</v>
          </cell>
          <cell r="H254">
            <v>12.752184953114305</v>
          </cell>
          <cell r="I254">
            <v>5.3440898274067896</v>
          </cell>
        </row>
        <row r="255">
          <cell r="A255" t="str">
            <v>SIMHADRI STPP1</v>
          </cell>
          <cell r="B255" t="str">
            <v>SIMHADRI STPP UNIT 1-2</v>
          </cell>
          <cell r="C255" t="str">
            <v xml:space="preserve"> 15-20 years</v>
          </cell>
          <cell r="D255">
            <v>18.2532511978097</v>
          </cell>
          <cell r="E255">
            <v>500</v>
          </cell>
          <cell r="F255">
            <v>14.678310890369962</v>
          </cell>
          <cell r="G255">
            <v>0.64647128908663909</v>
          </cell>
          <cell r="H255">
            <v>12.753197295345654</v>
          </cell>
          <cell r="I255">
            <v>7.75765546903967</v>
          </cell>
        </row>
        <row r="256">
          <cell r="A256" t="str">
            <v>JSW RATNAGIRI TPP1</v>
          </cell>
          <cell r="B256" t="str">
            <v>JSW RATNAGIRI TPP UNIT 1</v>
          </cell>
          <cell r="C256" t="str">
            <v xml:space="preserve"> 5-10 years</v>
          </cell>
          <cell r="D256">
            <v>9.7577002053388</v>
          </cell>
          <cell r="E256">
            <v>300</v>
          </cell>
          <cell r="F256">
            <v>8.9035211548533866</v>
          </cell>
          <cell r="G256">
            <v>0.83802919576396806</v>
          </cell>
          <cell r="H256">
            <v>12.768779436344969</v>
          </cell>
          <cell r="I256">
            <v>6.0338102095005697</v>
          </cell>
        </row>
        <row r="257">
          <cell r="A257" t="str">
            <v>MUZAFFARPUR TPS3</v>
          </cell>
          <cell r="B257" t="str">
            <v>MUZAFFARPUR TPS UNIT 3-4</v>
          </cell>
          <cell r="C257" t="str">
            <v xml:space="preserve"> 5-10 years</v>
          </cell>
          <cell r="D257">
            <v>5.1772758384667998</v>
          </cell>
          <cell r="E257">
            <v>195</v>
          </cell>
          <cell r="F257">
            <v>14.72227844179389</v>
          </cell>
          <cell r="G257">
            <v>0.60101795027473925</v>
          </cell>
          <cell r="H257">
            <v>12.770725656741957</v>
          </cell>
          <cell r="I257">
            <v>2.81276400728578</v>
          </cell>
        </row>
        <row r="258">
          <cell r="A258" t="str">
            <v>ROSA TPP PH-I2</v>
          </cell>
          <cell r="B258" t="str">
            <v>ROSA TPP PH-I UNIT 1-2</v>
          </cell>
          <cell r="C258" t="str">
            <v xml:space="preserve"> 5-10 years</v>
          </cell>
          <cell r="D258">
            <v>9.9247091033538606</v>
          </cell>
          <cell r="E258">
            <v>300</v>
          </cell>
          <cell r="F258">
            <v>12.39701408367336</v>
          </cell>
          <cell r="G258">
            <v>0.5743855105310347</v>
          </cell>
          <cell r="H258">
            <v>12.777437344626968</v>
          </cell>
          <cell r="I258">
            <v>4.1355756758234499</v>
          </cell>
        </row>
        <row r="259">
          <cell r="A259" t="str">
            <v>BINA TPS1</v>
          </cell>
          <cell r="B259" t="str">
            <v>BINA TPS</v>
          </cell>
          <cell r="C259" t="str">
            <v xml:space="preserve"> 5-10 years</v>
          </cell>
          <cell r="D259">
            <v>7.7563312799452397</v>
          </cell>
          <cell r="E259">
            <v>250</v>
          </cell>
          <cell r="F259">
            <v>13.976925876531116</v>
          </cell>
          <cell r="G259">
            <v>0.61014295649487005</v>
          </cell>
          <cell r="H259">
            <v>12.779026469883641</v>
          </cell>
          <cell r="I259">
            <v>3.6608577389692201</v>
          </cell>
        </row>
        <row r="260">
          <cell r="A260" t="str">
            <v>PATHADI TPS2</v>
          </cell>
          <cell r="B260" t="str">
            <v>PATHADI TPS</v>
          </cell>
          <cell r="C260" t="str">
            <v xml:space="preserve"> 10-15 years</v>
          </cell>
          <cell r="D260">
            <v>10.17659137577</v>
          </cell>
          <cell r="E260">
            <v>300</v>
          </cell>
          <cell r="F260">
            <v>13.583946164062594</v>
          </cell>
          <cell r="G260">
            <v>0.72121211043884159</v>
          </cell>
          <cell r="H260">
            <v>12.790495173511292</v>
          </cell>
          <cell r="I260">
            <v>5.1927271951596596</v>
          </cell>
        </row>
        <row r="261">
          <cell r="A261" t="str">
            <v>HARDUAGANJ TPS9</v>
          </cell>
          <cell r="B261" t="str">
            <v>HARDUAGANJ TPS UNIT 8-9</v>
          </cell>
          <cell r="C261" t="str">
            <v xml:space="preserve"> 5-10 years</v>
          </cell>
          <cell r="D261">
            <v>8.00821355236139</v>
          </cell>
          <cell r="E261">
            <v>250</v>
          </cell>
          <cell r="F261">
            <v>12.751268219005874</v>
          </cell>
          <cell r="G261">
            <v>0.73029028117661499</v>
          </cell>
          <cell r="H261">
            <v>12.792084298767968</v>
          </cell>
          <cell r="I261">
            <v>4.3817416870596899</v>
          </cell>
        </row>
        <row r="262">
          <cell r="A262" t="str">
            <v>PARICHHA TPS5</v>
          </cell>
          <cell r="B262" t="str">
            <v>PARICHHA TPS UNIT 5-6</v>
          </cell>
          <cell r="C262" t="str">
            <v xml:space="preserve"> 5-10 years</v>
          </cell>
          <cell r="D262">
            <v>8.00821355236139</v>
          </cell>
          <cell r="E262">
            <v>250</v>
          </cell>
          <cell r="F262">
            <v>13.26</v>
          </cell>
          <cell r="G262">
            <v>0.43981762319685003</v>
          </cell>
          <cell r="H262">
            <v>12.792084298767968</v>
          </cell>
          <cell r="I262">
            <v>2.6389057391811002</v>
          </cell>
        </row>
        <row r="263">
          <cell r="A263" t="str">
            <v>ROSA TPP PH-I1</v>
          </cell>
          <cell r="B263" t="str">
            <v>ROSA TPP PH-I UNIT 1-2</v>
          </cell>
          <cell r="C263" t="str">
            <v xml:space="preserve"> 10-15 years</v>
          </cell>
          <cell r="D263">
            <v>10.2532511978097</v>
          </cell>
          <cell r="E263">
            <v>300</v>
          </cell>
          <cell r="F263">
            <v>12.39701408367336</v>
          </cell>
          <cell r="G263">
            <v>0.53850098630858056</v>
          </cell>
          <cell r="H263">
            <v>12.794469295345653</v>
          </cell>
          <cell r="I263">
            <v>3.8772071014217802</v>
          </cell>
        </row>
        <row r="264">
          <cell r="A264" t="str">
            <v>NEYVELI TPS-II EXP1</v>
          </cell>
          <cell r="B264" t="str">
            <v>NEYVELI TPS-II EXP</v>
          </cell>
          <cell r="C264" t="str">
            <v xml:space="preserve"> 5-10 years</v>
          </cell>
          <cell r="D264">
            <v>8.2546201232032796</v>
          </cell>
          <cell r="E264">
            <v>250</v>
          </cell>
          <cell r="F264">
            <v>13.17</v>
          </cell>
          <cell r="G264">
            <v>0.4510281123647083</v>
          </cell>
          <cell r="H264">
            <v>12.804858261806981</v>
          </cell>
          <cell r="I264">
            <v>2.70616867418825</v>
          </cell>
        </row>
        <row r="265">
          <cell r="A265" t="str">
            <v>TORANGALLU TPS(SBU-II)4</v>
          </cell>
          <cell r="C265" t="str">
            <v xml:space="preserve"> 10-15 years</v>
          </cell>
          <cell r="D265">
            <v>10.757015742642</v>
          </cell>
          <cell r="E265">
            <v>300</v>
          </cell>
          <cell r="F265">
            <v>9.444580192153941</v>
          </cell>
          <cell r="G265">
            <v>0.23673969417765278</v>
          </cell>
          <cell r="H265">
            <v>12.820584953114304</v>
          </cell>
          <cell r="I265">
            <v>1.7045257980791</v>
          </cell>
        </row>
        <row r="266">
          <cell r="A266" t="str">
            <v>SANTALDIH TPS6</v>
          </cell>
          <cell r="B266" t="str">
            <v>SANTALDIH TPS</v>
          </cell>
          <cell r="C266" t="str">
            <v xml:space="preserve"> 5-10 years</v>
          </cell>
          <cell r="D266">
            <v>8.5941136208076596</v>
          </cell>
          <cell r="E266">
            <v>250</v>
          </cell>
          <cell r="F266">
            <v>13.260661642857041</v>
          </cell>
          <cell r="G266">
            <v>0.84091430860862326</v>
          </cell>
          <cell r="H266">
            <v>12.822457944216291</v>
          </cell>
          <cell r="I266">
            <v>5.0454858516517396</v>
          </cell>
        </row>
        <row r="267">
          <cell r="A267" t="str">
            <v>HARDUAGANJ TPS8</v>
          </cell>
          <cell r="B267" t="str">
            <v>HARDUAGANJ TPS UNIT 8-9</v>
          </cell>
          <cell r="C267" t="str">
            <v xml:space="preserve"> 5-10 years</v>
          </cell>
          <cell r="D267">
            <v>8.6735112936344905</v>
          </cell>
          <cell r="E267">
            <v>250</v>
          </cell>
          <cell r="F267">
            <v>12.751268219005874</v>
          </cell>
          <cell r="G267">
            <v>0.69630948475966836</v>
          </cell>
          <cell r="H267">
            <v>12.826573998973306</v>
          </cell>
          <cell r="I267">
            <v>4.1778569085580104</v>
          </cell>
        </row>
        <row r="268">
          <cell r="A268" t="str">
            <v>PATHADI TPS1</v>
          </cell>
          <cell r="B268" t="str">
            <v>PATHADI TPS</v>
          </cell>
          <cell r="C268" t="str">
            <v xml:space="preserve"> 10-15 years</v>
          </cell>
          <cell r="D268">
            <v>10.924024640657001</v>
          </cell>
          <cell r="E268">
            <v>300</v>
          </cell>
          <cell r="F268">
            <v>13.583946164062594</v>
          </cell>
          <cell r="G268">
            <v>0.75547728307855966</v>
          </cell>
          <cell r="H268">
            <v>12.829242861396301</v>
          </cell>
          <cell r="I268">
            <v>5.4394364381656297</v>
          </cell>
        </row>
        <row r="269">
          <cell r="A269" t="str">
            <v>TORANGALLU TPS(SBU-II)3</v>
          </cell>
          <cell r="C269" t="str">
            <v xml:space="preserve"> 10-15 years</v>
          </cell>
          <cell r="D269">
            <v>11.0910335386721</v>
          </cell>
          <cell r="E269">
            <v>300</v>
          </cell>
          <cell r="F269">
            <v>9.444580192153941</v>
          </cell>
          <cell r="G269">
            <v>0.59539343083029583</v>
          </cell>
          <cell r="H269">
            <v>12.837900769678301</v>
          </cell>
          <cell r="I269">
            <v>4.2868327019781303</v>
          </cell>
        </row>
        <row r="270">
          <cell r="A270" t="str">
            <v>VINDHYACHAL STPS8</v>
          </cell>
          <cell r="B270" t="str">
            <v>VINDHYACHAL STPS UNIT 7-8</v>
          </cell>
          <cell r="C270" t="str">
            <v xml:space="preserve"> 20-25 years</v>
          </cell>
          <cell r="D270">
            <v>20.2546201232032</v>
          </cell>
          <cell r="E270">
            <v>500</v>
          </cell>
          <cell r="F270">
            <v>13.831783033127248</v>
          </cell>
          <cell r="G270">
            <v>0.88030996632059999</v>
          </cell>
          <cell r="H270">
            <v>12.856950261806977</v>
          </cell>
          <cell r="I270">
            <v>10.5637195958472</v>
          </cell>
        </row>
        <row r="271">
          <cell r="A271" t="str">
            <v>SAGARDIGHI TPS1</v>
          </cell>
          <cell r="B271" t="str">
            <v>SAGARDIGHI TPS UNIT 1-2</v>
          </cell>
          <cell r="C271" t="str">
            <v xml:space="preserve"> 10-15 years</v>
          </cell>
          <cell r="D271">
            <v>11.841204654346299</v>
          </cell>
          <cell r="E271">
            <v>300</v>
          </cell>
          <cell r="F271">
            <v>12.598612208655084</v>
          </cell>
          <cell r="G271">
            <v>0.58892780556193058</v>
          </cell>
          <cell r="H271">
            <v>12.876790390485967</v>
          </cell>
          <cell r="I271">
            <v>4.2402802000459001</v>
          </cell>
        </row>
        <row r="272">
          <cell r="A272" t="str">
            <v>BARAUNI TPS7</v>
          </cell>
          <cell r="B272" t="str">
            <v>BARAUNI TPS</v>
          </cell>
          <cell r="C272" t="str">
            <v xml:space="preserve"> 0-5 years</v>
          </cell>
          <cell r="D272">
            <v>3.4962354551676902</v>
          </cell>
          <cell r="E272">
            <v>110</v>
          </cell>
          <cell r="F272">
            <v>13.53</v>
          </cell>
          <cell r="G272">
            <v>5.6867127897439015E-2</v>
          </cell>
          <cell r="H272">
            <v>12.877378842231348</v>
          </cell>
          <cell r="I272">
            <v>0.15012921764923901</v>
          </cell>
        </row>
        <row r="273">
          <cell r="A273" t="str">
            <v>NIWARI TPP2</v>
          </cell>
          <cell r="C273" t="str">
            <v xml:space="preserve"> 0-5 years</v>
          </cell>
          <cell r="D273">
            <v>0.84325804243668701</v>
          </cell>
          <cell r="E273">
            <v>45</v>
          </cell>
          <cell r="F273">
            <v>13.98</v>
          </cell>
          <cell r="G273">
            <v>6.7577658303464728E-3</v>
          </cell>
          <cell r="H273">
            <v>12.888045840177961</v>
          </cell>
          <cell r="I273">
            <v>7.2983870967741902E-3</v>
          </cell>
        </row>
        <row r="274">
          <cell r="A274" t="str">
            <v>RAICHUR TPS8</v>
          </cell>
          <cell r="B274" t="str">
            <v>RAICHUR TPS UNIT 8</v>
          </cell>
          <cell r="C274" t="str">
            <v xml:space="preserve"> 5-10 years</v>
          </cell>
          <cell r="D274">
            <v>9.9247091033538606</v>
          </cell>
          <cell r="E274">
            <v>250</v>
          </cell>
          <cell r="F274">
            <v>13.26</v>
          </cell>
          <cell r="G274">
            <v>0.7046995818304117</v>
          </cell>
          <cell r="H274">
            <v>12.891437344626969</v>
          </cell>
          <cell r="I274">
            <v>4.2281974909824704</v>
          </cell>
        </row>
        <row r="275">
          <cell r="A275" t="str">
            <v>YAMUNA NAGAR TPS2</v>
          </cell>
          <cell r="B275" t="str">
            <v>YAMUNA NAGAR TPS</v>
          </cell>
          <cell r="C275" t="str">
            <v xml:space="preserve"> 10-15 years</v>
          </cell>
          <cell r="D275">
            <v>12.175222450376401</v>
          </cell>
          <cell r="E275">
            <v>300</v>
          </cell>
          <cell r="F275">
            <v>13.542839920490486</v>
          </cell>
          <cell r="G275">
            <v>0.65198699919859993</v>
          </cell>
          <cell r="H275">
            <v>12.894106207049964</v>
          </cell>
          <cell r="I275">
            <v>4.6943063942299199</v>
          </cell>
        </row>
        <row r="276">
          <cell r="A276" t="str">
            <v>CHHABRA TPS2</v>
          </cell>
          <cell r="B276" t="str">
            <v>CHHABRA TPS UNIT 1-4</v>
          </cell>
          <cell r="C276" t="str">
            <v xml:space="preserve"> 5-10 years</v>
          </cell>
          <cell r="D276">
            <v>10.009582477754901</v>
          </cell>
          <cell r="E276">
            <v>250</v>
          </cell>
          <cell r="F276">
            <v>10.614034339293095</v>
          </cell>
          <cell r="G276">
            <v>0.80455240635467329</v>
          </cell>
          <cell r="H276">
            <v>12.895837265229293</v>
          </cell>
          <cell r="I276">
            <v>4.82731443812804</v>
          </cell>
        </row>
        <row r="277">
          <cell r="A277" t="str">
            <v>CHANDRAPURA(DVC)8</v>
          </cell>
          <cell r="B277" t="str">
            <v>CHANDRAPURA(DVC)</v>
          </cell>
          <cell r="C277" t="str">
            <v xml:space="preserve"> 10-15 years</v>
          </cell>
          <cell r="D277">
            <v>10.17659137577</v>
          </cell>
          <cell r="E277">
            <v>250</v>
          </cell>
          <cell r="F277">
            <v>12.07030703683748</v>
          </cell>
          <cell r="G277">
            <v>0.79981902395390669</v>
          </cell>
          <cell r="H277">
            <v>12.904495173511293</v>
          </cell>
          <cell r="I277">
            <v>4.7989141437234402</v>
          </cell>
        </row>
        <row r="278">
          <cell r="A278" t="str">
            <v>PARAS TPS4</v>
          </cell>
          <cell r="B278" t="str">
            <v>PARAS TPS</v>
          </cell>
          <cell r="C278" t="str">
            <v xml:space="preserve"> 10-15 years</v>
          </cell>
          <cell r="D278">
            <v>10.17659137577</v>
          </cell>
          <cell r="E278">
            <v>250</v>
          </cell>
          <cell r="F278">
            <v>15.393635520145279</v>
          </cell>
          <cell r="G278">
            <v>0.72613495193214006</v>
          </cell>
          <cell r="H278">
            <v>12.904495173511293</v>
          </cell>
          <cell r="I278">
            <v>4.3568097115928399</v>
          </cell>
        </row>
        <row r="279">
          <cell r="A279" t="str">
            <v>VINDHYACHAL STPS7</v>
          </cell>
          <cell r="B279" t="str">
            <v>VINDHYACHAL STPS UNIT 7-8</v>
          </cell>
          <cell r="C279" t="str">
            <v xml:space="preserve"> 20-25 years</v>
          </cell>
          <cell r="D279">
            <v>21.177275838466802</v>
          </cell>
          <cell r="E279">
            <v>500</v>
          </cell>
          <cell r="F279">
            <v>13.831783033127248</v>
          </cell>
          <cell r="G279">
            <v>0.85503003337040839</v>
          </cell>
          <cell r="H279">
            <v>12.904781656741958</v>
          </cell>
          <cell r="I279">
            <v>10.260360400444901</v>
          </cell>
        </row>
        <row r="280">
          <cell r="A280" t="str">
            <v>SAGARDIGHI TPS2</v>
          </cell>
          <cell r="B280" t="str">
            <v>SAGARDIGHI TPS UNIT 1-2</v>
          </cell>
          <cell r="C280" t="str">
            <v xml:space="preserve"> 10-15 years</v>
          </cell>
          <cell r="D280">
            <v>12.4243668720054</v>
          </cell>
          <cell r="E280">
            <v>300</v>
          </cell>
          <cell r="F280">
            <v>12.598612208655084</v>
          </cell>
          <cell r="G280">
            <v>0.41517891214616254</v>
          </cell>
          <cell r="H280">
            <v>12.907022103011633</v>
          </cell>
          <cell r="I280">
            <v>2.9892881674523699</v>
          </cell>
        </row>
        <row r="281">
          <cell r="A281" t="str">
            <v>D.P.L. TPS7</v>
          </cell>
          <cell r="C281" t="str">
            <v xml:space="preserve"> 10-15 years</v>
          </cell>
          <cell r="D281">
            <v>12.4435318275154</v>
          </cell>
          <cell r="E281">
            <v>300</v>
          </cell>
          <cell r="F281">
            <v>13.940261619398255</v>
          </cell>
          <cell r="G281">
            <v>0.4035943447599028</v>
          </cell>
          <cell r="H281">
            <v>12.908015633470226</v>
          </cell>
          <cell r="I281">
            <v>2.9058792822713002</v>
          </cell>
        </row>
        <row r="282">
          <cell r="A282" t="str">
            <v>PARLI TPS7</v>
          </cell>
          <cell r="B282" t="str">
            <v>PARLI TPS UNIT 6-7</v>
          </cell>
          <cell r="C282" t="str">
            <v xml:space="preserve"> 10-15 years</v>
          </cell>
          <cell r="D282">
            <v>10.2532511978097</v>
          </cell>
          <cell r="E282">
            <v>250</v>
          </cell>
          <cell r="F282">
            <v>15.092566567040393</v>
          </cell>
          <cell r="G282">
            <v>0.34851120406299835</v>
          </cell>
          <cell r="H282">
            <v>12.908469295345654</v>
          </cell>
          <cell r="I282">
            <v>2.0910672243779902</v>
          </cell>
        </row>
        <row r="283">
          <cell r="A283" t="str">
            <v>YAMUNA NAGAR TPS1</v>
          </cell>
          <cell r="B283" t="str">
            <v>YAMUNA NAGAR TPS</v>
          </cell>
          <cell r="C283" t="str">
            <v xml:space="preserve"> 10-15 years</v>
          </cell>
          <cell r="D283">
            <v>12.5065023956194</v>
          </cell>
          <cell r="E283">
            <v>300</v>
          </cell>
          <cell r="F283">
            <v>13.542839920490486</v>
          </cell>
          <cell r="G283">
            <v>0.56228686270557227</v>
          </cell>
          <cell r="H283">
            <v>12.911280090691307</v>
          </cell>
          <cell r="I283">
            <v>4.0484654114801204</v>
          </cell>
        </row>
        <row r="284">
          <cell r="A284" t="str">
            <v>CHANDRAPURA(DVC)7</v>
          </cell>
          <cell r="B284" t="str">
            <v>CHANDRAPURA(DVC)</v>
          </cell>
          <cell r="C284" t="str">
            <v xml:space="preserve"> 10-15 years</v>
          </cell>
          <cell r="D284">
            <v>10.5051334702258</v>
          </cell>
          <cell r="E284">
            <v>250</v>
          </cell>
          <cell r="F284">
            <v>12.07030703683748</v>
          </cell>
          <cell r="G284">
            <v>0.83187027928852997</v>
          </cell>
          <cell r="H284">
            <v>12.921527124229977</v>
          </cell>
          <cell r="I284">
            <v>4.9912216757311798</v>
          </cell>
        </row>
        <row r="285">
          <cell r="A285" t="str">
            <v>CHHABRA TPS1</v>
          </cell>
          <cell r="B285" t="str">
            <v>CHHABRA TPS UNIT 1-4</v>
          </cell>
          <cell r="C285" t="str">
            <v xml:space="preserve"> 10-15 years</v>
          </cell>
          <cell r="D285">
            <v>10.590006844626901</v>
          </cell>
          <cell r="E285">
            <v>250</v>
          </cell>
          <cell r="F285">
            <v>10.614034339293095</v>
          </cell>
          <cell r="G285">
            <v>0.85517772768513833</v>
          </cell>
          <cell r="H285">
            <v>12.925927044832303</v>
          </cell>
          <cell r="I285">
            <v>5.1310663661108302</v>
          </cell>
        </row>
        <row r="286">
          <cell r="A286" t="str">
            <v>SIMHAPURI TPS3</v>
          </cell>
          <cell r="C286" t="str">
            <v xml:space="preserve"> 5-10 years</v>
          </cell>
          <cell r="D286">
            <v>6.2532511978097096</v>
          </cell>
          <cell r="E286">
            <v>150</v>
          </cell>
          <cell r="F286">
            <v>10.55</v>
          </cell>
          <cell r="G286">
            <v>2.1282807260954998E-2</v>
          </cell>
          <cell r="H286">
            <v>12.929105295345654</v>
          </cell>
          <cell r="I286">
            <v>7.6618106139437994E-2</v>
          </cell>
        </row>
        <row r="287">
          <cell r="A287" t="str">
            <v>BUDGE BUDGE TPS3</v>
          </cell>
          <cell r="B287" t="str">
            <v>BUDGE BUDGE TPS</v>
          </cell>
          <cell r="C287" t="str">
            <v xml:space="preserve"> 10-15 years</v>
          </cell>
          <cell r="D287">
            <v>10.6721423682409</v>
          </cell>
          <cell r="E287">
            <v>250</v>
          </cell>
          <cell r="F287">
            <v>11.940245111171752</v>
          </cell>
          <cell r="G287">
            <v>0.93339052502723829</v>
          </cell>
          <cell r="H287">
            <v>12.930185032511977</v>
          </cell>
          <cell r="I287">
            <v>5.6003431501634298</v>
          </cell>
        </row>
        <row r="288">
          <cell r="A288" t="str">
            <v>SURATGARH TPS6</v>
          </cell>
          <cell r="B288" t="str">
            <v>SURATGARH TPS</v>
          </cell>
          <cell r="C288" t="str">
            <v xml:space="preserve"> 10-15 years</v>
          </cell>
          <cell r="D288">
            <v>10.757015742642</v>
          </cell>
          <cell r="E288">
            <v>250</v>
          </cell>
          <cell r="F288">
            <v>12.88663586373525</v>
          </cell>
          <cell r="G288">
            <v>0.39675126988683329</v>
          </cell>
          <cell r="H288">
            <v>12.934584953114305</v>
          </cell>
          <cell r="I288">
            <v>2.380507619321</v>
          </cell>
        </row>
        <row r="289">
          <cell r="A289" t="str">
            <v>BHILAI TPS2</v>
          </cell>
          <cell r="B289" t="str">
            <v>BHILAI TPS</v>
          </cell>
          <cell r="C289" t="str">
            <v xml:space="preserve"> 10-15 years</v>
          </cell>
          <cell r="D289">
            <v>10.841889117043101</v>
          </cell>
          <cell r="E289">
            <v>250</v>
          </cell>
          <cell r="F289">
            <v>13.167889118409974</v>
          </cell>
          <cell r="G289">
            <v>0.76174879532757167</v>
          </cell>
          <cell r="H289">
            <v>12.938984873716631</v>
          </cell>
          <cell r="I289">
            <v>4.57049277196543</v>
          </cell>
        </row>
        <row r="290">
          <cell r="A290" t="str">
            <v>SANTALDIH TPS5</v>
          </cell>
          <cell r="B290" t="str">
            <v>SANTALDIH TPS</v>
          </cell>
          <cell r="C290" t="str">
            <v xml:space="preserve"> 10-15 years</v>
          </cell>
          <cell r="D290">
            <v>11.0910335386721</v>
          </cell>
          <cell r="E290">
            <v>250</v>
          </cell>
          <cell r="F290">
            <v>13.260661642857041</v>
          </cell>
          <cell r="G290">
            <v>0.74505864153548174</v>
          </cell>
          <cell r="H290">
            <v>12.9519007696783</v>
          </cell>
          <cell r="I290">
            <v>4.4703518492128902</v>
          </cell>
        </row>
        <row r="291">
          <cell r="A291" t="str">
            <v>TROMBAY TPS8</v>
          </cell>
          <cell r="B291" t="str">
            <v>TROMBAY TPS UNIT 8</v>
          </cell>
          <cell r="C291" t="str">
            <v xml:space="preserve"> 10-15 years</v>
          </cell>
          <cell r="D291">
            <v>11.1759069130732</v>
          </cell>
          <cell r="E291">
            <v>250</v>
          </cell>
          <cell r="F291">
            <v>9.7938280799133146</v>
          </cell>
          <cell r="G291">
            <v>0.79249443393609664</v>
          </cell>
          <cell r="H291">
            <v>12.956300690280628</v>
          </cell>
          <cell r="I291">
            <v>4.7549666036165803</v>
          </cell>
        </row>
        <row r="292">
          <cell r="A292" t="str">
            <v>RAYALSEEMA TPS5</v>
          </cell>
          <cell r="B292" t="str">
            <v>RAYALSEEMA TPS UNIT 1-5</v>
          </cell>
          <cell r="C292" t="str">
            <v xml:space="preserve"> 5-10 years</v>
          </cell>
          <cell r="D292">
            <v>9.4236824093086895</v>
          </cell>
          <cell r="E292">
            <v>210</v>
          </cell>
          <cell r="F292">
            <v>13.26</v>
          </cell>
          <cell r="G292">
            <v>0.53279562247511103</v>
          </cell>
          <cell r="H292">
            <v>12.956663619780972</v>
          </cell>
          <cell r="I292">
            <v>2.6852899372745598</v>
          </cell>
        </row>
        <row r="293">
          <cell r="A293" t="str">
            <v>CHANDRAPUR STPS7</v>
          </cell>
          <cell r="B293" t="str">
            <v>CHANDRAPUR UNITS 3-7</v>
          </cell>
          <cell r="C293" t="str">
            <v xml:space="preserve"> 20-25 years</v>
          </cell>
          <cell r="D293">
            <v>22.590006844626899</v>
          </cell>
          <cell r="E293">
            <v>500</v>
          </cell>
          <cell r="F293">
            <v>15.394986376032266</v>
          </cell>
          <cell r="G293">
            <v>0.56035945102141671</v>
          </cell>
          <cell r="H293">
            <v>12.978019044832305</v>
          </cell>
          <cell r="I293">
            <v>6.7243134122569996</v>
          </cell>
        </row>
        <row r="294">
          <cell r="A294" t="str">
            <v>MUZAFFARPUR TPS2</v>
          </cell>
          <cell r="B294" t="str">
            <v>MUZAFFARPUR TPS UNIT 1-2</v>
          </cell>
          <cell r="C294" t="str">
            <v xml:space="preserve"> 5-10 years</v>
          </cell>
          <cell r="D294">
            <v>5.5058179329226498</v>
          </cell>
          <cell r="E294">
            <v>110</v>
          </cell>
          <cell r="F294">
            <v>14.72227844179389</v>
          </cell>
          <cell r="G294">
            <v>0.33080118624204319</v>
          </cell>
          <cell r="H294">
            <v>12.981557607460644</v>
          </cell>
          <cell r="I294">
            <v>0.87331513167899399</v>
          </cell>
        </row>
        <row r="295">
          <cell r="A295" t="str">
            <v>GH TPS (LEH.MOH.)4</v>
          </cell>
          <cell r="B295" t="str">
            <v>GH TPS (LEH.MOH.)</v>
          </cell>
          <cell r="C295" t="str">
            <v xml:space="preserve"> 10-15 years</v>
          </cell>
          <cell r="D295">
            <v>11.841204654346299</v>
          </cell>
          <cell r="E295">
            <v>250</v>
          </cell>
          <cell r="F295">
            <v>13.559053519231929</v>
          </cell>
          <cell r="G295">
            <v>0.22256405603521834</v>
          </cell>
          <cell r="H295">
            <v>12.990790390485968</v>
          </cell>
          <cell r="I295">
            <v>1.33538433621131</v>
          </cell>
        </row>
        <row r="296">
          <cell r="A296" t="str">
            <v>OP JINDAL TPS4</v>
          </cell>
          <cell r="B296" t="str">
            <v>OP JINDAL TPS</v>
          </cell>
          <cell r="C296" t="str">
            <v xml:space="preserve"> 10-15 years</v>
          </cell>
          <cell r="D296">
            <v>11.9233401779603</v>
          </cell>
          <cell r="E296">
            <v>250</v>
          </cell>
          <cell r="F296">
            <v>15.504771959330938</v>
          </cell>
          <cell r="G296">
            <v>0.46317908708088329</v>
          </cell>
          <cell r="H296">
            <v>12.995048378165642</v>
          </cell>
          <cell r="I296">
            <v>2.7790745224853</v>
          </cell>
        </row>
        <row r="297">
          <cell r="A297" t="str">
            <v>BHILAI TPS1</v>
          </cell>
          <cell r="B297" t="str">
            <v>BHILAI TPS</v>
          </cell>
          <cell r="C297" t="str">
            <v xml:space="preserve"> 10-15 years</v>
          </cell>
          <cell r="D297">
            <v>12.090349075975301</v>
          </cell>
          <cell r="E297">
            <v>250</v>
          </cell>
          <cell r="F297">
            <v>13.167889118409974</v>
          </cell>
          <cell r="G297">
            <v>0.74051026187239166</v>
          </cell>
          <cell r="H297">
            <v>13.003706286447636</v>
          </cell>
          <cell r="I297">
            <v>4.4430615712343497</v>
          </cell>
        </row>
        <row r="298">
          <cell r="A298" t="str">
            <v>OP JINDAL TPS3</v>
          </cell>
          <cell r="B298" t="str">
            <v>OP JINDAL TPS</v>
          </cell>
          <cell r="C298" t="str">
            <v xml:space="preserve"> 10-15 years</v>
          </cell>
          <cell r="D298">
            <v>12.175222450376401</v>
          </cell>
          <cell r="E298">
            <v>250</v>
          </cell>
          <cell r="F298">
            <v>15.504771959330938</v>
          </cell>
          <cell r="G298">
            <v>0.50291250487019667</v>
          </cell>
          <cell r="H298">
            <v>13.008106207049963</v>
          </cell>
          <cell r="I298">
            <v>3.0174750292211798</v>
          </cell>
        </row>
        <row r="299">
          <cell r="A299" t="str">
            <v>JALIPA KAPURDI TPP7</v>
          </cell>
          <cell r="B299" t="str">
            <v>JALIPA KAPURDI TPP</v>
          </cell>
          <cell r="C299" t="str">
            <v xml:space="preserve"> 5-10 years</v>
          </cell>
          <cell r="D299">
            <v>7.1759069130732298</v>
          </cell>
          <cell r="E299">
            <v>135</v>
          </cell>
          <cell r="F299">
            <v>12.05</v>
          </cell>
          <cell r="G299">
            <v>0.69745598212964199</v>
          </cell>
          <cell r="H299">
            <v>13.01113669028063</v>
          </cell>
          <cell r="I299">
            <v>2.2597573821000401</v>
          </cell>
        </row>
        <row r="300">
          <cell r="A300" t="str">
            <v>JALIPA KAPURDI TPP6</v>
          </cell>
          <cell r="B300" t="str">
            <v>JALIPA KAPURDI TPP</v>
          </cell>
          <cell r="C300" t="str">
            <v xml:space="preserve"> 5-10 years</v>
          </cell>
          <cell r="D300">
            <v>7.1759069130732298</v>
          </cell>
          <cell r="E300">
            <v>135</v>
          </cell>
          <cell r="F300">
            <v>12.05</v>
          </cell>
          <cell r="G300">
            <v>0.66280214614535504</v>
          </cell>
          <cell r="H300">
            <v>13.01113669028063</v>
          </cell>
          <cell r="I300">
            <v>2.1474789535109502</v>
          </cell>
        </row>
        <row r="301">
          <cell r="A301" t="str">
            <v>SIMHAPURI TPS2</v>
          </cell>
          <cell r="C301" t="str">
            <v xml:space="preserve"> 5-10 years</v>
          </cell>
          <cell r="D301">
            <v>7.8412046543463303</v>
          </cell>
          <cell r="E301">
            <v>150</v>
          </cell>
          <cell r="F301">
            <v>10.55</v>
          </cell>
          <cell r="G301">
            <v>5.9408602150537492E-3</v>
          </cell>
          <cell r="H301">
            <v>13.011426390485969</v>
          </cell>
          <cell r="I301">
            <v>2.1387096774193499E-2</v>
          </cell>
        </row>
        <row r="302">
          <cell r="A302" t="str">
            <v>THAMMINAPATNAM TPS2</v>
          </cell>
          <cell r="C302" t="str">
            <v xml:space="preserve"> 5-10 years</v>
          </cell>
          <cell r="D302">
            <v>7.8412046543463303</v>
          </cell>
          <cell r="E302">
            <v>150</v>
          </cell>
          <cell r="F302">
            <v>17.396357577760803</v>
          </cell>
          <cell r="G302">
            <v>5.3678586632609451E-2</v>
          </cell>
          <cell r="H302">
            <v>13.011426390485969</v>
          </cell>
          <cell r="I302">
            <v>0.19324291187739401</v>
          </cell>
        </row>
        <row r="303">
          <cell r="A303" t="str">
            <v>OP JINDAL TPS2</v>
          </cell>
          <cell r="B303" t="str">
            <v>OP JINDAL TPS</v>
          </cell>
          <cell r="C303" t="str">
            <v xml:space="preserve"> 10-15 years</v>
          </cell>
          <cell r="D303">
            <v>12.2546201232032</v>
          </cell>
          <cell r="E303">
            <v>250</v>
          </cell>
          <cell r="F303">
            <v>15.504771959330938</v>
          </cell>
          <cell r="G303">
            <v>0.1226949504446445</v>
          </cell>
          <cell r="H303">
            <v>13.012222261806977</v>
          </cell>
          <cell r="I303">
            <v>0.73616970266786697</v>
          </cell>
        </row>
        <row r="304">
          <cell r="A304" t="str">
            <v>RATIJA TPS2</v>
          </cell>
          <cell r="B304" t="str">
            <v>RATIJA TPS</v>
          </cell>
          <cell r="C304" t="str">
            <v xml:space="preserve"> 0-5 years</v>
          </cell>
          <cell r="D304">
            <v>3.5044490075290802</v>
          </cell>
          <cell r="E304">
            <v>50</v>
          </cell>
          <cell r="F304">
            <v>13.29</v>
          </cell>
          <cell r="G304">
            <v>0.91863809303105015</v>
          </cell>
          <cell r="H304">
            <v>13.014604640999316</v>
          </cell>
          <cell r="I304">
            <v>1.10236571163726</v>
          </cell>
        </row>
        <row r="305">
          <cell r="A305" t="str">
            <v>JALIPA KAPURDI TPP5</v>
          </cell>
          <cell r="B305" t="str">
            <v>JALIPA KAPURDI TPP</v>
          </cell>
          <cell r="C305" t="str">
            <v xml:space="preserve"> 5-10 years</v>
          </cell>
          <cell r="D305">
            <v>7.2525667351129304</v>
          </cell>
          <cell r="E305">
            <v>135</v>
          </cell>
          <cell r="F305">
            <v>12.05</v>
          </cell>
          <cell r="G305">
            <v>0.72805137319167279</v>
          </cell>
          <cell r="H305">
            <v>13.01511081211499</v>
          </cell>
          <cell r="I305">
            <v>2.35888644914102</v>
          </cell>
        </row>
        <row r="306">
          <cell r="A306" t="str">
            <v>JALIPA KAPURDI TPP8</v>
          </cell>
          <cell r="B306" t="str">
            <v>JALIPA KAPURDI TPP</v>
          </cell>
          <cell r="C306" t="str">
            <v xml:space="preserve"> 5-10 years</v>
          </cell>
          <cell r="D306">
            <v>7.2525667351129304</v>
          </cell>
          <cell r="E306">
            <v>135</v>
          </cell>
          <cell r="F306">
            <v>12.05</v>
          </cell>
          <cell r="G306">
            <v>0.69249846319325614</v>
          </cell>
          <cell r="H306">
            <v>13.01511081211499</v>
          </cell>
          <cell r="I306">
            <v>2.2436950207461499</v>
          </cell>
        </row>
        <row r="307">
          <cell r="A307" t="str">
            <v>GH TPS (LEH.MOH.)3</v>
          </cell>
          <cell r="B307" t="str">
            <v>GH TPS (LEH.MOH.)</v>
          </cell>
          <cell r="C307" t="str">
            <v xml:space="preserve"> 10-15 years</v>
          </cell>
          <cell r="D307">
            <v>12.3394934976043</v>
          </cell>
          <cell r="E307">
            <v>250</v>
          </cell>
          <cell r="F307">
            <v>13.559053519231929</v>
          </cell>
          <cell r="G307">
            <v>0.29636827750998995</v>
          </cell>
          <cell r="H307">
            <v>13.016622182409305</v>
          </cell>
          <cell r="I307">
            <v>1.7782096650599399</v>
          </cell>
        </row>
        <row r="308">
          <cell r="A308" t="str">
            <v>DSPM TPS2</v>
          </cell>
          <cell r="B308" t="str">
            <v>DSPM TPS</v>
          </cell>
          <cell r="C308" t="str">
            <v xml:space="preserve"> 10-15 years</v>
          </cell>
          <cell r="D308">
            <v>12.4243668720054</v>
          </cell>
          <cell r="E308">
            <v>250</v>
          </cell>
          <cell r="F308">
            <v>13.448599591698928</v>
          </cell>
          <cell r="G308">
            <v>0.89956542175021004</v>
          </cell>
          <cell r="H308">
            <v>13.021022103011632</v>
          </cell>
          <cell r="I308">
            <v>5.3973925305012598</v>
          </cell>
        </row>
        <row r="309">
          <cell r="A309" t="str">
            <v>THAMMINAPATNAM TPS1</v>
          </cell>
          <cell r="C309" t="str">
            <v xml:space="preserve"> 5-10 years</v>
          </cell>
          <cell r="D309">
            <v>8.1752224503764506</v>
          </cell>
          <cell r="E309">
            <v>150</v>
          </cell>
          <cell r="F309">
            <v>17.396357577760803</v>
          </cell>
          <cell r="G309">
            <v>3.3012788557931112E-2</v>
          </cell>
          <cell r="H309">
            <v>13.028742207049966</v>
          </cell>
          <cell r="I309">
            <v>0.118846038808552</v>
          </cell>
        </row>
        <row r="310">
          <cell r="A310" t="str">
            <v>MEJIA TPS5</v>
          </cell>
          <cell r="B310" t="str">
            <v>MEJIA TPS</v>
          </cell>
          <cell r="C310" t="str">
            <v xml:space="preserve"> 10-15 years</v>
          </cell>
          <cell r="D310">
            <v>12.5913757700205</v>
          </cell>
          <cell r="E310">
            <v>250</v>
          </cell>
          <cell r="F310">
            <v>13.453362729299833</v>
          </cell>
          <cell r="G310">
            <v>0.64395239919722669</v>
          </cell>
          <cell r="H310">
            <v>13.029680011293634</v>
          </cell>
          <cell r="I310">
            <v>3.8637143951833601</v>
          </cell>
        </row>
        <row r="311">
          <cell r="A311" t="str">
            <v>MUZAFFARPUR TPS1</v>
          </cell>
          <cell r="B311" t="str">
            <v>MUZAFFARPUR TPS UNIT 1-2</v>
          </cell>
          <cell r="C311" t="str">
            <v xml:space="preserve"> 5-10 years</v>
          </cell>
          <cell r="D311">
            <v>6.5051334702258696</v>
          </cell>
          <cell r="E311">
            <v>110</v>
          </cell>
          <cell r="F311">
            <v>14.72227844179389</v>
          </cell>
          <cell r="G311">
            <v>0.43942087269821217</v>
          </cell>
          <cell r="H311">
            <v>13.033363124229981</v>
          </cell>
          <cell r="I311">
            <v>1.1600711039232801</v>
          </cell>
        </row>
        <row r="312">
          <cell r="A312" t="str">
            <v>OP JINDAL TPS1</v>
          </cell>
          <cell r="B312" t="str">
            <v>OP JINDAL TPS</v>
          </cell>
          <cell r="C312" t="str">
            <v xml:space="preserve"> 10-15 years</v>
          </cell>
          <cell r="D312">
            <v>12.6735112936344</v>
          </cell>
          <cell r="E312">
            <v>250</v>
          </cell>
          <cell r="F312">
            <v>15.504771959330938</v>
          </cell>
          <cell r="G312">
            <v>0.20757181344939338</v>
          </cell>
          <cell r="H312">
            <v>13.033937998973302</v>
          </cell>
          <cell r="I312">
            <v>1.2454308806963601</v>
          </cell>
        </row>
        <row r="313">
          <cell r="A313" t="str">
            <v>BAKRESWAR TPS1</v>
          </cell>
          <cell r="B313" t="str">
            <v>BAKRESWAR TPS UNIT 1-3</v>
          </cell>
          <cell r="C313" t="str">
            <v xml:space="preserve"> 10-15 years</v>
          </cell>
          <cell r="D313">
            <v>10.924024640657001</v>
          </cell>
          <cell r="E313">
            <v>210</v>
          </cell>
          <cell r="F313">
            <v>12.201374660681633</v>
          </cell>
          <cell r="G313">
            <v>0.78782254416631747</v>
          </cell>
          <cell r="H313">
            <v>13.0344428613963</v>
          </cell>
          <cell r="I313">
            <v>3.9706256225982401</v>
          </cell>
        </row>
        <row r="314">
          <cell r="A314" t="str">
            <v>KASAIPALLI TPP2</v>
          </cell>
          <cell r="B314" t="str">
            <v>KASAIPALLI TPP</v>
          </cell>
          <cell r="C314" t="str">
            <v xml:space="preserve"> 5-10 years</v>
          </cell>
          <cell r="D314">
            <v>7.9233401779603003</v>
          </cell>
          <cell r="E314">
            <v>135</v>
          </cell>
          <cell r="F314">
            <v>12.22</v>
          </cell>
          <cell r="G314">
            <v>0.72231786864670056</v>
          </cell>
          <cell r="H314">
            <v>13.04988437816564</v>
          </cell>
          <cell r="I314">
            <v>2.3403098944153098</v>
          </cell>
        </row>
        <row r="315">
          <cell r="A315" t="str">
            <v>PARAS TPS3</v>
          </cell>
          <cell r="B315" t="str">
            <v>PARAS TPS</v>
          </cell>
          <cell r="C315" t="str">
            <v xml:space="preserve"> 10-15 years</v>
          </cell>
          <cell r="D315">
            <v>13.0102669404517</v>
          </cell>
          <cell r="E315">
            <v>250</v>
          </cell>
          <cell r="F315">
            <v>15.393635520145279</v>
          </cell>
          <cell r="G315">
            <v>0.53155545768078494</v>
          </cell>
          <cell r="H315">
            <v>13.051395748459957</v>
          </cell>
          <cell r="I315">
            <v>3.1893327460847098</v>
          </cell>
        </row>
        <row r="316">
          <cell r="A316" t="str">
            <v>KOTA TPS7</v>
          </cell>
          <cell r="B316" t="str">
            <v>KOTA TPS</v>
          </cell>
          <cell r="C316" t="str">
            <v xml:space="preserve"> 10-15 years</v>
          </cell>
          <cell r="D316">
            <v>10.757015742642</v>
          </cell>
          <cell r="E316">
            <v>195</v>
          </cell>
          <cell r="F316">
            <v>14.284116629235145</v>
          </cell>
          <cell r="G316">
            <v>0.86533750569722434</v>
          </cell>
          <cell r="H316">
            <v>13.059984953114304</v>
          </cell>
          <cell r="I316">
            <v>4.0497795266630101</v>
          </cell>
        </row>
        <row r="317">
          <cell r="A317" t="str">
            <v>DSPM TPS1</v>
          </cell>
          <cell r="B317" t="str">
            <v>DSPM TPS</v>
          </cell>
          <cell r="C317" t="str">
            <v xml:space="preserve"> 10-15 years</v>
          </cell>
          <cell r="D317">
            <v>13.1772758384668</v>
          </cell>
          <cell r="E317">
            <v>250</v>
          </cell>
          <cell r="F317">
            <v>13.448599591698928</v>
          </cell>
          <cell r="G317">
            <v>0.87849132816592157</v>
          </cell>
          <cell r="H317">
            <v>13.060053656741959</v>
          </cell>
          <cell r="I317">
            <v>5.2709479689955296</v>
          </cell>
        </row>
        <row r="318">
          <cell r="A318" t="str">
            <v>MEJIA TPS6</v>
          </cell>
          <cell r="B318" t="str">
            <v>MEJIA TPS</v>
          </cell>
          <cell r="C318" t="str">
            <v xml:space="preserve"> 10-15 years</v>
          </cell>
          <cell r="D318">
            <v>13.1772758384668</v>
          </cell>
          <cell r="E318">
            <v>250</v>
          </cell>
          <cell r="F318">
            <v>13.453362729299833</v>
          </cell>
          <cell r="G318">
            <v>0.71871870626386669</v>
          </cell>
          <cell r="H318">
            <v>13.060053656741959</v>
          </cell>
          <cell r="I318">
            <v>4.3123122375831997</v>
          </cell>
        </row>
        <row r="319">
          <cell r="A319" t="str">
            <v>TALCHER STPS2</v>
          </cell>
          <cell r="B319" t="str">
            <v>TALCHER STPS UNIT 1-2</v>
          </cell>
          <cell r="C319" t="str">
            <v xml:space="preserve"> 20-25 years</v>
          </cell>
          <cell r="D319">
            <v>24.175222450376399</v>
          </cell>
          <cell r="E319">
            <v>500</v>
          </cell>
          <cell r="F319">
            <v>16.88926876693478</v>
          </cell>
          <cell r="G319">
            <v>0.78203221988276161</v>
          </cell>
          <cell r="H319">
            <v>13.060198207049964</v>
          </cell>
          <cell r="I319">
            <v>9.3843866385931403</v>
          </cell>
        </row>
        <row r="320">
          <cell r="A320" t="str">
            <v>PARLI TPS6</v>
          </cell>
          <cell r="B320" t="str">
            <v>PARLI TPS UNIT 6-7</v>
          </cell>
          <cell r="C320" t="str">
            <v xml:space="preserve"> 10-15 years</v>
          </cell>
          <cell r="D320">
            <v>13.2539356605065</v>
          </cell>
          <cell r="E320">
            <v>250</v>
          </cell>
          <cell r="F320">
            <v>15.092566567040393</v>
          </cell>
          <cell r="G320">
            <v>0.40806132828363001</v>
          </cell>
          <cell r="H320">
            <v>13.064027778576317</v>
          </cell>
          <cell r="I320">
            <v>2.4483679697017799</v>
          </cell>
        </row>
        <row r="321">
          <cell r="A321" t="str">
            <v>KASAIPALLI TPP1</v>
          </cell>
          <cell r="B321" t="str">
            <v>KASAIPALLI TPP</v>
          </cell>
          <cell r="C321" t="str">
            <v xml:space="preserve"> 5-10 years</v>
          </cell>
          <cell r="D321">
            <v>8.4243668720054696</v>
          </cell>
          <cell r="E321">
            <v>135</v>
          </cell>
          <cell r="F321">
            <v>12.22</v>
          </cell>
          <cell r="G321">
            <v>0.79260247009490747</v>
          </cell>
          <cell r="H321">
            <v>13.075858103011637</v>
          </cell>
          <cell r="I321">
            <v>2.5680320031075001</v>
          </cell>
        </row>
        <row r="322">
          <cell r="A322" t="str">
            <v>JALIPA KAPURDI TPP4</v>
          </cell>
          <cell r="B322" t="str">
            <v>JALIPA KAPURDI TPP</v>
          </cell>
          <cell r="C322" t="str">
            <v xml:space="preserve"> 5-10 years</v>
          </cell>
          <cell r="D322">
            <v>8.5065023956194299</v>
          </cell>
          <cell r="E322">
            <v>135</v>
          </cell>
          <cell r="F322">
            <v>12.05</v>
          </cell>
          <cell r="G322">
            <v>0.70319869558071291</v>
          </cell>
          <cell r="H322">
            <v>13.080116090691307</v>
          </cell>
          <cell r="I322">
            <v>2.2783637736815101</v>
          </cell>
        </row>
        <row r="323">
          <cell r="A323" t="str">
            <v>JALIPA KAPURDI TPP3</v>
          </cell>
          <cell r="B323" t="str">
            <v>JALIPA KAPURDI TPP</v>
          </cell>
          <cell r="C323" t="str">
            <v xml:space="preserve"> 5-10 years</v>
          </cell>
          <cell r="D323">
            <v>8.5065023956194299</v>
          </cell>
          <cell r="E323">
            <v>135</v>
          </cell>
          <cell r="F323">
            <v>12.05</v>
          </cell>
          <cell r="G323">
            <v>0.66762523936823448</v>
          </cell>
          <cell r="H323">
            <v>13.080116090691307</v>
          </cell>
          <cell r="I323">
            <v>2.1631057755530798</v>
          </cell>
        </row>
        <row r="324">
          <cell r="A324" t="str">
            <v>AMARKANTAK TPS3</v>
          </cell>
          <cell r="B324" t="str">
            <v>AMARKANTAK TPS</v>
          </cell>
          <cell r="C324" t="str">
            <v xml:space="preserve"> 10-15 years</v>
          </cell>
          <cell r="D324">
            <v>11.9233401779603</v>
          </cell>
          <cell r="E324">
            <v>210</v>
          </cell>
          <cell r="F324">
            <v>11.458462968808453</v>
          </cell>
          <cell r="G324">
            <v>0.9117231448691191</v>
          </cell>
          <cell r="H324">
            <v>13.08624837816564</v>
          </cell>
          <cell r="I324">
            <v>4.5950846501403602</v>
          </cell>
        </row>
        <row r="325">
          <cell r="A325" t="str">
            <v>WARDHA WARORA TPP4</v>
          </cell>
          <cell r="C325" t="str">
            <v xml:space="preserve"> 5-10 years</v>
          </cell>
          <cell r="D325">
            <v>9.0924024640656995</v>
          </cell>
          <cell r="E325">
            <v>135</v>
          </cell>
          <cell r="F325">
            <v>14.831276623093615</v>
          </cell>
          <cell r="G325">
            <v>0.29364336770426852</v>
          </cell>
          <cell r="H325">
            <v>13.11048973613963</v>
          </cell>
          <cell r="I325">
            <v>0.95140451136183002</v>
          </cell>
        </row>
        <row r="326">
          <cell r="A326" t="str">
            <v>BAKRESWAR TPS5</v>
          </cell>
          <cell r="B326" t="str">
            <v>BAKRESWAR TPS UNIT 4-5</v>
          </cell>
          <cell r="C326" t="str">
            <v xml:space="preserve"> 10-15 years</v>
          </cell>
          <cell r="D326">
            <v>12.4243668720054</v>
          </cell>
          <cell r="E326">
            <v>210</v>
          </cell>
          <cell r="F326">
            <v>12.201374660681633</v>
          </cell>
          <cell r="G326">
            <v>0.74778302474740865</v>
          </cell>
          <cell r="H326">
            <v>13.112222103011632</v>
          </cell>
          <cell r="I326">
            <v>3.76882644472694</v>
          </cell>
        </row>
        <row r="327">
          <cell r="A327" t="str">
            <v>TALCHER STPS1</v>
          </cell>
          <cell r="B327" t="str">
            <v>TALCHER STPS UNIT 1-2</v>
          </cell>
          <cell r="C327" t="str">
            <v xml:space="preserve"> 25-30 years</v>
          </cell>
          <cell r="D327">
            <v>25.2539356605065</v>
          </cell>
          <cell r="E327">
            <v>500</v>
          </cell>
          <cell r="F327">
            <v>16.88926876693478</v>
          </cell>
          <cell r="G327">
            <v>0.77147842391143018</v>
          </cell>
          <cell r="H327">
            <v>13.116119778576318</v>
          </cell>
          <cell r="I327">
            <v>9.2577410869371608</v>
          </cell>
        </row>
        <row r="328">
          <cell r="A328" t="str">
            <v>RAYALSEEMA TPS4</v>
          </cell>
          <cell r="B328" t="str">
            <v>RAYALSEEMA TPS UNIT 1-5</v>
          </cell>
          <cell r="C328" t="str">
            <v xml:space="preserve"> 10-15 years</v>
          </cell>
          <cell r="D328">
            <v>12.5065023956194</v>
          </cell>
          <cell r="E328">
            <v>210</v>
          </cell>
          <cell r="F328">
            <v>14.35</v>
          </cell>
          <cell r="G328">
            <v>0.66355590416243049</v>
          </cell>
          <cell r="H328">
            <v>13.116480090691306</v>
          </cell>
          <cell r="I328">
            <v>3.3443217569786499</v>
          </cell>
        </row>
        <row r="329">
          <cell r="A329" t="str">
            <v>WARDHA WARORA TPP3</v>
          </cell>
          <cell r="C329" t="str">
            <v xml:space="preserve"> 5-10 years</v>
          </cell>
          <cell r="D329">
            <v>9.3388090349075892</v>
          </cell>
          <cell r="E329">
            <v>135</v>
          </cell>
          <cell r="F329">
            <v>14.831276623093615</v>
          </cell>
          <cell r="G329">
            <v>0.27656970546292103</v>
          </cell>
          <cell r="H329">
            <v>13.123263699178645</v>
          </cell>
          <cell r="I329">
            <v>0.89608584569986405</v>
          </cell>
        </row>
        <row r="330">
          <cell r="A330" t="str">
            <v>WARDHA WARORA TPP2</v>
          </cell>
          <cell r="C330" t="str">
            <v xml:space="preserve"> 5-10 years</v>
          </cell>
          <cell r="D330">
            <v>9.5906913073237501</v>
          </cell>
          <cell r="E330">
            <v>135</v>
          </cell>
          <cell r="F330">
            <v>14.831276623093615</v>
          </cell>
          <cell r="G330">
            <v>3.5960402335027779E-2</v>
          </cell>
          <cell r="H330">
            <v>13.136321528062972</v>
          </cell>
          <cell r="I330">
            <v>0.11651170356549</v>
          </cell>
        </row>
        <row r="331">
          <cell r="A331" t="str">
            <v>BARSINGSAR LIGNITE2</v>
          </cell>
          <cell r="B331" t="str">
            <v>BARSINGSAR LIGNITE</v>
          </cell>
          <cell r="C331" t="str">
            <v xml:space="preserve"> 5-10 years</v>
          </cell>
          <cell r="D331">
            <v>9.3388090349075892</v>
          </cell>
          <cell r="E331">
            <v>125</v>
          </cell>
          <cell r="F331">
            <v>13.44</v>
          </cell>
          <cell r="G331">
            <v>0.65589233118438994</v>
          </cell>
          <cell r="H331">
            <v>13.146063699178645</v>
          </cell>
          <cell r="I331">
            <v>1.9676769935531699</v>
          </cell>
        </row>
        <row r="332">
          <cell r="A332" t="str">
            <v>ANPARA TPS5</v>
          </cell>
          <cell r="B332" t="str">
            <v>ANPARA - B</v>
          </cell>
          <cell r="C332" t="str">
            <v xml:space="preserve"> 25-30 years</v>
          </cell>
          <cell r="D332">
            <v>25.842573579739899</v>
          </cell>
          <cell r="E332">
            <v>500</v>
          </cell>
          <cell r="F332">
            <v>13.153682597016777</v>
          </cell>
          <cell r="G332">
            <v>0.77722865032661248</v>
          </cell>
          <cell r="H332">
            <v>13.146635356947296</v>
          </cell>
          <cell r="I332">
            <v>9.3267438039193493</v>
          </cell>
        </row>
        <row r="333">
          <cell r="A333" t="str">
            <v>JALIPA KAPURDI TPP2</v>
          </cell>
          <cell r="B333" t="str">
            <v>JALIPA KAPURDI TPP</v>
          </cell>
          <cell r="C333" t="str">
            <v xml:space="preserve"> 5-10 years</v>
          </cell>
          <cell r="D333">
            <v>9.8425735797399003</v>
          </cell>
          <cell r="E333">
            <v>135</v>
          </cell>
          <cell r="F333">
            <v>12.05</v>
          </cell>
          <cell r="G333">
            <v>0.70179042474249997</v>
          </cell>
          <cell r="H333">
            <v>13.149379356947296</v>
          </cell>
          <cell r="I333">
            <v>2.2738009761656999</v>
          </cell>
        </row>
        <row r="334">
          <cell r="A334" t="str">
            <v>RAYALSEEMA TPS3</v>
          </cell>
          <cell r="B334" t="str">
            <v>RAYALSEEMA TPS UNIT 1-5</v>
          </cell>
          <cell r="C334" t="str">
            <v xml:space="preserve"> 10-15 years</v>
          </cell>
          <cell r="D334">
            <v>13.3388090349075</v>
          </cell>
          <cell r="E334">
            <v>210</v>
          </cell>
          <cell r="F334">
            <v>14.35</v>
          </cell>
          <cell r="G334">
            <v>0.58481607510346423</v>
          </cell>
          <cell r="H334">
            <v>13.159627699178641</v>
          </cell>
          <cell r="I334">
            <v>2.9474730185214599</v>
          </cell>
        </row>
        <row r="335">
          <cell r="A335" t="str">
            <v>PARICHHA TPS4</v>
          </cell>
          <cell r="B335" t="str">
            <v>PARICHHA TPS UNIT 3-4</v>
          </cell>
          <cell r="C335" t="str">
            <v xml:space="preserve"> 10-15 years</v>
          </cell>
          <cell r="D335">
            <v>13.423682409308601</v>
          </cell>
          <cell r="E335">
            <v>210</v>
          </cell>
          <cell r="F335">
            <v>13.935857129883598</v>
          </cell>
          <cell r="G335">
            <v>0.64197221125709725</v>
          </cell>
          <cell r="H335">
            <v>13.164027619780967</v>
          </cell>
          <cell r="I335">
            <v>3.2355399447357698</v>
          </cell>
        </row>
        <row r="336">
          <cell r="A336" t="str">
            <v>FARAKKA STPS5</v>
          </cell>
          <cell r="B336" t="str">
            <v>FARAKKA STPS UNIT 1-5</v>
          </cell>
          <cell r="C336" t="str">
            <v xml:space="preserve"> 25-30 years</v>
          </cell>
          <cell r="D336">
            <v>26.2532511978097</v>
          </cell>
          <cell r="E336">
            <v>500</v>
          </cell>
          <cell r="F336">
            <v>13.797597415656467</v>
          </cell>
          <cell r="G336">
            <v>0.78086559034574843</v>
          </cell>
          <cell r="H336">
            <v>13.167925295345654</v>
          </cell>
          <cell r="I336">
            <v>9.3703870841489803</v>
          </cell>
        </row>
        <row r="337">
          <cell r="A337" t="str">
            <v>PANIPAT TPS8</v>
          </cell>
          <cell r="B337" t="str">
            <v>PANIPAT TPS UNIT 8</v>
          </cell>
          <cell r="C337" t="str">
            <v xml:space="preserve"> 15-20 years</v>
          </cell>
          <cell r="D337">
            <v>15.337440109514</v>
          </cell>
          <cell r="E337">
            <v>250</v>
          </cell>
          <cell r="F337">
            <v>13.628184438240176</v>
          </cell>
          <cell r="G337">
            <v>0.56927000123024507</v>
          </cell>
          <cell r="H337">
            <v>13.172038732717315</v>
          </cell>
          <cell r="I337">
            <v>3.4156200073814702</v>
          </cell>
        </row>
        <row r="338">
          <cell r="A338" t="str">
            <v>BARSINGSAR LIGNITE1</v>
          </cell>
          <cell r="B338" t="str">
            <v>BARSINGSAR LIGNITE</v>
          </cell>
          <cell r="C338" t="str">
            <v xml:space="preserve"> 5-10 years</v>
          </cell>
          <cell r="D338">
            <v>9.9247091033538606</v>
          </cell>
          <cell r="E338">
            <v>125</v>
          </cell>
          <cell r="F338">
            <v>13.44</v>
          </cell>
          <cell r="G338">
            <v>0.71921921125310007</v>
          </cell>
          <cell r="H338">
            <v>13.176437344626969</v>
          </cell>
          <cell r="I338">
            <v>2.1576576337593001</v>
          </cell>
        </row>
        <row r="339">
          <cell r="A339" t="str">
            <v>UNCHAHAR STPS5</v>
          </cell>
          <cell r="B339" t="str">
            <v>UNCHAHAR STPS UNIT 5</v>
          </cell>
          <cell r="C339" t="str">
            <v xml:space="preserve"> 10-15 years</v>
          </cell>
          <cell r="D339">
            <v>13.6728268309377</v>
          </cell>
          <cell r="E339">
            <v>210</v>
          </cell>
          <cell r="F339">
            <v>13.21968205136662</v>
          </cell>
          <cell r="G339">
            <v>0.69340071524840274</v>
          </cell>
          <cell r="H339">
            <v>13.176943515742641</v>
          </cell>
          <cell r="I339">
            <v>3.4947396048519499</v>
          </cell>
        </row>
        <row r="340">
          <cell r="A340" t="str">
            <v>NIWARI TPP1</v>
          </cell>
          <cell r="C340" t="str">
            <v xml:space="preserve"> 5-10 years</v>
          </cell>
          <cell r="D340">
            <v>6.4229979466118996</v>
          </cell>
          <cell r="E340">
            <v>45</v>
          </cell>
          <cell r="F340">
            <v>13.98</v>
          </cell>
          <cell r="G340">
            <v>0.34695512619098523</v>
          </cell>
          <cell r="H340">
            <v>13.177305136550308</v>
          </cell>
          <cell r="I340">
            <v>0.37471153628626402</v>
          </cell>
        </row>
        <row r="341">
          <cell r="A341" t="str">
            <v>SURAT LIG. TPS4</v>
          </cell>
          <cell r="B341" t="str">
            <v>SURAT LIG. TPS UNIT 3-4</v>
          </cell>
          <cell r="C341" t="str">
            <v xml:space="preserve"> 5-10 years</v>
          </cell>
          <cell r="D341">
            <v>10.0917180013689</v>
          </cell>
          <cell r="E341">
            <v>125</v>
          </cell>
          <cell r="F341">
            <v>11.37</v>
          </cell>
          <cell r="G341">
            <v>0.81636282220616008</v>
          </cell>
          <cell r="H341">
            <v>13.185095252908965</v>
          </cell>
          <cell r="I341">
            <v>2.44908846661848</v>
          </cell>
        </row>
        <row r="342">
          <cell r="A342" t="str">
            <v>SURAT LIG. TPS3</v>
          </cell>
          <cell r="B342" t="str">
            <v>SURAT LIG. TPS UNIT 3-4</v>
          </cell>
          <cell r="C342" t="str">
            <v xml:space="preserve"> 5-10 years</v>
          </cell>
          <cell r="D342">
            <v>10.0917180013689</v>
          </cell>
          <cell r="E342">
            <v>125</v>
          </cell>
          <cell r="F342">
            <v>11.37</v>
          </cell>
          <cell r="G342">
            <v>0.78957665500780994</v>
          </cell>
          <cell r="H342">
            <v>13.185095252908965</v>
          </cell>
          <cell r="I342">
            <v>2.3687299650234301</v>
          </cell>
        </row>
        <row r="343">
          <cell r="A343" t="str">
            <v>JALIPA KAPURDI TPP1</v>
          </cell>
          <cell r="B343" t="str">
            <v>JALIPA KAPURDI TPP</v>
          </cell>
          <cell r="C343" t="str">
            <v xml:space="preserve"> 10-15 years</v>
          </cell>
          <cell r="D343">
            <v>10.590006844626901</v>
          </cell>
          <cell r="E343">
            <v>135</v>
          </cell>
          <cell r="F343">
            <v>12.05</v>
          </cell>
          <cell r="G343">
            <v>0.68166622684120992</v>
          </cell>
          <cell r="H343">
            <v>13.188127044832303</v>
          </cell>
          <cell r="I343">
            <v>2.2085985749655199</v>
          </cell>
        </row>
        <row r="344">
          <cell r="A344" t="str">
            <v>PANIPAT TPS7</v>
          </cell>
          <cell r="B344" t="str">
            <v>PANIPAT TPS UNIT 7</v>
          </cell>
          <cell r="C344" t="str">
            <v xml:space="preserve"> 15-20 years</v>
          </cell>
          <cell r="D344">
            <v>15.6714579055441</v>
          </cell>
          <cell r="E344">
            <v>250</v>
          </cell>
          <cell r="F344">
            <v>13.628184438240176</v>
          </cell>
          <cell r="G344">
            <v>0.53534393531641999</v>
          </cell>
          <cell r="H344">
            <v>13.189354549281312</v>
          </cell>
          <cell r="I344">
            <v>3.21206361189852</v>
          </cell>
        </row>
        <row r="345">
          <cell r="A345" t="str">
            <v>ANPARA TPS4</v>
          </cell>
          <cell r="B345" t="str">
            <v>ANPARA - B</v>
          </cell>
          <cell r="C345" t="str">
            <v xml:space="preserve"> 25-30 years</v>
          </cell>
          <cell r="D345">
            <v>26.841889117043099</v>
          </cell>
          <cell r="E345">
            <v>500</v>
          </cell>
          <cell r="F345">
            <v>13.153682597016777</v>
          </cell>
          <cell r="G345">
            <v>0.91906908293165013</v>
          </cell>
          <cell r="H345">
            <v>13.198440873716631</v>
          </cell>
          <cell r="I345">
            <v>11.028828995179801</v>
          </cell>
        </row>
        <row r="346">
          <cell r="A346" t="str">
            <v>CHAKABURA TPP2</v>
          </cell>
          <cell r="C346" t="str">
            <v xml:space="preserve"> 5-10 years</v>
          </cell>
          <cell r="D346">
            <v>6.1765913757700197</v>
          </cell>
          <cell r="E346">
            <v>30</v>
          </cell>
          <cell r="F346">
            <v>12.22</v>
          </cell>
          <cell r="G346">
            <v>0.89898017505749173</v>
          </cell>
          <cell r="H346">
            <v>13.198731173511295</v>
          </cell>
          <cell r="I346">
            <v>0.64726572604139399</v>
          </cell>
        </row>
        <row r="347">
          <cell r="A347" t="str">
            <v>PARICHHA TPS3</v>
          </cell>
          <cell r="B347" t="str">
            <v>PARICHHA TPS UNIT 3-4</v>
          </cell>
          <cell r="C347" t="str">
            <v xml:space="preserve"> 10-15 years</v>
          </cell>
          <cell r="D347">
            <v>14.17659137577</v>
          </cell>
          <cell r="E347">
            <v>210</v>
          </cell>
          <cell r="F347">
            <v>13.935857129883598</v>
          </cell>
          <cell r="G347">
            <v>0.61559487708691074</v>
          </cell>
          <cell r="H347">
            <v>13.203059173511292</v>
          </cell>
          <cell r="I347">
            <v>3.1025981805180298</v>
          </cell>
        </row>
        <row r="348">
          <cell r="A348" t="str">
            <v>RATIJA TPS1</v>
          </cell>
          <cell r="B348" t="str">
            <v>RATIJA TPS</v>
          </cell>
          <cell r="C348" t="str">
            <v xml:space="preserve"> 5-10 years</v>
          </cell>
          <cell r="D348">
            <v>7.2525667351129304</v>
          </cell>
          <cell r="E348">
            <v>50</v>
          </cell>
          <cell r="F348">
            <v>12.22</v>
          </cell>
          <cell r="G348">
            <v>0.79589351126472008</v>
          </cell>
          <cell r="H348">
            <v>13.20891081211499</v>
          </cell>
          <cell r="I348">
            <v>0.95507221351766403</v>
          </cell>
        </row>
        <row r="349">
          <cell r="A349" t="str">
            <v>SVPL TPP1</v>
          </cell>
          <cell r="C349" t="str">
            <v xml:space="preserve"> 5-10 years</v>
          </cell>
          <cell r="D349">
            <v>8.4243668720054696</v>
          </cell>
          <cell r="E349">
            <v>63</v>
          </cell>
          <cell r="F349">
            <v>12.22</v>
          </cell>
          <cell r="G349">
            <v>0.20316257890568851</v>
          </cell>
          <cell r="H349">
            <v>13.240018103011636</v>
          </cell>
          <cell r="I349">
            <v>0.307181819305401</v>
          </cell>
        </row>
        <row r="350">
          <cell r="A350" t="str">
            <v>FARAKKA STPS4</v>
          </cell>
          <cell r="B350" t="str">
            <v>FARAKKA STPS UNIT 1-5</v>
          </cell>
          <cell r="C350" t="str">
            <v xml:space="preserve"> 25-30 years</v>
          </cell>
          <cell r="D350">
            <v>27.671457905544099</v>
          </cell>
          <cell r="E350">
            <v>500</v>
          </cell>
          <cell r="F350">
            <v>13.797597415656467</v>
          </cell>
          <cell r="G350">
            <v>0.75767318721271659</v>
          </cell>
          <cell r="H350">
            <v>13.241446549281312</v>
          </cell>
          <cell r="I350">
            <v>9.0920782465525996</v>
          </cell>
        </row>
        <row r="351">
          <cell r="A351" t="str">
            <v>SURATGARH TPS5</v>
          </cell>
          <cell r="B351" t="str">
            <v>SURATGARH TPS</v>
          </cell>
          <cell r="C351" t="str">
            <v xml:space="preserve"> 15-20 years</v>
          </cell>
          <cell r="D351">
            <v>16.925393566050602</v>
          </cell>
          <cell r="E351">
            <v>250</v>
          </cell>
          <cell r="F351">
            <v>12.88663586373525</v>
          </cell>
          <cell r="G351">
            <v>0.47192488823560497</v>
          </cell>
          <cell r="H351">
            <v>13.25435982785763</v>
          </cell>
          <cell r="I351">
            <v>2.83154932941363</v>
          </cell>
        </row>
        <row r="352">
          <cell r="A352" t="str">
            <v>CHANDRAPUR STPS6</v>
          </cell>
          <cell r="B352" t="str">
            <v>CHANDRAPUR UNITS 3-7</v>
          </cell>
          <cell r="C352" t="str">
            <v xml:space="preserve"> 25-30 years</v>
          </cell>
          <cell r="D352">
            <v>28.175222450376399</v>
          </cell>
          <cell r="E352">
            <v>500</v>
          </cell>
          <cell r="F352">
            <v>15.394986376032266</v>
          </cell>
          <cell r="G352">
            <v>0.4896267827127142</v>
          </cell>
          <cell r="H352">
            <v>13.267562207049963</v>
          </cell>
          <cell r="I352">
            <v>5.87552139255257</v>
          </cell>
        </row>
        <row r="353">
          <cell r="A353" t="str">
            <v>UTRAULA TPS2</v>
          </cell>
          <cell r="B353" t="str">
            <v>UTRAULA TPS</v>
          </cell>
          <cell r="C353" t="str">
            <v xml:space="preserve"> 5-10 years</v>
          </cell>
          <cell r="D353">
            <v>8.1752224503764506</v>
          </cell>
          <cell r="E353">
            <v>45</v>
          </cell>
          <cell r="F353">
            <v>16.198762472960397</v>
          </cell>
          <cell r="G353">
            <v>0.1811269272344537</v>
          </cell>
          <cell r="H353">
            <v>13.268142207049966</v>
          </cell>
          <cell r="I353">
            <v>0.19561708141320999</v>
          </cell>
        </row>
        <row r="354">
          <cell r="A354" t="str">
            <v>KUNDARKI TPS2</v>
          </cell>
          <cell r="B354" t="str">
            <v>KUNDARKI TPS</v>
          </cell>
          <cell r="C354" t="str">
            <v xml:space="preserve"> 5-10 years</v>
          </cell>
          <cell r="D354">
            <v>8.2546201232032796</v>
          </cell>
          <cell r="E354">
            <v>45</v>
          </cell>
          <cell r="F354">
            <v>15.40713027745071</v>
          </cell>
          <cell r="G354">
            <v>0.18363114676376296</v>
          </cell>
          <cell r="H354">
            <v>13.272258261806982</v>
          </cell>
          <cell r="I354">
            <v>0.19832163850486401</v>
          </cell>
        </row>
        <row r="355">
          <cell r="A355" t="str">
            <v>UTRAULA TPS1</v>
          </cell>
          <cell r="B355" t="str">
            <v>UTRAULA TPS</v>
          </cell>
          <cell r="C355" t="str">
            <v xml:space="preserve"> 5-10 years</v>
          </cell>
          <cell r="D355">
            <v>8.2546201232032796</v>
          </cell>
          <cell r="E355">
            <v>45</v>
          </cell>
          <cell r="F355">
            <v>16.198762472960397</v>
          </cell>
          <cell r="G355">
            <v>0.19082309741897499</v>
          </cell>
          <cell r="H355">
            <v>13.272258261806982</v>
          </cell>
          <cell r="I355">
            <v>0.20608894521249299</v>
          </cell>
        </row>
        <row r="356">
          <cell r="A356" t="str">
            <v>MEJIA TPS4</v>
          </cell>
          <cell r="B356" t="str">
            <v>MEJIA TPS</v>
          </cell>
          <cell r="C356" t="str">
            <v xml:space="preserve"> 15-20 years</v>
          </cell>
          <cell r="D356">
            <v>15.589322381930099</v>
          </cell>
          <cell r="E356">
            <v>210</v>
          </cell>
          <cell r="F356">
            <v>13.453362729299833</v>
          </cell>
          <cell r="G356">
            <v>0.59232032044181748</v>
          </cell>
          <cell r="H356">
            <v>13.276296561601638</v>
          </cell>
          <cell r="I356">
            <v>2.9852944150267602</v>
          </cell>
        </row>
        <row r="357">
          <cell r="A357" t="str">
            <v>KUNDARKI TPS1</v>
          </cell>
          <cell r="B357" t="str">
            <v>KUNDARKI TPS</v>
          </cell>
          <cell r="C357" t="str">
            <v xml:space="preserve"> 5-10 years</v>
          </cell>
          <cell r="D357">
            <v>8.33949349760438</v>
          </cell>
          <cell r="E357">
            <v>45</v>
          </cell>
          <cell r="F357">
            <v>15.40713027745071</v>
          </cell>
          <cell r="G357">
            <v>0.21122519959795927</v>
          </cell>
          <cell r="H357">
            <v>13.27665818240931</v>
          </cell>
          <cell r="I357">
            <v>0.22812321556579601</v>
          </cell>
        </row>
        <row r="358">
          <cell r="A358" t="str">
            <v>BARKHERA TPS2</v>
          </cell>
          <cell r="B358" t="str">
            <v>BARKHERA TPS</v>
          </cell>
          <cell r="C358" t="str">
            <v xml:space="preserve"> 5-10 years</v>
          </cell>
          <cell r="D358">
            <v>8.33949349760438</v>
          </cell>
          <cell r="E358">
            <v>45</v>
          </cell>
          <cell r="F358">
            <v>16.288033908419976</v>
          </cell>
          <cell r="G358">
            <v>0.14017378297396205</v>
          </cell>
          <cell r="H358">
            <v>13.27665818240931</v>
          </cell>
          <cell r="I358">
            <v>0.15138768561187901</v>
          </cell>
        </row>
        <row r="359">
          <cell r="A359" t="str">
            <v>MAQSOODPUR TPS2</v>
          </cell>
          <cell r="B359" t="str">
            <v>MAQSOODPUR TPS</v>
          </cell>
          <cell r="C359" t="str">
            <v xml:space="preserve"> 5-10 years</v>
          </cell>
          <cell r="D359">
            <v>8.33949349760438</v>
          </cell>
          <cell r="E359">
            <v>45</v>
          </cell>
          <cell r="F359">
            <v>16.583765707293544</v>
          </cell>
          <cell r="G359">
            <v>0.13889972217481111</v>
          </cell>
          <cell r="H359">
            <v>13.27665818240931</v>
          </cell>
          <cell r="I359">
            <v>0.15001169994879601</v>
          </cell>
        </row>
        <row r="360">
          <cell r="A360" t="str">
            <v>BARKHERA TPS1</v>
          </cell>
          <cell r="B360" t="str">
            <v>BARKHERA TPS</v>
          </cell>
          <cell r="C360" t="str">
            <v xml:space="preserve"> 5-10 years</v>
          </cell>
          <cell r="D360">
            <v>8.5065023956194299</v>
          </cell>
          <cell r="E360">
            <v>45</v>
          </cell>
          <cell r="F360">
            <v>16.288033908419976</v>
          </cell>
          <cell r="G360">
            <v>0.16599666704595001</v>
          </cell>
          <cell r="H360">
            <v>13.285316090691307</v>
          </cell>
          <cell r="I360">
            <v>0.179276400409626</v>
          </cell>
        </row>
        <row r="361">
          <cell r="A361" t="str">
            <v>KHAMBARKHERA TPS2</v>
          </cell>
          <cell r="B361" t="str">
            <v>KHAMBARKHERA TPS</v>
          </cell>
          <cell r="C361" t="str">
            <v xml:space="preserve"> 5-10 years</v>
          </cell>
          <cell r="D361">
            <v>8.5065023956194299</v>
          </cell>
          <cell r="E361">
            <v>45</v>
          </cell>
          <cell r="F361">
            <v>16.438127281394998</v>
          </cell>
          <cell r="G361">
            <v>0.13841128084049167</v>
          </cell>
          <cell r="H361">
            <v>13.285316090691307</v>
          </cell>
          <cell r="I361">
            <v>0.149484183307731</v>
          </cell>
        </row>
        <row r="362">
          <cell r="A362" t="str">
            <v>MAQSOODPUR TPS1</v>
          </cell>
          <cell r="B362" t="str">
            <v>MAQSOODPUR TPS</v>
          </cell>
          <cell r="C362" t="str">
            <v xml:space="preserve"> 5-10 years</v>
          </cell>
          <cell r="D362">
            <v>8.5065023956194299</v>
          </cell>
          <cell r="E362">
            <v>45</v>
          </cell>
          <cell r="F362">
            <v>16.583765707293544</v>
          </cell>
          <cell r="G362">
            <v>0.15058742959549351</v>
          </cell>
          <cell r="H362">
            <v>13.285316090691307</v>
          </cell>
          <cell r="I362">
            <v>0.16263442396313299</v>
          </cell>
        </row>
        <row r="363">
          <cell r="A363" t="str">
            <v>NEYVELI TPS (Z)1</v>
          </cell>
          <cell r="B363" t="str">
            <v>NEYVELI TPS (Z)</v>
          </cell>
          <cell r="C363" t="str">
            <v xml:space="preserve"> 15-20 years</v>
          </cell>
          <cell r="D363">
            <v>17.590691307323699</v>
          </cell>
          <cell r="E363">
            <v>250</v>
          </cell>
          <cell r="F363">
            <v>11.48</v>
          </cell>
          <cell r="G363">
            <v>0.57563503698995333</v>
          </cell>
          <cell r="H363">
            <v>13.288849528062968</v>
          </cell>
          <cell r="I363">
            <v>3.4538102219397202</v>
          </cell>
        </row>
        <row r="364">
          <cell r="A364" t="str">
            <v>KHAMBARKHERA TPS1</v>
          </cell>
          <cell r="B364" t="str">
            <v>KHAMBARKHERA TPS</v>
          </cell>
          <cell r="C364" t="str">
            <v xml:space="preserve"> 5-10 years</v>
          </cell>
          <cell r="D364">
            <v>8.5913757700205302</v>
          </cell>
          <cell r="E364">
            <v>45</v>
          </cell>
          <cell r="F364">
            <v>16.438127281394998</v>
          </cell>
          <cell r="G364">
            <v>0.13315430202347683</v>
          </cell>
          <cell r="H364">
            <v>13.289716011293635</v>
          </cell>
          <cell r="I364">
            <v>0.14380664618535499</v>
          </cell>
        </row>
        <row r="365">
          <cell r="A365" t="str">
            <v>NORTH CHENNAI TPS2</v>
          </cell>
          <cell r="B365" t="str">
            <v>NORTH CHENNAI TPS UNIT 1-3</v>
          </cell>
          <cell r="C365" t="str">
            <v xml:space="preserve"> 25-30 years</v>
          </cell>
          <cell r="D365">
            <v>15.9247091033538</v>
          </cell>
          <cell r="E365">
            <v>210</v>
          </cell>
          <cell r="F365">
            <v>14.896962898893085</v>
          </cell>
          <cell r="G365">
            <v>0.7224147266024622</v>
          </cell>
          <cell r="H365">
            <v>13.293683344626965</v>
          </cell>
          <cell r="I365">
            <v>3.64097022207641</v>
          </cell>
        </row>
        <row r="366">
          <cell r="A366" t="str">
            <v>NORTH CHENNAI TPS1</v>
          </cell>
          <cell r="B366" t="str">
            <v>NORTH CHENNAI TPS UNIT 1-3</v>
          </cell>
          <cell r="C366" t="str">
            <v xml:space="preserve"> 25-30 years</v>
          </cell>
          <cell r="D366">
            <v>16.383299110198401</v>
          </cell>
          <cell r="E366">
            <v>210</v>
          </cell>
          <cell r="F366">
            <v>14.896962898893085</v>
          </cell>
          <cell r="G366">
            <v>0.63713373751104163</v>
          </cell>
          <cell r="H366">
            <v>13.317457109171796</v>
          </cell>
          <cell r="I366">
            <v>3.2111540370556502</v>
          </cell>
        </row>
        <row r="367">
          <cell r="A367" t="str">
            <v>SURATGARH TPS4</v>
          </cell>
          <cell r="B367" t="str">
            <v>SURATGARH TPS</v>
          </cell>
          <cell r="C367" t="str">
            <v xml:space="preserve"> 15-20 years</v>
          </cell>
          <cell r="D367">
            <v>18.176591375769998</v>
          </cell>
          <cell r="E367">
            <v>250</v>
          </cell>
          <cell r="F367">
            <v>12.88663586373525</v>
          </cell>
          <cell r="G367">
            <v>0.50528537048807831</v>
          </cell>
          <cell r="H367">
            <v>13.319223173511293</v>
          </cell>
          <cell r="I367">
            <v>3.0317122229284701</v>
          </cell>
        </row>
        <row r="368">
          <cell r="A368" t="str">
            <v>CHANDRAPUR STPS5</v>
          </cell>
          <cell r="B368" t="str">
            <v>CHANDRAPUR UNITS 3-7</v>
          </cell>
          <cell r="C368" t="str">
            <v xml:space="preserve"> 25-30 years</v>
          </cell>
          <cell r="D368">
            <v>29.177275838466802</v>
          </cell>
          <cell r="E368">
            <v>500</v>
          </cell>
          <cell r="F368">
            <v>15.394986376032266</v>
          </cell>
          <cell r="G368">
            <v>0.61266395866071</v>
          </cell>
          <cell r="H368">
            <v>13.319509656741959</v>
          </cell>
          <cell r="I368">
            <v>7.3519675039285204</v>
          </cell>
        </row>
        <row r="369">
          <cell r="A369" t="str">
            <v>KUTCH LIG. TPS4</v>
          </cell>
          <cell r="B369" t="str">
            <v>KUTCH LIG. TPS UNIT 4</v>
          </cell>
          <cell r="C369" t="str">
            <v xml:space="preserve"> 10-15 years</v>
          </cell>
          <cell r="D369">
            <v>10.590006844626901</v>
          </cell>
          <cell r="E369">
            <v>75</v>
          </cell>
          <cell r="F369">
            <v>14.26</v>
          </cell>
          <cell r="G369">
            <v>0.48359908261270002</v>
          </cell>
          <cell r="H369">
            <v>13.324927044832304</v>
          </cell>
          <cell r="I369">
            <v>0.87047834870286001</v>
          </cell>
        </row>
        <row r="370">
          <cell r="A370" t="str">
            <v>SURATGARH TPS3</v>
          </cell>
          <cell r="B370" t="str">
            <v>SURATGARH TPS</v>
          </cell>
          <cell r="C370" t="str">
            <v xml:space="preserve"> 15-20 years</v>
          </cell>
          <cell r="D370">
            <v>18.590006844626899</v>
          </cell>
          <cell r="E370">
            <v>250</v>
          </cell>
          <cell r="F370">
            <v>12.88663586373525</v>
          </cell>
          <cell r="G370">
            <v>0.4476994907922367</v>
          </cell>
          <cell r="H370">
            <v>13.340655044832303</v>
          </cell>
          <cell r="I370">
            <v>2.6861969447534202</v>
          </cell>
        </row>
        <row r="371">
          <cell r="A371" t="str">
            <v>NEYVELI (EXT) TPS2</v>
          </cell>
          <cell r="B371" t="str">
            <v>NEYVELI (EXT) TPS</v>
          </cell>
          <cell r="C371" t="str">
            <v xml:space="preserve"> 15-20 years</v>
          </cell>
          <cell r="D371">
            <v>16.843258042436599</v>
          </cell>
          <cell r="E371">
            <v>210</v>
          </cell>
          <cell r="F371">
            <v>14.16</v>
          </cell>
          <cell r="G371">
            <v>0.84047324309981752</v>
          </cell>
          <cell r="H371">
            <v>13.341301840177955</v>
          </cell>
          <cell r="I371">
            <v>4.2359851452230801</v>
          </cell>
        </row>
        <row r="372">
          <cell r="A372" t="str">
            <v>RAICHUR TPS7</v>
          </cell>
          <cell r="B372" t="str">
            <v>RAICHUR TPS UNIT 1-7</v>
          </cell>
          <cell r="C372" t="str">
            <v xml:space="preserve"> 15-20 years</v>
          </cell>
          <cell r="D372">
            <v>17.423682409308601</v>
          </cell>
          <cell r="E372">
            <v>210</v>
          </cell>
          <cell r="F372">
            <v>14.215904215364839</v>
          </cell>
          <cell r="G372">
            <v>0.48474360911917058</v>
          </cell>
          <cell r="H372">
            <v>13.371391619780967</v>
          </cell>
          <cell r="I372">
            <v>2.4431077899606199</v>
          </cell>
        </row>
        <row r="373">
          <cell r="A373" t="str">
            <v>KOTA TPS6</v>
          </cell>
          <cell r="B373" t="str">
            <v>KOTA TPS</v>
          </cell>
          <cell r="C373" t="str">
            <v xml:space="preserve"> 15-20 years</v>
          </cell>
          <cell r="D373">
            <v>16.843258042436599</v>
          </cell>
          <cell r="E373">
            <v>195</v>
          </cell>
          <cell r="F373">
            <v>14.284116629235145</v>
          </cell>
          <cell r="G373">
            <v>0.83034653149484405</v>
          </cell>
          <cell r="H373">
            <v>13.375501840177957</v>
          </cell>
          <cell r="I373">
            <v>3.8860217673958699</v>
          </cell>
        </row>
        <row r="374">
          <cell r="A374" t="str">
            <v>NEYVELI (EXT) TPS1</v>
          </cell>
          <cell r="B374" t="str">
            <v>NEYVELI (EXT) TPS</v>
          </cell>
          <cell r="C374" t="str">
            <v xml:space="preserve"> 15-20 years</v>
          </cell>
          <cell r="D374">
            <v>17.590691307323699</v>
          </cell>
          <cell r="E374">
            <v>210</v>
          </cell>
          <cell r="F374">
            <v>14.16</v>
          </cell>
          <cell r="G374">
            <v>0.87756043072689871</v>
          </cell>
          <cell r="H374">
            <v>13.380049528062969</v>
          </cell>
          <cell r="I374">
            <v>4.4229045708635697</v>
          </cell>
        </row>
        <row r="375">
          <cell r="A375" t="str">
            <v>RAMAGUNDEM STPS6</v>
          </cell>
          <cell r="B375" t="str">
            <v>RAMAGUNDEM STPS UNIT 1-6</v>
          </cell>
          <cell r="C375" t="str">
            <v xml:space="preserve"> 30-35 years</v>
          </cell>
          <cell r="D375">
            <v>30.590006844626899</v>
          </cell>
          <cell r="E375">
            <v>500</v>
          </cell>
          <cell r="F375">
            <v>12.774416458333066</v>
          </cell>
          <cell r="G375">
            <v>0.80353117006607411</v>
          </cell>
          <cell r="H375">
            <v>13.392747044832303</v>
          </cell>
          <cell r="I375">
            <v>9.6423740407928893</v>
          </cell>
        </row>
        <row r="376">
          <cell r="A376" t="str">
            <v>RIHAND STPS2</v>
          </cell>
          <cell r="B376" t="str">
            <v>RIHAND STPS UNIT 1-2</v>
          </cell>
          <cell r="C376" t="str">
            <v xml:space="preserve"> 30-35 years</v>
          </cell>
          <cell r="D376">
            <v>30.841889117043099</v>
          </cell>
          <cell r="E376">
            <v>500</v>
          </cell>
          <cell r="F376">
            <v>11.988793386992912</v>
          </cell>
          <cell r="G376">
            <v>0.83154409298435328</v>
          </cell>
          <cell r="H376">
            <v>13.405804873716631</v>
          </cell>
          <cell r="I376">
            <v>9.9785291158122398</v>
          </cell>
        </row>
        <row r="377">
          <cell r="A377" t="str">
            <v>AKRIMOTA LIG TPS2</v>
          </cell>
          <cell r="B377" t="str">
            <v>AKRIMOTA LIG TPS</v>
          </cell>
          <cell r="C377" t="str">
            <v xml:space="preserve"> 10-15 years</v>
          </cell>
          <cell r="D377">
            <v>14.4229979466119</v>
          </cell>
          <cell r="E377">
            <v>125</v>
          </cell>
          <cell r="F377">
            <v>15.53</v>
          </cell>
          <cell r="G377">
            <v>0.46734304410031663</v>
          </cell>
          <cell r="H377">
            <v>13.409633136550308</v>
          </cell>
          <cell r="I377">
            <v>1.4020291323009499</v>
          </cell>
        </row>
        <row r="378">
          <cell r="A378" t="str">
            <v>SURATGARH TPS2</v>
          </cell>
          <cell r="B378" t="str">
            <v>SURATGARH TPS</v>
          </cell>
          <cell r="C378" t="str">
            <v xml:space="preserve"> 20-25 years</v>
          </cell>
          <cell r="D378">
            <v>20.175222450376399</v>
          </cell>
          <cell r="E378">
            <v>250</v>
          </cell>
          <cell r="F378">
            <v>12.88663586373525</v>
          </cell>
          <cell r="G378">
            <v>0.42411310194464164</v>
          </cell>
          <cell r="H378">
            <v>13.422834207049963</v>
          </cell>
          <cell r="I378">
            <v>2.5446786116678499</v>
          </cell>
        </row>
        <row r="379">
          <cell r="A379" t="str">
            <v>RAMAGUNDEM STPS5</v>
          </cell>
          <cell r="B379" t="str">
            <v>RAMAGUNDEM STPS UNIT 1-6</v>
          </cell>
          <cell r="C379" t="str">
            <v xml:space="preserve"> 30-35 years</v>
          </cell>
          <cell r="D379">
            <v>31.175906913073199</v>
          </cell>
          <cell r="E379">
            <v>500</v>
          </cell>
          <cell r="F379">
            <v>12.774416458333066</v>
          </cell>
          <cell r="G379">
            <v>0.79002498971947488</v>
          </cell>
          <cell r="H379">
            <v>13.423120690280628</v>
          </cell>
          <cell r="I379">
            <v>9.4802998766336994</v>
          </cell>
        </row>
        <row r="380">
          <cell r="A380" t="str">
            <v>KORBA STPS6</v>
          </cell>
          <cell r="B380" t="str">
            <v>KORBA STPS UNIT 1-6</v>
          </cell>
          <cell r="C380" t="str">
            <v xml:space="preserve"> 30-35 years</v>
          </cell>
          <cell r="D380">
            <v>31.2525667351129</v>
          </cell>
          <cell r="E380">
            <v>500</v>
          </cell>
          <cell r="F380">
            <v>13.756578546042785</v>
          </cell>
          <cell r="G380">
            <v>0.88173190698095838</v>
          </cell>
          <cell r="H380">
            <v>13.427094812114989</v>
          </cell>
          <cell r="I380">
            <v>10.5807828837715</v>
          </cell>
        </row>
        <row r="381">
          <cell r="A381" t="str">
            <v>AKRIMOTA LIG TPS1</v>
          </cell>
          <cell r="B381" t="str">
            <v>AKRIMOTA LIG TPS</v>
          </cell>
          <cell r="C381" t="str">
            <v xml:space="preserve"> 15-20 years</v>
          </cell>
          <cell r="D381">
            <v>15.1759069130732</v>
          </cell>
          <cell r="E381">
            <v>125</v>
          </cell>
          <cell r="F381">
            <v>15.53</v>
          </cell>
          <cell r="G381">
            <v>0.50454523746872326</v>
          </cell>
          <cell r="H381">
            <v>13.448664690280628</v>
          </cell>
          <cell r="I381">
            <v>1.5136357124061699</v>
          </cell>
        </row>
        <row r="382">
          <cell r="A382" t="str">
            <v>RAMAGUNDEM STPS4</v>
          </cell>
          <cell r="B382" t="str">
            <v>RAMAGUNDEM STPS UNIT 1-6</v>
          </cell>
          <cell r="C382" t="str">
            <v xml:space="preserve"> 30-35 years</v>
          </cell>
          <cell r="D382">
            <v>31.923340177960299</v>
          </cell>
          <cell r="E382">
            <v>500</v>
          </cell>
          <cell r="F382">
            <v>12.774416458333066</v>
          </cell>
          <cell r="G382">
            <v>0.75336452407436827</v>
          </cell>
          <cell r="H382">
            <v>13.46186837816564</v>
          </cell>
          <cell r="I382">
            <v>9.0403742888924192</v>
          </cell>
        </row>
        <row r="383">
          <cell r="A383" t="str">
            <v>BAKRESWAR TPS4</v>
          </cell>
          <cell r="B383" t="str">
            <v>BAKRESWAR TPS UNIT 4-5</v>
          </cell>
          <cell r="C383" t="str">
            <v xml:space="preserve"> 15-20 years</v>
          </cell>
          <cell r="D383">
            <v>19.175906913073199</v>
          </cell>
          <cell r="E383">
            <v>210</v>
          </cell>
          <cell r="F383">
            <v>12.201374660681633</v>
          </cell>
          <cell r="G383">
            <v>0.79544835682181936</v>
          </cell>
          <cell r="H383">
            <v>13.462228690280629</v>
          </cell>
          <cell r="I383">
            <v>4.0090597183819696</v>
          </cell>
        </row>
        <row r="384">
          <cell r="A384" t="str">
            <v>PANIPAT TPS6</v>
          </cell>
          <cell r="B384" t="str">
            <v>PANIPAT TPS UNIT 6</v>
          </cell>
          <cell r="C384" t="str">
            <v xml:space="preserve"> 15-20 years</v>
          </cell>
          <cell r="D384">
            <v>19.175906913073199</v>
          </cell>
          <cell r="E384">
            <v>210</v>
          </cell>
          <cell r="F384">
            <v>13.628184438240176</v>
          </cell>
          <cell r="G384">
            <v>0.12228309085344663</v>
          </cell>
          <cell r="H384">
            <v>13.462228690280629</v>
          </cell>
          <cell r="I384">
            <v>0.61630677790137101</v>
          </cell>
        </row>
        <row r="385">
          <cell r="A385" t="str">
            <v>KHAPARKHEDA TPS4</v>
          </cell>
          <cell r="B385" t="str">
            <v>KHAPARKHEDA TPS UNIT 1-4</v>
          </cell>
          <cell r="C385" t="str">
            <v xml:space="preserve"> 15-20 years</v>
          </cell>
          <cell r="D385">
            <v>19.337440109513999</v>
          </cell>
          <cell r="E385">
            <v>210</v>
          </cell>
          <cell r="F385">
            <v>17.659125425550069</v>
          </cell>
          <cell r="G385">
            <v>0.63123235386826382</v>
          </cell>
          <cell r="H385">
            <v>13.470602732717316</v>
          </cell>
          <cell r="I385">
            <v>3.18141106349605</v>
          </cell>
        </row>
        <row r="386">
          <cell r="A386" t="str">
            <v>BUDGE BUDGE TPS2</v>
          </cell>
          <cell r="B386" t="str">
            <v>BUDGE BUDGE TPS</v>
          </cell>
          <cell r="C386" t="str">
            <v xml:space="preserve"> 20-25 years</v>
          </cell>
          <cell r="D386">
            <v>21.177275838466802</v>
          </cell>
          <cell r="E386">
            <v>250</v>
          </cell>
          <cell r="F386">
            <v>11.940245111171752</v>
          </cell>
          <cell r="G386">
            <v>0.83546095944641485</v>
          </cell>
          <cell r="H386">
            <v>13.474781656741957</v>
          </cell>
          <cell r="I386">
            <v>5.0127657566784896</v>
          </cell>
        </row>
        <row r="387">
          <cell r="A387" t="str">
            <v>RIHAND STPS1</v>
          </cell>
          <cell r="B387" t="str">
            <v>RIHAND STPS UNIT 1-2</v>
          </cell>
          <cell r="C387" t="str">
            <v xml:space="preserve"> 30-35 years</v>
          </cell>
          <cell r="D387">
            <v>32.175222450376403</v>
          </cell>
          <cell r="E387">
            <v>500</v>
          </cell>
          <cell r="F387">
            <v>11.988793386992912</v>
          </cell>
          <cell r="G387">
            <v>0.87470712395018335</v>
          </cell>
          <cell r="H387">
            <v>13.474926207049965</v>
          </cell>
          <cell r="I387">
            <v>10.4964854874022</v>
          </cell>
        </row>
        <row r="388">
          <cell r="A388" t="str">
            <v>KORBA STPS5</v>
          </cell>
          <cell r="B388" t="str">
            <v>KORBA STPS UNIT 1-6</v>
          </cell>
          <cell r="C388" t="str">
            <v xml:space="preserve"> 30-35 years</v>
          </cell>
          <cell r="D388">
            <v>32.175222450376403</v>
          </cell>
          <cell r="E388">
            <v>500</v>
          </cell>
          <cell r="F388">
            <v>13.756578546042785</v>
          </cell>
          <cell r="G388">
            <v>0.83248639449476503</v>
          </cell>
          <cell r="H388">
            <v>13.474926207049965</v>
          </cell>
          <cell r="I388">
            <v>9.9898367339371799</v>
          </cell>
        </row>
        <row r="389">
          <cell r="A389" t="str">
            <v>SINGRAULI STPS7</v>
          </cell>
          <cell r="B389" t="str">
            <v>SINGRAULI STPS</v>
          </cell>
          <cell r="C389" t="str">
            <v xml:space="preserve"> 30-35 years</v>
          </cell>
          <cell r="D389">
            <v>32.5065023956194</v>
          </cell>
          <cell r="E389">
            <v>500</v>
          </cell>
          <cell r="F389">
            <v>13.183686537156232</v>
          </cell>
          <cell r="G389">
            <v>0.88246688111716654</v>
          </cell>
          <cell r="H389">
            <v>13.492100090691306</v>
          </cell>
          <cell r="I389">
            <v>10.589602573405999</v>
          </cell>
        </row>
        <row r="390">
          <cell r="A390" t="str">
            <v>BAKRESWAR TPS3</v>
          </cell>
          <cell r="B390" t="str">
            <v>BAKRESWAR TPS UNIT 1-3</v>
          </cell>
          <cell r="C390" t="str">
            <v xml:space="preserve"> 15-20 years</v>
          </cell>
          <cell r="D390">
            <v>20.008213552361301</v>
          </cell>
          <cell r="E390">
            <v>210</v>
          </cell>
          <cell r="F390">
            <v>12.201374660681633</v>
          </cell>
          <cell r="G390">
            <v>0.74135983521950599</v>
          </cell>
          <cell r="H390">
            <v>13.505376298767963</v>
          </cell>
          <cell r="I390">
            <v>3.7364535695063101</v>
          </cell>
        </row>
        <row r="391">
          <cell r="A391" t="str">
            <v>KHAPARKHEDA TPS3</v>
          </cell>
          <cell r="B391" t="str">
            <v>KHAPARKHEDA TPS UNIT 1-4</v>
          </cell>
          <cell r="C391" t="str">
            <v xml:space="preserve"> 15-20 years</v>
          </cell>
          <cell r="D391">
            <v>20.008213552361301</v>
          </cell>
          <cell r="E391">
            <v>210</v>
          </cell>
          <cell r="F391">
            <v>17.659125425550069</v>
          </cell>
          <cell r="G391">
            <v>0.54442143019331157</v>
          </cell>
          <cell r="H391">
            <v>13.505376298767963</v>
          </cell>
          <cell r="I391">
            <v>2.7438840081742901</v>
          </cell>
        </row>
        <row r="392">
          <cell r="A392" t="str">
            <v>SURATGARH TPS1</v>
          </cell>
          <cell r="B392" t="str">
            <v>SURATGARH TPS</v>
          </cell>
          <cell r="C392" t="str">
            <v xml:space="preserve"> 20-25 years</v>
          </cell>
          <cell r="D392">
            <v>22.009582477754901</v>
          </cell>
          <cell r="E392">
            <v>250</v>
          </cell>
          <cell r="F392">
            <v>12.88663586373525</v>
          </cell>
          <cell r="G392">
            <v>0.58519415273289999</v>
          </cell>
          <cell r="H392">
            <v>13.517929265229292</v>
          </cell>
          <cell r="I392">
            <v>3.5111649163974001</v>
          </cell>
        </row>
        <row r="393">
          <cell r="A393" t="str">
            <v>KORBA STPS4</v>
          </cell>
          <cell r="B393" t="str">
            <v>KORBA STPS UNIT 1-6</v>
          </cell>
          <cell r="C393" t="str">
            <v xml:space="preserve"> 30-35 years</v>
          </cell>
          <cell r="D393">
            <v>33.0102669404517</v>
          </cell>
          <cell r="E393">
            <v>500</v>
          </cell>
          <cell r="F393">
            <v>13.756578546042785</v>
          </cell>
          <cell r="G393">
            <v>0.87386850939609162</v>
          </cell>
          <cell r="H393">
            <v>13.518215748459957</v>
          </cell>
          <cell r="I393">
            <v>10.4864221127531</v>
          </cell>
        </row>
        <row r="394">
          <cell r="A394" t="str">
            <v>KOTHAGUDEM NEW TPS10</v>
          </cell>
          <cell r="B394" t="str">
            <v>KOTHAGUDEM NEW TPS UNIT 9-10</v>
          </cell>
          <cell r="C394" t="str">
            <v xml:space="preserve"> 20-25 years</v>
          </cell>
          <cell r="D394">
            <v>22.179329226557101</v>
          </cell>
          <cell r="E394">
            <v>250</v>
          </cell>
          <cell r="F394">
            <v>14.573920688091233</v>
          </cell>
          <cell r="G394">
            <v>0.85548382682698487</v>
          </cell>
          <cell r="H394">
            <v>13.526729106433947</v>
          </cell>
          <cell r="I394">
            <v>5.1329029609619097</v>
          </cell>
        </row>
        <row r="395">
          <cell r="A395" t="str">
            <v>SANJAY GANDHI TPS4</v>
          </cell>
          <cell r="C395" t="str">
            <v xml:space="preserve"> 20-25 years</v>
          </cell>
          <cell r="D395">
            <v>20.5065023956194</v>
          </cell>
          <cell r="E395">
            <v>210</v>
          </cell>
          <cell r="F395">
            <v>13.707682017189684</v>
          </cell>
          <cell r="G395">
            <v>0.66494624314522022</v>
          </cell>
          <cell r="H395">
            <v>13.531208090691306</v>
          </cell>
          <cell r="I395">
            <v>3.3513290654519099</v>
          </cell>
        </row>
        <row r="396">
          <cell r="A396" t="str">
            <v>UNCHAHAR STPS4</v>
          </cell>
          <cell r="B396" t="str">
            <v>UNCHAHAR STPS UNIT 3-4</v>
          </cell>
          <cell r="C396" t="str">
            <v xml:space="preserve"> 20-25 years</v>
          </cell>
          <cell r="D396">
            <v>20.591375770020498</v>
          </cell>
          <cell r="E396">
            <v>210</v>
          </cell>
          <cell r="F396">
            <v>13.21968205136662</v>
          </cell>
          <cell r="G396">
            <v>0.70671449107389683</v>
          </cell>
          <cell r="H396">
            <v>13.535608011293633</v>
          </cell>
          <cell r="I396">
            <v>3.5618410350124399</v>
          </cell>
        </row>
        <row r="397">
          <cell r="A397" t="str">
            <v>SINGRAULI STPS6</v>
          </cell>
          <cell r="B397" t="str">
            <v>SINGRAULI STPS</v>
          </cell>
          <cell r="C397" t="str">
            <v xml:space="preserve"> 30-35 years</v>
          </cell>
          <cell r="D397">
            <v>33.423682409308597</v>
          </cell>
          <cell r="E397">
            <v>500</v>
          </cell>
          <cell r="F397">
            <v>13.183686537156232</v>
          </cell>
          <cell r="G397">
            <v>0.86693612133705</v>
          </cell>
          <cell r="H397">
            <v>13.539647619780968</v>
          </cell>
          <cell r="I397">
            <v>10.4032334560446</v>
          </cell>
        </row>
        <row r="398">
          <cell r="A398" t="str">
            <v>BAKRESWAR TPS2</v>
          </cell>
          <cell r="B398" t="str">
            <v>BAKRESWAR TPS UNIT 1-3</v>
          </cell>
          <cell r="C398" t="str">
            <v xml:space="preserve"> 20-25 years</v>
          </cell>
          <cell r="D398">
            <v>20.843258042436599</v>
          </cell>
          <cell r="E398">
            <v>210</v>
          </cell>
          <cell r="F398">
            <v>12.201374660681633</v>
          </cell>
          <cell r="G398">
            <v>0.79492671944359516</v>
          </cell>
          <cell r="H398">
            <v>13.548665840177957</v>
          </cell>
          <cell r="I398">
            <v>4.0064306659957198</v>
          </cell>
        </row>
        <row r="399">
          <cell r="A399" t="str">
            <v>RAICHUR TPS6</v>
          </cell>
          <cell r="B399" t="str">
            <v>RAICHUR TPS UNIT 1-7</v>
          </cell>
          <cell r="C399" t="str">
            <v xml:space="preserve"> 20-25 years</v>
          </cell>
          <cell r="D399">
            <v>20.843258042436599</v>
          </cell>
          <cell r="E399">
            <v>210</v>
          </cell>
          <cell r="F399">
            <v>14.215904215364839</v>
          </cell>
          <cell r="G399">
            <v>0.60663943234567264</v>
          </cell>
          <cell r="H399">
            <v>13.548665840177957</v>
          </cell>
          <cell r="I399">
            <v>3.0574627390221898</v>
          </cell>
        </row>
        <row r="400">
          <cell r="A400" t="str">
            <v>BUDGE BUDGE TPS1</v>
          </cell>
          <cell r="B400" t="str">
            <v>BUDGE BUDGE TPS</v>
          </cell>
          <cell r="C400" t="str">
            <v xml:space="preserve"> 20-25 years</v>
          </cell>
          <cell r="D400">
            <v>22.672142368240898</v>
          </cell>
          <cell r="E400">
            <v>250</v>
          </cell>
          <cell r="F400">
            <v>11.940245111171752</v>
          </cell>
          <cell r="G400">
            <v>0.90199457892661339</v>
          </cell>
          <cell r="H400">
            <v>13.552277032511977</v>
          </cell>
          <cell r="I400">
            <v>5.4119674735596801</v>
          </cell>
        </row>
        <row r="401">
          <cell r="A401" t="str">
            <v>SANJAY GANDHI TPS3</v>
          </cell>
          <cell r="C401" t="str">
            <v xml:space="preserve"> 20-25 years</v>
          </cell>
          <cell r="D401">
            <v>21.2539356605065</v>
          </cell>
          <cell r="E401">
            <v>210</v>
          </cell>
          <cell r="F401">
            <v>13.707682017189684</v>
          </cell>
          <cell r="G401">
            <v>0.51969051668786703</v>
          </cell>
          <cell r="H401">
            <v>13.569955778576318</v>
          </cell>
          <cell r="I401">
            <v>2.6192402041068501</v>
          </cell>
        </row>
        <row r="402">
          <cell r="A402" t="str">
            <v>UNCHAHAR STPS3</v>
          </cell>
          <cell r="B402" t="str">
            <v>UNCHAHAR STPS UNIT 3-4</v>
          </cell>
          <cell r="C402" t="str">
            <v xml:space="preserve"> 20-25 years</v>
          </cell>
          <cell r="D402">
            <v>21.338809034907499</v>
          </cell>
          <cell r="E402">
            <v>210</v>
          </cell>
          <cell r="F402">
            <v>13.21968205136662</v>
          </cell>
          <cell r="G402">
            <v>0.68347562508915671</v>
          </cell>
          <cell r="H402">
            <v>13.574355699178639</v>
          </cell>
          <cell r="I402">
            <v>3.4447171504493501</v>
          </cell>
        </row>
        <row r="403">
          <cell r="A403" t="str">
            <v>RAICHUR TPS5</v>
          </cell>
          <cell r="B403" t="str">
            <v>RAICHUR TPS UNIT 1-7</v>
          </cell>
          <cell r="C403" t="str">
            <v xml:space="preserve"> 20-25 years</v>
          </cell>
          <cell r="D403">
            <v>21.338809034907499</v>
          </cell>
          <cell r="E403">
            <v>210</v>
          </cell>
          <cell r="F403">
            <v>14.215904215364839</v>
          </cell>
          <cell r="G403">
            <v>0.72167943893455555</v>
          </cell>
          <cell r="H403">
            <v>13.574355699178639</v>
          </cell>
          <cell r="I403">
            <v>3.6372643722301601</v>
          </cell>
        </row>
        <row r="404">
          <cell r="A404" t="str">
            <v>KOTHAGUDEM NEW TPS9</v>
          </cell>
          <cell r="B404" t="str">
            <v>KOTHAGUDEM NEW TPS UNIT 9-10</v>
          </cell>
          <cell r="C404" t="str">
            <v xml:space="preserve"> 20-25 years</v>
          </cell>
          <cell r="D404">
            <v>23.104722792607799</v>
          </cell>
          <cell r="E404">
            <v>250</v>
          </cell>
          <cell r="F404">
            <v>14.573920688091233</v>
          </cell>
          <cell r="G404">
            <v>0.86383426558609999</v>
          </cell>
          <cell r="H404">
            <v>13.574702434291581</v>
          </cell>
          <cell r="I404">
            <v>5.1830055935166</v>
          </cell>
        </row>
        <row r="405">
          <cell r="A405" t="str">
            <v>WANAKBORI TPS7</v>
          </cell>
          <cell r="B405" t="str">
            <v>WANAKBORI TPS UNIT 7</v>
          </cell>
          <cell r="C405" t="str">
            <v xml:space="preserve"> 20-25 years</v>
          </cell>
          <cell r="D405">
            <v>21.423682409308601</v>
          </cell>
          <cell r="E405">
            <v>210</v>
          </cell>
          <cell r="F405">
            <v>13.131697927147947</v>
          </cell>
          <cell r="G405">
            <v>0.76812714103686108</v>
          </cell>
          <cell r="H405">
            <v>13.578755619780967</v>
          </cell>
          <cell r="I405">
            <v>3.8713607908257801</v>
          </cell>
        </row>
        <row r="406">
          <cell r="A406" t="str">
            <v>GH TPS (LEH.MOH.)2</v>
          </cell>
          <cell r="B406" t="str">
            <v>GH TPS (LEH.MOH.)</v>
          </cell>
          <cell r="C406" t="str">
            <v xml:space="preserve"> 20-25 years</v>
          </cell>
          <cell r="D406">
            <v>21.590691307323699</v>
          </cell>
          <cell r="E406">
            <v>210</v>
          </cell>
          <cell r="F406">
            <v>13.559053519231929</v>
          </cell>
          <cell r="G406">
            <v>0.22551028588216071</v>
          </cell>
          <cell r="H406">
            <v>13.587413528062967</v>
          </cell>
          <cell r="I406">
            <v>1.1365718408460901</v>
          </cell>
        </row>
        <row r="407">
          <cell r="A407" t="str">
            <v>MEJIA TPS3</v>
          </cell>
          <cell r="B407" t="str">
            <v>MEJIA TPS</v>
          </cell>
          <cell r="C407" t="str">
            <v xml:space="preserve"> 20-25 years</v>
          </cell>
          <cell r="D407">
            <v>22.176591375769998</v>
          </cell>
          <cell r="E407">
            <v>210</v>
          </cell>
          <cell r="F407">
            <v>13.453362729299833</v>
          </cell>
          <cell r="G407">
            <v>0.55636283337130754</v>
          </cell>
          <cell r="H407">
            <v>13.617787173511292</v>
          </cell>
          <cell r="I407">
            <v>2.8040686801913899</v>
          </cell>
        </row>
        <row r="408">
          <cell r="A408" t="str">
            <v>GANDHI NAGAR TPS5</v>
          </cell>
          <cell r="B408" t="str">
            <v>GANDHI NAGAR TPS UNIT 5</v>
          </cell>
          <cell r="C408" t="str">
            <v xml:space="preserve"> 20-25 years</v>
          </cell>
          <cell r="D408">
            <v>22.176591375769998</v>
          </cell>
          <cell r="E408">
            <v>210</v>
          </cell>
          <cell r="F408">
            <v>13.482373000476915</v>
          </cell>
          <cell r="G408">
            <v>0.73412776569862304</v>
          </cell>
          <cell r="H408">
            <v>13.617787173511292</v>
          </cell>
          <cell r="I408">
            <v>3.7000039391210602</v>
          </cell>
        </row>
        <row r="409">
          <cell r="A409" t="str">
            <v>JOJOBERA TPS3</v>
          </cell>
          <cell r="C409" t="str">
            <v xml:space="preserve"> 15-20 years</v>
          </cell>
          <cell r="D409">
            <v>18.338124572210798</v>
          </cell>
          <cell r="E409">
            <v>120</v>
          </cell>
          <cell r="F409">
            <v>13.859405618288124</v>
          </cell>
          <cell r="G409">
            <v>0.72059455667231609</v>
          </cell>
          <cell r="H409">
            <v>13.623997215947981</v>
          </cell>
          <cell r="I409">
            <v>2.07531232321627</v>
          </cell>
        </row>
        <row r="410">
          <cell r="A410" t="str">
            <v>GH TPS (LEH.MOH.)1</v>
          </cell>
          <cell r="B410" t="str">
            <v>GH TPS (LEH.MOH.)</v>
          </cell>
          <cell r="C410" t="str">
            <v xml:space="preserve"> 20-25 years</v>
          </cell>
          <cell r="D410">
            <v>22.4229979466119</v>
          </cell>
          <cell r="E410">
            <v>210</v>
          </cell>
          <cell r="F410">
            <v>13.559053519231929</v>
          </cell>
          <cell r="G410">
            <v>0.22347343623314089</v>
          </cell>
          <cell r="H410">
            <v>13.630561136550309</v>
          </cell>
          <cell r="I410">
            <v>1.12630611861503</v>
          </cell>
        </row>
        <row r="411">
          <cell r="A411" t="str">
            <v>TENUGHAT TPS2</v>
          </cell>
          <cell r="B411" t="str">
            <v>TENUGHAT TPS</v>
          </cell>
          <cell r="C411" t="str">
            <v xml:space="preserve"> 20-25 years</v>
          </cell>
          <cell r="D411">
            <v>22.672142368240898</v>
          </cell>
          <cell r="E411">
            <v>210</v>
          </cell>
          <cell r="F411">
            <v>14.68212040827826</v>
          </cell>
          <cell r="G411">
            <v>0.61519852742934522</v>
          </cell>
          <cell r="H411">
            <v>13.643477032511978</v>
          </cell>
          <cell r="I411">
            <v>3.1006005782438999</v>
          </cell>
        </row>
        <row r="412">
          <cell r="A412" t="str">
            <v>MEJIA TPS2</v>
          </cell>
          <cell r="B412" t="str">
            <v>MEJIA TPS</v>
          </cell>
          <cell r="C412" t="str">
            <v xml:space="preserve"> 20-25 years</v>
          </cell>
          <cell r="D412">
            <v>23.175906913073199</v>
          </cell>
          <cell r="E412">
            <v>210</v>
          </cell>
          <cell r="F412">
            <v>13.453362729299833</v>
          </cell>
          <cell r="G412">
            <v>0.51050022707966669</v>
          </cell>
          <cell r="H412">
            <v>13.669592690280629</v>
          </cell>
          <cell r="I412">
            <v>2.5729211444815201</v>
          </cell>
        </row>
        <row r="413">
          <cell r="A413" t="str">
            <v>JOJOBERA TPS2</v>
          </cell>
          <cell r="C413" t="str">
            <v xml:space="preserve"> 15-20 years</v>
          </cell>
          <cell r="D413">
            <v>19.337440109513999</v>
          </cell>
          <cell r="E413">
            <v>120</v>
          </cell>
          <cell r="F413">
            <v>13.859405618288124</v>
          </cell>
          <cell r="G413">
            <v>0.72321095379914924</v>
          </cell>
          <cell r="H413">
            <v>13.675802732717315</v>
          </cell>
          <cell r="I413">
            <v>2.0828475469415499</v>
          </cell>
        </row>
        <row r="414">
          <cell r="A414" t="str">
            <v>DAHANU TPS2</v>
          </cell>
          <cell r="B414" t="str">
            <v>DAHANU TPS</v>
          </cell>
          <cell r="C414" t="str">
            <v xml:space="preserve"> 25-30 years</v>
          </cell>
          <cell r="D414">
            <v>25.177275838466802</v>
          </cell>
          <cell r="E414">
            <v>250</v>
          </cell>
          <cell r="F414">
            <v>11.997766815636966</v>
          </cell>
          <cell r="G414">
            <v>0.75418125780650502</v>
          </cell>
          <cell r="H414">
            <v>13.682145656741959</v>
          </cell>
          <cell r="I414">
            <v>4.5250875468390301</v>
          </cell>
        </row>
        <row r="415">
          <cell r="A415" t="str">
            <v>DAHANU TPS1</v>
          </cell>
          <cell r="B415" t="str">
            <v>DAHANU TPS</v>
          </cell>
          <cell r="C415" t="str">
            <v xml:space="preserve"> 25-30 years</v>
          </cell>
          <cell r="D415">
            <v>25.338809034907499</v>
          </cell>
          <cell r="E415">
            <v>250</v>
          </cell>
          <cell r="F415">
            <v>11.997766815636966</v>
          </cell>
          <cell r="G415">
            <v>0.79768339834839497</v>
          </cell>
          <cell r="H415">
            <v>13.69051969917864</v>
          </cell>
          <cell r="I415">
            <v>4.78610039009037</v>
          </cell>
        </row>
        <row r="416">
          <cell r="A416" t="str">
            <v>TROMBAY TPS5</v>
          </cell>
          <cell r="B416" t="str">
            <v>TROMBAY TPS UNIT 5</v>
          </cell>
          <cell r="C416" t="str">
            <v xml:space="preserve"> 35-40 years</v>
          </cell>
          <cell r="D416">
            <v>36.339493497604302</v>
          </cell>
          <cell r="E416">
            <v>500</v>
          </cell>
          <cell r="F416">
            <v>9.7938280799133146</v>
          </cell>
          <cell r="G416">
            <v>0.71510558917609746</v>
          </cell>
          <cell r="H416">
            <v>13.690806182409306</v>
          </cell>
          <cell r="I416">
            <v>8.5812670701131708</v>
          </cell>
        </row>
        <row r="417">
          <cell r="A417" t="str">
            <v>TENUGHAT TPS1</v>
          </cell>
          <cell r="B417" t="str">
            <v>TENUGHAT TPS</v>
          </cell>
          <cell r="C417" t="str">
            <v xml:space="preserve"> 20-25 years</v>
          </cell>
          <cell r="D417">
            <v>23.671457905544099</v>
          </cell>
          <cell r="E417">
            <v>210</v>
          </cell>
          <cell r="F417">
            <v>14.68212040827826</v>
          </cell>
          <cell r="G417">
            <v>0.51644711597612303</v>
          </cell>
          <cell r="H417">
            <v>13.695282549281313</v>
          </cell>
          <cell r="I417">
            <v>2.60289346451966</v>
          </cell>
        </row>
        <row r="418">
          <cell r="A418" t="str">
            <v>SURAT LIG. TPS1</v>
          </cell>
          <cell r="B418" t="str">
            <v>SURAT LIG. TPS UNIT 1-2</v>
          </cell>
          <cell r="C418" t="str">
            <v xml:space="preserve"> 20-25 years</v>
          </cell>
          <cell r="D418">
            <v>20.339493497604298</v>
          </cell>
          <cell r="E418">
            <v>125</v>
          </cell>
          <cell r="F418">
            <v>11.37</v>
          </cell>
          <cell r="G418">
            <v>0.77304855427253005</v>
          </cell>
          <cell r="H418">
            <v>13.716350182409306</v>
          </cell>
          <cell r="I418">
            <v>2.3191456628175899</v>
          </cell>
        </row>
        <row r="419">
          <cell r="A419" t="str">
            <v>MEJIA TPS1</v>
          </cell>
          <cell r="B419" t="str">
            <v>MEJIA TPS</v>
          </cell>
          <cell r="C419" t="str">
            <v xml:space="preserve"> 20-25 years</v>
          </cell>
          <cell r="D419">
            <v>24.175222450376399</v>
          </cell>
          <cell r="E419">
            <v>210</v>
          </cell>
          <cell r="F419">
            <v>13.453362729299833</v>
          </cell>
          <cell r="G419">
            <v>0.60486988051307344</v>
          </cell>
          <cell r="H419">
            <v>13.721398207049964</v>
          </cell>
          <cell r="I419">
            <v>3.04854419778589</v>
          </cell>
        </row>
        <row r="420">
          <cell r="A420" t="str">
            <v>KAHALGAON TPS4</v>
          </cell>
          <cell r="B420" t="str">
            <v>KAHALGAON TPS UNIT 1-4</v>
          </cell>
          <cell r="C420" t="str">
            <v xml:space="preserve"> 20-25 years</v>
          </cell>
          <cell r="D420">
            <v>24.175222450376399</v>
          </cell>
          <cell r="E420">
            <v>210</v>
          </cell>
          <cell r="F420">
            <v>15.974672979051094</v>
          </cell>
          <cell r="G420">
            <v>0.82887789118448807</v>
          </cell>
          <cell r="H420">
            <v>13.721398207049964</v>
          </cell>
          <cell r="I420">
            <v>4.1775445715698201</v>
          </cell>
        </row>
        <row r="421">
          <cell r="A421" t="str">
            <v>SURAT LIG. TPS2</v>
          </cell>
          <cell r="B421" t="str">
            <v>SURAT LIG. TPS UNIT 1-2</v>
          </cell>
          <cell r="C421" t="str">
            <v xml:space="preserve"> 20-25 years</v>
          </cell>
          <cell r="D421">
            <v>20.5065023956194</v>
          </cell>
          <cell r="E421">
            <v>125</v>
          </cell>
          <cell r="F421">
            <v>11.37</v>
          </cell>
          <cell r="G421">
            <v>0.76470103080436003</v>
          </cell>
          <cell r="H421">
            <v>13.725008090691306</v>
          </cell>
          <cell r="I421">
            <v>2.2941030924130801</v>
          </cell>
        </row>
        <row r="422">
          <cell r="A422" t="str">
            <v>NORTH CHENNAI TPS3</v>
          </cell>
          <cell r="B422" t="str">
            <v>NORTH CHENNAI TPS UNIT 1-3</v>
          </cell>
          <cell r="C422" t="str">
            <v xml:space="preserve"> 20-25 years</v>
          </cell>
          <cell r="D422">
            <v>24.2546201232032</v>
          </cell>
          <cell r="E422">
            <v>210</v>
          </cell>
          <cell r="F422">
            <v>14.896962898893085</v>
          </cell>
          <cell r="G422">
            <v>0.71672856305877775</v>
          </cell>
          <cell r="H422">
            <v>13.725514261806978</v>
          </cell>
          <cell r="I422">
            <v>3.6123119578162401</v>
          </cell>
        </row>
        <row r="423">
          <cell r="A423" t="str">
            <v>TORANGALLU TPS(SBU-I)2</v>
          </cell>
          <cell r="C423" t="str">
            <v xml:space="preserve"> 20-25 years</v>
          </cell>
          <cell r="D423">
            <v>21.0102669404517</v>
          </cell>
          <cell r="E423">
            <v>130</v>
          </cell>
          <cell r="F423">
            <v>11.48</v>
          </cell>
          <cell r="G423">
            <v>0.36779959134714102</v>
          </cell>
          <cell r="H423">
            <v>13.739723748459957</v>
          </cell>
          <cell r="I423">
            <v>1.1475347250030801</v>
          </cell>
        </row>
        <row r="424">
          <cell r="A424" t="str">
            <v>IB VALLEY TPS2</v>
          </cell>
          <cell r="B424" t="str">
            <v>IB VALLEY TPS UNIT 1-2</v>
          </cell>
          <cell r="C424" t="str">
            <v xml:space="preserve"> 20-25 years</v>
          </cell>
          <cell r="D424">
            <v>24.591375770020498</v>
          </cell>
          <cell r="E424">
            <v>210</v>
          </cell>
          <cell r="F424">
            <v>16.634138093950749</v>
          </cell>
          <cell r="G424">
            <v>0.76149251724682931</v>
          </cell>
          <cell r="H424">
            <v>13.742972011293633</v>
          </cell>
          <cell r="I424">
            <v>3.8379222869240199</v>
          </cell>
        </row>
        <row r="425">
          <cell r="A425" t="str">
            <v>TORANGALLU TPS(SBU-I)1</v>
          </cell>
          <cell r="C425" t="str">
            <v xml:space="preserve"> 20-25 years</v>
          </cell>
          <cell r="D425">
            <v>21.338809034907499</v>
          </cell>
          <cell r="E425">
            <v>130</v>
          </cell>
          <cell r="F425">
            <v>11.48</v>
          </cell>
          <cell r="G425">
            <v>0.78005289715022752</v>
          </cell>
          <cell r="H425">
            <v>13.75675569917864</v>
          </cell>
          <cell r="I425">
            <v>2.4337650391087098</v>
          </cell>
        </row>
        <row r="426">
          <cell r="A426" t="str">
            <v>KAHALGAON TPS3</v>
          </cell>
          <cell r="B426" t="str">
            <v>KAHALGAON TPS UNIT 1-4</v>
          </cell>
          <cell r="C426" t="str">
            <v xml:space="preserve"> 25-30 years</v>
          </cell>
          <cell r="D426">
            <v>25.177275838466802</v>
          </cell>
          <cell r="E426">
            <v>210</v>
          </cell>
          <cell r="F426">
            <v>15.974672979051094</v>
          </cell>
          <cell r="G426">
            <v>0.82683020576074406</v>
          </cell>
          <cell r="H426">
            <v>13.773345656741958</v>
          </cell>
          <cell r="I426">
            <v>4.1672242370341497</v>
          </cell>
        </row>
        <row r="427">
          <cell r="A427" t="str">
            <v>DR. N TATA RAO TPS6</v>
          </cell>
          <cell r="B427" t="str">
            <v>DR. N TATA RAO TPS UNIT 1-6</v>
          </cell>
          <cell r="C427" t="str">
            <v xml:space="preserve"> 25-30 years</v>
          </cell>
          <cell r="D427">
            <v>25.190965092402401</v>
          </cell>
          <cell r="E427">
            <v>210</v>
          </cell>
          <cell r="F427">
            <v>16.558287873098308</v>
          </cell>
          <cell r="G427">
            <v>0.75920497999535319</v>
          </cell>
          <cell r="H427">
            <v>13.774055321355233</v>
          </cell>
          <cell r="I427">
            <v>3.8263930991765802</v>
          </cell>
        </row>
        <row r="428">
          <cell r="A428" t="str">
            <v>RAYALSEEMA TPS2</v>
          </cell>
          <cell r="B428" t="str">
            <v>RAYALSEEMA TPS UNIT 1-5</v>
          </cell>
          <cell r="C428" t="str">
            <v xml:space="preserve"> 25-30 years</v>
          </cell>
          <cell r="D428">
            <v>25.2539356605065</v>
          </cell>
          <cell r="E428">
            <v>210</v>
          </cell>
          <cell r="F428">
            <v>15.023737846064209</v>
          </cell>
          <cell r="G428">
            <v>0.54155199807580956</v>
          </cell>
          <cell r="H428">
            <v>13.777319778576318</v>
          </cell>
          <cell r="I428">
            <v>2.7294220703020802</v>
          </cell>
        </row>
        <row r="429">
          <cell r="A429" t="str">
            <v>RAICHUR TPS4</v>
          </cell>
          <cell r="B429" t="str">
            <v>RAICHUR TPS UNIT 1-7</v>
          </cell>
          <cell r="C429" t="str">
            <v xml:space="preserve"> 25-30 years</v>
          </cell>
          <cell r="D429">
            <v>25.672826830937701</v>
          </cell>
          <cell r="E429">
            <v>210</v>
          </cell>
          <cell r="F429">
            <v>14.215904215364839</v>
          </cell>
          <cell r="G429">
            <v>0.77586685752559914</v>
          </cell>
          <cell r="H429">
            <v>13.799035515742641</v>
          </cell>
          <cell r="I429">
            <v>3.9103689619290201</v>
          </cell>
        </row>
        <row r="430">
          <cell r="A430" t="str">
            <v>IB VALLEY TPS1</v>
          </cell>
          <cell r="B430" t="str">
            <v>IB VALLEY TPS UNIT 1-2</v>
          </cell>
          <cell r="C430" t="str">
            <v xml:space="preserve"> 25-30 years</v>
          </cell>
          <cell r="D430">
            <v>25.924709103353798</v>
          </cell>
          <cell r="E430">
            <v>210</v>
          </cell>
          <cell r="F430">
            <v>16.634138093950749</v>
          </cell>
          <cell r="G430">
            <v>0.75934995122276783</v>
          </cell>
          <cell r="H430">
            <v>13.812093344626964</v>
          </cell>
          <cell r="I430">
            <v>3.8271237541627499</v>
          </cell>
        </row>
        <row r="431">
          <cell r="A431" t="str">
            <v>DR. N TATA RAO TPS5</v>
          </cell>
          <cell r="B431" t="str">
            <v>DR. N TATA RAO TPS UNIT 1-6</v>
          </cell>
          <cell r="C431" t="str">
            <v xml:space="preserve"> 25-30 years</v>
          </cell>
          <cell r="D431">
            <v>26.094455852155999</v>
          </cell>
          <cell r="E431">
            <v>210</v>
          </cell>
          <cell r="F431">
            <v>16.558287873098308</v>
          </cell>
          <cell r="G431">
            <v>0.77274121451818845</v>
          </cell>
          <cell r="H431">
            <v>13.82089318583162</v>
          </cell>
          <cell r="I431">
            <v>3.8946157211716699</v>
          </cell>
        </row>
        <row r="432">
          <cell r="A432" t="str">
            <v>DADRI (NCTPP)4</v>
          </cell>
          <cell r="B432" t="str">
            <v>DADRI (NCTPP) UNIT 1-4</v>
          </cell>
          <cell r="C432" t="str">
            <v xml:space="preserve"> 25-30 years</v>
          </cell>
          <cell r="D432">
            <v>26.176591375769998</v>
          </cell>
          <cell r="E432">
            <v>210</v>
          </cell>
          <cell r="F432">
            <v>13.292014502958034</v>
          </cell>
          <cell r="G432">
            <v>0.56937993435679568</v>
          </cell>
          <cell r="H432">
            <v>13.825151173511292</v>
          </cell>
          <cell r="I432">
            <v>2.8696748691582501</v>
          </cell>
        </row>
        <row r="433">
          <cell r="A433" t="str">
            <v>KOTA TPS5</v>
          </cell>
          <cell r="B433" t="str">
            <v>KOTA TPS</v>
          </cell>
          <cell r="C433" t="str">
            <v xml:space="preserve"> 25-30 years</v>
          </cell>
          <cell r="D433">
            <v>26.176591375769998</v>
          </cell>
          <cell r="E433">
            <v>210</v>
          </cell>
          <cell r="F433">
            <v>14.284116629235145</v>
          </cell>
          <cell r="G433">
            <v>0.71261484895846827</v>
          </cell>
          <cell r="H433">
            <v>13.825151173511292</v>
          </cell>
          <cell r="I433">
            <v>3.5915788387506802</v>
          </cell>
        </row>
        <row r="434">
          <cell r="A434" t="str">
            <v>RAYALSEEMA TPS1</v>
          </cell>
          <cell r="B434" t="str">
            <v>RAYALSEEMA TPS UNIT 1-5</v>
          </cell>
          <cell r="C434" t="str">
            <v xml:space="preserve"> 25-30 years</v>
          </cell>
          <cell r="D434">
            <v>26.176591375769998</v>
          </cell>
          <cell r="E434">
            <v>210</v>
          </cell>
          <cell r="F434">
            <v>15.023737846064209</v>
          </cell>
          <cell r="G434">
            <v>0.62866175032214477</v>
          </cell>
          <cell r="H434">
            <v>13.825151173511292</v>
          </cell>
          <cell r="I434">
            <v>3.1684552216236099</v>
          </cell>
        </row>
        <row r="435">
          <cell r="A435" t="str">
            <v>KAHALGAON TPS2</v>
          </cell>
          <cell r="B435" t="str">
            <v>KAHALGAON TPS UNIT 1-4</v>
          </cell>
          <cell r="C435" t="str">
            <v xml:space="preserve"> 25-30 years</v>
          </cell>
          <cell r="D435">
            <v>26.176591375769998</v>
          </cell>
          <cell r="E435">
            <v>210</v>
          </cell>
          <cell r="F435">
            <v>15.974672979051094</v>
          </cell>
          <cell r="G435">
            <v>0.80569315266623409</v>
          </cell>
          <cell r="H435">
            <v>13.825151173511292</v>
          </cell>
          <cell r="I435">
            <v>4.0606934894378197</v>
          </cell>
        </row>
        <row r="436">
          <cell r="A436" t="str">
            <v>KOLAGHAT TPS5</v>
          </cell>
          <cell r="B436" t="str">
            <v>KOLAGHAT TPS</v>
          </cell>
          <cell r="C436" t="str">
            <v xml:space="preserve"> 25-30 years</v>
          </cell>
          <cell r="D436">
            <v>26.4229979466119</v>
          </cell>
          <cell r="E436">
            <v>210</v>
          </cell>
          <cell r="F436">
            <v>17.739919094906128</v>
          </cell>
          <cell r="G436">
            <v>0.56405127910282737</v>
          </cell>
          <cell r="H436">
            <v>13.837925136550307</v>
          </cell>
          <cell r="I436">
            <v>2.8428184466782498</v>
          </cell>
        </row>
        <row r="437">
          <cell r="A437" t="str">
            <v>TANDA STPS4</v>
          </cell>
          <cell r="B437" t="str">
            <v>TANDA STPS UNIT 1-4</v>
          </cell>
          <cell r="C437" t="str">
            <v xml:space="preserve"> 20-25 years</v>
          </cell>
          <cell r="D437">
            <v>22.2532511978097</v>
          </cell>
          <cell r="E437">
            <v>110</v>
          </cell>
          <cell r="F437">
            <v>14.116051998660719</v>
          </cell>
          <cell r="G437">
            <v>0.66379538639479929</v>
          </cell>
          <cell r="H437">
            <v>13.849761295345653</v>
          </cell>
          <cell r="I437">
            <v>1.75241982008227</v>
          </cell>
        </row>
        <row r="438">
          <cell r="A438" t="str">
            <v>BOKARO B TPS3</v>
          </cell>
          <cell r="C438" t="str">
            <v xml:space="preserve"> 25-30 years</v>
          </cell>
          <cell r="D438">
            <v>26.757015742642</v>
          </cell>
          <cell r="E438">
            <v>210</v>
          </cell>
          <cell r="F438">
            <v>15.174933809152314</v>
          </cell>
          <cell r="G438">
            <v>0.21676486215752575</v>
          </cell>
          <cell r="H438">
            <v>13.855240953114304</v>
          </cell>
          <cell r="I438">
            <v>1.0924949052739299</v>
          </cell>
        </row>
        <row r="439">
          <cell r="A439" t="str">
            <v>NEYVELI TPS-II7</v>
          </cell>
          <cell r="B439" t="str">
            <v>NEYVELI TPS-II UNIT 4-7</v>
          </cell>
          <cell r="C439" t="str">
            <v xml:space="preserve"> 25-30 years</v>
          </cell>
          <cell r="D439">
            <v>26.924024640656999</v>
          </cell>
          <cell r="E439">
            <v>210</v>
          </cell>
          <cell r="F439">
            <v>13.37</v>
          </cell>
          <cell r="G439">
            <v>0.81208215961311303</v>
          </cell>
          <cell r="H439">
            <v>13.863898861396301</v>
          </cell>
          <cell r="I439">
            <v>4.0928940844500898</v>
          </cell>
        </row>
        <row r="440">
          <cell r="A440" t="str">
            <v>DADRI (NCTPP)3</v>
          </cell>
          <cell r="B440" t="str">
            <v>DADRI (NCTPP) UNIT 1-4</v>
          </cell>
          <cell r="C440" t="str">
            <v xml:space="preserve"> 25-30 years</v>
          </cell>
          <cell r="D440">
            <v>27.175906913073199</v>
          </cell>
          <cell r="E440">
            <v>210</v>
          </cell>
          <cell r="F440">
            <v>13.292014502958034</v>
          </cell>
          <cell r="G440">
            <v>0.51648347569777986</v>
          </cell>
          <cell r="H440">
            <v>13.876956690280629</v>
          </cell>
          <cell r="I440">
            <v>2.6030767175168101</v>
          </cell>
        </row>
        <row r="441">
          <cell r="A441" t="str">
            <v>SANJAY GANDHI TPS1</v>
          </cell>
          <cell r="C441" t="str">
            <v xml:space="preserve"> 25-30 years</v>
          </cell>
          <cell r="D441">
            <v>27.175906913073199</v>
          </cell>
          <cell r="E441">
            <v>210</v>
          </cell>
          <cell r="F441">
            <v>13.707682017189684</v>
          </cell>
          <cell r="G441">
            <v>0.62189879512551394</v>
          </cell>
          <cell r="H441">
            <v>13.876956690280629</v>
          </cell>
          <cell r="I441">
            <v>3.1343699274325898</v>
          </cell>
        </row>
        <row r="442">
          <cell r="A442" t="str">
            <v>SANJAY GANDHI TPS2</v>
          </cell>
          <cell r="C442" t="str">
            <v xml:space="preserve"> 25-30 years</v>
          </cell>
          <cell r="D442">
            <v>27.175906913073199</v>
          </cell>
          <cell r="E442">
            <v>210</v>
          </cell>
          <cell r="F442">
            <v>13.707682017189684</v>
          </cell>
          <cell r="G442">
            <v>0.55695314280080954</v>
          </cell>
          <cell r="H442">
            <v>13.876956690280629</v>
          </cell>
          <cell r="I442">
            <v>2.80704383971608</v>
          </cell>
        </row>
        <row r="443">
          <cell r="A443" t="str">
            <v>ROPAR TPS6</v>
          </cell>
          <cell r="B443" t="str">
            <v>ROPAR TPS</v>
          </cell>
          <cell r="C443" t="str">
            <v xml:space="preserve"> 25-30 years</v>
          </cell>
          <cell r="D443">
            <v>27.175906913073199</v>
          </cell>
          <cell r="E443">
            <v>210</v>
          </cell>
          <cell r="F443">
            <v>14.184873556738339</v>
          </cell>
          <cell r="G443">
            <v>0.23526000481764683</v>
          </cell>
          <cell r="H443">
            <v>13.876956690280629</v>
          </cell>
          <cell r="I443">
            <v>1.18571042428094</v>
          </cell>
        </row>
        <row r="444">
          <cell r="A444" t="str">
            <v>KOLAGHAT TPS1</v>
          </cell>
          <cell r="B444" t="str">
            <v>KOLAGHAT TPS</v>
          </cell>
          <cell r="C444" t="str">
            <v xml:space="preserve"> 25-30 years</v>
          </cell>
          <cell r="D444">
            <v>27.337440109513999</v>
          </cell>
          <cell r="E444">
            <v>210</v>
          </cell>
          <cell r="F444">
            <v>17.739919094906128</v>
          </cell>
          <cell r="G444">
            <v>0.16711051398477242</v>
          </cell>
          <cell r="H444">
            <v>13.885330732717316</v>
          </cell>
          <cell r="I444">
            <v>0.84223699048325296</v>
          </cell>
        </row>
        <row r="445">
          <cell r="A445" t="str">
            <v>DADRI (NCTPP)2</v>
          </cell>
          <cell r="B445" t="str">
            <v>DADRI (NCTPP) UNIT 1-4</v>
          </cell>
          <cell r="C445" t="str">
            <v xml:space="preserve"> 25-30 years</v>
          </cell>
          <cell r="D445">
            <v>27.422313483915101</v>
          </cell>
          <cell r="E445">
            <v>210</v>
          </cell>
          <cell r="F445">
            <v>13.292014502958034</v>
          </cell>
          <cell r="G445">
            <v>0.44513134309670638</v>
          </cell>
          <cell r="H445">
            <v>13.889730653319644</v>
          </cell>
          <cell r="I445">
            <v>2.2434619692074</v>
          </cell>
        </row>
        <row r="446">
          <cell r="A446" t="str">
            <v>NEYVELI TPS-II6</v>
          </cell>
          <cell r="B446" t="str">
            <v>NEYVELI TPS-II UNIT 4-7</v>
          </cell>
          <cell r="C446" t="str">
            <v xml:space="preserve"> 25-30 years</v>
          </cell>
          <cell r="D446">
            <v>27.589322381930099</v>
          </cell>
          <cell r="E446">
            <v>210</v>
          </cell>
          <cell r="F446">
            <v>13.37</v>
          </cell>
          <cell r="G446">
            <v>0.78928765621273411</v>
          </cell>
          <cell r="H446">
            <v>13.898388561601639</v>
          </cell>
          <cell r="I446">
            <v>3.97800978731218</v>
          </cell>
        </row>
        <row r="447">
          <cell r="A447" t="str">
            <v>ROPAR TPS5</v>
          </cell>
          <cell r="B447" t="str">
            <v>ROPAR TPS</v>
          </cell>
          <cell r="C447" t="str">
            <v xml:space="preserve"> 25-30 years</v>
          </cell>
          <cell r="D447">
            <v>28.175222450376399</v>
          </cell>
          <cell r="E447">
            <v>210</v>
          </cell>
          <cell r="F447">
            <v>14.184873556738339</v>
          </cell>
          <cell r="G447">
            <v>0.22490620373102779</v>
          </cell>
          <cell r="H447">
            <v>13.928762207049964</v>
          </cell>
          <cell r="I447">
            <v>1.1335272668043801</v>
          </cell>
        </row>
        <row r="448">
          <cell r="A448" t="str">
            <v>KAHALGAON TPS1</v>
          </cell>
          <cell r="B448" t="str">
            <v>KAHALGAON TPS UNIT 1-4</v>
          </cell>
          <cell r="C448" t="str">
            <v xml:space="preserve"> 25-30 years</v>
          </cell>
          <cell r="D448">
            <v>28.175222450376399</v>
          </cell>
          <cell r="E448">
            <v>210</v>
          </cell>
          <cell r="F448">
            <v>15.974672979051094</v>
          </cell>
          <cell r="G448">
            <v>0.78331569104385323</v>
          </cell>
          <cell r="H448">
            <v>13.928762207049964</v>
          </cell>
          <cell r="I448">
            <v>3.9479110828610202</v>
          </cell>
        </row>
        <row r="449">
          <cell r="A449" t="str">
            <v>TUTICORIN TPS4</v>
          </cell>
          <cell r="B449" t="str">
            <v>TUTICORIN TPS</v>
          </cell>
          <cell r="C449" t="str">
            <v xml:space="preserve"> 25-30 years</v>
          </cell>
          <cell r="D449">
            <v>28.227241615331899</v>
          </cell>
          <cell r="E449">
            <v>210</v>
          </cell>
          <cell r="F449">
            <v>15.43771434450896</v>
          </cell>
          <cell r="G449">
            <v>0.63625418478889884</v>
          </cell>
          <cell r="H449">
            <v>13.931458932580421</v>
          </cell>
          <cell r="I449">
            <v>3.2067210913360502</v>
          </cell>
        </row>
        <row r="450">
          <cell r="A450" t="str">
            <v>DADRI (NCTPP)1</v>
          </cell>
          <cell r="B450" t="str">
            <v>DADRI (NCTPP) UNIT 1-4</v>
          </cell>
          <cell r="C450" t="str">
            <v xml:space="preserve"> 25-30 years</v>
          </cell>
          <cell r="D450">
            <v>28.4243668720054</v>
          </cell>
          <cell r="E450">
            <v>210</v>
          </cell>
          <cell r="F450">
            <v>13.292014502958034</v>
          </cell>
          <cell r="G450">
            <v>0.48011283288085521</v>
          </cell>
          <cell r="H450">
            <v>13.941678103011633</v>
          </cell>
          <cell r="I450">
            <v>2.4197686777195102</v>
          </cell>
        </row>
        <row r="451">
          <cell r="A451" t="str">
            <v>NEYVELI TPS-II5</v>
          </cell>
          <cell r="B451" t="str">
            <v>NEYVELI TPS-II UNIT 4-7</v>
          </cell>
          <cell r="C451" t="str">
            <v xml:space="preserve"> 25-30 years</v>
          </cell>
          <cell r="D451">
            <v>28.4243668720054</v>
          </cell>
          <cell r="E451">
            <v>210</v>
          </cell>
          <cell r="F451">
            <v>13.37</v>
          </cell>
          <cell r="G451">
            <v>0.828396656617988</v>
          </cell>
          <cell r="H451">
            <v>13.941678103011633</v>
          </cell>
          <cell r="I451">
            <v>4.1751191493546598</v>
          </cell>
        </row>
        <row r="452">
          <cell r="A452" t="str">
            <v>GANDHI NAGAR TPS4</v>
          </cell>
          <cell r="B452" t="str">
            <v>GANDHI NAGAR TPS UNIT 3-4</v>
          </cell>
          <cell r="C452" t="str">
            <v xml:space="preserve"> 25-30 years</v>
          </cell>
          <cell r="D452">
            <v>28.843258042436599</v>
          </cell>
          <cell r="E452">
            <v>210</v>
          </cell>
          <cell r="F452">
            <v>13.482373000476915</v>
          </cell>
          <cell r="G452">
            <v>0.48391182053713694</v>
          </cell>
          <cell r="H452">
            <v>13.963393840177956</v>
          </cell>
          <cell r="I452">
            <v>2.4389155755071701</v>
          </cell>
        </row>
        <row r="453">
          <cell r="A453" t="str">
            <v>TUTICORIN TPS5</v>
          </cell>
          <cell r="B453" t="str">
            <v>TUTICORIN TPS</v>
          </cell>
          <cell r="C453" t="str">
            <v xml:space="preserve"> 25-30 years</v>
          </cell>
          <cell r="D453">
            <v>29.095140314852799</v>
          </cell>
          <cell r="E453">
            <v>210</v>
          </cell>
          <cell r="F453">
            <v>15.43771434450896</v>
          </cell>
          <cell r="G453">
            <v>0.62434365218093058</v>
          </cell>
          <cell r="H453">
            <v>13.976451669062286</v>
          </cell>
          <cell r="I453">
            <v>3.14669200699189</v>
          </cell>
        </row>
        <row r="454">
          <cell r="A454" t="str">
            <v>KUTCH LIG. TPS3</v>
          </cell>
          <cell r="B454" t="str">
            <v>KUTCH LIG. TPS UNIT 1-3</v>
          </cell>
          <cell r="C454" t="str">
            <v xml:space="preserve"> 20-25 years</v>
          </cell>
          <cell r="D454">
            <v>23.175906913073199</v>
          </cell>
          <cell r="E454">
            <v>75</v>
          </cell>
          <cell r="F454">
            <v>14.26</v>
          </cell>
          <cell r="G454">
            <v>0.51162038498586504</v>
          </cell>
          <cell r="H454">
            <v>13.977392690280627</v>
          </cell>
          <cell r="I454">
            <v>0.92091669297455703</v>
          </cell>
        </row>
        <row r="455">
          <cell r="A455" t="str">
            <v>NEYVELI TPS-II4</v>
          </cell>
          <cell r="B455" t="str">
            <v>NEYVELI TPS-II UNIT 4-7</v>
          </cell>
          <cell r="C455" t="str">
            <v xml:space="preserve"> 25-30 years</v>
          </cell>
          <cell r="D455">
            <v>29.177275838466802</v>
          </cell>
          <cell r="E455">
            <v>210</v>
          </cell>
          <cell r="F455">
            <v>13.37</v>
          </cell>
          <cell r="G455">
            <v>0.81431915302436897</v>
          </cell>
          <cell r="H455">
            <v>13.980709656741958</v>
          </cell>
          <cell r="I455">
            <v>4.10416853124282</v>
          </cell>
        </row>
        <row r="456">
          <cell r="A456" t="str">
            <v>RAICHUR TPS3</v>
          </cell>
          <cell r="B456" t="str">
            <v>RAICHUR TPS UNIT 1-7</v>
          </cell>
          <cell r="C456" t="str">
            <v xml:space="preserve"> 25-30 years</v>
          </cell>
          <cell r="D456">
            <v>29.177275838466802</v>
          </cell>
          <cell r="E456">
            <v>210</v>
          </cell>
          <cell r="F456">
            <v>14.215904215364839</v>
          </cell>
          <cell r="G456">
            <v>0.58184191916580352</v>
          </cell>
          <cell r="H456">
            <v>13.980709656741958</v>
          </cell>
          <cell r="I456">
            <v>2.93248327259565</v>
          </cell>
        </row>
        <row r="457">
          <cell r="A457" t="str">
            <v>KOLAGHAT TPS6</v>
          </cell>
          <cell r="B457" t="str">
            <v>KOLAGHAT TPS</v>
          </cell>
          <cell r="C457" t="str">
            <v xml:space="preserve"> 25-30 years</v>
          </cell>
          <cell r="D457">
            <v>29.177275838466802</v>
          </cell>
          <cell r="E457">
            <v>210</v>
          </cell>
          <cell r="F457">
            <v>17.739919094906128</v>
          </cell>
          <cell r="G457">
            <v>0.51281886332788695</v>
          </cell>
          <cell r="H457">
            <v>13.980709656741958</v>
          </cell>
          <cell r="I457">
            <v>2.5846070711725502</v>
          </cell>
        </row>
        <row r="458">
          <cell r="A458" t="str">
            <v>VINDHYACHAL STPS6</v>
          </cell>
          <cell r="B458" t="str">
            <v>VINDHYACHAL STPS UNIT 1-6</v>
          </cell>
          <cell r="C458" t="str">
            <v xml:space="preserve"> 25-30 years</v>
          </cell>
          <cell r="D458">
            <v>29.2539356605065</v>
          </cell>
          <cell r="E458">
            <v>210</v>
          </cell>
          <cell r="F458">
            <v>13.831783033127248</v>
          </cell>
          <cell r="G458">
            <v>0.84837511486428174</v>
          </cell>
          <cell r="H458">
            <v>13.984683778576319</v>
          </cell>
          <cell r="I458">
            <v>4.2758105789159799</v>
          </cell>
        </row>
        <row r="459">
          <cell r="A459" t="str">
            <v>DR. N TATA RAO TPS4</v>
          </cell>
          <cell r="B459" t="str">
            <v>DR. N TATA RAO TPS UNIT 1-6</v>
          </cell>
          <cell r="C459" t="str">
            <v xml:space="preserve"> 25-30 years</v>
          </cell>
          <cell r="D459">
            <v>29.6974674880219</v>
          </cell>
          <cell r="E459">
            <v>210</v>
          </cell>
          <cell r="F459">
            <v>16.558287873098308</v>
          </cell>
          <cell r="G459">
            <v>0.7781354064124445</v>
          </cell>
          <cell r="H459">
            <v>14.007676912046543</v>
          </cell>
          <cell r="I459">
            <v>3.9218024483187199</v>
          </cell>
        </row>
        <row r="460">
          <cell r="A460" t="str">
            <v>KOLAGHAT TPS2</v>
          </cell>
          <cell r="B460" t="str">
            <v>KOLAGHAT TPS</v>
          </cell>
          <cell r="C460" t="str">
            <v xml:space="preserve"> 25-30 years</v>
          </cell>
          <cell r="D460">
            <v>29.7577002053388</v>
          </cell>
          <cell r="E460">
            <v>210</v>
          </cell>
          <cell r="F460">
            <v>17.739919094906128</v>
          </cell>
          <cell r="G460">
            <v>0.45843893683754766</v>
          </cell>
          <cell r="H460">
            <v>14.010799436344969</v>
          </cell>
          <cell r="I460">
            <v>2.3105322416612402</v>
          </cell>
        </row>
        <row r="461">
          <cell r="A461" t="str">
            <v>METTUR TPS4</v>
          </cell>
          <cell r="B461" t="str">
            <v>METTUR TPS</v>
          </cell>
          <cell r="C461" t="str">
            <v xml:space="preserve"> 30-35 years</v>
          </cell>
          <cell r="D461">
            <v>30.176591375769998</v>
          </cell>
          <cell r="E461">
            <v>210</v>
          </cell>
          <cell r="F461">
            <v>11.417755901062131</v>
          </cell>
          <cell r="G461">
            <v>0.74167185527353963</v>
          </cell>
          <cell r="H461">
            <v>14.032515173511293</v>
          </cell>
          <cell r="I461">
            <v>3.7380261505786399</v>
          </cell>
        </row>
        <row r="462">
          <cell r="A462" t="str">
            <v>GANDHI NAGAR TPS3</v>
          </cell>
          <cell r="B462" t="str">
            <v>GANDHI NAGAR TPS UNIT 3-4</v>
          </cell>
          <cell r="C462" t="str">
            <v xml:space="preserve"> 30-35 years</v>
          </cell>
          <cell r="D462">
            <v>30.176591375769998</v>
          </cell>
          <cell r="E462">
            <v>210</v>
          </cell>
          <cell r="F462">
            <v>13.482373000476915</v>
          </cell>
          <cell r="G462">
            <v>0.49978666257289878</v>
          </cell>
          <cell r="H462">
            <v>14.032515173511293</v>
          </cell>
          <cell r="I462">
            <v>2.5189247793674099</v>
          </cell>
        </row>
        <row r="463">
          <cell r="A463" t="str">
            <v>VINDHYACHAL STPS5</v>
          </cell>
          <cell r="B463" t="str">
            <v>VINDHYACHAL STPS UNIT 1-6</v>
          </cell>
          <cell r="C463" t="str">
            <v xml:space="preserve"> 30-35 years</v>
          </cell>
          <cell r="D463">
            <v>30.176591375769998</v>
          </cell>
          <cell r="E463">
            <v>210</v>
          </cell>
          <cell r="F463">
            <v>13.831783033127248</v>
          </cell>
          <cell r="G463">
            <v>0.84785447430773209</v>
          </cell>
          <cell r="H463">
            <v>14.032515173511293</v>
          </cell>
          <cell r="I463">
            <v>4.2731865505109701</v>
          </cell>
        </row>
        <row r="464">
          <cell r="A464" t="str">
            <v>KHAPARKHEDA TPS2</v>
          </cell>
          <cell r="B464" t="str">
            <v>KHAPARKHEDA TPS UNIT 1-4</v>
          </cell>
          <cell r="C464" t="str">
            <v xml:space="preserve"> 30-35 years</v>
          </cell>
          <cell r="D464">
            <v>30.338124572210798</v>
          </cell>
          <cell r="E464">
            <v>210</v>
          </cell>
          <cell r="F464">
            <v>17.659125425550069</v>
          </cell>
          <cell r="G464">
            <v>0.54415924922282943</v>
          </cell>
          <cell r="H464">
            <v>14.040889215947981</v>
          </cell>
          <cell r="I464">
            <v>2.7425626160830601</v>
          </cell>
        </row>
        <row r="465">
          <cell r="A465" t="str">
            <v>VINDHYACHAL STPS4</v>
          </cell>
          <cell r="B465" t="str">
            <v>VINDHYACHAL STPS UNIT 1-6</v>
          </cell>
          <cell r="C465" t="str">
            <v xml:space="preserve"> 30-35 years</v>
          </cell>
          <cell r="D465">
            <v>30.4229979466119</v>
          </cell>
          <cell r="E465">
            <v>210</v>
          </cell>
          <cell r="F465">
            <v>13.831783033127248</v>
          </cell>
          <cell r="G465">
            <v>0.86235172045343056</v>
          </cell>
          <cell r="H465">
            <v>14.045289136550307</v>
          </cell>
          <cell r="I465">
            <v>4.3462526710852902</v>
          </cell>
        </row>
        <row r="466">
          <cell r="A466" t="str">
            <v>DR. N TATA RAO TPS3</v>
          </cell>
          <cell r="B466" t="str">
            <v>DR. N TATA RAO TPS UNIT 1-6</v>
          </cell>
          <cell r="C466" t="str">
            <v xml:space="preserve"> 30-35 years</v>
          </cell>
          <cell r="D466">
            <v>30.579055441478399</v>
          </cell>
          <cell r="E466">
            <v>210</v>
          </cell>
          <cell r="F466">
            <v>16.558287873098308</v>
          </cell>
          <cell r="G466">
            <v>0.7477616790604068</v>
          </cell>
          <cell r="H466">
            <v>14.053379313141683</v>
          </cell>
          <cell r="I466">
            <v>3.7687188624644499</v>
          </cell>
        </row>
        <row r="467">
          <cell r="A467" t="str">
            <v>KOTA TPS4</v>
          </cell>
          <cell r="B467" t="str">
            <v>KOTA TPS</v>
          </cell>
          <cell r="C467" t="str">
            <v xml:space="preserve"> 30-35 years</v>
          </cell>
          <cell r="D467">
            <v>31.008898015058101</v>
          </cell>
          <cell r="E467">
            <v>210</v>
          </cell>
          <cell r="F467">
            <v>14.284116629235145</v>
          </cell>
          <cell r="G467">
            <v>0.69111035742973814</v>
          </cell>
          <cell r="H467">
            <v>14.075662781998627</v>
          </cell>
          <cell r="I467">
            <v>3.4831962014458799</v>
          </cell>
        </row>
        <row r="468">
          <cell r="A468" t="str">
            <v>METTUR TPS3</v>
          </cell>
          <cell r="B468" t="str">
            <v>METTUR TPS</v>
          </cell>
          <cell r="C468" t="str">
            <v xml:space="preserve"> 30-35 years</v>
          </cell>
          <cell r="D468">
            <v>31.175906913073199</v>
          </cell>
          <cell r="E468">
            <v>210</v>
          </cell>
          <cell r="F468">
            <v>11.417755901062131</v>
          </cell>
          <cell r="G468">
            <v>0.73038400111720037</v>
          </cell>
          <cell r="H468">
            <v>14.084320690280627</v>
          </cell>
          <cell r="I468">
            <v>3.68113536563069</v>
          </cell>
        </row>
        <row r="469">
          <cell r="A469" t="str">
            <v>UNCHAHAR STPS2</v>
          </cell>
          <cell r="B469" t="str">
            <v>UNCHAHAR STPS UNIT 1-2</v>
          </cell>
          <cell r="C469" t="str">
            <v xml:space="preserve"> 30-35 years</v>
          </cell>
          <cell r="D469">
            <v>31.175906913073199</v>
          </cell>
          <cell r="E469">
            <v>210</v>
          </cell>
          <cell r="F469">
            <v>13.21968205136662</v>
          </cell>
          <cell r="G469">
            <v>0.68800741256868847</v>
          </cell>
          <cell r="H469">
            <v>14.084320690280627</v>
          </cell>
          <cell r="I469">
            <v>3.4675573593461899</v>
          </cell>
        </row>
        <row r="470">
          <cell r="A470" t="str">
            <v>PANIPAT TPS5</v>
          </cell>
          <cell r="B470" t="str">
            <v>PANIPAT TPS UNIT 5</v>
          </cell>
          <cell r="C470" t="str">
            <v xml:space="preserve"> 30-35 years</v>
          </cell>
          <cell r="D470">
            <v>31.175906913073199</v>
          </cell>
          <cell r="E470">
            <v>210</v>
          </cell>
          <cell r="F470">
            <v>13.628184438240176</v>
          </cell>
          <cell r="G470">
            <v>5.218810070585337E-2</v>
          </cell>
          <cell r="H470">
            <v>14.084320690280627</v>
          </cell>
          <cell r="I470">
            <v>0.26302802755750099</v>
          </cell>
        </row>
        <row r="471">
          <cell r="A471" t="str">
            <v>KHAPARKHEDA TPS1</v>
          </cell>
          <cell r="B471" t="str">
            <v>KHAPARKHEDA TPS UNIT 1-4</v>
          </cell>
          <cell r="C471" t="str">
            <v xml:space="preserve"> 30-35 years</v>
          </cell>
          <cell r="D471">
            <v>31.175906913073199</v>
          </cell>
          <cell r="E471">
            <v>210</v>
          </cell>
          <cell r="F471">
            <v>17.659125425550069</v>
          </cell>
          <cell r="G471">
            <v>0.38772934123115083</v>
          </cell>
          <cell r="H471">
            <v>14.084320690280627</v>
          </cell>
          <cell r="I471">
            <v>1.9541558798050001</v>
          </cell>
        </row>
        <row r="472">
          <cell r="A472" t="str">
            <v>VINDHYACHAL STPS3</v>
          </cell>
          <cell r="B472" t="str">
            <v>VINDHYACHAL STPS UNIT 1-6</v>
          </cell>
          <cell r="C472" t="str">
            <v xml:space="preserve"> 30-35 years</v>
          </cell>
          <cell r="D472">
            <v>31.2525667351129</v>
          </cell>
          <cell r="E472">
            <v>210</v>
          </cell>
          <cell r="F472">
            <v>13.831783033127248</v>
          </cell>
          <cell r="G472">
            <v>0.89923657417280356</v>
          </cell>
          <cell r="H472">
            <v>14.088294812114988</v>
          </cell>
          <cell r="I472">
            <v>4.53215233383093</v>
          </cell>
        </row>
        <row r="473">
          <cell r="A473" t="str">
            <v>ROPAR TPS4</v>
          </cell>
          <cell r="B473" t="str">
            <v>ROPAR TPS</v>
          </cell>
          <cell r="C473" t="str">
            <v xml:space="preserve"> 30-35 years</v>
          </cell>
          <cell r="D473">
            <v>31.337440109513999</v>
          </cell>
          <cell r="E473">
            <v>210</v>
          </cell>
          <cell r="F473">
            <v>14.184873556738339</v>
          </cell>
          <cell r="G473">
            <v>0.1782866898438859</v>
          </cell>
          <cell r="H473">
            <v>14.092694732717316</v>
          </cell>
          <cell r="I473">
            <v>0.89856491681318496</v>
          </cell>
        </row>
        <row r="474">
          <cell r="A474" t="str">
            <v>UNCHAHAR STPS1</v>
          </cell>
          <cell r="B474" t="str">
            <v>UNCHAHAR STPS UNIT 1-2</v>
          </cell>
          <cell r="C474" t="str">
            <v xml:space="preserve"> 30-35 years</v>
          </cell>
          <cell r="D474">
            <v>31.504449007529001</v>
          </cell>
          <cell r="E474">
            <v>210</v>
          </cell>
          <cell r="F474">
            <v>13.21968205136662</v>
          </cell>
          <cell r="G474">
            <v>0.65614640754456155</v>
          </cell>
          <cell r="H474">
            <v>14.101352640999311</v>
          </cell>
          <cell r="I474">
            <v>3.3069778940245902</v>
          </cell>
        </row>
        <row r="475">
          <cell r="A475" t="str">
            <v>KOTA TPS3</v>
          </cell>
          <cell r="B475" t="str">
            <v>KOTA TPS</v>
          </cell>
          <cell r="C475" t="str">
            <v xml:space="preserve"> 30-35 years</v>
          </cell>
          <cell r="D475">
            <v>31.671457905544099</v>
          </cell>
          <cell r="E475">
            <v>210</v>
          </cell>
          <cell r="F475">
            <v>14.284116629235145</v>
          </cell>
          <cell r="G475">
            <v>0.68396701829830153</v>
          </cell>
          <cell r="H475">
            <v>14.110010549281313</v>
          </cell>
          <cell r="I475">
            <v>3.4471937722234398</v>
          </cell>
        </row>
        <row r="476">
          <cell r="A476" t="str">
            <v>VINDHYACHAL STPS2</v>
          </cell>
          <cell r="B476" t="str">
            <v>VINDHYACHAL STPS UNIT 1-6</v>
          </cell>
          <cell r="C476" t="str">
            <v xml:space="preserve"> 30-35 years</v>
          </cell>
          <cell r="D476">
            <v>31.841204654346299</v>
          </cell>
          <cell r="E476">
            <v>210</v>
          </cell>
          <cell r="F476">
            <v>13.831783033127248</v>
          </cell>
          <cell r="G476">
            <v>0.88852792382762691</v>
          </cell>
          <cell r="H476">
            <v>14.118810390485967</v>
          </cell>
          <cell r="I476">
            <v>4.4781807360912396</v>
          </cell>
        </row>
        <row r="477">
          <cell r="A477" t="str">
            <v>ANPARA TPS3</v>
          </cell>
          <cell r="B477" t="str">
            <v>ANPARA - A</v>
          </cell>
          <cell r="C477" t="str">
            <v xml:space="preserve"> 30-35 years</v>
          </cell>
          <cell r="D477">
            <v>32.175222450376403</v>
          </cell>
          <cell r="E477">
            <v>210</v>
          </cell>
          <cell r="F477">
            <v>13.153682597016777</v>
          </cell>
          <cell r="G477">
            <v>0.82806661917331348</v>
          </cell>
          <cell r="H477">
            <v>14.136126207049964</v>
          </cell>
          <cell r="I477">
            <v>4.1734557606334999</v>
          </cell>
        </row>
        <row r="478">
          <cell r="A478" t="str">
            <v>ROPAR TPS3</v>
          </cell>
          <cell r="B478" t="str">
            <v>ROPAR TPS</v>
          </cell>
          <cell r="C478" t="str">
            <v xml:space="preserve"> 30-35 years</v>
          </cell>
          <cell r="D478">
            <v>32.175222450376403</v>
          </cell>
          <cell r="E478">
            <v>210</v>
          </cell>
          <cell r="F478">
            <v>14.184873556738339</v>
          </cell>
          <cell r="G478">
            <v>0.17914588936757084</v>
          </cell>
          <cell r="H478">
            <v>14.136126207049964</v>
          </cell>
          <cell r="I478">
            <v>0.90289528241255701</v>
          </cell>
        </row>
        <row r="479">
          <cell r="A479" t="str">
            <v>NEYVELI TPS-II1</v>
          </cell>
          <cell r="B479" t="str">
            <v>NEYVELI TPS-II UNIT 1-3</v>
          </cell>
          <cell r="C479" t="str">
            <v xml:space="preserve"> 30-35 years</v>
          </cell>
          <cell r="D479">
            <v>32.339493497604302</v>
          </cell>
          <cell r="E479">
            <v>210</v>
          </cell>
          <cell r="F479">
            <v>13.37</v>
          </cell>
          <cell r="G479">
            <v>0.80047875562163884</v>
          </cell>
          <cell r="H479">
            <v>14.144642182409305</v>
          </cell>
          <cell r="I479">
            <v>4.0344129283330599</v>
          </cell>
        </row>
        <row r="480">
          <cell r="A480" t="str">
            <v>METTUR TPS2</v>
          </cell>
          <cell r="B480" t="str">
            <v>METTUR TPS</v>
          </cell>
          <cell r="C480" t="str">
            <v xml:space="preserve"> 30-35 years</v>
          </cell>
          <cell r="D480">
            <v>32.4243668720054</v>
          </cell>
          <cell r="E480">
            <v>210</v>
          </cell>
          <cell r="F480">
            <v>11.417755901062131</v>
          </cell>
          <cell r="G480">
            <v>0.70906287037947813</v>
          </cell>
          <cell r="H480">
            <v>14.149042103011633</v>
          </cell>
          <cell r="I480">
            <v>3.57367686671257</v>
          </cell>
        </row>
        <row r="481">
          <cell r="A481" t="str">
            <v>WANAKBORI TPS6</v>
          </cell>
          <cell r="B481" t="str">
            <v>WANAKBORI TPS UNIT 1-6</v>
          </cell>
          <cell r="C481" t="str">
            <v xml:space="preserve"> 30-35 years</v>
          </cell>
          <cell r="D481">
            <v>32.5065023956194</v>
          </cell>
          <cell r="E481">
            <v>210</v>
          </cell>
          <cell r="F481">
            <v>13.131697927147947</v>
          </cell>
          <cell r="G481">
            <v>0.58023470494777185</v>
          </cell>
          <cell r="H481">
            <v>14.153300090691307</v>
          </cell>
          <cell r="I481">
            <v>2.9243829129367702</v>
          </cell>
        </row>
        <row r="482">
          <cell r="A482" t="str">
            <v>VINDHYACHAL STPS1</v>
          </cell>
          <cell r="B482" t="str">
            <v>VINDHYACHAL STPS UNIT 1-6</v>
          </cell>
          <cell r="C482" t="str">
            <v xml:space="preserve"> 30-35 years</v>
          </cell>
          <cell r="D482">
            <v>32.591375770020498</v>
          </cell>
          <cell r="E482">
            <v>210</v>
          </cell>
          <cell r="F482">
            <v>13.831783033127248</v>
          </cell>
          <cell r="G482">
            <v>0.95348557374995435</v>
          </cell>
          <cell r="H482">
            <v>14.157700011293633</v>
          </cell>
          <cell r="I482">
            <v>4.80556729169977</v>
          </cell>
        </row>
        <row r="483">
          <cell r="A483" t="str">
            <v>NEYVELI TPS-II3</v>
          </cell>
          <cell r="B483" t="str">
            <v>NEYVELI TPS-II UNIT 1-3</v>
          </cell>
          <cell r="C483" t="str">
            <v xml:space="preserve"> 30-35 years</v>
          </cell>
          <cell r="D483">
            <v>33.177275838466798</v>
          </cell>
          <cell r="E483">
            <v>210</v>
          </cell>
          <cell r="F483">
            <v>13.37</v>
          </cell>
          <cell r="G483">
            <v>0.74941244887729563</v>
          </cell>
          <cell r="H483">
            <v>14.188073656741958</v>
          </cell>
          <cell r="I483">
            <v>3.7770387423415701</v>
          </cell>
        </row>
        <row r="484">
          <cell r="A484" t="str">
            <v>FARAKKA STPS3</v>
          </cell>
          <cell r="B484" t="str">
            <v>FARAKKA STPS UNIT 1-5</v>
          </cell>
          <cell r="C484" t="str">
            <v xml:space="preserve"> 30-35 years</v>
          </cell>
          <cell r="D484">
            <v>32.758384668035497</v>
          </cell>
          <cell r="E484">
            <v>200</v>
          </cell>
          <cell r="F484">
            <v>13.797597415656467</v>
          </cell>
          <cell r="G484">
            <v>0.76360324394094581</v>
          </cell>
          <cell r="H484">
            <v>14.189157919575628</v>
          </cell>
          <cell r="I484">
            <v>3.6652955709165398</v>
          </cell>
        </row>
        <row r="485">
          <cell r="A485" t="str">
            <v>ANPARA TPS2</v>
          </cell>
          <cell r="B485" t="str">
            <v>ANPARA - A</v>
          </cell>
          <cell r="C485" t="str">
            <v xml:space="preserve"> 30-35 years</v>
          </cell>
          <cell r="D485">
            <v>33.2539356605065</v>
          </cell>
          <cell r="E485">
            <v>210</v>
          </cell>
          <cell r="F485">
            <v>13.153682597016777</v>
          </cell>
          <cell r="G485">
            <v>0.77194518516136312</v>
          </cell>
          <cell r="H485">
            <v>14.192047778576319</v>
          </cell>
          <cell r="I485">
            <v>3.8906037332132701</v>
          </cell>
        </row>
        <row r="486">
          <cell r="A486" t="str">
            <v>NEYVELI TPS-II2</v>
          </cell>
          <cell r="B486" t="str">
            <v>NEYVELI TPS-II UNIT 1-3</v>
          </cell>
          <cell r="C486" t="str">
            <v xml:space="preserve"> 30-35 years</v>
          </cell>
          <cell r="D486">
            <v>33.2539356605065</v>
          </cell>
          <cell r="E486">
            <v>210</v>
          </cell>
          <cell r="F486">
            <v>13.37</v>
          </cell>
          <cell r="G486">
            <v>0.79994544577749405</v>
          </cell>
          <cell r="H486">
            <v>14.192047778576319</v>
          </cell>
          <cell r="I486">
            <v>4.0317250467185701</v>
          </cell>
        </row>
        <row r="487">
          <cell r="A487" t="str">
            <v>METTUR TPS1</v>
          </cell>
          <cell r="B487" t="str">
            <v>METTUR TPS</v>
          </cell>
          <cell r="C487" t="str">
            <v xml:space="preserve"> 30-35 years</v>
          </cell>
          <cell r="D487">
            <v>33.338809034907598</v>
          </cell>
          <cell r="E487">
            <v>210</v>
          </cell>
          <cell r="F487">
            <v>11.417755901062131</v>
          </cell>
          <cell r="G487">
            <v>0.62426471505670433</v>
          </cell>
          <cell r="H487">
            <v>14.196447699178645</v>
          </cell>
          <cell r="I487">
            <v>3.14629416388579</v>
          </cell>
        </row>
        <row r="488">
          <cell r="A488" t="str">
            <v>WANAKBORI TPS5</v>
          </cell>
          <cell r="B488" t="str">
            <v>WANAKBORI TPS UNIT 1-6</v>
          </cell>
          <cell r="C488" t="str">
            <v xml:space="preserve"> 30-35 years</v>
          </cell>
          <cell r="D488">
            <v>33.672826830937701</v>
          </cell>
          <cell r="E488">
            <v>210</v>
          </cell>
          <cell r="F488">
            <v>13.131697927147947</v>
          </cell>
          <cell r="G488">
            <v>0.57494562384340664</v>
          </cell>
          <cell r="H488">
            <v>14.213763515742642</v>
          </cell>
          <cell r="I488">
            <v>2.8977259441707699</v>
          </cell>
        </row>
        <row r="489">
          <cell r="A489" t="str">
            <v>FARAKKA STPS2</v>
          </cell>
          <cell r="B489" t="str">
            <v>FARAKKA STPS UNIT 1-5</v>
          </cell>
          <cell r="C489" t="str">
            <v xml:space="preserve"> 30-35 years</v>
          </cell>
          <cell r="D489">
            <v>33.423682409308597</v>
          </cell>
          <cell r="E489">
            <v>200</v>
          </cell>
          <cell r="F489">
            <v>13.797597415656467</v>
          </cell>
          <cell r="G489">
            <v>0.79441215106732288</v>
          </cell>
          <cell r="H489">
            <v>14.223647619780968</v>
          </cell>
          <cell r="I489">
            <v>3.8131783251231499</v>
          </cell>
        </row>
        <row r="490">
          <cell r="A490" t="str">
            <v>WANAKBORI TPS4</v>
          </cell>
          <cell r="B490" t="str">
            <v>WANAKBORI TPS UNIT 1-6</v>
          </cell>
          <cell r="C490" t="str">
            <v xml:space="preserve"> 30-35 years</v>
          </cell>
          <cell r="D490">
            <v>34.176591375770002</v>
          </cell>
          <cell r="E490">
            <v>210</v>
          </cell>
          <cell r="F490">
            <v>13.131697927147947</v>
          </cell>
          <cell r="G490">
            <v>0.59954476023301795</v>
          </cell>
          <cell r="H490">
            <v>14.239879173511293</v>
          </cell>
          <cell r="I490">
            <v>3.0217055915744102</v>
          </cell>
        </row>
        <row r="491">
          <cell r="A491" t="str">
            <v>ANPARA TPS1</v>
          </cell>
          <cell r="B491" t="str">
            <v>ANPARA - A</v>
          </cell>
          <cell r="C491" t="str">
            <v xml:space="preserve"> 30-35 years</v>
          </cell>
          <cell r="D491">
            <v>34.176591375770002</v>
          </cell>
          <cell r="E491">
            <v>210</v>
          </cell>
          <cell r="F491">
            <v>13.153682597016777</v>
          </cell>
          <cell r="G491">
            <v>0.80642386645137099</v>
          </cell>
          <cell r="H491">
            <v>14.239879173511293</v>
          </cell>
          <cell r="I491">
            <v>4.0643762869149098</v>
          </cell>
        </row>
        <row r="492">
          <cell r="A492" t="str">
            <v>RAICHUR TPS2</v>
          </cell>
          <cell r="B492" t="str">
            <v>RAICHUR TPS UNIT 1-7</v>
          </cell>
          <cell r="C492" t="str">
            <v xml:space="preserve"> 30-35 years</v>
          </cell>
          <cell r="D492">
            <v>34.176591375770002</v>
          </cell>
          <cell r="E492">
            <v>210</v>
          </cell>
          <cell r="F492">
            <v>14.215904215364839</v>
          </cell>
          <cell r="G492">
            <v>0.46448831713297423</v>
          </cell>
          <cell r="H492">
            <v>14.239879173511293</v>
          </cell>
          <cell r="I492">
            <v>2.3410211183501901</v>
          </cell>
        </row>
        <row r="493">
          <cell r="A493" t="str">
            <v>KORBA-WEST TPS4</v>
          </cell>
          <cell r="B493" t="str">
            <v>KORBA-WEST TPS UNIT 1-4</v>
          </cell>
          <cell r="C493" t="str">
            <v xml:space="preserve"> 30-35 years</v>
          </cell>
          <cell r="D493">
            <v>34.176591375770002</v>
          </cell>
          <cell r="E493">
            <v>210</v>
          </cell>
          <cell r="F493">
            <v>14.321103875042285</v>
          </cell>
          <cell r="G493">
            <v>0.75072582299738888</v>
          </cell>
          <cell r="H493">
            <v>14.239879173511293</v>
          </cell>
          <cell r="I493">
            <v>3.7836581479068401</v>
          </cell>
        </row>
        <row r="494">
          <cell r="A494" t="str">
            <v>CHANDRAPUR STPS4</v>
          </cell>
          <cell r="B494" t="str">
            <v>CHANDRAPUR UNITS 3-7</v>
          </cell>
          <cell r="C494" t="str">
            <v xml:space="preserve"> 30-35 years</v>
          </cell>
          <cell r="D494">
            <v>34.176591375770002</v>
          </cell>
          <cell r="E494">
            <v>210</v>
          </cell>
          <cell r="F494">
            <v>15.394986376032266</v>
          </cell>
          <cell r="G494">
            <v>0.45041746312705361</v>
          </cell>
          <cell r="H494">
            <v>14.239879173511293</v>
          </cell>
          <cell r="I494">
            <v>2.2701040141603501</v>
          </cell>
        </row>
        <row r="495">
          <cell r="A495" t="str">
            <v>KOLAGHAT TPS3</v>
          </cell>
          <cell r="B495" t="str">
            <v>KOLAGHAT TPS</v>
          </cell>
          <cell r="C495" t="str">
            <v xml:space="preserve"> 30-35 years</v>
          </cell>
          <cell r="D495">
            <v>34.4229979466119</v>
          </cell>
          <cell r="E495">
            <v>210</v>
          </cell>
          <cell r="F495">
            <v>17.739919094906128</v>
          </cell>
          <cell r="G495">
            <v>9.1184502474824999E-3</v>
          </cell>
          <cell r="H495">
            <v>14.252653136550308</v>
          </cell>
          <cell r="I495">
            <v>4.59569892473118E-2</v>
          </cell>
        </row>
        <row r="496">
          <cell r="A496" t="str">
            <v>TANDA STPS3</v>
          </cell>
          <cell r="B496" t="str">
            <v>TANDA STPS UNIT 1-4</v>
          </cell>
          <cell r="C496" t="str">
            <v xml:space="preserve"> 30-35 years</v>
          </cell>
          <cell r="D496">
            <v>30.176591375769998</v>
          </cell>
          <cell r="E496">
            <v>110</v>
          </cell>
          <cell r="F496">
            <v>14.116051998660719</v>
          </cell>
          <cell r="G496">
            <v>0.64605972136853029</v>
          </cell>
          <cell r="H496">
            <v>14.260515173511294</v>
          </cell>
          <cell r="I496">
            <v>1.70559766441292</v>
          </cell>
        </row>
        <row r="497">
          <cell r="A497" t="str">
            <v>FARAKKA STPS1</v>
          </cell>
          <cell r="B497" t="str">
            <v>FARAKKA STPS UNIT 1-5</v>
          </cell>
          <cell r="C497" t="str">
            <v xml:space="preserve"> 30-35 years</v>
          </cell>
          <cell r="D497">
            <v>34.338124572210802</v>
          </cell>
          <cell r="E497">
            <v>200</v>
          </cell>
          <cell r="F497">
            <v>13.797597415656467</v>
          </cell>
          <cell r="G497">
            <v>0.7796218505926521</v>
          </cell>
          <cell r="H497">
            <v>14.271053215947981</v>
          </cell>
          <cell r="I497">
            <v>3.7421848828447302</v>
          </cell>
        </row>
        <row r="498">
          <cell r="A498" t="str">
            <v>CHANDRAPUR STPS3</v>
          </cell>
          <cell r="B498" t="str">
            <v>CHANDRAPUR UNITS 3-7</v>
          </cell>
          <cell r="C498" t="str">
            <v xml:space="preserve"> 30-35 years</v>
          </cell>
          <cell r="D498">
            <v>35.008898015058101</v>
          </cell>
          <cell r="E498">
            <v>210</v>
          </cell>
          <cell r="F498">
            <v>15.394986376032266</v>
          </cell>
          <cell r="G498">
            <v>0.40668558501500002</v>
          </cell>
          <cell r="H498">
            <v>14.283026781998627</v>
          </cell>
          <cell r="I498">
            <v>2.0496953484756002</v>
          </cell>
        </row>
        <row r="499">
          <cell r="A499" t="str">
            <v>ROPAR TPS2</v>
          </cell>
          <cell r="B499" t="str">
            <v>ROPAR TPS</v>
          </cell>
          <cell r="C499" t="str">
            <v xml:space="preserve"> 30-35 years</v>
          </cell>
          <cell r="D499">
            <v>35.175906913073199</v>
          </cell>
          <cell r="E499">
            <v>210</v>
          </cell>
          <cell r="F499">
            <v>14.184873556738339</v>
          </cell>
          <cell r="G499">
            <v>3.9394895219654169E-2</v>
          </cell>
          <cell r="H499">
            <v>14.291684690280629</v>
          </cell>
          <cell r="I499">
            <v>0.19855027190705701</v>
          </cell>
        </row>
        <row r="500">
          <cell r="A500" t="str">
            <v>RAICHUR TPS1</v>
          </cell>
          <cell r="B500" t="str">
            <v>RAICHUR TPS UNIT 1-7</v>
          </cell>
          <cell r="C500" t="str">
            <v xml:space="preserve"> 35-40 years</v>
          </cell>
          <cell r="D500">
            <v>35.175906913073199</v>
          </cell>
          <cell r="E500">
            <v>210</v>
          </cell>
          <cell r="F500">
            <v>14.215904215364839</v>
          </cell>
          <cell r="G500">
            <v>0.44318800125015279</v>
          </cell>
          <cell r="H500">
            <v>14.291684690280629</v>
          </cell>
          <cell r="I500">
            <v>2.2336675263007701</v>
          </cell>
        </row>
        <row r="501">
          <cell r="A501" t="str">
            <v>KORBA-WEST TPS3</v>
          </cell>
          <cell r="B501" t="str">
            <v>KORBA-WEST TPS UNIT 1-4</v>
          </cell>
          <cell r="C501" t="str">
            <v xml:space="preserve"> 35-40 years</v>
          </cell>
          <cell r="D501">
            <v>35.175906913073199</v>
          </cell>
          <cell r="E501">
            <v>210</v>
          </cell>
          <cell r="F501">
            <v>14.321103875042285</v>
          </cell>
          <cell r="G501">
            <v>0.65048571917713294</v>
          </cell>
          <cell r="H501">
            <v>14.291684690280629</v>
          </cell>
          <cell r="I501">
            <v>3.2784480246527501</v>
          </cell>
        </row>
        <row r="502">
          <cell r="A502" t="str">
            <v>KUTCH LIG. TPS2</v>
          </cell>
          <cell r="B502" t="str">
            <v>KUTCH LIG. TPS UNIT 1-3</v>
          </cell>
          <cell r="C502" t="str">
            <v xml:space="preserve"> 25-30 years</v>
          </cell>
          <cell r="D502">
            <v>29.177275838466802</v>
          </cell>
          <cell r="E502">
            <v>70</v>
          </cell>
          <cell r="F502">
            <v>14.26</v>
          </cell>
          <cell r="G502">
            <v>0.3831635746067053</v>
          </cell>
          <cell r="H502">
            <v>14.299909656741958</v>
          </cell>
          <cell r="I502">
            <v>0.64371480533926495</v>
          </cell>
        </row>
        <row r="503">
          <cell r="A503" t="str">
            <v>UKAI TPS5</v>
          </cell>
          <cell r="B503" t="str">
            <v>UKAI TPS UNIT 1-5</v>
          </cell>
          <cell r="C503" t="str">
            <v xml:space="preserve"> 35-40 years</v>
          </cell>
          <cell r="D503">
            <v>35.337440109513999</v>
          </cell>
          <cell r="E503">
            <v>210</v>
          </cell>
          <cell r="F503">
            <v>12.782661442187354</v>
          </cell>
          <cell r="G503">
            <v>0.67448588996999004</v>
          </cell>
          <cell r="H503">
            <v>14.300058732717316</v>
          </cell>
          <cell r="I503">
            <v>3.3994088854487501</v>
          </cell>
        </row>
        <row r="504">
          <cell r="A504" t="str">
            <v>SOUTHERN REPL. TPS1</v>
          </cell>
          <cell r="B504" t="str">
            <v>SOUTHERN REPL. TPS</v>
          </cell>
          <cell r="C504" t="str">
            <v xml:space="preserve"> 25-30 years</v>
          </cell>
          <cell r="D504">
            <v>29.0924024640657</v>
          </cell>
          <cell r="E504">
            <v>68</v>
          </cell>
          <cell r="F504">
            <v>14.144144273881587</v>
          </cell>
          <cell r="G504">
            <v>0.21922284573203862</v>
          </cell>
          <cell r="H504">
            <v>14.30006973613963</v>
          </cell>
          <cell r="I504">
            <v>0.35777168423468703</v>
          </cell>
        </row>
        <row r="505">
          <cell r="A505" t="str">
            <v>TANDA STPS2</v>
          </cell>
          <cell r="B505" t="str">
            <v>TANDA STPS UNIT 1-4</v>
          </cell>
          <cell r="C505" t="str">
            <v xml:space="preserve"> 30-35 years</v>
          </cell>
          <cell r="D505">
            <v>31.175906913073199</v>
          </cell>
          <cell r="E505">
            <v>110</v>
          </cell>
          <cell r="F505">
            <v>14.116051998660719</v>
          </cell>
          <cell r="G505">
            <v>0.66276602216243563</v>
          </cell>
          <cell r="H505">
            <v>14.312320690280629</v>
          </cell>
          <cell r="I505">
            <v>1.74970229850883</v>
          </cell>
        </row>
        <row r="506">
          <cell r="A506" t="str">
            <v>SABARMATI (D-F STATIONS) TPP3</v>
          </cell>
          <cell r="B506" t="str">
            <v>SABARMATI (D-F STATIONS) TPP</v>
          </cell>
          <cell r="C506" t="str">
            <v xml:space="preserve"> 30-35 years</v>
          </cell>
          <cell r="D506">
            <v>31.671457905544099</v>
          </cell>
          <cell r="E506">
            <v>121</v>
          </cell>
          <cell r="F506">
            <v>11.055105494192892</v>
          </cell>
          <cell r="G506">
            <v>0.8162952483112742</v>
          </cell>
          <cell r="H506">
            <v>14.312930549281312</v>
          </cell>
          <cell r="I506">
            <v>2.3705214010959401</v>
          </cell>
        </row>
        <row r="507">
          <cell r="A507" t="str">
            <v>ROPAR TPS1</v>
          </cell>
          <cell r="B507" t="str">
            <v>ROPAR TPS</v>
          </cell>
          <cell r="C507" t="str">
            <v xml:space="preserve"> 30-35 years</v>
          </cell>
          <cell r="D507">
            <v>35.671457905544102</v>
          </cell>
          <cell r="E507">
            <v>210</v>
          </cell>
          <cell r="F507">
            <v>14.184873556738339</v>
          </cell>
          <cell r="G507">
            <v>6.846838197644642E-3</v>
          </cell>
          <cell r="H507">
            <v>14.317374549281313</v>
          </cell>
          <cell r="I507">
            <v>3.4508064516128999E-2</v>
          </cell>
        </row>
        <row r="508">
          <cell r="A508" t="str">
            <v>RAMAGUNDEM STPS3</v>
          </cell>
          <cell r="B508" t="str">
            <v>RAMAGUNDEM STPS UNIT 1-6</v>
          </cell>
          <cell r="C508" t="str">
            <v xml:space="preserve"> 35-40 years</v>
          </cell>
          <cell r="D508">
            <v>35.422313483915097</v>
          </cell>
          <cell r="E508">
            <v>200</v>
          </cell>
          <cell r="F508">
            <v>12.774416458333066</v>
          </cell>
          <cell r="G508">
            <v>0.84845782397036662</v>
          </cell>
          <cell r="H508">
            <v>14.327258653319642</v>
          </cell>
          <cell r="I508">
            <v>4.0725975550577598</v>
          </cell>
        </row>
        <row r="509">
          <cell r="A509" t="str">
            <v>SOUTHERN REPL. TPS2</v>
          </cell>
          <cell r="B509" t="str">
            <v>SOUTHERN REPL. TPS</v>
          </cell>
          <cell r="C509" t="str">
            <v xml:space="preserve"> 25-30 years</v>
          </cell>
          <cell r="D509">
            <v>29.7577002053388</v>
          </cell>
          <cell r="E509">
            <v>68</v>
          </cell>
          <cell r="F509">
            <v>14.144144273881587</v>
          </cell>
          <cell r="G509">
            <v>0.30482020735082416</v>
          </cell>
          <cell r="H509">
            <v>14.33455943634497</v>
          </cell>
          <cell r="I509">
            <v>0.49746657839654501</v>
          </cell>
        </row>
        <row r="510">
          <cell r="A510" t="str">
            <v>WANAKBORI TPS3</v>
          </cell>
          <cell r="B510" t="str">
            <v>WANAKBORI TPS UNIT 1-6</v>
          </cell>
          <cell r="C510" t="str">
            <v xml:space="preserve"> 35-40 years</v>
          </cell>
          <cell r="D510">
            <v>36.175222450376403</v>
          </cell>
          <cell r="E510">
            <v>210</v>
          </cell>
          <cell r="F510">
            <v>13.131697927147947</v>
          </cell>
          <cell r="G510">
            <v>0.68362853552199798</v>
          </cell>
          <cell r="H510">
            <v>14.343490207049964</v>
          </cell>
          <cell r="I510">
            <v>3.4454878190308702</v>
          </cell>
        </row>
        <row r="511">
          <cell r="A511" t="str">
            <v>KORBA-WEST TPS2</v>
          </cell>
          <cell r="B511" t="str">
            <v>KORBA-WEST TPS UNIT 1-4</v>
          </cell>
          <cell r="C511" t="str">
            <v xml:space="preserve"> 35-40 years</v>
          </cell>
          <cell r="D511">
            <v>36.175222450376403</v>
          </cell>
          <cell r="E511">
            <v>210</v>
          </cell>
          <cell r="F511">
            <v>14.321103875042285</v>
          </cell>
          <cell r="G511">
            <v>0.73033587879715878</v>
          </cell>
          <cell r="H511">
            <v>14.343490207049964</v>
          </cell>
          <cell r="I511">
            <v>3.6808928291376799</v>
          </cell>
        </row>
        <row r="512">
          <cell r="A512" t="str">
            <v>SATPURA TPS9</v>
          </cell>
          <cell r="B512" t="str">
            <v>SATPURA TPS UNIT 6-9</v>
          </cell>
          <cell r="C512" t="str">
            <v xml:space="preserve"> 35-40 years</v>
          </cell>
          <cell r="D512">
            <v>36.254620123203203</v>
          </cell>
          <cell r="E512">
            <v>210</v>
          </cell>
          <cell r="F512">
            <v>15.028446018017778</v>
          </cell>
          <cell r="G512">
            <v>0.30703743668603967</v>
          </cell>
          <cell r="H512">
            <v>14.347606261806977</v>
          </cell>
          <cell r="I512">
            <v>1.5474686808976399</v>
          </cell>
        </row>
        <row r="513">
          <cell r="A513" t="str">
            <v>KUTCH LIG. TPS1</v>
          </cell>
          <cell r="B513" t="str">
            <v>KUTCH LIG. TPS UNIT 1-3</v>
          </cell>
          <cell r="C513" t="str">
            <v xml:space="preserve"> 30-35 years</v>
          </cell>
          <cell r="D513">
            <v>30.176591375769998</v>
          </cell>
          <cell r="E513">
            <v>70</v>
          </cell>
          <cell r="F513">
            <v>14.26</v>
          </cell>
          <cell r="G513">
            <v>0.36090649216137438</v>
          </cell>
          <cell r="H513">
            <v>14.351715173511293</v>
          </cell>
          <cell r="I513">
            <v>0.60632290683110901</v>
          </cell>
        </row>
        <row r="514">
          <cell r="A514" t="str">
            <v>KOLAGHAT TPS4</v>
          </cell>
          <cell r="B514" t="str">
            <v>KOLAGHAT TPS</v>
          </cell>
          <cell r="C514" t="str">
            <v xml:space="preserve"> 35-40 years</v>
          </cell>
          <cell r="D514">
            <v>36.339493497604302</v>
          </cell>
          <cell r="E514">
            <v>210</v>
          </cell>
          <cell r="F514">
            <v>17.739919094906128</v>
          </cell>
          <cell r="G514">
            <v>0.48277161562313692</v>
          </cell>
          <cell r="H514">
            <v>14.352006182409305</v>
          </cell>
          <cell r="I514">
            <v>2.4331689427406098</v>
          </cell>
        </row>
        <row r="515">
          <cell r="A515" t="str">
            <v>RAMAGUNDEM STPS2</v>
          </cell>
          <cell r="B515" t="str">
            <v>RAMAGUNDEM STPS UNIT 1-6</v>
          </cell>
          <cell r="C515" t="str">
            <v xml:space="preserve"> 35-40 years</v>
          </cell>
          <cell r="D515">
            <v>36.008213552361397</v>
          </cell>
          <cell r="E515">
            <v>200</v>
          </cell>
          <cell r="F515">
            <v>12.774416458333066</v>
          </cell>
          <cell r="G515">
            <v>0.81461014012126876</v>
          </cell>
          <cell r="H515">
            <v>14.357632298767967</v>
          </cell>
          <cell r="I515">
            <v>3.9101286725820898</v>
          </cell>
        </row>
        <row r="516">
          <cell r="A516" t="str">
            <v>KORBA-WEST TPS1</v>
          </cell>
          <cell r="B516" t="str">
            <v>KORBA-WEST TPS UNIT 1-4</v>
          </cell>
          <cell r="C516" t="str">
            <v xml:space="preserve"> 35-40 years</v>
          </cell>
          <cell r="D516">
            <v>36.925393566050602</v>
          </cell>
          <cell r="E516">
            <v>220</v>
          </cell>
          <cell r="F516">
            <v>14.321103875042285</v>
          </cell>
          <cell r="G516">
            <v>0.67572815020871779</v>
          </cell>
          <cell r="H516">
            <v>14.35957982785763</v>
          </cell>
          <cell r="I516">
            <v>3.5678446331020299</v>
          </cell>
        </row>
        <row r="517">
          <cell r="A517" t="str">
            <v>TANDA STPS1</v>
          </cell>
          <cell r="B517" t="str">
            <v>TANDA STPS UNIT 1-4</v>
          </cell>
          <cell r="C517" t="str">
            <v xml:space="preserve"> 30-35 years</v>
          </cell>
          <cell r="D517">
            <v>32.175222450376403</v>
          </cell>
          <cell r="E517">
            <v>110</v>
          </cell>
          <cell r="F517">
            <v>14.116051998660719</v>
          </cell>
          <cell r="G517">
            <v>0.6716125514373561</v>
          </cell>
          <cell r="H517">
            <v>14.364126207049964</v>
          </cell>
          <cell r="I517">
            <v>1.7730571357946201</v>
          </cell>
        </row>
        <row r="518">
          <cell r="A518" t="str">
            <v>KORBA STPS3</v>
          </cell>
          <cell r="B518" t="str">
            <v>KORBA STPS UNIT 1-6</v>
          </cell>
          <cell r="C518" t="str">
            <v xml:space="preserve"> 35-40 years</v>
          </cell>
          <cell r="D518">
            <v>36.175222450376403</v>
          </cell>
          <cell r="E518">
            <v>200</v>
          </cell>
          <cell r="F518">
            <v>13.756578546042785</v>
          </cell>
          <cell r="G518">
            <v>0.91811892708630427</v>
          </cell>
          <cell r="H518">
            <v>14.366290207049964</v>
          </cell>
          <cell r="I518">
            <v>4.4069708500142601</v>
          </cell>
        </row>
        <row r="519">
          <cell r="A519" t="str">
            <v>SINGRAULI STPS5</v>
          </cell>
          <cell r="B519" t="str">
            <v>SINGRAULI STPS</v>
          </cell>
          <cell r="C519" t="str">
            <v xml:space="preserve"> 35-40 years</v>
          </cell>
          <cell r="D519">
            <v>36.254620123203203</v>
          </cell>
          <cell r="E519">
            <v>200</v>
          </cell>
          <cell r="F519">
            <v>13.183686537156232</v>
          </cell>
          <cell r="G519">
            <v>0.79294628989588534</v>
          </cell>
          <cell r="H519">
            <v>14.370406261806977</v>
          </cell>
          <cell r="I519">
            <v>3.8061421915002498</v>
          </cell>
        </row>
        <row r="520">
          <cell r="A520" t="str">
            <v>SINGRAULI STPS4</v>
          </cell>
          <cell r="B520" t="str">
            <v>SINGRAULI STPS</v>
          </cell>
          <cell r="C520" t="str">
            <v xml:space="preserve"> 35-40 years</v>
          </cell>
          <cell r="D520">
            <v>36.5065023956194</v>
          </cell>
          <cell r="E520">
            <v>200</v>
          </cell>
          <cell r="F520">
            <v>13.183686537156232</v>
          </cell>
          <cell r="G520">
            <v>0.86040622976881875</v>
          </cell>
          <cell r="H520">
            <v>14.383464090691305</v>
          </cell>
          <cell r="I520">
            <v>4.1299499028903304</v>
          </cell>
        </row>
        <row r="521">
          <cell r="A521" t="str">
            <v>RAMAGUNDEM STPS1</v>
          </cell>
          <cell r="B521" t="str">
            <v>RAMAGUNDEM STPS UNIT 1-6</v>
          </cell>
          <cell r="C521" t="str">
            <v xml:space="preserve"> 35-40 years</v>
          </cell>
          <cell r="D521">
            <v>36.591375770020498</v>
          </cell>
          <cell r="E521">
            <v>200</v>
          </cell>
          <cell r="F521">
            <v>12.774416458333066</v>
          </cell>
          <cell r="G521">
            <v>0.77016604262672705</v>
          </cell>
          <cell r="H521">
            <v>14.387864011293633</v>
          </cell>
          <cell r="I521">
            <v>3.6967970046082899</v>
          </cell>
        </row>
        <row r="522">
          <cell r="A522" t="str">
            <v>KORBA STPS2</v>
          </cell>
          <cell r="B522" t="str">
            <v>KORBA STPS UNIT 1-6</v>
          </cell>
          <cell r="C522" t="str">
            <v xml:space="preserve"> 35-40 years</v>
          </cell>
          <cell r="D522">
            <v>36.591375770020498</v>
          </cell>
          <cell r="E522">
            <v>200</v>
          </cell>
          <cell r="F522">
            <v>13.756578546042785</v>
          </cell>
          <cell r="G522">
            <v>0.85662028484765418</v>
          </cell>
          <cell r="H522">
            <v>14.387864011293633</v>
          </cell>
          <cell r="I522">
            <v>4.1117773672687399</v>
          </cell>
        </row>
        <row r="523">
          <cell r="A523" t="str">
            <v>DURGAPUR TPS4</v>
          </cell>
          <cell r="B523" t="str">
            <v>DURGAPUR TPS</v>
          </cell>
          <cell r="C523" t="str">
            <v xml:space="preserve"> 35-40 years</v>
          </cell>
          <cell r="D523">
            <v>37.672826830937701</v>
          </cell>
          <cell r="E523">
            <v>220</v>
          </cell>
          <cell r="F523">
            <v>15.85182007187392</v>
          </cell>
          <cell r="G523">
            <v>0.41161877742411557</v>
          </cell>
          <cell r="H523">
            <v>14.398327515742642</v>
          </cell>
          <cell r="I523">
            <v>2.17334714479933</v>
          </cell>
        </row>
        <row r="524">
          <cell r="A524" t="str">
            <v>WANAKBORI TPS2</v>
          </cell>
          <cell r="B524" t="str">
            <v>WANAKBORI TPS UNIT 1-6</v>
          </cell>
          <cell r="C524" t="str">
            <v xml:space="preserve"> 35-40 years</v>
          </cell>
          <cell r="D524">
            <v>37.338809034907598</v>
          </cell>
          <cell r="E524">
            <v>210</v>
          </cell>
          <cell r="F524">
            <v>13.131697927147947</v>
          </cell>
          <cell r="G524">
            <v>0.44170254059478176</v>
          </cell>
          <cell r="H524">
            <v>14.403811699178645</v>
          </cell>
          <cell r="I524">
            <v>2.2261808045976998</v>
          </cell>
        </row>
        <row r="525">
          <cell r="A525" t="str">
            <v>SATPURA TPS8</v>
          </cell>
          <cell r="B525" t="str">
            <v>SATPURA TPS UNIT 6-9</v>
          </cell>
          <cell r="C525" t="str">
            <v xml:space="preserve"> 35-40 years</v>
          </cell>
          <cell r="D525">
            <v>37.338809034907598</v>
          </cell>
          <cell r="E525">
            <v>210</v>
          </cell>
          <cell r="F525">
            <v>15.028446018017778</v>
          </cell>
          <cell r="G525">
            <v>0.49660779256703175</v>
          </cell>
          <cell r="H525">
            <v>14.403811699178645</v>
          </cell>
          <cell r="I525">
            <v>2.5029032745378399</v>
          </cell>
        </row>
        <row r="526">
          <cell r="A526" t="str">
            <v>KORADI TPS7</v>
          </cell>
          <cell r="B526" t="str">
            <v>KORADI TPS UNIT 5-7</v>
          </cell>
          <cell r="C526" t="str">
            <v xml:space="preserve"> 35-40 years</v>
          </cell>
          <cell r="D526">
            <v>37.338809034907598</v>
          </cell>
          <cell r="E526">
            <v>210</v>
          </cell>
          <cell r="F526">
            <v>15.800214809817858</v>
          </cell>
          <cell r="G526">
            <v>9.3381250576281938E-2</v>
          </cell>
          <cell r="H526">
            <v>14.403811699178645</v>
          </cell>
          <cell r="I526">
            <v>0.470641502904461</v>
          </cell>
        </row>
        <row r="527">
          <cell r="A527" t="str">
            <v>BANDEL TPS5</v>
          </cell>
          <cell r="B527" t="str">
            <v>BANDEL TPS</v>
          </cell>
          <cell r="C527" t="str">
            <v xml:space="preserve"> 35-40 years</v>
          </cell>
          <cell r="D527">
            <v>37.590691307323702</v>
          </cell>
          <cell r="E527">
            <v>210</v>
          </cell>
          <cell r="F527">
            <v>17.847184962879297</v>
          </cell>
          <cell r="G527">
            <v>0.48294712711640875</v>
          </cell>
          <cell r="H527">
            <v>14.416869528062968</v>
          </cell>
          <cell r="I527">
            <v>2.4340535206667</v>
          </cell>
        </row>
        <row r="528">
          <cell r="A528" t="str">
            <v>SINGRAULI STPS3</v>
          </cell>
          <cell r="B528" t="str">
            <v>SINGRAULI STPS</v>
          </cell>
          <cell r="C528" t="str">
            <v xml:space="preserve"> 35-40 years</v>
          </cell>
          <cell r="D528">
            <v>37.177275838466798</v>
          </cell>
          <cell r="E528">
            <v>200</v>
          </cell>
          <cell r="F528">
            <v>13.183686537156232</v>
          </cell>
          <cell r="G528">
            <v>0.82384066566467085</v>
          </cell>
          <cell r="H528">
            <v>14.418237656741958</v>
          </cell>
          <cell r="I528">
            <v>3.95443519519042</v>
          </cell>
        </row>
        <row r="529">
          <cell r="A529" t="str">
            <v>BHUSAWAL TPS3</v>
          </cell>
          <cell r="B529" t="str">
            <v>BHUSAWAL TPS UNIT 2-3</v>
          </cell>
          <cell r="C529" t="str">
            <v xml:space="preserve"> 35-40 years</v>
          </cell>
          <cell r="D529">
            <v>37.672826830937701</v>
          </cell>
          <cell r="E529">
            <v>210</v>
          </cell>
          <cell r="F529">
            <v>15.59174785666904</v>
          </cell>
          <cell r="G529">
            <v>0.11945986358124167</v>
          </cell>
          <cell r="H529">
            <v>14.421127515742642</v>
          </cell>
          <cell r="I529">
            <v>0.60207771244945796</v>
          </cell>
        </row>
        <row r="530">
          <cell r="A530" t="str">
            <v>KORBA STPS1</v>
          </cell>
          <cell r="B530" t="str">
            <v>KORBA STPS UNIT 1-6</v>
          </cell>
          <cell r="C530" t="str">
            <v xml:space="preserve"> 35-40 years</v>
          </cell>
          <cell r="D530">
            <v>37.2539356605065</v>
          </cell>
          <cell r="E530">
            <v>200</v>
          </cell>
          <cell r="F530">
            <v>13.756578546042785</v>
          </cell>
          <cell r="G530">
            <v>0.87778879089640816</v>
          </cell>
          <cell r="H530">
            <v>14.422211778576319</v>
          </cell>
          <cell r="I530">
            <v>4.2133861963027597</v>
          </cell>
        </row>
        <row r="531">
          <cell r="A531" t="str">
            <v>D.P.L. TPS6</v>
          </cell>
          <cell r="C531" t="str">
            <v xml:space="preserve"> 30-35 years</v>
          </cell>
          <cell r="D531">
            <v>33.338809034907598</v>
          </cell>
          <cell r="E531">
            <v>110</v>
          </cell>
          <cell r="F531">
            <v>13.940261619398255</v>
          </cell>
          <cell r="G531">
            <v>1.1973180076628332E-3</v>
          </cell>
          <cell r="H531">
            <v>14.424447699178646</v>
          </cell>
          <cell r="I531">
            <v>3.1609195402298798E-3</v>
          </cell>
        </row>
        <row r="532">
          <cell r="A532" t="str">
            <v>SINGRAULI STPS2</v>
          </cell>
          <cell r="B532" t="str">
            <v>SINGRAULI STPS</v>
          </cell>
          <cell r="C532" t="str">
            <v xml:space="preserve"> 35-40 years</v>
          </cell>
          <cell r="D532">
            <v>37.505817932922596</v>
          </cell>
          <cell r="E532">
            <v>200</v>
          </cell>
          <cell r="F532">
            <v>13.183686537156232</v>
          </cell>
          <cell r="G532">
            <v>0.86465607380481457</v>
          </cell>
          <cell r="H532">
            <v>14.43526960746064</v>
          </cell>
          <cell r="I532">
            <v>4.1503491542631101</v>
          </cell>
        </row>
        <row r="533">
          <cell r="A533" t="str">
            <v>TUTICORIN TPS3</v>
          </cell>
          <cell r="B533" t="str">
            <v>TUTICORIN TPS</v>
          </cell>
          <cell r="C533" t="str">
            <v xml:space="preserve"> 35-40 years</v>
          </cell>
          <cell r="D533">
            <v>38.050650239561897</v>
          </cell>
          <cell r="E533">
            <v>210</v>
          </cell>
          <cell r="F533">
            <v>15.43771434450896</v>
          </cell>
          <cell r="G533">
            <v>0.640268778843881</v>
          </cell>
          <cell r="H533">
            <v>14.440714259069129</v>
          </cell>
          <cell r="I533">
            <v>3.2269546453731599</v>
          </cell>
        </row>
        <row r="534">
          <cell r="A534" t="str">
            <v>WANAKBORI TPS1</v>
          </cell>
          <cell r="B534" t="str">
            <v>WANAKBORI TPS UNIT 1-6</v>
          </cell>
          <cell r="C534" t="str">
            <v xml:space="preserve"> 35-40 years</v>
          </cell>
          <cell r="D534">
            <v>38.176591375770002</v>
          </cell>
          <cell r="E534">
            <v>210</v>
          </cell>
          <cell r="F534">
            <v>13.131697927147947</v>
          </cell>
          <cell r="G534">
            <v>0.42043437099842862</v>
          </cell>
          <cell r="H534">
            <v>14.447243173511293</v>
          </cell>
          <cell r="I534">
            <v>2.11898922983208</v>
          </cell>
        </row>
        <row r="535">
          <cell r="A535" t="str">
            <v>KORADI TPS6</v>
          </cell>
          <cell r="B535" t="str">
            <v>KORADI TPS UNIT 5-7</v>
          </cell>
          <cell r="C535" t="str">
            <v xml:space="preserve"> 35-40 years</v>
          </cell>
          <cell r="D535">
            <v>38.176591375770002</v>
          </cell>
          <cell r="E535">
            <v>210</v>
          </cell>
          <cell r="F535">
            <v>15.800214809817858</v>
          </cell>
          <cell r="G535">
            <v>0.15539424999390436</v>
          </cell>
          <cell r="H535">
            <v>14.447243173511293</v>
          </cell>
          <cell r="I535">
            <v>0.78318701996927798</v>
          </cell>
        </row>
        <row r="536">
          <cell r="A536" t="str">
            <v>OBRA TPS13</v>
          </cell>
          <cell r="B536" t="str">
            <v>OBRA TPS UNIT 9-13</v>
          </cell>
          <cell r="C536" t="str">
            <v xml:space="preserve"> 35-40 years</v>
          </cell>
          <cell r="D536">
            <v>37.842573579739899</v>
          </cell>
          <cell r="E536">
            <v>200</v>
          </cell>
          <cell r="F536">
            <v>14.67584658947858</v>
          </cell>
          <cell r="G536">
            <v>8.1806233606613543E-2</v>
          </cell>
          <cell r="H536">
            <v>14.452727356947296</v>
          </cell>
          <cell r="I536">
            <v>0.392669921311745</v>
          </cell>
        </row>
        <row r="537">
          <cell r="A537" t="str">
            <v>BADARPUR TPS5</v>
          </cell>
          <cell r="B537" t="str">
            <v>BADARPUR TPS</v>
          </cell>
          <cell r="C537" t="str">
            <v xml:space="preserve"> 35-40 years</v>
          </cell>
          <cell r="D537">
            <v>38.4229979466119</v>
          </cell>
          <cell r="E537">
            <v>210</v>
          </cell>
          <cell r="F537">
            <v>14.905561076719914</v>
          </cell>
          <cell r="G537">
            <v>0.42531668049743648</v>
          </cell>
          <cell r="H537">
            <v>14.460017136550308</v>
          </cell>
          <cell r="I537">
            <v>2.1435960697070802</v>
          </cell>
        </row>
        <row r="538">
          <cell r="A538" t="str">
            <v>SINGRAULI STPS1</v>
          </cell>
          <cell r="B538" t="str">
            <v>SINGRAULI STPS</v>
          </cell>
          <cell r="C538" t="str">
            <v xml:space="preserve"> 35-40 years</v>
          </cell>
          <cell r="D538">
            <v>38.253251197809703</v>
          </cell>
          <cell r="E538">
            <v>200</v>
          </cell>
          <cell r="F538">
            <v>13.183686537156232</v>
          </cell>
          <cell r="G538">
            <v>0.81691760300245408</v>
          </cell>
          <cell r="H538">
            <v>14.474017295345654</v>
          </cell>
          <cell r="I538">
            <v>3.9212044944117799</v>
          </cell>
        </row>
        <row r="539">
          <cell r="A539" t="str">
            <v>SABARMATI (D-F STATIONS) TPP2</v>
          </cell>
          <cell r="B539" t="str">
            <v>SABARMATI (D-F STATIONS) TPP</v>
          </cell>
          <cell r="C539" t="str">
            <v xml:space="preserve"> 35-40 years</v>
          </cell>
          <cell r="D539">
            <v>35.422313483915097</v>
          </cell>
          <cell r="E539">
            <v>121</v>
          </cell>
          <cell r="F539">
            <v>11.055105494192892</v>
          </cell>
          <cell r="G539">
            <v>0.81509637566288906</v>
          </cell>
          <cell r="H539">
            <v>14.507378653319643</v>
          </cell>
          <cell r="I539">
            <v>2.3670398749250299</v>
          </cell>
        </row>
        <row r="540">
          <cell r="A540" t="str">
            <v>NASIK TPS5</v>
          </cell>
          <cell r="B540" t="str">
            <v>NASIK TPS</v>
          </cell>
          <cell r="C540" t="str">
            <v xml:space="preserve"> 35-40 years</v>
          </cell>
          <cell r="D540">
            <v>39.337440109513999</v>
          </cell>
          <cell r="E540">
            <v>210</v>
          </cell>
          <cell r="F540">
            <v>16.654488400042133</v>
          </cell>
          <cell r="G540">
            <v>0.35670371042313292</v>
          </cell>
          <cell r="H540">
            <v>14.507422732717316</v>
          </cell>
          <cell r="I540">
            <v>1.79778670053259</v>
          </cell>
        </row>
        <row r="541">
          <cell r="A541" t="str">
            <v>TUTICORIN TPS2</v>
          </cell>
          <cell r="B541" t="str">
            <v>TUTICORIN TPS</v>
          </cell>
          <cell r="C541" t="str">
            <v xml:space="preserve"> 35-40 years</v>
          </cell>
          <cell r="D541">
            <v>39.378507871320998</v>
          </cell>
          <cell r="E541">
            <v>210</v>
          </cell>
          <cell r="F541">
            <v>15.43771434450896</v>
          </cell>
          <cell r="G541">
            <v>0.64104929394860322</v>
          </cell>
          <cell r="H541">
            <v>14.509551726557152</v>
          </cell>
          <cell r="I541">
            <v>3.23088844150096</v>
          </cell>
        </row>
        <row r="542">
          <cell r="A542" t="str">
            <v>DR. N TATA RAO TPS2</v>
          </cell>
          <cell r="B542" t="str">
            <v>DR. N TATA RAO TPS UNIT 1-6</v>
          </cell>
          <cell r="C542" t="str">
            <v xml:space="preserve"> 35-40 years</v>
          </cell>
          <cell r="D542">
            <v>39.564681724845997</v>
          </cell>
          <cell r="E542">
            <v>210</v>
          </cell>
          <cell r="F542">
            <v>16.558287873098308</v>
          </cell>
          <cell r="G542">
            <v>0.62997986127163697</v>
          </cell>
          <cell r="H542">
            <v>14.519203165297743</v>
          </cell>
          <cell r="I542">
            <v>3.17509850080905</v>
          </cell>
        </row>
        <row r="543">
          <cell r="A543" t="str">
            <v>OBRA TPS12</v>
          </cell>
          <cell r="B543" t="str">
            <v>OBRA TPS UNIT 9-13</v>
          </cell>
          <cell r="C543" t="str">
            <v xml:space="preserve"> 35-40 years</v>
          </cell>
          <cell r="D543">
            <v>39.175906913073199</v>
          </cell>
          <cell r="E543">
            <v>200</v>
          </cell>
          <cell r="F543">
            <v>14.67584658947858</v>
          </cell>
          <cell r="G543">
            <v>8.8074583899806248E-3</v>
          </cell>
          <cell r="H543">
            <v>14.521848690280628</v>
          </cell>
          <cell r="I543">
            <v>4.2275800271906999E-2</v>
          </cell>
        </row>
        <row r="544">
          <cell r="A544" t="str">
            <v>PARICHHA TPS2</v>
          </cell>
          <cell r="B544" t="str">
            <v>PARICHHA TPS UNIT 1-2</v>
          </cell>
          <cell r="C544" t="str">
            <v xml:space="preserve"> 35-40 years</v>
          </cell>
          <cell r="D544">
            <v>35.2525667351129</v>
          </cell>
          <cell r="E544">
            <v>110</v>
          </cell>
          <cell r="F544">
            <v>13.935857129883598</v>
          </cell>
          <cell r="G544">
            <v>0.21576221247863558</v>
          </cell>
          <cell r="H544">
            <v>14.523658812114988</v>
          </cell>
          <cell r="I544">
            <v>0.56961224094359797</v>
          </cell>
        </row>
        <row r="545">
          <cell r="A545" t="str">
            <v>SATPURA TPS7</v>
          </cell>
          <cell r="B545" t="str">
            <v>SATPURA TPS UNIT 6-9</v>
          </cell>
          <cell r="C545" t="str">
            <v xml:space="preserve"> 35-40 years</v>
          </cell>
          <cell r="D545">
            <v>39.671457905544102</v>
          </cell>
          <cell r="E545">
            <v>210</v>
          </cell>
          <cell r="F545">
            <v>15.028446018017778</v>
          </cell>
          <cell r="G545">
            <v>0.39707521536688301</v>
          </cell>
          <cell r="H545">
            <v>14.524738549281313</v>
          </cell>
          <cell r="I545">
            <v>2.0012590854490901</v>
          </cell>
        </row>
        <row r="546">
          <cell r="A546" t="str">
            <v>NASIK TPS4</v>
          </cell>
          <cell r="B546" t="str">
            <v>NASIK TPS</v>
          </cell>
          <cell r="C546" t="str">
            <v xml:space="preserve"> 35-40 years</v>
          </cell>
          <cell r="D546">
            <v>39.841204654346299</v>
          </cell>
          <cell r="E546">
            <v>210</v>
          </cell>
          <cell r="F546">
            <v>16.654488400042133</v>
          </cell>
          <cell r="G546">
            <v>0.56347350742338886</v>
          </cell>
          <cell r="H546">
            <v>14.533538390485967</v>
          </cell>
          <cell r="I546">
            <v>2.83990647741388</v>
          </cell>
        </row>
        <row r="547">
          <cell r="A547" t="str">
            <v>OBRA TPS9</v>
          </cell>
          <cell r="B547" t="str">
            <v>OBRA TPS UNIT 9-13</v>
          </cell>
          <cell r="C547" t="str">
            <v xml:space="preserve"> 35-40 years</v>
          </cell>
          <cell r="D547">
            <v>39.589322381930103</v>
          </cell>
          <cell r="E547">
            <v>200</v>
          </cell>
          <cell r="F547">
            <v>14.67584658947858</v>
          </cell>
          <cell r="G547">
            <v>0.66395480271360219</v>
          </cell>
          <cell r="H547">
            <v>14.543280561601639</v>
          </cell>
          <cell r="I547">
            <v>3.1869830530252901</v>
          </cell>
        </row>
        <row r="548">
          <cell r="A548" t="str">
            <v>DR. N TATA RAO TPS1</v>
          </cell>
          <cell r="B548" t="str">
            <v>DR. N TATA RAO TPS UNIT 1-6</v>
          </cell>
          <cell r="C548" t="str">
            <v xml:space="preserve"> 40-45 years</v>
          </cell>
          <cell r="D548">
            <v>40.5065023956194</v>
          </cell>
          <cell r="E548">
            <v>210</v>
          </cell>
          <cell r="F548">
            <v>16.558287873098308</v>
          </cell>
          <cell r="G548">
            <v>0.55964352153129959</v>
          </cell>
          <cell r="H548">
            <v>14.568028090691305</v>
          </cell>
          <cell r="I548">
            <v>2.82060334851775</v>
          </cell>
        </row>
        <row r="549">
          <cell r="A549" t="str">
            <v>TUTICORIN TPS1</v>
          </cell>
          <cell r="B549" t="str">
            <v>TUTICORIN TPS</v>
          </cell>
          <cell r="C549" t="str">
            <v xml:space="preserve"> 40-45 years</v>
          </cell>
          <cell r="D549">
            <v>40.821355236139603</v>
          </cell>
          <cell r="E549">
            <v>210</v>
          </cell>
          <cell r="F549">
            <v>15.43771434450896</v>
          </cell>
          <cell r="G549">
            <v>0.48274759994964289</v>
          </cell>
          <cell r="H549">
            <v>14.584350376796714</v>
          </cell>
          <cell r="I549">
            <v>2.4330479037461998</v>
          </cell>
        </row>
        <row r="550">
          <cell r="A550" t="str">
            <v>NASIK TPS3</v>
          </cell>
          <cell r="B550" t="str">
            <v>NASIK TPS</v>
          </cell>
          <cell r="C550" t="str">
            <v xml:space="preserve"> 40-45 years</v>
          </cell>
          <cell r="D550">
            <v>41.0924024640657</v>
          </cell>
          <cell r="E550">
            <v>210</v>
          </cell>
          <cell r="F550">
            <v>16.654488400042133</v>
          </cell>
          <cell r="G550">
            <v>0.43035244456411503</v>
          </cell>
          <cell r="H550">
            <v>14.59840173613963</v>
          </cell>
          <cell r="I550">
            <v>2.1689763206031398</v>
          </cell>
        </row>
        <row r="551">
          <cell r="A551" t="str">
            <v>KOTA TPS2</v>
          </cell>
          <cell r="B551" t="str">
            <v>KOTA TPS</v>
          </cell>
          <cell r="C551" t="str">
            <v xml:space="preserve"> 35-40 years</v>
          </cell>
          <cell r="D551">
            <v>36.843258042436602</v>
          </cell>
          <cell r="E551">
            <v>110</v>
          </cell>
          <cell r="F551">
            <v>14.284116629235145</v>
          </cell>
          <cell r="G551">
            <v>0.56882149117104541</v>
          </cell>
          <cell r="H551">
            <v>14.606121840177956</v>
          </cell>
          <cell r="I551">
            <v>1.5016887366915599</v>
          </cell>
        </row>
        <row r="552">
          <cell r="A552" t="str">
            <v>SATPURA TPS6</v>
          </cell>
          <cell r="B552" t="str">
            <v>SATPURA TPS UNIT 6-9</v>
          </cell>
          <cell r="C552" t="str">
            <v xml:space="preserve"> 40-45 years</v>
          </cell>
          <cell r="D552">
            <v>40.843258042436602</v>
          </cell>
          <cell r="E552">
            <v>200</v>
          </cell>
          <cell r="F552">
            <v>15.028446018017778</v>
          </cell>
          <cell r="G552">
            <v>0.48036453349106251</v>
          </cell>
          <cell r="H552">
            <v>14.608285840177956</v>
          </cell>
          <cell r="I552">
            <v>2.3057497607571</v>
          </cell>
        </row>
        <row r="553">
          <cell r="A553" t="str">
            <v>BADARPUR TPS4</v>
          </cell>
          <cell r="B553" t="str">
            <v>BADARPUR TPS</v>
          </cell>
          <cell r="C553" t="str">
            <v xml:space="preserve"> 35-40 years</v>
          </cell>
          <cell r="D553">
            <v>41.423682409308597</v>
          </cell>
          <cell r="E553">
            <v>210</v>
          </cell>
          <cell r="F553">
            <v>14.905561076719914</v>
          </cell>
          <cell r="G553">
            <v>0.32645857733362299</v>
          </cell>
          <cell r="H553">
            <v>14.615575619780968</v>
          </cell>
          <cell r="I553">
            <v>1.6453512297614601</v>
          </cell>
        </row>
        <row r="554">
          <cell r="A554" t="str">
            <v>UKAI TPS4</v>
          </cell>
          <cell r="B554" t="str">
            <v>UKAI TPS UNIT 1-5</v>
          </cell>
          <cell r="C554" t="str">
            <v xml:space="preserve"> 40-45 years</v>
          </cell>
          <cell r="D554">
            <v>41.177275838466798</v>
          </cell>
          <cell r="E554">
            <v>200</v>
          </cell>
          <cell r="F554">
            <v>12.782661442187354</v>
          </cell>
          <cell r="G554">
            <v>0.73444943047389377</v>
          </cell>
          <cell r="H554">
            <v>14.625601656741958</v>
          </cell>
          <cell r="I554">
            <v>3.5253572662746899</v>
          </cell>
        </row>
        <row r="555">
          <cell r="A555" t="str">
            <v>KOTA TPS1</v>
          </cell>
          <cell r="B555" t="str">
            <v>KOTA TPS</v>
          </cell>
          <cell r="C555" t="str">
            <v xml:space="preserve"> 35-40 years</v>
          </cell>
          <cell r="D555">
            <v>37.338809034907598</v>
          </cell>
          <cell r="E555">
            <v>110</v>
          </cell>
          <cell r="F555">
            <v>14.284116629235145</v>
          </cell>
          <cell r="G555">
            <v>0.4062041354136704</v>
          </cell>
          <cell r="H555">
            <v>14.631811699178645</v>
          </cell>
          <cell r="I555">
            <v>1.0723789174920899</v>
          </cell>
        </row>
        <row r="556">
          <cell r="A556" t="str">
            <v>UKAI TPS3</v>
          </cell>
          <cell r="B556" t="str">
            <v>UKAI TPS UNIT 1-5</v>
          </cell>
          <cell r="C556" t="str">
            <v xml:space="preserve"> 40-45 years</v>
          </cell>
          <cell r="D556">
            <v>41.338809034907598</v>
          </cell>
          <cell r="E556">
            <v>200</v>
          </cell>
          <cell r="F556">
            <v>12.782661442187354</v>
          </cell>
          <cell r="G556">
            <v>0.66032280712402303</v>
          </cell>
          <cell r="H556">
            <v>14.633975699178645</v>
          </cell>
          <cell r="I556">
            <v>3.1695494741953101</v>
          </cell>
        </row>
        <row r="557">
          <cell r="A557" t="str">
            <v>OBRA TPS10</v>
          </cell>
          <cell r="B557" t="str">
            <v>OBRA TPS UNIT 9-13</v>
          </cell>
          <cell r="C557" t="str">
            <v xml:space="preserve"> 40-45 years</v>
          </cell>
          <cell r="D557">
            <v>41.338809034907598</v>
          </cell>
          <cell r="E557">
            <v>200</v>
          </cell>
          <cell r="F557">
            <v>14.67584658947858</v>
          </cell>
          <cell r="G557">
            <v>0.62579541726992294</v>
          </cell>
          <cell r="H557">
            <v>14.633975699178645</v>
          </cell>
          <cell r="I557">
            <v>3.0038180028956298</v>
          </cell>
        </row>
        <row r="558">
          <cell r="A558" t="str">
            <v>OBRA TPS11</v>
          </cell>
          <cell r="B558" t="str">
            <v>OBRA TPS UNIT 9-13</v>
          </cell>
          <cell r="C558" t="str">
            <v xml:space="preserve"> 40-45 years</v>
          </cell>
          <cell r="D558">
            <v>42.4229979466119</v>
          </cell>
          <cell r="E558">
            <v>200</v>
          </cell>
          <cell r="F558">
            <v>14.67584658947858</v>
          </cell>
          <cell r="G558">
            <v>0.7182351797779416</v>
          </cell>
          <cell r="H558">
            <v>14.690181136550308</v>
          </cell>
          <cell r="I558">
            <v>3.4475288629341199</v>
          </cell>
        </row>
        <row r="559">
          <cell r="A559" t="str">
            <v>KORBA-III2</v>
          </cell>
          <cell r="B559" t="str">
            <v>KORBA EAST TPS (STG II &amp; III)</v>
          </cell>
          <cell r="C559" t="str">
            <v xml:space="preserve"> 35-40 years</v>
          </cell>
          <cell r="D559">
            <v>39.0910335386721</v>
          </cell>
          <cell r="E559">
            <v>120</v>
          </cell>
          <cell r="F559">
            <v>15.987318150982921</v>
          </cell>
          <cell r="G559">
            <v>0.62117492895790272</v>
          </cell>
          <cell r="H559">
            <v>14.699848769678301</v>
          </cell>
          <cell r="I559">
            <v>1.78898379539876</v>
          </cell>
        </row>
        <row r="560">
          <cell r="A560" t="str">
            <v>GND TPS(BHATINDA)4</v>
          </cell>
          <cell r="B560" t="str">
            <v>GMR WARORA TPS</v>
          </cell>
          <cell r="C560" t="str">
            <v xml:space="preserve"> 35-40 years</v>
          </cell>
          <cell r="D560">
            <v>41.338809034907598</v>
          </cell>
          <cell r="E560">
            <v>120</v>
          </cell>
          <cell r="F560">
            <v>15.34</v>
          </cell>
          <cell r="G560">
            <v>2.9407793209876527E-2</v>
          </cell>
          <cell r="H560">
            <v>14.816375699178645</v>
          </cell>
          <cell r="I560">
            <v>8.4694444444444406E-2</v>
          </cell>
        </row>
        <row r="561">
          <cell r="A561" t="str">
            <v>SABARMATI (D-F STATIONS) TPP1</v>
          </cell>
          <cell r="B561" t="str">
            <v>SABARMATI (D-F STATIONS) TPP</v>
          </cell>
          <cell r="C561" t="str">
            <v xml:space="preserve"> 40-45 years</v>
          </cell>
          <cell r="D561">
            <v>41.590691307323702</v>
          </cell>
          <cell r="E561">
            <v>120</v>
          </cell>
          <cell r="F561">
            <v>11.055105494192892</v>
          </cell>
          <cell r="G561">
            <v>0.80685983753381596</v>
          </cell>
          <cell r="H561">
            <v>14.829433528062967</v>
          </cell>
          <cell r="I561">
            <v>2.32375633209739</v>
          </cell>
        </row>
        <row r="562">
          <cell r="A562" t="str">
            <v>GND TPS(BHATINDA)3</v>
          </cell>
          <cell r="B562" t="str">
            <v>GMR WARORA TPS</v>
          </cell>
          <cell r="C562" t="str">
            <v xml:space="preserve"> 40-45 years</v>
          </cell>
          <cell r="D562">
            <v>42.176591375770002</v>
          </cell>
          <cell r="E562">
            <v>120</v>
          </cell>
          <cell r="F562">
            <v>15.34</v>
          </cell>
          <cell r="G562">
            <v>3.0844907407407397E-2</v>
          </cell>
          <cell r="H562">
            <v>14.859807173511292</v>
          </cell>
          <cell r="I562">
            <v>8.8833333333333306E-2</v>
          </cell>
        </row>
        <row r="563">
          <cell r="A563" t="str">
            <v>KOTHAGUDEM TPS8</v>
          </cell>
          <cell r="B563" t="str">
            <v>KOTHAGUDEM TPS</v>
          </cell>
          <cell r="C563" t="str">
            <v xml:space="preserve"> 40-45 years</v>
          </cell>
          <cell r="D563">
            <v>42.313483915126596</v>
          </cell>
          <cell r="E563">
            <v>120</v>
          </cell>
          <cell r="F563">
            <v>20.112035837855366</v>
          </cell>
          <cell r="G563">
            <v>0.50128223427109719</v>
          </cell>
          <cell r="H563">
            <v>14.866903819644078</v>
          </cell>
          <cell r="I563">
            <v>1.44369283470076</v>
          </cell>
        </row>
        <row r="564">
          <cell r="A564" t="str">
            <v>HARDUAGANJ TPS7</v>
          </cell>
          <cell r="B564" t="str">
            <v>HARDUAGANJ TPS UNIT 7</v>
          </cell>
          <cell r="C564" t="str">
            <v xml:space="preserve"> 40-45 years</v>
          </cell>
          <cell r="D564">
            <v>42.176591375770002</v>
          </cell>
          <cell r="E564">
            <v>105</v>
          </cell>
          <cell r="F564">
            <v>12.751268219005874</v>
          </cell>
          <cell r="G564">
            <v>0.2107839528173151</v>
          </cell>
          <cell r="H564">
            <v>14.894007173511293</v>
          </cell>
          <cell r="I564">
            <v>0.53117556109963404</v>
          </cell>
        </row>
        <row r="565">
          <cell r="A565" t="str">
            <v>KOTHAGUDEM TPS7</v>
          </cell>
          <cell r="B565" t="str">
            <v>KOTHAGUDEM TPS</v>
          </cell>
          <cell r="C565" t="str">
            <v xml:space="preserve"> 40-45 years</v>
          </cell>
          <cell r="D565">
            <v>43.151266255989</v>
          </cell>
          <cell r="E565">
            <v>120</v>
          </cell>
          <cell r="F565">
            <v>20.112035837855366</v>
          </cell>
          <cell r="G565">
            <v>0.62427421310519093</v>
          </cell>
          <cell r="H565">
            <v>14.910335293976726</v>
          </cell>
          <cell r="I565">
            <v>1.7979097337429499</v>
          </cell>
        </row>
        <row r="566">
          <cell r="A566" t="str">
            <v>PANKI TPS4</v>
          </cell>
          <cell r="B566" t="str">
            <v>PANKI TPS</v>
          </cell>
          <cell r="C566" t="str">
            <v xml:space="preserve"> 40-45 years</v>
          </cell>
          <cell r="D566">
            <v>43.008898015058101</v>
          </cell>
          <cell r="E566">
            <v>110</v>
          </cell>
          <cell r="F566">
            <v>18.819951082207197</v>
          </cell>
          <cell r="G566">
            <v>7.5096407423993566E-2</v>
          </cell>
          <cell r="H566">
            <v>14.925754781998627</v>
          </cell>
          <cell r="I566">
            <v>0.19825451559934301</v>
          </cell>
        </row>
        <row r="567">
          <cell r="A567" t="str">
            <v>PANKI TPS3</v>
          </cell>
          <cell r="B567" t="str">
            <v>PANKI TPS</v>
          </cell>
          <cell r="C567" t="str">
            <v xml:space="preserve"> 40-45 years</v>
          </cell>
          <cell r="D567">
            <v>43.337440109513999</v>
          </cell>
          <cell r="E567">
            <v>110</v>
          </cell>
          <cell r="F567">
            <v>18.819951082207197</v>
          </cell>
          <cell r="G567">
            <v>5.8672936259142799E-2</v>
          </cell>
          <cell r="H567">
            <v>14.942786732717316</v>
          </cell>
          <cell r="I567">
            <v>0.15489655172413699</v>
          </cell>
        </row>
        <row r="568">
          <cell r="A568" t="str">
            <v>KORBA-III1</v>
          </cell>
          <cell r="B568" t="str">
            <v>KORBA EAST TPS (STG II &amp; III)</v>
          </cell>
          <cell r="C568" t="str">
            <v xml:space="preserve"> 40-45 years</v>
          </cell>
          <cell r="D568">
            <v>44.090349075975297</v>
          </cell>
          <cell r="E568">
            <v>120</v>
          </cell>
          <cell r="F568">
            <v>15.987318150982921</v>
          </cell>
          <cell r="G568">
            <v>0.63797790209531247</v>
          </cell>
          <cell r="H568">
            <v>14.959018286447636</v>
          </cell>
          <cell r="I568">
            <v>1.8373763580344999</v>
          </cell>
        </row>
        <row r="569">
          <cell r="A569" t="str">
            <v>GND TPS(BHATINDA)2</v>
          </cell>
          <cell r="B569" t="str">
            <v>GMR WARORA TPS</v>
          </cell>
          <cell r="C569" t="str">
            <v xml:space="preserve"> 40-45 years</v>
          </cell>
          <cell r="D569">
            <v>44.673511293634498</v>
          </cell>
          <cell r="E569">
            <v>110</v>
          </cell>
          <cell r="F569">
            <v>15.34</v>
          </cell>
          <cell r="G569">
            <v>3.1144781144781136E-3</v>
          </cell>
          <cell r="H569">
            <v>15.012049998973307</v>
          </cell>
          <cell r="I569">
            <v>8.2222222222222193E-3</v>
          </cell>
        </row>
        <row r="570">
          <cell r="A570" t="str">
            <v>KOTHAGUDEM TPS6</v>
          </cell>
          <cell r="B570" t="str">
            <v>KOTHAGUDEM TPS</v>
          </cell>
          <cell r="C570" t="str">
            <v xml:space="preserve"> 40-45 years</v>
          </cell>
          <cell r="D570">
            <v>45.3744010951403</v>
          </cell>
          <cell r="E570">
            <v>120</v>
          </cell>
          <cell r="F570">
            <v>20.112035837855366</v>
          </cell>
          <cell r="G570">
            <v>0.50615935464878825</v>
          </cell>
          <cell r="H570">
            <v>15.025584827173169</v>
          </cell>
          <cell r="I570">
            <v>1.45773894138851</v>
          </cell>
        </row>
        <row r="571">
          <cell r="A571" t="str">
            <v>KOTHAGUDEM TPS5</v>
          </cell>
          <cell r="B571" t="str">
            <v>KOTHAGUDEM TPS</v>
          </cell>
          <cell r="C571" t="str">
            <v xml:space="preserve"> 45+ years</v>
          </cell>
          <cell r="D571">
            <v>45.724845995893197</v>
          </cell>
          <cell r="E571">
            <v>120</v>
          </cell>
          <cell r="F571">
            <v>20.112035837855366</v>
          </cell>
          <cell r="G571">
            <v>0.67164617814206595</v>
          </cell>
          <cell r="H571">
            <v>15.043752241273101</v>
          </cell>
          <cell r="I571">
            <v>1.93434099304915</v>
          </cell>
        </row>
        <row r="572">
          <cell r="A572" t="str">
            <v>GND TPS(BHATINDA)1</v>
          </cell>
          <cell r="B572" t="str">
            <v>GMR WARORA TPS</v>
          </cell>
          <cell r="C572" t="str">
            <v xml:space="preserve"> 40-45 years</v>
          </cell>
          <cell r="D572">
            <v>45.672826830937701</v>
          </cell>
          <cell r="E572">
            <v>110</v>
          </cell>
          <cell r="F572">
            <v>15.34</v>
          </cell>
          <cell r="G572">
            <v>2.3463804713804697E-3</v>
          </cell>
          <cell r="H572">
            <v>15.063855515742642</v>
          </cell>
          <cell r="I572">
            <v>6.1944444444444399E-3</v>
          </cell>
        </row>
        <row r="573">
          <cell r="A573" t="str">
            <v>TALCHER (OLD) TPS6</v>
          </cell>
          <cell r="B573" t="str">
            <v>TALCHER (OLD) TPS</v>
          </cell>
          <cell r="C573" t="str">
            <v xml:space="preserve"> 45+ years</v>
          </cell>
          <cell r="D573">
            <v>46.924024640657002</v>
          </cell>
          <cell r="E573">
            <v>110</v>
          </cell>
          <cell r="F573">
            <v>17.522745461401975</v>
          </cell>
          <cell r="G573">
            <v>0.88398365240411736</v>
          </cell>
          <cell r="H573">
            <v>15.128718861396301</v>
          </cell>
          <cell r="I573">
            <v>2.3337168423468699</v>
          </cell>
        </row>
        <row r="574">
          <cell r="A574" t="str">
            <v>TALCHER (OLD) TPS5</v>
          </cell>
          <cell r="B574" t="str">
            <v>TALCHER (OLD) TPS</v>
          </cell>
          <cell r="C574" t="str">
            <v xml:space="preserve"> 45+ years</v>
          </cell>
          <cell r="D574">
            <v>47.337440109513999</v>
          </cell>
          <cell r="E574">
            <v>110</v>
          </cell>
          <cell r="F574">
            <v>17.522745461401975</v>
          </cell>
          <cell r="G574">
            <v>0.80008420952733716</v>
          </cell>
          <cell r="H574">
            <v>15.150150732717316</v>
          </cell>
          <cell r="I574">
            <v>2.11222231315217</v>
          </cell>
        </row>
        <row r="575">
          <cell r="A575" t="str">
            <v>TALCHER (OLD) TPS4</v>
          </cell>
          <cell r="B575" t="str">
            <v>TALCHER (OLD) TPS</v>
          </cell>
          <cell r="C575" t="str">
            <v xml:space="preserve"> 45+ years</v>
          </cell>
          <cell r="D575">
            <v>47.923340177960299</v>
          </cell>
          <cell r="E575">
            <v>60</v>
          </cell>
          <cell r="F575">
            <v>17.522745461401975</v>
          </cell>
          <cell r="G575">
            <v>0.87672141223934719</v>
          </cell>
          <cell r="H575">
            <v>15.29452437816564</v>
          </cell>
          <cell r="I575">
            <v>1.26247883362466</v>
          </cell>
        </row>
        <row r="576">
          <cell r="A576" t="str">
            <v>NEYVELI TPS- I9</v>
          </cell>
          <cell r="C576" t="str">
            <v xml:space="preserve"> 45+ years</v>
          </cell>
          <cell r="D576">
            <v>49.924709103353798</v>
          </cell>
          <cell r="E576">
            <v>100</v>
          </cell>
          <cell r="F576">
            <v>15.85</v>
          </cell>
          <cell r="G576">
            <v>0.54795281934365425</v>
          </cell>
          <cell r="H576">
            <v>15.307077344626965</v>
          </cell>
          <cell r="I576">
            <v>1.3150867664247701</v>
          </cell>
        </row>
        <row r="577">
          <cell r="A577" t="str">
            <v>TALCHER (OLD) TPS3</v>
          </cell>
          <cell r="B577" t="str">
            <v>TALCHER (OLD) TPS</v>
          </cell>
          <cell r="C577" t="str">
            <v xml:space="preserve"> 45+ years</v>
          </cell>
          <cell r="D577">
            <v>48.339493497604302</v>
          </cell>
          <cell r="E577">
            <v>60</v>
          </cell>
          <cell r="F577">
            <v>17.522745461401975</v>
          </cell>
          <cell r="G577">
            <v>0.90750364529076377</v>
          </cell>
          <cell r="H577">
            <v>15.316098182409306</v>
          </cell>
          <cell r="I577">
            <v>1.3068052492186999</v>
          </cell>
        </row>
        <row r="578">
          <cell r="A578" t="str">
            <v>RAMAGUNDEM - B TPS1</v>
          </cell>
          <cell r="B578" t="str">
            <v>RAMAGUNDEM - B TPS</v>
          </cell>
          <cell r="C578" t="str">
            <v xml:space="preserve"> 45+ years</v>
          </cell>
          <cell r="D578">
            <v>48.591375770020498</v>
          </cell>
          <cell r="E578">
            <v>62.5</v>
          </cell>
          <cell r="F578">
            <v>14.266889816200552</v>
          </cell>
          <cell r="G578">
            <v>9.6403243240578321E-2</v>
          </cell>
          <cell r="H578">
            <v>15.323456011293633</v>
          </cell>
          <cell r="I578">
            <v>1.1568389188869399</v>
          </cell>
        </row>
        <row r="579">
          <cell r="A579" t="str">
            <v>TALCHER (OLD) TPS2</v>
          </cell>
          <cell r="B579" t="str">
            <v>TALCHER (OLD) TPS</v>
          </cell>
          <cell r="C579" t="str">
            <v xml:space="preserve"> 45+ years</v>
          </cell>
          <cell r="D579">
            <v>48.925393566050602</v>
          </cell>
          <cell r="E579">
            <v>60</v>
          </cell>
          <cell r="F579">
            <v>17.522745461401975</v>
          </cell>
          <cell r="G579">
            <v>0.95883306431994442</v>
          </cell>
          <cell r="H579">
            <v>15.346471827857631</v>
          </cell>
          <cell r="I579">
            <v>1.38071961262072</v>
          </cell>
        </row>
        <row r="580">
          <cell r="A580" t="str">
            <v>NEYVELI TPS- I8</v>
          </cell>
          <cell r="C580" t="str">
            <v xml:space="preserve"> 45+ years</v>
          </cell>
          <cell r="D580">
            <v>50.924024640657002</v>
          </cell>
          <cell r="E580">
            <v>100</v>
          </cell>
          <cell r="F580">
            <v>15.85</v>
          </cell>
          <cell r="G580">
            <v>0.60692590996168327</v>
          </cell>
          <cell r="H580">
            <v>15.3588828613963</v>
          </cell>
          <cell r="I580">
            <v>1.45662218390804</v>
          </cell>
        </row>
        <row r="581">
          <cell r="A581" t="str">
            <v>TALCHER (OLD) TPS1</v>
          </cell>
          <cell r="B581" t="str">
            <v>TALCHER (OLD) TPS</v>
          </cell>
          <cell r="C581" t="str">
            <v xml:space="preserve"> 45+ years</v>
          </cell>
          <cell r="D581">
            <v>49.338809034907598</v>
          </cell>
          <cell r="E581">
            <v>60</v>
          </cell>
          <cell r="F581">
            <v>17.522745461401975</v>
          </cell>
          <cell r="G581">
            <v>0.92381981105794431</v>
          </cell>
          <cell r="H581">
            <v>15.367903699178646</v>
          </cell>
          <cell r="I581">
            <v>1.3303005279234399</v>
          </cell>
        </row>
        <row r="582">
          <cell r="A582" t="str">
            <v>NEYVELI TPS- I7</v>
          </cell>
          <cell r="C582" t="str">
            <v xml:space="preserve"> 45+ years</v>
          </cell>
          <cell r="D582">
            <v>51.923340177960299</v>
          </cell>
          <cell r="E582">
            <v>100</v>
          </cell>
          <cell r="F582">
            <v>15.85</v>
          </cell>
          <cell r="G582">
            <v>0.40773727814365546</v>
          </cell>
          <cell r="H582">
            <v>15.410688378165641</v>
          </cell>
          <cell r="I582">
            <v>0.97856946754477303</v>
          </cell>
        </row>
        <row r="583">
          <cell r="A583" t="str">
            <v>KORBA-II4</v>
          </cell>
          <cell r="B583" t="str">
            <v>KORBA EAST TPS (STG II &amp; III)</v>
          </cell>
          <cell r="C583" t="str">
            <v xml:space="preserve"> 45+ years</v>
          </cell>
          <cell r="D583">
            <v>51.589322381930103</v>
          </cell>
          <cell r="E583">
            <v>50</v>
          </cell>
          <cell r="F583">
            <v>17.2</v>
          </cell>
          <cell r="G583">
            <v>0.25848877905197415</v>
          </cell>
          <cell r="H583">
            <v>15.507372561601638</v>
          </cell>
          <cell r="I583">
            <v>0.31018653486236902</v>
          </cell>
        </row>
        <row r="584">
          <cell r="A584" t="str">
            <v>KORBA-II3</v>
          </cell>
          <cell r="B584" t="str">
            <v>KORBA EAST TPS (STG II &amp; III)</v>
          </cell>
          <cell r="C584" t="str">
            <v xml:space="preserve"> 45+ years</v>
          </cell>
          <cell r="D584">
            <v>52.175222450376403</v>
          </cell>
          <cell r="E584">
            <v>50</v>
          </cell>
          <cell r="F584">
            <v>17.2</v>
          </cell>
          <cell r="G584">
            <v>0.31251620351978332</v>
          </cell>
          <cell r="H584">
            <v>15.537746207049963</v>
          </cell>
          <cell r="I584">
            <v>0.37501944422374001</v>
          </cell>
        </row>
        <row r="585">
          <cell r="A585" t="str">
            <v>KOTHAGUDEM TPS4</v>
          </cell>
          <cell r="B585" t="str">
            <v>KOTHAGUDEM TPS</v>
          </cell>
          <cell r="C585" t="str">
            <v xml:space="preserve"> 45+ years</v>
          </cell>
          <cell r="D585">
            <v>52.824093086926702</v>
          </cell>
          <cell r="E585">
            <v>60</v>
          </cell>
          <cell r="F585">
            <v>20.112035837855366</v>
          </cell>
          <cell r="G585">
            <v>0.76251536086048621</v>
          </cell>
          <cell r="H585">
            <v>15.548584309719367</v>
          </cell>
          <cell r="I585">
            <v>1.0980221196391</v>
          </cell>
        </row>
        <row r="586">
          <cell r="A586" t="str">
            <v>OBRA TPS1</v>
          </cell>
          <cell r="B586" t="str">
            <v>OBRA TPS UNIT 1-8</v>
          </cell>
          <cell r="C586" t="str">
            <v xml:space="preserve"> 45+ years</v>
          </cell>
          <cell r="D586">
            <v>52.758384668035497</v>
          </cell>
          <cell r="E586">
            <v>50</v>
          </cell>
          <cell r="F586">
            <v>14.67584658947858</v>
          </cell>
          <cell r="G586">
            <v>1.278399378399375</v>
          </cell>
          <cell r="H586">
            <v>15.567977919575629</v>
          </cell>
          <cell r="I586">
            <v>1.5340792540792501</v>
          </cell>
        </row>
        <row r="587">
          <cell r="A587" t="str">
            <v>NEYVELI TPS- I6</v>
          </cell>
          <cell r="C587" t="str">
            <v xml:space="preserve"> 45+ years</v>
          </cell>
          <cell r="D587">
            <v>52.925393566050602</v>
          </cell>
          <cell r="E587">
            <v>50</v>
          </cell>
          <cell r="F587">
            <v>15.85</v>
          </cell>
          <cell r="G587">
            <v>0.66490159111240588</v>
          </cell>
          <cell r="H587">
            <v>15.576635827857629</v>
          </cell>
          <cell r="I587">
            <v>0.79788190933488701</v>
          </cell>
        </row>
        <row r="588">
          <cell r="A588" t="str">
            <v>KOTHAGUDEM TPS2</v>
          </cell>
          <cell r="B588" t="str">
            <v>KOTHAGUDEM TPS</v>
          </cell>
          <cell r="C588" t="str">
            <v xml:space="preserve"> 45+ years</v>
          </cell>
          <cell r="D588">
            <v>53.4346338124572</v>
          </cell>
          <cell r="E588">
            <v>60</v>
          </cell>
          <cell r="F588">
            <v>20.112035837855366</v>
          </cell>
          <cell r="G588">
            <v>0.73085930550895839</v>
          </cell>
          <cell r="H588">
            <v>15.580235351471593</v>
          </cell>
          <cell r="I588">
            <v>1.0524373999329</v>
          </cell>
        </row>
        <row r="589">
          <cell r="A589" t="str">
            <v>KORBA-II2</v>
          </cell>
          <cell r="B589" t="str">
            <v>KORBA EAST TPS (STG II &amp; III)</v>
          </cell>
          <cell r="C589" t="str">
            <v xml:space="preserve"> 45+ years</v>
          </cell>
          <cell r="D589">
            <v>53.0102669404517</v>
          </cell>
          <cell r="E589">
            <v>50</v>
          </cell>
          <cell r="F589">
            <v>17.2</v>
          </cell>
          <cell r="G589">
            <v>1.384778097062575E-2</v>
          </cell>
          <cell r="H589">
            <v>15.581035748459957</v>
          </cell>
          <cell r="I589">
            <v>1.66173371647509E-2</v>
          </cell>
        </row>
        <row r="590">
          <cell r="A590" t="str">
            <v>BANDEL TPS4</v>
          </cell>
          <cell r="B590" t="str">
            <v>BANDEL TPS</v>
          </cell>
          <cell r="C590" t="str">
            <v xml:space="preserve"> 45+ years</v>
          </cell>
          <cell r="D590">
            <v>53.7577002053388</v>
          </cell>
          <cell r="E590">
            <v>60</v>
          </cell>
          <cell r="F590">
            <v>17.847184962879297</v>
          </cell>
          <cell r="G590">
            <v>8.794596877188611E-2</v>
          </cell>
          <cell r="H590">
            <v>15.596983436344969</v>
          </cell>
          <cell r="I590">
            <v>0.126642195031516</v>
          </cell>
        </row>
        <row r="591">
          <cell r="A591" t="str">
            <v>KOTHAGUDEM TPS1</v>
          </cell>
          <cell r="B591" t="str">
            <v>KOTHAGUDEM TPS</v>
          </cell>
          <cell r="C591" t="str">
            <v xml:space="preserve"> 45+ years</v>
          </cell>
          <cell r="D591">
            <v>53.834360027378501</v>
          </cell>
          <cell r="E591">
            <v>60</v>
          </cell>
          <cell r="F591">
            <v>20.112035837855366</v>
          </cell>
          <cell r="G591">
            <v>0.69545582086602087</v>
          </cell>
          <cell r="H591">
            <v>15.60095755817933</v>
          </cell>
          <cell r="I591">
            <v>1.0014563820470701</v>
          </cell>
        </row>
        <row r="592">
          <cell r="A592" t="str">
            <v>BANDEL TPS3</v>
          </cell>
          <cell r="B592" t="str">
            <v>BANDEL TPS</v>
          </cell>
          <cell r="C592" t="str">
            <v xml:space="preserve"> 45+ years</v>
          </cell>
          <cell r="D592">
            <v>54.253251197809703</v>
          </cell>
          <cell r="E592">
            <v>60</v>
          </cell>
          <cell r="F592">
            <v>17.847184962879297</v>
          </cell>
          <cell r="G592">
            <v>2.4425287356321806E-2</v>
          </cell>
          <cell r="H592">
            <v>15.622673295345653</v>
          </cell>
          <cell r="I592">
            <v>3.5172413793103402E-2</v>
          </cell>
        </row>
        <row r="593">
          <cell r="A593" t="str">
            <v>NEYVELI TPS- I5</v>
          </cell>
          <cell r="C593" t="str">
            <v xml:space="preserve"> 45+ years</v>
          </cell>
          <cell r="D593">
            <v>53.924709103353798</v>
          </cell>
          <cell r="E593">
            <v>50</v>
          </cell>
          <cell r="F593">
            <v>15.85</v>
          </cell>
          <cell r="G593">
            <v>0.67326574166769659</v>
          </cell>
          <cell r="H593">
            <v>15.628441344626964</v>
          </cell>
          <cell r="I593">
            <v>0.80791889000123596</v>
          </cell>
        </row>
        <row r="594">
          <cell r="A594" t="str">
            <v>BANDEL TPS2</v>
          </cell>
          <cell r="B594" t="str">
            <v>BANDEL TPS</v>
          </cell>
          <cell r="C594" t="str">
            <v xml:space="preserve"> 45+ years</v>
          </cell>
          <cell r="D594">
            <v>54.590006844626899</v>
          </cell>
          <cell r="E594">
            <v>60</v>
          </cell>
          <cell r="F594">
            <v>17.847184962879297</v>
          </cell>
          <cell r="G594">
            <v>0.37175087840104515</v>
          </cell>
          <cell r="H594">
            <v>15.640131044832303</v>
          </cell>
          <cell r="I594">
            <v>0.53532126489750498</v>
          </cell>
        </row>
        <row r="595">
          <cell r="A595" t="str">
            <v>BANDEL TPS1</v>
          </cell>
          <cell r="B595" t="str">
            <v>BANDEL TPS</v>
          </cell>
          <cell r="C595" t="str">
            <v xml:space="preserve"> 45+ years</v>
          </cell>
          <cell r="D595">
            <v>54.672142368240898</v>
          </cell>
          <cell r="E595">
            <v>60</v>
          </cell>
          <cell r="F595">
            <v>17.847184962879297</v>
          </cell>
          <cell r="G595">
            <v>0.3606232435657486</v>
          </cell>
          <cell r="H595">
            <v>15.644389032511977</v>
          </cell>
          <cell r="I595">
            <v>0.51929747073467802</v>
          </cell>
        </row>
        <row r="596">
          <cell r="A596" t="str">
            <v>NEYVELI TPS- I4</v>
          </cell>
          <cell r="C596" t="str">
            <v xml:space="preserve"> 45+ years</v>
          </cell>
          <cell r="D596">
            <v>54.924024640657002</v>
          </cell>
          <cell r="E596">
            <v>50</v>
          </cell>
          <cell r="F596">
            <v>15.85</v>
          </cell>
          <cell r="G596">
            <v>0.6892434807046034</v>
          </cell>
          <cell r="H596">
            <v>15.6802468613963</v>
          </cell>
          <cell r="I596">
            <v>0.82709217684552405</v>
          </cell>
        </row>
        <row r="597">
          <cell r="A597" t="str">
            <v>NEYVELI TPS- I3</v>
          </cell>
          <cell r="C597" t="str">
            <v xml:space="preserve"> 45+ years</v>
          </cell>
          <cell r="D597">
            <v>55.923340177960299</v>
          </cell>
          <cell r="E597">
            <v>50</v>
          </cell>
          <cell r="F597">
            <v>15.85</v>
          </cell>
          <cell r="G597">
            <v>0.68239560808305499</v>
          </cell>
          <cell r="H597">
            <v>15.732052378165641</v>
          </cell>
          <cell r="I597">
            <v>0.81887472969966602</v>
          </cell>
        </row>
        <row r="598">
          <cell r="A598" t="str">
            <v>NEYVELI TPS- I2</v>
          </cell>
          <cell r="C598" t="str">
            <v xml:space="preserve"> 45+ years</v>
          </cell>
          <cell r="D598">
            <v>56.925393566050602</v>
          </cell>
          <cell r="E598">
            <v>50</v>
          </cell>
          <cell r="F598">
            <v>15.85</v>
          </cell>
          <cell r="G598">
            <v>0.65867384761728165</v>
          </cell>
          <cell r="H598">
            <v>15.783999827857629</v>
          </cell>
          <cell r="I598">
            <v>0.79040861714073796</v>
          </cell>
        </row>
        <row r="599">
          <cell r="A599" t="str">
            <v>NEYVELI TPS- I1</v>
          </cell>
          <cell r="C599" t="str">
            <v xml:space="preserve"> 45+ years</v>
          </cell>
          <cell r="D599">
            <v>57.924709103353798</v>
          </cell>
          <cell r="E599">
            <v>50</v>
          </cell>
          <cell r="F599">
            <v>15.85</v>
          </cell>
          <cell r="G599">
            <v>0.63620579785887832</v>
          </cell>
          <cell r="H599">
            <v>15.835805344626966</v>
          </cell>
          <cell r="I599">
            <v>0.76344695743065405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CEA vs MERIT comp. &amp; NPA marker"/>
      <sheetName val="20200711_164131"/>
    </sheetNames>
    <sheetDataSet>
      <sheetData sheetId="0" refreshError="1"/>
      <sheetData sheetId="1" refreshError="1"/>
      <sheetData sheetId="2" refreshError="1">
        <row r="2">
          <cell r="C2" t="str">
            <v>AKALTARA TPS4</v>
          </cell>
          <cell r="D2">
            <v>600</v>
          </cell>
          <cell r="E2" t="str">
            <v xml:space="preserve"> 5-10 years</v>
          </cell>
          <cell r="F2" t="str">
            <v>Chhattisgarh</v>
          </cell>
          <cell r="G2" t="str">
            <v>PVT SECTOR</v>
          </cell>
          <cell r="H2" t="str">
            <v>1.60</v>
          </cell>
          <cell r="J2">
            <v>7637.7309999999798</v>
          </cell>
          <cell r="K2" t="str">
            <v>Not contracted</v>
          </cell>
        </row>
        <row r="3">
          <cell r="C3" t="str">
            <v>AKALTARA TPS2</v>
          </cell>
          <cell r="D3">
            <v>600</v>
          </cell>
          <cell r="E3" t="str">
            <v xml:space="preserve"> 0-5 years</v>
          </cell>
          <cell r="F3" t="str">
            <v>Chhattisgarh</v>
          </cell>
          <cell r="G3" t="str">
            <v>PVT SECTOR</v>
          </cell>
          <cell r="H3" t="str">
            <v>1.60</v>
          </cell>
          <cell r="J3">
            <v>7408.0374000000002</v>
          </cell>
          <cell r="K3" t="str">
            <v>Contracted</v>
          </cell>
        </row>
        <row r="4">
          <cell r="C4" t="str">
            <v>AKALTARA TPS3</v>
          </cell>
          <cell r="D4">
            <v>600</v>
          </cell>
          <cell r="E4" t="str">
            <v xml:space="preserve"> 5-10 years</v>
          </cell>
          <cell r="F4" t="str">
            <v>Chhattisgarh</v>
          </cell>
          <cell r="G4" t="str">
            <v>PVT SECTOR</v>
          </cell>
          <cell r="H4" t="str">
            <v>1.60</v>
          </cell>
          <cell r="J4">
            <v>2479.3654000000001</v>
          </cell>
          <cell r="K4" t="str">
            <v>Not contracted</v>
          </cell>
        </row>
        <row r="5">
          <cell r="C5" t="str">
            <v>AKALTARA TPS1</v>
          </cell>
          <cell r="D5">
            <v>600</v>
          </cell>
          <cell r="E5" t="e">
            <v>#N/A</v>
          </cell>
          <cell r="F5" t="str">
            <v>Chhattisgarh</v>
          </cell>
          <cell r="G5" t="str">
            <v>PVT SECTOR</v>
          </cell>
          <cell r="J5">
            <v>0</v>
          </cell>
          <cell r="K5" t="str">
            <v>Contracted</v>
          </cell>
        </row>
        <row r="6">
          <cell r="C6" t="str">
            <v>AKRIMOTA LIG TPS1</v>
          </cell>
          <cell r="D6">
            <v>125</v>
          </cell>
          <cell r="E6" t="str">
            <v xml:space="preserve"> 15-20 years</v>
          </cell>
          <cell r="F6" t="str">
            <v>Gujarat</v>
          </cell>
          <cell r="G6" t="str">
            <v>STATE SECTOR</v>
          </cell>
          <cell r="I6" t="str">
            <v>0.79</v>
          </cell>
          <cell r="J6">
            <v>990.04949999999894</v>
          </cell>
          <cell r="K6" t="str">
            <v>Contracted</v>
          </cell>
        </row>
        <row r="7">
          <cell r="C7" t="str">
            <v>AKRIMOTA LIG TPS2</v>
          </cell>
          <cell r="D7">
            <v>125</v>
          </cell>
          <cell r="E7" t="str">
            <v xml:space="preserve"> 10-15 years</v>
          </cell>
          <cell r="F7" t="str">
            <v>Gujarat</v>
          </cell>
          <cell r="G7" t="str">
            <v>STATE SECTOR</v>
          </cell>
          <cell r="H7" t="str">
            <v>1.34</v>
          </cell>
          <cell r="I7" t="str">
            <v>0.79</v>
          </cell>
          <cell r="J7">
            <v>921.86950000000002</v>
          </cell>
          <cell r="K7" t="str">
            <v>Contracted</v>
          </cell>
        </row>
        <row r="8">
          <cell r="C8" t="str">
            <v>AMARKANTAK TPS3</v>
          </cell>
          <cell r="D8">
            <v>210</v>
          </cell>
          <cell r="E8" t="str">
            <v xml:space="preserve"> 10-15 years</v>
          </cell>
          <cell r="F8" t="str">
            <v>Madhya Pradesh</v>
          </cell>
          <cell r="G8" t="str">
            <v>STATE SECTOR</v>
          </cell>
          <cell r="J8">
            <v>3258.4290000000001</v>
          </cell>
          <cell r="K8" t="str">
            <v>Contracted</v>
          </cell>
        </row>
        <row r="9">
          <cell r="C9" t="str">
            <v>AMRAVATI TPS2</v>
          </cell>
          <cell r="D9">
            <v>270</v>
          </cell>
          <cell r="E9" t="str">
            <v xml:space="preserve"> 5-10 years</v>
          </cell>
          <cell r="F9" t="str">
            <v>Maharashtra</v>
          </cell>
          <cell r="G9" t="str">
            <v>PVT SECTOR</v>
          </cell>
          <cell r="I9" t="str">
            <v>1.10</v>
          </cell>
          <cell r="J9">
            <v>1855.15</v>
          </cell>
          <cell r="K9" t="str">
            <v>Contracted</v>
          </cell>
        </row>
        <row r="10">
          <cell r="C10" t="str">
            <v>AMRAVATI TPS3</v>
          </cell>
          <cell r="D10">
            <v>270</v>
          </cell>
          <cell r="E10" t="str">
            <v xml:space="preserve"> 5-10 years</v>
          </cell>
          <cell r="F10" t="str">
            <v>Maharashtra</v>
          </cell>
          <cell r="G10" t="str">
            <v>PVT SECTOR</v>
          </cell>
          <cell r="H10" t="str">
            <v>3.03</v>
          </cell>
          <cell r="I10" t="str">
            <v>1.10</v>
          </cell>
          <cell r="J10">
            <v>1706.7639999999999</v>
          </cell>
          <cell r="K10" t="str">
            <v>Contracted</v>
          </cell>
        </row>
        <row r="11">
          <cell r="C11" t="str">
            <v>AMRAVATI TPS5</v>
          </cell>
          <cell r="D11">
            <v>270</v>
          </cell>
          <cell r="E11" t="str">
            <v xml:space="preserve"> 5-10 years</v>
          </cell>
          <cell r="F11" t="str">
            <v>Maharashtra</v>
          </cell>
          <cell r="G11" t="str">
            <v>PVT SECTOR</v>
          </cell>
          <cell r="H11" t="str">
            <v>3.03</v>
          </cell>
          <cell r="I11" t="str">
            <v>1.10</v>
          </cell>
          <cell r="J11">
            <v>1533.79799999999</v>
          </cell>
          <cell r="K11" t="str">
            <v>Contracted</v>
          </cell>
        </row>
        <row r="12">
          <cell r="C12" t="str">
            <v>AMRAVATI TPS4</v>
          </cell>
          <cell r="D12">
            <v>270</v>
          </cell>
          <cell r="E12" t="str">
            <v xml:space="preserve"> 5-10 years</v>
          </cell>
          <cell r="F12" t="str">
            <v>Maharashtra</v>
          </cell>
          <cell r="G12" t="str">
            <v>PVT SECTOR</v>
          </cell>
          <cell r="H12" t="str">
            <v>3.03</v>
          </cell>
          <cell r="I12" t="str">
            <v>1.10</v>
          </cell>
          <cell r="J12">
            <v>1128.6029999999901</v>
          </cell>
          <cell r="K12" t="str">
            <v>Contracted</v>
          </cell>
        </row>
        <row r="13">
          <cell r="C13" t="str">
            <v>AMRAVATI TPS1</v>
          </cell>
          <cell r="D13">
            <v>270</v>
          </cell>
          <cell r="E13" t="str">
            <v xml:space="preserve"> 5-10 years</v>
          </cell>
          <cell r="F13" t="str">
            <v>Maharashtra</v>
          </cell>
          <cell r="G13" t="str">
            <v>PVT SECTOR</v>
          </cell>
          <cell r="H13" t="str">
            <v>3.03</v>
          </cell>
          <cell r="I13" t="str">
            <v>1.10</v>
          </cell>
          <cell r="J13">
            <v>1042.6199999999999</v>
          </cell>
          <cell r="K13" t="str">
            <v>Contracted</v>
          </cell>
        </row>
        <row r="14">
          <cell r="C14" t="str">
            <v>ANPARA C TPS2</v>
          </cell>
          <cell r="D14">
            <v>600</v>
          </cell>
          <cell r="E14" t="str">
            <v xml:space="preserve"> 5-10 years</v>
          </cell>
          <cell r="F14" t="str">
            <v>Uttar Pradesh</v>
          </cell>
          <cell r="G14" t="str">
            <v>PVT SECTOR</v>
          </cell>
          <cell r="H14" t="str">
            <v>1.81</v>
          </cell>
          <cell r="I14" t="str">
            <v>1.29</v>
          </cell>
          <cell r="J14">
            <v>8062.8899999999903</v>
          </cell>
          <cell r="K14" t="str">
            <v>Contracted</v>
          </cell>
        </row>
        <row r="15">
          <cell r="C15" t="str">
            <v>ANPARA C TPS1</v>
          </cell>
          <cell r="D15">
            <v>600</v>
          </cell>
          <cell r="E15" t="str">
            <v xml:space="preserve"> 5-10 years</v>
          </cell>
          <cell r="F15" t="str">
            <v>Uttar Pradesh</v>
          </cell>
          <cell r="G15" t="str">
            <v>PVT SECTOR</v>
          </cell>
          <cell r="I15" t="str">
            <v>1.29</v>
          </cell>
          <cell r="J15">
            <v>7503.9650000000001</v>
          </cell>
          <cell r="K15" t="str">
            <v>Contracted</v>
          </cell>
        </row>
        <row r="16">
          <cell r="C16" t="str">
            <v>ANPARA TPS4</v>
          </cell>
          <cell r="D16">
            <v>500</v>
          </cell>
          <cell r="E16" t="str">
            <v xml:space="preserve"> 25-30 years</v>
          </cell>
          <cell r="F16" t="str">
            <v>Uttar Pradesh</v>
          </cell>
          <cell r="G16" t="str">
            <v>STATE SECTOR</v>
          </cell>
          <cell r="H16" t="str">
            <v>1.78</v>
          </cell>
          <cell r="I16" t="str">
            <v>0.72</v>
          </cell>
          <cell r="J16">
            <v>7835.0700000000097</v>
          </cell>
          <cell r="K16" t="str">
            <v>Contracted</v>
          </cell>
        </row>
        <row r="17">
          <cell r="C17" t="str">
            <v>ANPARA TPS6</v>
          </cell>
          <cell r="D17">
            <v>500</v>
          </cell>
          <cell r="E17" t="str">
            <v xml:space="preserve"> 0-5 years</v>
          </cell>
          <cell r="F17" t="str">
            <v>Uttar Pradesh</v>
          </cell>
          <cell r="G17" t="str">
            <v>STATE SECTOR</v>
          </cell>
          <cell r="H17" t="str">
            <v>1.78</v>
          </cell>
          <cell r="I17" t="str">
            <v>0.72</v>
          </cell>
          <cell r="J17">
            <v>6710.2799999999897</v>
          </cell>
          <cell r="K17" t="str">
            <v>Contracted</v>
          </cell>
        </row>
        <row r="18">
          <cell r="C18" t="str">
            <v>ANPARA TPS5</v>
          </cell>
          <cell r="D18">
            <v>500</v>
          </cell>
          <cell r="E18" t="str">
            <v xml:space="preserve"> 25-30 years</v>
          </cell>
          <cell r="F18" t="str">
            <v>Uttar Pradesh</v>
          </cell>
          <cell r="G18" t="str">
            <v>STATE SECTOR</v>
          </cell>
          <cell r="H18" t="str">
            <v>1.78</v>
          </cell>
          <cell r="I18" t="str">
            <v>0.72</v>
          </cell>
          <cell r="J18">
            <v>6574.3299999999899</v>
          </cell>
          <cell r="K18" t="str">
            <v>Contracted</v>
          </cell>
        </row>
        <row r="19">
          <cell r="C19" t="str">
            <v>ANPARA TPS7</v>
          </cell>
          <cell r="D19">
            <v>500</v>
          </cell>
          <cell r="E19" t="str">
            <v xml:space="preserve"> 0-5 years</v>
          </cell>
          <cell r="F19" t="str">
            <v>Uttar Pradesh</v>
          </cell>
          <cell r="G19" t="str">
            <v>STATE SECTOR</v>
          </cell>
          <cell r="I19" t="str">
            <v>0.72</v>
          </cell>
          <cell r="J19">
            <v>6310.1399999999903</v>
          </cell>
          <cell r="K19" t="str">
            <v>Contracted</v>
          </cell>
        </row>
        <row r="20">
          <cell r="C20" t="str">
            <v>ANPARA TPS2</v>
          </cell>
          <cell r="D20">
            <v>210</v>
          </cell>
          <cell r="E20" t="str">
            <v xml:space="preserve"> 30-35 years</v>
          </cell>
          <cell r="F20" t="str">
            <v>Uttar Pradesh</v>
          </cell>
          <cell r="G20" t="str">
            <v>STATE SECTOR</v>
          </cell>
          <cell r="H20" t="str">
            <v>1.78</v>
          </cell>
          <cell r="I20" t="str">
            <v>0.72</v>
          </cell>
          <cell r="J20">
            <v>2996.7685999999999</v>
          </cell>
          <cell r="K20" t="str">
            <v>Contracted</v>
          </cell>
        </row>
        <row r="21">
          <cell r="C21" t="str">
            <v>ANPARA TPS3</v>
          </cell>
          <cell r="D21">
            <v>210</v>
          </cell>
          <cell r="E21" t="str">
            <v xml:space="preserve"> 30-35 years</v>
          </cell>
          <cell r="F21" t="str">
            <v>Uttar Pradesh</v>
          </cell>
          <cell r="G21" t="str">
            <v>STATE SECTOR</v>
          </cell>
          <cell r="H21" t="str">
            <v>1.78</v>
          </cell>
          <cell r="I21" t="str">
            <v>0.72</v>
          </cell>
          <cell r="J21">
            <v>2945.2204999999999</v>
          </cell>
          <cell r="K21" t="str">
            <v>Contracted</v>
          </cell>
        </row>
        <row r="22">
          <cell r="C22" t="str">
            <v>ANPARA TPS1</v>
          </cell>
          <cell r="D22">
            <v>210</v>
          </cell>
          <cell r="E22" t="str">
            <v xml:space="preserve"> 30-35 years</v>
          </cell>
          <cell r="F22" t="str">
            <v>Uttar Pradesh</v>
          </cell>
          <cell r="G22" t="str">
            <v>STATE SECTOR</v>
          </cell>
          <cell r="H22" t="str">
            <v>1.78</v>
          </cell>
          <cell r="I22" t="str">
            <v>0.72</v>
          </cell>
          <cell r="J22">
            <v>2854.7763999999902</v>
          </cell>
          <cell r="K22" t="str">
            <v>Contracted</v>
          </cell>
        </row>
        <row r="23">
          <cell r="C23" t="str">
            <v>ANUPPUR TPP2</v>
          </cell>
          <cell r="D23">
            <v>600</v>
          </cell>
          <cell r="E23" t="str">
            <v xml:space="preserve"> 0-5 years</v>
          </cell>
          <cell r="F23" t="str">
            <v>Madhya Pradesh</v>
          </cell>
          <cell r="G23" t="str">
            <v>PVT SECTOR</v>
          </cell>
          <cell r="I23" t="str">
            <v>2.05</v>
          </cell>
          <cell r="J23">
            <v>6500.3669999999902</v>
          </cell>
          <cell r="K23" t="str">
            <v>Not contracted</v>
          </cell>
        </row>
        <row r="24">
          <cell r="C24" t="str">
            <v>ANUPPUR TPP1</v>
          </cell>
          <cell r="D24">
            <v>600</v>
          </cell>
          <cell r="E24" t="str">
            <v xml:space="preserve"> 0-5 years</v>
          </cell>
          <cell r="F24" t="str">
            <v>Madhya Pradesh</v>
          </cell>
          <cell r="G24" t="str">
            <v>PVT SECTOR</v>
          </cell>
          <cell r="H24" t="str">
            <v>2.42</v>
          </cell>
          <cell r="I24" t="str">
            <v>2.05</v>
          </cell>
          <cell r="J24">
            <v>6399.8360000000002</v>
          </cell>
          <cell r="K24" t="str">
            <v>Contracted</v>
          </cell>
        </row>
        <row r="25">
          <cell r="C25" t="str">
            <v>AVANTHA BHANDAR1</v>
          </cell>
          <cell r="D25">
            <v>600</v>
          </cell>
          <cell r="E25" t="str">
            <v xml:space="preserve"> 5-10 years</v>
          </cell>
          <cell r="F25" t="str">
            <v>Chhattisgarh</v>
          </cell>
          <cell r="G25" t="str">
            <v>PVT SECTOR</v>
          </cell>
          <cell r="J25">
            <v>276.47000000000003</v>
          </cell>
          <cell r="K25" t="str">
            <v>Contracted</v>
          </cell>
        </row>
        <row r="26">
          <cell r="C26" t="str">
            <v>BADARPUR TPS5</v>
          </cell>
          <cell r="D26">
            <v>210</v>
          </cell>
          <cell r="E26" t="str">
            <v xml:space="preserve"> 35-40 years</v>
          </cell>
          <cell r="F26" t="str">
            <v>Delhi</v>
          </cell>
          <cell r="G26" t="str">
            <v>CENTRAL SECTOR</v>
          </cell>
          <cell r="H26" t="str">
            <v>3.86</v>
          </cell>
          <cell r="I26" t="str">
            <v>0.83</v>
          </cell>
          <cell r="J26">
            <v>790.08999999999901</v>
          </cell>
          <cell r="K26" t="str">
            <v>Contracted</v>
          </cell>
        </row>
        <row r="27">
          <cell r="C27" t="str">
            <v>BADARPUR TPS4</v>
          </cell>
          <cell r="D27">
            <v>210</v>
          </cell>
          <cell r="E27" t="str">
            <v xml:space="preserve"> 35-40 years</v>
          </cell>
          <cell r="F27" t="str">
            <v>Delhi</v>
          </cell>
          <cell r="G27" t="str">
            <v>CENTRAL SECTOR</v>
          </cell>
          <cell r="H27" t="str">
            <v>3.86</v>
          </cell>
          <cell r="I27" t="str">
            <v>0.83</v>
          </cell>
          <cell r="J27">
            <v>602.42999999999995</v>
          </cell>
          <cell r="K27" t="str">
            <v>Contracted</v>
          </cell>
        </row>
        <row r="28">
          <cell r="C28" t="str">
            <v>BADARPUR TPS5</v>
          </cell>
          <cell r="D28">
            <v>0</v>
          </cell>
          <cell r="E28" t="str">
            <v xml:space="preserve"> 35-40 years</v>
          </cell>
          <cell r="F28" t="str">
            <v>Delhi</v>
          </cell>
          <cell r="G28" t="str">
            <v>CENTRAL SECTOR</v>
          </cell>
          <cell r="H28" t="str">
            <v>3.86</v>
          </cell>
          <cell r="I28" t="str">
            <v>0.83</v>
          </cell>
          <cell r="J28">
            <v>0</v>
          </cell>
          <cell r="K28" t="str">
            <v>Contracted</v>
          </cell>
        </row>
        <row r="29">
          <cell r="C29" t="str">
            <v>BADARPUR TPS4</v>
          </cell>
          <cell r="D29">
            <v>0</v>
          </cell>
          <cell r="E29" t="str">
            <v xml:space="preserve"> 35-40 years</v>
          </cell>
          <cell r="F29" t="str">
            <v>Delhi</v>
          </cell>
          <cell r="G29" t="str">
            <v>CENTRAL SECTOR</v>
          </cell>
          <cell r="H29" t="str">
            <v>3.86</v>
          </cell>
          <cell r="I29" t="str">
            <v>0.83</v>
          </cell>
          <cell r="J29">
            <v>0</v>
          </cell>
          <cell r="K29" t="str">
            <v>Contracted</v>
          </cell>
        </row>
        <row r="30">
          <cell r="C30" t="str">
            <v>BADARPUR TPS3</v>
          </cell>
          <cell r="D30">
            <v>95</v>
          </cell>
          <cell r="E30" t="str">
            <v xml:space="preserve"> 40-45 years</v>
          </cell>
          <cell r="F30" t="str">
            <v>Delhi</v>
          </cell>
          <cell r="G30" t="str">
            <v>CENTRAL SECTOR</v>
          </cell>
          <cell r="I30" t="str">
            <v>0.83</v>
          </cell>
          <cell r="J30">
            <v>0</v>
          </cell>
          <cell r="K30" t="str">
            <v>Contracted</v>
          </cell>
        </row>
        <row r="31">
          <cell r="C31" t="str">
            <v>BADARPUR TPS3</v>
          </cell>
          <cell r="D31">
            <v>0</v>
          </cell>
          <cell r="E31" t="str">
            <v xml:space="preserve"> 40-45 years</v>
          </cell>
          <cell r="F31" t="str">
            <v>Delhi</v>
          </cell>
          <cell r="G31" t="str">
            <v>CENTRAL SECTOR</v>
          </cell>
          <cell r="I31" t="str">
            <v>0.83</v>
          </cell>
          <cell r="J31">
            <v>0</v>
          </cell>
          <cell r="K31" t="str">
            <v>Contracted</v>
          </cell>
        </row>
        <row r="32">
          <cell r="C32" t="str">
            <v>BADARPUR TPS2</v>
          </cell>
          <cell r="D32">
            <v>95</v>
          </cell>
          <cell r="E32" t="str">
            <v xml:space="preserve"> 45+ years</v>
          </cell>
          <cell r="F32" t="str">
            <v>Delhi</v>
          </cell>
          <cell r="G32" t="str">
            <v>CENTRAL SECTOR</v>
          </cell>
          <cell r="I32" t="str">
            <v>0.83</v>
          </cell>
          <cell r="J32">
            <v>0</v>
          </cell>
          <cell r="K32" t="str">
            <v>Contracted</v>
          </cell>
        </row>
        <row r="33">
          <cell r="C33" t="str">
            <v>BADARPUR TPS2</v>
          </cell>
          <cell r="D33">
            <v>0</v>
          </cell>
          <cell r="E33" t="str">
            <v xml:space="preserve"> 45+ years</v>
          </cell>
          <cell r="F33" t="str">
            <v>Delhi</v>
          </cell>
          <cell r="G33" t="str">
            <v>CENTRAL SECTOR</v>
          </cell>
          <cell r="I33" t="str">
            <v>0.83</v>
          </cell>
          <cell r="J33">
            <v>0</v>
          </cell>
          <cell r="K33" t="str">
            <v>Contracted</v>
          </cell>
        </row>
        <row r="34">
          <cell r="C34" t="str">
            <v>BADARPUR TPS1</v>
          </cell>
          <cell r="D34">
            <v>95</v>
          </cell>
          <cell r="E34" t="str">
            <v xml:space="preserve"> 45+ years</v>
          </cell>
          <cell r="F34" t="str">
            <v>Delhi</v>
          </cell>
          <cell r="G34" t="str">
            <v>CENTRAL SECTOR</v>
          </cell>
          <cell r="I34" t="str">
            <v>0.83</v>
          </cell>
          <cell r="J34">
            <v>0</v>
          </cell>
          <cell r="K34" t="str">
            <v>Contracted</v>
          </cell>
        </row>
        <row r="35">
          <cell r="C35" t="str">
            <v>BADARPUR TPS1</v>
          </cell>
          <cell r="D35">
            <v>0</v>
          </cell>
          <cell r="E35" t="str">
            <v xml:space="preserve"> 45+ years</v>
          </cell>
          <cell r="F35" t="str">
            <v>Delhi</v>
          </cell>
          <cell r="G35" t="str">
            <v>CENTRAL SECTOR</v>
          </cell>
          <cell r="I35" t="str">
            <v>0.83</v>
          </cell>
          <cell r="J35">
            <v>0</v>
          </cell>
          <cell r="K35" t="str">
            <v>Contracted</v>
          </cell>
        </row>
        <row r="36">
          <cell r="C36" t="str">
            <v>BAKRESWAR TPS1</v>
          </cell>
          <cell r="D36">
            <v>210</v>
          </cell>
          <cell r="E36" t="str">
            <v xml:space="preserve"> 10-15 years</v>
          </cell>
          <cell r="F36" t="str">
            <v>West Bengal</v>
          </cell>
          <cell r="G36" t="str">
            <v>STATE SECTOR</v>
          </cell>
          <cell r="H36" t="str">
            <v>2.52</v>
          </cell>
          <cell r="J36">
            <v>2973.4769999999899</v>
          </cell>
          <cell r="K36" t="str">
            <v>Contracted</v>
          </cell>
        </row>
        <row r="37">
          <cell r="C37" t="str">
            <v>BAKRESWAR TPS4</v>
          </cell>
          <cell r="D37">
            <v>210</v>
          </cell>
          <cell r="E37" t="str">
            <v xml:space="preserve"> 15-20 years</v>
          </cell>
          <cell r="F37" t="str">
            <v>West Bengal</v>
          </cell>
          <cell r="G37" t="str">
            <v>STATE SECTOR</v>
          </cell>
          <cell r="H37" t="str">
            <v>2.52</v>
          </cell>
          <cell r="J37">
            <v>2836.73199999999</v>
          </cell>
          <cell r="K37" t="str">
            <v>Contracted</v>
          </cell>
        </row>
        <row r="38">
          <cell r="C38" t="str">
            <v>BAKRESWAR TPS2</v>
          </cell>
          <cell r="D38">
            <v>210</v>
          </cell>
          <cell r="E38" t="str">
            <v xml:space="preserve"> 20-25 years</v>
          </cell>
          <cell r="F38" t="str">
            <v>West Bengal</v>
          </cell>
          <cell r="G38" t="str">
            <v>STATE SECTOR</v>
          </cell>
          <cell r="H38" t="str">
            <v>2.52</v>
          </cell>
          <cell r="J38">
            <v>2781.933</v>
          </cell>
          <cell r="K38" t="str">
            <v>Contracted</v>
          </cell>
        </row>
        <row r="39">
          <cell r="C39" t="str">
            <v>BAKRESWAR TPS3</v>
          </cell>
          <cell r="D39">
            <v>210</v>
          </cell>
          <cell r="E39" t="str">
            <v xml:space="preserve"> 15-20 years</v>
          </cell>
          <cell r="F39" t="str">
            <v>West Bengal</v>
          </cell>
          <cell r="G39" t="str">
            <v>STATE SECTOR</v>
          </cell>
          <cell r="H39" t="str">
            <v>2.52</v>
          </cell>
          <cell r="J39">
            <v>2657.0659999999998</v>
          </cell>
          <cell r="K39" t="str">
            <v>Contracted</v>
          </cell>
        </row>
        <row r="40">
          <cell r="C40" t="str">
            <v>BAKRESWAR TPS5</v>
          </cell>
          <cell r="D40">
            <v>210</v>
          </cell>
          <cell r="E40" t="str">
            <v xml:space="preserve"> 10-15 years</v>
          </cell>
          <cell r="F40" t="str">
            <v>West Bengal</v>
          </cell>
          <cell r="G40" t="str">
            <v>STATE SECTOR</v>
          </cell>
          <cell r="H40" t="str">
            <v>2.52</v>
          </cell>
          <cell r="J40">
            <v>2623.1659999999902</v>
          </cell>
          <cell r="K40" t="str">
            <v>Contracted</v>
          </cell>
        </row>
        <row r="41">
          <cell r="C41" t="str">
            <v>BALCO TPS1</v>
          </cell>
          <cell r="D41">
            <v>300</v>
          </cell>
          <cell r="E41" t="str">
            <v xml:space="preserve"> 0-5 years</v>
          </cell>
          <cell r="F41" t="str">
            <v>Chhattisgarh</v>
          </cell>
          <cell r="G41" t="str">
            <v>PVT SECTOR</v>
          </cell>
          <cell r="H41" t="str">
            <v>1.60</v>
          </cell>
          <cell r="J41">
            <v>3171.0455999999999</v>
          </cell>
          <cell r="K41" t="str">
            <v>Contracted</v>
          </cell>
        </row>
        <row r="42">
          <cell r="C42" t="str">
            <v>BALCO TPS2</v>
          </cell>
          <cell r="D42">
            <v>300</v>
          </cell>
          <cell r="E42" t="str">
            <v xml:space="preserve"> 0-5 years</v>
          </cell>
          <cell r="F42" t="str">
            <v>Chhattisgarh</v>
          </cell>
          <cell r="G42" t="str">
            <v>PVT SECTOR</v>
          </cell>
          <cell r="H42" t="str">
            <v>1.60</v>
          </cell>
          <cell r="J42">
            <v>2974.6844999999998</v>
          </cell>
          <cell r="K42" t="str">
            <v>Contracted</v>
          </cell>
        </row>
        <row r="43">
          <cell r="C43" t="str">
            <v>BANDAKHAR TPP1</v>
          </cell>
          <cell r="D43">
            <v>300</v>
          </cell>
          <cell r="E43" t="str">
            <v xml:space="preserve"> 0-5 years</v>
          </cell>
          <cell r="F43" t="str">
            <v>Chhattisgarh</v>
          </cell>
          <cell r="G43" t="str">
            <v>PVT SECTOR</v>
          </cell>
          <cell r="H43" t="str">
            <v>1.60</v>
          </cell>
          <cell r="J43">
            <v>4123.5986999999996</v>
          </cell>
          <cell r="K43" t="str">
            <v>Contracted</v>
          </cell>
        </row>
        <row r="44">
          <cell r="C44" t="str">
            <v>BANDEL TPS5</v>
          </cell>
          <cell r="D44">
            <v>210</v>
          </cell>
          <cell r="E44" t="str">
            <v xml:space="preserve"> 35-40 years</v>
          </cell>
          <cell r="F44" t="str">
            <v>West Bengal</v>
          </cell>
          <cell r="G44" t="str">
            <v>STATE SECTOR</v>
          </cell>
          <cell r="H44" t="str">
            <v>3.98</v>
          </cell>
          <cell r="J44">
            <v>1492.8420000000001</v>
          </cell>
          <cell r="K44" t="str">
            <v>Contracted</v>
          </cell>
        </row>
        <row r="45">
          <cell r="C45" t="str">
            <v>BANDEL TPS2</v>
          </cell>
          <cell r="D45">
            <v>60</v>
          </cell>
          <cell r="E45" t="str">
            <v xml:space="preserve"> 45+ years</v>
          </cell>
          <cell r="F45" t="str">
            <v>West Bengal</v>
          </cell>
          <cell r="G45" t="str">
            <v>STATE SECTOR</v>
          </cell>
          <cell r="H45" t="str">
            <v>3.98</v>
          </cell>
          <cell r="J45">
            <v>341.534999999999</v>
          </cell>
          <cell r="K45" t="str">
            <v>Contracted</v>
          </cell>
        </row>
        <row r="46">
          <cell r="C46" t="str">
            <v>BANDEL TPS1</v>
          </cell>
          <cell r="D46">
            <v>60</v>
          </cell>
          <cell r="E46" t="str">
            <v xml:space="preserve"> 45+ years</v>
          </cell>
          <cell r="F46" t="str">
            <v>West Bengal</v>
          </cell>
          <cell r="G46" t="str">
            <v>STATE SECTOR</v>
          </cell>
          <cell r="H46" t="str">
            <v>3.98</v>
          </cell>
          <cell r="J46">
            <v>329.12699999999899</v>
          </cell>
          <cell r="K46" t="str">
            <v>Contracted</v>
          </cell>
        </row>
        <row r="47">
          <cell r="C47" t="str">
            <v>BANDEL TPS4</v>
          </cell>
          <cell r="D47">
            <v>60</v>
          </cell>
          <cell r="E47" t="str">
            <v xml:space="preserve"> 45+ years</v>
          </cell>
          <cell r="F47" t="str">
            <v>West Bengal</v>
          </cell>
          <cell r="G47" t="str">
            <v>STATE SECTOR</v>
          </cell>
          <cell r="J47">
            <v>0</v>
          </cell>
          <cell r="K47" t="str">
            <v>Contracted</v>
          </cell>
        </row>
        <row r="48">
          <cell r="C48" t="str">
            <v>BANDEL TPS4</v>
          </cell>
          <cell r="D48">
            <v>0</v>
          </cell>
          <cell r="E48" t="str">
            <v xml:space="preserve"> 45+ years</v>
          </cell>
          <cell r="F48" t="str">
            <v>West Bengal</v>
          </cell>
          <cell r="G48" t="str">
            <v>STATE SECTOR</v>
          </cell>
          <cell r="J48">
            <v>0</v>
          </cell>
          <cell r="K48" t="str">
            <v>Contracted</v>
          </cell>
        </row>
        <row r="49">
          <cell r="C49" t="str">
            <v>BANDEL TPS3</v>
          </cell>
          <cell r="D49">
            <v>60</v>
          </cell>
          <cell r="E49" t="str">
            <v xml:space="preserve"> 45+ years</v>
          </cell>
          <cell r="F49" t="str">
            <v>West Bengal</v>
          </cell>
          <cell r="G49" t="str">
            <v>STATE SECTOR</v>
          </cell>
          <cell r="H49" t="str">
            <v>3.98</v>
          </cell>
          <cell r="J49">
            <v>0</v>
          </cell>
          <cell r="K49" t="str">
            <v>Contracted</v>
          </cell>
        </row>
        <row r="50">
          <cell r="C50" t="str">
            <v>BANDEL TPS3</v>
          </cell>
          <cell r="D50">
            <v>0</v>
          </cell>
          <cell r="E50" t="str">
            <v xml:space="preserve"> 45+ years</v>
          </cell>
          <cell r="F50" t="str">
            <v>West Bengal</v>
          </cell>
          <cell r="G50" t="str">
            <v>STATE SECTOR</v>
          </cell>
          <cell r="H50" t="str">
            <v>3.98</v>
          </cell>
          <cell r="J50">
            <v>0</v>
          </cell>
          <cell r="K50" t="str">
            <v>Contracted</v>
          </cell>
        </row>
        <row r="51">
          <cell r="C51" t="str">
            <v>BARA TPP1</v>
          </cell>
          <cell r="D51">
            <v>660</v>
          </cell>
          <cell r="E51" t="str">
            <v xml:space="preserve"> 0-5 years</v>
          </cell>
          <cell r="F51" t="str">
            <v>Uttar Pradesh</v>
          </cell>
          <cell r="G51" t="str">
            <v>PVT SECTOR</v>
          </cell>
          <cell r="H51" t="str">
            <v>2.55</v>
          </cell>
          <cell r="I51" t="str">
            <v>1.66</v>
          </cell>
          <cell r="J51">
            <v>7255.357</v>
          </cell>
          <cell r="K51" t="str">
            <v>Contracted</v>
          </cell>
        </row>
        <row r="52">
          <cell r="C52" t="str">
            <v>BARA TPP3</v>
          </cell>
          <cell r="D52">
            <v>660</v>
          </cell>
          <cell r="E52" t="str">
            <v xml:space="preserve"> 0-5 years</v>
          </cell>
          <cell r="F52" t="str">
            <v>Uttar Pradesh</v>
          </cell>
          <cell r="G52" t="str">
            <v>PVT SECTOR</v>
          </cell>
          <cell r="H52" t="str">
            <v>2.55</v>
          </cell>
          <cell r="I52" t="str">
            <v>1.66</v>
          </cell>
          <cell r="J52">
            <v>5902.4969999999903</v>
          </cell>
          <cell r="K52" t="str">
            <v>Contracted</v>
          </cell>
        </row>
        <row r="53">
          <cell r="C53" t="str">
            <v>BARA TPP2</v>
          </cell>
          <cell r="D53">
            <v>660</v>
          </cell>
          <cell r="E53" t="str">
            <v xml:space="preserve"> 0-5 years</v>
          </cell>
          <cell r="F53" t="str">
            <v>Uttar Pradesh</v>
          </cell>
          <cell r="G53" t="str">
            <v>PVT SECTOR</v>
          </cell>
          <cell r="H53" t="str">
            <v>2.55</v>
          </cell>
          <cell r="I53" t="str">
            <v>1.66</v>
          </cell>
          <cell r="J53">
            <v>3370.5449999999901</v>
          </cell>
          <cell r="K53" t="str">
            <v>Contracted</v>
          </cell>
        </row>
        <row r="54">
          <cell r="C54" t="str">
            <v>BARADARHA TPS2</v>
          </cell>
          <cell r="D54">
            <v>600</v>
          </cell>
          <cell r="E54" t="str">
            <v xml:space="preserve"> 5-10 years</v>
          </cell>
          <cell r="F54" t="str">
            <v>Chhattisgarh</v>
          </cell>
          <cell r="G54" t="str">
            <v>PVT SECTOR</v>
          </cell>
          <cell r="H54" t="str">
            <v>2.06</v>
          </cell>
          <cell r="I54" t="str">
            <v>2.97</v>
          </cell>
          <cell r="J54">
            <v>6352.1961999999903</v>
          </cell>
          <cell r="K54" t="str">
            <v>Contracted</v>
          </cell>
        </row>
        <row r="55">
          <cell r="C55" t="str">
            <v>BARADARHA TPS1</v>
          </cell>
          <cell r="D55">
            <v>600</v>
          </cell>
          <cell r="E55" t="str">
            <v xml:space="preserve"> 5-10 years</v>
          </cell>
          <cell r="F55" t="str">
            <v>Chhattisgarh</v>
          </cell>
          <cell r="G55" t="str">
            <v>PVT SECTOR</v>
          </cell>
          <cell r="H55" t="str">
            <v>2.06</v>
          </cell>
          <cell r="I55" t="str">
            <v>2.97</v>
          </cell>
          <cell r="J55">
            <v>6311.835</v>
          </cell>
          <cell r="K55" t="str">
            <v>Contracted</v>
          </cell>
        </row>
        <row r="56">
          <cell r="C56" t="str">
            <v>BARAUNI TPS7</v>
          </cell>
          <cell r="D56">
            <v>105</v>
          </cell>
          <cell r="E56" t="str">
            <v xml:space="preserve"> 0-5 years</v>
          </cell>
          <cell r="F56" t="str">
            <v>Bihar</v>
          </cell>
          <cell r="G56" t="str">
            <v>CENTRAL SECTOR</v>
          </cell>
          <cell r="H56" t="str">
            <v>3.04</v>
          </cell>
          <cell r="I56" t="str">
            <v>1.92</v>
          </cell>
          <cell r="J56">
            <v>153.57499999999899</v>
          </cell>
          <cell r="K56" t="str">
            <v>Not contracted</v>
          </cell>
        </row>
        <row r="57">
          <cell r="C57" t="str">
            <v>BARAUNI TPS8</v>
          </cell>
          <cell r="D57">
            <v>250</v>
          </cell>
          <cell r="E57" t="str">
            <v xml:space="preserve"> 0-5 years</v>
          </cell>
          <cell r="F57" t="str">
            <v>Bihar</v>
          </cell>
          <cell r="G57" t="str">
            <v>CENTRAL SECTOR</v>
          </cell>
          <cell r="I57" t="str">
            <v>1.92</v>
          </cell>
          <cell r="J57">
            <v>107.97</v>
          </cell>
          <cell r="K57" t="str">
            <v>Not contracted</v>
          </cell>
        </row>
        <row r="58">
          <cell r="C58" t="str">
            <v>BARAUNI TPS6</v>
          </cell>
          <cell r="D58">
            <v>105</v>
          </cell>
          <cell r="E58" t="e">
            <v>#N/A</v>
          </cell>
          <cell r="F58" t="str">
            <v>Bihar</v>
          </cell>
          <cell r="G58" t="str">
            <v>CENTRAL SECTOR</v>
          </cell>
          <cell r="J58">
            <v>10.29</v>
          </cell>
          <cell r="K58" t="str">
            <v>Contracted</v>
          </cell>
        </row>
        <row r="59">
          <cell r="C59" t="str">
            <v>BARAUNI TPS9</v>
          </cell>
          <cell r="D59">
            <v>250</v>
          </cell>
          <cell r="E59" t="str">
            <v xml:space="preserve"> 0-5 years</v>
          </cell>
          <cell r="F59" t="str">
            <v>Bihar</v>
          </cell>
          <cell r="G59" t="str">
            <v>STATE SECTOR</v>
          </cell>
          <cell r="H59" t="str">
            <v>3.04</v>
          </cell>
          <cell r="I59" t="str">
            <v>1.92</v>
          </cell>
          <cell r="J59">
            <v>0</v>
          </cell>
          <cell r="K59" t="str">
            <v>Not contracted</v>
          </cell>
        </row>
        <row r="60">
          <cell r="C60" t="str">
            <v>BARH I2</v>
          </cell>
          <cell r="D60">
            <v>0</v>
          </cell>
          <cell r="E60" t="e">
            <v>#N/A</v>
          </cell>
          <cell r="F60" t="str">
            <v>Bihar</v>
          </cell>
          <cell r="G60" t="str">
            <v>CENTRAL SECTOR</v>
          </cell>
          <cell r="J60">
            <v>0</v>
          </cell>
          <cell r="K60" t="str">
            <v>Not contracted</v>
          </cell>
        </row>
        <row r="61">
          <cell r="C61" t="str">
            <v>BARH I1</v>
          </cell>
          <cell r="D61">
            <v>0</v>
          </cell>
          <cell r="E61" t="e">
            <v>#N/A</v>
          </cell>
          <cell r="F61" t="str">
            <v>Bihar</v>
          </cell>
          <cell r="G61" t="str">
            <v>CENTRAL SECTOR</v>
          </cell>
          <cell r="J61">
            <v>0</v>
          </cell>
          <cell r="K61" t="str">
            <v>Not contracted</v>
          </cell>
        </row>
        <row r="62">
          <cell r="C62" t="str">
            <v>BARH II5</v>
          </cell>
          <cell r="D62">
            <v>660</v>
          </cell>
          <cell r="E62" t="str">
            <v xml:space="preserve"> 5-10 years</v>
          </cell>
          <cell r="F62" t="str">
            <v>Bihar</v>
          </cell>
          <cell r="G62" t="str">
            <v>CENTRAL SECTOR</v>
          </cell>
          <cell r="I62" t="str">
            <v>0.00</v>
          </cell>
          <cell r="J62">
            <v>9473.0098999999991</v>
          </cell>
          <cell r="K62" t="str">
            <v>Contracted</v>
          </cell>
        </row>
        <row r="63">
          <cell r="C63" t="str">
            <v>BARH II4</v>
          </cell>
          <cell r="D63">
            <v>660</v>
          </cell>
          <cell r="E63" t="str">
            <v xml:space="preserve"> 5-10 years</v>
          </cell>
          <cell r="F63" t="str">
            <v>Bihar</v>
          </cell>
          <cell r="G63" t="str">
            <v>CENTRAL SECTOR</v>
          </cell>
          <cell r="I63" t="str">
            <v>0.00</v>
          </cell>
          <cell r="J63">
            <v>8348.9399999999896</v>
          </cell>
          <cell r="K63" t="str">
            <v>Contracted</v>
          </cell>
        </row>
        <row r="64">
          <cell r="C64" t="str">
            <v>BARKHERA TPS1</v>
          </cell>
          <cell r="D64">
            <v>45</v>
          </cell>
          <cell r="E64" t="str">
            <v xml:space="preserve"> 5-10 years</v>
          </cell>
          <cell r="F64" t="str">
            <v>Uttar Pradesh</v>
          </cell>
          <cell r="G64" t="str">
            <v>PVT SECTOR</v>
          </cell>
          <cell r="I64" t="str">
            <v>1.83</v>
          </cell>
          <cell r="J64">
            <v>127.195999999999</v>
          </cell>
          <cell r="K64" t="str">
            <v>Contracted</v>
          </cell>
        </row>
        <row r="65">
          <cell r="C65" t="str">
            <v>BARKHERA TPS2</v>
          </cell>
          <cell r="D65">
            <v>45</v>
          </cell>
          <cell r="E65" t="str">
            <v xml:space="preserve"> 5-10 years</v>
          </cell>
          <cell r="F65" t="str">
            <v>Uttar Pradesh</v>
          </cell>
          <cell r="G65" t="str">
            <v>PVT SECTOR</v>
          </cell>
          <cell r="H65" t="str">
            <v>3.44</v>
          </cell>
          <cell r="I65" t="str">
            <v>1.83</v>
          </cell>
          <cell r="J65">
            <v>114.39700000000001</v>
          </cell>
          <cell r="K65" t="str">
            <v>Contracted</v>
          </cell>
        </row>
        <row r="66">
          <cell r="C66" t="str">
            <v>BARSINGSAR LIGNITE1</v>
          </cell>
          <cell r="D66">
            <v>125</v>
          </cell>
          <cell r="E66" t="str">
            <v xml:space="preserve"> 5-10 years</v>
          </cell>
          <cell r="F66" t="str">
            <v>Rajasthan</v>
          </cell>
          <cell r="G66" t="str">
            <v>CENTRAL SECTOR</v>
          </cell>
          <cell r="I66" t="str">
            <v>2.33</v>
          </cell>
          <cell r="J66">
            <v>1480.097</v>
          </cell>
          <cell r="K66" t="str">
            <v>Contracted</v>
          </cell>
        </row>
        <row r="67">
          <cell r="C67" t="str">
            <v>BARSINGSAR LIGNITE2</v>
          </cell>
          <cell r="D67">
            <v>125</v>
          </cell>
          <cell r="E67" t="str">
            <v xml:space="preserve"> 5-10 years</v>
          </cell>
          <cell r="F67" t="str">
            <v>Rajasthan</v>
          </cell>
          <cell r="G67" t="str">
            <v>CENTRAL SECTOR</v>
          </cell>
          <cell r="H67" t="str">
            <v>1.13</v>
          </cell>
          <cell r="I67" t="str">
            <v>2.33</v>
          </cell>
          <cell r="J67">
            <v>1353.9090000000001</v>
          </cell>
          <cell r="K67" t="str">
            <v>Contracted</v>
          </cell>
        </row>
        <row r="68">
          <cell r="C68" t="str">
            <v>BELA TPS1</v>
          </cell>
          <cell r="D68">
            <v>270</v>
          </cell>
          <cell r="E68" t="str">
            <v xml:space="preserve"> 5-10 years</v>
          </cell>
          <cell r="F68" t="str">
            <v>Maharashtra</v>
          </cell>
          <cell r="G68" t="str">
            <v>PVT SECTOR</v>
          </cell>
          <cell r="J68">
            <v>150.84299999999999</v>
          </cell>
          <cell r="K68" t="str">
            <v>Not contracted</v>
          </cell>
        </row>
        <row r="69">
          <cell r="C69" t="str">
            <v>BELLARY TPS2</v>
          </cell>
          <cell r="D69">
            <v>500</v>
          </cell>
          <cell r="E69" t="str">
            <v xml:space="preserve"> 5-10 years</v>
          </cell>
          <cell r="F69" t="str">
            <v>Karnataka</v>
          </cell>
          <cell r="G69" t="str">
            <v>STATE SECTOR</v>
          </cell>
          <cell r="I69" t="str">
            <v>1.67</v>
          </cell>
          <cell r="J69">
            <v>3609.4</v>
          </cell>
          <cell r="K69" t="str">
            <v>Contracted</v>
          </cell>
        </row>
        <row r="70">
          <cell r="C70" t="str">
            <v>BELLARY TPS1</v>
          </cell>
          <cell r="D70">
            <v>500</v>
          </cell>
          <cell r="E70" t="str">
            <v xml:space="preserve"> 10-15 years</v>
          </cell>
          <cell r="F70" t="str">
            <v>Karnataka</v>
          </cell>
          <cell r="G70" t="str">
            <v>STATE SECTOR</v>
          </cell>
          <cell r="H70" t="str">
            <v>4.36</v>
          </cell>
          <cell r="I70" t="str">
            <v>1.67</v>
          </cell>
          <cell r="J70">
            <v>2360.37</v>
          </cell>
          <cell r="K70" t="str">
            <v>Contracted</v>
          </cell>
        </row>
        <row r="71">
          <cell r="C71" t="str">
            <v>BELLARY TPS3</v>
          </cell>
          <cell r="D71">
            <v>700</v>
          </cell>
          <cell r="E71" t="str">
            <v xml:space="preserve"> 0-5 years</v>
          </cell>
          <cell r="F71" t="str">
            <v>Karnataka</v>
          </cell>
          <cell r="G71" t="str">
            <v>STATE SECTOR</v>
          </cell>
          <cell r="H71" t="str">
            <v>4.36</v>
          </cell>
          <cell r="I71" t="str">
            <v>1.67</v>
          </cell>
          <cell r="J71">
            <v>2061.6999999999998</v>
          </cell>
          <cell r="K71" t="str">
            <v>Contracted</v>
          </cell>
        </row>
        <row r="72">
          <cell r="C72" t="str">
            <v>BHADRADRI TPP4</v>
          </cell>
          <cell r="D72">
            <v>0</v>
          </cell>
          <cell r="E72" t="e">
            <v>#N/A</v>
          </cell>
          <cell r="F72" t="str">
            <v>Telangana</v>
          </cell>
          <cell r="G72" t="str">
            <v>STATE SECTOR</v>
          </cell>
          <cell r="J72">
            <v>0</v>
          </cell>
          <cell r="K72" t="str">
            <v>Not contracted</v>
          </cell>
        </row>
        <row r="73">
          <cell r="C73" t="str">
            <v>BHADRADRI TPP3</v>
          </cell>
          <cell r="D73">
            <v>0</v>
          </cell>
          <cell r="E73" t="e">
            <v>#N/A</v>
          </cell>
          <cell r="F73" t="str">
            <v>Telangana</v>
          </cell>
          <cell r="G73" t="str">
            <v>STATE SECTOR</v>
          </cell>
          <cell r="J73">
            <v>0</v>
          </cell>
          <cell r="K73" t="str">
            <v>Not contracted</v>
          </cell>
        </row>
        <row r="74">
          <cell r="C74" t="str">
            <v>BHADRADRI TPP2</v>
          </cell>
          <cell r="D74">
            <v>0</v>
          </cell>
          <cell r="E74" t="e">
            <v>#N/A</v>
          </cell>
          <cell r="F74" t="str">
            <v>Telangana</v>
          </cell>
          <cell r="G74" t="str">
            <v>STATE SECTOR</v>
          </cell>
          <cell r="J74">
            <v>0</v>
          </cell>
          <cell r="K74" t="str">
            <v>Not contracted</v>
          </cell>
        </row>
        <row r="75">
          <cell r="C75" t="str">
            <v>BHADRADRI TPP1</v>
          </cell>
          <cell r="D75">
            <v>0</v>
          </cell>
          <cell r="E75" t="e">
            <v>#N/A</v>
          </cell>
          <cell r="F75" t="str">
            <v>Telangana</v>
          </cell>
          <cell r="G75" t="str">
            <v>STATE SECTOR</v>
          </cell>
          <cell r="J75">
            <v>0</v>
          </cell>
          <cell r="K75" t="str">
            <v>Not contracted</v>
          </cell>
        </row>
        <row r="76">
          <cell r="C76" t="str">
            <v>BHAVNAGAR TPP1</v>
          </cell>
          <cell r="D76">
            <v>250</v>
          </cell>
          <cell r="E76" t="str">
            <v xml:space="preserve"> 0-5 years</v>
          </cell>
          <cell r="F76" t="str">
            <v>Gujarat</v>
          </cell>
          <cell r="G76" t="str">
            <v>STATE SECTOR</v>
          </cell>
          <cell r="I76" t="str">
            <v>2.63</v>
          </cell>
          <cell r="J76">
            <v>732.95799999999895</v>
          </cell>
          <cell r="K76" t="str">
            <v>Contracted</v>
          </cell>
        </row>
        <row r="77">
          <cell r="C77" t="str">
            <v>BHAVNAGAR TPP2</v>
          </cell>
          <cell r="D77">
            <v>250</v>
          </cell>
          <cell r="E77" t="str">
            <v xml:space="preserve"> 0-5 years</v>
          </cell>
          <cell r="F77" t="str">
            <v>Gujarat</v>
          </cell>
          <cell r="G77" t="str">
            <v>STATE SECTOR</v>
          </cell>
          <cell r="H77" t="str">
            <v>2.60</v>
          </cell>
          <cell r="I77" t="str">
            <v>2.63</v>
          </cell>
          <cell r="J77">
            <v>438.75999999999902</v>
          </cell>
          <cell r="K77" t="str">
            <v>Contracted</v>
          </cell>
        </row>
        <row r="78">
          <cell r="C78" t="str">
            <v>BHILAI TPS2</v>
          </cell>
          <cell r="D78">
            <v>250</v>
          </cell>
          <cell r="E78" t="str">
            <v xml:space="preserve"> 10-15 years</v>
          </cell>
          <cell r="F78" t="str">
            <v>Chhattisgarh</v>
          </cell>
          <cell r="G78" t="str">
            <v>CENTRAL SECTOR</v>
          </cell>
          <cell r="H78" t="str">
            <v>3.11</v>
          </cell>
          <cell r="I78" t="str">
            <v>2.21</v>
          </cell>
          <cell r="J78">
            <v>3173.75</v>
          </cell>
          <cell r="K78" t="str">
            <v>Contracted</v>
          </cell>
        </row>
        <row r="79">
          <cell r="C79" t="str">
            <v>BHILAI TPS1</v>
          </cell>
          <cell r="D79">
            <v>250</v>
          </cell>
          <cell r="E79" t="str">
            <v xml:space="preserve"> 10-15 years</v>
          </cell>
          <cell r="F79" t="str">
            <v>Chhattisgarh</v>
          </cell>
          <cell r="G79" t="str">
            <v>CENTRAL SECTOR</v>
          </cell>
          <cell r="H79" t="str">
            <v>3.11</v>
          </cell>
          <cell r="I79" t="str">
            <v>2.21</v>
          </cell>
          <cell r="J79">
            <v>2924.7219999999902</v>
          </cell>
          <cell r="K79" t="str">
            <v>Contracted</v>
          </cell>
        </row>
        <row r="80">
          <cell r="C80" t="str">
            <v>BHUSAWAL TPS5</v>
          </cell>
          <cell r="D80">
            <v>500</v>
          </cell>
          <cell r="E80" t="str">
            <v xml:space="preserve"> 5-10 years</v>
          </cell>
          <cell r="F80" t="str">
            <v>Maharashtra</v>
          </cell>
          <cell r="G80" t="str">
            <v>STATE SECTOR</v>
          </cell>
          <cell r="H80" t="str">
            <v>2.74</v>
          </cell>
          <cell r="I80" t="str">
            <v>1.49</v>
          </cell>
          <cell r="J80">
            <v>5794.7150000000001</v>
          </cell>
          <cell r="K80" t="str">
            <v>Contracted</v>
          </cell>
        </row>
        <row r="81">
          <cell r="C81" t="str">
            <v>BHUSAWAL TPS4</v>
          </cell>
          <cell r="D81">
            <v>500</v>
          </cell>
          <cell r="E81" t="str">
            <v xml:space="preserve"> 5-10 years</v>
          </cell>
          <cell r="F81" t="str">
            <v>Maharashtra</v>
          </cell>
          <cell r="G81" t="str">
            <v>STATE SECTOR</v>
          </cell>
          <cell r="H81" t="str">
            <v>2.74</v>
          </cell>
          <cell r="I81" t="str">
            <v>1.49</v>
          </cell>
          <cell r="J81">
            <v>5774.73</v>
          </cell>
          <cell r="K81" t="str">
            <v>Contracted</v>
          </cell>
        </row>
        <row r="82">
          <cell r="C82" t="str">
            <v>BHUSAWAL TPS3</v>
          </cell>
          <cell r="D82">
            <v>210</v>
          </cell>
          <cell r="E82" t="str">
            <v xml:space="preserve"> 35-40 years</v>
          </cell>
          <cell r="F82" t="str">
            <v>Maharashtra</v>
          </cell>
          <cell r="G82" t="str">
            <v>STATE SECTOR</v>
          </cell>
          <cell r="I82" t="str">
            <v>1.49</v>
          </cell>
          <cell r="J82">
            <v>273.539999999999</v>
          </cell>
          <cell r="K82" t="str">
            <v>Contracted</v>
          </cell>
        </row>
        <row r="83">
          <cell r="C83" t="str">
            <v>BINA TPS1</v>
          </cell>
          <cell r="D83">
            <v>250</v>
          </cell>
          <cell r="E83" t="str">
            <v xml:space="preserve"> 5-10 years</v>
          </cell>
          <cell r="F83" t="str">
            <v>Madhya Pradesh</v>
          </cell>
          <cell r="G83" t="str">
            <v>PVT SECTOR</v>
          </cell>
          <cell r="J83">
            <v>2563.8944000000001</v>
          </cell>
          <cell r="K83" t="str">
            <v>Contracted</v>
          </cell>
        </row>
        <row r="84">
          <cell r="C84" t="str">
            <v>BINA TPS2</v>
          </cell>
          <cell r="D84">
            <v>250</v>
          </cell>
          <cell r="E84" t="str">
            <v xml:space="preserve"> 5-10 years</v>
          </cell>
          <cell r="F84" t="str">
            <v>Madhya Pradesh</v>
          </cell>
          <cell r="G84" t="str">
            <v>PVT SECTOR</v>
          </cell>
          <cell r="J84">
            <v>2441.9229999999998</v>
          </cell>
          <cell r="K84" t="str">
            <v>Contracted</v>
          </cell>
        </row>
        <row r="85">
          <cell r="C85" t="str">
            <v>BINJKOTE  TPP2</v>
          </cell>
          <cell r="D85">
            <v>300</v>
          </cell>
          <cell r="E85" t="str">
            <v xml:space="preserve"> 0-5 years</v>
          </cell>
          <cell r="F85" t="str">
            <v>Chhattisgarh</v>
          </cell>
          <cell r="G85" t="str">
            <v>PVT SECTOR</v>
          </cell>
          <cell r="J85">
            <v>2129.1589999999901</v>
          </cell>
          <cell r="K85" t="str">
            <v>Not contracted</v>
          </cell>
        </row>
        <row r="86">
          <cell r="C86" t="str">
            <v>BINJKOTE  TPP1</v>
          </cell>
          <cell r="D86">
            <v>300</v>
          </cell>
          <cell r="E86" t="str">
            <v xml:space="preserve"> 0-5 years</v>
          </cell>
          <cell r="F86" t="str">
            <v>Chhattisgarh</v>
          </cell>
          <cell r="G86" t="str">
            <v>PVT SECTOR</v>
          </cell>
          <cell r="J86">
            <v>1990.9179999999999</v>
          </cell>
          <cell r="K86" t="str">
            <v>Not contracted</v>
          </cell>
        </row>
        <row r="87">
          <cell r="C87" t="str">
            <v>BOKARO A TPS1</v>
          </cell>
          <cell r="D87">
            <v>500</v>
          </cell>
          <cell r="E87" t="str">
            <v xml:space="preserve"> 0-5 years</v>
          </cell>
          <cell r="F87" t="str">
            <v>Jharkhand</v>
          </cell>
          <cell r="G87" t="str">
            <v>CENTRAL SECTOR</v>
          </cell>
          <cell r="J87">
            <v>5511.4161000000004</v>
          </cell>
          <cell r="K87" t="str">
            <v>Not contracted</v>
          </cell>
        </row>
        <row r="88">
          <cell r="C88" t="str">
            <v>BOKARO B TPS3</v>
          </cell>
          <cell r="D88">
            <v>210</v>
          </cell>
          <cell r="E88" t="str">
            <v xml:space="preserve"> 25-30 years</v>
          </cell>
          <cell r="F88" t="str">
            <v>Jharkhand</v>
          </cell>
          <cell r="G88" t="str">
            <v>CENTRAL SECTOR</v>
          </cell>
          <cell r="J88">
            <v>777.17</v>
          </cell>
          <cell r="K88" t="str">
            <v>Not contracted</v>
          </cell>
        </row>
        <row r="89">
          <cell r="C89" t="str">
            <v>BONGAIGAON TPS1</v>
          </cell>
          <cell r="D89">
            <v>250</v>
          </cell>
          <cell r="E89" t="str">
            <v xml:space="preserve"> 0-5 years</v>
          </cell>
          <cell r="F89" t="str">
            <v>Assam</v>
          </cell>
          <cell r="G89" t="str">
            <v>CENTRAL SECTOR</v>
          </cell>
          <cell r="J89">
            <v>2737.2910000000002</v>
          </cell>
          <cell r="K89" t="str">
            <v>Contracted</v>
          </cell>
        </row>
        <row r="90">
          <cell r="C90" t="str">
            <v>BONGAIGAON TPS2</v>
          </cell>
          <cell r="D90">
            <v>250</v>
          </cell>
          <cell r="E90" t="str">
            <v xml:space="preserve"> 0-5 years</v>
          </cell>
          <cell r="F90" t="str">
            <v>Assam</v>
          </cell>
          <cell r="G90" t="str">
            <v>CENTRAL SECTOR</v>
          </cell>
          <cell r="J90">
            <v>2666.4739999999902</v>
          </cell>
          <cell r="K90" t="str">
            <v>Not contracted</v>
          </cell>
        </row>
        <row r="91">
          <cell r="C91" t="str">
            <v>BONGAIGAON TPS3</v>
          </cell>
          <cell r="D91">
            <v>250</v>
          </cell>
          <cell r="E91" t="str">
            <v xml:space="preserve"> 0-5 years</v>
          </cell>
          <cell r="F91" t="str">
            <v>Assam</v>
          </cell>
          <cell r="G91" t="str">
            <v>CENTRAL SECTOR</v>
          </cell>
          <cell r="J91">
            <v>1235.6199999999999</v>
          </cell>
          <cell r="K91" t="str">
            <v>Not contracted</v>
          </cell>
        </row>
        <row r="92">
          <cell r="C92" t="str">
            <v>BONGAIGAON TPS3</v>
          </cell>
          <cell r="D92">
            <v>0</v>
          </cell>
          <cell r="E92" t="str">
            <v xml:space="preserve"> 0-5 years</v>
          </cell>
          <cell r="F92" t="str">
            <v>Assam</v>
          </cell>
          <cell r="G92" t="str">
            <v>CENTRAL SECTOR</v>
          </cell>
          <cell r="J92">
            <v>0</v>
          </cell>
          <cell r="K92" t="str">
            <v>Not contracted</v>
          </cell>
        </row>
        <row r="93">
          <cell r="C93" t="str">
            <v>BUDGE BUDGE TPS3</v>
          </cell>
          <cell r="D93">
            <v>250</v>
          </cell>
          <cell r="E93" t="str">
            <v xml:space="preserve"> 10-15 years</v>
          </cell>
          <cell r="F93" t="str">
            <v>West Bengal</v>
          </cell>
          <cell r="G93" t="str">
            <v>PVT SECTOR</v>
          </cell>
          <cell r="J93">
            <v>4083.9683</v>
          </cell>
          <cell r="K93" t="str">
            <v>Contracted</v>
          </cell>
        </row>
        <row r="94">
          <cell r="C94" t="str">
            <v>BUDGE BUDGE TPS1</v>
          </cell>
          <cell r="D94">
            <v>250</v>
          </cell>
          <cell r="E94" t="str">
            <v xml:space="preserve"> 20-25 years</v>
          </cell>
          <cell r="F94" t="str">
            <v>West Bengal</v>
          </cell>
          <cell r="G94" t="str">
            <v>PVT SECTOR</v>
          </cell>
          <cell r="J94">
            <v>3867.0829999999901</v>
          </cell>
          <cell r="K94" t="str">
            <v>Contracted</v>
          </cell>
        </row>
        <row r="95">
          <cell r="C95" t="str">
            <v>BUDGE BUDGE TPS2</v>
          </cell>
          <cell r="D95">
            <v>250</v>
          </cell>
          <cell r="E95" t="str">
            <v xml:space="preserve"> 20-25 years</v>
          </cell>
          <cell r="F95" t="str">
            <v>West Bengal</v>
          </cell>
          <cell r="G95" t="str">
            <v>PVT SECTOR</v>
          </cell>
          <cell r="J95">
            <v>3661.3356999999901</v>
          </cell>
          <cell r="K95" t="str">
            <v>Contracted</v>
          </cell>
        </row>
        <row r="96">
          <cell r="C96" t="str">
            <v>BUTIBORI TPP2</v>
          </cell>
          <cell r="D96">
            <v>300</v>
          </cell>
          <cell r="E96" t="str">
            <v xml:space="preserve"> 5-10 years</v>
          </cell>
          <cell r="F96" t="str">
            <v>Maharashtra</v>
          </cell>
          <cell r="G96" t="str">
            <v>PVT SECTOR</v>
          </cell>
          <cell r="H96" t="str">
            <v>2.45</v>
          </cell>
          <cell r="I96" t="str">
            <v>2.22</v>
          </cell>
          <cell r="J96">
            <v>1466.51279999999</v>
          </cell>
          <cell r="K96" t="str">
            <v>Contracted</v>
          </cell>
        </row>
        <row r="97">
          <cell r="C97" t="str">
            <v>BUTIBORI TPP1</v>
          </cell>
          <cell r="D97">
            <v>300</v>
          </cell>
          <cell r="E97" t="str">
            <v xml:space="preserve"> 5-10 years</v>
          </cell>
          <cell r="F97" t="str">
            <v>Maharashtra</v>
          </cell>
          <cell r="G97" t="str">
            <v>PVT SECTOR</v>
          </cell>
          <cell r="H97" t="str">
            <v>2.45</v>
          </cell>
          <cell r="I97" t="str">
            <v>2.22</v>
          </cell>
          <cell r="J97">
            <v>757.93960000000004</v>
          </cell>
          <cell r="K97" t="str">
            <v>Contracted</v>
          </cell>
        </row>
        <row r="98">
          <cell r="C98" t="str">
            <v>CHAKABURA TPP2</v>
          </cell>
          <cell r="D98">
            <v>30</v>
          </cell>
          <cell r="E98" t="str">
            <v xml:space="preserve"> 5-10 years</v>
          </cell>
          <cell r="F98" t="str">
            <v>Chhattisgarh</v>
          </cell>
          <cell r="G98" t="str">
            <v>PVT SECTOR</v>
          </cell>
          <cell r="J98">
            <v>471.35600000000102</v>
          </cell>
          <cell r="K98" t="str">
            <v>Not contracted</v>
          </cell>
        </row>
        <row r="99">
          <cell r="C99" t="str">
            <v>CHAKABURA TPP1</v>
          </cell>
          <cell r="D99">
            <v>0</v>
          </cell>
          <cell r="E99" t="e">
            <v>#N/A</v>
          </cell>
          <cell r="F99" t="str">
            <v>Chhattisgarh</v>
          </cell>
          <cell r="G99" t="str">
            <v>PVT SECTOR</v>
          </cell>
          <cell r="J99">
            <v>0</v>
          </cell>
          <cell r="K99" t="str">
            <v>Not contracted</v>
          </cell>
        </row>
        <row r="100">
          <cell r="C100" t="str">
            <v>CHANDRAPUR STPS8</v>
          </cell>
          <cell r="D100">
            <v>500</v>
          </cell>
          <cell r="E100" t="str">
            <v xml:space="preserve"> 5-10 years</v>
          </cell>
          <cell r="F100" t="str">
            <v>Maharashtra</v>
          </cell>
          <cell r="G100" t="str">
            <v>STATE SECTOR</v>
          </cell>
          <cell r="I100" t="str">
            <v>0.57</v>
          </cell>
          <cell r="J100">
            <v>6498.6669999999904</v>
          </cell>
          <cell r="K100" t="str">
            <v>Contracted</v>
          </cell>
        </row>
        <row r="101">
          <cell r="C101" t="str">
            <v>CHANDRAPUR STPS9</v>
          </cell>
          <cell r="D101">
            <v>500</v>
          </cell>
          <cell r="E101" t="str">
            <v xml:space="preserve"> 0-5 years</v>
          </cell>
          <cell r="F101" t="str">
            <v>Maharashtra</v>
          </cell>
          <cell r="G101" t="str">
            <v>STATE SECTOR</v>
          </cell>
          <cell r="H101" t="str">
            <v>2.31</v>
          </cell>
          <cell r="I101" t="str">
            <v>0.57</v>
          </cell>
          <cell r="J101">
            <v>6261.8899999999903</v>
          </cell>
          <cell r="K101" t="str">
            <v>Contracted</v>
          </cell>
        </row>
        <row r="102">
          <cell r="C102" t="str">
            <v>CHANDRAPUR STPS5</v>
          </cell>
          <cell r="D102">
            <v>500</v>
          </cell>
          <cell r="E102" t="str">
            <v xml:space="preserve"> 25-30 years</v>
          </cell>
          <cell r="F102" t="str">
            <v>Maharashtra</v>
          </cell>
          <cell r="G102" t="str">
            <v>STATE SECTOR</v>
          </cell>
          <cell r="I102" t="str">
            <v>0.57</v>
          </cell>
          <cell r="J102">
            <v>5370.8770999999897</v>
          </cell>
          <cell r="K102" t="str">
            <v>Contracted</v>
          </cell>
        </row>
        <row r="103">
          <cell r="C103" t="str">
            <v>CHANDRAPUR STPS6</v>
          </cell>
          <cell r="D103">
            <v>500</v>
          </cell>
          <cell r="E103" t="str">
            <v xml:space="preserve"> 25-30 years</v>
          </cell>
          <cell r="F103" t="str">
            <v>Maharashtra</v>
          </cell>
          <cell r="G103" t="str">
            <v>STATE SECTOR</v>
          </cell>
          <cell r="H103" t="str">
            <v>2.31</v>
          </cell>
          <cell r="I103" t="str">
            <v>0.57</v>
          </cell>
          <cell r="J103">
            <v>4766.07599999999</v>
          </cell>
          <cell r="K103" t="str">
            <v>Contracted</v>
          </cell>
        </row>
        <row r="104">
          <cell r="C104" t="str">
            <v>CHANDRAPUR STPS7</v>
          </cell>
          <cell r="D104">
            <v>500</v>
          </cell>
          <cell r="E104" t="str">
            <v xml:space="preserve"> 20-25 years</v>
          </cell>
          <cell r="F104" t="str">
            <v>Maharashtra</v>
          </cell>
          <cell r="G104" t="str">
            <v>STATE SECTOR</v>
          </cell>
          <cell r="H104" t="str">
            <v>2.31</v>
          </cell>
          <cell r="I104" t="str">
            <v>0.57</v>
          </cell>
          <cell r="J104">
            <v>4612.067</v>
          </cell>
          <cell r="K104" t="str">
            <v>Contracted</v>
          </cell>
        </row>
        <row r="105">
          <cell r="C105" t="str">
            <v>CHANDRAPUR STPS4</v>
          </cell>
          <cell r="D105">
            <v>210</v>
          </cell>
          <cell r="E105" t="str">
            <v xml:space="preserve"> 30-35 years</v>
          </cell>
          <cell r="F105" t="str">
            <v>Maharashtra</v>
          </cell>
          <cell r="G105" t="str">
            <v>STATE SECTOR</v>
          </cell>
          <cell r="H105" t="str">
            <v>2.31</v>
          </cell>
          <cell r="I105" t="str">
            <v>0.57</v>
          </cell>
          <cell r="J105">
            <v>2028.444</v>
          </cell>
          <cell r="K105" t="str">
            <v>Contracted</v>
          </cell>
        </row>
        <row r="106">
          <cell r="C106" t="str">
            <v>CHANDRAPUR STPS3</v>
          </cell>
          <cell r="D106">
            <v>210</v>
          </cell>
          <cell r="E106" t="str">
            <v xml:space="preserve"> 30-35 years</v>
          </cell>
          <cell r="F106" t="str">
            <v>Maharashtra</v>
          </cell>
          <cell r="G106" t="str">
            <v>STATE SECTOR</v>
          </cell>
          <cell r="H106" t="str">
            <v>2.31</v>
          </cell>
          <cell r="I106" t="str">
            <v>0.57</v>
          </cell>
          <cell r="J106">
            <v>1807.62</v>
          </cell>
          <cell r="K106" t="str">
            <v>Contracted</v>
          </cell>
        </row>
        <row r="107">
          <cell r="C107" t="str">
            <v>CHANDRAPURA(DVC)7</v>
          </cell>
          <cell r="D107">
            <v>250</v>
          </cell>
          <cell r="E107" t="str">
            <v xml:space="preserve"> 10-15 years</v>
          </cell>
          <cell r="F107" t="str">
            <v>Jharkhand</v>
          </cell>
          <cell r="G107" t="str">
            <v>CENTRAL SECTOR</v>
          </cell>
          <cell r="I107" t="str">
            <v>1.45</v>
          </cell>
          <cell r="J107">
            <v>3526.8310000000001</v>
          </cell>
          <cell r="K107" t="str">
            <v>Contracted</v>
          </cell>
        </row>
        <row r="108">
          <cell r="C108" t="str">
            <v>CHANDRAPURA(DVC)8</v>
          </cell>
          <cell r="D108">
            <v>250</v>
          </cell>
          <cell r="E108" t="str">
            <v xml:space="preserve"> 10-15 years</v>
          </cell>
          <cell r="F108" t="str">
            <v>Jharkhand</v>
          </cell>
          <cell r="G108" t="str">
            <v>CENTRAL SECTOR</v>
          </cell>
          <cell r="H108" t="str">
            <v>2.49</v>
          </cell>
          <cell r="I108" t="str">
            <v>1.45</v>
          </cell>
          <cell r="J108">
            <v>3364.8119999999999</v>
          </cell>
          <cell r="K108" t="str">
            <v>Contracted</v>
          </cell>
        </row>
        <row r="109">
          <cell r="C109" t="str">
            <v>CHANDRAPURA(DVC)3</v>
          </cell>
          <cell r="D109">
            <v>130</v>
          </cell>
          <cell r="E109" t="str">
            <v xml:space="preserve"> 45+ years</v>
          </cell>
          <cell r="F109" t="str">
            <v>Jharkhand</v>
          </cell>
          <cell r="G109" t="str">
            <v>CENTRAL SECTOR</v>
          </cell>
          <cell r="J109">
            <v>0</v>
          </cell>
          <cell r="K109" t="str">
            <v>Contracted</v>
          </cell>
        </row>
        <row r="110">
          <cell r="C110" t="str">
            <v>CHHABRA TPS5</v>
          </cell>
          <cell r="D110">
            <v>660</v>
          </cell>
          <cell r="E110" t="str">
            <v xml:space="preserve"> 0-5 years</v>
          </cell>
          <cell r="F110" t="str">
            <v>Rajasthan</v>
          </cell>
          <cell r="G110" t="str">
            <v>STATE SECTOR</v>
          </cell>
          <cell r="J110">
            <v>5650.915</v>
          </cell>
          <cell r="K110" t="str">
            <v>Contracted</v>
          </cell>
        </row>
        <row r="111">
          <cell r="C111" t="str">
            <v>CHHABRA TPS1</v>
          </cell>
          <cell r="D111">
            <v>250</v>
          </cell>
          <cell r="E111" t="str">
            <v xml:space="preserve"> 10-15 years</v>
          </cell>
          <cell r="F111" t="str">
            <v>Rajasthan</v>
          </cell>
          <cell r="G111" t="str">
            <v>STATE SECTOR</v>
          </cell>
          <cell r="J111">
            <v>3695.3789999999999</v>
          </cell>
          <cell r="K111" t="str">
            <v>Contracted</v>
          </cell>
        </row>
        <row r="112">
          <cell r="C112" t="str">
            <v>CHHABRA TPS4</v>
          </cell>
          <cell r="D112">
            <v>250</v>
          </cell>
          <cell r="E112" t="str">
            <v xml:space="preserve"> 5-10 years</v>
          </cell>
          <cell r="F112" t="str">
            <v>Rajasthan</v>
          </cell>
          <cell r="G112" t="str">
            <v>STATE SECTOR</v>
          </cell>
          <cell r="J112">
            <v>3528.5599999999899</v>
          </cell>
          <cell r="K112" t="str">
            <v>Contracted</v>
          </cell>
        </row>
        <row r="113">
          <cell r="C113" t="str">
            <v>CHHABRA TPS3</v>
          </cell>
          <cell r="D113">
            <v>250</v>
          </cell>
          <cell r="E113" t="str">
            <v xml:space="preserve"> 5-10 years</v>
          </cell>
          <cell r="F113" t="str">
            <v>Rajasthan</v>
          </cell>
          <cell r="G113" t="str">
            <v>STATE SECTOR</v>
          </cell>
          <cell r="J113">
            <v>3519.28799999999</v>
          </cell>
          <cell r="K113" t="str">
            <v>Contracted</v>
          </cell>
        </row>
        <row r="114">
          <cell r="C114" t="str">
            <v>CHHABRA TPS2</v>
          </cell>
          <cell r="D114">
            <v>250</v>
          </cell>
          <cell r="E114" t="str">
            <v xml:space="preserve"> 5-10 years</v>
          </cell>
          <cell r="F114" t="str">
            <v>Rajasthan</v>
          </cell>
          <cell r="G114" t="str">
            <v>STATE SECTOR</v>
          </cell>
          <cell r="J114">
            <v>3441.8889999999901</v>
          </cell>
          <cell r="K114" t="str">
            <v>Contracted</v>
          </cell>
        </row>
        <row r="115">
          <cell r="C115" t="str">
            <v>CHHABRA TPS6</v>
          </cell>
          <cell r="D115">
            <v>660</v>
          </cell>
          <cell r="E115" t="str">
            <v xml:space="preserve"> 0-5 years</v>
          </cell>
          <cell r="F115" t="str">
            <v>Rajasthan</v>
          </cell>
          <cell r="G115" t="str">
            <v>STATE SECTOR</v>
          </cell>
          <cell r="J115">
            <v>3380.79</v>
          </cell>
          <cell r="K115" t="str">
            <v>Contracted</v>
          </cell>
        </row>
        <row r="116">
          <cell r="C116" t="str">
            <v>CHHABRA TPS6</v>
          </cell>
          <cell r="D116">
            <v>0</v>
          </cell>
          <cell r="E116" t="str">
            <v xml:space="preserve"> 0-5 years</v>
          </cell>
          <cell r="F116" t="str">
            <v>Rajasthan</v>
          </cell>
          <cell r="G116" t="str">
            <v>STATE SECTOR</v>
          </cell>
          <cell r="J116">
            <v>0</v>
          </cell>
          <cell r="K116" t="str">
            <v>Contracted</v>
          </cell>
        </row>
        <row r="117">
          <cell r="C117" t="str">
            <v>D.P.L. TPS8</v>
          </cell>
          <cell r="D117">
            <v>250</v>
          </cell>
          <cell r="E117" t="str">
            <v xml:space="preserve"> 5-10 years</v>
          </cell>
          <cell r="F117" t="str">
            <v>West Bengal</v>
          </cell>
          <cell r="G117" t="str">
            <v>STATE SECTOR</v>
          </cell>
          <cell r="J117">
            <v>2743.9395</v>
          </cell>
          <cell r="K117" t="str">
            <v>Not contracted</v>
          </cell>
        </row>
        <row r="118">
          <cell r="C118" t="str">
            <v>D.P.L. TPS7</v>
          </cell>
          <cell r="D118">
            <v>300</v>
          </cell>
          <cell r="E118" t="str">
            <v xml:space="preserve"> 10-15 years</v>
          </cell>
          <cell r="F118" t="str">
            <v>West Bengal</v>
          </cell>
          <cell r="G118" t="str">
            <v>STATE SECTOR</v>
          </cell>
          <cell r="J118">
            <v>1920.12499999999</v>
          </cell>
          <cell r="K118" t="str">
            <v>Not contracted</v>
          </cell>
        </row>
        <row r="119">
          <cell r="C119" t="str">
            <v>D.P.L. TPS6</v>
          </cell>
          <cell r="D119">
            <v>110</v>
          </cell>
          <cell r="E119" t="str">
            <v xml:space="preserve"> 30-35 years</v>
          </cell>
          <cell r="F119" t="str">
            <v>West Bengal</v>
          </cell>
          <cell r="G119" t="str">
            <v>STATE SECTOR</v>
          </cell>
          <cell r="J119">
            <v>0</v>
          </cell>
          <cell r="K119" t="str">
            <v>Not contracted</v>
          </cell>
        </row>
        <row r="120">
          <cell r="C120" t="str">
            <v>D.P.L. TPS6</v>
          </cell>
          <cell r="D120">
            <v>0</v>
          </cell>
          <cell r="E120" t="str">
            <v xml:space="preserve"> 30-35 years</v>
          </cell>
          <cell r="F120" t="str">
            <v>West Bengal</v>
          </cell>
          <cell r="G120" t="str">
            <v>STATE SECTOR</v>
          </cell>
          <cell r="J120">
            <v>0</v>
          </cell>
          <cell r="K120" t="str">
            <v>Not contracted</v>
          </cell>
        </row>
        <row r="121">
          <cell r="C121" t="str">
            <v>DADRI (NCTPP)5</v>
          </cell>
          <cell r="D121">
            <v>490</v>
          </cell>
          <cell r="E121" t="str">
            <v xml:space="preserve"> 10-15 years</v>
          </cell>
          <cell r="F121" t="str">
            <v>Uttar Pradesh</v>
          </cell>
          <cell r="G121" t="str">
            <v>CENTRAL SECTOR</v>
          </cell>
          <cell r="H121" t="str">
            <v>2.62</v>
          </cell>
          <cell r="I121" t="str">
            <v>0.56</v>
          </cell>
          <cell r="J121">
            <v>5226.7199999999903</v>
          </cell>
          <cell r="K121" t="str">
            <v>Contracted</v>
          </cell>
        </row>
        <row r="122">
          <cell r="C122" t="str">
            <v>DADRI (NCTPP)6</v>
          </cell>
          <cell r="D122">
            <v>490</v>
          </cell>
          <cell r="E122" t="str">
            <v xml:space="preserve"> 5-10 years</v>
          </cell>
          <cell r="F122" t="str">
            <v>Uttar Pradesh</v>
          </cell>
          <cell r="G122" t="str">
            <v>CENTRAL SECTOR</v>
          </cell>
          <cell r="I122" t="str">
            <v>0.56</v>
          </cell>
          <cell r="J122">
            <v>5067.6930000000002</v>
          </cell>
          <cell r="K122" t="str">
            <v>Contracted</v>
          </cell>
        </row>
        <row r="123">
          <cell r="C123" t="str">
            <v>DADRI (NCTPP)4</v>
          </cell>
          <cell r="D123">
            <v>210</v>
          </cell>
          <cell r="E123" t="str">
            <v xml:space="preserve"> 25-30 years</v>
          </cell>
          <cell r="F123" t="str">
            <v>Uttar Pradesh</v>
          </cell>
          <cell r="G123" t="str">
            <v>CENTRAL SECTOR</v>
          </cell>
          <cell r="H123" t="str">
            <v>2.62</v>
          </cell>
          <cell r="I123" t="str">
            <v>0.56</v>
          </cell>
          <cell r="J123">
            <v>1919.4099999999901</v>
          </cell>
          <cell r="K123" t="str">
            <v>Contracted</v>
          </cell>
        </row>
        <row r="124">
          <cell r="C124" t="str">
            <v>DADRI (NCTPP)3</v>
          </cell>
          <cell r="D124">
            <v>210</v>
          </cell>
          <cell r="E124" t="str">
            <v xml:space="preserve"> 25-30 years</v>
          </cell>
          <cell r="F124" t="str">
            <v>Uttar Pradesh</v>
          </cell>
          <cell r="G124" t="str">
            <v>CENTRAL SECTOR</v>
          </cell>
          <cell r="H124" t="str">
            <v>2.62</v>
          </cell>
          <cell r="I124" t="str">
            <v>0.56</v>
          </cell>
          <cell r="J124">
            <v>1668.1199999999899</v>
          </cell>
          <cell r="K124" t="str">
            <v>Contracted</v>
          </cell>
        </row>
        <row r="125">
          <cell r="C125" t="str">
            <v>DADRI (NCTPP)1</v>
          </cell>
          <cell r="D125">
            <v>210</v>
          </cell>
          <cell r="E125" t="str">
            <v xml:space="preserve"> 25-30 years</v>
          </cell>
          <cell r="F125" t="str">
            <v>Uttar Pradesh</v>
          </cell>
          <cell r="G125" t="str">
            <v>CENTRAL SECTOR</v>
          </cell>
          <cell r="H125" t="str">
            <v>2.62</v>
          </cell>
          <cell r="I125" t="str">
            <v>0.56</v>
          </cell>
          <cell r="J125">
            <v>1586.61</v>
          </cell>
          <cell r="K125" t="str">
            <v>Contracted</v>
          </cell>
        </row>
        <row r="126">
          <cell r="C126" t="str">
            <v>DADRI (NCTPP)2</v>
          </cell>
          <cell r="D126">
            <v>210</v>
          </cell>
          <cell r="E126" t="str">
            <v xml:space="preserve"> 25-30 years</v>
          </cell>
          <cell r="F126" t="str">
            <v>Uttar Pradesh</v>
          </cell>
          <cell r="G126" t="str">
            <v>CENTRAL SECTOR</v>
          </cell>
          <cell r="H126" t="str">
            <v>2.62</v>
          </cell>
          <cell r="I126" t="str">
            <v>0.56</v>
          </cell>
          <cell r="J126">
            <v>1476.44999999999</v>
          </cell>
          <cell r="K126" t="str">
            <v>Contracted</v>
          </cell>
        </row>
        <row r="127">
          <cell r="C127" t="str">
            <v>DAHANU TPS1</v>
          </cell>
          <cell r="D127">
            <v>250</v>
          </cell>
          <cell r="E127" t="str">
            <v xml:space="preserve"> 25-30 years</v>
          </cell>
          <cell r="F127" t="str">
            <v>Maharashtra</v>
          </cell>
          <cell r="G127" t="str">
            <v>PVT SECTOR</v>
          </cell>
          <cell r="H127" t="str">
            <v>3.39</v>
          </cell>
          <cell r="I127" t="str">
            <v>0.87</v>
          </cell>
          <cell r="J127">
            <v>3484.837</v>
          </cell>
          <cell r="K127" t="str">
            <v>Contracted</v>
          </cell>
        </row>
        <row r="128">
          <cell r="C128" t="str">
            <v>DAHANU TPS2</v>
          </cell>
          <cell r="D128">
            <v>250</v>
          </cell>
          <cell r="E128" t="str">
            <v xml:space="preserve"> 25-30 years</v>
          </cell>
          <cell r="F128" t="str">
            <v>Maharashtra</v>
          </cell>
          <cell r="G128" t="str">
            <v>PVT SECTOR</v>
          </cell>
          <cell r="H128" t="str">
            <v>3.39</v>
          </cell>
          <cell r="I128" t="str">
            <v>0.87</v>
          </cell>
          <cell r="J128">
            <v>3363.7640000000001</v>
          </cell>
          <cell r="K128" t="str">
            <v>Contracted</v>
          </cell>
        </row>
        <row r="129">
          <cell r="C129" t="str">
            <v>DAMODARAN SANJEEVAIAH TPS2</v>
          </cell>
          <cell r="D129">
            <v>800</v>
          </cell>
          <cell r="E129" t="str">
            <v xml:space="preserve"> 5-10 years</v>
          </cell>
          <cell r="F129" t="str">
            <v>Andhra Pradesh</v>
          </cell>
          <cell r="G129" t="str">
            <v>STATE SECTOR</v>
          </cell>
          <cell r="H129" t="str">
            <v>2.61</v>
          </cell>
          <cell r="I129" t="str">
            <v>0.89</v>
          </cell>
          <cell r="J129">
            <v>7110.4129999999896</v>
          </cell>
          <cell r="K129" t="str">
            <v>Contracted</v>
          </cell>
        </row>
        <row r="130">
          <cell r="C130" t="str">
            <v>DAMODARAN SANJEEVAIAH TPS1</v>
          </cell>
          <cell r="D130">
            <v>800</v>
          </cell>
          <cell r="E130" t="str">
            <v xml:space="preserve"> 5-10 years</v>
          </cell>
          <cell r="F130" t="str">
            <v>Andhra Pradesh</v>
          </cell>
          <cell r="G130" t="str">
            <v>STATE SECTOR</v>
          </cell>
          <cell r="H130" t="str">
            <v>2.61</v>
          </cell>
          <cell r="I130" t="str">
            <v>0.89</v>
          </cell>
          <cell r="J130">
            <v>6785.2479999999996</v>
          </cell>
          <cell r="K130" t="str">
            <v>Contracted</v>
          </cell>
        </row>
        <row r="131">
          <cell r="C131" t="str">
            <v>DAMODARAN SANJEEVAIAH TPS3</v>
          </cell>
          <cell r="D131">
            <v>0</v>
          </cell>
          <cell r="E131" t="e">
            <v>#N/A</v>
          </cell>
          <cell r="F131" t="str">
            <v>Andhra Pradesh</v>
          </cell>
          <cell r="G131" t="str">
            <v>STATE SECTOR</v>
          </cell>
          <cell r="J131">
            <v>0</v>
          </cell>
          <cell r="K131" t="str">
            <v>Not contracted</v>
          </cell>
        </row>
        <row r="132">
          <cell r="C132" t="str">
            <v>DARLIPALI STPS1</v>
          </cell>
          <cell r="D132">
            <v>800</v>
          </cell>
          <cell r="E132" t="str">
            <v xml:space="preserve"> 0-5 years</v>
          </cell>
          <cell r="F132" t="str">
            <v>Odisha</v>
          </cell>
          <cell r="G132" t="str">
            <v>CENTRAL SECTOR</v>
          </cell>
          <cell r="J132">
            <v>241.24999999999901</v>
          </cell>
          <cell r="K132" t="str">
            <v>Contracted</v>
          </cell>
        </row>
        <row r="133">
          <cell r="C133" t="str">
            <v>DARLIPALI STPS2</v>
          </cell>
          <cell r="D133">
            <v>0</v>
          </cell>
          <cell r="E133" t="e">
            <v>#N/A</v>
          </cell>
          <cell r="F133" t="str">
            <v>Odisha</v>
          </cell>
          <cell r="G133" t="str">
            <v>CENTRAL SECTOR</v>
          </cell>
          <cell r="J133">
            <v>0</v>
          </cell>
          <cell r="K133" t="str">
            <v>Contracted</v>
          </cell>
        </row>
        <row r="134">
          <cell r="C134" t="str">
            <v>DARLIPALI STPS1</v>
          </cell>
          <cell r="D134">
            <v>0</v>
          </cell>
          <cell r="E134" t="str">
            <v xml:space="preserve"> 0-5 years</v>
          </cell>
          <cell r="F134" t="str">
            <v>Odisha</v>
          </cell>
          <cell r="G134" t="str">
            <v>CENTRAL SECTOR</v>
          </cell>
          <cell r="J134">
            <v>0</v>
          </cell>
          <cell r="K134" t="str">
            <v>Contracted</v>
          </cell>
        </row>
        <row r="135">
          <cell r="C135" t="str">
            <v>DERANG TPP1</v>
          </cell>
          <cell r="D135">
            <v>600</v>
          </cell>
          <cell r="E135" t="str">
            <v xml:space="preserve"> 5-10 years</v>
          </cell>
          <cell r="F135" t="str">
            <v>Odisha</v>
          </cell>
          <cell r="G135" t="str">
            <v>PVT SECTOR</v>
          </cell>
          <cell r="J135">
            <v>5836.0106000000096</v>
          </cell>
          <cell r="K135" t="str">
            <v>Contracted</v>
          </cell>
        </row>
        <row r="136">
          <cell r="C136" t="str">
            <v>DERANG TPP2</v>
          </cell>
          <cell r="D136">
            <v>600</v>
          </cell>
          <cell r="E136" t="str">
            <v xml:space="preserve"> 5-10 years</v>
          </cell>
          <cell r="F136" t="str">
            <v>Odisha</v>
          </cell>
          <cell r="G136" t="str">
            <v>PVT SECTOR</v>
          </cell>
          <cell r="J136">
            <v>3341.48379999999</v>
          </cell>
          <cell r="K136" t="str">
            <v>Contracted</v>
          </cell>
        </row>
        <row r="137">
          <cell r="C137" t="str">
            <v>DHARIWAL TPS2</v>
          </cell>
          <cell r="D137">
            <v>300</v>
          </cell>
          <cell r="E137" t="str">
            <v xml:space="preserve"> 5-10 years</v>
          </cell>
          <cell r="F137" t="str">
            <v>Maharashtra</v>
          </cell>
          <cell r="G137" t="str">
            <v>PVT SECTOR</v>
          </cell>
          <cell r="H137" t="str">
            <v>1.88</v>
          </cell>
          <cell r="I137" t="str">
            <v>1.87</v>
          </cell>
          <cell r="J137">
            <v>4150.8310000000001</v>
          </cell>
          <cell r="K137" t="str">
            <v>Not contracted</v>
          </cell>
        </row>
        <row r="138">
          <cell r="C138" t="str">
            <v>DHARIWAL TPS1</v>
          </cell>
          <cell r="D138">
            <v>300</v>
          </cell>
          <cell r="E138" t="str">
            <v xml:space="preserve"> 5-10 years</v>
          </cell>
          <cell r="F138" t="str">
            <v>Maharashtra</v>
          </cell>
          <cell r="G138" t="str">
            <v>PVT SECTOR</v>
          </cell>
          <cell r="H138" t="str">
            <v>1.88</v>
          </cell>
          <cell r="I138" t="str">
            <v>1.87</v>
          </cell>
          <cell r="J138">
            <v>2339.66499999999</v>
          </cell>
          <cell r="K138" t="str">
            <v>Contracted</v>
          </cell>
        </row>
        <row r="139">
          <cell r="C139" t="str">
            <v>DR. N TATA RAO TPS7</v>
          </cell>
          <cell r="D139">
            <v>500</v>
          </cell>
          <cell r="E139" t="str">
            <v xml:space="preserve"> 10-15 years</v>
          </cell>
          <cell r="F139" t="str">
            <v>Andhra Pradesh</v>
          </cell>
          <cell r="G139" t="str">
            <v>STATE SECTOR</v>
          </cell>
          <cell r="I139" t="str">
            <v>0.79</v>
          </cell>
          <cell r="J139">
            <v>6282.91</v>
          </cell>
          <cell r="K139" t="str">
            <v>Contracted</v>
          </cell>
        </row>
        <row r="140">
          <cell r="C140" t="str">
            <v>DR. N TATA RAO TPS6</v>
          </cell>
          <cell r="D140">
            <v>210</v>
          </cell>
          <cell r="E140" t="str">
            <v xml:space="preserve"> 25-30 years</v>
          </cell>
          <cell r="F140" t="str">
            <v>Andhra Pradesh</v>
          </cell>
          <cell r="G140" t="str">
            <v>STATE SECTOR</v>
          </cell>
          <cell r="H140" t="str">
            <v>3.58</v>
          </cell>
          <cell r="I140" t="str">
            <v>0.79</v>
          </cell>
          <cell r="J140">
            <v>2770.7500999999902</v>
          </cell>
          <cell r="K140" t="str">
            <v>Contracted</v>
          </cell>
        </row>
        <row r="141">
          <cell r="C141" t="str">
            <v>DR. N TATA RAO TPS5</v>
          </cell>
          <cell r="D141">
            <v>210</v>
          </cell>
          <cell r="E141" t="str">
            <v xml:space="preserve"> 25-30 years</v>
          </cell>
          <cell r="F141" t="str">
            <v>Andhra Pradesh</v>
          </cell>
          <cell r="G141" t="str">
            <v>STATE SECTOR</v>
          </cell>
          <cell r="H141" t="str">
            <v>3.58</v>
          </cell>
          <cell r="I141" t="str">
            <v>0.79</v>
          </cell>
          <cell r="J141">
            <v>2733.83</v>
          </cell>
          <cell r="K141" t="str">
            <v>Contracted</v>
          </cell>
        </row>
        <row r="142">
          <cell r="C142" t="str">
            <v>DR. N TATA RAO TPS4</v>
          </cell>
          <cell r="D142">
            <v>210</v>
          </cell>
          <cell r="E142" t="str">
            <v xml:space="preserve"> 25-30 years</v>
          </cell>
          <cell r="F142" t="str">
            <v>Andhra Pradesh</v>
          </cell>
          <cell r="G142" t="str">
            <v>STATE SECTOR</v>
          </cell>
          <cell r="H142" t="str">
            <v>3.58</v>
          </cell>
          <cell r="I142" t="str">
            <v>0.79</v>
          </cell>
          <cell r="J142">
            <v>2716.22</v>
          </cell>
          <cell r="K142" t="str">
            <v>Contracted</v>
          </cell>
        </row>
        <row r="143">
          <cell r="C143" t="str">
            <v>DR. N TATA RAO TPS3</v>
          </cell>
          <cell r="D143">
            <v>210</v>
          </cell>
          <cell r="E143" t="str">
            <v xml:space="preserve"> 30-35 years</v>
          </cell>
          <cell r="F143" t="str">
            <v>Andhra Pradesh</v>
          </cell>
          <cell r="G143" t="str">
            <v>STATE SECTOR</v>
          </cell>
          <cell r="H143" t="str">
            <v>3.58</v>
          </cell>
          <cell r="I143" t="str">
            <v>0.79</v>
          </cell>
          <cell r="J143">
            <v>2582.64</v>
          </cell>
          <cell r="K143" t="str">
            <v>Contracted</v>
          </cell>
        </row>
        <row r="144">
          <cell r="C144" t="str">
            <v>DR. N TATA RAO TPS2</v>
          </cell>
          <cell r="D144">
            <v>210</v>
          </cell>
          <cell r="E144" t="str">
            <v xml:space="preserve"> 35-40 years</v>
          </cell>
          <cell r="F144" t="str">
            <v>Andhra Pradesh</v>
          </cell>
          <cell r="G144" t="str">
            <v>STATE SECTOR</v>
          </cell>
          <cell r="H144" t="str">
            <v>3.58</v>
          </cell>
          <cell r="I144" t="str">
            <v>0.79</v>
          </cell>
          <cell r="J144">
            <v>2515.4899999999998</v>
          </cell>
          <cell r="K144" t="str">
            <v>Contracted</v>
          </cell>
        </row>
        <row r="145">
          <cell r="C145" t="str">
            <v>DR. N TATA RAO TPS1</v>
          </cell>
          <cell r="D145">
            <v>210</v>
          </cell>
          <cell r="E145" t="str">
            <v xml:space="preserve"> 40-45 years</v>
          </cell>
          <cell r="F145" t="str">
            <v>Andhra Pradesh</v>
          </cell>
          <cell r="G145" t="str">
            <v>STATE SECTOR</v>
          </cell>
          <cell r="H145" t="str">
            <v>3.58</v>
          </cell>
          <cell r="I145" t="str">
            <v>0.79</v>
          </cell>
          <cell r="J145">
            <v>2119.09</v>
          </cell>
          <cell r="K145" t="str">
            <v>Contracted</v>
          </cell>
        </row>
        <row r="146">
          <cell r="C146" t="str">
            <v>DR. N TATA RAO TPS8</v>
          </cell>
          <cell r="D146">
            <v>0</v>
          </cell>
          <cell r="E146" t="e">
            <v>#N/A</v>
          </cell>
          <cell r="F146" t="str">
            <v>Andhra Pradesh</v>
          </cell>
          <cell r="G146" t="str">
            <v>STATE SECTOR</v>
          </cell>
          <cell r="J146">
            <v>0</v>
          </cell>
          <cell r="K146" t="str">
            <v>Not contracted</v>
          </cell>
        </row>
        <row r="147">
          <cell r="C147" t="str">
            <v>DSPM TPS2</v>
          </cell>
          <cell r="D147">
            <v>250</v>
          </cell>
          <cell r="E147" t="str">
            <v xml:space="preserve"> 10-15 years</v>
          </cell>
          <cell r="F147" t="str">
            <v>Chhattisgarh</v>
          </cell>
          <cell r="G147" t="str">
            <v>STATE SECTOR</v>
          </cell>
          <cell r="H147" t="str">
            <v>1.77</v>
          </cell>
          <cell r="I147" t="str">
            <v>1.58</v>
          </cell>
          <cell r="J147">
            <v>3828.85</v>
          </cell>
          <cell r="K147" t="str">
            <v>Contracted</v>
          </cell>
        </row>
        <row r="148">
          <cell r="C148" t="str">
            <v>DSPM TPS1</v>
          </cell>
          <cell r="D148">
            <v>250</v>
          </cell>
          <cell r="E148" t="str">
            <v xml:space="preserve"> 10-15 years</v>
          </cell>
          <cell r="F148" t="str">
            <v>Chhattisgarh</v>
          </cell>
          <cell r="G148" t="str">
            <v>STATE SECTOR</v>
          </cell>
          <cell r="I148" t="str">
            <v>1.58</v>
          </cell>
          <cell r="J148">
            <v>3716.9779999999901</v>
          </cell>
          <cell r="K148" t="str">
            <v>Contracted</v>
          </cell>
        </row>
        <row r="149">
          <cell r="C149" t="str">
            <v>DURGAPUR STEEL TPS2</v>
          </cell>
          <cell r="D149">
            <v>500</v>
          </cell>
          <cell r="E149" t="str">
            <v xml:space="preserve"> 5-10 years</v>
          </cell>
          <cell r="F149" t="str">
            <v>West Bengal</v>
          </cell>
          <cell r="G149" t="str">
            <v>CENTRAL SECTOR</v>
          </cell>
          <cell r="H149" t="str">
            <v>2.17</v>
          </cell>
          <cell r="I149" t="str">
            <v>1.52</v>
          </cell>
          <cell r="J149">
            <v>6628.9939999999997</v>
          </cell>
          <cell r="K149" t="str">
            <v>Contracted</v>
          </cell>
        </row>
        <row r="150">
          <cell r="C150" t="str">
            <v>DURGAPUR STEEL TPS1</v>
          </cell>
          <cell r="D150">
            <v>500</v>
          </cell>
          <cell r="E150" t="str">
            <v xml:space="preserve"> 5-10 years</v>
          </cell>
          <cell r="F150" t="str">
            <v>West Bengal</v>
          </cell>
          <cell r="G150" t="str">
            <v>CENTRAL SECTOR</v>
          </cell>
          <cell r="I150" t="str">
            <v>1.52</v>
          </cell>
          <cell r="J150">
            <v>5789.42</v>
          </cell>
          <cell r="K150" t="str">
            <v>Contracted</v>
          </cell>
        </row>
        <row r="151">
          <cell r="C151" t="str">
            <v>DURGAPUR TPS4</v>
          </cell>
          <cell r="D151">
            <v>210</v>
          </cell>
          <cell r="E151" t="str">
            <v xml:space="preserve"> 35-40 years</v>
          </cell>
          <cell r="F151" t="str">
            <v>West Bengal</v>
          </cell>
          <cell r="G151" t="str">
            <v>CENTRAL SECTOR</v>
          </cell>
          <cell r="J151">
            <v>1405.08499999999</v>
          </cell>
          <cell r="K151" t="str">
            <v>Contracted</v>
          </cell>
        </row>
        <row r="152">
          <cell r="C152" t="str">
            <v>FARAKKA STPS5</v>
          </cell>
          <cell r="D152">
            <v>500</v>
          </cell>
          <cell r="E152" t="str">
            <v xml:space="preserve"> 25-30 years</v>
          </cell>
          <cell r="F152" t="str">
            <v>West Bengal</v>
          </cell>
          <cell r="G152" t="str">
            <v>CENTRAL SECTOR</v>
          </cell>
          <cell r="H152" t="str">
            <v>2.71</v>
          </cell>
          <cell r="I152" t="str">
            <v>0.80</v>
          </cell>
          <cell r="J152">
            <v>6657.42</v>
          </cell>
          <cell r="K152" t="str">
            <v>Contracted</v>
          </cell>
        </row>
        <row r="153">
          <cell r="C153" t="str">
            <v>FARAKKA STPS4</v>
          </cell>
          <cell r="D153">
            <v>500</v>
          </cell>
          <cell r="E153" t="str">
            <v xml:space="preserve"> 25-30 years</v>
          </cell>
          <cell r="F153" t="str">
            <v>West Bengal</v>
          </cell>
          <cell r="G153" t="str">
            <v>CENTRAL SECTOR</v>
          </cell>
          <cell r="I153" t="str">
            <v>0.80</v>
          </cell>
          <cell r="J153">
            <v>6645.9199999999901</v>
          </cell>
          <cell r="K153" t="str">
            <v>Contracted</v>
          </cell>
        </row>
        <row r="154">
          <cell r="C154" t="str">
            <v>FARAKKA STPS6</v>
          </cell>
          <cell r="D154">
            <v>500</v>
          </cell>
          <cell r="E154" t="str">
            <v xml:space="preserve"> 5-10 years</v>
          </cell>
          <cell r="F154" t="str">
            <v>West Bengal</v>
          </cell>
          <cell r="G154" t="str">
            <v>CENTRAL SECTOR</v>
          </cell>
          <cell r="H154" t="str">
            <v>2.71</v>
          </cell>
          <cell r="I154" t="str">
            <v>0.80</v>
          </cell>
          <cell r="J154">
            <v>6284.51</v>
          </cell>
          <cell r="K154" t="str">
            <v>Contracted</v>
          </cell>
        </row>
        <row r="155">
          <cell r="C155" t="str">
            <v>FARAKKA STPS2</v>
          </cell>
          <cell r="D155">
            <v>200</v>
          </cell>
          <cell r="E155" t="str">
            <v xml:space="preserve"> 30-35 years</v>
          </cell>
          <cell r="F155" t="str">
            <v>West Bengal</v>
          </cell>
          <cell r="G155" t="str">
            <v>CENTRAL SECTOR</v>
          </cell>
          <cell r="H155" t="str">
            <v>2.71</v>
          </cell>
          <cell r="I155" t="str">
            <v>0.80</v>
          </cell>
          <cell r="J155">
            <v>2713.7599999999902</v>
          </cell>
          <cell r="K155" t="str">
            <v>Contracted</v>
          </cell>
        </row>
        <row r="156">
          <cell r="C156" t="str">
            <v>FARAKKA STPS1</v>
          </cell>
          <cell r="D156">
            <v>200</v>
          </cell>
          <cell r="E156" t="str">
            <v xml:space="preserve"> 30-35 years</v>
          </cell>
          <cell r="F156" t="str">
            <v>West Bengal</v>
          </cell>
          <cell r="G156" t="str">
            <v>CENTRAL SECTOR</v>
          </cell>
          <cell r="H156" t="str">
            <v>2.71</v>
          </cell>
          <cell r="I156" t="str">
            <v>0.80</v>
          </cell>
          <cell r="J156">
            <v>2670.1499999999901</v>
          </cell>
          <cell r="K156" t="str">
            <v>Contracted</v>
          </cell>
        </row>
        <row r="157">
          <cell r="C157" t="str">
            <v>FARAKKA STPS3</v>
          </cell>
          <cell r="D157">
            <v>200</v>
          </cell>
          <cell r="E157" t="str">
            <v xml:space="preserve"> 30-35 years</v>
          </cell>
          <cell r="F157" t="str">
            <v>West Bengal</v>
          </cell>
          <cell r="G157" t="str">
            <v>CENTRAL SECTOR</v>
          </cell>
          <cell r="I157" t="str">
            <v>0.80</v>
          </cell>
          <cell r="J157">
            <v>2570.0300000000002</v>
          </cell>
          <cell r="K157" t="str">
            <v>Contracted</v>
          </cell>
        </row>
        <row r="158">
          <cell r="C158" t="str">
            <v>GADARWARA TPP1</v>
          </cell>
          <cell r="D158">
            <v>800</v>
          </cell>
          <cell r="E158" t="str">
            <v xml:space="preserve"> 0-5 years</v>
          </cell>
          <cell r="F158" t="str">
            <v>Madhya Pradesh</v>
          </cell>
          <cell r="G158" t="str">
            <v>CENTRAL SECTOR</v>
          </cell>
          <cell r="J158">
            <v>1071.8599999999899</v>
          </cell>
          <cell r="K158" t="str">
            <v>Contracted</v>
          </cell>
        </row>
        <row r="159">
          <cell r="C159" t="str">
            <v>GADARWARA TPP2</v>
          </cell>
          <cell r="D159">
            <v>0</v>
          </cell>
          <cell r="E159" t="e">
            <v>#N/A</v>
          </cell>
          <cell r="F159" t="str">
            <v>Madhya Pradesh</v>
          </cell>
          <cell r="G159" t="str">
            <v>CENTRAL SECTOR</v>
          </cell>
          <cell r="J159">
            <v>0</v>
          </cell>
          <cell r="K159" t="str">
            <v>Contracted</v>
          </cell>
        </row>
        <row r="160">
          <cell r="C160" t="str">
            <v>GADARWARA TPP1</v>
          </cell>
          <cell r="D160">
            <v>0</v>
          </cell>
          <cell r="E160" t="str">
            <v xml:space="preserve"> 0-5 years</v>
          </cell>
          <cell r="F160" t="str">
            <v>Madhya Pradesh</v>
          </cell>
          <cell r="G160" t="str">
            <v>CENTRAL SECTOR</v>
          </cell>
          <cell r="J160">
            <v>0</v>
          </cell>
          <cell r="K160" t="str">
            <v>Contracted</v>
          </cell>
        </row>
        <row r="161">
          <cell r="C161" t="str">
            <v>GANDHI NAGAR TPS5</v>
          </cell>
          <cell r="D161">
            <v>210</v>
          </cell>
          <cell r="E161" t="str">
            <v xml:space="preserve"> 20-25 years</v>
          </cell>
          <cell r="F161" t="str">
            <v>Gujarat</v>
          </cell>
          <cell r="G161" t="str">
            <v>STATE SECTOR</v>
          </cell>
          <cell r="H161" t="str">
            <v>3.88</v>
          </cell>
          <cell r="I161" t="str">
            <v>0.63</v>
          </cell>
          <cell r="J161">
            <v>2422.4769999999999</v>
          </cell>
          <cell r="K161" t="str">
            <v>Contracted</v>
          </cell>
        </row>
        <row r="162">
          <cell r="C162" t="str">
            <v>GANDHI NAGAR TPS4</v>
          </cell>
          <cell r="D162">
            <v>210</v>
          </cell>
          <cell r="E162" t="str">
            <v xml:space="preserve"> 25-30 years</v>
          </cell>
          <cell r="F162" t="str">
            <v>Gujarat</v>
          </cell>
          <cell r="G162" t="str">
            <v>STATE SECTOR</v>
          </cell>
          <cell r="H162" t="str">
            <v>3.88</v>
          </cell>
          <cell r="I162" t="str">
            <v>0.63</v>
          </cell>
          <cell r="J162">
            <v>1492.9010000000001</v>
          </cell>
          <cell r="K162" t="str">
            <v>Contracted</v>
          </cell>
        </row>
        <row r="163">
          <cell r="C163" t="str">
            <v>GANDHI NAGAR TPS3</v>
          </cell>
          <cell r="D163">
            <v>210</v>
          </cell>
          <cell r="E163" t="str">
            <v xml:space="preserve"> 30-35 years</v>
          </cell>
          <cell r="F163" t="str">
            <v>Gujarat</v>
          </cell>
          <cell r="G163" t="str">
            <v>STATE SECTOR</v>
          </cell>
          <cell r="H163" t="str">
            <v>3.88</v>
          </cell>
          <cell r="I163" t="str">
            <v>0.63</v>
          </cell>
          <cell r="J163">
            <v>1448.7149999999999</v>
          </cell>
          <cell r="K163" t="str">
            <v>Contracted</v>
          </cell>
        </row>
        <row r="164">
          <cell r="C164" t="str">
            <v>GEPL TPP PH-I2</v>
          </cell>
          <cell r="D164">
            <v>60</v>
          </cell>
          <cell r="E164" t="str">
            <v xml:space="preserve"> 5-10 years</v>
          </cell>
          <cell r="F164" t="str">
            <v>Maharashtra</v>
          </cell>
          <cell r="G164" t="str">
            <v>PVT SECTOR</v>
          </cell>
          <cell r="J164">
            <v>0</v>
          </cell>
          <cell r="K164" t="str">
            <v>Not contracted</v>
          </cell>
        </row>
        <row r="165">
          <cell r="C165" t="str">
            <v>GEPL TPP PH-I1</v>
          </cell>
          <cell r="D165">
            <v>60</v>
          </cell>
          <cell r="E165" t="str">
            <v xml:space="preserve"> 5-10 years</v>
          </cell>
          <cell r="F165" t="str">
            <v>Maharashtra</v>
          </cell>
          <cell r="G165" t="str">
            <v>PVT SECTOR</v>
          </cell>
          <cell r="J165">
            <v>0</v>
          </cell>
          <cell r="K165" t="str">
            <v>Not contracted</v>
          </cell>
        </row>
        <row r="166">
          <cell r="C166" t="str">
            <v>GH TPS (LEH.MOH.)3</v>
          </cell>
          <cell r="D166">
            <v>250</v>
          </cell>
          <cell r="E166" t="str">
            <v xml:space="preserve"> 10-15 years</v>
          </cell>
          <cell r="F166" t="str">
            <v>Punjab</v>
          </cell>
          <cell r="G166" t="str">
            <v>STATE SECTOR</v>
          </cell>
          <cell r="I166" t="str">
            <v>0.00</v>
          </cell>
          <cell r="J166">
            <v>1251.3899999999901</v>
          </cell>
          <cell r="K166" t="str">
            <v>Contracted</v>
          </cell>
        </row>
        <row r="167">
          <cell r="C167" t="str">
            <v>GH TPS (LEH.MOH.)4</v>
          </cell>
          <cell r="D167">
            <v>250</v>
          </cell>
          <cell r="E167" t="str">
            <v xml:space="preserve"> 10-15 years</v>
          </cell>
          <cell r="F167" t="str">
            <v>Punjab</v>
          </cell>
          <cell r="G167" t="str">
            <v>STATE SECTOR</v>
          </cell>
          <cell r="H167" t="str">
            <v>3.61</v>
          </cell>
          <cell r="I167" t="str">
            <v>0.00</v>
          </cell>
          <cell r="J167">
            <v>757.12999999999897</v>
          </cell>
          <cell r="K167" t="str">
            <v>Contracted</v>
          </cell>
        </row>
        <row r="168">
          <cell r="C168" t="str">
            <v>GH TPS (LEH.MOH.)1</v>
          </cell>
          <cell r="D168">
            <v>210</v>
          </cell>
          <cell r="E168" t="str">
            <v xml:space="preserve"> 20-25 years</v>
          </cell>
          <cell r="F168" t="str">
            <v>Punjab</v>
          </cell>
          <cell r="G168" t="str">
            <v>STATE SECTOR</v>
          </cell>
          <cell r="H168" t="str">
            <v>3.61</v>
          </cell>
          <cell r="I168" t="str">
            <v>0.00</v>
          </cell>
          <cell r="J168">
            <v>710.48199999999997</v>
          </cell>
          <cell r="K168" t="str">
            <v>Contracted</v>
          </cell>
        </row>
        <row r="169">
          <cell r="C169" t="str">
            <v>GH TPS (LEH.MOH.)2</v>
          </cell>
          <cell r="D169">
            <v>210</v>
          </cell>
          <cell r="E169" t="str">
            <v xml:space="preserve"> 20-25 years</v>
          </cell>
          <cell r="F169" t="str">
            <v>Punjab</v>
          </cell>
          <cell r="G169" t="str">
            <v>STATE SECTOR</v>
          </cell>
          <cell r="I169" t="str">
            <v>0.00</v>
          </cell>
          <cell r="J169">
            <v>664.72299999999996</v>
          </cell>
          <cell r="K169" t="str">
            <v>Contracted</v>
          </cell>
        </row>
        <row r="170">
          <cell r="C170" t="str">
            <v>GIRAL TPS2</v>
          </cell>
          <cell r="D170">
            <v>125</v>
          </cell>
          <cell r="E170" t="str">
            <v xml:space="preserve"> 10-15 years</v>
          </cell>
          <cell r="F170" t="str">
            <v>Rajasthan</v>
          </cell>
          <cell r="G170" t="str">
            <v>STATE SECTOR</v>
          </cell>
          <cell r="J170">
            <v>0</v>
          </cell>
          <cell r="K170" t="str">
            <v>Contracted</v>
          </cell>
        </row>
        <row r="171">
          <cell r="C171" t="str">
            <v>GIRAL TPS1</v>
          </cell>
          <cell r="D171">
            <v>125</v>
          </cell>
          <cell r="E171" t="str">
            <v xml:space="preserve"> 10-15 years</v>
          </cell>
          <cell r="F171" t="str">
            <v>Rajasthan</v>
          </cell>
          <cell r="G171" t="str">
            <v>STATE SECTOR</v>
          </cell>
          <cell r="J171">
            <v>0</v>
          </cell>
          <cell r="K171" t="str">
            <v>Contracted</v>
          </cell>
        </row>
        <row r="172">
          <cell r="C172" t="str">
            <v>GMR WARORA TPS1</v>
          </cell>
          <cell r="D172">
            <v>300</v>
          </cell>
          <cell r="E172" t="str">
            <v xml:space="preserve"> 5-10 years</v>
          </cell>
          <cell r="F172" t="str">
            <v>Maharashtra</v>
          </cell>
          <cell r="G172" t="str">
            <v>PVT SECTOR</v>
          </cell>
          <cell r="H172" t="str">
            <v>2.28</v>
          </cell>
          <cell r="I172" t="str">
            <v>2.05</v>
          </cell>
          <cell r="J172">
            <v>3999.48</v>
          </cell>
          <cell r="K172" t="str">
            <v>Contracted</v>
          </cell>
        </row>
        <row r="173">
          <cell r="C173" t="str">
            <v>GMR WARORA TPS2</v>
          </cell>
          <cell r="D173">
            <v>300</v>
          </cell>
          <cell r="E173" t="str">
            <v xml:space="preserve"> 5-10 years</v>
          </cell>
          <cell r="F173" t="str">
            <v>Maharashtra</v>
          </cell>
          <cell r="G173" t="str">
            <v>PVT SECTOR</v>
          </cell>
          <cell r="I173" t="str">
            <v>2.05</v>
          </cell>
          <cell r="J173">
            <v>3952.5799999999899</v>
          </cell>
          <cell r="K173" t="str">
            <v>Contracted</v>
          </cell>
        </row>
        <row r="174">
          <cell r="C174" t="str">
            <v>GND TPS(BHATINDA)4</v>
          </cell>
          <cell r="D174">
            <v>110</v>
          </cell>
          <cell r="E174" t="str">
            <v xml:space="preserve"> 35-40 years</v>
          </cell>
          <cell r="F174" t="str">
            <v>Punjab</v>
          </cell>
          <cell r="G174" t="str">
            <v>STATE SECTOR</v>
          </cell>
          <cell r="H174" t="str">
            <v>3.60</v>
          </cell>
          <cell r="I174" t="str">
            <v>0.00</v>
          </cell>
          <cell r="J174">
            <v>0</v>
          </cell>
          <cell r="K174" t="str">
            <v>Contracted</v>
          </cell>
        </row>
        <row r="175">
          <cell r="C175" t="str">
            <v>GND TPS(BHATINDA)4</v>
          </cell>
          <cell r="D175">
            <v>0</v>
          </cell>
          <cell r="E175" t="str">
            <v xml:space="preserve"> 35-40 years</v>
          </cell>
          <cell r="F175" t="str">
            <v>Punjab</v>
          </cell>
          <cell r="G175" t="str">
            <v>STATE SECTOR</v>
          </cell>
          <cell r="H175" t="str">
            <v>3.60</v>
          </cell>
          <cell r="I175" t="str">
            <v>0.00</v>
          </cell>
          <cell r="J175">
            <v>0</v>
          </cell>
          <cell r="K175" t="str">
            <v>Contracted</v>
          </cell>
        </row>
        <row r="176">
          <cell r="C176" t="str">
            <v>GND TPS(BHATINDA)3</v>
          </cell>
          <cell r="D176">
            <v>110</v>
          </cell>
          <cell r="E176" t="str">
            <v xml:space="preserve"> 40-45 years</v>
          </cell>
          <cell r="F176" t="str">
            <v>Punjab</v>
          </cell>
          <cell r="G176" t="str">
            <v>STATE SECTOR</v>
          </cell>
          <cell r="H176" t="str">
            <v>3.60</v>
          </cell>
          <cell r="I176" t="str">
            <v>0.00</v>
          </cell>
          <cell r="J176">
            <v>0</v>
          </cell>
          <cell r="K176" t="str">
            <v>Contracted</v>
          </cell>
        </row>
        <row r="177">
          <cell r="C177" t="str">
            <v>GND TPS(BHATINDA)3</v>
          </cell>
          <cell r="D177">
            <v>0</v>
          </cell>
          <cell r="E177" t="str">
            <v xml:space="preserve"> 40-45 years</v>
          </cell>
          <cell r="F177" t="str">
            <v>Punjab</v>
          </cell>
          <cell r="G177" t="str">
            <v>STATE SECTOR</v>
          </cell>
          <cell r="H177" t="str">
            <v>3.60</v>
          </cell>
          <cell r="I177" t="str">
            <v>0.00</v>
          </cell>
          <cell r="J177">
            <v>0</v>
          </cell>
          <cell r="K177" t="str">
            <v>Contracted</v>
          </cell>
        </row>
        <row r="178">
          <cell r="C178" t="str">
            <v>GND TPS(BHATINDA)2</v>
          </cell>
          <cell r="D178">
            <v>110</v>
          </cell>
          <cell r="E178" t="str">
            <v xml:space="preserve"> 40-45 years</v>
          </cell>
          <cell r="F178" t="str">
            <v>Punjab</v>
          </cell>
          <cell r="G178" t="str">
            <v>STATE SECTOR</v>
          </cell>
          <cell r="H178" t="str">
            <v>3.60</v>
          </cell>
          <cell r="I178" t="str">
            <v>0.00</v>
          </cell>
          <cell r="J178">
            <v>0</v>
          </cell>
          <cell r="K178" t="str">
            <v>Contracted</v>
          </cell>
        </row>
        <row r="179">
          <cell r="C179" t="str">
            <v>GND TPS(BHATINDA)2</v>
          </cell>
          <cell r="D179">
            <v>0</v>
          </cell>
          <cell r="E179" t="str">
            <v xml:space="preserve"> 40-45 years</v>
          </cell>
          <cell r="F179" t="str">
            <v>Punjab</v>
          </cell>
          <cell r="G179" t="str">
            <v>STATE SECTOR</v>
          </cell>
          <cell r="H179" t="str">
            <v>3.60</v>
          </cell>
          <cell r="I179" t="str">
            <v>0.00</v>
          </cell>
          <cell r="J179">
            <v>0</v>
          </cell>
          <cell r="K179" t="str">
            <v>Contracted</v>
          </cell>
        </row>
        <row r="180">
          <cell r="C180" t="str">
            <v>GND TPS(BHATINDA)1</v>
          </cell>
          <cell r="D180">
            <v>110</v>
          </cell>
          <cell r="E180" t="str">
            <v xml:space="preserve"> 40-45 years</v>
          </cell>
          <cell r="F180" t="str">
            <v>Punjab</v>
          </cell>
          <cell r="G180" t="str">
            <v>STATE SECTOR</v>
          </cell>
          <cell r="I180" t="str">
            <v>0.00</v>
          </cell>
          <cell r="J180">
            <v>0</v>
          </cell>
          <cell r="K180" t="str">
            <v>Contracted</v>
          </cell>
        </row>
        <row r="181">
          <cell r="C181" t="str">
            <v>GND TPS(BHATINDA)1</v>
          </cell>
          <cell r="D181">
            <v>0</v>
          </cell>
          <cell r="E181" t="str">
            <v xml:space="preserve"> 40-45 years</v>
          </cell>
          <cell r="F181" t="str">
            <v>Punjab</v>
          </cell>
          <cell r="G181" t="str">
            <v>STATE SECTOR</v>
          </cell>
          <cell r="I181" t="str">
            <v>0.00</v>
          </cell>
          <cell r="J181">
            <v>0</v>
          </cell>
          <cell r="K181" t="str">
            <v>Contracted</v>
          </cell>
        </row>
        <row r="182">
          <cell r="C182" t="str">
            <v>GOINDWAL SAHIB2</v>
          </cell>
          <cell r="D182">
            <v>270</v>
          </cell>
          <cell r="E182" t="str">
            <v xml:space="preserve"> 0-5 years</v>
          </cell>
          <cell r="F182" t="str">
            <v>Punjab</v>
          </cell>
          <cell r="G182" t="str">
            <v>PVT SECTOR</v>
          </cell>
          <cell r="H182" t="str">
            <v>2.94</v>
          </cell>
          <cell r="I182" t="str">
            <v>1.93</v>
          </cell>
          <cell r="J182">
            <v>2011.7180000000001</v>
          </cell>
          <cell r="K182" t="str">
            <v>Contracted</v>
          </cell>
        </row>
        <row r="183">
          <cell r="C183" t="str">
            <v>GOINDWAL SAHIB1</v>
          </cell>
          <cell r="D183">
            <v>270</v>
          </cell>
          <cell r="E183" t="str">
            <v xml:space="preserve"> 0-5 years</v>
          </cell>
          <cell r="F183" t="str">
            <v>Punjab</v>
          </cell>
          <cell r="G183" t="str">
            <v>PVT SECTOR</v>
          </cell>
          <cell r="H183" t="str">
            <v>2.94</v>
          </cell>
          <cell r="I183" t="str">
            <v>1.93</v>
          </cell>
          <cell r="J183">
            <v>1618.7570000000001</v>
          </cell>
          <cell r="K183" t="str">
            <v>Contracted</v>
          </cell>
        </row>
        <row r="184">
          <cell r="C184" t="str">
            <v>HALDIA TPP1</v>
          </cell>
          <cell r="D184">
            <v>300</v>
          </cell>
          <cell r="E184" t="str">
            <v xml:space="preserve"> 5-10 years</v>
          </cell>
          <cell r="F184" t="str">
            <v>West Bengal</v>
          </cell>
          <cell r="G184" t="str">
            <v>PVT SECTOR</v>
          </cell>
          <cell r="J184">
            <v>4491.9443999999903</v>
          </cell>
          <cell r="K184" t="str">
            <v>Contracted</v>
          </cell>
        </row>
        <row r="185">
          <cell r="C185" t="str">
            <v>HALDIA TPP2</v>
          </cell>
          <cell r="D185">
            <v>300</v>
          </cell>
          <cell r="E185" t="str">
            <v xml:space="preserve"> 5-10 years</v>
          </cell>
          <cell r="F185" t="str">
            <v>West Bengal</v>
          </cell>
          <cell r="G185" t="str">
            <v>PVT SECTOR</v>
          </cell>
          <cell r="J185">
            <v>4439.5559000000003</v>
          </cell>
          <cell r="K185" t="str">
            <v>Contracted</v>
          </cell>
        </row>
        <row r="186">
          <cell r="C186" t="str">
            <v>HARDUAGANJ TPS9</v>
          </cell>
          <cell r="D186">
            <v>250</v>
          </cell>
          <cell r="E186" t="str">
            <v xml:space="preserve"> 5-10 years</v>
          </cell>
          <cell r="F186" t="str">
            <v>Uttar Pradesh</v>
          </cell>
          <cell r="G186" t="str">
            <v>STATE SECTOR</v>
          </cell>
          <cell r="H186" t="str">
            <v>3.37</v>
          </cell>
          <cell r="I186" t="str">
            <v>1.48</v>
          </cell>
          <cell r="J186">
            <v>3063.84399999999</v>
          </cell>
          <cell r="K186" t="str">
            <v>Contracted</v>
          </cell>
        </row>
        <row r="187">
          <cell r="C187" t="str">
            <v>HARDUAGANJ TPS8</v>
          </cell>
          <cell r="D187">
            <v>250</v>
          </cell>
          <cell r="E187" t="str">
            <v xml:space="preserve"> 5-10 years</v>
          </cell>
          <cell r="F187" t="str">
            <v>Uttar Pradesh</v>
          </cell>
          <cell r="G187" t="str">
            <v>STATE SECTOR</v>
          </cell>
          <cell r="H187" t="str">
            <v>3.37</v>
          </cell>
          <cell r="I187" t="str">
            <v>1.48</v>
          </cell>
          <cell r="J187">
            <v>2859.5899999999901</v>
          </cell>
          <cell r="K187" t="str">
            <v>Contracted</v>
          </cell>
        </row>
        <row r="188">
          <cell r="C188" t="str">
            <v>HARDUAGANJ TPS7</v>
          </cell>
          <cell r="D188">
            <v>105</v>
          </cell>
          <cell r="E188" t="str">
            <v xml:space="preserve"> 40-45 years</v>
          </cell>
          <cell r="F188" t="str">
            <v>Uttar Pradesh</v>
          </cell>
          <cell r="G188" t="str">
            <v>STATE SECTOR</v>
          </cell>
          <cell r="H188" t="str">
            <v>3.37</v>
          </cell>
          <cell r="I188" t="str">
            <v>1.48</v>
          </cell>
          <cell r="J188">
            <v>403.37179999999898</v>
          </cell>
          <cell r="K188" t="str">
            <v>Contracted</v>
          </cell>
        </row>
        <row r="189">
          <cell r="C189" t="str">
            <v>HARDUAGANJ TPS10</v>
          </cell>
          <cell r="D189">
            <v>0</v>
          </cell>
          <cell r="E189" t="e">
            <v>#N/A</v>
          </cell>
          <cell r="F189" t="str">
            <v>Uttar Pradesh</v>
          </cell>
          <cell r="G189" t="str">
            <v>STATE SECTOR</v>
          </cell>
          <cell r="J189">
            <v>0</v>
          </cell>
          <cell r="K189" t="str">
            <v>Not contracted</v>
          </cell>
        </row>
        <row r="190">
          <cell r="C190" t="str">
            <v>HIRANMAYE TPP3</v>
          </cell>
          <cell r="D190">
            <v>0</v>
          </cell>
          <cell r="E190" t="e">
            <v>#N/A</v>
          </cell>
          <cell r="F190" t="str">
            <v>West Bengal</v>
          </cell>
          <cell r="G190" t="str">
            <v>PVT SECTOR</v>
          </cell>
          <cell r="J190">
            <v>0</v>
          </cell>
          <cell r="K190" t="str">
            <v>Not contracted</v>
          </cell>
        </row>
        <row r="191">
          <cell r="C191" t="str">
            <v>HIRANMAYE TPP2</v>
          </cell>
          <cell r="D191">
            <v>150</v>
          </cell>
          <cell r="E191" t="str">
            <v xml:space="preserve"> 0-5 years</v>
          </cell>
          <cell r="F191" t="str">
            <v>West Bengal</v>
          </cell>
          <cell r="G191" t="str">
            <v>PVT SECTOR</v>
          </cell>
          <cell r="J191">
            <v>0</v>
          </cell>
          <cell r="K191" t="str">
            <v>Not contracted</v>
          </cell>
        </row>
        <row r="192">
          <cell r="C192" t="str">
            <v>HIRANMAYE TPP1</v>
          </cell>
          <cell r="D192">
            <v>150</v>
          </cell>
          <cell r="E192" t="str">
            <v xml:space="preserve"> 0-5 years</v>
          </cell>
          <cell r="F192" t="str">
            <v>West Bengal</v>
          </cell>
          <cell r="G192" t="str">
            <v>PVT SECTOR</v>
          </cell>
          <cell r="J192">
            <v>0</v>
          </cell>
          <cell r="K192" t="str">
            <v>Not contracted</v>
          </cell>
        </row>
        <row r="193">
          <cell r="C193" t="str">
            <v>IB VALLEY TPS2</v>
          </cell>
          <cell r="D193">
            <v>210</v>
          </cell>
          <cell r="E193" t="str">
            <v xml:space="preserve"> 20-25 years</v>
          </cell>
          <cell r="F193" t="str">
            <v>Odisha</v>
          </cell>
          <cell r="G193" t="str">
            <v>STATE SECTOR</v>
          </cell>
          <cell r="I193" t="str">
            <v>1.00</v>
          </cell>
          <cell r="J193">
            <v>2824.0079999999998</v>
          </cell>
          <cell r="K193" t="str">
            <v>Contracted</v>
          </cell>
        </row>
        <row r="194">
          <cell r="C194" t="str">
            <v>IB VALLEY TPS1</v>
          </cell>
          <cell r="D194">
            <v>210</v>
          </cell>
          <cell r="E194" t="str">
            <v xml:space="preserve"> 25-30 years</v>
          </cell>
          <cell r="F194" t="str">
            <v>Odisha</v>
          </cell>
          <cell r="G194" t="str">
            <v>STATE SECTOR</v>
          </cell>
          <cell r="H194" t="str">
            <v>1.51</v>
          </cell>
          <cell r="I194" t="str">
            <v>1.00</v>
          </cell>
          <cell r="J194">
            <v>2774.7289999999898</v>
          </cell>
          <cell r="K194" t="str">
            <v>Contracted</v>
          </cell>
        </row>
        <row r="195">
          <cell r="C195" t="str">
            <v>IB VALLEY TPS3</v>
          </cell>
          <cell r="D195">
            <v>660</v>
          </cell>
          <cell r="E195" t="str">
            <v xml:space="preserve"> 0-5 years</v>
          </cell>
          <cell r="F195" t="str">
            <v>Odisha</v>
          </cell>
          <cell r="G195" t="str">
            <v>STATE SECTOR</v>
          </cell>
          <cell r="H195" t="str">
            <v>1.51</v>
          </cell>
          <cell r="I195" t="str">
            <v>1.00</v>
          </cell>
          <cell r="J195">
            <v>1941.47999999999</v>
          </cell>
          <cell r="K195" t="str">
            <v>Contracted</v>
          </cell>
        </row>
        <row r="196">
          <cell r="C196" t="str">
            <v>IB VALLEY TPS4</v>
          </cell>
          <cell r="D196">
            <v>660</v>
          </cell>
          <cell r="E196" t="str">
            <v xml:space="preserve"> 0-5 years</v>
          </cell>
          <cell r="F196" t="str">
            <v>Odisha</v>
          </cell>
          <cell r="G196" t="str">
            <v>STATE SECTOR</v>
          </cell>
          <cell r="H196" t="str">
            <v>1.51</v>
          </cell>
          <cell r="I196" t="str">
            <v>1.00</v>
          </cell>
          <cell r="J196">
            <v>1600.75</v>
          </cell>
          <cell r="K196" t="str">
            <v>Contracted</v>
          </cell>
        </row>
        <row r="197">
          <cell r="C197" t="str">
            <v>IB VALLEY TPS4</v>
          </cell>
          <cell r="D197">
            <v>0</v>
          </cell>
          <cell r="E197" t="str">
            <v xml:space="preserve"> 0-5 years</v>
          </cell>
          <cell r="F197" t="str">
            <v>Odisha</v>
          </cell>
          <cell r="G197" t="str">
            <v>STATE SECTOR</v>
          </cell>
          <cell r="H197" t="str">
            <v>1.51</v>
          </cell>
          <cell r="I197" t="str">
            <v>1.00</v>
          </cell>
          <cell r="J197">
            <v>0</v>
          </cell>
          <cell r="K197" t="str">
            <v>Contracted</v>
          </cell>
        </row>
        <row r="198">
          <cell r="C198" t="str">
            <v>IB VALLEY TPS3</v>
          </cell>
          <cell r="D198">
            <v>0</v>
          </cell>
          <cell r="E198" t="str">
            <v xml:space="preserve"> 0-5 years</v>
          </cell>
          <cell r="F198" t="str">
            <v>Odisha</v>
          </cell>
          <cell r="G198" t="str">
            <v>STATE SECTOR</v>
          </cell>
          <cell r="H198" t="str">
            <v>1.51</v>
          </cell>
          <cell r="I198" t="str">
            <v>1.00</v>
          </cell>
          <cell r="J198">
            <v>0</v>
          </cell>
          <cell r="K198" t="str">
            <v>Contracted</v>
          </cell>
        </row>
        <row r="199">
          <cell r="C199" t="str">
            <v>ICCL IMP2</v>
          </cell>
          <cell r="D199">
            <v>0</v>
          </cell>
          <cell r="E199" t="e">
            <v>#N/A</v>
          </cell>
          <cell r="F199" t="str">
            <v>Odisha</v>
          </cell>
          <cell r="G199" t="str">
            <v>PVT SECTOR</v>
          </cell>
          <cell r="J199">
            <v>517.05299999999897</v>
          </cell>
          <cell r="K199" t="str">
            <v>Not contracted</v>
          </cell>
        </row>
        <row r="200">
          <cell r="C200" t="str">
            <v>INDBHARATH TUTICORIN TPP2</v>
          </cell>
          <cell r="D200">
            <v>150</v>
          </cell>
          <cell r="E200" t="str">
            <v xml:space="preserve"> 5-10 years</v>
          </cell>
          <cell r="F200" t="str">
            <v>Tamil Nadu</v>
          </cell>
          <cell r="G200" t="str">
            <v>PVT SECTOR</v>
          </cell>
          <cell r="J200">
            <v>0</v>
          </cell>
          <cell r="K200" t="str">
            <v>Not contracted</v>
          </cell>
        </row>
        <row r="201">
          <cell r="C201" t="str">
            <v>INDBHARATH TUTICORIN TPP1</v>
          </cell>
          <cell r="D201">
            <v>150</v>
          </cell>
          <cell r="E201" t="str">
            <v xml:space="preserve"> 5-10 years</v>
          </cell>
          <cell r="F201" t="str">
            <v>Tamil Nadu</v>
          </cell>
          <cell r="G201" t="str">
            <v>PVT SECTOR</v>
          </cell>
          <cell r="J201">
            <v>0</v>
          </cell>
          <cell r="K201" t="str">
            <v>Not contracted</v>
          </cell>
        </row>
        <row r="202">
          <cell r="C202" t="str">
            <v>INDIRA GANDHI STPP3</v>
          </cell>
          <cell r="D202">
            <v>500</v>
          </cell>
          <cell r="E202" t="str">
            <v xml:space="preserve"> 5-10 years</v>
          </cell>
          <cell r="F202" t="str">
            <v>Haryana</v>
          </cell>
          <cell r="G202" t="str">
            <v>CENTRAL SECTOR</v>
          </cell>
          <cell r="H202" t="str">
            <v>2.79</v>
          </cell>
          <cell r="I202" t="str">
            <v>1.65</v>
          </cell>
          <cell r="J202">
            <v>3983.20099999999</v>
          </cell>
          <cell r="K202" t="str">
            <v>Contracted</v>
          </cell>
        </row>
        <row r="203">
          <cell r="C203" t="str">
            <v>INDIRA GANDHI STPP2</v>
          </cell>
          <cell r="D203">
            <v>500</v>
          </cell>
          <cell r="E203" t="str">
            <v xml:space="preserve"> 5-10 years</v>
          </cell>
          <cell r="F203" t="str">
            <v>Haryana</v>
          </cell>
          <cell r="G203" t="str">
            <v>CENTRAL SECTOR</v>
          </cell>
          <cell r="H203" t="str">
            <v>2.79</v>
          </cell>
          <cell r="I203" t="str">
            <v>1.65</v>
          </cell>
          <cell r="J203">
            <v>3654.1120000000001</v>
          </cell>
          <cell r="K203" t="str">
            <v>Contracted</v>
          </cell>
        </row>
        <row r="204">
          <cell r="C204" t="str">
            <v>INDIRA GANDHI STPP1</v>
          </cell>
          <cell r="D204">
            <v>500</v>
          </cell>
          <cell r="E204" t="str">
            <v xml:space="preserve"> 5-10 years</v>
          </cell>
          <cell r="F204" t="str">
            <v>Haryana</v>
          </cell>
          <cell r="G204" t="str">
            <v>CENTRAL SECTOR</v>
          </cell>
          <cell r="H204" t="str">
            <v>2.79</v>
          </cell>
          <cell r="I204" t="str">
            <v>1.65</v>
          </cell>
          <cell r="J204">
            <v>3519.66299999999</v>
          </cell>
          <cell r="K204" t="str">
            <v>Contracted</v>
          </cell>
        </row>
        <row r="205">
          <cell r="C205" t="str">
            <v>ITPCL TPP2</v>
          </cell>
          <cell r="D205">
            <v>600</v>
          </cell>
          <cell r="E205" t="str">
            <v xml:space="preserve"> 0-5 years</v>
          </cell>
          <cell r="F205" t="str">
            <v>Tamil Nadu</v>
          </cell>
          <cell r="G205" t="str">
            <v>PVT SECTOR</v>
          </cell>
          <cell r="H205" t="str">
            <v>2.99</v>
          </cell>
          <cell r="I205" t="str">
            <v>2.12</v>
          </cell>
          <cell r="J205">
            <v>6684.77</v>
          </cell>
          <cell r="K205" t="str">
            <v>Contracted</v>
          </cell>
        </row>
        <row r="206">
          <cell r="C206" t="str">
            <v>ITPCL TPP1</v>
          </cell>
          <cell r="D206">
            <v>600</v>
          </cell>
          <cell r="E206" t="str">
            <v xml:space="preserve"> 0-5 years</v>
          </cell>
          <cell r="F206" t="str">
            <v>Tamil Nadu</v>
          </cell>
          <cell r="G206" t="str">
            <v>PVT SECTOR</v>
          </cell>
          <cell r="H206" t="str">
            <v>2.99</v>
          </cell>
          <cell r="I206" t="str">
            <v>2.12</v>
          </cell>
          <cell r="J206">
            <v>5801.13</v>
          </cell>
          <cell r="K206" t="str">
            <v>Contracted</v>
          </cell>
        </row>
        <row r="207">
          <cell r="C207" t="str">
            <v>JALIPA KAPURDI TPP4</v>
          </cell>
          <cell r="D207">
            <v>135</v>
          </cell>
          <cell r="E207" t="str">
            <v xml:space="preserve"> 5-10 years</v>
          </cell>
          <cell r="F207" t="str">
            <v>Rajasthan</v>
          </cell>
          <cell r="G207" t="str">
            <v>PVT SECTOR</v>
          </cell>
          <cell r="H207" t="str">
            <v>2.50</v>
          </cell>
          <cell r="I207" t="str">
            <v>1.70</v>
          </cell>
          <cell r="J207">
            <v>1618.5149999999901</v>
          </cell>
          <cell r="K207" t="str">
            <v>Contracted</v>
          </cell>
        </row>
        <row r="208">
          <cell r="C208" t="str">
            <v>JALIPA KAPURDI TPP8</v>
          </cell>
          <cell r="D208">
            <v>135</v>
          </cell>
          <cell r="E208" t="str">
            <v xml:space="preserve"> 5-10 years</v>
          </cell>
          <cell r="F208" t="str">
            <v>Rajasthan</v>
          </cell>
          <cell r="G208" t="str">
            <v>PVT SECTOR</v>
          </cell>
          <cell r="H208" t="str">
            <v>2.50</v>
          </cell>
          <cell r="I208" t="str">
            <v>1.70</v>
          </cell>
          <cell r="J208">
            <v>1600.2929999999999</v>
          </cell>
          <cell r="K208" t="str">
            <v>Contracted</v>
          </cell>
        </row>
        <row r="209">
          <cell r="C209" t="str">
            <v>JALIPA KAPURDI TPP5</v>
          </cell>
          <cell r="D209">
            <v>135</v>
          </cell>
          <cell r="E209" t="str">
            <v xml:space="preserve"> 5-10 years</v>
          </cell>
          <cell r="F209" t="str">
            <v>Rajasthan</v>
          </cell>
          <cell r="G209" t="str">
            <v>PVT SECTOR</v>
          </cell>
          <cell r="I209" t="str">
            <v>1.70</v>
          </cell>
          <cell r="J209">
            <v>1587.0119999999999</v>
          </cell>
          <cell r="K209" t="str">
            <v>Contracted</v>
          </cell>
        </row>
        <row r="210">
          <cell r="C210" t="str">
            <v>JALIPA KAPURDI TPP2</v>
          </cell>
          <cell r="D210">
            <v>135</v>
          </cell>
          <cell r="E210" t="str">
            <v xml:space="preserve"> 5-10 years</v>
          </cell>
          <cell r="F210" t="str">
            <v>Rajasthan</v>
          </cell>
          <cell r="G210" t="str">
            <v>PVT SECTOR</v>
          </cell>
          <cell r="H210" t="str">
            <v>2.50</v>
          </cell>
          <cell r="I210" t="str">
            <v>1.70</v>
          </cell>
          <cell r="J210">
            <v>1579.74199999999</v>
          </cell>
          <cell r="K210" t="str">
            <v>Contracted</v>
          </cell>
        </row>
        <row r="211">
          <cell r="C211" t="str">
            <v>JALIPA KAPURDI TPP7</v>
          </cell>
          <cell r="D211">
            <v>135</v>
          </cell>
          <cell r="E211" t="str">
            <v xml:space="preserve"> 5-10 years</v>
          </cell>
          <cell r="F211" t="str">
            <v>Rajasthan</v>
          </cell>
          <cell r="G211" t="str">
            <v>PVT SECTOR</v>
          </cell>
          <cell r="I211" t="str">
            <v>1.70</v>
          </cell>
          <cell r="J211">
            <v>1565.6120000000001</v>
          </cell>
          <cell r="K211" t="str">
            <v>Contracted</v>
          </cell>
        </row>
        <row r="212">
          <cell r="C212" t="str">
            <v>JALIPA KAPURDI TPP1</v>
          </cell>
          <cell r="D212">
            <v>135</v>
          </cell>
          <cell r="E212" t="str">
            <v xml:space="preserve"> 10-15 years</v>
          </cell>
          <cell r="F212" t="str">
            <v>Rajasthan</v>
          </cell>
          <cell r="G212" t="str">
            <v>PVT SECTOR</v>
          </cell>
          <cell r="I212" t="str">
            <v>1.70</v>
          </cell>
          <cell r="J212">
            <v>1508.1420000000001</v>
          </cell>
          <cell r="K212" t="str">
            <v>Contracted</v>
          </cell>
        </row>
        <row r="213">
          <cell r="C213" t="str">
            <v>JALIPA KAPURDI TPP3</v>
          </cell>
          <cell r="D213">
            <v>135</v>
          </cell>
          <cell r="E213" t="str">
            <v xml:space="preserve"> 5-10 years</v>
          </cell>
          <cell r="F213" t="str">
            <v>Rajasthan</v>
          </cell>
          <cell r="G213" t="str">
            <v>PVT SECTOR</v>
          </cell>
          <cell r="I213" t="str">
            <v>1.70</v>
          </cell>
          <cell r="J213">
            <v>1488.4359999999999</v>
          </cell>
          <cell r="K213" t="str">
            <v>Contracted</v>
          </cell>
        </row>
        <row r="214">
          <cell r="C214" t="str">
            <v>JALIPA KAPURDI TPP6</v>
          </cell>
          <cell r="D214">
            <v>135</v>
          </cell>
          <cell r="E214" t="str">
            <v xml:space="preserve"> 5-10 years</v>
          </cell>
          <cell r="F214" t="str">
            <v>Rajasthan</v>
          </cell>
          <cell r="G214" t="str">
            <v>PVT SECTOR</v>
          </cell>
          <cell r="I214" t="str">
            <v>1.70</v>
          </cell>
          <cell r="J214">
            <v>1444.973</v>
          </cell>
          <cell r="K214" t="str">
            <v>Contracted</v>
          </cell>
        </row>
        <row r="215">
          <cell r="C215" t="str">
            <v>JOJOBERA TPS2</v>
          </cell>
          <cell r="D215">
            <v>120</v>
          </cell>
          <cell r="E215" t="str">
            <v xml:space="preserve"> 15-20 years</v>
          </cell>
          <cell r="F215" t="str">
            <v>Jharkhand</v>
          </cell>
          <cell r="G215" t="str">
            <v>PVT SECTOR</v>
          </cell>
          <cell r="J215">
            <v>1489.163</v>
          </cell>
          <cell r="K215" t="str">
            <v>Not contracted</v>
          </cell>
        </row>
        <row r="216">
          <cell r="C216" t="str">
            <v>JOJOBERA TPS3</v>
          </cell>
          <cell r="D216">
            <v>120</v>
          </cell>
          <cell r="E216" t="str">
            <v xml:space="preserve"> 15-20 years</v>
          </cell>
          <cell r="F216" t="str">
            <v>Jharkhand</v>
          </cell>
          <cell r="G216" t="str">
            <v>PVT SECTOR</v>
          </cell>
          <cell r="J216">
            <v>1485.1079999999999</v>
          </cell>
          <cell r="K216" t="str">
            <v>Not contracted</v>
          </cell>
        </row>
        <row r="217">
          <cell r="C217" t="str">
            <v>JSW RATNAGIRI TPP1</v>
          </cell>
          <cell r="D217">
            <v>300</v>
          </cell>
          <cell r="E217" t="str">
            <v xml:space="preserve"> 5-10 years</v>
          </cell>
          <cell r="F217" t="str">
            <v>Maharashtra</v>
          </cell>
          <cell r="G217" t="str">
            <v>PVT SECTOR</v>
          </cell>
          <cell r="H217" t="str">
            <v>2.07</v>
          </cell>
          <cell r="I217" t="str">
            <v>0.80</v>
          </cell>
          <cell r="J217">
            <v>4339.44199999999</v>
          </cell>
          <cell r="K217" t="str">
            <v>Contracted</v>
          </cell>
        </row>
        <row r="218">
          <cell r="C218" t="str">
            <v>JSW RATNAGIRI TPP3</v>
          </cell>
          <cell r="D218">
            <v>300</v>
          </cell>
          <cell r="E218" t="str">
            <v xml:space="preserve"> 5-10 years</v>
          </cell>
          <cell r="F218" t="str">
            <v>Maharashtra</v>
          </cell>
          <cell r="G218" t="str">
            <v>PVT SECTOR</v>
          </cell>
          <cell r="I218" t="str">
            <v>0.80</v>
          </cell>
          <cell r="J218">
            <v>3850.5099999999902</v>
          </cell>
          <cell r="K218" t="str">
            <v>Not contracted</v>
          </cell>
        </row>
        <row r="219">
          <cell r="C219" t="str">
            <v>JSW RATNAGIRI TPP4</v>
          </cell>
          <cell r="D219">
            <v>300</v>
          </cell>
          <cell r="E219" t="str">
            <v xml:space="preserve"> 5-10 years</v>
          </cell>
          <cell r="F219" t="str">
            <v>Maharashtra</v>
          </cell>
          <cell r="G219" t="str">
            <v>PVT SECTOR</v>
          </cell>
          <cell r="H219" t="str">
            <v>2.07</v>
          </cell>
          <cell r="I219" t="str">
            <v>0.80</v>
          </cell>
          <cell r="J219">
            <v>3834.634</v>
          </cell>
          <cell r="K219" t="str">
            <v>Not contracted</v>
          </cell>
        </row>
        <row r="220">
          <cell r="C220" t="str">
            <v>JSW RATNAGIRI TPP2</v>
          </cell>
          <cell r="D220">
            <v>300</v>
          </cell>
          <cell r="E220" t="str">
            <v xml:space="preserve"> 5-10 years</v>
          </cell>
          <cell r="F220" t="str">
            <v>Maharashtra</v>
          </cell>
          <cell r="G220" t="str">
            <v>PVT SECTOR</v>
          </cell>
          <cell r="I220" t="str">
            <v>0.80</v>
          </cell>
          <cell r="J220">
            <v>3711.0340000000001</v>
          </cell>
          <cell r="K220" t="str">
            <v>Not contracted</v>
          </cell>
        </row>
        <row r="221">
          <cell r="C221" t="str">
            <v>KAHALGAON TPS5</v>
          </cell>
          <cell r="D221">
            <v>500</v>
          </cell>
          <cell r="E221" t="str">
            <v xml:space="preserve"> 10-15 years</v>
          </cell>
          <cell r="F221" t="str">
            <v>Bihar</v>
          </cell>
          <cell r="G221" t="str">
            <v>CENTRAL SECTOR</v>
          </cell>
          <cell r="I221" t="str">
            <v>1.06</v>
          </cell>
          <cell r="J221">
            <v>7018.8399999999901</v>
          </cell>
          <cell r="K221" t="str">
            <v>Contracted</v>
          </cell>
        </row>
        <row r="222">
          <cell r="C222" t="str">
            <v>KAHALGAON TPS7</v>
          </cell>
          <cell r="D222">
            <v>500</v>
          </cell>
          <cell r="E222" t="str">
            <v xml:space="preserve"> 10-15 years</v>
          </cell>
          <cell r="F222" t="str">
            <v>Bihar</v>
          </cell>
          <cell r="G222" t="str">
            <v>CENTRAL SECTOR</v>
          </cell>
          <cell r="H222" t="str">
            <v>2.30</v>
          </cell>
          <cell r="I222" t="str">
            <v>1.06</v>
          </cell>
          <cell r="J222">
            <v>6885.94</v>
          </cell>
          <cell r="K222" t="str">
            <v>Contracted</v>
          </cell>
        </row>
        <row r="223">
          <cell r="C223" t="str">
            <v>KAHALGAON TPS6</v>
          </cell>
          <cell r="D223">
            <v>500</v>
          </cell>
          <cell r="E223" t="str">
            <v xml:space="preserve"> 10-15 years</v>
          </cell>
          <cell r="F223" t="str">
            <v>Bihar</v>
          </cell>
          <cell r="G223" t="str">
            <v>CENTRAL SECTOR</v>
          </cell>
          <cell r="H223" t="str">
            <v>2.30</v>
          </cell>
          <cell r="I223" t="str">
            <v>1.06</v>
          </cell>
          <cell r="J223">
            <v>6656.76</v>
          </cell>
          <cell r="K223" t="str">
            <v>Contracted</v>
          </cell>
        </row>
        <row r="224">
          <cell r="C224" t="str">
            <v>KAHALGAON TPS1</v>
          </cell>
          <cell r="D224">
            <v>210</v>
          </cell>
          <cell r="E224" t="str">
            <v xml:space="preserve"> 25-30 years</v>
          </cell>
          <cell r="F224" t="str">
            <v>Bihar</v>
          </cell>
          <cell r="G224" t="str">
            <v>CENTRAL SECTOR</v>
          </cell>
          <cell r="H224" t="str">
            <v>2.30</v>
          </cell>
          <cell r="I224" t="str">
            <v>1.06</v>
          </cell>
          <cell r="J224">
            <v>3003.3299999999899</v>
          </cell>
          <cell r="K224" t="str">
            <v>Contracted</v>
          </cell>
        </row>
        <row r="225">
          <cell r="C225" t="str">
            <v>KAHALGAON TPS2</v>
          </cell>
          <cell r="D225">
            <v>210</v>
          </cell>
          <cell r="E225" t="str">
            <v xml:space="preserve"> 25-30 years</v>
          </cell>
          <cell r="F225" t="str">
            <v>Bihar</v>
          </cell>
          <cell r="G225" t="str">
            <v>CENTRAL SECTOR</v>
          </cell>
          <cell r="H225" t="str">
            <v>2.30</v>
          </cell>
          <cell r="I225" t="str">
            <v>1.06</v>
          </cell>
          <cell r="J225">
            <v>2991.21</v>
          </cell>
          <cell r="K225" t="str">
            <v>Contracted</v>
          </cell>
        </row>
        <row r="226">
          <cell r="C226" t="str">
            <v>KAHALGAON TPS4</v>
          </cell>
          <cell r="D226">
            <v>210</v>
          </cell>
          <cell r="E226" t="str">
            <v xml:space="preserve"> 20-25 years</v>
          </cell>
          <cell r="F226" t="str">
            <v>Bihar</v>
          </cell>
          <cell r="G226" t="str">
            <v>CENTRAL SECTOR</v>
          </cell>
          <cell r="I226" t="str">
            <v>1.06</v>
          </cell>
          <cell r="J226">
            <v>2967.6499999999901</v>
          </cell>
          <cell r="K226" t="str">
            <v>Contracted</v>
          </cell>
        </row>
        <row r="227">
          <cell r="C227" t="str">
            <v>KAHALGAON TPS3</v>
          </cell>
          <cell r="D227">
            <v>210</v>
          </cell>
          <cell r="E227" t="str">
            <v xml:space="preserve"> 25-30 years</v>
          </cell>
          <cell r="F227" t="str">
            <v>Bihar</v>
          </cell>
          <cell r="G227" t="str">
            <v>CENTRAL SECTOR</v>
          </cell>
          <cell r="H227" t="str">
            <v>2.30</v>
          </cell>
          <cell r="I227" t="str">
            <v>1.06</v>
          </cell>
          <cell r="J227">
            <v>2957.3599999999901</v>
          </cell>
          <cell r="K227" t="str">
            <v>Contracted</v>
          </cell>
        </row>
        <row r="228">
          <cell r="C228" t="str">
            <v>KAKATIYA TPS2</v>
          </cell>
          <cell r="D228">
            <v>600</v>
          </cell>
          <cell r="E228" t="str">
            <v xml:space="preserve"> 0-5 years</v>
          </cell>
          <cell r="F228" t="str">
            <v>Telangana</v>
          </cell>
          <cell r="G228" t="str">
            <v>STATE SECTOR</v>
          </cell>
          <cell r="H228" t="str">
            <v>3.16</v>
          </cell>
          <cell r="I228" t="str">
            <v>1.63</v>
          </cell>
          <cell r="J228">
            <v>8140.2859999999901</v>
          </cell>
          <cell r="K228" t="str">
            <v>Contracted</v>
          </cell>
        </row>
        <row r="229">
          <cell r="C229" t="str">
            <v>KAKATIYA TPS1</v>
          </cell>
          <cell r="D229">
            <v>500</v>
          </cell>
          <cell r="E229" t="str">
            <v xml:space="preserve"> 5-10 years</v>
          </cell>
          <cell r="F229" t="str">
            <v>Telangana</v>
          </cell>
          <cell r="G229" t="str">
            <v>STATE SECTOR</v>
          </cell>
          <cell r="I229" t="str">
            <v>1.63</v>
          </cell>
          <cell r="J229">
            <v>6837.99</v>
          </cell>
          <cell r="K229" t="str">
            <v>Contracted</v>
          </cell>
        </row>
        <row r="230">
          <cell r="C230" t="str">
            <v>KALISINDH TPS1</v>
          </cell>
          <cell r="D230">
            <v>600</v>
          </cell>
          <cell r="E230" t="str">
            <v xml:space="preserve"> 5-10 years</v>
          </cell>
          <cell r="F230" t="str">
            <v>Rajasthan</v>
          </cell>
          <cell r="G230" t="str">
            <v>STATE SECTOR</v>
          </cell>
          <cell r="H230" t="str">
            <v>2.61</v>
          </cell>
          <cell r="I230" t="str">
            <v>1.93</v>
          </cell>
          <cell r="J230">
            <v>7473.4870000000001</v>
          </cell>
          <cell r="K230" t="str">
            <v>Contracted</v>
          </cell>
        </row>
        <row r="231">
          <cell r="C231" t="str">
            <v>KALISINDH TPS2</v>
          </cell>
          <cell r="D231">
            <v>600</v>
          </cell>
          <cell r="E231" t="str">
            <v xml:space="preserve"> 0-5 years</v>
          </cell>
          <cell r="F231" t="str">
            <v>Rajasthan</v>
          </cell>
          <cell r="G231" t="str">
            <v>STATE SECTOR</v>
          </cell>
          <cell r="H231" t="str">
            <v>2.61</v>
          </cell>
          <cell r="I231" t="str">
            <v>1.93</v>
          </cell>
          <cell r="J231">
            <v>3572.54</v>
          </cell>
          <cell r="K231" t="str">
            <v>Contracted</v>
          </cell>
        </row>
        <row r="232">
          <cell r="C232" t="str">
            <v>KAMALANGA TPS3</v>
          </cell>
          <cell r="D232">
            <v>350</v>
          </cell>
          <cell r="E232" t="str">
            <v xml:space="preserve"> 5-10 years</v>
          </cell>
          <cell r="F232" t="str">
            <v>Odisha</v>
          </cell>
          <cell r="G232" t="str">
            <v>PVT SECTOR</v>
          </cell>
          <cell r="H232" t="str">
            <v>1.63</v>
          </cell>
          <cell r="I232" t="str">
            <v>1.71</v>
          </cell>
          <cell r="J232">
            <v>4177.7299999999996</v>
          </cell>
          <cell r="K232" t="str">
            <v>Not contracted</v>
          </cell>
        </row>
        <row r="233">
          <cell r="C233" t="str">
            <v>KAMALANGA TPS2</v>
          </cell>
          <cell r="D233">
            <v>350</v>
          </cell>
          <cell r="E233" t="str">
            <v xml:space="preserve"> 5-10 years</v>
          </cell>
          <cell r="F233" t="str">
            <v>Odisha</v>
          </cell>
          <cell r="G233" t="str">
            <v>PVT SECTOR</v>
          </cell>
          <cell r="H233" t="str">
            <v>1.63</v>
          </cell>
          <cell r="I233" t="str">
            <v>1.71</v>
          </cell>
          <cell r="J233">
            <v>4127.6360000000004</v>
          </cell>
          <cell r="K233" t="str">
            <v>Not contracted</v>
          </cell>
        </row>
        <row r="234">
          <cell r="C234" t="str">
            <v>KAMALANGA TPS1</v>
          </cell>
          <cell r="D234">
            <v>350</v>
          </cell>
          <cell r="E234" t="str">
            <v xml:space="preserve"> 5-10 years</v>
          </cell>
          <cell r="F234" t="str">
            <v>Odisha</v>
          </cell>
          <cell r="G234" t="str">
            <v>PVT SECTOR</v>
          </cell>
          <cell r="I234" t="str">
            <v>1.71</v>
          </cell>
          <cell r="J234">
            <v>4080.0239999999899</v>
          </cell>
          <cell r="K234" t="str">
            <v>Contracted</v>
          </cell>
        </row>
        <row r="235">
          <cell r="C235" t="str">
            <v>KASAIPALLI TPP1</v>
          </cell>
          <cell r="D235">
            <v>135</v>
          </cell>
          <cell r="E235" t="str">
            <v xml:space="preserve"> 5-10 years</v>
          </cell>
          <cell r="F235" t="str">
            <v>Chhattisgarh</v>
          </cell>
          <cell r="G235" t="str">
            <v>PVT SECTOR</v>
          </cell>
          <cell r="H235" t="str">
            <v>0.74</v>
          </cell>
          <cell r="I235" t="str">
            <v>1.46</v>
          </cell>
          <cell r="J235">
            <v>1877.5599999999899</v>
          </cell>
          <cell r="K235" t="str">
            <v>Contracted</v>
          </cell>
        </row>
        <row r="236">
          <cell r="C236" t="str">
            <v>KASAIPALLI TPP2</v>
          </cell>
          <cell r="D236">
            <v>135</v>
          </cell>
          <cell r="E236" t="str">
            <v xml:space="preserve"> 5-10 years</v>
          </cell>
          <cell r="F236" t="str">
            <v>Chhattisgarh</v>
          </cell>
          <cell r="G236" t="str">
            <v>PVT SECTOR</v>
          </cell>
          <cell r="I236" t="str">
            <v>1.46</v>
          </cell>
          <cell r="J236">
            <v>1635.1089999999899</v>
          </cell>
          <cell r="K236" t="str">
            <v>Contracted</v>
          </cell>
        </row>
        <row r="237">
          <cell r="C237" t="str">
            <v>KATGHORA TPP1</v>
          </cell>
          <cell r="D237">
            <v>35</v>
          </cell>
          <cell r="E237" t="str">
            <v xml:space="preserve"> 5-10 years</v>
          </cell>
          <cell r="F237" t="str">
            <v>Chhattisgarh</v>
          </cell>
          <cell r="G237" t="str">
            <v>PVT SECTOR</v>
          </cell>
          <cell r="J237">
            <v>0</v>
          </cell>
          <cell r="K237" t="str">
            <v>Not contracted</v>
          </cell>
        </row>
        <row r="238">
          <cell r="C238" t="str">
            <v>KAWAI TPS1</v>
          </cell>
          <cell r="D238">
            <v>660</v>
          </cell>
          <cell r="E238" t="str">
            <v xml:space="preserve"> 5-10 years</v>
          </cell>
          <cell r="F238" t="str">
            <v>Rajasthan</v>
          </cell>
          <cell r="G238" t="str">
            <v>PVT SECTOR</v>
          </cell>
          <cell r="I238" t="str">
            <v>1.33</v>
          </cell>
          <cell r="J238">
            <v>8107.45</v>
          </cell>
          <cell r="K238" t="str">
            <v>Contracted</v>
          </cell>
        </row>
        <row r="239">
          <cell r="C239" t="str">
            <v>KAWAI TPS2</v>
          </cell>
          <cell r="D239">
            <v>660</v>
          </cell>
          <cell r="E239" t="str">
            <v xml:space="preserve"> 5-10 years</v>
          </cell>
          <cell r="F239" t="str">
            <v>Rajasthan</v>
          </cell>
          <cell r="G239" t="str">
            <v>PVT SECTOR</v>
          </cell>
          <cell r="H239" t="str">
            <v>2.64</v>
          </cell>
          <cell r="I239" t="str">
            <v>1.33</v>
          </cell>
          <cell r="J239">
            <v>7391.1229999999996</v>
          </cell>
          <cell r="K239" t="str">
            <v>Contracted</v>
          </cell>
        </row>
        <row r="240">
          <cell r="C240" t="str">
            <v>KHAMBARKHERA TPS1</v>
          </cell>
          <cell r="D240">
            <v>45</v>
          </cell>
          <cell r="E240" t="str">
            <v xml:space="preserve"> 5-10 years</v>
          </cell>
          <cell r="F240" t="str">
            <v>Uttar Pradesh</v>
          </cell>
          <cell r="G240" t="str">
            <v>PVT SECTOR</v>
          </cell>
          <cell r="I240" t="str">
            <v>1.84</v>
          </cell>
          <cell r="J240">
            <v>117.20899999999899</v>
          </cell>
          <cell r="K240" t="str">
            <v>Contracted</v>
          </cell>
        </row>
        <row r="241">
          <cell r="C241" t="str">
            <v>KHAMBARKHERA TPS2</v>
          </cell>
          <cell r="D241">
            <v>45</v>
          </cell>
          <cell r="E241" t="str">
            <v xml:space="preserve"> 5-10 years</v>
          </cell>
          <cell r="F241" t="str">
            <v>Uttar Pradesh</v>
          </cell>
          <cell r="G241" t="str">
            <v>PVT SECTOR</v>
          </cell>
          <cell r="H241" t="str">
            <v>3.44</v>
          </cell>
          <cell r="I241" t="str">
            <v>1.84</v>
          </cell>
          <cell r="J241">
            <v>106.114</v>
          </cell>
          <cell r="K241" t="str">
            <v>Contracted</v>
          </cell>
        </row>
        <row r="242">
          <cell r="C242" t="str">
            <v>KHAPARKHEDA TPS5</v>
          </cell>
          <cell r="D242">
            <v>500</v>
          </cell>
          <cell r="E242" t="str">
            <v xml:space="preserve"> 5-10 years</v>
          </cell>
          <cell r="F242" t="str">
            <v>Maharashtra</v>
          </cell>
          <cell r="G242" t="str">
            <v>STATE SECTOR</v>
          </cell>
          <cell r="H242" t="str">
            <v>2.73</v>
          </cell>
          <cell r="I242" t="str">
            <v>0.69</v>
          </cell>
          <cell r="J242">
            <v>6169.9359999999997</v>
          </cell>
          <cell r="K242" t="str">
            <v>Contracted</v>
          </cell>
        </row>
        <row r="243">
          <cell r="C243" t="str">
            <v>KHAPARKHEDA TPS4</v>
          </cell>
          <cell r="D243">
            <v>210</v>
          </cell>
          <cell r="E243" t="str">
            <v xml:space="preserve"> 15-20 years</v>
          </cell>
          <cell r="F243" t="str">
            <v>Maharashtra</v>
          </cell>
          <cell r="G243" t="str">
            <v>STATE SECTOR</v>
          </cell>
          <cell r="H243" t="str">
            <v>2.73</v>
          </cell>
          <cell r="I243" t="str">
            <v>0.69</v>
          </cell>
          <cell r="J243">
            <v>2395.8919999999998</v>
          </cell>
          <cell r="K243" t="str">
            <v>Contracted</v>
          </cell>
        </row>
        <row r="244">
          <cell r="C244" t="str">
            <v>KHAPARKHEDA TPS3</v>
          </cell>
          <cell r="D244">
            <v>210</v>
          </cell>
          <cell r="E244" t="str">
            <v xml:space="preserve"> 15-20 years</v>
          </cell>
          <cell r="F244" t="str">
            <v>Maharashtra</v>
          </cell>
          <cell r="G244" t="str">
            <v>STATE SECTOR</v>
          </cell>
          <cell r="I244" t="str">
            <v>0.69</v>
          </cell>
          <cell r="J244">
            <v>2372.6869999999899</v>
          </cell>
          <cell r="K244" t="str">
            <v>Contracted</v>
          </cell>
        </row>
        <row r="245">
          <cell r="C245" t="str">
            <v>KHAPARKHEDA TPS2</v>
          </cell>
          <cell r="D245">
            <v>210</v>
          </cell>
          <cell r="E245" t="str">
            <v xml:space="preserve"> 30-35 years</v>
          </cell>
          <cell r="F245" t="str">
            <v>Maharashtra</v>
          </cell>
          <cell r="G245" t="str">
            <v>STATE SECTOR</v>
          </cell>
          <cell r="H245" t="str">
            <v>2.73</v>
          </cell>
          <cell r="I245" t="str">
            <v>0.69</v>
          </cell>
          <cell r="J245">
            <v>1964.4849999999899</v>
          </cell>
          <cell r="K245" t="str">
            <v>Contracted</v>
          </cell>
        </row>
        <row r="246">
          <cell r="C246" t="str">
            <v>KHAPARKHEDA TPS1</v>
          </cell>
          <cell r="D246">
            <v>210</v>
          </cell>
          <cell r="E246" t="str">
            <v xml:space="preserve"> 30-35 years</v>
          </cell>
          <cell r="F246" t="str">
            <v>Maharashtra</v>
          </cell>
          <cell r="G246" t="str">
            <v>STATE SECTOR</v>
          </cell>
          <cell r="I246" t="str">
            <v>0.69</v>
          </cell>
          <cell r="J246">
            <v>1604.3199999999899</v>
          </cell>
          <cell r="K246" t="str">
            <v>Contracted</v>
          </cell>
        </row>
        <row r="247">
          <cell r="C247" t="str">
            <v>KHARGONE STPP1</v>
          </cell>
          <cell r="D247">
            <v>660</v>
          </cell>
          <cell r="E247" t="str">
            <v xml:space="preserve"> 0-5 years</v>
          </cell>
          <cell r="F247" t="str">
            <v>Madhya Pradesh</v>
          </cell>
          <cell r="G247" t="str">
            <v>CENTRAL SECTOR</v>
          </cell>
          <cell r="J247">
            <v>839.71</v>
          </cell>
          <cell r="K247" t="str">
            <v>Contracted</v>
          </cell>
        </row>
        <row r="248">
          <cell r="C248" t="str">
            <v>KHARGONE STPP2</v>
          </cell>
          <cell r="D248">
            <v>0</v>
          </cell>
          <cell r="E248" t="e">
            <v>#N/A</v>
          </cell>
          <cell r="F248" t="str">
            <v>Madhya Pradesh</v>
          </cell>
          <cell r="G248" t="str">
            <v>CENTRAL SECTOR</v>
          </cell>
          <cell r="J248">
            <v>0</v>
          </cell>
          <cell r="K248" t="str">
            <v>Not contracted</v>
          </cell>
        </row>
        <row r="249">
          <cell r="C249" t="str">
            <v>KHARGONE STPP1</v>
          </cell>
          <cell r="D249">
            <v>0</v>
          </cell>
          <cell r="E249" t="str">
            <v xml:space="preserve"> 0-5 years</v>
          </cell>
          <cell r="F249" t="str">
            <v>Madhya Pradesh</v>
          </cell>
          <cell r="G249" t="str">
            <v>CENTRAL SECTOR</v>
          </cell>
          <cell r="J249">
            <v>0</v>
          </cell>
          <cell r="K249" t="str">
            <v>Contracted</v>
          </cell>
        </row>
        <row r="250">
          <cell r="C250" t="str">
            <v>KODARMA TPS1</v>
          </cell>
          <cell r="D250">
            <v>500</v>
          </cell>
          <cell r="E250" t="str">
            <v xml:space="preserve"> 5-10 years</v>
          </cell>
          <cell r="F250" t="str">
            <v>Jharkhand</v>
          </cell>
          <cell r="G250" t="str">
            <v>CENTRAL SECTOR</v>
          </cell>
          <cell r="H250" t="str">
            <v>2.54</v>
          </cell>
          <cell r="I250" t="str">
            <v>1.67</v>
          </cell>
          <cell r="J250">
            <v>6960.1479999999901</v>
          </cell>
          <cell r="K250" t="str">
            <v>Contracted</v>
          </cell>
        </row>
        <row r="251">
          <cell r="C251" t="str">
            <v>KODARMA TPS2</v>
          </cell>
          <cell r="D251">
            <v>500</v>
          </cell>
          <cell r="E251" t="str">
            <v xml:space="preserve"> 5-10 years</v>
          </cell>
          <cell r="F251" t="str">
            <v>Jharkhand</v>
          </cell>
          <cell r="G251" t="str">
            <v>CENTRAL SECTOR</v>
          </cell>
          <cell r="H251" t="str">
            <v>2.54</v>
          </cell>
          <cell r="I251" t="str">
            <v>1.67</v>
          </cell>
          <cell r="J251">
            <v>5600.2469999999903</v>
          </cell>
          <cell r="K251" t="str">
            <v>Contracted</v>
          </cell>
        </row>
        <row r="252">
          <cell r="C252" t="str">
            <v>KOLAGHAT TPS6</v>
          </cell>
          <cell r="D252">
            <v>210</v>
          </cell>
          <cell r="E252" t="str">
            <v xml:space="preserve"> 25-30 years</v>
          </cell>
          <cell r="F252" t="str">
            <v>West Bengal</v>
          </cell>
          <cell r="G252" t="str">
            <v>STATE SECTOR</v>
          </cell>
          <cell r="J252">
            <v>2060.54</v>
          </cell>
          <cell r="K252" t="str">
            <v>Contracted</v>
          </cell>
        </row>
        <row r="253">
          <cell r="C253" t="str">
            <v>KOLAGHAT TPS5</v>
          </cell>
          <cell r="D253">
            <v>210</v>
          </cell>
          <cell r="E253" t="str">
            <v xml:space="preserve"> 25-30 years</v>
          </cell>
          <cell r="F253" t="str">
            <v>West Bengal</v>
          </cell>
          <cell r="G253" t="str">
            <v>STATE SECTOR</v>
          </cell>
          <cell r="J253">
            <v>1672.8099999999899</v>
          </cell>
          <cell r="K253" t="str">
            <v>Contracted</v>
          </cell>
        </row>
        <row r="254">
          <cell r="C254" t="str">
            <v>KOLAGHAT TPS4</v>
          </cell>
          <cell r="D254">
            <v>210</v>
          </cell>
          <cell r="E254" t="str">
            <v xml:space="preserve"> 35-40 years</v>
          </cell>
          <cell r="F254" t="str">
            <v>West Bengal</v>
          </cell>
          <cell r="G254" t="str">
            <v>STATE SECTOR</v>
          </cell>
          <cell r="H254" t="str">
            <v>3.85</v>
          </cell>
          <cell r="J254">
            <v>1665.068</v>
          </cell>
          <cell r="K254" t="str">
            <v>Contracted</v>
          </cell>
        </row>
        <row r="255">
          <cell r="C255" t="str">
            <v>KOLAGHAT TPS2</v>
          </cell>
          <cell r="D255">
            <v>210</v>
          </cell>
          <cell r="E255" t="str">
            <v xml:space="preserve"> 25-30 years</v>
          </cell>
          <cell r="F255" t="str">
            <v>West Bengal</v>
          </cell>
          <cell r="G255" t="str">
            <v>STATE SECTOR</v>
          </cell>
          <cell r="H255" t="str">
            <v>3.85</v>
          </cell>
          <cell r="J255">
            <v>1638.2149999999999</v>
          </cell>
          <cell r="K255" t="str">
            <v>Contracted</v>
          </cell>
        </row>
        <row r="256">
          <cell r="C256" t="str">
            <v>KOLAGHAT TPS1</v>
          </cell>
          <cell r="D256">
            <v>210</v>
          </cell>
          <cell r="E256" t="str">
            <v xml:space="preserve"> 25-30 years</v>
          </cell>
          <cell r="F256" t="str">
            <v>West Bengal</v>
          </cell>
          <cell r="G256" t="str">
            <v>STATE SECTOR</v>
          </cell>
          <cell r="H256" t="str">
            <v>3.85</v>
          </cell>
          <cell r="J256">
            <v>161.995</v>
          </cell>
          <cell r="K256" t="str">
            <v>Contracted</v>
          </cell>
        </row>
        <row r="257">
          <cell r="C257" t="str">
            <v>KOLAGHAT TPS3</v>
          </cell>
          <cell r="D257">
            <v>210</v>
          </cell>
          <cell r="E257" t="str">
            <v xml:space="preserve"> 30-35 years</v>
          </cell>
          <cell r="F257" t="str">
            <v>West Bengal</v>
          </cell>
          <cell r="G257" t="str">
            <v>STATE SECTOR</v>
          </cell>
          <cell r="J257">
            <v>42.74</v>
          </cell>
          <cell r="K257" t="str">
            <v>Contracted</v>
          </cell>
        </row>
        <row r="258">
          <cell r="C258" t="str">
            <v>KORADI TPS9</v>
          </cell>
          <cell r="D258">
            <v>660</v>
          </cell>
          <cell r="E258" t="str">
            <v xml:space="preserve"> 0-5 years</v>
          </cell>
          <cell r="F258" t="str">
            <v>Maharashtra</v>
          </cell>
          <cell r="G258" t="str">
            <v>STATE SECTOR</v>
          </cell>
          <cell r="H258" t="str">
            <v>2.26</v>
          </cell>
          <cell r="I258" t="str">
            <v>0.95</v>
          </cell>
          <cell r="J258">
            <v>5773.71</v>
          </cell>
          <cell r="K258" t="str">
            <v>Contracted</v>
          </cell>
        </row>
        <row r="259">
          <cell r="C259" t="str">
            <v>KORADI TPS10</v>
          </cell>
          <cell r="D259">
            <v>660</v>
          </cell>
          <cell r="E259" t="str">
            <v xml:space="preserve"> 0-5 years</v>
          </cell>
          <cell r="F259" t="str">
            <v>Maharashtra</v>
          </cell>
          <cell r="G259" t="str">
            <v>STATE SECTOR</v>
          </cell>
          <cell r="H259" t="str">
            <v>2.26</v>
          </cell>
          <cell r="I259" t="str">
            <v>0.95</v>
          </cell>
          <cell r="J259">
            <v>5596.45999999999</v>
          </cell>
          <cell r="K259" t="str">
            <v>Contracted</v>
          </cell>
        </row>
        <row r="260">
          <cell r="C260" t="str">
            <v>KORADI TPS8</v>
          </cell>
          <cell r="D260">
            <v>660</v>
          </cell>
          <cell r="E260" t="str">
            <v xml:space="preserve"> 5-10 years</v>
          </cell>
          <cell r="F260" t="str">
            <v>Maharashtra</v>
          </cell>
          <cell r="G260" t="str">
            <v>STATE SECTOR</v>
          </cell>
          <cell r="H260" t="str">
            <v>2.26</v>
          </cell>
          <cell r="I260" t="str">
            <v>0.95</v>
          </cell>
          <cell r="J260">
            <v>5097.55</v>
          </cell>
          <cell r="K260" t="str">
            <v>Contracted</v>
          </cell>
        </row>
        <row r="261">
          <cell r="C261" t="str">
            <v>KORADI TPS6</v>
          </cell>
          <cell r="D261">
            <v>210</v>
          </cell>
          <cell r="E261" t="str">
            <v xml:space="preserve"> 35-40 years</v>
          </cell>
          <cell r="F261" t="str">
            <v>Maharashtra</v>
          </cell>
          <cell r="G261" t="str">
            <v>STATE SECTOR</v>
          </cell>
          <cell r="H261" t="str">
            <v>2.26</v>
          </cell>
          <cell r="I261" t="str">
            <v>0.95</v>
          </cell>
          <cell r="J261">
            <v>713.26</v>
          </cell>
          <cell r="K261" t="str">
            <v>Contracted</v>
          </cell>
        </row>
        <row r="262">
          <cell r="C262" t="str">
            <v>KORADI TPS7</v>
          </cell>
          <cell r="D262">
            <v>210</v>
          </cell>
          <cell r="E262" t="str">
            <v xml:space="preserve"> 35-40 years</v>
          </cell>
          <cell r="F262" t="str">
            <v>Maharashtra</v>
          </cell>
          <cell r="G262" t="str">
            <v>STATE SECTOR</v>
          </cell>
          <cell r="I262" t="str">
            <v>0.95</v>
          </cell>
          <cell r="J262">
            <v>284.68999999999897</v>
          </cell>
          <cell r="K262" t="str">
            <v>Contracted</v>
          </cell>
        </row>
        <row r="263">
          <cell r="C263" t="str">
            <v>KORBA STPS7</v>
          </cell>
          <cell r="D263">
            <v>500</v>
          </cell>
          <cell r="E263" t="str">
            <v xml:space="preserve"> 5-10 years</v>
          </cell>
          <cell r="F263" t="str">
            <v>Chhattisgarh</v>
          </cell>
          <cell r="G263" t="str">
            <v>CENTRAL SECTOR</v>
          </cell>
          <cell r="J263">
            <v>7668.8499999999904</v>
          </cell>
          <cell r="K263" t="str">
            <v>Contracted</v>
          </cell>
        </row>
        <row r="264">
          <cell r="C264" t="str">
            <v>KORBA STPS6</v>
          </cell>
          <cell r="D264">
            <v>500</v>
          </cell>
          <cell r="E264" t="str">
            <v xml:space="preserve"> 30-35 years</v>
          </cell>
          <cell r="F264" t="str">
            <v>Chhattisgarh</v>
          </cell>
          <cell r="G264" t="str">
            <v>CENTRAL SECTOR</v>
          </cell>
          <cell r="J264">
            <v>7534.6999999999898</v>
          </cell>
          <cell r="K264" t="str">
            <v>Contracted</v>
          </cell>
        </row>
        <row r="265">
          <cell r="C265" t="str">
            <v>KORBA STPS4</v>
          </cell>
          <cell r="D265">
            <v>500</v>
          </cell>
          <cell r="E265" t="str">
            <v xml:space="preserve"> 30-35 years</v>
          </cell>
          <cell r="F265" t="str">
            <v>Chhattisgarh</v>
          </cell>
          <cell r="G265" t="str">
            <v>CENTRAL SECTOR</v>
          </cell>
          <cell r="J265">
            <v>7394.3499999999904</v>
          </cell>
          <cell r="K265" t="str">
            <v>Contracted</v>
          </cell>
        </row>
        <row r="266">
          <cell r="C266" t="str">
            <v>KORBA STPS5</v>
          </cell>
          <cell r="D266">
            <v>500</v>
          </cell>
          <cell r="E266" t="str">
            <v xml:space="preserve"> 30-35 years</v>
          </cell>
          <cell r="F266" t="str">
            <v>Chhattisgarh</v>
          </cell>
          <cell r="G266" t="str">
            <v>CENTRAL SECTOR</v>
          </cell>
          <cell r="J266">
            <v>7316.07</v>
          </cell>
          <cell r="K266" t="str">
            <v>Contracted</v>
          </cell>
        </row>
        <row r="267">
          <cell r="C267" t="str">
            <v>KORBA STPS3</v>
          </cell>
          <cell r="D267">
            <v>200</v>
          </cell>
          <cell r="E267" t="str">
            <v xml:space="preserve"> 35-40 years</v>
          </cell>
          <cell r="F267" t="str">
            <v>Chhattisgarh</v>
          </cell>
          <cell r="G267" t="str">
            <v>CENTRAL SECTOR</v>
          </cell>
          <cell r="J267">
            <v>3108.1</v>
          </cell>
          <cell r="K267" t="str">
            <v>Contracted</v>
          </cell>
        </row>
        <row r="268">
          <cell r="C268" t="str">
            <v>KORBA STPS1</v>
          </cell>
          <cell r="D268">
            <v>200</v>
          </cell>
          <cell r="E268" t="str">
            <v xml:space="preserve"> 35-40 years</v>
          </cell>
          <cell r="F268" t="str">
            <v>Chhattisgarh</v>
          </cell>
          <cell r="G268" t="str">
            <v>CENTRAL SECTOR</v>
          </cell>
          <cell r="J268">
            <v>3079.6699999999901</v>
          </cell>
          <cell r="K268" t="str">
            <v>Contracted</v>
          </cell>
        </row>
        <row r="269">
          <cell r="C269" t="str">
            <v>KORBA STPS2</v>
          </cell>
          <cell r="D269">
            <v>200</v>
          </cell>
          <cell r="E269" t="str">
            <v xml:space="preserve"> 35-40 years</v>
          </cell>
          <cell r="F269" t="str">
            <v>Chhattisgarh</v>
          </cell>
          <cell r="G269" t="str">
            <v>CENTRAL SECTOR</v>
          </cell>
          <cell r="J269">
            <v>3021.54</v>
          </cell>
          <cell r="K269" t="str">
            <v>Contracted</v>
          </cell>
        </row>
        <row r="270">
          <cell r="C270" t="str">
            <v>KORBA-II3</v>
          </cell>
          <cell r="D270">
            <v>50</v>
          </cell>
          <cell r="E270" t="str">
            <v xml:space="preserve"> 45+ years</v>
          </cell>
          <cell r="F270" t="str">
            <v>Chhattisgarh</v>
          </cell>
          <cell r="G270" t="str">
            <v>STATE SECTOR</v>
          </cell>
          <cell r="J270">
            <v>122.196</v>
          </cell>
          <cell r="K270" t="str">
            <v>Contracted</v>
          </cell>
        </row>
        <row r="271">
          <cell r="C271" t="str">
            <v>KORBA-II4</v>
          </cell>
          <cell r="D271">
            <v>50</v>
          </cell>
          <cell r="E271" t="str">
            <v xml:space="preserve"> 45+ years</v>
          </cell>
          <cell r="F271" t="str">
            <v>Chhattisgarh</v>
          </cell>
          <cell r="G271" t="str">
            <v>STATE SECTOR</v>
          </cell>
          <cell r="J271">
            <v>105.482</v>
          </cell>
          <cell r="K271" t="str">
            <v>Contracted</v>
          </cell>
        </row>
        <row r="272">
          <cell r="C272" t="str">
            <v>KORBA-II4</v>
          </cell>
          <cell r="D272">
            <v>0</v>
          </cell>
          <cell r="E272" t="str">
            <v xml:space="preserve"> 45+ years</v>
          </cell>
          <cell r="F272" t="str">
            <v>Chhattisgarh</v>
          </cell>
          <cell r="G272" t="str">
            <v>STATE SECTOR</v>
          </cell>
          <cell r="J272">
            <v>0</v>
          </cell>
          <cell r="K272" t="str">
            <v>Contracted</v>
          </cell>
        </row>
        <row r="273">
          <cell r="C273" t="str">
            <v>KORBA-II3</v>
          </cell>
          <cell r="D273">
            <v>0</v>
          </cell>
          <cell r="E273" t="str">
            <v xml:space="preserve"> 45+ years</v>
          </cell>
          <cell r="F273" t="str">
            <v>Chhattisgarh</v>
          </cell>
          <cell r="G273" t="str">
            <v>STATE SECTOR</v>
          </cell>
          <cell r="J273">
            <v>0</v>
          </cell>
          <cell r="K273" t="str">
            <v>Contracted</v>
          </cell>
        </row>
        <row r="274">
          <cell r="C274" t="str">
            <v>KORBA-II2</v>
          </cell>
          <cell r="D274">
            <v>50</v>
          </cell>
          <cell r="E274" t="str">
            <v xml:space="preserve"> 45+ years</v>
          </cell>
          <cell r="F274" t="str">
            <v>Chhattisgarh</v>
          </cell>
          <cell r="G274" t="str">
            <v>STATE SECTOR</v>
          </cell>
          <cell r="J274">
            <v>0</v>
          </cell>
          <cell r="K274" t="str">
            <v>Contracted</v>
          </cell>
        </row>
        <row r="275">
          <cell r="C275" t="str">
            <v>KORBA-II2</v>
          </cell>
          <cell r="D275">
            <v>0</v>
          </cell>
          <cell r="E275" t="str">
            <v xml:space="preserve"> 45+ years</v>
          </cell>
          <cell r="F275" t="str">
            <v>Chhattisgarh</v>
          </cell>
          <cell r="G275" t="str">
            <v>STATE SECTOR</v>
          </cell>
          <cell r="J275">
            <v>0</v>
          </cell>
          <cell r="K275" t="str">
            <v>Contracted</v>
          </cell>
        </row>
        <row r="276">
          <cell r="C276" t="str">
            <v>KORBA-II1</v>
          </cell>
          <cell r="D276">
            <v>50</v>
          </cell>
          <cell r="E276" t="str">
            <v xml:space="preserve"> 45+ years</v>
          </cell>
          <cell r="F276" t="str">
            <v>Chhattisgarh</v>
          </cell>
          <cell r="G276" t="str">
            <v>STATE SECTOR</v>
          </cell>
          <cell r="J276">
            <v>0</v>
          </cell>
          <cell r="K276" t="str">
            <v>Contracted</v>
          </cell>
        </row>
        <row r="277">
          <cell r="C277" t="str">
            <v>KORBA-II1</v>
          </cell>
          <cell r="D277">
            <v>0</v>
          </cell>
          <cell r="E277" t="str">
            <v xml:space="preserve"> 45+ years</v>
          </cell>
          <cell r="F277" t="str">
            <v>Chhattisgarh</v>
          </cell>
          <cell r="G277" t="str">
            <v>STATE SECTOR</v>
          </cell>
          <cell r="J277">
            <v>0</v>
          </cell>
          <cell r="K277" t="str">
            <v>Contracted</v>
          </cell>
        </row>
        <row r="278">
          <cell r="C278" t="str">
            <v>KORBA-III1</v>
          </cell>
          <cell r="D278">
            <v>120</v>
          </cell>
          <cell r="E278" t="str">
            <v xml:space="preserve"> 40-45 years</v>
          </cell>
          <cell r="F278" t="str">
            <v>Chhattisgarh</v>
          </cell>
          <cell r="G278" t="str">
            <v>STATE SECTOR</v>
          </cell>
          <cell r="J278">
            <v>1347.0409999999999</v>
          </cell>
          <cell r="K278" t="str">
            <v>Contracted</v>
          </cell>
        </row>
        <row r="279">
          <cell r="C279" t="str">
            <v>KORBA-III2</v>
          </cell>
          <cell r="D279">
            <v>120</v>
          </cell>
          <cell r="E279" t="str">
            <v xml:space="preserve"> 35-40 years</v>
          </cell>
          <cell r="F279" t="str">
            <v>Chhattisgarh</v>
          </cell>
          <cell r="G279" t="str">
            <v>STATE SECTOR</v>
          </cell>
          <cell r="J279">
            <v>1231.749</v>
          </cell>
          <cell r="K279" t="str">
            <v>Contracted</v>
          </cell>
        </row>
        <row r="280">
          <cell r="C280" t="str">
            <v>KORBA-WEST TPS5</v>
          </cell>
          <cell r="D280">
            <v>500</v>
          </cell>
          <cell r="E280" t="str">
            <v xml:space="preserve"> 5-10 years</v>
          </cell>
          <cell r="F280" t="str">
            <v>Chhattisgarh</v>
          </cell>
          <cell r="G280" t="str">
            <v>STATE SECTOR</v>
          </cell>
          <cell r="H280" t="str">
            <v>1.59</v>
          </cell>
          <cell r="I280" t="str">
            <v>0.92</v>
          </cell>
          <cell r="J280">
            <v>7389.6419999999798</v>
          </cell>
          <cell r="K280" t="str">
            <v>Contracted</v>
          </cell>
        </row>
        <row r="281">
          <cell r="C281" t="str">
            <v>KORBA-WEST TPS4</v>
          </cell>
          <cell r="D281">
            <v>210</v>
          </cell>
          <cell r="E281" t="str">
            <v xml:space="preserve"> 30-35 years</v>
          </cell>
          <cell r="F281" t="str">
            <v>Chhattisgarh</v>
          </cell>
          <cell r="G281" t="str">
            <v>STATE SECTOR</v>
          </cell>
          <cell r="H281" t="str">
            <v>1.59</v>
          </cell>
          <cell r="I281" t="str">
            <v>0.92</v>
          </cell>
          <cell r="J281">
            <v>2826.7360999999901</v>
          </cell>
          <cell r="K281" t="str">
            <v>Contracted</v>
          </cell>
        </row>
        <row r="282">
          <cell r="C282" t="str">
            <v>KORBA-WEST TPS2</v>
          </cell>
          <cell r="D282">
            <v>210</v>
          </cell>
          <cell r="E282" t="str">
            <v xml:space="preserve"> 35-40 years</v>
          </cell>
          <cell r="F282" t="str">
            <v>Chhattisgarh</v>
          </cell>
          <cell r="G282" t="str">
            <v>STATE SECTOR</v>
          </cell>
          <cell r="H282" t="str">
            <v>1.59</v>
          </cell>
          <cell r="I282" t="str">
            <v>0.92</v>
          </cell>
          <cell r="J282">
            <v>2698.2411999999899</v>
          </cell>
          <cell r="K282" t="str">
            <v>Contracted</v>
          </cell>
        </row>
        <row r="283">
          <cell r="C283" t="str">
            <v>KORBA-WEST TPS1</v>
          </cell>
          <cell r="D283">
            <v>210</v>
          </cell>
          <cell r="E283" t="str">
            <v xml:space="preserve"> 35-40 years</v>
          </cell>
          <cell r="F283" t="str">
            <v>Chhattisgarh</v>
          </cell>
          <cell r="G283" t="str">
            <v>STATE SECTOR</v>
          </cell>
          <cell r="H283" t="str">
            <v>1.59</v>
          </cell>
          <cell r="I283" t="str">
            <v>0.92</v>
          </cell>
          <cell r="J283">
            <v>2601.3134999999902</v>
          </cell>
          <cell r="K283" t="str">
            <v>Contracted</v>
          </cell>
        </row>
        <row r="284">
          <cell r="C284" t="str">
            <v>KORBA-WEST TPS3</v>
          </cell>
          <cell r="D284">
            <v>210</v>
          </cell>
          <cell r="E284" t="str">
            <v xml:space="preserve"> 35-40 years</v>
          </cell>
          <cell r="F284" t="str">
            <v>Chhattisgarh</v>
          </cell>
          <cell r="G284" t="str">
            <v>STATE SECTOR</v>
          </cell>
          <cell r="H284" t="str">
            <v>1.59</v>
          </cell>
          <cell r="I284" t="str">
            <v>0.92</v>
          </cell>
          <cell r="J284">
            <v>2337.6125999999899</v>
          </cell>
          <cell r="K284" t="str">
            <v>Contracted</v>
          </cell>
        </row>
        <row r="285">
          <cell r="C285" t="str">
            <v>KOTA TPS7</v>
          </cell>
          <cell r="D285">
            <v>195</v>
          </cell>
          <cell r="E285" t="str">
            <v xml:space="preserve"> 10-15 years</v>
          </cell>
          <cell r="F285" t="str">
            <v>Rajasthan</v>
          </cell>
          <cell r="G285" t="str">
            <v>STATE SECTOR</v>
          </cell>
          <cell r="I285" t="str">
            <v>0.61</v>
          </cell>
          <cell r="J285">
            <v>2826.0359999999901</v>
          </cell>
          <cell r="K285" t="str">
            <v>Contracted</v>
          </cell>
        </row>
        <row r="286">
          <cell r="C286" t="str">
            <v>KOTA TPS6</v>
          </cell>
          <cell r="D286">
            <v>195</v>
          </cell>
          <cell r="E286" t="str">
            <v xml:space="preserve"> 15-20 years</v>
          </cell>
          <cell r="F286" t="str">
            <v>Rajasthan</v>
          </cell>
          <cell r="G286" t="str">
            <v>STATE SECTOR</v>
          </cell>
          <cell r="H286" t="str">
            <v>3.34</v>
          </cell>
          <cell r="I286" t="str">
            <v>0.61</v>
          </cell>
          <cell r="J286">
            <v>2600.1059999999902</v>
          </cell>
          <cell r="K286" t="str">
            <v>Contracted</v>
          </cell>
        </row>
        <row r="287">
          <cell r="C287" t="str">
            <v>KOTA TPS5</v>
          </cell>
          <cell r="D287">
            <v>210</v>
          </cell>
          <cell r="E287" t="str">
            <v xml:space="preserve"> 25-30 years</v>
          </cell>
          <cell r="F287" t="str">
            <v>Rajasthan</v>
          </cell>
          <cell r="G287" t="str">
            <v>STATE SECTOR</v>
          </cell>
          <cell r="H287" t="str">
            <v>3.34</v>
          </cell>
          <cell r="I287" t="str">
            <v>0.61</v>
          </cell>
          <cell r="J287">
            <v>2414.7280000000001</v>
          </cell>
          <cell r="K287" t="str">
            <v>Contracted</v>
          </cell>
        </row>
        <row r="288">
          <cell r="C288" t="str">
            <v>KOTA TPS3</v>
          </cell>
          <cell r="D288">
            <v>210</v>
          </cell>
          <cell r="E288" t="str">
            <v xml:space="preserve"> 30-35 years</v>
          </cell>
          <cell r="F288" t="str">
            <v>Rajasthan</v>
          </cell>
          <cell r="G288" t="str">
            <v>STATE SECTOR</v>
          </cell>
          <cell r="H288" t="str">
            <v>3.34</v>
          </cell>
          <cell r="I288" t="str">
            <v>0.61</v>
          </cell>
          <cell r="J288">
            <v>2400.9949999999999</v>
          </cell>
          <cell r="K288" t="str">
            <v>Contracted</v>
          </cell>
        </row>
        <row r="289">
          <cell r="C289" t="str">
            <v>KOTA TPS4</v>
          </cell>
          <cell r="D289">
            <v>210</v>
          </cell>
          <cell r="E289" t="str">
            <v xml:space="preserve"> 30-35 years</v>
          </cell>
          <cell r="F289" t="str">
            <v>Rajasthan</v>
          </cell>
          <cell r="G289" t="str">
            <v>STATE SECTOR</v>
          </cell>
          <cell r="H289" t="str">
            <v>3.34</v>
          </cell>
          <cell r="I289" t="str">
            <v>0.61</v>
          </cell>
          <cell r="J289">
            <v>2368.6709999999898</v>
          </cell>
          <cell r="K289" t="str">
            <v>Contracted</v>
          </cell>
        </row>
        <row r="290">
          <cell r="C290" t="str">
            <v>KOTA TPS2</v>
          </cell>
          <cell r="D290">
            <v>110</v>
          </cell>
          <cell r="E290" t="str">
            <v xml:space="preserve"> 35-40 years</v>
          </cell>
          <cell r="F290" t="str">
            <v>Rajasthan</v>
          </cell>
          <cell r="G290" t="str">
            <v>STATE SECTOR</v>
          </cell>
          <cell r="H290" t="str">
            <v>3.34</v>
          </cell>
          <cell r="I290" t="str">
            <v>0.61</v>
          </cell>
          <cell r="J290">
            <v>1033.4290000000001</v>
          </cell>
          <cell r="K290" t="str">
            <v>Contracted</v>
          </cell>
        </row>
        <row r="291">
          <cell r="C291" t="str">
            <v>KOTA TPS1</v>
          </cell>
          <cell r="D291">
            <v>110</v>
          </cell>
          <cell r="E291" t="str">
            <v xml:space="preserve"> 35-40 years</v>
          </cell>
          <cell r="F291" t="str">
            <v>Rajasthan</v>
          </cell>
          <cell r="G291" t="str">
            <v>STATE SECTOR</v>
          </cell>
          <cell r="I291" t="str">
            <v>0.61</v>
          </cell>
          <cell r="J291">
            <v>716.846</v>
          </cell>
          <cell r="K291" t="str">
            <v>Contracted</v>
          </cell>
        </row>
        <row r="292">
          <cell r="C292" t="str">
            <v>KOTHAGUDEM NEW TPS11</v>
          </cell>
          <cell r="D292">
            <v>500</v>
          </cell>
          <cell r="E292" t="str">
            <v xml:space="preserve"> 5-10 years</v>
          </cell>
          <cell r="F292" t="str">
            <v>Telangana</v>
          </cell>
          <cell r="G292" t="str">
            <v>STATE SECTOR</v>
          </cell>
          <cell r="J292">
            <v>7149.8400000000101</v>
          </cell>
          <cell r="K292" t="str">
            <v>Contracted</v>
          </cell>
        </row>
        <row r="293">
          <cell r="C293" t="str">
            <v>KOTHAGUDEM NEW TPS10</v>
          </cell>
          <cell r="D293">
            <v>250</v>
          </cell>
          <cell r="E293" t="str">
            <v xml:space="preserve"> 20-25 years</v>
          </cell>
          <cell r="F293" t="str">
            <v>Telangana</v>
          </cell>
          <cell r="G293" t="str">
            <v>STATE SECTOR</v>
          </cell>
          <cell r="J293">
            <v>3638.9099999999899</v>
          </cell>
          <cell r="K293" t="str">
            <v>Contracted</v>
          </cell>
        </row>
        <row r="294">
          <cell r="C294" t="str">
            <v>KOTHAGUDEM NEW TPS9</v>
          </cell>
          <cell r="D294">
            <v>250</v>
          </cell>
          <cell r="E294" t="str">
            <v xml:space="preserve"> 20-25 years</v>
          </cell>
          <cell r="F294" t="str">
            <v>Telangana</v>
          </cell>
          <cell r="G294" t="str">
            <v>STATE SECTOR</v>
          </cell>
          <cell r="J294">
            <v>3638.70999999999</v>
          </cell>
          <cell r="K294" t="str">
            <v>Contracted</v>
          </cell>
        </row>
        <row r="295">
          <cell r="C295" t="str">
            <v>KOTHAGUDEM STAGE-7 TPS12</v>
          </cell>
          <cell r="D295">
            <v>800</v>
          </cell>
          <cell r="E295" t="str">
            <v xml:space="preserve"> 0-5 years</v>
          </cell>
          <cell r="F295" t="str">
            <v>Telangana</v>
          </cell>
          <cell r="G295" t="str">
            <v>STATE SECTOR</v>
          </cell>
          <cell r="J295">
            <v>5158.24</v>
          </cell>
          <cell r="K295" t="str">
            <v>Contracted</v>
          </cell>
        </row>
        <row r="296">
          <cell r="C296" t="str">
            <v>KOTHAGUDEM STAGE-7 TPS12</v>
          </cell>
          <cell r="D296">
            <v>0</v>
          </cell>
          <cell r="E296" t="str">
            <v xml:space="preserve"> 0-5 years</v>
          </cell>
          <cell r="F296" t="str">
            <v>Telangana</v>
          </cell>
          <cell r="G296" t="str">
            <v>STATE SECTOR</v>
          </cell>
          <cell r="J296">
            <v>0</v>
          </cell>
          <cell r="K296" t="str">
            <v>Contracted</v>
          </cell>
        </row>
        <row r="297">
          <cell r="C297" t="str">
            <v>KOTHAGUDEM TPS5</v>
          </cell>
          <cell r="D297">
            <v>120</v>
          </cell>
          <cell r="E297" t="str">
            <v xml:space="preserve"> 45+ years</v>
          </cell>
          <cell r="F297" t="str">
            <v>Telangana</v>
          </cell>
          <cell r="G297" t="str">
            <v>STATE SECTOR</v>
          </cell>
          <cell r="I297" t="str">
            <v>1.48</v>
          </cell>
          <cell r="J297">
            <v>1387.175</v>
          </cell>
          <cell r="K297" t="str">
            <v>Contracted</v>
          </cell>
        </row>
        <row r="298">
          <cell r="C298" t="str">
            <v>KOTHAGUDEM TPS7</v>
          </cell>
          <cell r="D298">
            <v>120</v>
          </cell>
          <cell r="E298" t="str">
            <v xml:space="preserve"> 40-45 years</v>
          </cell>
          <cell r="F298" t="str">
            <v>Telangana</v>
          </cell>
          <cell r="G298" t="str">
            <v>STATE SECTOR</v>
          </cell>
          <cell r="H298" t="str">
            <v>3.35</v>
          </cell>
          <cell r="I298" t="str">
            <v>1.48</v>
          </cell>
          <cell r="J298">
            <v>1299.749</v>
          </cell>
          <cell r="K298" t="str">
            <v>Contracted</v>
          </cell>
        </row>
        <row r="299">
          <cell r="C299" t="str">
            <v>KOTHAGUDEM TPS4</v>
          </cell>
          <cell r="D299">
            <v>60</v>
          </cell>
          <cell r="E299" t="str">
            <v xml:space="preserve"> 45+ years</v>
          </cell>
          <cell r="F299" t="str">
            <v>Telangana</v>
          </cell>
          <cell r="G299" t="str">
            <v>STATE SECTOR</v>
          </cell>
          <cell r="I299" t="str">
            <v>1.48</v>
          </cell>
          <cell r="J299">
            <v>789.39440000000195</v>
          </cell>
          <cell r="K299" t="str">
            <v>Contracted</v>
          </cell>
        </row>
        <row r="300">
          <cell r="C300" t="str">
            <v>KOTHAGUDEM TPS2</v>
          </cell>
          <cell r="D300">
            <v>60</v>
          </cell>
          <cell r="E300" t="str">
            <v xml:space="preserve"> 45+ years</v>
          </cell>
          <cell r="F300" t="str">
            <v>Telangana</v>
          </cell>
          <cell r="G300" t="str">
            <v>STATE SECTOR</v>
          </cell>
          <cell r="I300" t="str">
            <v>1.48</v>
          </cell>
          <cell r="J300">
            <v>726.77900000000102</v>
          </cell>
          <cell r="K300" t="str">
            <v>Contracted</v>
          </cell>
        </row>
        <row r="301">
          <cell r="C301" t="str">
            <v>KOTHAGUDEM TPS1</v>
          </cell>
          <cell r="D301">
            <v>60</v>
          </cell>
          <cell r="E301" t="str">
            <v xml:space="preserve"> 45+ years</v>
          </cell>
          <cell r="F301" t="str">
            <v>Telangana</v>
          </cell>
          <cell r="G301" t="str">
            <v>STATE SECTOR</v>
          </cell>
          <cell r="H301" t="str">
            <v>3.35</v>
          </cell>
          <cell r="I301" t="str">
            <v>1.48</v>
          </cell>
          <cell r="J301">
            <v>712.61699999999996</v>
          </cell>
          <cell r="K301" t="str">
            <v>Contracted</v>
          </cell>
        </row>
        <row r="302">
          <cell r="C302" t="str">
            <v>KOTHAGUDEM TPS8</v>
          </cell>
          <cell r="D302">
            <v>120</v>
          </cell>
          <cell r="E302" t="str">
            <v xml:space="preserve"> 40-45 years</v>
          </cell>
          <cell r="F302" t="str">
            <v>Telangana</v>
          </cell>
          <cell r="G302" t="str">
            <v>STATE SECTOR</v>
          </cell>
          <cell r="H302" t="str">
            <v>3.35</v>
          </cell>
          <cell r="I302" t="str">
            <v>1.48</v>
          </cell>
          <cell r="J302">
            <v>485.49400000000003</v>
          </cell>
          <cell r="K302" t="str">
            <v>Contracted</v>
          </cell>
        </row>
        <row r="303">
          <cell r="C303" t="str">
            <v>KOTHAGUDEM TPS6</v>
          </cell>
          <cell r="D303">
            <v>120</v>
          </cell>
          <cell r="E303" t="str">
            <v xml:space="preserve"> 40-45 years</v>
          </cell>
          <cell r="F303" t="str">
            <v>Telangana</v>
          </cell>
          <cell r="G303" t="str">
            <v>STATE SECTOR</v>
          </cell>
          <cell r="I303" t="str">
            <v>1.48</v>
          </cell>
          <cell r="J303">
            <v>467.29799999999898</v>
          </cell>
          <cell r="K303" t="str">
            <v>Contracted</v>
          </cell>
        </row>
        <row r="304">
          <cell r="C304" t="str">
            <v>KOTHAGUDEM TPS8</v>
          </cell>
          <cell r="D304">
            <v>0</v>
          </cell>
          <cell r="E304" t="str">
            <v xml:space="preserve"> 40-45 years</v>
          </cell>
          <cell r="F304" t="str">
            <v>Telangana</v>
          </cell>
          <cell r="G304" t="str">
            <v>STATE SECTOR</v>
          </cell>
          <cell r="H304" t="str">
            <v>3.35</v>
          </cell>
          <cell r="I304" t="str">
            <v>1.48</v>
          </cell>
          <cell r="J304">
            <v>0</v>
          </cell>
          <cell r="K304" t="str">
            <v>Contracted</v>
          </cell>
        </row>
        <row r="305">
          <cell r="C305" t="str">
            <v>KOTHAGUDEM TPS6</v>
          </cell>
          <cell r="D305">
            <v>0</v>
          </cell>
          <cell r="E305" t="str">
            <v xml:space="preserve"> 40-45 years</v>
          </cell>
          <cell r="F305" t="str">
            <v>Telangana</v>
          </cell>
          <cell r="G305" t="str">
            <v>STATE SECTOR</v>
          </cell>
          <cell r="I305" t="str">
            <v>1.48</v>
          </cell>
          <cell r="J305">
            <v>0</v>
          </cell>
          <cell r="K305" t="str">
            <v>Contracted</v>
          </cell>
        </row>
        <row r="306">
          <cell r="C306" t="str">
            <v>KOTHAGUDEM TPS3</v>
          </cell>
          <cell r="D306">
            <v>60</v>
          </cell>
          <cell r="E306" t="str">
            <v xml:space="preserve"> 45+ years</v>
          </cell>
          <cell r="F306" t="str">
            <v>Telangana</v>
          </cell>
          <cell r="G306" t="str">
            <v>STATE SECTOR</v>
          </cell>
          <cell r="J306">
            <v>0</v>
          </cell>
          <cell r="K306" t="str">
            <v>Contracted</v>
          </cell>
        </row>
        <row r="307">
          <cell r="C307" t="str">
            <v>KOTHAGUDEM TPS3</v>
          </cell>
          <cell r="D307">
            <v>0</v>
          </cell>
          <cell r="E307" t="str">
            <v xml:space="preserve"> 45+ years</v>
          </cell>
          <cell r="F307" t="str">
            <v>Telangana</v>
          </cell>
          <cell r="G307" t="str">
            <v>STATE SECTOR</v>
          </cell>
          <cell r="J307">
            <v>0</v>
          </cell>
          <cell r="K307" t="str">
            <v>Contracted</v>
          </cell>
        </row>
        <row r="308">
          <cell r="C308" t="str">
            <v>KOTHAGUDEM TPS2</v>
          </cell>
          <cell r="D308">
            <v>0</v>
          </cell>
          <cell r="E308" t="str">
            <v xml:space="preserve"> 45+ years</v>
          </cell>
          <cell r="F308" t="str">
            <v>Telangana</v>
          </cell>
          <cell r="G308" t="str">
            <v>STATE SECTOR</v>
          </cell>
          <cell r="I308" t="str">
            <v>1.48</v>
          </cell>
          <cell r="J308">
            <v>0</v>
          </cell>
          <cell r="K308" t="str">
            <v>Contracted</v>
          </cell>
        </row>
        <row r="309">
          <cell r="C309" t="str">
            <v>KUDGI STPP2</v>
          </cell>
          <cell r="D309">
            <v>800</v>
          </cell>
          <cell r="E309" t="str">
            <v xml:space="preserve"> 0-5 years</v>
          </cell>
          <cell r="F309" t="str">
            <v>Karnataka</v>
          </cell>
          <cell r="G309" t="str">
            <v>CENTRAL SECTOR</v>
          </cell>
          <cell r="H309" t="str">
            <v>3.56</v>
          </cell>
          <cell r="I309" t="str">
            <v>1.56</v>
          </cell>
          <cell r="J309">
            <v>4538.4099999999899</v>
          </cell>
          <cell r="K309" t="str">
            <v>Contracted</v>
          </cell>
        </row>
        <row r="310">
          <cell r="C310" t="str">
            <v>KUDGI STPP1</v>
          </cell>
          <cell r="D310">
            <v>800</v>
          </cell>
          <cell r="E310" t="str">
            <v xml:space="preserve"> 0-5 years</v>
          </cell>
          <cell r="F310" t="str">
            <v>Karnataka</v>
          </cell>
          <cell r="G310" t="str">
            <v>CENTRAL SECTOR</v>
          </cell>
          <cell r="H310" t="str">
            <v>3.56</v>
          </cell>
          <cell r="I310" t="str">
            <v>1.56</v>
          </cell>
          <cell r="J310">
            <v>3677.4899999999898</v>
          </cell>
          <cell r="K310" t="str">
            <v>Contracted</v>
          </cell>
        </row>
        <row r="311">
          <cell r="C311" t="str">
            <v>KUDGI STPP3</v>
          </cell>
          <cell r="D311">
            <v>800</v>
          </cell>
          <cell r="E311" t="str">
            <v xml:space="preserve"> 0-5 years</v>
          </cell>
          <cell r="F311" t="str">
            <v>Karnataka</v>
          </cell>
          <cell r="G311" t="str">
            <v>CENTRAL SECTOR</v>
          </cell>
          <cell r="H311" t="str">
            <v>3.56</v>
          </cell>
          <cell r="I311" t="str">
            <v>1.56</v>
          </cell>
          <cell r="J311">
            <v>3548.88</v>
          </cell>
          <cell r="K311" t="str">
            <v>Contracted</v>
          </cell>
        </row>
        <row r="312">
          <cell r="C312" t="str">
            <v>KUNDARKI TPS1</v>
          </cell>
          <cell r="D312">
            <v>45</v>
          </cell>
          <cell r="E312" t="str">
            <v xml:space="preserve"> 5-10 years</v>
          </cell>
          <cell r="F312" t="str">
            <v>Uttar Pradesh</v>
          </cell>
          <cell r="G312" t="str">
            <v>PVT SECTOR</v>
          </cell>
          <cell r="H312" t="str">
            <v>3.33</v>
          </cell>
          <cell r="I312" t="str">
            <v>1.84</v>
          </cell>
          <cell r="J312">
            <v>171.96799999999899</v>
          </cell>
          <cell r="K312" t="str">
            <v>Contracted</v>
          </cell>
        </row>
        <row r="313">
          <cell r="C313" t="str">
            <v>KUNDARKI TPS2</v>
          </cell>
          <cell r="D313">
            <v>45</v>
          </cell>
          <cell r="E313" t="str">
            <v xml:space="preserve"> 5-10 years</v>
          </cell>
          <cell r="F313" t="str">
            <v>Uttar Pradesh</v>
          </cell>
          <cell r="G313" t="str">
            <v>PVT SECTOR</v>
          </cell>
          <cell r="I313" t="str">
            <v>1.84</v>
          </cell>
          <cell r="J313">
            <v>158.98500000000001</v>
          </cell>
          <cell r="K313" t="str">
            <v>Contracted</v>
          </cell>
        </row>
        <row r="314">
          <cell r="C314" t="str">
            <v>KUTCH LIG. TPS3</v>
          </cell>
          <cell r="D314">
            <v>75</v>
          </cell>
          <cell r="E314" t="str">
            <v xml:space="preserve"> 20-25 years</v>
          </cell>
          <cell r="F314" t="str">
            <v>Gujarat</v>
          </cell>
          <cell r="G314" t="str">
            <v>STATE SECTOR</v>
          </cell>
          <cell r="H314" t="str">
            <v>2.60</v>
          </cell>
          <cell r="I314" t="str">
            <v>1.50</v>
          </cell>
          <cell r="J314">
            <v>682.75799999999902</v>
          </cell>
          <cell r="K314" t="str">
            <v>Contracted</v>
          </cell>
        </row>
        <row r="315">
          <cell r="C315" t="str">
            <v>KUTCH LIG. TPS4</v>
          </cell>
          <cell r="D315">
            <v>75</v>
          </cell>
          <cell r="E315" t="str">
            <v xml:space="preserve"> 10-15 years</v>
          </cell>
          <cell r="F315" t="str">
            <v>Gujarat</v>
          </cell>
          <cell r="G315" t="str">
            <v>STATE SECTOR</v>
          </cell>
          <cell r="H315" t="str">
            <v>2.60</v>
          </cell>
          <cell r="I315" t="str">
            <v>1.50</v>
          </cell>
          <cell r="J315">
            <v>623.00699999999904</v>
          </cell>
          <cell r="K315" t="str">
            <v>Contracted</v>
          </cell>
        </row>
        <row r="316">
          <cell r="C316" t="str">
            <v>KUTCH LIG. TPS2</v>
          </cell>
          <cell r="D316">
            <v>70</v>
          </cell>
          <cell r="E316" t="str">
            <v xml:space="preserve"> 25-30 years</v>
          </cell>
          <cell r="F316" t="str">
            <v>Gujarat</v>
          </cell>
          <cell r="G316" t="str">
            <v>STATE SECTOR</v>
          </cell>
          <cell r="I316" t="str">
            <v>1.50</v>
          </cell>
          <cell r="J316">
            <v>380.20699999999903</v>
          </cell>
          <cell r="K316" t="str">
            <v>Contracted</v>
          </cell>
        </row>
        <row r="317">
          <cell r="C317" t="str">
            <v>KUTCH LIG. TPS1</v>
          </cell>
          <cell r="D317">
            <v>70</v>
          </cell>
          <cell r="E317" t="str">
            <v xml:space="preserve"> 30-35 years</v>
          </cell>
          <cell r="F317" t="str">
            <v>Gujarat</v>
          </cell>
          <cell r="G317" t="str">
            <v>STATE SECTOR</v>
          </cell>
          <cell r="H317" t="str">
            <v>2.60</v>
          </cell>
          <cell r="I317" t="str">
            <v>1.50</v>
          </cell>
          <cell r="J317">
            <v>357.81400000000002</v>
          </cell>
          <cell r="K317" t="str">
            <v>Contracted</v>
          </cell>
        </row>
        <row r="318">
          <cell r="C318" t="str">
            <v>LALITPUR TPS3</v>
          </cell>
          <cell r="D318">
            <v>660</v>
          </cell>
          <cell r="E318" t="str">
            <v xml:space="preserve"> 0-5 years</v>
          </cell>
          <cell r="F318" t="str">
            <v>Uttar Pradesh</v>
          </cell>
          <cell r="G318" t="str">
            <v>PVT SECTOR</v>
          </cell>
          <cell r="H318" t="str">
            <v>3.04</v>
          </cell>
          <cell r="I318" t="str">
            <v>2.25</v>
          </cell>
          <cell r="J318">
            <v>4431.96</v>
          </cell>
          <cell r="K318" t="str">
            <v>Contracted</v>
          </cell>
        </row>
        <row r="319">
          <cell r="C319" t="str">
            <v>LALITPUR TPS1</v>
          </cell>
          <cell r="D319">
            <v>660</v>
          </cell>
          <cell r="E319" t="str">
            <v xml:space="preserve"> 0-5 years</v>
          </cell>
          <cell r="F319" t="str">
            <v>Uttar Pradesh</v>
          </cell>
          <cell r="G319" t="str">
            <v>PVT SECTOR</v>
          </cell>
          <cell r="H319" t="str">
            <v>3.04</v>
          </cell>
          <cell r="I319" t="str">
            <v>2.25</v>
          </cell>
          <cell r="J319">
            <v>4359.8099999999904</v>
          </cell>
          <cell r="K319" t="str">
            <v>Contracted</v>
          </cell>
        </row>
        <row r="320">
          <cell r="C320" t="str">
            <v>LALITPUR TPS2</v>
          </cell>
          <cell r="D320">
            <v>660</v>
          </cell>
          <cell r="E320" t="str">
            <v xml:space="preserve"> 0-5 years</v>
          </cell>
          <cell r="F320" t="str">
            <v>Uttar Pradesh</v>
          </cell>
          <cell r="G320" t="str">
            <v>PVT SECTOR</v>
          </cell>
          <cell r="H320" t="str">
            <v>3.04</v>
          </cell>
          <cell r="I320" t="str">
            <v>2.25</v>
          </cell>
          <cell r="J320">
            <v>3821.2199999999898</v>
          </cell>
          <cell r="K320" t="str">
            <v>Contracted</v>
          </cell>
        </row>
        <row r="321">
          <cell r="C321" t="str">
            <v>LANCO BABANDH TPP1</v>
          </cell>
          <cell r="D321">
            <v>0</v>
          </cell>
          <cell r="E321" t="e">
            <v>#N/A</v>
          </cell>
          <cell r="F321" t="str">
            <v>Odisha</v>
          </cell>
          <cell r="G321" t="str">
            <v>PVT SECTOR</v>
          </cell>
          <cell r="J321">
            <v>0</v>
          </cell>
          <cell r="K321" t="str">
            <v>Not contracted</v>
          </cell>
        </row>
        <row r="322">
          <cell r="C322" t="str">
            <v>LANCO VIDARBHA TPP1</v>
          </cell>
          <cell r="D322">
            <v>0</v>
          </cell>
          <cell r="E322" t="e">
            <v>#N/A</v>
          </cell>
          <cell r="F322" t="str">
            <v>Maharashtra</v>
          </cell>
          <cell r="G322" t="str">
            <v>PVT SECTOR</v>
          </cell>
          <cell r="J322">
            <v>0</v>
          </cell>
          <cell r="K322" t="str">
            <v>Not contracted</v>
          </cell>
        </row>
        <row r="323">
          <cell r="C323" t="str">
            <v>LARA TPP1</v>
          </cell>
          <cell r="D323">
            <v>800</v>
          </cell>
          <cell r="E323" t="str">
            <v xml:space="preserve"> 0-5 years</v>
          </cell>
          <cell r="F323" t="str">
            <v>Chhattisgarh</v>
          </cell>
          <cell r="G323" t="str">
            <v>CENTRAL SECTOR</v>
          </cell>
          <cell r="J323">
            <v>2844.39</v>
          </cell>
          <cell r="K323" t="str">
            <v>Contracted</v>
          </cell>
        </row>
        <row r="324">
          <cell r="C324" t="str">
            <v>LARA TPP2</v>
          </cell>
          <cell r="D324">
            <v>0</v>
          </cell>
          <cell r="E324" t="e">
            <v>#N/A</v>
          </cell>
          <cell r="F324" t="str">
            <v>Chhattisgarh</v>
          </cell>
          <cell r="G324" t="str">
            <v>CENTRAL SECTOR</v>
          </cell>
          <cell r="J324">
            <v>0</v>
          </cell>
          <cell r="K324" t="str">
            <v>Not contracted</v>
          </cell>
        </row>
        <row r="325">
          <cell r="C325" t="str">
            <v>MAHADEV PRASAD STPP1</v>
          </cell>
          <cell r="D325">
            <v>270</v>
          </cell>
          <cell r="E325" t="str">
            <v xml:space="preserve"> 5-10 years</v>
          </cell>
          <cell r="F325" t="str">
            <v>Jharkhand</v>
          </cell>
          <cell r="G325" t="str">
            <v>PVT SECTOR</v>
          </cell>
          <cell r="H325" t="str">
            <v>1.32</v>
          </cell>
          <cell r="I325" t="str">
            <v>2.90</v>
          </cell>
          <cell r="J325">
            <v>3218.4177</v>
          </cell>
          <cell r="K325" t="str">
            <v>Contracted</v>
          </cell>
        </row>
        <row r="326">
          <cell r="C326" t="str">
            <v>MAHADEV PRASAD STPP2</v>
          </cell>
          <cell r="D326">
            <v>270</v>
          </cell>
          <cell r="E326" t="str">
            <v xml:space="preserve"> 5-10 years</v>
          </cell>
          <cell r="F326" t="str">
            <v>Jharkhand</v>
          </cell>
          <cell r="G326" t="str">
            <v>PVT SECTOR</v>
          </cell>
          <cell r="I326" t="str">
            <v>2.90</v>
          </cell>
          <cell r="J326">
            <v>2666.3815999999902</v>
          </cell>
          <cell r="K326" t="str">
            <v>Contracted</v>
          </cell>
        </row>
        <row r="327">
          <cell r="C327" t="str">
            <v>MAHAN TPP1</v>
          </cell>
          <cell r="D327">
            <v>600</v>
          </cell>
          <cell r="E327" t="str">
            <v xml:space="preserve"> 5-10 years</v>
          </cell>
          <cell r="F327" t="str">
            <v>Madhya Pradesh</v>
          </cell>
          <cell r="G327" t="str">
            <v>PVT SECTOR</v>
          </cell>
          <cell r="J327">
            <v>3748.09600000001</v>
          </cell>
          <cell r="K327" t="str">
            <v>Not contracted</v>
          </cell>
        </row>
        <row r="328">
          <cell r="C328" t="str">
            <v>MAHAN TPP2</v>
          </cell>
          <cell r="D328">
            <v>600</v>
          </cell>
          <cell r="E328" t="str">
            <v xml:space="preserve"> 0-5 years</v>
          </cell>
          <cell r="F328" t="str">
            <v>Madhya Pradesh</v>
          </cell>
          <cell r="G328" t="str">
            <v>PVT SECTOR</v>
          </cell>
          <cell r="J328">
            <v>2610.4099999999899</v>
          </cell>
          <cell r="K328" t="str">
            <v>Not contracted</v>
          </cell>
        </row>
        <row r="329">
          <cell r="C329" t="str">
            <v>MAHAN TPP2</v>
          </cell>
          <cell r="D329">
            <v>0</v>
          </cell>
          <cell r="E329" t="str">
            <v xml:space="preserve"> 0-5 years</v>
          </cell>
          <cell r="F329" t="str">
            <v>Madhya Pradesh</v>
          </cell>
          <cell r="G329" t="str">
            <v>PVT SECTOR</v>
          </cell>
          <cell r="J329">
            <v>0</v>
          </cell>
          <cell r="K329" t="str">
            <v>Not contracted</v>
          </cell>
        </row>
        <row r="330">
          <cell r="C330" t="str">
            <v>MAHATMA GANDHI TPS1</v>
          </cell>
          <cell r="D330">
            <v>660</v>
          </cell>
          <cell r="E330" t="str">
            <v xml:space="preserve"> 5-10 years</v>
          </cell>
          <cell r="F330" t="str">
            <v>Haryana</v>
          </cell>
          <cell r="G330" t="str">
            <v>PVT SECTOR</v>
          </cell>
          <cell r="H330" t="str">
            <v>3.57</v>
          </cell>
          <cell r="I330" t="str">
            <v>1.00</v>
          </cell>
          <cell r="J330">
            <v>6539.01799999999</v>
          </cell>
          <cell r="K330" t="str">
            <v>Contracted</v>
          </cell>
        </row>
        <row r="331">
          <cell r="C331" t="str">
            <v>MAHATMA GANDHI TPS2</v>
          </cell>
          <cell r="D331">
            <v>660</v>
          </cell>
          <cell r="E331" t="str">
            <v xml:space="preserve"> 5-10 years</v>
          </cell>
          <cell r="F331" t="str">
            <v>Haryana</v>
          </cell>
          <cell r="G331" t="str">
            <v>PVT SECTOR</v>
          </cell>
          <cell r="H331" t="str">
            <v>3.57</v>
          </cell>
          <cell r="I331" t="str">
            <v>1.00</v>
          </cell>
          <cell r="J331">
            <v>6188.8509999999997</v>
          </cell>
          <cell r="K331" t="str">
            <v>Contracted</v>
          </cell>
        </row>
        <row r="332">
          <cell r="C332" t="str">
            <v>MAITHON RB TPP1</v>
          </cell>
          <cell r="D332">
            <v>525</v>
          </cell>
          <cell r="E332" t="str">
            <v xml:space="preserve"> 5-10 years</v>
          </cell>
          <cell r="F332" t="str">
            <v>Jharkhand</v>
          </cell>
          <cell r="G332" t="str">
            <v>PVT SECTOR</v>
          </cell>
          <cell r="H332" t="str">
            <v>2.70</v>
          </cell>
          <cell r="I332" t="str">
            <v>1.50</v>
          </cell>
          <cell r="J332">
            <v>7164.3549999999896</v>
          </cell>
          <cell r="K332" t="str">
            <v>Contracted</v>
          </cell>
        </row>
        <row r="333">
          <cell r="C333" t="str">
            <v>MAITHON RB TPP2</v>
          </cell>
          <cell r="D333">
            <v>525</v>
          </cell>
          <cell r="E333" t="str">
            <v xml:space="preserve"> 5-10 years</v>
          </cell>
          <cell r="F333" t="str">
            <v>Jharkhand</v>
          </cell>
          <cell r="G333" t="str">
            <v>PVT SECTOR</v>
          </cell>
          <cell r="H333" t="str">
            <v>2.70</v>
          </cell>
          <cell r="I333" t="str">
            <v>1.50</v>
          </cell>
          <cell r="J333">
            <v>6612.8019999999797</v>
          </cell>
          <cell r="K333" t="str">
            <v>Contracted</v>
          </cell>
        </row>
        <row r="334">
          <cell r="C334" t="str">
            <v>MAITRISHI USHA TPS2</v>
          </cell>
          <cell r="D334">
            <v>0</v>
          </cell>
          <cell r="E334" t="e">
            <v>#N/A</v>
          </cell>
          <cell r="F334" t="str">
            <v>Jharkhand</v>
          </cell>
          <cell r="G334" t="str">
            <v>PVT SECTOR</v>
          </cell>
          <cell r="J334">
            <v>0</v>
          </cell>
          <cell r="K334" t="str">
            <v>Not contracted</v>
          </cell>
        </row>
        <row r="335">
          <cell r="C335" t="str">
            <v>MAITRISHI USHA TPS1</v>
          </cell>
          <cell r="D335">
            <v>0</v>
          </cell>
          <cell r="E335" t="e">
            <v>#N/A</v>
          </cell>
          <cell r="F335" t="str">
            <v>Jharkhand</v>
          </cell>
          <cell r="G335" t="str">
            <v>PVT SECTOR</v>
          </cell>
          <cell r="J335">
            <v>0</v>
          </cell>
          <cell r="K335" t="str">
            <v>Not contracted</v>
          </cell>
        </row>
        <row r="336">
          <cell r="C336" t="str">
            <v>MAQSOODPUR TPS1</v>
          </cell>
          <cell r="D336">
            <v>45</v>
          </cell>
          <cell r="E336" t="str">
            <v xml:space="preserve"> 5-10 years</v>
          </cell>
          <cell r="F336" t="str">
            <v>Uttar Pradesh</v>
          </cell>
          <cell r="G336" t="str">
            <v>PVT SECTOR</v>
          </cell>
          <cell r="I336" t="str">
            <v>1.82</v>
          </cell>
          <cell r="J336">
            <v>129.10300000000001</v>
          </cell>
          <cell r="K336" t="str">
            <v>Contracted</v>
          </cell>
        </row>
        <row r="337">
          <cell r="C337" t="str">
            <v>MAQSOODPUR TPS2</v>
          </cell>
          <cell r="D337">
            <v>45</v>
          </cell>
          <cell r="E337" t="str">
            <v xml:space="preserve"> 5-10 years</v>
          </cell>
          <cell r="F337" t="str">
            <v>Uttar Pradesh</v>
          </cell>
          <cell r="G337" t="str">
            <v>PVT SECTOR</v>
          </cell>
          <cell r="H337" t="str">
            <v>3.47</v>
          </cell>
          <cell r="I337" t="str">
            <v>1.82</v>
          </cell>
          <cell r="J337">
            <v>113.79799999999901</v>
          </cell>
          <cell r="K337" t="str">
            <v>Contracted</v>
          </cell>
        </row>
        <row r="338">
          <cell r="C338" t="str">
            <v>MARWA TPS1</v>
          </cell>
          <cell r="D338">
            <v>500</v>
          </cell>
          <cell r="E338" t="str">
            <v xml:space="preserve"> 5-10 years</v>
          </cell>
          <cell r="F338" t="str">
            <v>Chhattisgarh</v>
          </cell>
          <cell r="G338" t="str">
            <v>STATE SECTOR</v>
          </cell>
          <cell r="J338">
            <v>5448.942</v>
          </cell>
          <cell r="K338" t="str">
            <v>Contracted</v>
          </cell>
        </row>
        <row r="339">
          <cell r="C339" t="str">
            <v>MARWA TPS2</v>
          </cell>
          <cell r="D339">
            <v>500</v>
          </cell>
          <cell r="E339" t="str">
            <v xml:space="preserve"> 0-5 years</v>
          </cell>
          <cell r="F339" t="str">
            <v>Chhattisgarh</v>
          </cell>
          <cell r="G339" t="str">
            <v>STATE SECTOR</v>
          </cell>
          <cell r="J339">
            <v>5196.4319999999998</v>
          </cell>
          <cell r="K339" t="str">
            <v>Contracted</v>
          </cell>
        </row>
        <row r="340">
          <cell r="C340" t="str">
            <v>MAUDA TPS4</v>
          </cell>
          <cell r="D340">
            <v>660</v>
          </cell>
          <cell r="E340" t="str">
            <v xml:space="preserve"> 0-5 years</v>
          </cell>
          <cell r="F340" t="str">
            <v>Maharashtra</v>
          </cell>
          <cell r="G340" t="str">
            <v>CENTRAL SECTOR</v>
          </cell>
          <cell r="J340">
            <v>6075.48</v>
          </cell>
          <cell r="K340" t="str">
            <v>Contracted</v>
          </cell>
        </row>
        <row r="341">
          <cell r="C341" t="str">
            <v>MAUDA TPS3</v>
          </cell>
          <cell r="D341">
            <v>660</v>
          </cell>
          <cell r="E341" t="str">
            <v xml:space="preserve"> 0-5 years</v>
          </cell>
          <cell r="F341" t="str">
            <v>Maharashtra</v>
          </cell>
          <cell r="G341" t="str">
            <v>CENTRAL SECTOR</v>
          </cell>
          <cell r="J341">
            <v>5896.22</v>
          </cell>
          <cell r="K341" t="str">
            <v>Contracted</v>
          </cell>
        </row>
        <row r="342">
          <cell r="C342" t="str">
            <v>MAUDA TPS1</v>
          </cell>
          <cell r="D342">
            <v>500</v>
          </cell>
          <cell r="E342" t="str">
            <v xml:space="preserve"> 5-10 years</v>
          </cell>
          <cell r="F342" t="str">
            <v>Maharashtra</v>
          </cell>
          <cell r="G342" t="str">
            <v>CENTRAL SECTOR</v>
          </cell>
          <cell r="J342">
            <v>5403.0699999999897</v>
          </cell>
          <cell r="K342" t="str">
            <v>Contracted</v>
          </cell>
        </row>
        <row r="343">
          <cell r="C343" t="str">
            <v>MAUDA TPS2</v>
          </cell>
          <cell r="D343">
            <v>500</v>
          </cell>
          <cell r="E343" t="str">
            <v xml:space="preserve"> 5-10 years</v>
          </cell>
          <cell r="F343" t="str">
            <v>Maharashtra</v>
          </cell>
          <cell r="G343" t="str">
            <v>CENTRAL SECTOR</v>
          </cell>
          <cell r="J343">
            <v>4669.1599999999899</v>
          </cell>
          <cell r="K343" t="str">
            <v>Contracted</v>
          </cell>
        </row>
        <row r="344">
          <cell r="C344" t="str">
            <v>MEJA STPP1</v>
          </cell>
          <cell r="D344">
            <v>660</v>
          </cell>
          <cell r="E344" t="str">
            <v xml:space="preserve"> 0-5 years</v>
          </cell>
          <cell r="F344" t="str">
            <v>Uttar Pradesh</v>
          </cell>
          <cell r="G344" t="str">
            <v>CENTRAL SECTOR</v>
          </cell>
          <cell r="J344">
            <v>1079.1099999999899</v>
          </cell>
          <cell r="K344" t="str">
            <v>Contracted</v>
          </cell>
        </row>
        <row r="345">
          <cell r="C345" t="str">
            <v>MEJA STPP2</v>
          </cell>
          <cell r="D345">
            <v>0</v>
          </cell>
          <cell r="E345" t="e">
            <v>#N/A</v>
          </cell>
          <cell r="F345" t="str">
            <v>Uttar Pradesh</v>
          </cell>
          <cell r="G345" t="str">
            <v>CENTRAL SECTOR</v>
          </cell>
          <cell r="J345">
            <v>0</v>
          </cell>
          <cell r="K345" t="str">
            <v>Not contracted</v>
          </cell>
        </row>
        <row r="346">
          <cell r="C346" t="str">
            <v>MEJIA TPS8</v>
          </cell>
          <cell r="D346">
            <v>500</v>
          </cell>
          <cell r="E346" t="str">
            <v xml:space="preserve"> 5-10 years</v>
          </cell>
          <cell r="F346" t="str">
            <v>West Bengal</v>
          </cell>
          <cell r="G346" t="str">
            <v>CENTRAL SECTOR</v>
          </cell>
          <cell r="H346" t="str">
            <v>2.40</v>
          </cell>
          <cell r="I346" t="str">
            <v>1.39</v>
          </cell>
          <cell r="J346">
            <v>5678.0499999999902</v>
          </cell>
          <cell r="K346" t="str">
            <v>Not contracted</v>
          </cell>
        </row>
        <row r="347">
          <cell r="C347" t="str">
            <v>MEJIA TPS7</v>
          </cell>
          <cell r="D347">
            <v>500</v>
          </cell>
          <cell r="E347" t="str">
            <v xml:space="preserve"> 5-10 years</v>
          </cell>
          <cell r="F347" t="str">
            <v>West Bengal</v>
          </cell>
          <cell r="G347" t="str">
            <v>CENTRAL SECTOR</v>
          </cell>
          <cell r="H347" t="str">
            <v>2.40</v>
          </cell>
          <cell r="I347" t="str">
            <v>1.39</v>
          </cell>
          <cell r="J347">
            <v>5198.4449999999897</v>
          </cell>
          <cell r="K347" t="str">
            <v>Not contracted</v>
          </cell>
        </row>
        <row r="348">
          <cell r="C348" t="str">
            <v>MEJIA TPS5</v>
          </cell>
          <cell r="D348">
            <v>250</v>
          </cell>
          <cell r="E348" t="str">
            <v xml:space="preserve"> 10-15 years</v>
          </cell>
          <cell r="F348" t="str">
            <v>West Bengal</v>
          </cell>
          <cell r="G348" t="str">
            <v>CENTRAL SECTOR</v>
          </cell>
          <cell r="H348" t="str">
            <v>2.40</v>
          </cell>
          <cell r="I348" t="str">
            <v>1.39</v>
          </cell>
          <cell r="J348">
            <v>3462.694</v>
          </cell>
          <cell r="K348" t="str">
            <v>Contracted</v>
          </cell>
        </row>
        <row r="349">
          <cell r="C349" t="str">
            <v>MEJIA TPS6</v>
          </cell>
          <cell r="D349">
            <v>250</v>
          </cell>
          <cell r="E349" t="str">
            <v xml:space="preserve"> 10-15 years</v>
          </cell>
          <cell r="F349" t="str">
            <v>West Bengal</v>
          </cell>
          <cell r="G349" t="str">
            <v>CENTRAL SECTOR</v>
          </cell>
          <cell r="H349" t="str">
            <v>2.40</v>
          </cell>
          <cell r="I349" t="str">
            <v>1.39</v>
          </cell>
          <cell r="J349">
            <v>2946.26799999999</v>
          </cell>
          <cell r="K349" t="str">
            <v>Contracted</v>
          </cell>
        </row>
        <row r="350">
          <cell r="C350" t="str">
            <v>MEJIA TPS1</v>
          </cell>
          <cell r="D350">
            <v>210</v>
          </cell>
          <cell r="E350" t="str">
            <v xml:space="preserve"> 20-25 years</v>
          </cell>
          <cell r="F350" t="str">
            <v>West Bengal</v>
          </cell>
          <cell r="G350" t="str">
            <v>CENTRAL SECTOR</v>
          </cell>
          <cell r="I350" t="str">
            <v>1.39</v>
          </cell>
          <cell r="J350">
            <v>2327.556</v>
          </cell>
          <cell r="K350" t="str">
            <v>Contracted</v>
          </cell>
        </row>
        <row r="351">
          <cell r="C351" t="str">
            <v>MEJIA TPS4</v>
          </cell>
          <cell r="D351">
            <v>210</v>
          </cell>
          <cell r="E351" t="str">
            <v xml:space="preserve"> 15-20 years</v>
          </cell>
          <cell r="F351" t="str">
            <v>West Bengal</v>
          </cell>
          <cell r="G351" t="str">
            <v>CENTRAL SECTOR</v>
          </cell>
          <cell r="H351" t="str">
            <v>2.40</v>
          </cell>
          <cell r="I351" t="str">
            <v>1.39</v>
          </cell>
          <cell r="J351">
            <v>2123.172</v>
          </cell>
          <cell r="K351" t="str">
            <v>Contracted</v>
          </cell>
        </row>
        <row r="352">
          <cell r="C352" t="str">
            <v>MEJIA TPS3</v>
          </cell>
          <cell r="D352">
            <v>210</v>
          </cell>
          <cell r="E352" t="str">
            <v xml:space="preserve"> 20-25 years</v>
          </cell>
          <cell r="F352" t="str">
            <v>West Bengal</v>
          </cell>
          <cell r="G352" t="str">
            <v>CENTRAL SECTOR</v>
          </cell>
          <cell r="I352" t="str">
            <v>1.39</v>
          </cell>
          <cell r="J352">
            <v>1863.8029999999901</v>
          </cell>
          <cell r="K352" t="str">
            <v>Contracted</v>
          </cell>
        </row>
        <row r="353">
          <cell r="C353" t="str">
            <v>MEJIA TPS2</v>
          </cell>
          <cell r="D353">
            <v>210</v>
          </cell>
          <cell r="E353" t="str">
            <v xml:space="preserve"> 20-25 years</v>
          </cell>
          <cell r="F353" t="str">
            <v>West Bengal</v>
          </cell>
          <cell r="G353" t="str">
            <v>CENTRAL SECTOR</v>
          </cell>
          <cell r="H353" t="str">
            <v>2.40</v>
          </cell>
          <cell r="I353" t="str">
            <v>1.39</v>
          </cell>
          <cell r="J353">
            <v>1543.846</v>
          </cell>
          <cell r="K353" t="str">
            <v>Contracted</v>
          </cell>
        </row>
        <row r="354">
          <cell r="C354" t="str">
            <v>METTUR TPS3</v>
          </cell>
          <cell r="D354">
            <v>210</v>
          </cell>
          <cell r="E354" t="str">
            <v xml:space="preserve"> 30-35 years</v>
          </cell>
          <cell r="F354" t="str">
            <v>Tamil Nadu</v>
          </cell>
          <cell r="G354" t="str">
            <v>STATE SECTOR</v>
          </cell>
          <cell r="H354" t="str">
            <v>3.47</v>
          </cell>
          <cell r="I354" t="str">
            <v>0.75</v>
          </cell>
          <cell r="J354">
            <v>2691.4429999999902</v>
          </cell>
          <cell r="K354" t="str">
            <v>Contracted</v>
          </cell>
        </row>
        <row r="355">
          <cell r="C355" t="str">
            <v>METTUR TPS4</v>
          </cell>
          <cell r="D355">
            <v>210</v>
          </cell>
          <cell r="E355" t="str">
            <v xml:space="preserve"> 30-35 years</v>
          </cell>
          <cell r="F355" t="str">
            <v>Tamil Nadu</v>
          </cell>
          <cell r="G355" t="str">
            <v>STATE SECTOR</v>
          </cell>
          <cell r="H355" t="str">
            <v>3.47</v>
          </cell>
          <cell r="I355" t="str">
            <v>0.75</v>
          </cell>
          <cell r="J355">
            <v>2683.8699999999899</v>
          </cell>
          <cell r="K355" t="str">
            <v>Contracted</v>
          </cell>
        </row>
        <row r="356">
          <cell r="C356" t="str">
            <v>METTUR TPS2</v>
          </cell>
          <cell r="D356">
            <v>210</v>
          </cell>
          <cell r="E356" t="str">
            <v xml:space="preserve"> 30-35 years</v>
          </cell>
          <cell r="F356" t="str">
            <v>Tamil Nadu</v>
          </cell>
          <cell r="G356" t="str">
            <v>STATE SECTOR</v>
          </cell>
          <cell r="H356" t="str">
            <v>3.47</v>
          </cell>
          <cell r="I356" t="str">
            <v>0.75</v>
          </cell>
          <cell r="J356">
            <v>2532.7179999999998</v>
          </cell>
          <cell r="K356" t="str">
            <v>Contracted</v>
          </cell>
        </row>
        <row r="357">
          <cell r="C357" t="str">
            <v>METTUR TPS1</v>
          </cell>
          <cell r="D357">
            <v>210</v>
          </cell>
          <cell r="E357" t="str">
            <v xml:space="preserve"> 30-35 years</v>
          </cell>
          <cell r="F357" t="str">
            <v>Tamil Nadu</v>
          </cell>
          <cell r="G357" t="str">
            <v>STATE SECTOR</v>
          </cell>
          <cell r="H357" t="str">
            <v>3.47</v>
          </cell>
          <cell r="I357" t="str">
            <v>0.75</v>
          </cell>
          <cell r="J357">
            <v>2378.9959999999901</v>
          </cell>
          <cell r="K357" t="str">
            <v>Contracted</v>
          </cell>
        </row>
        <row r="358">
          <cell r="C358" t="str">
            <v>METTUR TPS EXT1</v>
          </cell>
          <cell r="D358">
            <v>600</v>
          </cell>
          <cell r="E358" t="str">
            <v xml:space="preserve"> 5-10 years</v>
          </cell>
          <cell r="F358" t="str">
            <v>Tamil Nadu</v>
          </cell>
          <cell r="G358" t="str">
            <v>STATE SECTOR</v>
          </cell>
          <cell r="I358" t="str">
            <v>0.60</v>
          </cell>
          <cell r="J358">
            <v>5687.72</v>
          </cell>
          <cell r="K358" t="str">
            <v>Contracted</v>
          </cell>
        </row>
        <row r="359">
          <cell r="C359" t="str">
            <v>MIHAN TPS4</v>
          </cell>
          <cell r="D359">
            <v>61.5</v>
          </cell>
          <cell r="E359" t="str">
            <v xml:space="preserve"> 5-10 years</v>
          </cell>
          <cell r="F359" t="str">
            <v>Maharashtra</v>
          </cell>
          <cell r="G359" t="str">
            <v>PVT SECTOR</v>
          </cell>
          <cell r="J359">
            <v>0</v>
          </cell>
          <cell r="K359" t="str">
            <v>Not contracted</v>
          </cell>
        </row>
        <row r="360">
          <cell r="C360" t="str">
            <v>MIHAN TPS3</v>
          </cell>
          <cell r="D360">
            <v>61.5</v>
          </cell>
          <cell r="E360" t="str">
            <v xml:space="preserve"> 5-10 years</v>
          </cell>
          <cell r="F360" t="str">
            <v>Maharashtra</v>
          </cell>
          <cell r="G360" t="str">
            <v>PVT SECTOR</v>
          </cell>
          <cell r="J360">
            <v>0</v>
          </cell>
          <cell r="K360" t="str">
            <v>Not contracted</v>
          </cell>
        </row>
        <row r="361">
          <cell r="C361" t="str">
            <v>MIHAN TPS2</v>
          </cell>
          <cell r="D361">
            <v>61.5</v>
          </cell>
          <cell r="E361" t="str">
            <v xml:space="preserve"> 5-10 years</v>
          </cell>
          <cell r="F361" t="str">
            <v>Maharashtra</v>
          </cell>
          <cell r="G361" t="str">
            <v>PVT SECTOR</v>
          </cell>
          <cell r="J361">
            <v>0</v>
          </cell>
          <cell r="K361" t="str">
            <v>Not contracted</v>
          </cell>
        </row>
        <row r="362">
          <cell r="C362" t="str">
            <v>MIHAN TPS1</v>
          </cell>
          <cell r="D362">
            <v>61.5</v>
          </cell>
          <cell r="E362" t="str">
            <v xml:space="preserve"> 5-10 years</v>
          </cell>
          <cell r="F362" t="str">
            <v>Maharashtra</v>
          </cell>
          <cell r="G362" t="str">
            <v>PVT SECTOR</v>
          </cell>
          <cell r="J362">
            <v>0</v>
          </cell>
          <cell r="K362" t="str">
            <v>Not contracted</v>
          </cell>
        </row>
        <row r="363">
          <cell r="C363" t="str">
            <v>MUNDRA TPS8</v>
          </cell>
          <cell r="D363">
            <v>660</v>
          </cell>
          <cell r="E363" t="str">
            <v xml:space="preserve"> 5-10 years</v>
          </cell>
          <cell r="F363" t="str">
            <v>Gujarat</v>
          </cell>
          <cell r="G363" t="str">
            <v>PVT SECTOR</v>
          </cell>
          <cell r="H363" t="str">
            <v>3.36</v>
          </cell>
          <cell r="I363" t="str">
            <v>1.21</v>
          </cell>
          <cell r="J363">
            <v>8398.1499999999905</v>
          </cell>
          <cell r="K363" t="str">
            <v>Contracted</v>
          </cell>
        </row>
        <row r="364">
          <cell r="C364" t="str">
            <v>MUNDRA TPS7</v>
          </cell>
          <cell r="D364">
            <v>660</v>
          </cell>
          <cell r="E364" t="str">
            <v xml:space="preserve"> 5-10 years</v>
          </cell>
          <cell r="F364" t="str">
            <v>Gujarat</v>
          </cell>
          <cell r="G364" t="str">
            <v>PVT SECTOR</v>
          </cell>
          <cell r="H364" t="str">
            <v>3.36</v>
          </cell>
          <cell r="I364" t="str">
            <v>1.21</v>
          </cell>
          <cell r="J364">
            <v>7866.5199999999904</v>
          </cell>
          <cell r="K364" t="str">
            <v>Contracted</v>
          </cell>
        </row>
        <row r="365">
          <cell r="C365" t="str">
            <v>MUNDRA TPS9</v>
          </cell>
          <cell r="D365">
            <v>660</v>
          </cell>
          <cell r="E365" t="str">
            <v xml:space="preserve"> 5-10 years</v>
          </cell>
          <cell r="F365" t="str">
            <v>Gujarat</v>
          </cell>
          <cell r="G365" t="str">
            <v>PVT SECTOR</v>
          </cell>
          <cell r="H365" t="str">
            <v>3.36</v>
          </cell>
          <cell r="I365" t="str">
            <v>1.21</v>
          </cell>
          <cell r="J365">
            <v>7201.4130000000096</v>
          </cell>
          <cell r="K365" t="str">
            <v>Contracted</v>
          </cell>
        </row>
        <row r="366">
          <cell r="C366" t="str">
            <v>MUNDRA TPS5</v>
          </cell>
          <cell r="D366">
            <v>660</v>
          </cell>
          <cell r="E366" t="str">
            <v xml:space="preserve"> 5-10 years</v>
          </cell>
          <cell r="F366" t="str">
            <v>Gujarat</v>
          </cell>
          <cell r="G366" t="str">
            <v>PVT SECTOR</v>
          </cell>
          <cell r="H366" t="str">
            <v>3.36</v>
          </cell>
          <cell r="I366" t="str">
            <v>1.21</v>
          </cell>
          <cell r="J366">
            <v>6416.8869999999997</v>
          </cell>
          <cell r="K366" t="str">
            <v>Contracted</v>
          </cell>
        </row>
        <row r="367">
          <cell r="C367" t="str">
            <v>MUNDRA TPS6</v>
          </cell>
          <cell r="D367">
            <v>660</v>
          </cell>
          <cell r="E367" t="str">
            <v xml:space="preserve"> 5-10 years</v>
          </cell>
          <cell r="F367" t="str">
            <v>Gujarat</v>
          </cell>
          <cell r="G367" t="str">
            <v>PVT SECTOR</v>
          </cell>
          <cell r="H367" t="str">
            <v>3.36</v>
          </cell>
          <cell r="I367" t="str">
            <v>1.21</v>
          </cell>
          <cell r="J367">
            <v>5552.8529999999901</v>
          </cell>
          <cell r="K367" t="str">
            <v>Contracted</v>
          </cell>
        </row>
        <row r="368">
          <cell r="C368" t="str">
            <v>MUNDRA TPS4</v>
          </cell>
          <cell r="D368">
            <v>330</v>
          </cell>
          <cell r="E368" t="str">
            <v xml:space="preserve"> 5-10 years</v>
          </cell>
          <cell r="F368" t="str">
            <v>Gujarat</v>
          </cell>
          <cell r="G368" t="str">
            <v>PVT SECTOR</v>
          </cell>
          <cell r="I368" t="str">
            <v>1.21</v>
          </cell>
          <cell r="J368">
            <v>4543.4409999999998</v>
          </cell>
          <cell r="K368" t="str">
            <v>Contracted</v>
          </cell>
        </row>
        <row r="369">
          <cell r="C369" t="str">
            <v>MUNDRA TPS3</v>
          </cell>
          <cell r="D369">
            <v>330</v>
          </cell>
          <cell r="E369" t="str">
            <v xml:space="preserve"> 5-10 years</v>
          </cell>
          <cell r="F369" t="str">
            <v>Gujarat</v>
          </cell>
          <cell r="G369" t="str">
            <v>PVT SECTOR</v>
          </cell>
          <cell r="H369" t="str">
            <v>3.36</v>
          </cell>
          <cell r="I369" t="str">
            <v>1.21</v>
          </cell>
          <cell r="J369">
            <v>4525.7269999999999</v>
          </cell>
          <cell r="K369" t="str">
            <v>Contracted</v>
          </cell>
        </row>
        <row r="370">
          <cell r="C370" t="str">
            <v>MUNDRA TPS2</v>
          </cell>
          <cell r="D370">
            <v>330</v>
          </cell>
          <cell r="E370" t="str">
            <v xml:space="preserve"> 10-15 years</v>
          </cell>
          <cell r="F370" t="str">
            <v>Gujarat</v>
          </cell>
          <cell r="G370" t="str">
            <v>PVT SECTOR</v>
          </cell>
          <cell r="H370" t="str">
            <v>3.36</v>
          </cell>
          <cell r="I370" t="str">
            <v>1.21</v>
          </cell>
          <cell r="J370">
            <v>4340.9589999999998</v>
          </cell>
          <cell r="K370" t="str">
            <v>Contracted</v>
          </cell>
        </row>
        <row r="371">
          <cell r="C371" t="str">
            <v>MUNDRA TPS1</v>
          </cell>
          <cell r="D371">
            <v>330</v>
          </cell>
          <cell r="E371" t="str">
            <v xml:space="preserve"> 10-15 years</v>
          </cell>
          <cell r="F371" t="str">
            <v>Gujarat</v>
          </cell>
          <cell r="G371" t="str">
            <v>PVT SECTOR</v>
          </cell>
          <cell r="H371" t="str">
            <v>3.36</v>
          </cell>
          <cell r="I371" t="str">
            <v>1.21</v>
          </cell>
          <cell r="J371">
            <v>4128.7339999999904</v>
          </cell>
          <cell r="K371" t="str">
            <v>Contracted</v>
          </cell>
        </row>
        <row r="372">
          <cell r="C372" t="str">
            <v>MUNDRA UMTPP1</v>
          </cell>
          <cell r="D372">
            <v>800</v>
          </cell>
          <cell r="E372" t="str">
            <v xml:space="preserve"> 5-10 years</v>
          </cell>
          <cell r="F372" t="str">
            <v>Gujarat</v>
          </cell>
          <cell r="G372" t="str">
            <v>PVT SECTOR</v>
          </cell>
          <cell r="I372" t="str">
            <v>0.91</v>
          </cell>
          <cell r="J372">
            <v>11594.68</v>
          </cell>
          <cell r="K372" t="str">
            <v>Contracted</v>
          </cell>
        </row>
        <row r="373">
          <cell r="C373" t="str">
            <v>MUNDRA UMTPP3</v>
          </cell>
          <cell r="D373">
            <v>800</v>
          </cell>
          <cell r="E373" t="str">
            <v xml:space="preserve"> 5-10 years</v>
          </cell>
          <cell r="F373" t="str">
            <v>Gujarat</v>
          </cell>
          <cell r="G373" t="str">
            <v>PVT SECTOR</v>
          </cell>
          <cell r="H373" t="str">
            <v>1.31</v>
          </cell>
          <cell r="I373" t="str">
            <v>0.91</v>
          </cell>
          <cell r="J373">
            <v>11546.289999999901</v>
          </cell>
          <cell r="K373" t="str">
            <v>Contracted</v>
          </cell>
        </row>
        <row r="374">
          <cell r="C374" t="str">
            <v>MUNDRA UMTPP2</v>
          </cell>
          <cell r="D374">
            <v>800</v>
          </cell>
          <cell r="E374" t="str">
            <v xml:space="preserve"> 5-10 years</v>
          </cell>
          <cell r="F374" t="str">
            <v>Gujarat</v>
          </cell>
          <cell r="G374" t="str">
            <v>PVT SECTOR</v>
          </cell>
          <cell r="H374" t="str">
            <v>1.31</v>
          </cell>
          <cell r="I374" t="str">
            <v>0.91</v>
          </cell>
          <cell r="J374">
            <v>11083.67</v>
          </cell>
          <cell r="K374" t="str">
            <v>Contracted</v>
          </cell>
        </row>
        <row r="375">
          <cell r="C375" t="str">
            <v>MUNDRA UMTPP4</v>
          </cell>
          <cell r="D375">
            <v>800</v>
          </cell>
          <cell r="E375" t="str">
            <v xml:space="preserve"> 5-10 years</v>
          </cell>
          <cell r="F375" t="str">
            <v>Gujarat</v>
          </cell>
          <cell r="G375" t="str">
            <v>PVT SECTOR</v>
          </cell>
          <cell r="I375" t="str">
            <v>0.91</v>
          </cell>
          <cell r="J375">
            <v>10877.8199999999</v>
          </cell>
          <cell r="K375" t="str">
            <v>Contracted</v>
          </cell>
        </row>
        <row r="376">
          <cell r="C376" t="str">
            <v>MUNDRA UMTPP5</v>
          </cell>
          <cell r="D376">
            <v>800</v>
          </cell>
          <cell r="E376" t="str">
            <v xml:space="preserve"> 5-10 years</v>
          </cell>
          <cell r="F376" t="str">
            <v>Gujarat</v>
          </cell>
          <cell r="G376" t="str">
            <v>PVT SECTOR</v>
          </cell>
          <cell r="H376" t="str">
            <v>1.31</v>
          </cell>
          <cell r="I376" t="str">
            <v>0.91</v>
          </cell>
          <cell r="J376">
            <v>7826.36</v>
          </cell>
          <cell r="K376" t="str">
            <v>Contracted</v>
          </cell>
        </row>
        <row r="377">
          <cell r="C377" t="str">
            <v>MUTHIARA TPP1</v>
          </cell>
          <cell r="D377">
            <v>600</v>
          </cell>
          <cell r="E377" t="str">
            <v xml:space="preserve"> 5-10 years</v>
          </cell>
          <cell r="F377" t="str">
            <v>Tamil Nadu</v>
          </cell>
          <cell r="G377" t="str">
            <v>PVT SECTOR</v>
          </cell>
          <cell r="I377" t="str">
            <v>1.71</v>
          </cell>
          <cell r="J377">
            <v>3504.1699999999901</v>
          </cell>
          <cell r="K377" t="str">
            <v>Contracted</v>
          </cell>
        </row>
        <row r="378">
          <cell r="C378" t="str">
            <v>MUTHIARA TPP2</v>
          </cell>
          <cell r="D378">
            <v>600</v>
          </cell>
          <cell r="E378" t="str">
            <v xml:space="preserve"> 0-5 years</v>
          </cell>
          <cell r="F378" t="str">
            <v>Tamil Nadu</v>
          </cell>
          <cell r="G378" t="str">
            <v>PVT SECTOR</v>
          </cell>
          <cell r="H378" t="str">
            <v>3.32</v>
          </cell>
          <cell r="I378" t="str">
            <v>1.71</v>
          </cell>
          <cell r="J378">
            <v>2981.22</v>
          </cell>
          <cell r="K378" t="str">
            <v>Contracted</v>
          </cell>
        </row>
        <row r="379">
          <cell r="C379" t="str">
            <v>MUZAFFARPUR TPS4</v>
          </cell>
          <cell r="D379">
            <v>195</v>
          </cell>
          <cell r="E379" t="str">
            <v xml:space="preserve"> 0-5 years</v>
          </cell>
          <cell r="F379" t="str">
            <v>Bihar</v>
          </cell>
          <cell r="G379" t="str">
            <v>CENTRAL SECTOR</v>
          </cell>
          <cell r="H379" t="str">
            <v>3.46</v>
          </cell>
          <cell r="I379" t="str">
            <v>1.15</v>
          </cell>
          <cell r="J379">
            <v>2306.14</v>
          </cell>
          <cell r="K379" t="str">
            <v>Contracted</v>
          </cell>
        </row>
        <row r="380">
          <cell r="C380" t="str">
            <v>MUZAFFARPUR TPS3</v>
          </cell>
          <cell r="D380">
            <v>195</v>
          </cell>
          <cell r="E380" t="str">
            <v xml:space="preserve"> 5-10 years</v>
          </cell>
          <cell r="F380" t="str">
            <v>Bihar</v>
          </cell>
          <cell r="G380" t="str">
            <v>CENTRAL SECTOR</v>
          </cell>
          <cell r="I380" t="str">
            <v>1.15</v>
          </cell>
          <cell r="J380">
            <v>2243.3999999999901</v>
          </cell>
          <cell r="K380" t="str">
            <v>Contracted</v>
          </cell>
        </row>
        <row r="381">
          <cell r="C381" t="str">
            <v>MUZAFFARPUR TPS1</v>
          </cell>
          <cell r="D381">
            <v>110</v>
          </cell>
          <cell r="E381" t="str">
            <v xml:space="preserve"> 5-10 years</v>
          </cell>
          <cell r="F381" t="str">
            <v>Bihar</v>
          </cell>
          <cell r="G381" t="str">
            <v>CENTRAL SECTOR</v>
          </cell>
          <cell r="H381" t="str">
            <v>3.46</v>
          </cell>
          <cell r="I381" t="str">
            <v>1.15</v>
          </cell>
          <cell r="J381">
            <v>745.479999999999</v>
          </cell>
          <cell r="K381" t="str">
            <v>Contracted</v>
          </cell>
        </row>
        <row r="382">
          <cell r="C382" t="str">
            <v>MUZAFFARPUR TPS2</v>
          </cell>
          <cell r="D382">
            <v>110</v>
          </cell>
          <cell r="E382" t="str">
            <v xml:space="preserve"> 5-10 years</v>
          </cell>
          <cell r="F382" t="str">
            <v>Bihar</v>
          </cell>
          <cell r="G382" t="str">
            <v>CENTRAL SECTOR</v>
          </cell>
          <cell r="H382" t="str">
            <v>3.46</v>
          </cell>
          <cell r="I382" t="str">
            <v>1.15</v>
          </cell>
          <cell r="J382">
            <v>577.14</v>
          </cell>
          <cell r="K382" t="str">
            <v>Contracted</v>
          </cell>
        </row>
        <row r="383">
          <cell r="C383" t="str">
            <v>NABI NAGAR TPP1</v>
          </cell>
          <cell r="D383">
            <v>250</v>
          </cell>
          <cell r="E383" t="str">
            <v xml:space="preserve"> 0-5 years</v>
          </cell>
          <cell r="F383" t="str">
            <v>Bihar</v>
          </cell>
          <cell r="G383" t="str">
            <v>CENTRAL SECTOR</v>
          </cell>
          <cell r="I383" t="str">
            <v>2.50</v>
          </cell>
          <cell r="J383">
            <v>3117.22099999999</v>
          </cell>
          <cell r="K383" t="str">
            <v>Contracted</v>
          </cell>
        </row>
        <row r="384">
          <cell r="C384" t="str">
            <v>NABI NAGAR TPP2</v>
          </cell>
          <cell r="D384">
            <v>250</v>
          </cell>
          <cell r="E384" t="str">
            <v xml:space="preserve"> 0-5 years</v>
          </cell>
          <cell r="F384" t="str">
            <v>Bihar</v>
          </cell>
          <cell r="G384" t="str">
            <v>CENTRAL SECTOR</v>
          </cell>
          <cell r="H384" t="str">
            <v>2.35</v>
          </cell>
          <cell r="I384" t="str">
            <v>2.50</v>
          </cell>
          <cell r="J384">
            <v>2587.3899999999899</v>
          </cell>
          <cell r="K384" t="str">
            <v>Contracted</v>
          </cell>
        </row>
        <row r="385">
          <cell r="C385" t="str">
            <v>NABI NAGAR TPP3</v>
          </cell>
          <cell r="D385">
            <v>250</v>
          </cell>
          <cell r="E385" t="str">
            <v xml:space="preserve"> 0-5 years</v>
          </cell>
          <cell r="F385" t="str">
            <v>Bihar</v>
          </cell>
          <cell r="G385" t="str">
            <v>CENTRAL SECTOR</v>
          </cell>
          <cell r="I385" t="str">
            <v>2.50</v>
          </cell>
          <cell r="J385">
            <v>1730.5899999999899</v>
          </cell>
          <cell r="K385" t="str">
            <v>Contracted</v>
          </cell>
        </row>
        <row r="386">
          <cell r="C386" t="str">
            <v>NABI NAGAR TPP4</v>
          </cell>
          <cell r="D386">
            <v>0</v>
          </cell>
          <cell r="E386" t="e">
            <v>#N/A</v>
          </cell>
          <cell r="F386" t="str">
            <v>Bihar</v>
          </cell>
          <cell r="G386" t="str">
            <v>CENTRAL SECTOR</v>
          </cell>
          <cell r="J386">
            <v>0</v>
          </cell>
          <cell r="K386" t="str">
            <v>Contracted</v>
          </cell>
        </row>
        <row r="387">
          <cell r="C387" t="str">
            <v>NABI NAGAR TPP3</v>
          </cell>
          <cell r="D387">
            <v>0</v>
          </cell>
          <cell r="E387" t="str">
            <v xml:space="preserve"> 0-5 years</v>
          </cell>
          <cell r="F387" t="str">
            <v>Bihar</v>
          </cell>
          <cell r="G387" t="str">
            <v>CENTRAL SECTOR</v>
          </cell>
          <cell r="I387" t="str">
            <v>2.50</v>
          </cell>
          <cell r="J387">
            <v>0</v>
          </cell>
          <cell r="K387" t="str">
            <v>Contracted</v>
          </cell>
        </row>
        <row r="388">
          <cell r="C388" t="str">
            <v>NABINAGAR STPP1</v>
          </cell>
          <cell r="D388">
            <v>660</v>
          </cell>
          <cell r="E388" t="str">
            <v xml:space="preserve"> 0-5 years</v>
          </cell>
          <cell r="F388" t="str">
            <v>Bihar</v>
          </cell>
          <cell r="G388" t="str">
            <v>CENTRAL SECTOR</v>
          </cell>
          <cell r="J388">
            <v>1735.96999999999</v>
          </cell>
          <cell r="K388" t="str">
            <v>Contracted</v>
          </cell>
        </row>
        <row r="389">
          <cell r="C389" t="str">
            <v>NABINAGAR STPP3</v>
          </cell>
          <cell r="D389">
            <v>0</v>
          </cell>
          <cell r="E389" t="e">
            <v>#N/A</v>
          </cell>
          <cell r="F389" t="str">
            <v>Bihar</v>
          </cell>
          <cell r="G389" t="str">
            <v>CENTRAL SECTOR</v>
          </cell>
          <cell r="J389">
            <v>0</v>
          </cell>
          <cell r="K389" t="str">
            <v>Not contracted</v>
          </cell>
        </row>
        <row r="390">
          <cell r="C390" t="str">
            <v>NABINAGAR STPP2</v>
          </cell>
          <cell r="D390">
            <v>0</v>
          </cell>
          <cell r="E390" t="e">
            <v>#N/A</v>
          </cell>
          <cell r="F390" t="str">
            <v>Bihar</v>
          </cell>
          <cell r="G390" t="str">
            <v>CENTRAL SECTOR</v>
          </cell>
          <cell r="J390">
            <v>0</v>
          </cell>
          <cell r="K390" t="str">
            <v>Not contracted</v>
          </cell>
        </row>
        <row r="391">
          <cell r="C391" t="str">
            <v>NABINAGAR STPP1</v>
          </cell>
          <cell r="D391">
            <v>0</v>
          </cell>
          <cell r="E391" t="str">
            <v xml:space="preserve"> 0-5 years</v>
          </cell>
          <cell r="F391" t="str">
            <v>Bihar</v>
          </cell>
          <cell r="G391" t="str">
            <v>CENTRAL SECTOR</v>
          </cell>
          <cell r="J391">
            <v>0</v>
          </cell>
          <cell r="K391" t="str">
            <v>Not contracted</v>
          </cell>
        </row>
        <row r="392">
          <cell r="C392" t="str">
            <v>NALCO IMP1</v>
          </cell>
          <cell r="D392">
            <v>0</v>
          </cell>
          <cell r="E392" t="e">
            <v>#N/A</v>
          </cell>
          <cell r="F392" t="str">
            <v>Odisha</v>
          </cell>
          <cell r="G392" t="str">
            <v>PVT SECTOR</v>
          </cell>
          <cell r="J392">
            <v>304.11099999999999</v>
          </cell>
          <cell r="K392" t="str">
            <v>Not contracted</v>
          </cell>
        </row>
        <row r="393">
          <cell r="C393" t="str">
            <v>NASIK (P) TPS5</v>
          </cell>
          <cell r="D393">
            <v>270</v>
          </cell>
          <cell r="E393" t="str">
            <v xml:space="preserve"> 0-5 years</v>
          </cell>
          <cell r="F393" t="str">
            <v>Maharashtra</v>
          </cell>
          <cell r="G393" t="str">
            <v>PVT SECTOR</v>
          </cell>
          <cell r="J393">
            <v>0</v>
          </cell>
          <cell r="K393" t="str">
            <v>Not contracted</v>
          </cell>
        </row>
        <row r="394">
          <cell r="C394" t="str">
            <v>NASIK (P) TPS4</v>
          </cell>
          <cell r="D394">
            <v>270</v>
          </cell>
          <cell r="E394" t="str">
            <v xml:space="preserve"> 0-5 years</v>
          </cell>
          <cell r="F394" t="str">
            <v>Maharashtra</v>
          </cell>
          <cell r="G394" t="str">
            <v>PVT SECTOR</v>
          </cell>
          <cell r="J394">
            <v>0</v>
          </cell>
          <cell r="K394" t="str">
            <v>Not contracted</v>
          </cell>
        </row>
        <row r="395">
          <cell r="C395" t="str">
            <v>NASIK (P) TPS3</v>
          </cell>
          <cell r="D395">
            <v>270</v>
          </cell>
          <cell r="E395" t="str">
            <v xml:space="preserve"> 0-5 years</v>
          </cell>
          <cell r="F395" t="str">
            <v>Maharashtra</v>
          </cell>
          <cell r="G395" t="str">
            <v>PVT SECTOR</v>
          </cell>
          <cell r="J395">
            <v>0</v>
          </cell>
          <cell r="K395" t="str">
            <v>Not contracted</v>
          </cell>
        </row>
        <row r="396">
          <cell r="C396" t="str">
            <v>NASIK (P) TPS2</v>
          </cell>
          <cell r="D396">
            <v>270</v>
          </cell>
          <cell r="E396" t="str">
            <v xml:space="preserve"> 0-5 years</v>
          </cell>
          <cell r="F396" t="str">
            <v>Maharashtra</v>
          </cell>
          <cell r="G396" t="str">
            <v>PVT SECTOR</v>
          </cell>
          <cell r="J396">
            <v>0</v>
          </cell>
          <cell r="K396" t="str">
            <v>Not contracted</v>
          </cell>
        </row>
        <row r="397">
          <cell r="C397" t="str">
            <v>NASIK (P) TPS1</v>
          </cell>
          <cell r="D397">
            <v>270</v>
          </cell>
          <cell r="E397" t="str">
            <v xml:space="preserve"> 5-10 years</v>
          </cell>
          <cell r="F397" t="str">
            <v>Maharashtra</v>
          </cell>
          <cell r="G397" t="str">
            <v>PVT SECTOR</v>
          </cell>
          <cell r="J397">
            <v>0</v>
          </cell>
          <cell r="K397" t="str">
            <v>Not contracted</v>
          </cell>
        </row>
        <row r="398">
          <cell r="C398" t="str">
            <v>NASIK TPS4</v>
          </cell>
          <cell r="D398">
            <v>210</v>
          </cell>
          <cell r="E398" t="str">
            <v xml:space="preserve"> 35-40 years</v>
          </cell>
          <cell r="F398" t="str">
            <v>Maharashtra</v>
          </cell>
          <cell r="G398" t="str">
            <v>STATE SECTOR</v>
          </cell>
          <cell r="H398" t="str">
            <v>3.27</v>
          </cell>
          <cell r="I398" t="str">
            <v>0.95</v>
          </cell>
          <cell r="J398">
            <v>1856.598</v>
          </cell>
          <cell r="K398" t="str">
            <v>Contracted</v>
          </cell>
        </row>
        <row r="399">
          <cell r="C399" t="str">
            <v>NASIK TPS3</v>
          </cell>
          <cell r="D399">
            <v>210</v>
          </cell>
          <cell r="E399" t="str">
            <v xml:space="preserve"> 40-45 years</v>
          </cell>
          <cell r="F399" t="str">
            <v>Maharashtra</v>
          </cell>
          <cell r="G399" t="str">
            <v>STATE SECTOR</v>
          </cell>
          <cell r="I399" t="str">
            <v>0.95</v>
          </cell>
          <cell r="J399">
            <v>1502.9059999999999</v>
          </cell>
          <cell r="K399" t="str">
            <v>Contracted</v>
          </cell>
        </row>
        <row r="400">
          <cell r="C400" t="str">
            <v>NASIK TPS5</v>
          </cell>
          <cell r="D400">
            <v>210</v>
          </cell>
          <cell r="E400" t="str">
            <v xml:space="preserve"> 35-40 years</v>
          </cell>
          <cell r="F400" t="str">
            <v>Maharashtra</v>
          </cell>
          <cell r="G400" t="str">
            <v>STATE SECTOR</v>
          </cell>
          <cell r="I400" t="str">
            <v>0.95</v>
          </cell>
          <cell r="J400">
            <v>1284.549</v>
          </cell>
          <cell r="K400" t="str">
            <v>Contracted</v>
          </cell>
        </row>
        <row r="401">
          <cell r="C401" t="str">
            <v>NAWAPARA TPP1</v>
          </cell>
          <cell r="D401">
            <v>300</v>
          </cell>
          <cell r="E401" t="str">
            <v xml:space="preserve"> 0-5 years</v>
          </cell>
          <cell r="F401" t="str">
            <v>Chhattisgarh</v>
          </cell>
          <cell r="G401" t="str">
            <v>PVT SECTOR</v>
          </cell>
          <cell r="J401">
            <v>2708.7799</v>
          </cell>
          <cell r="K401" t="str">
            <v>Contracted</v>
          </cell>
        </row>
        <row r="402">
          <cell r="C402" t="str">
            <v>NAWAPARA TPP2</v>
          </cell>
          <cell r="D402">
            <v>300</v>
          </cell>
          <cell r="E402" t="str">
            <v xml:space="preserve"> 0-5 years</v>
          </cell>
          <cell r="F402" t="str">
            <v>Chhattisgarh</v>
          </cell>
          <cell r="G402" t="str">
            <v>PVT SECTOR</v>
          </cell>
          <cell r="J402">
            <v>2295.44219999999</v>
          </cell>
          <cell r="K402" t="str">
            <v>Contracted</v>
          </cell>
        </row>
        <row r="403">
          <cell r="C403" t="str">
            <v>NEYVELI (EXT) TPS1</v>
          </cell>
          <cell r="D403">
            <v>210</v>
          </cell>
          <cell r="E403" t="str">
            <v xml:space="preserve"> 15-20 years</v>
          </cell>
          <cell r="F403" t="str">
            <v>Tamil Nadu</v>
          </cell>
          <cell r="G403" t="str">
            <v>CENTRAL SECTOR</v>
          </cell>
          <cell r="H403" t="str">
            <v>2.37</v>
          </cell>
          <cell r="I403" t="str">
            <v>1.03</v>
          </cell>
          <cell r="J403">
            <v>3144.3429999999898</v>
          </cell>
          <cell r="K403" t="str">
            <v>Contracted</v>
          </cell>
        </row>
        <row r="404">
          <cell r="C404" t="str">
            <v>NEYVELI (EXT) TPS2</v>
          </cell>
          <cell r="D404">
            <v>210</v>
          </cell>
          <cell r="E404" t="str">
            <v xml:space="preserve"> 15-20 years</v>
          </cell>
          <cell r="F404" t="str">
            <v>Tamil Nadu</v>
          </cell>
          <cell r="G404" t="str">
            <v>CENTRAL SECTOR</v>
          </cell>
          <cell r="H404" t="str">
            <v>2.37</v>
          </cell>
          <cell r="I404" t="str">
            <v>1.03</v>
          </cell>
          <cell r="J404">
            <v>2982.5209999999902</v>
          </cell>
          <cell r="K404" t="str">
            <v>Contracted</v>
          </cell>
        </row>
        <row r="405">
          <cell r="C405" t="str">
            <v>NEYVELI NEW TPP1</v>
          </cell>
          <cell r="D405">
            <v>500</v>
          </cell>
          <cell r="E405" t="str">
            <v xml:space="preserve"> 0-5 years</v>
          </cell>
          <cell r="F405" t="str">
            <v>Tamil Nadu</v>
          </cell>
          <cell r="G405" t="str">
            <v>CENTRAL SECTOR</v>
          </cell>
          <cell r="J405">
            <v>422.68</v>
          </cell>
          <cell r="K405" t="str">
            <v>Contracted</v>
          </cell>
        </row>
        <row r="406">
          <cell r="C406" t="str">
            <v>NEYVELI NEW TPP2</v>
          </cell>
          <cell r="D406">
            <v>0</v>
          </cell>
          <cell r="E406" t="e">
            <v>#N/A</v>
          </cell>
          <cell r="F406" t="str">
            <v>Tamil Nadu</v>
          </cell>
          <cell r="G406" t="str">
            <v>CENTRAL SECTOR</v>
          </cell>
          <cell r="J406">
            <v>0</v>
          </cell>
          <cell r="K406" t="str">
            <v>Not contracted</v>
          </cell>
        </row>
        <row r="407">
          <cell r="C407" t="str">
            <v>NEYVELI NEW TPP1</v>
          </cell>
          <cell r="D407">
            <v>0</v>
          </cell>
          <cell r="E407" t="str">
            <v xml:space="preserve"> 0-5 years</v>
          </cell>
          <cell r="F407" t="str">
            <v>Tamil Nadu</v>
          </cell>
          <cell r="G407" t="str">
            <v>CENTRAL SECTOR</v>
          </cell>
          <cell r="J407">
            <v>0</v>
          </cell>
          <cell r="K407" t="str">
            <v>Contracted</v>
          </cell>
        </row>
        <row r="408">
          <cell r="C408" t="str">
            <v>NEYVELI TPS (Z)1</v>
          </cell>
          <cell r="D408">
            <v>250</v>
          </cell>
          <cell r="E408" t="str">
            <v xml:space="preserve"> 15-20 years</v>
          </cell>
          <cell r="F408" t="str">
            <v>Tamil Nadu</v>
          </cell>
          <cell r="G408" t="str">
            <v>PVT SECTOR</v>
          </cell>
          <cell r="H408" t="str">
            <v>3.53</v>
          </cell>
          <cell r="I408" t="str">
            <v>1.62</v>
          </cell>
          <cell r="J408">
            <v>2575.8719999999898</v>
          </cell>
          <cell r="K408" t="str">
            <v>Contracted</v>
          </cell>
        </row>
        <row r="409">
          <cell r="C409" t="str">
            <v>NEYVELI TPS- I8</v>
          </cell>
          <cell r="D409">
            <v>100</v>
          </cell>
          <cell r="E409" t="str">
            <v xml:space="preserve"> 45+ years</v>
          </cell>
          <cell r="F409" t="str">
            <v>Tamil Nadu</v>
          </cell>
          <cell r="G409" t="str">
            <v>CENTRAL SECTOR</v>
          </cell>
          <cell r="J409">
            <v>1059.9269999999999</v>
          </cell>
          <cell r="K409" t="str">
            <v>Not contracted</v>
          </cell>
        </row>
        <row r="410">
          <cell r="C410" t="str">
            <v>NEYVELI TPS- I9</v>
          </cell>
          <cell r="D410">
            <v>100</v>
          </cell>
          <cell r="E410" t="str">
            <v xml:space="preserve"> 45+ years</v>
          </cell>
          <cell r="F410" t="str">
            <v>Tamil Nadu</v>
          </cell>
          <cell r="G410" t="str">
            <v>CENTRAL SECTOR</v>
          </cell>
          <cell r="J410">
            <v>917.80399999999997</v>
          </cell>
          <cell r="K410" t="str">
            <v>Not contracted</v>
          </cell>
        </row>
        <row r="411">
          <cell r="C411" t="str">
            <v>NEYVELI TPS- I5</v>
          </cell>
          <cell r="D411">
            <v>50</v>
          </cell>
          <cell r="E411" t="str">
            <v xml:space="preserve"> 45+ years</v>
          </cell>
          <cell r="F411" t="str">
            <v>Tamil Nadu</v>
          </cell>
          <cell r="G411" t="str">
            <v>CENTRAL SECTOR</v>
          </cell>
          <cell r="J411">
            <v>605.81409999999903</v>
          </cell>
          <cell r="K411" t="str">
            <v>Not contracted</v>
          </cell>
        </row>
        <row r="412">
          <cell r="C412" t="str">
            <v>NEYVELI TPS- I6</v>
          </cell>
          <cell r="D412">
            <v>50</v>
          </cell>
          <cell r="E412" t="str">
            <v xml:space="preserve"> 45+ years</v>
          </cell>
          <cell r="F412" t="str">
            <v>Tamil Nadu</v>
          </cell>
          <cell r="G412" t="str">
            <v>CENTRAL SECTOR</v>
          </cell>
          <cell r="J412">
            <v>604.44029999999998</v>
          </cell>
          <cell r="K412" t="str">
            <v>Not contracted</v>
          </cell>
        </row>
        <row r="413">
          <cell r="C413" t="str">
            <v>NEYVELI TPS- I4</v>
          </cell>
          <cell r="D413">
            <v>50</v>
          </cell>
          <cell r="E413" t="str">
            <v xml:space="preserve"> 45+ years</v>
          </cell>
          <cell r="F413" t="str">
            <v>Tamil Nadu</v>
          </cell>
          <cell r="G413" t="str">
            <v>CENTRAL SECTOR</v>
          </cell>
          <cell r="J413">
            <v>588.625</v>
          </cell>
          <cell r="K413" t="str">
            <v>Not contracted</v>
          </cell>
        </row>
        <row r="414">
          <cell r="C414" t="str">
            <v>NEYVELI TPS- I3</v>
          </cell>
          <cell r="D414">
            <v>50</v>
          </cell>
          <cell r="E414" t="str">
            <v xml:space="preserve"> 45+ years</v>
          </cell>
          <cell r="F414" t="str">
            <v>Tamil Nadu</v>
          </cell>
          <cell r="G414" t="str">
            <v>CENTRAL SECTOR</v>
          </cell>
          <cell r="J414">
            <v>585.55020000000002</v>
          </cell>
          <cell r="K414" t="str">
            <v>Not contracted</v>
          </cell>
        </row>
        <row r="415">
          <cell r="C415" t="str">
            <v>NEYVELI TPS- I2</v>
          </cell>
          <cell r="D415">
            <v>50</v>
          </cell>
          <cell r="E415" t="str">
            <v xml:space="preserve"> 45+ years</v>
          </cell>
          <cell r="F415" t="str">
            <v>Tamil Nadu</v>
          </cell>
          <cell r="G415" t="str">
            <v>CENTRAL SECTOR</v>
          </cell>
          <cell r="J415">
            <v>565.96730000000002</v>
          </cell>
          <cell r="K415" t="str">
            <v>Not contracted</v>
          </cell>
        </row>
        <row r="416">
          <cell r="C416" t="str">
            <v>NEYVELI TPS- I1</v>
          </cell>
          <cell r="D416">
            <v>50</v>
          </cell>
          <cell r="E416" t="str">
            <v xml:space="preserve"> 45+ years</v>
          </cell>
          <cell r="F416" t="str">
            <v>Tamil Nadu</v>
          </cell>
          <cell r="G416" t="str">
            <v>CENTRAL SECTOR</v>
          </cell>
          <cell r="J416">
            <v>553.80460000000005</v>
          </cell>
          <cell r="K416" t="str">
            <v>Not contracted</v>
          </cell>
        </row>
        <row r="417">
          <cell r="C417" t="str">
            <v>NEYVELI TPS- I7</v>
          </cell>
          <cell r="D417">
            <v>100</v>
          </cell>
          <cell r="E417" t="str">
            <v xml:space="preserve"> 45+ years</v>
          </cell>
          <cell r="F417" t="str">
            <v>Tamil Nadu</v>
          </cell>
          <cell r="G417" t="str">
            <v>CENTRAL SECTOR</v>
          </cell>
          <cell r="J417">
            <v>232.92399999999901</v>
          </cell>
          <cell r="K417" t="str">
            <v>Not contracted</v>
          </cell>
        </row>
        <row r="418">
          <cell r="C418" t="str">
            <v>NEYVELI TPS- I7</v>
          </cell>
          <cell r="D418">
            <v>0</v>
          </cell>
          <cell r="E418" t="str">
            <v xml:space="preserve"> 45+ years</v>
          </cell>
          <cell r="F418" t="str">
            <v>Tamil Nadu</v>
          </cell>
          <cell r="G418" t="str">
            <v>CENTRAL SECTOR</v>
          </cell>
          <cell r="J418">
            <v>0</v>
          </cell>
          <cell r="K418" t="str">
            <v>Not contracted</v>
          </cell>
        </row>
        <row r="419">
          <cell r="C419" t="str">
            <v>NEYVELI TPS-II3</v>
          </cell>
          <cell r="D419">
            <v>210</v>
          </cell>
          <cell r="E419" t="str">
            <v xml:space="preserve"> 30-35 years</v>
          </cell>
          <cell r="F419" t="str">
            <v>Tamil Nadu</v>
          </cell>
          <cell r="G419" t="str">
            <v>CENTRAL SECTOR</v>
          </cell>
          <cell r="H419" t="str">
            <v>2.59</v>
          </cell>
          <cell r="I419" t="str">
            <v>0.81</v>
          </cell>
          <cell r="J419">
            <v>3029.1496000000002</v>
          </cell>
          <cell r="K419" t="str">
            <v>Contracted</v>
          </cell>
        </row>
        <row r="420">
          <cell r="C420" t="str">
            <v>NEYVELI TPS-II5</v>
          </cell>
          <cell r="D420">
            <v>210</v>
          </cell>
          <cell r="E420" t="str">
            <v xml:space="preserve"> 25-30 years</v>
          </cell>
          <cell r="F420" t="str">
            <v>Tamil Nadu</v>
          </cell>
          <cell r="G420" t="str">
            <v>CENTRAL SECTOR</v>
          </cell>
          <cell r="H420" t="str">
            <v>2.59</v>
          </cell>
          <cell r="I420" t="str">
            <v>0.81</v>
          </cell>
          <cell r="J420">
            <v>2996.4760000000001</v>
          </cell>
          <cell r="K420" t="str">
            <v>Contracted</v>
          </cell>
        </row>
        <row r="421">
          <cell r="C421" t="str">
            <v>NEYVELI TPS-II4</v>
          </cell>
          <cell r="D421">
            <v>210</v>
          </cell>
          <cell r="E421" t="str">
            <v xml:space="preserve"> 25-30 years</v>
          </cell>
          <cell r="F421" t="str">
            <v>Tamil Nadu</v>
          </cell>
          <cell r="G421" t="str">
            <v>CENTRAL SECTOR</v>
          </cell>
          <cell r="H421" t="str">
            <v>2.59</v>
          </cell>
          <cell r="I421" t="str">
            <v>0.81</v>
          </cell>
          <cell r="J421">
            <v>2948.2278000000001</v>
          </cell>
          <cell r="K421" t="str">
            <v>Contracted</v>
          </cell>
        </row>
        <row r="422">
          <cell r="C422" t="str">
            <v>NEYVELI TPS-II1</v>
          </cell>
          <cell r="D422">
            <v>210</v>
          </cell>
          <cell r="E422" t="str">
            <v xml:space="preserve"> 30-35 years</v>
          </cell>
          <cell r="F422" t="str">
            <v>Tamil Nadu</v>
          </cell>
          <cell r="G422" t="str">
            <v>CENTRAL SECTOR</v>
          </cell>
          <cell r="I422" t="str">
            <v>0.81</v>
          </cell>
          <cell r="J422">
            <v>2942.5344</v>
          </cell>
          <cell r="K422" t="str">
            <v>Contracted</v>
          </cell>
        </row>
        <row r="423">
          <cell r="C423" t="str">
            <v>NEYVELI TPS-II7</v>
          </cell>
          <cell r="D423">
            <v>210</v>
          </cell>
          <cell r="E423" t="str">
            <v xml:space="preserve"> 25-30 years</v>
          </cell>
          <cell r="F423" t="str">
            <v>Tamil Nadu</v>
          </cell>
          <cell r="G423" t="str">
            <v>CENTRAL SECTOR</v>
          </cell>
          <cell r="H423" t="str">
            <v>2.59</v>
          </cell>
          <cell r="I423" t="str">
            <v>0.81</v>
          </cell>
          <cell r="J423">
            <v>2921.1185999999998</v>
          </cell>
          <cell r="K423" t="str">
            <v>Contracted</v>
          </cell>
        </row>
        <row r="424">
          <cell r="C424" t="str">
            <v>NEYVELI TPS-II2</v>
          </cell>
          <cell r="D424">
            <v>210</v>
          </cell>
          <cell r="E424" t="str">
            <v xml:space="preserve"> 30-35 years</v>
          </cell>
          <cell r="F424" t="str">
            <v>Tamil Nadu</v>
          </cell>
          <cell r="G424" t="str">
            <v>CENTRAL SECTOR</v>
          </cell>
          <cell r="H424" t="str">
            <v>2.59</v>
          </cell>
          <cell r="I424" t="str">
            <v>0.81</v>
          </cell>
          <cell r="J424">
            <v>2849.60249999999</v>
          </cell>
          <cell r="K424" t="str">
            <v>Contracted</v>
          </cell>
        </row>
        <row r="425">
          <cell r="C425" t="str">
            <v>NEYVELI TPS-II6</v>
          </cell>
          <cell r="D425">
            <v>210</v>
          </cell>
          <cell r="E425" t="str">
            <v xml:space="preserve"> 25-30 years</v>
          </cell>
          <cell r="F425" t="str">
            <v>Tamil Nadu</v>
          </cell>
          <cell r="G425" t="str">
            <v>CENTRAL SECTOR</v>
          </cell>
          <cell r="H425" t="str">
            <v>2.59</v>
          </cell>
          <cell r="I425" t="str">
            <v>0.81</v>
          </cell>
          <cell r="J425">
            <v>2825.3454999999899</v>
          </cell>
          <cell r="K425" t="str">
            <v>Contracted</v>
          </cell>
        </row>
        <row r="426">
          <cell r="C426" t="str">
            <v>NEYVELI TPS-II EXP1</v>
          </cell>
          <cell r="D426">
            <v>250</v>
          </cell>
          <cell r="E426" t="str">
            <v xml:space="preserve"> 5-10 years</v>
          </cell>
          <cell r="F426" t="str">
            <v>Tamil Nadu</v>
          </cell>
          <cell r="G426" t="str">
            <v>CENTRAL SECTOR</v>
          </cell>
          <cell r="J426">
            <v>1823.1499999999901</v>
          </cell>
          <cell r="K426" t="str">
            <v>Contracted</v>
          </cell>
        </row>
        <row r="427">
          <cell r="C427" t="str">
            <v>NEYVELI TPS-II EXP2</v>
          </cell>
          <cell r="D427">
            <v>250</v>
          </cell>
          <cell r="E427" t="str">
            <v xml:space="preserve"> 5-10 years</v>
          </cell>
          <cell r="F427" t="str">
            <v>Tamil Nadu</v>
          </cell>
          <cell r="G427" t="str">
            <v>CENTRAL SECTOR</v>
          </cell>
          <cell r="J427">
            <v>1604.6559999999999</v>
          </cell>
          <cell r="K427" t="str">
            <v>Contracted</v>
          </cell>
        </row>
        <row r="428">
          <cell r="C428" t="str">
            <v>NIGRI TPP2</v>
          </cell>
          <cell r="D428">
            <v>660</v>
          </cell>
          <cell r="E428" t="str">
            <v xml:space="preserve"> 5-10 years</v>
          </cell>
          <cell r="F428" t="str">
            <v>Madhya Pradesh</v>
          </cell>
          <cell r="G428" t="str">
            <v>PVT SECTOR</v>
          </cell>
          <cell r="I428" t="str">
            <v>2.31</v>
          </cell>
          <cell r="J428">
            <v>6838.99999999999</v>
          </cell>
          <cell r="K428" t="str">
            <v>Contracted</v>
          </cell>
        </row>
        <row r="429">
          <cell r="C429" t="str">
            <v>NIGRI TPP1</v>
          </cell>
          <cell r="D429">
            <v>660</v>
          </cell>
          <cell r="E429" t="str">
            <v xml:space="preserve"> 5-10 years</v>
          </cell>
          <cell r="F429" t="str">
            <v>Madhya Pradesh</v>
          </cell>
          <cell r="G429" t="str">
            <v>PVT SECTOR</v>
          </cell>
          <cell r="H429" t="str">
            <v>0.59</v>
          </cell>
          <cell r="I429" t="str">
            <v>2.31</v>
          </cell>
          <cell r="J429">
            <v>6634.73</v>
          </cell>
          <cell r="K429" t="str">
            <v>Contracted</v>
          </cell>
        </row>
        <row r="430">
          <cell r="C430" t="str">
            <v>NIWARI TPP1</v>
          </cell>
          <cell r="D430">
            <v>45</v>
          </cell>
          <cell r="E430" t="str">
            <v xml:space="preserve"> 5-10 years</v>
          </cell>
          <cell r="F430" t="str">
            <v>Madhya Pradesh</v>
          </cell>
          <cell r="G430" t="str">
            <v>PVT SECTOR</v>
          </cell>
          <cell r="J430">
            <v>314.73200000000003</v>
          </cell>
          <cell r="K430" t="str">
            <v>Not contracted</v>
          </cell>
        </row>
        <row r="431">
          <cell r="C431" t="str">
            <v>NIWARI TPP2</v>
          </cell>
          <cell r="D431">
            <v>45</v>
          </cell>
          <cell r="E431" t="str">
            <v xml:space="preserve"> 0-5 years</v>
          </cell>
          <cell r="F431" t="str">
            <v>Madhya Pradesh</v>
          </cell>
          <cell r="G431" t="str">
            <v>PVT SECTOR</v>
          </cell>
          <cell r="J431">
            <v>1.81</v>
          </cell>
          <cell r="K431" t="str">
            <v>Not contracted</v>
          </cell>
        </row>
        <row r="432">
          <cell r="C432" t="str">
            <v>NIWARI TPP2</v>
          </cell>
          <cell r="D432">
            <v>0</v>
          </cell>
          <cell r="E432" t="str">
            <v xml:space="preserve"> 0-5 years</v>
          </cell>
          <cell r="F432" t="str">
            <v>Madhya Pradesh</v>
          </cell>
          <cell r="G432" t="str">
            <v>PVT SECTOR</v>
          </cell>
          <cell r="J432">
            <v>0</v>
          </cell>
          <cell r="K432" t="str">
            <v>Not contracted</v>
          </cell>
        </row>
        <row r="433">
          <cell r="C433" t="str">
            <v>NORTH CHENNAI TPS5</v>
          </cell>
          <cell r="D433">
            <v>600</v>
          </cell>
          <cell r="E433" t="str">
            <v xml:space="preserve"> 5-10 years</v>
          </cell>
          <cell r="F433" t="str">
            <v>Tamil Nadu</v>
          </cell>
          <cell r="G433" t="str">
            <v>STATE SECTOR</v>
          </cell>
          <cell r="H433" t="str">
            <v>3.64</v>
          </cell>
          <cell r="I433" t="str">
            <v>1.02</v>
          </cell>
          <cell r="J433">
            <v>6522.5789999999797</v>
          </cell>
          <cell r="K433" t="str">
            <v>Contracted</v>
          </cell>
        </row>
        <row r="434">
          <cell r="C434" t="str">
            <v>NORTH CHENNAI TPS4</v>
          </cell>
          <cell r="D434">
            <v>600</v>
          </cell>
          <cell r="E434" t="str">
            <v xml:space="preserve"> 5-10 years</v>
          </cell>
          <cell r="F434" t="str">
            <v>Tamil Nadu</v>
          </cell>
          <cell r="G434" t="str">
            <v>STATE SECTOR</v>
          </cell>
          <cell r="H434" t="str">
            <v>3.64</v>
          </cell>
          <cell r="I434" t="str">
            <v>1.02</v>
          </cell>
          <cell r="J434">
            <v>5845.6850000000004</v>
          </cell>
          <cell r="K434" t="str">
            <v>Contracted</v>
          </cell>
        </row>
        <row r="435">
          <cell r="C435" t="str">
            <v>NORTH CHENNAI TPS2</v>
          </cell>
          <cell r="D435">
            <v>210</v>
          </cell>
          <cell r="E435" t="str">
            <v xml:space="preserve"> 5-10 years</v>
          </cell>
          <cell r="F435" t="str">
            <v>Tamil Nadu</v>
          </cell>
          <cell r="G435" t="str">
            <v>STATE SECTOR</v>
          </cell>
          <cell r="H435" t="str">
            <v>3.64</v>
          </cell>
          <cell r="I435" t="str">
            <v>1.02</v>
          </cell>
          <cell r="J435">
            <v>2590.0299999999902</v>
          </cell>
          <cell r="K435" t="str">
            <v>Contracted</v>
          </cell>
        </row>
        <row r="436">
          <cell r="C436" t="str">
            <v>NORTH CHENNAI TPS3</v>
          </cell>
          <cell r="D436">
            <v>210</v>
          </cell>
          <cell r="E436" t="str">
            <v xml:space="preserve"> 20-25 years</v>
          </cell>
          <cell r="F436" t="str">
            <v>Tamil Nadu</v>
          </cell>
          <cell r="G436" t="str">
            <v>STATE SECTOR</v>
          </cell>
          <cell r="H436" t="str">
            <v>3.64</v>
          </cell>
          <cell r="I436" t="str">
            <v>1.02</v>
          </cell>
          <cell r="J436">
            <v>2482.2350000000001</v>
          </cell>
          <cell r="K436" t="str">
            <v>Contracted</v>
          </cell>
        </row>
        <row r="437">
          <cell r="C437" t="str">
            <v>NORTH CHENNAI TPS1</v>
          </cell>
          <cell r="D437">
            <v>210</v>
          </cell>
          <cell r="E437" t="str">
            <v xml:space="preserve"> 25-30 years</v>
          </cell>
          <cell r="F437" t="str">
            <v>Tamil Nadu</v>
          </cell>
          <cell r="G437" t="str">
            <v>STATE SECTOR</v>
          </cell>
          <cell r="H437" t="str">
            <v>3.64</v>
          </cell>
          <cell r="I437" t="str">
            <v>1.02</v>
          </cell>
          <cell r="J437">
            <v>2220.2049999999899</v>
          </cell>
          <cell r="K437" t="str">
            <v>Contracted</v>
          </cell>
        </row>
        <row r="438">
          <cell r="C438" t="str">
            <v>NORTH CHENNAI TPS6</v>
          </cell>
          <cell r="D438">
            <v>0</v>
          </cell>
          <cell r="E438" t="e">
            <v>#N/A</v>
          </cell>
          <cell r="F438" t="str">
            <v>Tamil Nadu</v>
          </cell>
          <cell r="G438" t="str">
            <v>STATE SECTOR</v>
          </cell>
          <cell r="J438">
            <v>0</v>
          </cell>
          <cell r="K438" t="str">
            <v>Not contracted</v>
          </cell>
        </row>
        <row r="439">
          <cell r="C439" t="str">
            <v>NORTH KARANPURA TPP1</v>
          </cell>
          <cell r="D439">
            <v>0</v>
          </cell>
          <cell r="E439" t="e">
            <v>#N/A</v>
          </cell>
          <cell r="F439" t="str">
            <v>Jharkhand</v>
          </cell>
          <cell r="G439" t="str">
            <v>CENTRAL SECTOR</v>
          </cell>
          <cell r="J439">
            <v>0</v>
          </cell>
          <cell r="K439" t="str">
            <v>Not contracted</v>
          </cell>
        </row>
        <row r="440">
          <cell r="C440" t="str">
            <v>NTPL TUTICORIN (JV) TPP1</v>
          </cell>
          <cell r="D440">
            <v>500</v>
          </cell>
          <cell r="E440" t="str">
            <v xml:space="preserve"> 5-10 years</v>
          </cell>
          <cell r="F440" t="str">
            <v>Tamil Nadu</v>
          </cell>
          <cell r="G440" t="str">
            <v>CENTRAL SECTOR</v>
          </cell>
          <cell r="J440">
            <v>5921.6949999999997</v>
          </cell>
          <cell r="K440" t="str">
            <v>Contracted</v>
          </cell>
        </row>
        <row r="441">
          <cell r="C441" t="str">
            <v>NTPL TUTICORIN (JV) TPP2</v>
          </cell>
          <cell r="D441">
            <v>500</v>
          </cell>
          <cell r="E441" t="str">
            <v xml:space="preserve"> 0-5 years</v>
          </cell>
          <cell r="F441" t="str">
            <v>Tamil Nadu</v>
          </cell>
          <cell r="G441" t="str">
            <v>CENTRAL SECTOR</v>
          </cell>
          <cell r="J441">
            <v>4128.8639999999996</v>
          </cell>
          <cell r="K441" t="str">
            <v>Contracted</v>
          </cell>
        </row>
        <row r="442">
          <cell r="C442" t="str">
            <v>OBRA TPS9</v>
          </cell>
          <cell r="D442">
            <v>200</v>
          </cell>
          <cell r="E442" t="str">
            <v xml:space="preserve"> 35-40 years</v>
          </cell>
          <cell r="F442" t="str">
            <v>Uttar Pradesh</v>
          </cell>
          <cell r="G442" t="str">
            <v>STATE SECTOR</v>
          </cell>
          <cell r="H442" t="str">
            <v>2.37</v>
          </cell>
          <cell r="I442" t="str">
            <v>0.67</v>
          </cell>
          <cell r="J442">
            <v>2566.8440000000001</v>
          </cell>
          <cell r="K442" t="str">
            <v>Contracted</v>
          </cell>
        </row>
        <row r="443">
          <cell r="C443" t="str">
            <v>OBRA TPS11</v>
          </cell>
          <cell r="D443">
            <v>200</v>
          </cell>
          <cell r="E443" t="str">
            <v xml:space="preserve"> 40-45 years</v>
          </cell>
          <cell r="F443" t="str">
            <v>Uttar Pradesh</v>
          </cell>
          <cell r="G443" t="str">
            <v>STATE SECTOR</v>
          </cell>
          <cell r="I443" t="str">
            <v>0.67</v>
          </cell>
          <cell r="J443">
            <v>2343.2559999999899</v>
          </cell>
          <cell r="K443" t="str">
            <v>Contracted</v>
          </cell>
        </row>
        <row r="444">
          <cell r="C444" t="str">
            <v>OBRA TPS10</v>
          </cell>
          <cell r="D444">
            <v>200</v>
          </cell>
          <cell r="E444" t="str">
            <v xml:space="preserve"> 40-45 years</v>
          </cell>
          <cell r="F444" t="str">
            <v>Uttar Pradesh</v>
          </cell>
          <cell r="G444" t="str">
            <v>STATE SECTOR</v>
          </cell>
          <cell r="H444" t="str">
            <v>2.37</v>
          </cell>
          <cell r="I444" t="str">
            <v>0.67</v>
          </cell>
          <cell r="J444">
            <v>2182.4250000000002</v>
          </cell>
          <cell r="K444" t="str">
            <v>Contracted</v>
          </cell>
        </row>
        <row r="445">
          <cell r="C445" t="str">
            <v>OBRA TPS12</v>
          </cell>
          <cell r="D445">
            <v>200</v>
          </cell>
          <cell r="E445" t="str">
            <v xml:space="preserve"> 35-40 years</v>
          </cell>
          <cell r="F445" t="str">
            <v>Uttar Pradesh</v>
          </cell>
          <cell r="G445" t="str">
            <v>STATE SECTOR</v>
          </cell>
          <cell r="H445" t="str">
            <v>2.37</v>
          </cell>
          <cell r="I445" t="str">
            <v>0.67</v>
          </cell>
          <cell r="J445">
            <v>88.34</v>
          </cell>
          <cell r="K445" t="str">
            <v>Contracted</v>
          </cell>
        </row>
        <row r="446">
          <cell r="C446" t="str">
            <v>OBRA TPS13</v>
          </cell>
          <cell r="D446">
            <v>200</v>
          </cell>
          <cell r="E446" t="str">
            <v xml:space="preserve"> 35-40 years</v>
          </cell>
          <cell r="F446" t="str">
            <v>Uttar Pradesh</v>
          </cell>
          <cell r="G446" t="str">
            <v>STATE SECTOR</v>
          </cell>
          <cell r="H446" t="str">
            <v>2.37</v>
          </cell>
          <cell r="I446" t="str">
            <v>0.67</v>
          </cell>
          <cell r="J446">
            <v>0</v>
          </cell>
          <cell r="K446" t="str">
            <v>Contracted</v>
          </cell>
        </row>
        <row r="447">
          <cell r="C447" t="str">
            <v>OBRA TPS8</v>
          </cell>
          <cell r="D447">
            <v>94</v>
          </cell>
          <cell r="E447" t="str">
            <v xml:space="preserve"> 40-45 years</v>
          </cell>
          <cell r="F447" t="str">
            <v>Uttar Pradesh</v>
          </cell>
          <cell r="G447" t="str">
            <v>STATE SECTOR</v>
          </cell>
          <cell r="H447" t="str">
            <v>2.37</v>
          </cell>
          <cell r="I447" t="str">
            <v>0.67</v>
          </cell>
          <cell r="J447">
            <v>0</v>
          </cell>
          <cell r="K447" t="str">
            <v>Contracted</v>
          </cell>
        </row>
        <row r="448">
          <cell r="C448" t="str">
            <v>OBRA TPS8</v>
          </cell>
          <cell r="D448">
            <v>0</v>
          </cell>
          <cell r="E448" t="str">
            <v xml:space="preserve"> 40-45 years</v>
          </cell>
          <cell r="F448" t="str">
            <v>Uttar Pradesh</v>
          </cell>
          <cell r="G448" t="str">
            <v>STATE SECTOR</v>
          </cell>
          <cell r="H448" t="str">
            <v>2.37</v>
          </cell>
          <cell r="I448" t="str">
            <v>0.67</v>
          </cell>
          <cell r="J448">
            <v>0</v>
          </cell>
          <cell r="K448" t="str">
            <v>Contracted</v>
          </cell>
        </row>
        <row r="449">
          <cell r="C449" t="str">
            <v>OBRA TPS7</v>
          </cell>
          <cell r="D449">
            <v>94</v>
          </cell>
          <cell r="E449" t="str">
            <v xml:space="preserve"> 45+ years</v>
          </cell>
          <cell r="F449" t="str">
            <v>Uttar Pradesh</v>
          </cell>
          <cell r="G449" t="str">
            <v>STATE SECTOR</v>
          </cell>
          <cell r="J449">
            <v>0</v>
          </cell>
          <cell r="K449" t="str">
            <v>Contracted</v>
          </cell>
        </row>
        <row r="450">
          <cell r="C450" t="str">
            <v>OP JINDAL TPS4</v>
          </cell>
          <cell r="D450">
            <v>250</v>
          </cell>
          <cell r="E450" t="str">
            <v xml:space="preserve"> 10-15 years</v>
          </cell>
          <cell r="F450" t="str">
            <v>Chhattisgarh</v>
          </cell>
          <cell r="G450" t="str">
            <v>PVT SECTOR</v>
          </cell>
          <cell r="I450" t="str">
            <v>0.00</v>
          </cell>
          <cell r="J450">
            <v>2497.4839999999899</v>
          </cell>
          <cell r="K450" t="str">
            <v>Contracted</v>
          </cell>
        </row>
        <row r="451">
          <cell r="C451" t="str">
            <v>OP JINDAL TPS3</v>
          </cell>
          <cell r="D451">
            <v>250</v>
          </cell>
          <cell r="E451" t="str">
            <v xml:space="preserve"> 10-15 years</v>
          </cell>
          <cell r="F451" t="str">
            <v>Chhattisgarh</v>
          </cell>
          <cell r="G451" t="str">
            <v>PVT SECTOR</v>
          </cell>
          <cell r="I451" t="str">
            <v>0.00</v>
          </cell>
          <cell r="J451">
            <v>2301.6019999999899</v>
          </cell>
          <cell r="K451" t="str">
            <v>Contracted</v>
          </cell>
        </row>
        <row r="452">
          <cell r="C452" t="str">
            <v>OP JINDAL TPS1</v>
          </cell>
          <cell r="D452">
            <v>250</v>
          </cell>
          <cell r="E452" t="str">
            <v xml:space="preserve"> 10-15 years</v>
          </cell>
          <cell r="F452" t="str">
            <v>Chhattisgarh</v>
          </cell>
          <cell r="G452" t="str">
            <v>PVT SECTOR</v>
          </cell>
          <cell r="I452" t="str">
            <v>0.00</v>
          </cell>
          <cell r="J452">
            <v>722.33299999999997</v>
          </cell>
          <cell r="K452" t="str">
            <v>Contracted</v>
          </cell>
        </row>
        <row r="453">
          <cell r="C453" t="str">
            <v>OP JINDAL TPS2</v>
          </cell>
          <cell r="D453">
            <v>250</v>
          </cell>
          <cell r="E453" t="str">
            <v xml:space="preserve"> 10-15 years</v>
          </cell>
          <cell r="F453" t="str">
            <v>Chhattisgarh</v>
          </cell>
          <cell r="G453" t="str">
            <v>PVT SECTOR</v>
          </cell>
          <cell r="I453" t="str">
            <v>0.00</v>
          </cell>
          <cell r="J453">
            <v>118.52</v>
          </cell>
          <cell r="K453" t="str">
            <v>Contracted</v>
          </cell>
        </row>
        <row r="454">
          <cell r="C454" t="str">
            <v>OP JINDAL TPS22</v>
          </cell>
          <cell r="D454">
            <v>600</v>
          </cell>
          <cell r="E454" t="str">
            <v xml:space="preserve"> 5-10 years</v>
          </cell>
          <cell r="F454" t="str">
            <v>Chhattisgarh</v>
          </cell>
          <cell r="G454" t="str">
            <v>PVT SECTOR</v>
          </cell>
          <cell r="J454">
            <v>5643.674</v>
          </cell>
          <cell r="K454" t="str">
            <v>Contracted</v>
          </cell>
        </row>
        <row r="455">
          <cell r="C455" t="str">
            <v>OP JINDAL TPS23</v>
          </cell>
          <cell r="D455">
            <v>600</v>
          </cell>
          <cell r="E455" t="str">
            <v xml:space="preserve"> 5-10 years</v>
          </cell>
          <cell r="F455" t="str">
            <v>Chhattisgarh</v>
          </cell>
          <cell r="G455" t="str">
            <v>PVT SECTOR</v>
          </cell>
          <cell r="J455">
            <v>3996.4769999999999</v>
          </cell>
          <cell r="K455" t="str">
            <v>Contracted</v>
          </cell>
        </row>
        <row r="456">
          <cell r="C456" t="str">
            <v>OP JINDAL TPS24</v>
          </cell>
          <cell r="D456">
            <v>600</v>
          </cell>
          <cell r="E456" t="str">
            <v xml:space="preserve"> 5-10 years</v>
          </cell>
          <cell r="F456" t="str">
            <v>Chhattisgarh</v>
          </cell>
          <cell r="G456" t="str">
            <v>PVT SECTOR</v>
          </cell>
          <cell r="J456">
            <v>2894.4</v>
          </cell>
          <cell r="K456" t="str">
            <v>Contracted</v>
          </cell>
        </row>
        <row r="457">
          <cell r="C457" t="str">
            <v>OP JINDAL TPS21</v>
          </cell>
          <cell r="D457">
            <v>600</v>
          </cell>
          <cell r="E457" t="str">
            <v xml:space="preserve"> 5-10 years</v>
          </cell>
          <cell r="F457" t="str">
            <v>Chhattisgarh</v>
          </cell>
          <cell r="G457" t="str">
            <v>PVT SECTOR</v>
          </cell>
          <cell r="J457">
            <v>1408.1409999999901</v>
          </cell>
          <cell r="K457" t="str">
            <v>Contracted</v>
          </cell>
        </row>
        <row r="458">
          <cell r="C458" t="str">
            <v>PAINAMPURAM TPP2</v>
          </cell>
          <cell r="D458">
            <v>660</v>
          </cell>
          <cell r="E458" t="str">
            <v xml:space="preserve"> 0-5 years</v>
          </cell>
          <cell r="F458" t="str">
            <v>Andhra Pradesh</v>
          </cell>
          <cell r="G458" t="str">
            <v>PVT SECTOR</v>
          </cell>
          <cell r="J458">
            <v>10035.8399999999</v>
          </cell>
          <cell r="K458" t="str">
            <v>Contracted</v>
          </cell>
        </row>
        <row r="459">
          <cell r="C459" t="str">
            <v>PAINAMPURAM TPP1</v>
          </cell>
          <cell r="D459">
            <v>660</v>
          </cell>
          <cell r="E459" t="str">
            <v xml:space="preserve"> 5-10 years</v>
          </cell>
          <cell r="F459" t="str">
            <v>Andhra Pradesh</v>
          </cell>
          <cell r="G459" t="str">
            <v>PVT SECTOR</v>
          </cell>
          <cell r="J459">
            <v>8160.07</v>
          </cell>
          <cell r="K459" t="str">
            <v>Contracted</v>
          </cell>
        </row>
        <row r="460">
          <cell r="C460" t="str">
            <v>PANIPAT TPS8</v>
          </cell>
          <cell r="D460">
            <v>250</v>
          </cell>
          <cell r="E460" t="str">
            <v xml:space="preserve"> 15-20 years</v>
          </cell>
          <cell r="F460" t="str">
            <v>Haryana</v>
          </cell>
          <cell r="G460" t="str">
            <v>STATE SECTOR</v>
          </cell>
          <cell r="H460" t="str">
            <v>3.89</v>
          </cell>
          <cell r="I460" t="str">
            <v>1.23</v>
          </cell>
          <cell r="J460">
            <v>2657.6699999999901</v>
          </cell>
          <cell r="K460" t="str">
            <v>Contracted</v>
          </cell>
        </row>
        <row r="461">
          <cell r="C461" t="str">
            <v>PANIPAT TPS7</v>
          </cell>
          <cell r="D461">
            <v>250</v>
          </cell>
          <cell r="E461" t="str">
            <v xml:space="preserve"> 15-20 years</v>
          </cell>
          <cell r="F461" t="str">
            <v>Haryana</v>
          </cell>
          <cell r="G461" t="str">
            <v>STATE SECTOR</v>
          </cell>
          <cell r="H461" t="str">
            <v>3.89</v>
          </cell>
          <cell r="I461" t="str">
            <v>1.23</v>
          </cell>
          <cell r="J461">
            <v>2189.8180000000002</v>
          </cell>
          <cell r="K461" t="str">
            <v>Contracted</v>
          </cell>
        </row>
        <row r="462">
          <cell r="C462" t="str">
            <v>PANIPAT TPS6</v>
          </cell>
          <cell r="D462">
            <v>210</v>
          </cell>
          <cell r="E462" t="str">
            <v xml:space="preserve"> 15-20 years</v>
          </cell>
          <cell r="F462" t="str">
            <v>Haryana</v>
          </cell>
          <cell r="G462" t="str">
            <v>STATE SECTOR</v>
          </cell>
          <cell r="I462" t="str">
            <v>1.23</v>
          </cell>
          <cell r="J462">
            <v>322.798</v>
          </cell>
          <cell r="K462" t="str">
            <v>Contracted</v>
          </cell>
        </row>
        <row r="463">
          <cell r="C463" t="str">
            <v>PANIPAT TPS5</v>
          </cell>
          <cell r="D463">
            <v>210</v>
          </cell>
          <cell r="E463" t="str">
            <v xml:space="preserve"> 30-35 years</v>
          </cell>
          <cell r="F463" t="str">
            <v>Haryana</v>
          </cell>
          <cell r="G463" t="str">
            <v>STATE SECTOR</v>
          </cell>
          <cell r="I463" t="str">
            <v>1.23</v>
          </cell>
          <cell r="J463">
            <v>176.76899999999901</v>
          </cell>
          <cell r="K463" t="str">
            <v>Contracted</v>
          </cell>
        </row>
        <row r="464">
          <cell r="C464" t="str">
            <v>PARAS TPS4</v>
          </cell>
          <cell r="D464">
            <v>250</v>
          </cell>
          <cell r="E464" t="str">
            <v xml:space="preserve"> 10-15 years</v>
          </cell>
          <cell r="F464" t="str">
            <v>Maharashtra</v>
          </cell>
          <cell r="G464" t="str">
            <v>STATE SECTOR</v>
          </cell>
          <cell r="H464" t="str">
            <v>2.24</v>
          </cell>
          <cell r="I464" t="str">
            <v>1.36</v>
          </cell>
          <cell r="J464">
            <v>2991.51999999999</v>
          </cell>
          <cell r="K464" t="str">
            <v>Contracted</v>
          </cell>
        </row>
        <row r="465">
          <cell r="C465" t="str">
            <v>PARAS TPS3</v>
          </cell>
          <cell r="D465">
            <v>250</v>
          </cell>
          <cell r="E465" t="str">
            <v xml:space="preserve"> 10-15 years</v>
          </cell>
          <cell r="F465" t="str">
            <v>Maharashtra</v>
          </cell>
          <cell r="G465" t="str">
            <v>STATE SECTOR</v>
          </cell>
          <cell r="I465" t="str">
            <v>1.36</v>
          </cell>
          <cell r="J465">
            <v>2272.9869999999901</v>
          </cell>
          <cell r="K465" t="str">
            <v>Contracted</v>
          </cell>
        </row>
        <row r="466">
          <cell r="C466" t="str">
            <v>PARICHHA TPS6</v>
          </cell>
          <cell r="D466">
            <v>250</v>
          </cell>
          <cell r="E466" t="str">
            <v xml:space="preserve"> 5-10 years</v>
          </cell>
          <cell r="F466" t="str">
            <v>Uttar Pradesh</v>
          </cell>
          <cell r="G466" t="str">
            <v>STATE SECTOR</v>
          </cell>
          <cell r="I466" t="str">
            <v>1.00</v>
          </cell>
          <cell r="J466">
            <v>2640.386</v>
          </cell>
          <cell r="K466" t="str">
            <v>Contracted</v>
          </cell>
        </row>
        <row r="467">
          <cell r="C467" t="str">
            <v>PARICHHA TPS4</v>
          </cell>
          <cell r="D467">
            <v>210</v>
          </cell>
          <cell r="E467" t="str">
            <v xml:space="preserve"> 10-15 years</v>
          </cell>
          <cell r="F467" t="str">
            <v>Uttar Pradesh</v>
          </cell>
          <cell r="G467" t="str">
            <v>STATE SECTOR</v>
          </cell>
          <cell r="H467" t="str">
            <v>3.90</v>
          </cell>
          <cell r="I467" t="str">
            <v>1.00</v>
          </cell>
          <cell r="J467">
            <v>2118.36</v>
          </cell>
          <cell r="K467" t="str">
            <v>Contracted</v>
          </cell>
        </row>
        <row r="468">
          <cell r="C468" t="str">
            <v>PARICHHA TPS3</v>
          </cell>
          <cell r="D468">
            <v>210</v>
          </cell>
          <cell r="E468" t="str">
            <v xml:space="preserve"> 10-15 years</v>
          </cell>
          <cell r="F468" t="str">
            <v>Uttar Pradesh</v>
          </cell>
          <cell r="G468" t="str">
            <v>STATE SECTOR</v>
          </cell>
          <cell r="I468" t="str">
            <v>1.00</v>
          </cell>
          <cell r="J468">
            <v>2052.52</v>
          </cell>
          <cell r="K468" t="str">
            <v>Contracted</v>
          </cell>
        </row>
        <row r="469">
          <cell r="C469" t="str">
            <v>PARICHHA TPS5</v>
          </cell>
          <cell r="D469">
            <v>250</v>
          </cell>
          <cell r="E469" t="str">
            <v xml:space="preserve"> 5-10 years</v>
          </cell>
          <cell r="F469" t="str">
            <v>Uttar Pradesh</v>
          </cell>
          <cell r="G469" t="str">
            <v>STATE SECTOR</v>
          </cell>
          <cell r="H469" t="str">
            <v>3.90</v>
          </cell>
          <cell r="I469" t="str">
            <v>1.00</v>
          </cell>
          <cell r="J469">
            <v>1594.73</v>
          </cell>
          <cell r="K469" t="str">
            <v>Contracted</v>
          </cell>
        </row>
        <row r="470">
          <cell r="C470" t="str">
            <v>PARICHHA TPS2</v>
          </cell>
          <cell r="D470">
            <v>110</v>
          </cell>
          <cell r="E470" t="str">
            <v xml:space="preserve"> 35-40 years</v>
          </cell>
          <cell r="F470" t="str">
            <v>Uttar Pradesh</v>
          </cell>
          <cell r="G470" t="str">
            <v>STATE SECTOR</v>
          </cell>
          <cell r="I470" t="str">
            <v>1.00</v>
          </cell>
          <cell r="J470">
            <v>420.219999999999</v>
          </cell>
          <cell r="K470" t="str">
            <v>Contracted</v>
          </cell>
        </row>
        <row r="471">
          <cell r="C471" t="str">
            <v>PARICHHA TPS1</v>
          </cell>
          <cell r="D471">
            <v>110</v>
          </cell>
          <cell r="E471" t="str">
            <v xml:space="preserve"> 35-40 years</v>
          </cell>
          <cell r="F471" t="str">
            <v>Uttar Pradesh</v>
          </cell>
          <cell r="G471" t="str">
            <v>STATE SECTOR</v>
          </cell>
          <cell r="J471">
            <v>0</v>
          </cell>
          <cell r="K471" t="str">
            <v>Contracted</v>
          </cell>
        </row>
        <row r="472">
          <cell r="C472" t="str">
            <v>PARLI TPS8</v>
          </cell>
          <cell r="D472">
            <v>250</v>
          </cell>
          <cell r="E472" t="str">
            <v xml:space="preserve"> 0-5 years</v>
          </cell>
          <cell r="F472" t="str">
            <v>Maharashtra</v>
          </cell>
          <cell r="G472" t="str">
            <v>STATE SECTOR</v>
          </cell>
          <cell r="H472" t="str">
            <v>3.50</v>
          </cell>
          <cell r="I472" t="str">
            <v>1.33</v>
          </cell>
          <cell r="J472">
            <v>2148.9299999999998</v>
          </cell>
          <cell r="K472" t="str">
            <v>Contracted</v>
          </cell>
        </row>
        <row r="473">
          <cell r="C473" t="str">
            <v>PARLI TPS7</v>
          </cell>
          <cell r="D473">
            <v>250</v>
          </cell>
          <cell r="E473" t="str">
            <v xml:space="preserve"> 10-15 years</v>
          </cell>
          <cell r="F473" t="str">
            <v>Maharashtra</v>
          </cell>
          <cell r="G473" t="str">
            <v>STATE SECTOR</v>
          </cell>
          <cell r="H473" t="str">
            <v>3.50</v>
          </cell>
          <cell r="I473" t="str">
            <v>1.33</v>
          </cell>
          <cell r="J473">
            <v>1630.1199999999899</v>
          </cell>
          <cell r="K473" t="str">
            <v>Contracted</v>
          </cell>
        </row>
        <row r="474">
          <cell r="C474" t="str">
            <v>PARLI TPS6</v>
          </cell>
          <cell r="D474">
            <v>250</v>
          </cell>
          <cell r="E474" t="str">
            <v xml:space="preserve"> 10-15 years</v>
          </cell>
          <cell r="F474" t="str">
            <v>Maharashtra</v>
          </cell>
          <cell r="G474" t="str">
            <v>STATE SECTOR</v>
          </cell>
          <cell r="H474" t="str">
            <v>3.50</v>
          </cell>
          <cell r="I474" t="str">
            <v>1.33</v>
          </cell>
          <cell r="J474">
            <v>1435.8599999999899</v>
          </cell>
          <cell r="K474" t="str">
            <v>Contracted</v>
          </cell>
        </row>
        <row r="475">
          <cell r="C475" t="str">
            <v>PARLI TPS4</v>
          </cell>
          <cell r="D475">
            <v>0</v>
          </cell>
          <cell r="E475" t="str">
            <v xml:space="preserve"> 35-40 years</v>
          </cell>
          <cell r="F475" t="str">
            <v>Maharashtra</v>
          </cell>
          <cell r="G475" t="str">
            <v>STATE SECTOR</v>
          </cell>
          <cell r="J475">
            <v>0</v>
          </cell>
          <cell r="K475" t="str">
            <v>Not contracted</v>
          </cell>
        </row>
        <row r="476">
          <cell r="C476" t="str">
            <v>PARLI TPS4</v>
          </cell>
          <cell r="D476">
            <v>210</v>
          </cell>
          <cell r="E476" t="str">
            <v xml:space="preserve"> 35-40 years</v>
          </cell>
          <cell r="F476" t="str">
            <v>Maharashtra</v>
          </cell>
          <cell r="G476" t="str">
            <v>STATE SECTOR</v>
          </cell>
          <cell r="J476">
            <v>0</v>
          </cell>
          <cell r="K476" t="str">
            <v>Not contracted</v>
          </cell>
        </row>
        <row r="477">
          <cell r="C477" t="str">
            <v>PARLI TPS5</v>
          </cell>
          <cell r="D477">
            <v>0</v>
          </cell>
          <cell r="E477" t="str">
            <v xml:space="preserve"> 30-35 years</v>
          </cell>
          <cell r="F477" t="str">
            <v>Maharashtra</v>
          </cell>
          <cell r="G477" t="str">
            <v>STATE SECTOR</v>
          </cell>
          <cell r="J477">
            <v>0</v>
          </cell>
          <cell r="K477" t="str">
            <v>Not contracted</v>
          </cell>
        </row>
        <row r="478">
          <cell r="C478" t="str">
            <v>PARLI TPS5</v>
          </cell>
          <cell r="D478">
            <v>210</v>
          </cell>
          <cell r="E478" t="str">
            <v xml:space="preserve"> 30-35 years</v>
          </cell>
          <cell r="F478" t="str">
            <v>Maharashtra</v>
          </cell>
          <cell r="G478" t="str">
            <v>STATE SECTOR</v>
          </cell>
          <cell r="J478">
            <v>0</v>
          </cell>
          <cell r="K478" t="str">
            <v>Not contracted</v>
          </cell>
        </row>
        <row r="479">
          <cell r="C479" t="str">
            <v>PATHADI STAGE II1</v>
          </cell>
          <cell r="D479">
            <v>0</v>
          </cell>
          <cell r="E479" t="e">
            <v>#N/A</v>
          </cell>
          <cell r="F479" t="str">
            <v>Chhattisgarh</v>
          </cell>
          <cell r="G479" t="str">
            <v>PVT SECTOR</v>
          </cell>
          <cell r="J479">
            <v>0</v>
          </cell>
          <cell r="K479" t="str">
            <v>Not contracted</v>
          </cell>
        </row>
        <row r="480">
          <cell r="C480" t="str">
            <v>PATHADI TPS1</v>
          </cell>
          <cell r="D480">
            <v>300</v>
          </cell>
          <cell r="E480" t="str">
            <v xml:space="preserve"> 10-15 years</v>
          </cell>
          <cell r="F480" t="str">
            <v>Chhattisgarh</v>
          </cell>
          <cell r="G480" t="str">
            <v>PVT SECTOR</v>
          </cell>
          <cell r="H480" t="str">
            <v>1.75</v>
          </cell>
          <cell r="I480" t="str">
            <v>1.20</v>
          </cell>
          <cell r="J480">
            <v>4011.6099999999901</v>
          </cell>
          <cell r="K480" t="str">
            <v>Contracted</v>
          </cell>
        </row>
        <row r="481">
          <cell r="C481" t="str">
            <v>PATHADI TPS2</v>
          </cell>
          <cell r="D481">
            <v>300</v>
          </cell>
          <cell r="E481" t="str">
            <v xml:space="preserve"> 10-15 years</v>
          </cell>
          <cell r="F481" t="str">
            <v>Chhattisgarh</v>
          </cell>
          <cell r="G481" t="str">
            <v>PVT SECTOR</v>
          </cell>
          <cell r="H481" t="str">
            <v>1.75</v>
          </cell>
          <cell r="I481" t="str">
            <v>1.20</v>
          </cell>
          <cell r="J481">
            <v>3626.4857999999799</v>
          </cell>
          <cell r="K481" t="str">
            <v>Contracted</v>
          </cell>
        </row>
        <row r="482">
          <cell r="C482" t="str">
            <v>RAGHUNATHPUR TPP2</v>
          </cell>
          <cell r="D482">
            <v>600</v>
          </cell>
          <cell r="E482" t="str">
            <v xml:space="preserve"> 0-5 years</v>
          </cell>
          <cell r="F482" t="str">
            <v>West Bengal</v>
          </cell>
          <cell r="G482" t="str">
            <v>CENTRAL SECTOR</v>
          </cell>
          <cell r="H482" t="str">
            <v>2.01</v>
          </cell>
          <cell r="I482" t="str">
            <v>1.44</v>
          </cell>
          <cell r="J482">
            <v>4728.9521999999897</v>
          </cell>
          <cell r="K482" t="str">
            <v>Contracted</v>
          </cell>
        </row>
        <row r="483">
          <cell r="C483" t="str">
            <v>RAGHUNATHPUR TPP1</v>
          </cell>
          <cell r="D483">
            <v>600</v>
          </cell>
          <cell r="E483" t="str">
            <v xml:space="preserve"> 5-10 years</v>
          </cell>
          <cell r="F483" t="str">
            <v>West Bengal</v>
          </cell>
          <cell r="G483" t="str">
            <v>CENTRAL SECTOR</v>
          </cell>
          <cell r="H483" t="str">
            <v>2.01</v>
          </cell>
          <cell r="I483" t="str">
            <v>1.44</v>
          </cell>
          <cell r="J483">
            <v>3390.1107000000002</v>
          </cell>
          <cell r="K483" t="str">
            <v>Contracted</v>
          </cell>
        </row>
        <row r="484">
          <cell r="C484" t="str">
            <v>RAICHUR TPS8</v>
          </cell>
          <cell r="D484">
            <v>250</v>
          </cell>
          <cell r="E484" t="str">
            <v xml:space="preserve"> 5-10 years</v>
          </cell>
          <cell r="F484" t="str">
            <v>Karnataka</v>
          </cell>
          <cell r="G484" t="str">
            <v>STATE SECTOR</v>
          </cell>
          <cell r="H484" t="str">
            <v>3.96</v>
          </cell>
          <cell r="I484" t="str">
            <v>1.39</v>
          </cell>
          <cell r="J484">
            <v>2796.3779999999902</v>
          </cell>
          <cell r="K484" t="str">
            <v>Contracted</v>
          </cell>
        </row>
        <row r="485">
          <cell r="C485" t="str">
            <v>RAICHUR TPS4</v>
          </cell>
          <cell r="D485">
            <v>210</v>
          </cell>
          <cell r="E485" t="str">
            <v xml:space="preserve"> 25-30 years</v>
          </cell>
          <cell r="F485" t="str">
            <v>Karnataka</v>
          </cell>
          <cell r="G485" t="str">
            <v>STATE SECTOR</v>
          </cell>
          <cell r="H485" t="str">
            <v>3.96</v>
          </cell>
          <cell r="I485" t="str">
            <v>1.39</v>
          </cell>
          <cell r="J485">
            <v>2614.84</v>
          </cell>
          <cell r="K485" t="str">
            <v>Contracted</v>
          </cell>
        </row>
        <row r="486">
          <cell r="C486" t="str">
            <v>RAICHUR TPS5</v>
          </cell>
          <cell r="D486">
            <v>210</v>
          </cell>
          <cell r="E486" t="str">
            <v xml:space="preserve"> 20-25 years</v>
          </cell>
          <cell r="F486" t="str">
            <v>Karnataka</v>
          </cell>
          <cell r="G486" t="str">
            <v>STATE SECTOR</v>
          </cell>
          <cell r="H486" t="str">
            <v>3.96</v>
          </cell>
          <cell r="I486" t="str">
            <v>1.39</v>
          </cell>
          <cell r="J486">
            <v>2558.866</v>
          </cell>
          <cell r="K486" t="str">
            <v>Contracted</v>
          </cell>
        </row>
        <row r="487">
          <cell r="C487" t="str">
            <v>RAICHUR TPS6</v>
          </cell>
          <cell r="D487">
            <v>210</v>
          </cell>
          <cell r="E487" t="str">
            <v xml:space="preserve"> 20-25 years</v>
          </cell>
          <cell r="F487" t="str">
            <v>Karnataka</v>
          </cell>
          <cell r="G487" t="str">
            <v>STATE SECTOR</v>
          </cell>
          <cell r="I487" t="str">
            <v>1.39</v>
          </cell>
          <cell r="J487">
            <v>2065.3499999999899</v>
          </cell>
          <cell r="K487" t="str">
            <v>Contracted</v>
          </cell>
        </row>
        <row r="488">
          <cell r="C488" t="str">
            <v>RAICHUR TPS2</v>
          </cell>
          <cell r="D488">
            <v>210</v>
          </cell>
          <cell r="E488" t="str">
            <v xml:space="preserve"> 30-35 years</v>
          </cell>
          <cell r="F488" t="str">
            <v>Karnataka</v>
          </cell>
          <cell r="G488" t="str">
            <v>STATE SECTOR</v>
          </cell>
          <cell r="H488" t="str">
            <v>3.96</v>
          </cell>
          <cell r="I488" t="str">
            <v>1.39</v>
          </cell>
          <cell r="J488">
            <v>1959.492</v>
          </cell>
          <cell r="K488" t="str">
            <v>Contracted</v>
          </cell>
        </row>
        <row r="489">
          <cell r="C489" t="str">
            <v>RAICHUR TPS1</v>
          </cell>
          <cell r="D489">
            <v>210</v>
          </cell>
          <cell r="E489" t="str">
            <v xml:space="preserve"> 35-40 years</v>
          </cell>
          <cell r="F489" t="str">
            <v>Karnataka</v>
          </cell>
          <cell r="G489" t="str">
            <v>STATE SECTOR</v>
          </cell>
          <cell r="H489" t="str">
            <v>3.96</v>
          </cell>
          <cell r="I489" t="str">
            <v>1.39</v>
          </cell>
          <cell r="J489">
            <v>1845.93299999999</v>
          </cell>
          <cell r="K489" t="str">
            <v>Contracted</v>
          </cell>
        </row>
        <row r="490">
          <cell r="C490" t="str">
            <v>RAICHUR TPS3</v>
          </cell>
          <cell r="D490">
            <v>210</v>
          </cell>
          <cell r="E490" t="str">
            <v xml:space="preserve"> 25-30 years</v>
          </cell>
          <cell r="F490" t="str">
            <v>Karnataka</v>
          </cell>
          <cell r="G490" t="str">
            <v>STATE SECTOR</v>
          </cell>
          <cell r="I490" t="str">
            <v>1.39</v>
          </cell>
          <cell r="J490">
            <v>1758.8519999999901</v>
          </cell>
          <cell r="K490" t="str">
            <v>Contracted</v>
          </cell>
        </row>
        <row r="491">
          <cell r="C491" t="str">
            <v>RAICHUR TPS7</v>
          </cell>
          <cell r="D491">
            <v>210</v>
          </cell>
          <cell r="E491" t="str">
            <v xml:space="preserve"> 15-20 years</v>
          </cell>
          <cell r="F491" t="str">
            <v>Karnataka</v>
          </cell>
          <cell r="G491" t="str">
            <v>STATE SECTOR</v>
          </cell>
          <cell r="H491" t="str">
            <v>3.96</v>
          </cell>
          <cell r="I491" t="str">
            <v>1.39</v>
          </cell>
          <cell r="J491">
            <v>1494.04</v>
          </cell>
          <cell r="K491" t="str">
            <v>Contracted</v>
          </cell>
        </row>
        <row r="492">
          <cell r="C492" t="str">
            <v>RAIKHEDA TPP1</v>
          </cell>
          <cell r="D492">
            <v>685</v>
          </cell>
          <cell r="E492" t="str">
            <v xml:space="preserve"> 5-10 years</v>
          </cell>
          <cell r="F492" t="str">
            <v>Chhattisgarh</v>
          </cell>
          <cell r="G492" t="str">
            <v>PVT SECTOR</v>
          </cell>
          <cell r="J492">
            <v>6031.1789999999901</v>
          </cell>
          <cell r="K492" t="str">
            <v>Not contracted</v>
          </cell>
        </row>
        <row r="493">
          <cell r="C493" t="str">
            <v>RAIKHEDA TPP2</v>
          </cell>
          <cell r="D493">
            <v>685</v>
          </cell>
          <cell r="E493" t="str">
            <v xml:space="preserve"> 0-5 years</v>
          </cell>
          <cell r="F493" t="str">
            <v>Chhattisgarh</v>
          </cell>
          <cell r="G493" t="str">
            <v>PVT SECTOR</v>
          </cell>
          <cell r="J493">
            <v>2521.0299999999902</v>
          </cell>
          <cell r="K493" t="str">
            <v>Not contracted</v>
          </cell>
        </row>
        <row r="494">
          <cell r="C494" t="str">
            <v>RAJGHAT TPS1</v>
          </cell>
          <cell r="D494">
            <v>0</v>
          </cell>
          <cell r="E494" t="str">
            <v xml:space="preserve"> 30-35 years</v>
          </cell>
          <cell r="F494" t="str">
            <v>Delhi</v>
          </cell>
          <cell r="G494" t="str">
            <v>STATE SECTOR</v>
          </cell>
          <cell r="J494">
            <v>0</v>
          </cell>
          <cell r="K494" t="str">
            <v>Not contracted</v>
          </cell>
        </row>
        <row r="495">
          <cell r="C495" t="str">
            <v>RAJGHAT TPS1</v>
          </cell>
          <cell r="D495">
            <v>67.5</v>
          </cell>
          <cell r="E495" t="str">
            <v xml:space="preserve"> 30-35 years</v>
          </cell>
          <cell r="F495" t="str">
            <v>Delhi</v>
          </cell>
          <cell r="G495" t="str">
            <v>STATE SECTOR</v>
          </cell>
          <cell r="J495">
            <v>0</v>
          </cell>
          <cell r="K495" t="str">
            <v>Not contracted</v>
          </cell>
        </row>
        <row r="496">
          <cell r="C496" t="str">
            <v>RAJGHAT TPS2</v>
          </cell>
          <cell r="D496">
            <v>0</v>
          </cell>
          <cell r="E496" t="str">
            <v xml:space="preserve"> 30-35 years</v>
          </cell>
          <cell r="F496" t="str">
            <v>Delhi</v>
          </cell>
          <cell r="G496" t="str">
            <v>STATE SECTOR</v>
          </cell>
          <cell r="J496">
            <v>0</v>
          </cell>
          <cell r="K496" t="str">
            <v>Not contracted</v>
          </cell>
        </row>
        <row r="497">
          <cell r="C497" t="str">
            <v>RAJGHAT TPS2</v>
          </cell>
          <cell r="D497">
            <v>67.5</v>
          </cell>
          <cell r="E497" t="str">
            <v xml:space="preserve"> 30-35 years</v>
          </cell>
          <cell r="F497" t="str">
            <v>Delhi</v>
          </cell>
          <cell r="G497" t="str">
            <v>STATE SECTOR</v>
          </cell>
          <cell r="J497">
            <v>0</v>
          </cell>
          <cell r="K497" t="str">
            <v>Not contracted</v>
          </cell>
        </row>
        <row r="498">
          <cell r="C498" t="str">
            <v>RAJIV GANDHI TPS2</v>
          </cell>
          <cell r="D498">
            <v>600</v>
          </cell>
          <cell r="E498" t="str">
            <v xml:space="preserve"> 5-10 years</v>
          </cell>
          <cell r="F498" t="str">
            <v>Haryana</v>
          </cell>
          <cell r="G498" t="str">
            <v>STATE SECTOR</v>
          </cell>
          <cell r="I498" t="str">
            <v>0.96</v>
          </cell>
          <cell r="J498">
            <v>3646.096</v>
          </cell>
          <cell r="K498" t="str">
            <v>Contracted</v>
          </cell>
        </row>
        <row r="499">
          <cell r="C499" t="str">
            <v>RAJIV GANDHI TPS1</v>
          </cell>
          <cell r="D499">
            <v>600</v>
          </cell>
          <cell r="E499" t="str">
            <v xml:space="preserve"> 10-15 years</v>
          </cell>
          <cell r="F499" t="str">
            <v>Haryana</v>
          </cell>
          <cell r="G499" t="str">
            <v>STATE SECTOR</v>
          </cell>
          <cell r="I499" t="str">
            <v>0.96</v>
          </cell>
          <cell r="J499">
            <v>2310.9539999999902</v>
          </cell>
          <cell r="K499" t="str">
            <v>Contracted</v>
          </cell>
        </row>
        <row r="500">
          <cell r="C500" t="str">
            <v>RAJPURA TPS2</v>
          </cell>
          <cell r="D500">
            <v>700</v>
          </cell>
          <cell r="E500" t="str">
            <v xml:space="preserve"> 5-10 years</v>
          </cell>
          <cell r="F500" t="str">
            <v>Punjab</v>
          </cell>
          <cell r="G500" t="str">
            <v>PVT SECTOR</v>
          </cell>
          <cell r="H500" t="str">
            <v>2.26</v>
          </cell>
          <cell r="I500" t="str">
            <v>1.53</v>
          </cell>
          <cell r="J500">
            <v>9103.1619999999803</v>
          </cell>
          <cell r="K500" t="str">
            <v>capacity not mentioned</v>
          </cell>
        </row>
        <row r="501">
          <cell r="C501" t="str">
            <v>RAJPURA TPS1</v>
          </cell>
          <cell r="D501">
            <v>700</v>
          </cell>
          <cell r="E501" t="str">
            <v xml:space="preserve"> 5-10 years</v>
          </cell>
          <cell r="F501" t="str">
            <v>Punjab</v>
          </cell>
          <cell r="G501" t="str">
            <v>PVT SECTOR</v>
          </cell>
          <cell r="H501" t="str">
            <v>2.26</v>
          </cell>
          <cell r="I501" t="str">
            <v>1.53</v>
          </cell>
          <cell r="J501">
            <v>8734.7029999999995</v>
          </cell>
          <cell r="K501" t="str">
            <v>capacity not mentioned</v>
          </cell>
        </row>
        <row r="502">
          <cell r="C502" t="str">
            <v>RAMAGUNDEM - B TPS1</v>
          </cell>
          <cell r="D502">
            <v>62.5</v>
          </cell>
          <cell r="E502" t="str">
            <v xml:space="preserve"> 45+ years</v>
          </cell>
          <cell r="F502" t="str">
            <v>Telangana</v>
          </cell>
          <cell r="G502" t="str">
            <v>STATE SECTOR</v>
          </cell>
          <cell r="J502">
            <v>812.62030000000095</v>
          </cell>
          <cell r="K502" t="str">
            <v>Contracted</v>
          </cell>
        </row>
        <row r="503">
          <cell r="C503" t="str">
            <v>RAMAGUNDEM STPS7</v>
          </cell>
          <cell r="D503">
            <v>500</v>
          </cell>
          <cell r="E503" t="str">
            <v xml:space="preserve"> 15-20 years</v>
          </cell>
          <cell r="F503" t="str">
            <v>Telangana</v>
          </cell>
          <cell r="G503" t="str">
            <v>CENTRAL SECTOR</v>
          </cell>
          <cell r="H503" t="str">
            <v>2.56</v>
          </cell>
          <cell r="I503" t="str">
            <v>0.73</v>
          </cell>
          <cell r="J503">
            <v>6959.45</v>
          </cell>
          <cell r="K503" t="str">
            <v>Contracted</v>
          </cell>
        </row>
        <row r="504">
          <cell r="C504" t="str">
            <v>RAMAGUNDEM STPS6</v>
          </cell>
          <cell r="D504">
            <v>500</v>
          </cell>
          <cell r="E504" t="str">
            <v xml:space="preserve"> 30-35 years</v>
          </cell>
          <cell r="F504" t="str">
            <v>Telangana</v>
          </cell>
          <cell r="G504" t="str">
            <v>CENTRAL SECTOR</v>
          </cell>
          <cell r="I504" t="str">
            <v>0.73</v>
          </cell>
          <cell r="J504">
            <v>6700.89</v>
          </cell>
          <cell r="K504" t="str">
            <v>Contracted</v>
          </cell>
        </row>
        <row r="505">
          <cell r="C505" t="str">
            <v>RAMAGUNDEM STPS4</v>
          </cell>
          <cell r="D505">
            <v>500</v>
          </cell>
          <cell r="E505" t="str">
            <v xml:space="preserve"> 30-35 years</v>
          </cell>
          <cell r="F505" t="str">
            <v>Telangana</v>
          </cell>
          <cell r="G505" t="str">
            <v>CENTRAL SECTOR</v>
          </cell>
          <cell r="H505" t="str">
            <v>2.56</v>
          </cell>
          <cell r="I505" t="str">
            <v>0.73</v>
          </cell>
          <cell r="J505">
            <v>6671.2999999999902</v>
          </cell>
          <cell r="K505" t="str">
            <v>Contracted</v>
          </cell>
        </row>
        <row r="506">
          <cell r="C506" t="str">
            <v>RAMAGUNDEM STPS5</v>
          </cell>
          <cell r="D506">
            <v>500</v>
          </cell>
          <cell r="E506" t="str">
            <v xml:space="preserve"> 30-35 years</v>
          </cell>
          <cell r="F506" t="str">
            <v>Telangana</v>
          </cell>
          <cell r="G506" t="str">
            <v>CENTRAL SECTOR</v>
          </cell>
          <cell r="I506" t="str">
            <v>0.73</v>
          </cell>
          <cell r="J506">
            <v>6541.42</v>
          </cell>
          <cell r="K506" t="str">
            <v>Contracted</v>
          </cell>
        </row>
        <row r="507">
          <cell r="C507" t="str">
            <v>RAMAGUNDEM STPS3</v>
          </cell>
          <cell r="D507">
            <v>200</v>
          </cell>
          <cell r="E507" t="str">
            <v xml:space="preserve"> 35-40 years</v>
          </cell>
          <cell r="F507" t="str">
            <v>Telangana</v>
          </cell>
          <cell r="G507" t="str">
            <v>CENTRAL SECTOR</v>
          </cell>
          <cell r="H507" t="str">
            <v>2.56</v>
          </cell>
          <cell r="I507" t="str">
            <v>0.73</v>
          </cell>
          <cell r="J507">
            <v>2858.67</v>
          </cell>
          <cell r="K507" t="str">
            <v>Contracted</v>
          </cell>
        </row>
        <row r="508">
          <cell r="C508" t="str">
            <v>RAMAGUNDEM STPS2</v>
          </cell>
          <cell r="D508">
            <v>200</v>
          </cell>
          <cell r="E508" t="str">
            <v xml:space="preserve"> 35-40 years</v>
          </cell>
          <cell r="F508" t="str">
            <v>Telangana</v>
          </cell>
          <cell r="G508" t="str">
            <v>CENTRAL SECTOR</v>
          </cell>
          <cell r="H508" t="str">
            <v>2.56</v>
          </cell>
          <cell r="I508" t="str">
            <v>0.73</v>
          </cell>
          <cell r="J508">
            <v>2774.58</v>
          </cell>
          <cell r="K508" t="str">
            <v>Contracted</v>
          </cell>
        </row>
        <row r="509">
          <cell r="C509" t="str">
            <v>RAMAGUNDEM STPS1</v>
          </cell>
          <cell r="D509">
            <v>200</v>
          </cell>
          <cell r="E509" t="str">
            <v xml:space="preserve"> 35-40 years</v>
          </cell>
          <cell r="F509" t="str">
            <v>Telangana</v>
          </cell>
          <cell r="G509" t="str">
            <v>CENTRAL SECTOR</v>
          </cell>
          <cell r="H509" t="str">
            <v>2.56</v>
          </cell>
          <cell r="I509" t="str">
            <v>0.73</v>
          </cell>
          <cell r="J509">
            <v>2635.74</v>
          </cell>
          <cell r="K509" t="str">
            <v>Contracted</v>
          </cell>
        </row>
        <row r="510">
          <cell r="C510" t="str">
            <v>RATIJA TPS2</v>
          </cell>
          <cell r="D510">
            <v>50</v>
          </cell>
          <cell r="E510" t="str">
            <v xml:space="preserve"> 0-5 years</v>
          </cell>
          <cell r="F510" t="str">
            <v>Chhattisgarh</v>
          </cell>
          <cell r="G510" t="str">
            <v>PVT SECTOR</v>
          </cell>
          <cell r="J510">
            <v>778.500000000005</v>
          </cell>
          <cell r="K510" t="str">
            <v>Not contracted</v>
          </cell>
        </row>
        <row r="511">
          <cell r="C511" t="str">
            <v>RATIJA TPS1</v>
          </cell>
          <cell r="D511">
            <v>50</v>
          </cell>
          <cell r="E511" t="str">
            <v xml:space="preserve"> 5-10 years</v>
          </cell>
          <cell r="F511" t="str">
            <v>Chhattisgarh</v>
          </cell>
          <cell r="G511" t="str">
            <v>PVT SECTOR</v>
          </cell>
          <cell r="H511" t="str">
            <v>1.60</v>
          </cell>
          <cell r="J511">
            <v>710.20090000000005</v>
          </cell>
          <cell r="K511" t="str">
            <v>Contracted</v>
          </cell>
        </row>
        <row r="512">
          <cell r="C512" t="str">
            <v>RAYALSEEMA TPS6</v>
          </cell>
          <cell r="D512">
            <v>600</v>
          </cell>
          <cell r="E512" t="str">
            <v xml:space="preserve"> 0-5 years</v>
          </cell>
          <cell r="F512" t="str">
            <v>Andhra Pradesh</v>
          </cell>
          <cell r="G512" t="str">
            <v>STATE SECTOR</v>
          </cell>
          <cell r="I512" t="str">
            <v>1.67</v>
          </cell>
          <cell r="J512">
            <v>3349.99</v>
          </cell>
          <cell r="K512" t="str">
            <v>Contracted</v>
          </cell>
        </row>
        <row r="513">
          <cell r="C513" t="str">
            <v>RAYALSEEMA TPS4</v>
          </cell>
          <cell r="D513">
            <v>210</v>
          </cell>
          <cell r="E513" t="str">
            <v xml:space="preserve"> 10-15 years</v>
          </cell>
          <cell r="F513" t="str">
            <v>Andhra Pradesh</v>
          </cell>
          <cell r="G513" t="str">
            <v>STATE SECTOR</v>
          </cell>
          <cell r="H513" t="str">
            <v>3.78</v>
          </cell>
          <cell r="I513" t="str">
            <v>1.67</v>
          </cell>
          <cell r="J513">
            <v>2153.8089999999902</v>
          </cell>
          <cell r="K513" t="str">
            <v>Contracted</v>
          </cell>
        </row>
        <row r="514">
          <cell r="C514" t="str">
            <v>RAYALSEEMA TPS1</v>
          </cell>
          <cell r="D514">
            <v>210</v>
          </cell>
          <cell r="E514" t="str">
            <v xml:space="preserve"> 25-30 years</v>
          </cell>
          <cell r="F514" t="str">
            <v>Andhra Pradesh</v>
          </cell>
          <cell r="G514" t="str">
            <v>STATE SECTOR</v>
          </cell>
          <cell r="H514" t="str">
            <v>3.78</v>
          </cell>
          <cell r="I514" t="str">
            <v>1.67</v>
          </cell>
          <cell r="J514">
            <v>2028.9780000000001</v>
          </cell>
          <cell r="K514" t="str">
            <v>Contracted</v>
          </cell>
        </row>
        <row r="515">
          <cell r="C515" t="str">
            <v>RAYALSEEMA TPS3</v>
          </cell>
          <cell r="D515">
            <v>210</v>
          </cell>
          <cell r="E515" t="str">
            <v xml:space="preserve"> 10-15 years</v>
          </cell>
          <cell r="F515" t="str">
            <v>Andhra Pradesh</v>
          </cell>
          <cell r="G515" t="str">
            <v>STATE SECTOR</v>
          </cell>
          <cell r="I515" t="str">
            <v>1.67</v>
          </cell>
          <cell r="J515">
            <v>1946.162</v>
          </cell>
          <cell r="K515" t="str">
            <v>Contracted</v>
          </cell>
        </row>
        <row r="516">
          <cell r="C516" t="str">
            <v>RAYALSEEMA TPS2</v>
          </cell>
          <cell r="D516">
            <v>210</v>
          </cell>
          <cell r="E516" t="str">
            <v xml:space="preserve"> 25-30 years</v>
          </cell>
          <cell r="F516" t="str">
            <v>Andhra Pradesh</v>
          </cell>
          <cell r="G516" t="str">
            <v>STATE SECTOR</v>
          </cell>
          <cell r="I516" t="str">
            <v>1.67</v>
          </cell>
          <cell r="J516">
            <v>1754.4359999999999</v>
          </cell>
          <cell r="K516" t="str">
            <v>Contracted</v>
          </cell>
        </row>
        <row r="517">
          <cell r="C517" t="str">
            <v>RAYALSEEMA TPS5</v>
          </cell>
          <cell r="D517">
            <v>210</v>
          </cell>
          <cell r="E517" t="str">
            <v xml:space="preserve"> 5-10 years</v>
          </cell>
          <cell r="F517" t="str">
            <v>Andhra Pradesh</v>
          </cell>
          <cell r="G517" t="str">
            <v>STATE SECTOR</v>
          </cell>
          <cell r="I517" t="str">
            <v>1.67</v>
          </cell>
          <cell r="J517">
            <v>1670.09399999999</v>
          </cell>
          <cell r="K517" t="str">
            <v>Contracted</v>
          </cell>
        </row>
        <row r="518">
          <cell r="C518" t="str">
            <v>RIHAND STPS6</v>
          </cell>
          <cell r="D518">
            <v>500</v>
          </cell>
          <cell r="E518" t="str">
            <v xml:space="preserve"> 5-10 years</v>
          </cell>
          <cell r="F518" t="str">
            <v>Uttar Pradesh</v>
          </cell>
          <cell r="G518" t="str">
            <v>CENTRAL SECTOR</v>
          </cell>
          <cell r="H518" t="str">
            <v>1.31</v>
          </cell>
          <cell r="I518" t="str">
            <v>0.83</v>
          </cell>
          <cell r="J518">
            <v>8183.91</v>
          </cell>
          <cell r="K518" t="str">
            <v>Contracted</v>
          </cell>
        </row>
        <row r="519">
          <cell r="C519" t="str">
            <v>RIHAND STPS3</v>
          </cell>
          <cell r="D519">
            <v>500</v>
          </cell>
          <cell r="E519" t="str">
            <v xml:space="preserve"> 15-20 years</v>
          </cell>
          <cell r="F519" t="str">
            <v>Uttar Pradesh</v>
          </cell>
          <cell r="G519" t="str">
            <v>CENTRAL SECTOR</v>
          </cell>
          <cell r="H519" t="str">
            <v>1.31</v>
          </cell>
          <cell r="I519" t="str">
            <v>0.83</v>
          </cell>
          <cell r="J519">
            <v>7830.4499999999898</v>
          </cell>
          <cell r="K519" t="str">
            <v>Contracted</v>
          </cell>
        </row>
        <row r="520">
          <cell r="C520" t="str">
            <v>RIHAND STPS5</v>
          </cell>
          <cell r="D520">
            <v>500</v>
          </cell>
          <cell r="E520" t="str">
            <v xml:space="preserve"> 5-10 years</v>
          </cell>
          <cell r="F520" t="str">
            <v>Uttar Pradesh</v>
          </cell>
          <cell r="G520" t="str">
            <v>CENTRAL SECTOR</v>
          </cell>
          <cell r="H520" t="str">
            <v>1.31</v>
          </cell>
          <cell r="I520" t="str">
            <v>0.83</v>
          </cell>
          <cell r="J520">
            <v>7633.0599999999904</v>
          </cell>
          <cell r="K520" t="str">
            <v>Contracted</v>
          </cell>
        </row>
        <row r="521">
          <cell r="C521" t="str">
            <v>RIHAND STPS1</v>
          </cell>
          <cell r="D521">
            <v>500</v>
          </cell>
          <cell r="E521" t="str">
            <v xml:space="preserve"> 30-35 years</v>
          </cell>
          <cell r="F521" t="str">
            <v>Uttar Pradesh</v>
          </cell>
          <cell r="G521" t="str">
            <v>CENTRAL SECTOR</v>
          </cell>
          <cell r="H521" t="str">
            <v>1.31</v>
          </cell>
          <cell r="I521" t="str">
            <v>0.83</v>
          </cell>
          <cell r="J521">
            <v>7439.0799999999799</v>
          </cell>
          <cell r="K521" t="str">
            <v>Contracted</v>
          </cell>
        </row>
        <row r="522">
          <cell r="C522" t="str">
            <v>RIHAND STPS2</v>
          </cell>
          <cell r="D522">
            <v>500</v>
          </cell>
          <cell r="E522" t="str">
            <v xml:space="preserve"> 30-35 years</v>
          </cell>
          <cell r="F522" t="str">
            <v>Uttar Pradesh</v>
          </cell>
          <cell r="G522" t="str">
            <v>CENTRAL SECTOR</v>
          </cell>
          <cell r="I522" t="str">
            <v>0.83</v>
          </cell>
          <cell r="J522">
            <v>7040.3099999999904</v>
          </cell>
          <cell r="K522" t="str">
            <v>Contracted</v>
          </cell>
        </row>
        <row r="523">
          <cell r="C523" t="str">
            <v>RIHAND STPS4</v>
          </cell>
          <cell r="D523">
            <v>500</v>
          </cell>
          <cell r="E523" t="str">
            <v xml:space="preserve"> 10-15 years</v>
          </cell>
          <cell r="F523" t="str">
            <v>Uttar Pradesh</v>
          </cell>
          <cell r="G523" t="str">
            <v>CENTRAL SECTOR</v>
          </cell>
          <cell r="H523" t="str">
            <v>1.31</v>
          </cell>
          <cell r="I523" t="str">
            <v>0.83</v>
          </cell>
          <cell r="J523">
            <v>6994.3299999999899</v>
          </cell>
          <cell r="K523" t="str">
            <v>Contracted</v>
          </cell>
        </row>
        <row r="524">
          <cell r="C524" t="str">
            <v>ROPAR TPS6</v>
          </cell>
          <cell r="D524">
            <v>210</v>
          </cell>
          <cell r="E524" t="str">
            <v xml:space="preserve"> 25-30 years</v>
          </cell>
          <cell r="F524" t="str">
            <v>Punjab</v>
          </cell>
          <cell r="G524" t="str">
            <v>STATE SECTOR</v>
          </cell>
          <cell r="H524" t="str">
            <v>3.78</v>
          </cell>
          <cell r="I524" t="str">
            <v>0.00</v>
          </cell>
          <cell r="J524">
            <v>729.28599999999904</v>
          </cell>
          <cell r="K524" t="str">
            <v>Contracted</v>
          </cell>
        </row>
        <row r="525">
          <cell r="C525" t="str">
            <v>ROPAR TPS3</v>
          </cell>
          <cell r="D525">
            <v>210</v>
          </cell>
          <cell r="E525" t="str">
            <v xml:space="preserve"> 30-35 years</v>
          </cell>
          <cell r="F525" t="str">
            <v>Punjab</v>
          </cell>
          <cell r="G525" t="str">
            <v>STATE SECTOR</v>
          </cell>
          <cell r="I525" t="str">
            <v>0.00</v>
          </cell>
          <cell r="J525">
            <v>727.86599999999896</v>
          </cell>
          <cell r="K525" t="str">
            <v>Contracted</v>
          </cell>
        </row>
        <row r="526">
          <cell r="C526" t="str">
            <v>ROPAR TPS5</v>
          </cell>
          <cell r="D526">
            <v>210</v>
          </cell>
          <cell r="E526" t="str">
            <v xml:space="preserve"> 25-30 years</v>
          </cell>
          <cell r="F526" t="str">
            <v>Punjab</v>
          </cell>
          <cell r="G526" t="str">
            <v>STATE SECTOR</v>
          </cell>
          <cell r="H526" t="str">
            <v>3.78</v>
          </cell>
          <cell r="I526" t="str">
            <v>0.00</v>
          </cell>
          <cell r="J526">
            <v>689.72900000000004</v>
          </cell>
          <cell r="K526" t="str">
            <v>Contracted</v>
          </cell>
        </row>
        <row r="527">
          <cell r="C527" t="str">
            <v>ROPAR TPS4</v>
          </cell>
          <cell r="D527">
            <v>210</v>
          </cell>
          <cell r="E527" t="str">
            <v xml:space="preserve"> 30-35 years</v>
          </cell>
          <cell r="F527" t="str">
            <v>Punjab</v>
          </cell>
          <cell r="G527" t="str">
            <v>STATE SECTOR</v>
          </cell>
          <cell r="H527" t="str">
            <v>3.78</v>
          </cell>
          <cell r="I527" t="str">
            <v>0.00</v>
          </cell>
          <cell r="J527">
            <v>640.88199999999995</v>
          </cell>
          <cell r="K527" t="str">
            <v>Contracted</v>
          </cell>
        </row>
        <row r="528">
          <cell r="C528" t="str">
            <v>ROPAR TPS1</v>
          </cell>
          <cell r="D528">
            <v>0</v>
          </cell>
          <cell r="E528" t="str">
            <v xml:space="preserve"> 30-35 years</v>
          </cell>
          <cell r="F528" t="str">
            <v>Punjab</v>
          </cell>
          <cell r="G528" t="str">
            <v>STATE SECTOR</v>
          </cell>
          <cell r="H528" t="str">
            <v>3.78</v>
          </cell>
          <cell r="I528" t="str">
            <v>0.00</v>
          </cell>
          <cell r="J528">
            <v>0</v>
          </cell>
          <cell r="K528" t="str">
            <v>Contracted</v>
          </cell>
        </row>
        <row r="529">
          <cell r="C529" t="str">
            <v>ROPAR TPS1</v>
          </cell>
          <cell r="D529">
            <v>210</v>
          </cell>
          <cell r="E529" t="str">
            <v xml:space="preserve"> 30-35 years</v>
          </cell>
          <cell r="F529" t="str">
            <v>Punjab</v>
          </cell>
          <cell r="G529" t="str">
            <v>STATE SECTOR</v>
          </cell>
          <cell r="H529" t="str">
            <v>3.78</v>
          </cell>
          <cell r="I529" t="str">
            <v>0.00</v>
          </cell>
          <cell r="J529">
            <v>0</v>
          </cell>
          <cell r="K529" t="str">
            <v>Contracted</v>
          </cell>
        </row>
        <row r="530">
          <cell r="C530" t="str">
            <v>ROPAR TPS2</v>
          </cell>
          <cell r="D530">
            <v>0</v>
          </cell>
          <cell r="E530" t="str">
            <v xml:space="preserve"> 30-35 years</v>
          </cell>
          <cell r="F530" t="str">
            <v>Punjab</v>
          </cell>
          <cell r="G530" t="str">
            <v>STATE SECTOR</v>
          </cell>
          <cell r="H530" t="str">
            <v>3.78</v>
          </cell>
          <cell r="I530" t="str">
            <v>0.00</v>
          </cell>
          <cell r="J530">
            <v>0</v>
          </cell>
          <cell r="K530" t="str">
            <v>Contracted</v>
          </cell>
        </row>
        <row r="531">
          <cell r="C531" t="str">
            <v>ROPAR TPS2</v>
          </cell>
          <cell r="D531">
            <v>210</v>
          </cell>
          <cell r="E531" t="str">
            <v xml:space="preserve"> 30-35 years</v>
          </cell>
          <cell r="F531" t="str">
            <v>Punjab</v>
          </cell>
          <cell r="G531" t="str">
            <v>STATE SECTOR</v>
          </cell>
          <cell r="H531" t="str">
            <v>3.78</v>
          </cell>
          <cell r="I531" t="str">
            <v>0.00</v>
          </cell>
          <cell r="J531">
            <v>0</v>
          </cell>
          <cell r="K531" t="str">
            <v>Contracted</v>
          </cell>
        </row>
        <row r="532">
          <cell r="C532" t="str">
            <v>ROSA TPP PH-I2</v>
          </cell>
          <cell r="D532">
            <v>300</v>
          </cell>
          <cell r="E532" t="str">
            <v xml:space="preserve"> 5-10 years</v>
          </cell>
          <cell r="F532" t="str">
            <v>Uttar Pradesh</v>
          </cell>
          <cell r="G532" t="str">
            <v>PVT SECTOR</v>
          </cell>
          <cell r="H532" t="str">
            <v>2.90</v>
          </cell>
          <cell r="I532" t="str">
            <v>1.56</v>
          </cell>
          <cell r="J532">
            <v>2713.6929999999902</v>
          </cell>
          <cell r="K532" t="str">
            <v>Contracted</v>
          </cell>
        </row>
        <row r="533">
          <cell r="C533" t="str">
            <v>ROSA TPP PH-I1</v>
          </cell>
          <cell r="D533">
            <v>300</v>
          </cell>
          <cell r="E533" t="str">
            <v xml:space="preserve"> 10-15 years</v>
          </cell>
          <cell r="F533" t="str">
            <v>Uttar Pradesh</v>
          </cell>
          <cell r="G533" t="str">
            <v>PVT SECTOR</v>
          </cell>
          <cell r="H533" t="str">
            <v>2.90</v>
          </cell>
          <cell r="I533" t="str">
            <v>1.56</v>
          </cell>
          <cell r="J533">
            <v>2536.683</v>
          </cell>
          <cell r="K533" t="str">
            <v>Contracted</v>
          </cell>
        </row>
        <row r="534">
          <cell r="C534" t="str">
            <v>ROSA TPP PH-I3</v>
          </cell>
          <cell r="D534">
            <v>300</v>
          </cell>
          <cell r="E534" t="str">
            <v xml:space="preserve"> 5-10 years</v>
          </cell>
          <cell r="F534" t="str">
            <v>Uttar Pradesh</v>
          </cell>
          <cell r="G534" t="str">
            <v>PVT SECTOR</v>
          </cell>
          <cell r="H534" t="str">
            <v>2.90</v>
          </cell>
          <cell r="I534" t="str">
            <v>1.56</v>
          </cell>
          <cell r="J534">
            <v>2533.6689999999899</v>
          </cell>
          <cell r="K534" t="str">
            <v>Contracted</v>
          </cell>
        </row>
        <row r="535">
          <cell r="C535" t="str">
            <v>ROSA TPP PH-I4</v>
          </cell>
          <cell r="D535">
            <v>300</v>
          </cell>
          <cell r="E535" t="str">
            <v xml:space="preserve"> 5-10 years</v>
          </cell>
          <cell r="F535" t="str">
            <v>Uttar Pradesh</v>
          </cell>
          <cell r="G535" t="str">
            <v>PVT SECTOR</v>
          </cell>
          <cell r="H535" t="str">
            <v>2.90</v>
          </cell>
          <cell r="I535" t="str">
            <v>1.56</v>
          </cell>
          <cell r="J535">
            <v>2507.5149999999999</v>
          </cell>
          <cell r="K535" t="str">
            <v>Contracted</v>
          </cell>
        </row>
        <row r="536">
          <cell r="C536" t="str">
            <v>SABARMATI (C-STATION) TPP15</v>
          </cell>
          <cell r="D536">
            <v>0</v>
          </cell>
          <cell r="E536" t="str">
            <v xml:space="preserve"> 20-25 years</v>
          </cell>
          <cell r="F536" t="str">
            <v>Gujarat</v>
          </cell>
          <cell r="G536" t="str">
            <v>PVT SECTOR</v>
          </cell>
          <cell r="J536">
            <v>0</v>
          </cell>
          <cell r="K536" t="str">
            <v>Contracted</v>
          </cell>
        </row>
        <row r="537">
          <cell r="C537" t="str">
            <v>SABARMATI (C-STATION) TPP15</v>
          </cell>
          <cell r="D537">
            <v>30</v>
          </cell>
          <cell r="E537" t="str">
            <v xml:space="preserve"> 20-25 years</v>
          </cell>
          <cell r="F537" t="str">
            <v>Gujarat</v>
          </cell>
          <cell r="G537" t="str">
            <v>PVT SECTOR</v>
          </cell>
          <cell r="J537">
            <v>0</v>
          </cell>
          <cell r="K537" t="str">
            <v>Contracted</v>
          </cell>
        </row>
        <row r="538">
          <cell r="C538" t="str">
            <v>SABARMATI (C-STATION) TPP16</v>
          </cell>
          <cell r="D538">
            <v>0</v>
          </cell>
          <cell r="E538" t="str">
            <v xml:space="preserve"> 20-25 years</v>
          </cell>
          <cell r="F538" t="str">
            <v>Gujarat</v>
          </cell>
          <cell r="G538" t="str">
            <v>PVT SECTOR</v>
          </cell>
          <cell r="J538">
            <v>0</v>
          </cell>
          <cell r="K538" t="str">
            <v>Contracted</v>
          </cell>
        </row>
        <row r="539">
          <cell r="C539" t="str">
            <v>SABARMATI (C-STATION) TPP16</v>
          </cell>
          <cell r="D539">
            <v>30</v>
          </cell>
          <cell r="E539" t="str">
            <v xml:space="preserve"> 20-25 years</v>
          </cell>
          <cell r="F539" t="str">
            <v>Gujarat</v>
          </cell>
          <cell r="G539" t="str">
            <v>PVT SECTOR</v>
          </cell>
          <cell r="J539">
            <v>0</v>
          </cell>
          <cell r="K539" t="str">
            <v>Contracted</v>
          </cell>
        </row>
        <row r="540">
          <cell r="C540" t="str">
            <v>SABARMATI (D-F STATIONS) TPP3</v>
          </cell>
          <cell r="D540">
            <v>121</v>
          </cell>
          <cell r="E540" t="str">
            <v xml:space="preserve"> 30-35 years</v>
          </cell>
          <cell r="F540" t="str">
            <v>Gujarat</v>
          </cell>
          <cell r="G540" t="str">
            <v>PVT SECTOR</v>
          </cell>
          <cell r="J540">
            <v>1728.0199</v>
          </cell>
          <cell r="K540" t="str">
            <v>Contracted</v>
          </cell>
        </row>
        <row r="541">
          <cell r="C541" t="str">
            <v>SABARMATI (D-F STATIONS) TPP1</v>
          </cell>
          <cell r="D541">
            <v>120</v>
          </cell>
          <cell r="E541" t="str">
            <v xml:space="preserve"> 40-45 years</v>
          </cell>
          <cell r="F541" t="str">
            <v>Gujarat</v>
          </cell>
          <cell r="G541" t="str">
            <v>PVT SECTOR</v>
          </cell>
          <cell r="J541">
            <v>1687.9506999999901</v>
          </cell>
          <cell r="K541" t="str">
            <v>Contracted</v>
          </cell>
        </row>
        <row r="542">
          <cell r="C542" t="str">
            <v>SABARMATI (D-F STATIONS) TPP2</v>
          </cell>
          <cell r="D542">
            <v>121</v>
          </cell>
          <cell r="E542" t="str">
            <v xml:space="preserve"> 35-40 years</v>
          </cell>
          <cell r="F542" t="str">
            <v>Gujarat</v>
          </cell>
          <cell r="G542" t="str">
            <v>PVT SECTOR</v>
          </cell>
          <cell r="J542">
            <v>1656.2833000000001</v>
          </cell>
          <cell r="K542" t="str">
            <v>Contracted</v>
          </cell>
        </row>
        <row r="543">
          <cell r="C543" t="str">
            <v>SAGARDIGHI TPS3</v>
          </cell>
          <cell r="D543">
            <v>500</v>
          </cell>
          <cell r="E543" t="str">
            <v xml:space="preserve"> 0-5 years</v>
          </cell>
          <cell r="F543" t="str">
            <v>West Bengal</v>
          </cell>
          <cell r="G543" t="str">
            <v>STATE SECTOR</v>
          </cell>
          <cell r="H543" t="str">
            <v>3.26</v>
          </cell>
          <cell r="J543">
            <v>3622.616</v>
          </cell>
          <cell r="K543" t="str">
            <v>Contracted</v>
          </cell>
        </row>
        <row r="544">
          <cell r="C544" t="str">
            <v>SAGARDIGHI TPS4</v>
          </cell>
          <cell r="D544">
            <v>500</v>
          </cell>
          <cell r="E544" t="str">
            <v xml:space="preserve"> 0-5 years</v>
          </cell>
          <cell r="F544" t="str">
            <v>West Bengal</v>
          </cell>
          <cell r="G544" t="str">
            <v>STATE SECTOR</v>
          </cell>
          <cell r="H544" t="str">
            <v>3.26</v>
          </cell>
          <cell r="J544">
            <v>3563.1479999999901</v>
          </cell>
          <cell r="K544" t="str">
            <v>Contracted</v>
          </cell>
        </row>
        <row r="545">
          <cell r="C545" t="str">
            <v>SAGARDIGHI TPS1</v>
          </cell>
          <cell r="D545">
            <v>300</v>
          </cell>
          <cell r="E545" t="str">
            <v xml:space="preserve"> 10-15 years</v>
          </cell>
          <cell r="F545" t="str">
            <v>West Bengal</v>
          </cell>
          <cell r="G545" t="str">
            <v>STATE SECTOR</v>
          </cell>
          <cell r="H545" t="str">
            <v>3.26</v>
          </cell>
          <cell r="J545">
            <v>3308.6759999999899</v>
          </cell>
          <cell r="K545" t="str">
            <v>Contracted</v>
          </cell>
        </row>
        <row r="546">
          <cell r="C546" t="str">
            <v>SAGARDIGHI TPS2</v>
          </cell>
          <cell r="D546">
            <v>300</v>
          </cell>
          <cell r="E546" t="str">
            <v xml:space="preserve"> 10-15 years</v>
          </cell>
          <cell r="F546" t="str">
            <v>West Bengal</v>
          </cell>
          <cell r="G546" t="str">
            <v>STATE SECTOR</v>
          </cell>
          <cell r="H546" t="str">
            <v>3.26</v>
          </cell>
          <cell r="J546">
            <v>1999.9479999999901</v>
          </cell>
          <cell r="K546" t="str">
            <v>Contracted</v>
          </cell>
        </row>
        <row r="547">
          <cell r="C547" t="str">
            <v>SALAYA TPP1</v>
          </cell>
          <cell r="D547">
            <v>600</v>
          </cell>
          <cell r="E547" t="str">
            <v xml:space="preserve"> 5-10 years</v>
          </cell>
          <cell r="F547" t="str">
            <v>Gujarat</v>
          </cell>
          <cell r="G547" t="str">
            <v>PVT SECTOR</v>
          </cell>
          <cell r="H547" t="str">
            <v>3.12</v>
          </cell>
          <cell r="I547" t="str">
            <v>1.09</v>
          </cell>
          <cell r="J547">
            <v>2528.96</v>
          </cell>
          <cell r="K547" t="str">
            <v>Contracted</v>
          </cell>
        </row>
        <row r="548">
          <cell r="C548" t="str">
            <v>SALAYA TPP2</v>
          </cell>
          <cell r="D548">
            <v>600</v>
          </cell>
          <cell r="E548" t="str">
            <v xml:space="preserve"> 5-10 years</v>
          </cell>
          <cell r="F548" t="str">
            <v>Gujarat</v>
          </cell>
          <cell r="G548" t="str">
            <v>PVT SECTOR</v>
          </cell>
          <cell r="I548" t="str">
            <v>1.09</v>
          </cell>
          <cell r="J548">
            <v>1962.27999999999</v>
          </cell>
          <cell r="K548" t="str">
            <v>Contracted</v>
          </cell>
        </row>
        <row r="549">
          <cell r="C549" t="str">
            <v>SALORA TPP1</v>
          </cell>
          <cell r="D549">
            <v>135</v>
          </cell>
          <cell r="E549" t="str">
            <v xml:space="preserve"> 5-10 years</v>
          </cell>
          <cell r="F549" t="str">
            <v>Chhattisgarh</v>
          </cell>
          <cell r="G549" t="str">
            <v>PVT SECTOR</v>
          </cell>
          <cell r="J549">
            <v>0</v>
          </cell>
          <cell r="K549" t="str">
            <v>Not contracted</v>
          </cell>
        </row>
        <row r="550">
          <cell r="C550" t="str">
            <v>SALORA TPP2</v>
          </cell>
          <cell r="D550">
            <v>0</v>
          </cell>
          <cell r="E550" t="e">
            <v>#N/A</v>
          </cell>
          <cell r="F550" t="str">
            <v>Chhattisgarh</v>
          </cell>
          <cell r="G550" t="str">
            <v>PVT SECTOR</v>
          </cell>
          <cell r="J550">
            <v>0</v>
          </cell>
          <cell r="K550" t="str">
            <v>Not contracted</v>
          </cell>
        </row>
        <row r="551">
          <cell r="C551" t="str">
            <v>SANJAY GANDHI TPS5</v>
          </cell>
          <cell r="D551">
            <v>500</v>
          </cell>
          <cell r="E551" t="str">
            <v xml:space="preserve"> 10-15 years</v>
          </cell>
          <cell r="F551" t="str">
            <v>Madhya Pradesh</v>
          </cell>
          <cell r="G551" t="str">
            <v>STATE SECTOR</v>
          </cell>
          <cell r="H551" t="str">
            <v>2.04</v>
          </cell>
          <cell r="I551" t="str">
            <v>1.15</v>
          </cell>
          <cell r="J551">
            <v>6965.5</v>
          </cell>
          <cell r="K551" t="str">
            <v>Contracted</v>
          </cell>
        </row>
        <row r="552">
          <cell r="C552" t="str">
            <v>SANJAY GANDHI TPS4</v>
          </cell>
          <cell r="D552">
            <v>210</v>
          </cell>
          <cell r="E552" t="str">
            <v xml:space="preserve"> 20-25 years</v>
          </cell>
          <cell r="F552" t="str">
            <v>Madhya Pradesh</v>
          </cell>
          <cell r="G552" t="str">
            <v>STATE SECTOR</v>
          </cell>
          <cell r="H552" t="str">
            <v>2.04</v>
          </cell>
          <cell r="I552" t="str">
            <v>1.15</v>
          </cell>
          <cell r="J552">
            <v>2385.16</v>
          </cell>
          <cell r="K552" t="str">
            <v>Contracted</v>
          </cell>
        </row>
        <row r="553">
          <cell r="C553" t="str">
            <v>SANJAY GANDHI TPS1</v>
          </cell>
          <cell r="D553">
            <v>210</v>
          </cell>
          <cell r="E553" t="str">
            <v xml:space="preserve"> 25-30 years</v>
          </cell>
          <cell r="F553" t="str">
            <v>Madhya Pradesh</v>
          </cell>
          <cell r="G553" t="str">
            <v>STATE SECTOR</v>
          </cell>
          <cell r="H553" t="str">
            <v>2.04</v>
          </cell>
          <cell r="I553" t="str">
            <v>1.15</v>
          </cell>
          <cell r="J553">
            <v>2166.9959999999901</v>
          </cell>
          <cell r="K553" t="str">
            <v>Contracted</v>
          </cell>
        </row>
        <row r="554">
          <cell r="C554" t="str">
            <v>SANJAY GANDHI TPS2</v>
          </cell>
          <cell r="D554">
            <v>210</v>
          </cell>
          <cell r="E554" t="str">
            <v xml:space="preserve"> 25-30 years</v>
          </cell>
          <cell r="F554" t="str">
            <v>Madhya Pradesh</v>
          </cell>
          <cell r="G554" t="str">
            <v>STATE SECTOR</v>
          </cell>
          <cell r="H554" t="str">
            <v>2.04</v>
          </cell>
          <cell r="I554" t="str">
            <v>1.15</v>
          </cell>
          <cell r="J554">
            <v>1882.4099999999901</v>
          </cell>
          <cell r="K554" t="str">
            <v>Contracted</v>
          </cell>
        </row>
        <row r="555">
          <cell r="C555" t="str">
            <v>SANJAY GANDHI TPS3</v>
          </cell>
          <cell r="D555">
            <v>210</v>
          </cell>
          <cell r="E555" t="str">
            <v xml:space="preserve"> 20-25 years</v>
          </cell>
          <cell r="F555" t="str">
            <v>Madhya Pradesh</v>
          </cell>
          <cell r="G555" t="str">
            <v>STATE SECTOR</v>
          </cell>
          <cell r="H555" t="str">
            <v>2.04</v>
          </cell>
          <cell r="I555" t="str">
            <v>1.15</v>
          </cell>
          <cell r="J555">
            <v>1689.6979999999901</v>
          </cell>
          <cell r="K555" t="str">
            <v>Contracted</v>
          </cell>
        </row>
        <row r="556">
          <cell r="C556" t="str">
            <v>SANTALDIH TPS5</v>
          </cell>
          <cell r="D556">
            <v>250</v>
          </cell>
          <cell r="E556" t="str">
            <v xml:space="preserve"> 10-15 years</v>
          </cell>
          <cell r="F556" t="str">
            <v>West Bengal</v>
          </cell>
          <cell r="G556" t="str">
            <v>STATE SECTOR</v>
          </cell>
          <cell r="H556" t="str">
            <v>2.62</v>
          </cell>
          <cell r="J556">
            <v>3599.77899999999</v>
          </cell>
          <cell r="K556" t="str">
            <v>Contracted</v>
          </cell>
        </row>
        <row r="557">
          <cell r="C557" t="str">
            <v>SANTALDIH TPS6</v>
          </cell>
          <cell r="D557">
            <v>250</v>
          </cell>
          <cell r="E557" t="str">
            <v xml:space="preserve"> 5-10 years</v>
          </cell>
          <cell r="F557" t="str">
            <v>West Bengal</v>
          </cell>
          <cell r="G557" t="str">
            <v>STATE SECTOR</v>
          </cell>
          <cell r="J557">
            <v>3487.3519999999999</v>
          </cell>
          <cell r="K557" t="str">
            <v>Contracted</v>
          </cell>
        </row>
        <row r="558">
          <cell r="C558" t="str">
            <v>SASAN UMPTPP5</v>
          </cell>
          <cell r="D558">
            <v>660</v>
          </cell>
          <cell r="E558" t="str">
            <v xml:space="preserve"> 5-10 years</v>
          </cell>
          <cell r="F558" t="str">
            <v>Madhya Pradesh</v>
          </cell>
          <cell r="G558" t="str">
            <v>PVT SECTOR</v>
          </cell>
          <cell r="H558" t="str">
            <v>1.15</v>
          </cell>
          <cell r="I558" t="str">
            <v>0.17</v>
          </cell>
          <cell r="J558">
            <v>11218.2489999999</v>
          </cell>
          <cell r="K558" t="str">
            <v>Contracted</v>
          </cell>
        </row>
        <row r="559">
          <cell r="C559" t="str">
            <v>SASAN UMPTPP6</v>
          </cell>
          <cell r="D559">
            <v>660</v>
          </cell>
          <cell r="E559" t="str">
            <v xml:space="preserve"> 5-10 years</v>
          </cell>
          <cell r="F559" t="str">
            <v>Madhya Pradesh</v>
          </cell>
          <cell r="G559" t="str">
            <v>PVT SECTOR</v>
          </cell>
          <cell r="I559" t="str">
            <v>0.17</v>
          </cell>
          <cell r="J559">
            <v>11197.7286999999</v>
          </cell>
          <cell r="K559" t="str">
            <v>Contracted</v>
          </cell>
        </row>
        <row r="560">
          <cell r="C560" t="str">
            <v>SASAN UMPTPP2</v>
          </cell>
          <cell r="D560">
            <v>660</v>
          </cell>
          <cell r="E560" t="str">
            <v xml:space="preserve"> 5-10 years</v>
          </cell>
          <cell r="F560" t="str">
            <v>Madhya Pradesh</v>
          </cell>
          <cell r="G560" t="str">
            <v>PVT SECTOR</v>
          </cell>
          <cell r="H560" t="str">
            <v>1.15</v>
          </cell>
          <cell r="I560" t="str">
            <v>0.17</v>
          </cell>
          <cell r="J560">
            <v>10979.590700000001</v>
          </cell>
          <cell r="K560" t="str">
            <v>Contracted</v>
          </cell>
        </row>
        <row r="561">
          <cell r="C561" t="str">
            <v>SASAN UMPTPP1</v>
          </cell>
          <cell r="D561">
            <v>660</v>
          </cell>
          <cell r="E561" t="str">
            <v xml:space="preserve"> 5-10 years</v>
          </cell>
          <cell r="F561" t="str">
            <v>Madhya Pradesh</v>
          </cell>
          <cell r="G561" t="str">
            <v>PVT SECTOR</v>
          </cell>
          <cell r="H561" t="str">
            <v>1.15</v>
          </cell>
          <cell r="I561" t="str">
            <v>0.17</v>
          </cell>
          <cell r="J561">
            <v>10865.3004</v>
          </cell>
          <cell r="K561" t="str">
            <v>Contracted</v>
          </cell>
        </row>
        <row r="562">
          <cell r="C562" t="str">
            <v>SASAN UMPTPP3</v>
          </cell>
          <cell r="D562">
            <v>660</v>
          </cell>
          <cell r="E562" t="str">
            <v xml:space="preserve"> 5-10 years</v>
          </cell>
          <cell r="F562" t="str">
            <v>Madhya Pradesh</v>
          </cell>
          <cell r="G562" t="str">
            <v>PVT SECTOR</v>
          </cell>
          <cell r="H562" t="str">
            <v>1.15</v>
          </cell>
          <cell r="I562" t="str">
            <v>0.17</v>
          </cell>
          <cell r="J562">
            <v>10414.097099999901</v>
          </cell>
          <cell r="K562" t="str">
            <v>Contracted</v>
          </cell>
        </row>
        <row r="563">
          <cell r="C563" t="str">
            <v>SASAN UMPTPP4</v>
          </cell>
          <cell r="D563">
            <v>660</v>
          </cell>
          <cell r="E563" t="str">
            <v xml:space="preserve"> 5-10 years</v>
          </cell>
          <cell r="F563" t="str">
            <v>Madhya Pradesh</v>
          </cell>
          <cell r="G563" t="str">
            <v>PVT SECTOR</v>
          </cell>
          <cell r="I563" t="str">
            <v>0.17</v>
          </cell>
          <cell r="J563">
            <v>10207.3869</v>
          </cell>
          <cell r="K563" t="str">
            <v>Contracted</v>
          </cell>
        </row>
        <row r="564">
          <cell r="C564" t="str">
            <v>SATPURA TPS11</v>
          </cell>
          <cell r="D564">
            <v>250</v>
          </cell>
          <cell r="E564" t="str">
            <v xml:space="preserve"> 5-10 years</v>
          </cell>
          <cell r="F564" t="str">
            <v>Madhya Pradesh</v>
          </cell>
          <cell r="G564" t="str">
            <v>STATE SECTOR</v>
          </cell>
          <cell r="I564" t="str">
            <v>0.00</v>
          </cell>
          <cell r="J564">
            <v>3376.7829999999899</v>
          </cell>
          <cell r="K564" t="str">
            <v>Contracted</v>
          </cell>
        </row>
        <row r="565">
          <cell r="C565" t="str">
            <v>SATPURA TPS10</v>
          </cell>
          <cell r="D565">
            <v>250</v>
          </cell>
          <cell r="E565" t="str">
            <v xml:space="preserve"> 5-10 years</v>
          </cell>
          <cell r="F565" t="str">
            <v>Madhya Pradesh</v>
          </cell>
          <cell r="G565" t="str">
            <v>STATE SECTOR</v>
          </cell>
          <cell r="I565" t="str">
            <v>0.00</v>
          </cell>
          <cell r="J565">
            <v>2888.9769999999999</v>
          </cell>
          <cell r="K565" t="str">
            <v>Contracted</v>
          </cell>
        </row>
        <row r="566">
          <cell r="C566" t="str">
            <v>SATPURA TPS7</v>
          </cell>
          <cell r="D566">
            <v>210</v>
          </cell>
          <cell r="E566" t="str">
            <v xml:space="preserve"> 35-40 years</v>
          </cell>
          <cell r="F566" t="str">
            <v>Madhya Pradesh</v>
          </cell>
          <cell r="G566" t="str">
            <v>STATE SECTOR</v>
          </cell>
          <cell r="I566" t="str">
            <v>0.00</v>
          </cell>
          <cell r="J566">
            <v>1678.3009999999999</v>
          </cell>
          <cell r="K566" t="str">
            <v>Contracted</v>
          </cell>
        </row>
        <row r="567">
          <cell r="C567" t="str">
            <v>SATPURA TPS6</v>
          </cell>
          <cell r="D567">
            <v>200</v>
          </cell>
          <cell r="E567" t="str">
            <v xml:space="preserve"> 40-45 years</v>
          </cell>
          <cell r="F567" t="str">
            <v>Madhya Pradesh</v>
          </cell>
          <cell r="G567" t="str">
            <v>STATE SECTOR</v>
          </cell>
          <cell r="I567" t="str">
            <v>0.00</v>
          </cell>
          <cell r="J567">
            <v>1660.4380000000001</v>
          </cell>
          <cell r="K567" t="str">
            <v>Contracted</v>
          </cell>
        </row>
        <row r="568">
          <cell r="C568" t="str">
            <v>SATPURA TPS8</v>
          </cell>
          <cell r="D568">
            <v>210</v>
          </cell>
          <cell r="E568" t="str">
            <v xml:space="preserve"> 35-40 years</v>
          </cell>
          <cell r="F568" t="str">
            <v>Madhya Pradesh</v>
          </cell>
          <cell r="G568" t="str">
            <v>STATE SECTOR</v>
          </cell>
          <cell r="I568" t="str">
            <v>0.00</v>
          </cell>
          <cell r="J568">
            <v>1579.4869999999901</v>
          </cell>
          <cell r="K568" t="str">
            <v>Contracted</v>
          </cell>
        </row>
        <row r="569">
          <cell r="C569" t="str">
            <v>SATPURA TPS9</v>
          </cell>
          <cell r="D569">
            <v>210</v>
          </cell>
          <cell r="E569" t="str">
            <v xml:space="preserve"> 35-40 years</v>
          </cell>
          <cell r="F569" t="str">
            <v>Madhya Pradesh</v>
          </cell>
          <cell r="G569" t="str">
            <v>STATE SECTOR</v>
          </cell>
          <cell r="I569" t="str">
            <v>0.00</v>
          </cell>
          <cell r="J569">
            <v>1414.45099999999</v>
          </cell>
          <cell r="K569" t="str">
            <v>Contracted</v>
          </cell>
        </row>
        <row r="570">
          <cell r="C570" t="str">
            <v>SEIONI TPP1</v>
          </cell>
          <cell r="D570">
            <v>600</v>
          </cell>
          <cell r="E570" t="str">
            <v xml:space="preserve"> 0-5 years</v>
          </cell>
          <cell r="F570" t="str">
            <v>Madhya Pradesh</v>
          </cell>
          <cell r="G570" t="str">
            <v>PVT SECTOR</v>
          </cell>
          <cell r="H570" t="str">
            <v>1.89</v>
          </cell>
          <cell r="I570" t="str">
            <v>2.08</v>
          </cell>
          <cell r="J570">
            <v>5295.2250000000004</v>
          </cell>
          <cell r="K570" t="str">
            <v>Contracted</v>
          </cell>
        </row>
        <row r="571">
          <cell r="C571" t="str">
            <v>SEMBCORP GAYATRI P. LTD2</v>
          </cell>
          <cell r="D571">
            <v>660</v>
          </cell>
          <cell r="E571" t="str">
            <v xml:space="preserve"> 0-5 years</v>
          </cell>
          <cell r="F571" t="str">
            <v>Andhra Pradesh</v>
          </cell>
          <cell r="G571" t="str">
            <v>PVT SECTOR</v>
          </cell>
          <cell r="J571">
            <v>9154.2350000000097</v>
          </cell>
          <cell r="K571" t="str">
            <v>Not contracted</v>
          </cell>
        </row>
        <row r="572">
          <cell r="C572" t="str">
            <v>SEMBCORP GAYATRI P. LTD1</v>
          </cell>
          <cell r="D572">
            <v>660</v>
          </cell>
          <cell r="E572" t="str">
            <v xml:space="preserve"> 0-5 years</v>
          </cell>
          <cell r="F572" t="str">
            <v>Andhra Pradesh</v>
          </cell>
          <cell r="G572" t="str">
            <v>PVT SECTOR</v>
          </cell>
          <cell r="J572">
            <v>8748.8549999999996</v>
          </cell>
          <cell r="K572" t="str">
            <v>Not contracted</v>
          </cell>
        </row>
        <row r="573">
          <cell r="C573" t="str">
            <v>SHIRPUR TPP1</v>
          </cell>
          <cell r="D573">
            <v>150</v>
          </cell>
          <cell r="E573" t="str">
            <v xml:space="preserve"> 0-5 years</v>
          </cell>
          <cell r="F573" t="str">
            <v>Maharashtra</v>
          </cell>
          <cell r="G573" t="str">
            <v>PVT SECTOR</v>
          </cell>
          <cell r="J573">
            <v>0</v>
          </cell>
          <cell r="K573" t="str">
            <v>Not contracted</v>
          </cell>
        </row>
        <row r="574">
          <cell r="C574" t="str">
            <v>SHIRPUR TPP2</v>
          </cell>
          <cell r="D574">
            <v>0</v>
          </cell>
          <cell r="E574" t="e">
            <v>#N/A</v>
          </cell>
          <cell r="F574" t="str">
            <v>Maharashtra</v>
          </cell>
          <cell r="G574" t="str">
            <v>PVT SECTOR</v>
          </cell>
          <cell r="J574">
            <v>0</v>
          </cell>
          <cell r="K574" t="str">
            <v>Not contracted</v>
          </cell>
        </row>
        <row r="575">
          <cell r="C575" t="str">
            <v>SHREE SINGAJI TPP1</v>
          </cell>
          <cell r="D575">
            <v>600</v>
          </cell>
          <cell r="E575" t="str">
            <v xml:space="preserve"> 5-10 years</v>
          </cell>
          <cell r="F575" t="str">
            <v>Madhya Pradesh</v>
          </cell>
          <cell r="G575" t="str">
            <v>STATE SECTOR</v>
          </cell>
          <cell r="J575">
            <v>5488.8299999999899</v>
          </cell>
          <cell r="K575" t="str">
            <v>Contracted</v>
          </cell>
        </row>
        <row r="576">
          <cell r="C576" t="str">
            <v>SHREE SINGAJI TPP2</v>
          </cell>
          <cell r="D576">
            <v>600</v>
          </cell>
          <cell r="E576" t="str">
            <v xml:space="preserve"> 5-10 years</v>
          </cell>
          <cell r="F576" t="str">
            <v>Madhya Pradesh</v>
          </cell>
          <cell r="G576" t="str">
            <v>STATE SECTOR</v>
          </cell>
          <cell r="J576">
            <v>4944.0409999999902</v>
          </cell>
          <cell r="K576" t="str">
            <v>Contracted</v>
          </cell>
        </row>
        <row r="577">
          <cell r="C577" t="str">
            <v>SHREE SINGAJI TPP3</v>
          </cell>
          <cell r="D577">
            <v>660</v>
          </cell>
          <cell r="E577" t="str">
            <v xml:space="preserve"> 0-5 years</v>
          </cell>
          <cell r="F577" t="str">
            <v>Madhya Pradesh</v>
          </cell>
          <cell r="G577" t="str">
            <v>STATE SECTOR</v>
          </cell>
          <cell r="J577">
            <v>3659.5499999999902</v>
          </cell>
          <cell r="K577" t="str">
            <v>Contracted</v>
          </cell>
        </row>
        <row r="578">
          <cell r="C578" t="str">
            <v>SHREE SINGAJI TPP4</v>
          </cell>
          <cell r="D578">
            <v>660</v>
          </cell>
          <cell r="E578" t="str">
            <v xml:space="preserve"> 0-5 years</v>
          </cell>
          <cell r="F578" t="str">
            <v>Madhya Pradesh</v>
          </cell>
          <cell r="G578" t="str">
            <v>STATE SECTOR</v>
          </cell>
          <cell r="J578">
            <v>2019.53</v>
          </cell>
          <cell r="K578" t="str">
            <v>Contracted</v>
          </cell>
        </row>
        <row r="579">
          <cell r="C579" t="str">
            <v>SHREE SINGAJI TPP3</v>
          </cell>
          <cell r="D579">
            <v>0</v>
          </cell>
          <cell r="E579" t="str">
            <v xml:space="preserve"> 0-5 years</v>
          </cell>
          <cell r="F579" t="str">
            <v>Madhya Pradesh</v>
          </cell>
          <cell r="G579" t="str">
            <v>STATE SECTOR</v>
          </cell>
          <cell r="J579">
            <v>0</v>
          </cell>
          <cell r="K579" t="str">
            <v>Contracted</v>
          </cell>
        </row>
        <row r="580">
          <cell r="C580" t="str">
            <v>SHREE SINGAJI TPP4</v>
          </cell>
          <cell r="D580">
            <v>0</v>
          </cell>
          <cell r="E580" t="str">
            <v xml:space="preserve"> 0-5 years</v>
          </cell>
          <cell r="F580" t="str">
            <v>Madhya Pradesh</v>
          </cell>
          <cell r="G580" t="str">
            <v>STATE SECTOR</v>
          </cell>
          <cell r="J580">
            <v>0</v>
          </cell>
          <cell r="K580" t="str">
            <v>Contracted</v>
          </cell>
        </row>
        <row r="581">
          <cell r="C581" t="str">
            <v>SIKKA REP. TPS3</v>
          </cell>
          <cell r="D581">
            <v>250</v>
          </cell>
          <cell r="E581" t="str">
            <v xml:space="preserve"> 5-10 years</v>
          </cell>
          <cell r="F581" t="str">
            <v>Gujarat</v>
          </cell>
          <cell r="G581" t="str">
            <v>STATE SECTOR</v>
          </cell>
          <cell r="H581" t="str">
            <v>3.33</v>
          </cell>
          <cell r="I581" t="str">
            <v>1.58</v>
          </cell>
          <cell r="J581">
            <v>2725.2894999999999</v>
          </cell>
          <cell r="K581" t="str">
            <v>Contracted</v>
          </cell>
        </row>
        <row r="582">
          <cell r="C582" t="str">
            <v>SIKKA REP. TPS4</v>
          </cell>
          <cell r="D582">
            <v>250</v>
          </cell>
          <cell r="E582" t="str">
            <v xml:space="preserve"> 0-5 years</v>
          </cell>
          <cell r="F582" t="str">
            <v>Gujarat</v>
          </cell>
          <cell r="G582" t="str">
            <v>STATE SECTOR</v>
          </cell>
          <cell r="H582" t="str">
            <v>3.33</v>
          </cell>
          <cell r="I582" t="str">
            <v>1.58</v>
          </cell>
          <cell r="J582">
            <v>2660.5284999999999</v>
          </cell>
          <cell r="K582" t="str">
            <v>Contracted</v>
          </cell>
        </row>
        <row r="583">
          <cell r="C583" t="str">
            <v>SIMHADRI STPP2</v>
          </cell>
          <cell r="D583">
            <v>500</v>
          </cell>
          <cell r="E583" t="str">
            <v xml:space="preserve"> 15-20 years</v>
          </cell>
          <cell r="F583" t="str">
            <v>Andhra Pradesh</v>
          </cell>
          <cell r="G583" t="str">
            <v>CENTRAL SECTOR</v>
          </cell>
          <cell r="H583" t="str">
            <v>3.18</v>
          </cell>
          <cell r="I583" t="str">
            <v>0.93</v>
          </cell>
          <cell r="J583">
            <v>5921.03999999999</v>
          </cell>
          <cell r="K583" t="str">
            <v>Contracted</v>
          </cell>
        </row>
        <row r="584">
          <cell r="C584" t="str">
            <v>SIMHADRI STPP4</v>
          </cell>
          <cell r="D584">
            <v>500</v>
          </cell>
          <cell r="E584" t="str">
            <v xml:space="preserve"> 5-10 years</v>
          </cell>
          <cell r="F584" t="str">
            <v>Andhra Pradesh</v>
          </cell>
          <cell r="G584" t="str">
            <v>CENTRAL SECTOR</v>
          </cell>
          <cell r="H584" t="str">
            <v>3.18</v>
          </cell>
          <cell r="I584" t="str">
            <v>0.93</v>
          </cell>
          <cell r="J584">
            <v>5804.71</v>
          </cell>
          <cell r="K584" t="str">
            <v>Contracted</v>
          </cell>
        </row>
        <row r="585">
          <cell r="C585" t="str">
            <v>SIMHADRI STPP3</v>
          </cell>
          <cell r="D585">
            <v>500</v>
          </cell>
          <cell r="E585" t="str">
            <v xml:space="preserve"> 5-10 years</v>
          </cell>
          <cell r="F585" t="str">
            <v>Andhra Pradesh</v>
          </cell>
          <cell r="G585" t="str">
            <v>CENTRAL SECTOR</v>
          </cell>
          <cell r="H585" t="str">
            <v>3.18</v>
          </cell>
          <cell r="I585" t="str">
            <v>0.93</v>
          </cell>
          <cell r="J585">
            <v>5540.54</v>
          </cell>
          <cell r="K585" t="str">
            <v>Contracted</v>
          </cell>
        </row>
        <row r="586">
          <cell r="C586" t="str">
            <v>SIMHADRI STPP1</v>
          </cell>
          <cell r="D586">
            <v>500</v>
          </cell>
          <cell r="E586" t="str">
            <v xml:space="preserve"> 15-20 years</v>
          </cell>
          <cell r="F586" t="str">
            <v>Andhra Pradesh</v>
          </cell>
          <cell r="G586" t="str">
            <v>CENTRAL SECTOR</v>
          </cell>
          <cell r="I586" t="str">
            <v>0.93</v>
          </cell>
          <cell r="J586">
            <v>5411.09</v>
          </cell>
          <cell r="K586" t="str">
            <v>Contracted</v>
          </cell>
        </row>
        <row r="587">
          <cell r="C587" t="str">
            <v>SIMHAPURI TPS3</v>
          </cell>
          <cell r="D587">
            <v>150</v>
          </cell>
          <cell r="E587" t="str">
            <v xml:space="preserve"> 5-10 years</v>
          </cell>
          <cell r="F587" t="str">
            <v>Andhra Pradesh</v>
          </cell>
          <cell r="G587" t="str">
            <v>PVT SECTOR</v>
          </cell>
          <cell r="J587">
            <v>73.63</v>
          </cell>
          <cell r="K587" t="str">
            <v>Not contracted</v>
          </cell>
        </row>
        <row r="588">
          <cell r="C588" t="str">
            <v>SIMHAPURI TPS2</v>
          </cell>
          <cell r="D588">
            <v>150</v>
          </cell>
          <cell r="E588" t="str">
            <v xml:space="preserve"> 5-10 years</v>
          </cell>
          <cell r="F588" t="str">
            <v>Andhra Pradesh</v>
          </cell>
          <cell r="G588" t="str">
            <v>PVT SECTOR</v>
          </cell>
          <cell r="J588">
            <v>19.889999999999901</v>
          </cell>
          <cell r="K588" t="str">
            <v>Not contracted</v>
          </cell>
        </row>
        <row r="589">
          <cell r="C589" t="str">
            <v>SIMHAPURI TPS1</v>
          </cell>
          <cell r="D589">
            <v>150</v>
          </cell>
          <cell r="E589" t="str">
            <v xml:space="preserve"> 5-10 years</v>
          </cell>
          <cell r="F589" t="str">
            <v>Andhra Pradesh</v>
          </cell>
          <cell r="G589" t="str">
            <v>PVT SECTOR</v>
          </cell>
          <cell r="J589">
            <v>0</v>
          </cell>
          <cell r="K589" t="str">
            <v>Not contracted</v>
          </cell>
        </row>
        <row r="590">
          <cell r="C590" t="str">
            <v>SIMHAPURI TPS4</v>
          </cell>
          <cell r="D590">
            <v>150</v>
          </cell>
          <cell r="E590" t="str">
            <v xml:space="preserve"> 5-10 years</v>
          </cell>
          <cell r="F590" t="str">
            <v>Andhra Pradesh</v>
          </cell>
          <cell r="G590" t="str">
            <v>PVT SECTOR</v>
          </cell>
          <cell r="J590">
            <v>0</v>
          </cell>
          <cell r="K590" t="str">
            <v>Not contracted</v>
          </cell>
        </row>
        <row r="591">
          <cell r="C591" t="str">
            <v>SINGARENI TPP1</v>
          </cell>
          <cell r="D591">
            <v>600</v>
          </cell>
          <cell r="E591" t="str">
            <v xml:space="preserve"> 0-5 years</v>
          </cell>
          <cell r="F591" t="str">
            <v>Telangana</v>
          </cell>
          <cell r="G591" t="str">
            <v>STATE SECTOR</v>
          </cell>
          <cell r="I591" t="str">
            <v>1.80</v>
          </cell>
          <cell r="J591">
            <v>8925.5799999999799</v>
          </cell>
          <cell r="K591" t="str">
            <v>Contracted</v>
          </cell>
        </row>
        <row r="592">
          <cell r="C592" t="str">
            <v>SINGARENI TPP2</v>
          </cell>
          <cell r="D592">
            <v>600</v>
          </cell>
          <cell r="E592" t="str">
            <v xml:space="preserve"> 0-5 years</v>
          </cell>
          <cell r="F592" t="str">
            <v>Telangana</v>
          </cell>
          <cell r="G592" t="str">
            <v>STATE SECTOR</v>
          </cell>
          <cell r="H592" t="str">
            <v>2.74</v>
          </cell>
          <cell r="I592" t="str">
            <v>1.80</v>
          </cell>
          <cell r="J592">
            <v>8623.3829999999798</v>
          </cell>
          <cell r="K592" t="str">
            <v>Contracted</v>
          </cell>
        </row>
        <row r="593">
          <cell r="C593" t="str">
            <v>SINGHITARAI TPP1</v>
          </cell>
          <cell r="D593">
            <v>0</v>
          </cell>
          <cell r="E593" t="e">
            <v>#N/A</v>
          </cell>
          <cell r="F593" t="str">
            <v>Chhattisgarh</v>
          </cell>
          <cell r="G593" t="str">
            <v>PVT SECTOR</v>
          </cell>
          <cell r="J593">
            <v>0</v>
          </cell>
          <cell r="K593" t="str">
            <v>Not contracted</v>
          </cell>
        </row>
        <row r="594">
          <cell r="C594" t="str">
            <v>SINGHITARAI TPP2</v>
          </cell>
          <cell r="D594">
            <v>0</v>
          </cell>
          <cell r="E594" t="e">
            <v>#N/A</v>
          </cell>
          <cell r="F594" t="str">
            <v>Chhattisgarh</v>
          </cell>
          <cell r="G594" t="str">
            <v>PVT SECTOR</v>
          </cell>
          <cell r="J594">
            <v>0</v>
          </cell>
          <cell r="K594" t="str">
            <v>Not contracted</v>
          </cell>
        </row>
        <row r="595">
          <cell r="C595" t="str">
            <v>SINGRAULI STPS7</v>
          </cell>
          <cell r="D595">
            <v>500</v>
          </cell>
          <cell r="E595" t="str">
            <v xml:space="preserve"> 30-35 years</v>
          </cell>
          <cell r="F595" t="str">
            <v>Uttar Pradesh</v>
          </cell>
          <cell r="G595" t="str">
            <v>CENTRAL SECTOR</v>
          </cell>
          <cell r="H595" t="str">
            <v>1.41</v>
          </cell>
          <cell r="I595" t="str">
            <v>1.01</v>
          </cell>
          <cell r="J595">
            <v>7621.14</v>
          </cell>
          <cell r="K595" t="str">
            <v>Contracted</v>
          </cell>
        </row>
        <row r="596">
          <cell r="C596" t="str">
            <v>SINGRAULI STPS6</v>
          </cell>
          <cell r="D596">
            <v>500</v>
          </cell>
          <cell r="E596" t="str">
            <v xml:space="preserve"> 30-35 years</v>
          </cell>
          <cell r="F596" t="str">
            <v>Uttar Pradesh</v>
          </cell>
          <cell r="G596" t="str">
            <v>CENTRAL SECTOR</v>
          </cell>
          <cell r="H596" t="str">
            <v>1.41</v>
          </cell>
          <cell r="I596" t="str">
            <v>1.01</v>
          </cell>
          <cell r="J596">
            <v>7424.53999999999</v>
          </cell>
          <cell r="K596" t="str">
            <v>Contracted</v>
          </cell>
        </row>
        <row r="597">
          <cell r="C597" t="str">
            <v>SINGRAULI STPS4</v>
          </cell>
          <cell r="D597">
            <v>200</v>
          </cell>
          <cell r="E597" t="str">
            <v xml:space="preserve"> 35-40 years</v>
          </cell>
          <cell r="F597" t="str">
            <v>Uttar Pradesh</v>
          </cell>
          <cell r="G597" t="str">
            <v>CENTRAL SECTOR</v>
          </cell>
          <cell r="H597" t="str">
            <v>1.41</v>
          </cell>
          <cell r="I597" t="str">
            <v>1.01</v>
          </cell>
          <cell r="J597">
            <v>3032.01999999999</v>
          </cell>
          <cell r="K597" t="str">
            <v>Contracted</v>
          </cell>
        </row>
        <row r="598">
          <cell r="C598" t="str">
            <v>SINGRAULI STPS2</v>
          </cell>
          <cell r="D598">
            <v>200</v>
          </cell>
          <cell r="E598" t="str">
            <v xml:space="preserve"> 35-40 years</v>
          </cell>
          <cell r="F598" t="str">
            <v>Uttar Pradesh</v>
          </cell>
          <cell r="G598" t="str">
            <v>CENTRAL SECTOR</v>
          </cell>
          <cell r="H598" t="str">
            <v>1.41</v>
          </cell>
          <cell r="I598" t="str">
            <v>1.01</v>
          </cell>
          <cell r="J598">
            <v>3008.1299999999901</v>
          </cell>
          <cell r="K598" t="str">
            <v>Contracted</v>
          </cell>
        </row>
        <row r="599">
          <cell r="C599" t="str">
            <v>SINGRAULI STPS3</v>
          </cell>
          <cell r="D599">
            <v>200</v>
          </cell>
          <cell r="E599" t="str">
            <v xml:space="preserve"> 35-40 years</v>
          </cell>
          <cell r="F599" t="str">
            <v>Uttar Pradesh</v>
          </cell>
          <cell r="G599" t="str">
            <v>CENTRAL SECTOR</v>
          </cell>
          <cell r="I599" t="str">
            <v>1.01</v>
          </cell>
          <cell r="J599">
            <v>2990.0899999999901</v>
          </cell>
          <cell r="K599" t="str">
            <v>Contracted</v>
          </cell>
        </row>
        <row r="600">
          <cell r="C600" t="str">
            <v>SINGRAULI STPS1</v>
          </cell>
          <cell r="D600">
            <v>200</v>
          </cell>
          <cell r="E600" t="str">
            <v xml:space="preserve"> 35-40 years</v>
          </cell>
          <cell r="F600" t="str">
            <v>Uttar Pradesh</v>
          </cell>
          <cell r="G600" t="str">
            <v>CENTRAL SECTOR</v>
          </cell>
          <cell r="H600" t="str">
            <v>1.41</v>
          </cell>
          <cell r="I600" t="str">
            <v>1.01</v>
          </cell>
          <cell r="J600">
            <v>2854.7199999999898</v>
          </cell>
          <cell r="K600" t="str">
            <v>Contracted</v>
          </cell>
        </row>
        <row r="601">
          <cell r="C601" t="str">
            <v>SINGRAULI STPS5</v>
          </cell>
          <cell r="D601">
            <v>200</v>
          </cell>
          <cell r="E601" t="str">
            <v xml:space="preserve"> 35-40 years</v>
          </cell>
          <cell r="F601" t="str">
            <v>Uttar Pradesh</v>
          </cell>
          <cell r="G601" t="str">
            <v>CENTRAL SECTOR</v>
          </cell>
          <cell r="H601" t="str">
            <v>1.41</v>
          </cell>
          <cell r="I601" t="str">
            <v>1.01</v>
          </cell>
          <cell r="J601">
            <v>2722.33</v>
          </cell>
          <cell r="K601" t="str">
            <v>Contracted</v>
          </cell>
        </row>
        <row r="602">
          <cell r="C602" t="str">
            <v>SIPAT STPS3</v>
          </cell>
          <cell r="D602">
            <v>660</v>
          </cell>
          <cell r="E602" t="str">
            <v xml:space="preserve"> 5-10 years</v>
          </cell>
          <cell r="F602" t="str">
            <v>Chhattisgarh</v>
          </cell>
          <cell r="G602" t="str">
            <v>CENTRAL SECTOR</v>
          </cell>
          <cell r="J602">
            <v>10191.68</v>
          </cell>
          <cell r="K602" t="str">
            <v>Contracted</v>
          </cell>
        </row>
        <row r="603">
          <cell r="C603" t="str">
            <v>SIPAT STPS1</v>
          </cell>
          <cell r="D603">
            <v>660</v>
          </cell>
          <cell r="E603" t="str">
            <v xml:space="preserve"> 5-10 years</v>
          </cell>
          <cell r="F603" t="str">
            <v>Chhattisgarh</v>
          </cell>
          <cell r="G603" t="str">
            <v>CENTRAL SECTOR</v>
          </cell>
          <cell r="J603">
            <v>10068.82</v>
          </cell>
          <cell r="K603" t="str">
            <v>Contracted</v>
          </cell>
        </row>
        <row r="604">
          <cell r="C604" t="str">
            <v>SIPAT STPS2</v>
          </cell>
          <cell r="D604">
            <v>660</v>
          </cell>
          <cell r="E604" t="str">
            <v xml:space="preserve"> 5-10 years</v>
          </cell>
          <cell r="F604" t="str">
            <v>Chhattisgarh</v>
          </cell>
          <cell r="G604" t="str">
            <v>CENTRAL SECTOR</v>
          </cell>
          <cell r="J604">
            <v>9908.43</v>
          </cell>
          <cell r="K604" t="str">
            <v>Contracted</v>
          </cell>
        </row>
        <row r="605">
          <cell r="C605" t="str">
            <v>SIPAT STPS5</v>
          </cell>
          <cell r="D605">
            <v>500</v>
          </cell>
          <cell r="E605" t="str">
            <v xml:space="preserve"> 10-15 years</v>
          </cell>
          <cell r="F605" t="str">
            <v>Chhattisgarh</v>
          </cell>
          <cell r="G605" t="str">
            <v>CENTRAL SECTOR</v>
          </cell>
          <cell r="J605">
            <v>7994.19</v>
          </cell>
          <cell r="K605" t="str">
            <v>Contracted</v>
          </cell>
        </row>
        <row r="606">
          <cell r="C606" t="str">
            <v>SIPAT STPS4</v>
          </cell>
          <cell r="D606">
            <v>500</v>
          </cell>
          <cell r="E606" t="str">
            <v xml:space="preserve"> 10-15 years</v>
          </cell>
          <cell r="F606" t="str">
            <v>Chhattisgarh</v>
          </cell>
          <cell r="G606" t="str">
            <v>CENTRAL SECTOR</v>
          </cell>
          <cell r="J606">
            <v>7394.9</v>
          </cell>
          <cell r="K606" t="str">
            <v>Contracted</v>
          </cell>
        </row>
        <row r="607">
          <cell r="C607" t="str">
            <v>SOLAPUR STPS1</v>
          </cell>
          <cell r="D607">
            <v>660</v>
          </cell>
          <cell r="E607" t="str">
            <v xml:space="preserve"> 0-5 years</v>
          </cell>
          <cell r="F607" t="str">
            <v>Maharashtra</v>
          </cell>
          <cell r="G607" t="str">
            <v>CENTRAL SECTOR</v>
          </cell>
          <cell r="J607">
            <v>2365.02</v>
          </cell>
          <cell r="K607" t="str">
            <v>Contracted</v>
          </cell>
        </row>
        <row r="608">
          <cell r="C608" t="str">
            <v>SOLAPUR STPS2</v>
          </cell>
          <cell r="D608">
            <v>660</v>
          </cell>
          <cell r="E608" t="str">
            <v xml:space="preserve"> 0-5 years</v>
          </cell>
          <cell r="F608" t="str">
            <v>Maharashtra</v>
          </cell>
          <cell r="G608" t="str">
            <v>CENTRAL SECTOR</v>
          </cell>
          <cell r="J608">
            <v>174.35</v>
          </cell>
          <cell r="K608" t="str">
            <v>Not contracted</v>
          </cell>
        </row>
        <row r="609">
          <cell r="C609" t="str">
            <v>SOLAPUR STPS2</v>
          </cell>
          <cell r="D609">
            <v>0</v>
          </cell>
          <cell r="E609" t="str">
            <v xml:space="preserve"> 0-5 years</v>
          </cell>
          <cell r="F609" t="str">
            <v>Maharashtra</v>
          </cell>
          <cell r="G609" t="str">
            <v>CENTRAL SECTOR</v>
          </cell>
          <cell r="J609">
            <v>0</v>
          </cell>
          <cell r="K609" t="str">
            <v>Contracted</v>
          </cell>
        </row>
        <row r="610">
          <cell r="C610" t="str">
            <v>SOUTHERN REPL. TPS2</v>
          </cell>
          <cell r="D610">
            <v>67.5</v>
          </cell>
          <cell r="E610" t="str">
            <v xml:space="preserve"> 25-30 years</v>
          </cell>
          <cell r="F610" t="str">
            <v>West Bengal</v>
          </cell>
          <cell r="G610" t="str">
            <v>PVT SECTOR</v>
          </cell>
          <cell r="J610">
            <v>360.00179999999898</v>
          </cell>
          <cell r="K610" t="str">
            <v>Contracted</v>
          </cell>
        </row>
        <row r="611">
          <cell r="C611" t="str">
            <v>SOUTHERN REPL. TPS1</v>
          </cell>
          <cell r="D611">
            <v>67.5</v>
          </cell>
          <cell r="E611" t="str">
            <v xml:space="preserve"> 25-30 years</v>
          </cell>
          <cell r="F611" t="str">
            <v>West Bengal</v>
          </cell>
          <cell r="G611" t="str">
            <v>PVT SECTOR</v>
          </cell>
          <cell r="J611">
            <v>258.387</v>
          </cell>
          <cell r="K611" t="str">
            <v>Contracted</v>
          </cell>
        </row>
        <row r="612">
          <cell r="C612" t="str">
            <v>STERLITE TPP2</v>
          </cell>
          <cell r="D612">
            <v>600</v>
          </cell>
          <cell r="E612" t="str">
            <v xml:space="preserve"> 5-10 years</v>
          </cell>
          <cell r="F612" t="str">
            <v>Odisha</v>
          </cell>
          <cell r="G612" t="str">
            <v>PVT SECTOR</v>
          </cell>
          <cell r="H612" t="str">
            <v>1.60</v>
          </cell>
          <cell r="I612" t="str">
            <v>0.95</v>
          </cell>
          <cell r="J612">
            <v>1241.809</v>
          </cell>
          <cell r="K612" t="str">
            <v>Not contracted</v>
          </cell>
        </row>
        <row r="613">
          <cell r="C613" t="str">
            <v>STERLITE TPP1</v>
          </cell>
          <cell r="D613">
            <v>600</v>
          </cell>
          <cell r="E613" t="str">
            <v xml:space="preserve"> 10-15 years</v>
          </cell>
          <cell r="F613" t="str">
            <v>Odisha</v>
          </cell>
          <cell r="G613" t="str">
            <v>PVT SECTOR</v>
          </cell>
          <cell r="H613" t="str">
            <v>1.60</v>
          </cell>
          <cell r="I613" t="str">
            <v>0.95</v>
          </cell>
          <cell r="J613">
            <v>104.41</v>
          </cell>
          <cell r="K613" t="str">
            <v>Contracted</v>
          </cell>
        </row>
        <row r="614">
          <cell r="C614" t="str">
            <v>SURAT LIG. TPS4</v>
          </cell>
          <cell r="D614">
            <v>125</v>
          </cell>
          <cell r="E614" t="str">
            <v xml:space="preserve"> 5-10 years</v>
          </cell>
          <cell r="F614" t="str">
            <v>Gujarat</v>
          </cell>
          <cell r="G614" t="str">
            <v>PVT SECTOR</v>
          </cell>
          <cell r="I614" t="str">
            <v>1.53</v>
          </cell>
          <cell r="J614">
            <v>1775.8330000000001</v>
          </cell>
          <cell r="K614" t="str">
            <v>Contracted</v>
          </cell>
        </row>
        <row r="615">
          <cell r="C615" t="str">
            <v>SURAT LIG. TPS3</v>
          </cell>
          <cell r="D615">
            <v>125</v>
          </cell>
          <cell r="E615" t="str">
            <v xml:space="preserve"> 5-10 years</v>
          </cell>
          <cell r="F615" t="str">
            <v>Gujarat</v>
          </cell>
          <cell r="G615" t="str">
            <v>PVT SECTOR</v>
          </cell>
          <cell r="H615" t="str">
            <v>1.30</v>
          </cell>
          <cell r="I615" t="str">
            <v>1.53</v>
          </cell>
          <cell r="J615">
            <v>1692.8969999999999</v>
          </cell>
          <cell r="K615" t="str">
            <v>Contracted</v>
          </cell>
        </row>
        <row r="616">
          <cell r="C616" t="str">
            <v>SURAT LIG. TPS1</v>
          </cell>
          <cell r="D616">
            <v>125</v>
          </cell>
          <cell r="E616" t="str">
            <v xml:space="preserve"> 20-25 years</v>
          </cell>
          <cell r="F616" t="str">
            <v>Gujarat</v>
          </cell>
          <cell r="G616" t="str">
            <v>PVT SECTOR</v>
          </cell>
          <cell r="H616" t="str">
            <v>1.30</v>
          </cell>
          <cell r="I616" t="str">
            <v>1.53</v>
          </cell>
          <cell r="J616">
            <v>1670.5114999999901</v>
          </cell>
          <cell r="K616" t="str">
            <v>Contracted</v>
          </cell>
        </row>
        <row r="617">
          <cell r="C617" t="str">
            <v>SURAT LIG. TPS2</v>
          </cell>
          <cell r="D617">
            <v>125</v>
          </cell>
          <cell r="E617" t="str">
            <v xml:space="preserve"> 20-25 years</v>
          </cell>
          <cell r="F617" t="str">
            <v>Gujarat</v>
          </cell>
          <cell r="G617" t="str">
            <v>PVT SECTOR</v>
          </cell>
          <cell r="H617" t="str">
            <v>1.30</v>
          </cell>
          <cell r="I617" t="str">
            <v>1.53</v>
          </cell>
          <cell r="J617">
            <v>1631.0764999999999</v>
          </cell>
          <cell r="K617" t="str">
            <v>Contracted</v>
          </cell>
        </row>
        <row r="618">
          <cell r="C618" t="str">
            <v>SURATGARH TPS1</v>
          </cell>
          <cell r="D618">
            <v>250</v>
          </cell>
          <cell r="E618" t="str">
            <v xml:space="preserve"> 20-25 years</v>
          </cell>
          <cell r="F618" t="str">
            <v>Rajasthan</v>
          </cell>
          <cell r="G618" t="str">
            <v>STATE SECTOR</v>
          </cell>
          <cell r="H618" t="str">
            <v>4.02</v>
          </cell>
          <cell r="I618" t="str">
            <v>0.82</v>
          </cell>
          <cell r="J618">
            <v>2555.701</v>
          </cell>
          <cell r="K618" t="str">
            <v>Contracted</v>
          </cell>
        </row>
        <row r="619">
          <cell r="C619" t="str">
            <v>SURATGARH TPS4</v>
          </cell>
          <cell r="D619">
            <v>250</v>
          </cell>
          <cell r="E619" t="str">
            <v xml:space="preserve"> 15-20 years</v>
          </cell>
          <cell r="F619" t="str">
            <v>Rajasthan</v>
          </cell>
          <cell r="G619" t="str">
            <v>STATE SECTOR</v>
          </cell>
          <cell r="I619" t="str">
            <v>0.82</v>
          </cell>
          <cell r="J619">
            <v>2136.9430000000002</v>
          </cell>
          <cell r="K619" t="str">
            <v>Contracted</v>
          </cell>
        </row>
        <row r="620">
          <cell r="C620" t="str">
            <v>SURATGARH TPS3</v>
          </cell>
          <cell r="D620">
            <v>250</v>
          </cell>
          <cell r="E620" t="str">
            <v xml:space="preserve"> 15-20 years</v>
          </cell>
          <cell r="F620" t="str">
            <v>Rajasthan</v>
          </cell>
          <cell r="G620" t="str">
            <v>STATE SECTOR</v>
          </cell>
          <cell r="H620" t="str">
            <v>4.02</v>
          </cell>
          <cell r="I620" t="str">
            <v>0.82</v>
          </cell>
          <cell r="J620">
            <v>1990.739</v>
          </cell>
          <cell r="K620" t="str">
            <v>Contracted</v>
          </cell>
        </row>
        <row r="621">
          <cell r="C621" t="str">
            <v>SURATGARH TPS6</v>
          </cell>
          <cell r="D621">
            <v>250</v>
          </cell>
          <cell r="E621" t="str">
            <v xml:space="preserve"> 10-15 years</v>
          </cell>
          <cell r="F621" t="str">
            <v>Rajasthan</v>
          </cell>
          <cell r="G621" t="str">
            <v>STATE SECTOR</v>
          </cell>
          <cell r="H621" t="str">
            <v>4.02</v>
          </cell>
          <cell r="I621" t="str">
            <v>0.82</v>
          </cell>
          <cell r="J621">
            <v>1731.32</v>
          </cell>
          <cell r="K621" t="str">
            <v>Contracted</v>
          </cell>
        </row>
        <row r="622">
          <cell r="C622" t="str">
            <v>SURATGARH TPS2</v>
          </cell>
          <cell r="D622">
            <v>250</v>
          </cell>
          <cell r="E622" t="str">
            <v xml:space="preserve"> 20-25 years</v>
          </cell>
          <cell r="F622" t="str">
            <v>Rajasthan</v>
          </cell>
          <cell r="G622" t="str">
            <v>STATE SECTOR</v>
          </cell>
          <cell r="H622" t="str">
            <v>4.02</v>
          </cell>
          <cell r="I622" t="str">
            <v>0.82</v>
          </cell>
          <cell r="J622">
            <v>1730.48899999999</v>
          </cell>
          <cell r="K622" t="str">
            <v>Contracted</v>
          </cell>
        </row>
        <row r="623">
          <cell r="C623" t="str">
            <v>SURATGARH TPS5</v>
          </cell>
          <cell r="D623">
            <v>250</v>
          </cell>
          <cell r="E623" t="str">
            <v xml:space="preserve"> 15-20 years</v>
          </cell>
          <cell r="F623" t="str">
            <v>Rajasthan</v>
          </cell>
          <cell r="G623" t="str">
            <v>STATE SECTOR</v>
          </cell>
          <cell r="H623" t="str">
            <v>4.02</v>
          </cell>
          <cell r="I623" t="str">
            <v>0.82</v>
          </cell>
          <cell r="J623">
            <v>1704.8289999999899</v>
          </cell>
          <cell r="K623" t="str">
            <v>Contracted</v>
          </cell>
        </row>
        <row r="624">
          <cell r="C624" t="str">
            <v>SURATGARH TPS7</v>
          </cell>
          <cell r="D624">
            <v>660</v>
          </cell>
          <cell r="E624" t="e">
            <v>#N/A</v>
          </cell>
          <cell r="F624" t="str">
            <v>Rajasthan</v>
          </cell>
          <cell r="G624" t="str">
            <v>STATE SECTOR</v>
          </cell>
          <cell r="J624">
            <v>13.75</v>
          </cell>
          <cell r="K624" t="str">
            <v>Not contracted</v>
          </cell>
        </row>
        <row r="625">
          <cell r="C625" t="str">
            <v>SURATGARH TPS7</v>
          </cell>
          <cell r="D625">
            <v>0</v>
          </cell>
          <cell r="E625" t="e">
            <v>#N/A</v>
          </cell>
          <cell r="F625" t="str">
            <v>Rajasthan</v>
          </cell>
          <cell r="G625" t="str">
            <v>STATE SECTOR</v>
          </cell>
          <cell r="J625">
            <v>0</v>
          </cell>
          <cell r="K625" t="str">
            <v>Contracted</v>
          </cell>
        </row>
        <row r="626">
          <cell r="C626" t="str">
            <v>SURATGARH TPS8</v>
          </cell>
          <cell r="D626">
            <v>0</v>
          </cell>
          <cell r="E626" t="e">
            <v>#N/A</v>
          </cell>
          <cell r="F626" t="str">
            <v>Rajasthan</v>
          </cell>
          <cell r="G626" t="str">
            <v>STATE SECTOR</v>
          </cell>
          <cell r="J626">
            <v>0</v>
          </cell>
          <cell r="K626" t="str">
            <v>Contracted</v>
          </cell>
        </row>
        <row r="627">
          <cell r="C627" t="str">
            <v>SVPL TPP1</v>
          </cell>
          <cell r="D627">
            <v>63</v>
          </cell>
          <cell r="E627" t="str">
            <v xml:space="preserve"> 5-10 years</v>
          </cell>
          <cell r="F627" t="str">
            <v>Chhattisgarh</v>
          </cell>
          <cell r="G627" t="str">
            <v>PVT SECTOR</v>
          </cell>
          <cell r="J627">
            <v>304.66999999999899</v>
          </cell>
          <cell r="K627" t="str">
            <v>Not contracted</v>
          </cell>
        </row>
        <row r="628">
          <cell r="C628" t="str">
            <v>SWASTIK KORBA TPP1</v>
          </cell>
          <cell r="D628">
            <v>25</v>
          </cell>
          <cell r="E628" t="str">
            <v xml:space="preserve"> 5-10 years</v>
          </cell>
          <cell r="F628" t="str">
            <v>Chhattisgarh</v>
          </cell>
          <cell r="G628" t="str">
            <v>PVT SECTOR</v>
          </cell>
          <cell r="J628">
            <v>0</v>
          </cell>
          <cell r="K628" t="str">
            <v>Not contracted</v>
          </cell>
        </row>
        <row r="629">
          <cell r="C629" t="str">
            <v>TALCHER (OLD) TPS6</v>
          </cell>
          <cell r="D629">
            <v>110</v>
          </cell>
          <cell r="E629" t="str">
            <v xml:space="preserve"> 45+ years</v>
          </cell>
          <cell r="F629" t="str">
            <v>Odisha</v>
          </cell>
          <cell r="G629" t="str">
            <v>CENTRAL SECTOR</v>
          </cell>
          <cell r="J629">
            <v>1575.1100000000099</v>
          </cell>
          <cell r="K629" t="str">
            <v>Contracted</v>
          </cell>
        </row>
        <row r="630">
          <cell r="C630" t="str">
            <v>TALCHER (OLD) TPS5</v>
          </cell>
          <cell r="D630">
            <v>110</v>
          </cell>
          <cell r="E630" t="str">
            <v xml:space="preserve"> 45+ years</v>
          </cell>
          <cell r="F630" t="str">
            <v>Odisha</v>
          </cell>
          <cell r="G630" t="str">
            <v>CENTRAL SECTOR</v>
          </cell>
          <cell r="J630">
            <v>1560.8</v>
          </cell>
          <cell r="K630" t="str">
            <v>Contracted</v>
          </cell>
        </row>
        <row r="631">
          <cell r="C631" t="str">
            <v>TALCHER (OLD) TPS2</v>
          </cell>
          <cell r="D631">
            <v>60</v>
          </cell>
          <cell r="E631" t="str">
            <v xml:space="preserve"> 45+ years</v>
          </cell>
          <cell r="F631" t="str">
            <v>Odisha</v>
          </cell>
          <cell r="G631" t="str">
            <v>CENTRAL SECTOR</v>
          </cell>
          <cell r="J631">
            <v>973.450000000003</v>
          </cell>
          <cell r="K631" t="str">
            <v>Contracted</v>
          </cell>
        </row>
        <row r="632">
          <cell r="C632" t="str">
            <v>TALCHER (OLD) TPS1</v>
          </cell>
          <cell r="D632">
            <v>60</v>
          </cell>
          <cell r="E632" t="str">
            <v xml:space="preserve"> 45+ years</v>
          </cell>
          <cell r="F632" t="str">
            <v>Odisha</v>
          </cell>
          <cell r="G632" t="str">
            <v>CENTRAL SECTOR</v>
          </cell>
          <cell r="J632">
            <v>946.67000000000496</v>
          </cell>
          <cell r="K632" t="str">
            <v>Contracted</v>
          </cell>
        </row>
        <row r="633">
          <cell r="C633" t="str">
            <v>TALCHER (OLD) TPS3</v>
          </cell>
          <cell r="D633">
            <v>60</v>
          </cell>
          <cell r="E633" t="str">
            <v xml:space="preserve"> 45+ years</v>
          </cell>
          <cell r="F633" t="str">
            <v>Odisha</v>
          </cell>
          <cell r="G633" t="str">
            <v>CENTRAL SECTOR</v>
          </cell>
          <cell r="J633">
            <v>907.07000000000596</v>
          </cell>
          <cell r="K633" t="str">
            <v>Contracted</v>
          </cell>
        </row>
        <row r="634">
          <cell r="C634" t="str">
            <v>TALCHER (OLD) TPS4</v>
          </cell>
          <cell r="D634">
            <v>60</v>
          </cell>
          <cell r="E634" t="str">
            <v xml:space="preserve"> 45+ years</v>
          </cell>
          <cell r="F634" t="str">
            <v>Odisha</v>
          </cell>
          <cell r="G634" t="str">
            <v>CENTRAL SECTOR</v>
          </cell>
          <cell r="J634">
            <v>888.68000000000404</v>
          </cell>
          <cell r="K634" t="str">
            <v>Contracted</v>
          </cell>
        </row>
        <row r="635">
          <cell r="C635" t="str">
            <v>TALCHER STPS6</v>
          </cell>
          <cell r="D635">
            <v>500</v>
          </cell>
          <cell r="E635" t="str">
            <v xml:space="preserve"> 15-20 years</v>
          </cell>
          <cell r="F635" t="str">
            <v>Odisha</v>
          </cell>
          <cell r="G635" t="str">
            <v>CENTRAL SECTOR</v>
          </cell>
          <cell r="I635" t="str">
            <v>0.72</v>
          </cell>
          <cell r="J635">
            <v>6910.2399999999898</v>
          </cell>
          <cell r="K635" t="str">
            <v>Contracted</v>
          </cell>
        </row>
        <row r="636">
          <cell r="C636" t="str">
            <v>TALCHER STPS3</v>
          </cell>
          <cell r="D636">
            <v>500</v>
          </cell>
          <cell r="E636" t="str">
            <v xml:space="preserve"> 15-20 years</v>
          </cell>
          <cell r="F636" t="str">
            <v>Odisha</v>
          </cell>
          <cell r="G636" t="str">
            <v>CENTRAL SECTOR</v>
          </cell>
          <cell r="H636" t="str">
            <v>1.91</v>
          </cell>
          <cell r="I636" t="str">
            <v>0.72</v>
          </cell>
          <cell r="J636">
            <v>6839.75</v>
          </cell>
          <cell r="K636" t="str">
            <v>Contracted</v>
          </cell>
        </row>
        <row r="637">
          <cell r="C637" t="str">
            <v>TALCHER STPS4</v>
          </cell>
          <cell r="D637">
            <v>500</v>
          </cell>
          <cell r="E637" t="str">
            <v xml:space="preserve"> 15-20 years</v>
          </cell>
          <cell r="F637" t="str">
            <v>Odisha</v>
          </cell>
          <cell r="G637" t="str">
            <v>CENTRAL SECTOR</v>
          </cell>
          <cell r="H637" t="str">
            <v>1.91</v>
          </cell>
          <cell r="I637" t="str">
            <v>0.72</v>
          </cell>
          <cell r="J637">
            <v>6675.14</v>
          </cell>
          <cell r="K637" t="str">
            <v>Contracted</v>
          </cell>
        </row>
        <row r="638">
          <cell r="C638" t="str">
            <v>TALCHER STPS1</v>
          </cell>
          <cell r="D638">
            <v>500</v>
          </cell>
          <cell r="E638" t="str">
            <v xml:space="preserve"> 25-30 years</v>
          </cell>
          <cell r="F638" t="str">
            <v>Odisha</v>
          </cell>
          <cell r="G638" t="str">
            <v>CENTRAL SECTOR</v>
          </cell>
          <cell r="I638" t="str">
            <v>0.72</v>
          </cell>
          <cell r="J638">
            <v>6525.78999999999</v>
          </cell>
          <cell r="K638" t="str">
            <v>Contracted</v>
          </cell>
        </row>
        <row r="639">
          <cell r="C639" t="str">
            <v>TALCHER STPS5</v>
          </cell>
          <cell r="D639">
            <v>500</v>
          </cell>
          <cell r="E639" t="str">
            <v xml:space="preserve"> 15-20 years</v>
          </cell>
          <cell r="F639" t="str">
            <v>Odisha</v>
          </cell>
          <cell r="G639" t="str">
            <v>CENTRAL SECTOR</v>
          </cell>
          <cell r="H639" t="str">
            <v>1.91</v>
          </cell>
          <cell r="I639" t="str">
            <v>0.72</v>
          </cell>
          <cell r="J639">
            <v>6518.06</v>
          </cell>
          <cell r="K639" t="str">
            <v>Contracted</v>
          </cell>
        </row>
        <row r="640">
          <cell r="C640" t="str">
            <v>TALCHER STPS2</v>
          </cell>
          <cell r="D640">
            <v>500</v>
          </cell>
          <cell r="E640" t="str">
            <v xml:space="preserve"> 20-25 years</v>
          </cell>
          <cell r="F640" t="str">
            <v>Odisha</v>
          </cell>
          <cell r="G640" t="str">
            <v>CENTRAL SECTOR</v>
          </cell>
          <cell r="H640" t="str">
            <v>1.91</v>
          </cell>
          <cell r="I640" t="str">
            <v>0.72</v>
          </cell>
          <cell r="J640">
            <v>6293.69</v>
          </cell>
          <cell r="K640" t="str">
            <v>Contracted</v>
          </cell>
        </row>
        <row r="641">
          <cell r="C641" t="str">
            <v>TALWANDI SABO TPS1</v>
          </cell>
          <cell r="D641">
            <v>660</v>
          </cell>
          <cell r="E641" t="str">
            <v xml:space="preserve"> 5-10 years</v>
          </cell>
          <cell r="F641" t="str">
            <v>Punjab</v>
          </cell>
          <cell r="G641" t="str">
            <v>PVT SECTOR</v>
          </cell>
          <cell r="H641" t="str">
            <v>2.85</v>
          </cell>
          <cell r="I641" t="str">
            <v>1.20</v>
          </cell>
          <cell r="J641">
            <v>6696.8999999999896</v>
          </cell>
          <cell r="K641" t="str">
            <v>Contracted</v>
          </cell>
        </row>
        <row r="642">
          <cell r="C642" t="str">
            <v>TALWANDI SABO TPS2</v>
          </cell>
          <cell r="D642">
            <v>660</v>
          </cell>
          <cell r="E642" t="str">
            <v xml:space="preserve"> 0-5 years</v>
          </cell>
          <cell r="F642" t="str">
            <v>Punjab</v>
          </cell>
          <cell r="G642" t="str">
            <v>PVT SECTOR</v>
          </cell>
          <cell r="H642" t="str">
            <v>2.85</v>
          </cell>
          <cell r="I642" t="str">
            <v>1.20</v>
          </cell>
          <cell r="J642">
            <v>6585.152</v>
          </cell>
          <cell r="K642" t="str">
            <v>Contracted</v>
          </cell>
        </row>
        <row r="643">
          <cell r="C643" t="str">
            <v>TALWANDI SABO TPS3</v>
          </cell>
          <cell r="D643">
            <v>660</v>
          </cell>
          <cell r="E643" t="str">
            <v xml:space="preserve"> 0-5 years</v>
          </cell>
          <cell r="F643" t="str">
            <v>Punjab</v>
          </cell>
          <cell r="G643" t="str">
            <v>PVT SECTOR</v>
          </cell>
          <cell r="H643" t="str">
            <v>2.85</v>
          </cell>
          <cell r="I643" t="str">
            <v>1.20</v>
          </cell>
          <cell r="J643">
            <v>6207.058</v>
          </cell>
          <cell r="K643" t="str">
            <v>Contracted</v>
          </cell>
        </row>
        <row r="644">
          <cell r="C644" t="str">
            <v>TANDA STPS5</v>
          </cell>
          <cell r="D644">
            <v>660</v>
          </cell>
          <cell r="E644" t="str">
            <v xml:space="preserve"> 0-5 years</v>
          </cell>
          <cell r="F644" t="str">
            <v>Uttar Pradesh</v>
          </cell>
          <cell r="G644" t="str">
            <v>CENTRAL SECTOR</v>
          </cell>
          <cell r="H644" t="str">
            <v>3.14</v>
          </cell>
          <cell r="I644" t="str">
            <v>1.28</v>
          </cell>
          <cell r="J644">
            <v>1725.71</v>
          </cell>
          <cell r="K644" t="str">
            <v>Contracted</v>
          </cell>
        </row>
        <row r="645">
          <cell r="C645" t="str">
            <v>TANDA STPS1</v>
          </cell>
          <cell r="D645">
            <v>110</v>
          </cell>
          <cell r="E645" t="str">
            <v xml:space="preserve"> 30-35 years</v>
          </cell>
          <cell r="F645" t="str">
            <v>Uttar Pradesh</v>
          </cell>
          <cell r="G645" t="str">
            <v>CENTRAL SECTOR</v>
          </cell>
          <cell r="I645" t="str">
            <v>1.28</v>
          </cell>
          <cell r="J645">
            <v>1124.58</v>
          </cell>
          <cell r="K645" t="str">
            <v>Contracted</v>
          </cell>
        </row>
        <row r="646">
          <cell r="C646" t="str">
            <v>TANDA STPS4</v>
          </cell>
          <cell r="D646">
            <v>110</v>
          </cell>
          <cell r="E646" t="str">
            <v xml:space="preserve"> 20-25 years</v>
          </cell>
          <cell r="F646" t="str">
            <v>Uttar Pradesh</v>
          </cell>
          <cell r="G646" t="str">
            <v>CENTRAL SECTOR</v>
          </cell>
          <cell r="H646" t="str">
            <v>3.14</v>
          </cell>
          <cell r="I646" t="str">
            <v>1.28</v>
          </cell>
          <cell r="J646">
            <v>1120.02699999999</v>
          </cell>
          <cell r="K646" t="str">
            <v>Contracted</v>
          </cell>
        </row>
        <row r="647">
          <cell r="C647" t="str">
            <v>TANDA STPS3</v>
          </cell>
          <cell r="D647">
            <v>110</v>
          </cell>
          <cell r="E647" t="str">
            <v xml:space="preserve"> 30-35 years</v>
          </cell>
          <cell r="F647" t="str">
            <v>Uttar Pradesh</v>
          </cell>
          <cell r="G647" t="str">
            <v>CENTRAL SECTOR</v>
          </cell>
          <cell r="I647" t="str">
            <v>1.28</v>
          </cell>
          <cell r="J647">
            <v>1110.32</v>
          </cell>
          <cell r="K647" t="str">
            <v>Contracted</v>
          </cell>
        </row>
        <row r="648">
          <cell r="C648" t="str">
            <v>TANDA STPS2</v>
          </cell>
          <cell r="D648">
            <v>110</v>
          </cell>
          <cell r="E648" t="str">
            <v xml:space="preserve"> 30-35 years</v>
          </cell>
          <cell r="F648" t="str">
            <v>Uttar Pradesh</v>
          </cell>
          <cell r="G648" t="str">
            <v>CENTRAL SECTOR</v>
          </cell>
          <cell r="I648" t="str">
            <v>1.28</v>
          </cell>
          <cell r="J648">
            <v>1076.6399999999901</v>
          </cell>
          <cell r="K648" t="str">
            <v>Contracted</v>
          </cell>
        </row>
        <row r="649">
          <cell r="C649" t="str">
            <v>TANDA STPS5</v>
          </cell>
          <cell r="D649">
            <v>0</v>
          </cell>
          <cell r="E649" t="str">
            <v xml:space="preserve"> 0-5 years</v>
          </cell>
          <cell r="F649" t="str">
            <v>Uttar Pradesh</v>
          </cell>
          <cell r="G649" t="str">
            <v>CENTRAL SECTOR</v>
          </cell>
          <cell r="H649" t="str">
            <v>3.14</v>
          </cell>
          <cell r="I649" t="str">
            <v>1.28</v>
          </cell>
          <cell r="J649">
            <v>0</v>
          </cell>
          <cell r="K649" t="str">
            <v>Contracted</v>
          </cell>
        </row>
        <row r="650">
          <cell r="C650" t="str">
            <v>TANDA STPS6</v>
          </cell>
          <cell r="D650">
            <v>0</v>
          </cell>
          <cell r="E650" t="e">
            <v>#N/A</v>
          </cell>
          <cell r="F650" t="str">
            <v>Uttar Pradesh</v>
          </cell>
          <cell r="G650" t="str">
            <v>CENTRAL SECTOR</v>
          </cell>
          <cell r="J650">
            <v>0</v>
          </cell>
          <cell r="K650" t="str">
            <v>Contracted</v>
          </cell>
        </row>
        <row r="651">
          <cell r="C651" t="str">
            <v>TELANGANA STPP1</v>
          </cell>
          <cell r="D651">
            <v>0</v>
          </cell>
          <cell r="E651" t="e">
            <v>#N/A</v>
          </cell>
          <cell r="F651" t="str">
            <v>Telangana</v>
          </cell>
          <cell r="G651" t="str">
            <v>CENTRAL SECTOR</v>
          </cell>
          <cell r="J651">
            <v>0</v>
          </cell>
          <cell r="K651" t="str">
            <v>Not contracted</v>
          </cell>
        </row>
        <row r="652">
          <cell r="C652" t="str">
            <v>TENUGHAT TPS2</v>
          </cell>
          <cell r="D652">
            <v>210</v>
          </cell>
          <cell r="E652" t="str">
            <v xml:space="preserve"> 20-25 years</v>
          </cell>
          <cell r="F652" t="str">
            <v>Jharkhand</v>
          </cell>
          <cell r="G652" t="str">
            <v>STATE SECTOR</v>
          </cell>
          <cell r="H652" t="str">
            <v>1.93</v>
          </cell>
          <cell r="I652" t="str">
            <v>1.69</v>
          </cell>
          <cell r="J652">
            <v>2228.4199999999901</v>
          </cell>
          <cell r="K652" t="str">
            <v>capacity not mentioned</v>
          </cell>
        </row>
        <row r="653">
          <cell r="C653" t="str">
            <v>TENUGHAT TPS1</v>
          </cell>
          <cell r="D653">
            <v>210</v>
          </cell>
          <cell r="E653" t="str">
            <v xml:space="preserve"> 20-25 years</v>
          </cell>
          <cell r="F653" t="str">
            <v>Jharkhand</v>
          </cell>
          <cell r="G653" t="str">
            <v>STATE SECTOR</v>
          </cell>
          <cell r="H653" t="str">
            <v>1.93</v>
          </cell>
          <cell r="I653" t="str">
            <v>1.69</v>
          </cell>
          <cell r="J653">
            <v>1785.94999999999</v>
          </cell>
          <cell r="K653" t="str">
            <v>capacity not mentioned</v>
          </cell>
        </row>
        <row r="654">
          <cell r="C654" t="str">
            <v>THAMMINAPATNAM TPS1</v>
          </cell>
          <cell r="D654">
            <v>150</v>
          </cell>
          <cell r="E654" t="str">
            <v xml:space="preserve"> 5-10 years</v>
          </cell>
          <cell r="F654" t="str">
            <v>Andhra Pradesh</v>
          </cell>
          <cell r="G654" t="str">
            <v>PVT SECTOR</v>
          </cell>
          <cell r="J654">
            <v>20.07</v>
          </cell>
          <cell r="K654" t="str">
            <v>Not contracted</v>
          </cell>
        </row>
        <row r="655">
          <cell r="C655" t="str">
            <v>THAMMINAPATNAM TPS2</v>
          </cell>
          <cell r="D655">
            <v>150</v>
          </cell>
          <cell r="E655" t="str">
            <v xml:space="preserve"> 5-10 years</v>
          </cell>
          <cell r="F655" t="str">
            <v>Andhra Pradesh</v>
          </cell>
          <cell r="G655" t="str">
            <v>PVT SECTOR</v>
          </cell>
          <cell r="J655">
            <v>16.239999999999998</v>
          </cell>
          <cell r="K655" t="str">
            <v>Not contracted</v>
          </cell>
        </row>
        <row r="656">
          <cell r="C656" t="str">
            <v>THAMMINAPATNAM TPS3</v>
          </cell>
          <cell r="D656">
            <v>0</v>
          </cell>
          <cell r="E656" t="e">
            <v>#N/A</v>
          </cell>
          <cell r="F656" t="str">
            <v>Andhra Pradesh</v>
          </cell>
          <cell r="G656" t="str">
            <v>PVT SECTOR</v>
          </cell>
          <cell r="J656">
            <v>0</v>
          </cell>
          <cell r="K656" t="str">
            <v>Not contracted</v>
          </cell>
        </row>
        <row r="657">
          <cell r="C657" t="str">
            <v>THAMMINAPATNAM TPS4</v>
          </cell>
          <cell r="D657">
            <v>0</v>
          </cell>
          <cell r="E657" t="e">
            <v>#N/A</v>
          </cell>
          <cell r="F657" t="str">
            <v>Andhra Pradesh</v>
          </cell>
          <cell r="G657" t="str">
            <v>PVT SECTOR</v>
          </cell>
          <cell r="J657">
            <v>0</v>
          </cell>
          <cell r="K657" t="str">
            <v>Not contracted</v>
          </cell>
        </row>
        <row r="658">
          <cell r="C658" t="str">
            <v>TIRORA TPS3</v>
          </cell>
          <cell r="D658">
            <v>660</v>
          </cell>
          <cell r="E658" t="str">
            <v xml:space="preserve"> 5-10 years</v>
          </cell>
          <cell r="F658" t="str">
            <v>Maharashtra</v>
          </cell>
          <cell r="G658" t="str">
            <v>PVT SECTOR</v>
          </cell>
          <cell r="H658" t="str">
            <v>2.38</v>
          </cell>
          <cell r="I658" t="str">
            <v>1.37</v>
          </cell>
          <cell r="J658">
            <v>9257.93</v>
          </cell>
          <cell r="K658" t="str">
            <v>Contracted</v>
          </cell>
        </row>
        <row r="659">
          <cell r="C659" t="str">
            <v>TIRORA TPS2</v>
          </cell>
          <cell r="D659">
            <v>660</v>
          </cell>
          <cell r="E659" t="str">
            <v xml:space="preserve"> 5-10 years</v>
          </cell>
          <cell r="F659" t="str">
            <v>Maharashtra</v>
          </cell>
          <cell r="G659" t="str">
            <v>PVT SECTOR</v>
          </cell>
          <cell r="H659" t="str">
            <v>2.38</v>
          </cell>
          <cell r="I659" t="str">
            <v>1.37</v>
          </cell>
          <cell r="J659">
            <v>9028.17</v>
          </cell>
          <cell r="K659" t="str">
            <v>Contracted</v>
          </cell>
        </row>
        <row r="660">
          <cell r="C660" t="str">
            <v>TIRORA TPS4</v>
          </cell>
          <cell r="D660">
            <v>660</v>
          </cell>
          <cell r="E660" t="str">
            <v xml:space="preserve"> 5-10 years</v>
          </cell>
          <cell r="F660" t="str">
            <v>Maharashtra</v>
          </cell>
          <cell r="G660" t="str">
            <v>PVT SECTOR</v>
          </cell>
          <cell r="H660" t="str">
            <v>2.38</v>
          </cell>
          <cell r="I660" t="str">
            <v>1.37</v>
          </cell>
          <cell r="J660">
            <v>8952.9899999999798</v>
          </cell>
          <cell r="K660" t="str">
            <v>Contracted</v>
          </cell>
        </row>
        <row r="661">
          <cell r="C661" t="str">
            <v>TIRORA TPS1</v>
          </cell>
          <cell r="D661">
            <v>660</v>
          </cell>
          <cell r="E661" t="str">
            <v xml:space="preserve"> 5-10 years</v>
          </cell>
          <cell r="F661" t="str">
            <v>Maharashtra</v>
          </cell>
          <cell r="G661" t="str">
            <v>PVT SECTOR</v>
          </cell>
          <cell r="H661" t="str">
            <v>2.38</v>
          </cell>
          <cell r="I661" t="str">
            <v>1.37</v>
          </cell>
          <cell r="J661">
            <v>8621.0999999999894</v>
          </cell>
          <cell r="K661" t="str">
            <v>Contracted</v>
          </cell>
        </row>
        <row r="662">
          <cell r="C662" t="str">
            <v>TIRORA TPS5</v>
          </cell>
          <cell r="D662">
            <v>660</v>
          </cell>
          <cell r="E662" t="str">
            <v xml:space="preserve"> 5-10 years</v>
          </cell>
          <cell r="F662" t="str">
            <v>Maharashtra</v>
          </cell>
          <cell r="G662" t="str">
            <v>PVT SECTOR</v>
          </cell>
          <cell r="H662" t="str">
            <v>2.38</v>
          </cell>
          <cell r="I662" t="str">
            <v>1.37</v>
          </cell>
          <cell r="J662">
            <v>8288.69</v>
          </cell>
          <cell r="K662" t="str">
            <v>Contracted</v>
          </cell>
        </row>
        <row r="663">
          <cell r="C663" t="str">
            <v>TITAGARH TPS1</v>
          </cell>
          <cell r="D663">
            <v>60</v>
          </cell>
          <cell r="E663" t="str">
            <v xml:space="preserve"> 35-40 years</v>
          </cell>
          <cell r="F663" t="str">
            <v>West Bengal</v>
          </cell>
          <cell r="G663" t="str">
            <v>PVT SECTOR</v>
          </cell>
          <cell r="J663">
            <v>0</v>
          </cell>
          <cell r="K663" t="str">
            <v>Contracted</v>
          </cell>
        </row>
        <row r="664">
          <cell r="C664" t="str">
            <v>TITAGARH TPS2</v>
          </cell>
          <cell r="D664">
            <v>60</v>
          </cell>
          <cell r="E664" t="str">
            <v xml:space="preserve"> 35-40 years</v>
          </cell>
          <cell r="F664" t="str">
            <v>West Bengal</v>
          </cell>
          <cell r="G664" t="str">
            <v>PVT SECTOR</v>
          </cell>
          <cell r="J664">
            <v>0</v>
          </cell>
          <cell r="K664" t="str">
            <v>Contracted</v>
          </cell>
        </row>
        <row r="665">
          <cell r="C665" t="str">
            <v>TITAGARH TPS3</v>
          </cell>
          <cell r="D665">
            <v>60</v>
          </cell>
          <cell r="E665" t="str">
            <v xml:space="preserve"> 35-40 years</v>
          </cell>
          <cell r="F665" t="str">
            <v>West Bengal</v>
          </cell>
          <cell r="G665" t="str">
            <v>PVT SECTOR</v>
          </cell>
          <cell r="J665">
            <v>0</v>
          </cell>
          <cell r="K665" t="str">
            <v>Contracted</v>
          </cell>
        </row>
        <row r="666">
          <cell r="C666" t="str">
            <v>TITAGARH TPS4</v>
          </cell>
          <cell r="D666">
            <v>60</v>
          </cell>
          <cell r="E666" t="str">
            <v xml:space="preserve"> 30-35 years</v>
          </cell>
          <cell r="F666" t="str">
            <v>West Bengal</v>
          </cell>
          <cell r="G666" t="str">
            <v>PVT SECTOR</v>
          </cell>
          <cell r="J666">
            <v>0</v>
          </cell>
          <cell r="K666" t="str">
            <v>Contracted</v>
          </cell>
        </row>
        <row r="667">
          <cell r="C667" t="str">
            <v>TORANGALLU TPS(SBU-I)1</v>
          </cell>
          <cell r="D667">
            <v>130</v>
          </cell>
          <cell r="E667" t="str">
            <v xml:space="preserve"> 20-25 years</v>
          </cell>
          <cell r="F667" t="str">
            <v>Karnataka</v>
          </cell>
          <cell r="G667" t="str">
            <v>PVT SECTOR</v>
          </cell>
          <cell r="J667">
            <v>1720.873</v>
          </cell>
          <cell r="K667" t="str">
            <v>Not contracted</v>
          </cell>
        </row>
        <row r="668">
          <cell r="C668" t="str">
            <v>TORANGALLU TPS(SBU-I)2</v>
          </cell>
          <cell r="D668">
            <v>130</v>
          </cell>
          <cell r="E668" t="str">
            <v xml:space="preserve"> 20-25 years</v>
          </cell>
          <cell r="F668" t="str">
            <v>Karnataka</v>
          </cell>
          <cell r="G668" t="str">
            <v>PVT SECTOR</v>
          </cell>
          <cell r="J668">
            <v>601.18600000000004</v>
          </cell>
          <cell r="K668" t="str">
            <v>Not contracted</v>
          </cell>
        </row>
        <row r="669">
          <cell r="C669" t="str">
            <v>TORANGALLU TPS(SBU-II)3</v>
          </cell>
          <cell r="D669">
            <v>300</v>
          </cell>
          <cell r="E669" t="str">
            <v xml:space="preserve"> 10-15 years</v>
          </cell>
          <cell r="F669" t="str">
            <v>Karnataka</v>
          </cell>
          <cell r="G669" t="str">
            <v>PVT SECTOR</v>
          </cell>
          <cell r="J669">
            <v>2946.9199999999901</v>
          </cell>
          <cell r="K669" t="str">
            <v>Not contracted</v>
          </cell>
        </row>
        <row r="670">
          <cell r="C670" t="str">
            <v>TORANGALLU TPS(SBU-II)4</v>
          </cell>
          <cell r="D670">
            <v>300</v>
          </cell>
          <cell r="E670" t="str">
            <v xml:space="preserve"> 10-15 years</v>
          </cell>
          <cell r="F670" t="str">
            <v>Karnataka</v>
          </cell>
          <cell r="G670" t="str">
            <v>PVT SECTOR</v>
          </cell>
          <cell r="J670">
            <v>1312.12</v>
          </cell>
          <cell r="K670" t="str">
            <v>Not contracted</v>
          </cell>
        </row>
        <row r="671">
          <cell r="C671" t="str">
            <v>TROMBAY TPS5</v>
          </cell>
          <cell r="D671">
            <v>500</v>
          </cell>
          <cell r="E671" t="str">
            <v xml:space="preserve"> 35-40 years</v>
          </cell>
          <cell r="F671" t="str">
            <v>Maharashtra</v>
          </cell>
          <cell r="G671" t="str">
            <v>PVT SECTOR</v>
          </cell>
          <cell r="H671" t="str">
            <v>4.11</v>
          </cell>
          <cell r="I671" t="str">
            <v>1.38</v>
          </cell>
          <cell r="J671">
            <v>6158.4780000000001</v>
          </cell>
          <cell r="K671" t="str">
            <v>Contracted</v>
          </cell>
        </row>
        <row r="672">
          <cell r="C672" t="str">
            <v>TROMBAY TPS8</v>
          </cell>
          <cell r="D672">
            <v>250</v>
          </cell>
          <cell r="E672" t="str">
            <v xml:space="preserve"> 10-15 years</v>
          </cell>
          <cell r="F672" t="str">
            <v>Maharashtra</v>
          </cell>
          <cell r="G672" t="str">
            <v>PVT SECTOR</v>
          </cell>
          <cell r="I672" t="str">
            <v>1.38</v>
          </cell>
          <cell r="J672">
            <v>3474.0250000000001</v>
          </cell>
          <cell r="K672" t="str">
            <v>Contracted</v>
          </cell>
        </row>
        <row r="673">
          <cell r="C673" t="str">
            <v>TROMBAY TPS6</v>
          </cell>
          <cell r="D673">
            <v>500</v>
          </cell>
          <cell r="E673" t="str">
            <v xml:space="preserve"> 35-40 years</v>
          </cell>
          <cell r="F673" t="str">
            <v>Maharashtra</v>
          </cell>
          <cell r="G673" t="str">
            <v>PVT SECTOR</v>
          </cell>
          <cell r="J673">
            <v>0</v>
          </cell>
          <cell r="K673" t="str">
            <v>Contracted</v>
          </cell>
        </row>
        <row r="674">
          <cell r="C674" t="str">
            <v>TROMBAY TPS6</v>
          </cell>
          <cell r="D674">
            <v>0</v>
          </cell>
          <cell r="E674" t="str">
            <v xml:space="preserve"> 35-40 years</v>
          </cell>
          <cell r="F674" t="str">
            <v>Maharashtra</v>
          </cell>
          <cell r="G674" t="str">
            <v>PVT SECTOR</v>
          </cell>
          <cell r="J674">
            <v>0</v>
          </cell>
          <cell r="K674" t="str">
            <v>Contracted</v>
          </cell>
        </row>
        <row r="675">
          <cell r="C675" t="str">
            <v>TUTICORIN TPS2</v>
          </cell>
          <cell r="D675">
            <v>210</v>
          </cell>
          <cell r="E675" t="str">
            <v xml:space="preserve"> 35-40 years</v>
          </cell>
          <cell r="F675" t="str">
            <v>Tamil Nadu</v>
          </cell>
          <cell r="G675" t="str">
            <v>STATE SECTOR</v>
          </cell>
          <cell r="J675">
            <v>2658.5799999999899</v>
          </cell>
          <cell r="K675" t="str">
            <v>Contracted</v>
          </cell>
        </row>
        <row r="676">
          <cell r="C676" t="str">
            <v>TUTICORIN TPS3</v>
          </cell>
          <cell r="D676">
            <v>210</v>
          </cell>
          <cell r="E676" t="str">
            <v xml:space="preserve"> 35-40 years</v>
          </cell>
          <cell r="F676" t="str">
            <v>Tamil Nadu</v>
          </cell>
          <cell r="G676" t="str">
            <v>STATE SECTOR</v>
          </cell>
          <cell r="J676">
            <v>2426.79</v>
          </cell>
          <cell r="K676" t="str">
            <v>Contracted</v>
          </cell>
        </row>
        <row r="677">
          <cell r="C677" t="str">
            <v>TUTICORIN TPS4</v>
          </cell>
          <cell r="D677">
            <v>210</v>
          </cell>
          <cell r="E677" t="str">
            <v xml:space="preserve"> 25-30 years</v>
          </cell>
          <cell r="F677" t="str">
            <v>Tamil Nadu</v>
          </cell>
          <cell r="G677" t="str">
            <v>STATE SECTOR</v>
          </cell>
          <cell r="J677">
            <v>2247.63</v>
          </cell>
          <cell r="K677" t="str">
            <v>Contracted</v>
          </cell>
        </row>
        <row r="678">
          <cell r="C678" t="str">
            <v>TUTICORIN TPS5</v>
          </cell>
          <cell r="D678">
            <v>210</v>
          </cell>
          <cell r="E678" t="str">
            <v xml:space="preserve"> 25-30 years</v>
          </cell>
          <cell r="F678" t="str">
            <v>Tamil Nadu</v>
          </cell>
          <cell r="G678" t="str">
            <v>STATE SECTOR</v>
          </cell>
          <cell r="J678">
            <v>2219.56</v>
          </cell>
          <cell r="K678" t="str">
            <v>Contracted</v>
          </cell>
        </row>
        <row r="679">
          <cell r="C679" t="str">
            <v>TUTICORIN TPS1</v>
          </cell>
          <cell r="D679">
            <v>210</v>
          </cell>
          <cell r="E679" t="str">
            <v xml:space="preserve"> 40-45 years</v>
          </cell>
          <cell r="F679" t="str">
            <v>Tamil Nadu</v>
          </cell>
          <cell r="G679" t="str">
            <v>STATE SECTOR</v>
          </cell>
          <cell r="J679">
            <v>1906.1499999999901</v>
          </cell>
          <cell r="K679" t="str">
            <v>Contracted</v>
          </cell>
        </row>
        <row r="680">
          <cell r="C680" t="str">
            <v>UCHPINDA TPP2</v>
          </cell>
          <cell r="D680">
            <v>360</v>
          </cell>
          <cell r="E680" t="str">
            <v xml:space="preserve"> 0-5 years</v>
          </cell>
          <cell r="F680" t="str">
            <v>Chhattisgarh</v>
          </cell>
          <cell r="G680" t="str">
            <v>PVT SECTOR</v>
          </cell>
          <cell r="H680" t="str">
            <v>1.98</v>
          </cell>
          <cell r="I680" t="str">
            <v>2.97</v>
          </cell>
          <cell r="J680">
            <v>2309.9839999999999</v>
          </cell>
          <cell r="K680" t="str">
            <v>Contracted</v>
          </cell>
        </row>
        <row r="681">
          <cell r="C681" t="str">
            <v>UCHPINDA TPP1</v>
          </cell>
          <cell r="D681">
            <v>360</v>
          </cell>
          <cell r="E681" t="str">
            <v xml:space="preserve"> 0-5 years</v>
          </cell>
          <cell r="F681" t="str">
            <v>Chhattisgarh</v>
          </cell>
          <cell r="G681" t="str">
            <v>PVT SECTOR</v>
          </cell>
          <cell r="H681" t="str">
            <v>1.98</v>
          </cell>
          <cell r="I681" t="str">
            <v>2.97</v>
          </cell>
          <cell r="J681">
            <v>1179.26799999999</v>
          </cell>
          <cell r="K681" t="str">
            <v>Contracted</v>
          </cell>
        </row>
        <row r="682">
          <cell r="C682" t="str">
            <v>UCHPINDA TPP3</v>
          </cell>
          <cell r="D682">
            <v>360</v>
          </cell>
          <cell r="E682" t="str">
            <v xml:space="preserve"> 0-5 years</v>
          </cell>
          <cell r="F682" t="str">
            <v>Chhattisgarh</v>
          </cell>
          <cell r="G682" t="str">
            <v>PVT SECTOR</v>
          </cell>
          <cell r="I682" t="str">
            <v>2.97</v>
          </cell>
          <cell r="J682">
            <v>1067.21999999999</v>
          </cell>
          <cell r="K682" t="str">
            <v>Not contracted</v>
          </cell>
        </row>
        <row r="683">
          <cell r="C683" t="str">
            <v>UCHPINDA TPP4</v>
          </cell>
          <cell r="D683">
            <v>0</v>
          </cell>
          <cell r="E683" t="str">
            <v xml:space="preserve"> 0-5 years</v>
          </cell>
          <cell r="F683" t="str">
            <v>Chhattisgarh</v>
          </cell>
          <cell r="G683" t="str">
            <v>PVT SECTOR</v>
          </cell>
          <cell r="I683" t="str">
            <v>2.97</v>
          </cell>
          <cell r="J683">
            <v>0</v>
          </cell>
          <cell r="K683" t="str">
            <v>Not contracted</v>
          </cell>
        </row>
        <row r="684">
          <cell r="C684" t="str">
            <v>UCHPINDA TPP4</v>
          </cell>
          <cell r="D684">
            <v>360</v>
          </cell>
          <cell r="E684" t="str">
            <v xml:space="preserve"> 0-5 years</v>
          </cell>
          <cell r="F684" t="str">
            <v>Chhattisgarh</v>
          </cell>
          <cell r="G684" t="str">
            <v>PVT SECTOR</v>
          </cell>
          <cell r="I684" t="str">
            <v>2.97</v>
          </cell>
          <cell r="J684">
            <v>0</v>
          </cell>
          <cell r="K684" t="str">
            <v>Not contracted</v>
          </cell>
        </row>
        <row r="685">
          <cell r="C685" t="str">
            <v>UDUPI TPP2</v>
          </cell>
          <cell r="D685">
            <v>600</v>
          </cell>
          <cell r="E685" t="str">
            <v xml:space="preserve"> 5-10 years</v>
          </cell>
          <cell r="F685" t="str">
            <v>Karnataka</v>
          </cell>
          <cell r="G685" t="str">
            <v>PVT SECTOR</v>
          </cell>
          <cell r="H685" t="str">
            <v>3.63</v>
          </cell>
          <cell r="I685" t="str">
            <v>1.60</v>
          </cell>
          <cell r="J685">
            <v>4593.8069999999998</v>
          </cell>
          <cell r="K685" t="str">
            <v>Contracted</v>
          </cell>
        </row>
        <row r="686">
          <cell r="C686" t="str">
            <v>UDUPI TPP1</v>
          </cell>
          <cell r="D686">
            <v>600</v>
          </cell>
          <cell r="E686" t="str">
            <v xml:space="preserve"> 5-10 years</v>
          </cell>
          <cell r="F686" t="str">
            <v>Karnataka</v>
          </cell>
          <cell r="G686" t="str">
            <v>PVT SECTOR</v>
          </cell>
          <cell r="H686" t="str">
            <v>3.63</v>
          </cell>
          <cell r="I686" t="str">
            <v>1.60</v>
          </cell>
          <cell r="J686">
            <v>3674.2659999999901</v>
          </cell>
          <cell r="K686" t="str">
            <v>Contracted</v>
          </cell>
        </row>
        <row r="687">
          <cell r="C687" t="str">
            <v>UKAI TPS6</v>
          </cell>
          <cell r="D687">
            <v>500</v>
          </cell>
          <cell r="E687" t="str">
            <v xml:space="preserve"> 5-10 years</v>
          </cell>
          <cell r="F687" t="str">
            <v>Gujarat</v>
          </cell>
          <cell r="G687" t="str">
            <v>STATE SECTOR</v>
          </cell>
          <cell r="I687" t="str">
            <v>0.38</v>
          </cell>
          <cell r="J687">
            <v>5792.7929999999997</v>
          </cell>
          <cell r="K687" t="str">
            <v>Contracted</v>
          </cell>
        </row>
        <row r="688">
          <cell r="C688" t="str">
            <v>UKAI TPS4</v>
          </cell>
          <cell r="D688">
            <v>200</v>
          </cell>
          <cell r="E688" t="str">
            <v xml:space="preserve"> 40-45 years</v>
          </cell>
          <cell r="F688" t="str">
            <v>Gujarat</v>
          </cell>
          <cell r="G688" t="str">
            <v>STATE SECTOR</v>
          </cell>
          <cell r="H688" t="str">
            <v>3.78</v>
          </cell>
          <cell r="I688" t="str">
            <v>0.38</v>
          </cell>
          <cell r="J688">
            <v>2357.4459999999899</v>
          </cell>
          <cell r="K688" t="str">
            <v>Contracted</v>
          </cell>
        </row>
        <row r="689">
          <cell r="C689" t="str">
            <v>UKAI TPS5</v>
          </cell>
          <cell r="D689">
            <v>210</v>
          </cell>
          <cell r="E689" t="str">
            <v xml:space="preserve"> 35-40 years</v>
          </cell>
          <cell r="F689" t="str">
            <v>Gujarat</v>
          </cell>
          <cell r="G689" t="str">
            <v>STATE SECTOR</v>
          </cell>
          <cell r="H689" t="str">
            <v>3.78</v>
          </cell>
          <cell r="I689" t="str">
            <v>0.38</v>
          </cell>
          <cell r="J689">
            <v>2342.59</v>
          </cell>
          <cell r="K689" t="str">
            <v>Contracted</v>
          </cell>
        </row>
        <row r="690">
          <cell r="C690" t="str">
            <v>UKAI TPS3</v>
          </cell>
          <cell r="D690">
            <v>200</v>
          </cell>
          <cell r="E690" t="str">
            <v xml:space="preserve"> 40-45 years</v>
          </cell>
          <cell r="F690" t="str">
            <v>Gujarat</v>
          </cell>
          <cell r="G690" t="str">
            <v>STATE SECTOR</v>
          </cell>
          <cell r="H690" t="str">
            <v>3.78</v>
          </cell>
          <cell r="I690" t="str">
            <v>0.38</v>
          </cell>
          <cell r="J690">
            <v>2085.1659999999902</v>
          </cell>
          <cell r="K690" t="str">
            <v>Contracted</v>
          </cell>
        </row>
        <row r="691">
          <cell r="C691" t="str">
            <v>UNCHAHAR STPS6</v>
          </cell>
          <cell r="D691">
            <v>500</v>
          </cell>
          <cell r="E691" t="str">
            <v xml:space="preserve"> 0-5 years</v>
          </cell>
          <cell r="F691" t="str">
            <v>Uttar Pradesh</v>
          </cell>
          <cell r="G691" t="str">
            <v>CENTRAL SECTOR</v>
          </cell>
          <cell r="H691" t="str">
            <v>2.98</v>
          </cell>
          <cell r="I691" t="str">
            <v>1.06</v>
          </cell>
          <cell r="J691">
            <v>3407.28999999999</v>
          </cell>
          <cell r="K691" t="str">
            <v>Contracted</v>
          </cell>
        </row>
        <row r="692">
          <cell r="C692" t="str">
            <v>UNCHAHAR STPS4</v>
          </cell>
          <cell r="D692">
            <v>210</v>
          </cell>
          <cell r="E692" t="str">
            <v xml:space="preserve"> 20-25 years</v>
          </cell>
          <cell r="F692" t="str">
            <v>Uttar Pradesh</v>
          </cell>
          <cell r="G692" t="str">
            <v>CENTRAL SECTOR</v>
          </cell>
          <cell r="H692" t="str">
            <v>2.98</v>
          </cell>
          <cell r="I692" t="str">
            <v>1.06</v>
          </cell>
          <cell r="J692">
            <v>2454.86</v>
          </cell>
          <cell r="K692" t="str">
            <v>Contracted</v>
          </cell>
        </row>
        <row r="693">
          <cell r="C693" t="str">
            <v>UNCHAHAR STPS1</v>
          </cell>
          <cell r="D693">
            <v>210</v>
          </cell>
          <cell r="E693" t="str">
            <v xml:space="preserve"> 30-35 years</v>
          </cell>
          <cell r="F693" t="str">
            <v>Uttar Pradesh</v>
          </cell>
          <cell r="G693" t="str">
            <v>CENTRAL SECTOR</v>
          </cell>
          <cell r="H693" t="str">
            <v>2.98</v>
          </cell>
          <cell r="I693" t="str">
            <v>1.06</v>
          </cell>
          <cell r="J693">
            <v>2453.0299999999902</v>
          </cell>
          <cell r="K693" t="str">
            <v>Contracted</v>
          </cell>
        </row>
        <row r="694">
          <cell r="C694" t="str">
            <v>UNCHAHAR STPS2</v>
          </cell>
          <cell r="D694">
            <v>210</v>
          </cell>
          <cell r="E694" t="str">
            <v xml:space="preserve"> 30-35 years</v>
          </cell>
          <cell r="F694" t="str">
            <v>Uttar Pradesh</v>
          </cell>
          <cell r="G694" t="str">
            <v>CENTRAL SECTOR</v>
          </cell>
          <cell r="I694" t="str">
            <v>1.06</v>
          </cell>
          <cell r="J694">
            <v>2424.3299999999899</v>
          </cell>
          <cell r="K694" t="str">
            <v>Contracted</v>
          </cell>
        </row>
        <row r="695">
          <cell r="C695" t="str">
            <v>UNCHAHAR STPS3</v>
          </cell>
          <cell r="D695">
            <v>210</v>
          </cell>
          <cell r="E695" t="str">
            <v xml:space="preserve"> 20-25 years</v>
          </cell>
          <cell r="F695" t="str">
            <v>Uttar Pradesh</v>
          </cell>
          <cell r="G695" t="str">
            <v>CENTRAL SECTOR</v>
          </cell>
          <cell r="H695" t="str">
            <v>2.98</v>
          </cell>
          <cell r="I695" t="str">
            <v>1.06</v>
          </cell>
          <cell r="J695">
            <v>2415.14</v>
          </cell>
          <cell r="K695" t="str">
            <v>Contracted</v>
          </cell>
        </row>
        <row r="696">
          <cell r="C696" t="str">
            <v>UNCHAHAR STPS5</v>
          </cell>
          <cell r="D696">
            <v>210</v>
          </cell>
          <cell r="E696" t="str">
            <v xml:space="preserve"> 10-15 years</v>
          </cell>
          <cell r="F696" t="str">
            <v>Uttar Pradesh</v>
          </cell>
          <cell r="G696" t="str">
            <v>CENTRAL SECTOR</v>
          </cell>
          <cell r="I696" t="str">
            <v>1.06</v>
          </cell>
          <cell r="J696">
            <v>2405.45999999999</v>
          </cell>
          <cell r="K696" t="str">
            <v>Contracted</v>
          </cell>
        </row>
        <row r="697">
          <cell r="C697" t="str">
            <v>UTKAL TPP (IND BARATH)1</v>
          </cell>
          <cell r="D697">
            <v>350</v>
          </cell>
          <cell r="E697" t="str">
            <v xml:space="preserve"> 5-10 years</v>
          </cell>
          <cell r="F697" t="str">
            <v>Odisha</v>
          </cell>
          <cell r="G697" t="str">
            <v>PVT SECTOR</v>
          </cell>
          <cell r="J697">
            <v>0</v>
          </cell>
          <cell r="K697" t="str">
            <v>Not contracted</v>
          </cell>
        </row>
        <row r="698">
          <cell r="C698" t="str">
            <v>UTKAL TPP (IND BARATH)2</v>
          </cell>
          <cell r="D698">
            <v>350</v>
          </cell>
          <cell r="E698" t="e">
            <v>#N/A</v>
          </cell>
          <cell r="F698" t="str">
            <v>Odisha</v>
          </cell>
          <cell r="G698" t="str">
            <v>PVT SECTOR</v>
          </cell>
          <cell r="J698">
            <v>0</v>
          </cell>
          <cell r="K698" t="str">
            <v>Not contracted</v>
          </cell>
        </row>
        <row r="699">
          <cell r="C699" t="str">
            <v>UTRAULA TPS1</v>
          </cell>
          <cell r="D699">
            <v>45</v>
          </cell>
          <cell r="E699" t="str">
            <v xml:space="preserve"> 5-10 years</v>
          </cell>
          <cell r="F699" t="str">
            <v>Uttar Pradesh</v>
          </cell>
          <cell r="G699" t="str">
            <v>PVT SECTOR</v>
          </cell>
          <cell r="H699" t="str">
            <v>3.39</v>
          </cell>
          <cell r="I699" t="str">
            <v>1.89</v>
          </cell>
          <cell r="J699">
            <v>171.68799999999899</v>
          </cell>
          <cell r="K699" t="str">
            <v>Contracted</v>
          </cell>
        </row>
        <row r="700">
          <cell r="C700" t="str">
            <v>UTRAULA TPS2</v>
          </cell>
          <cell r="D700">
            <v>45</v>
          </cell>
          <cell r="E700" t="str">
            <v xml:space="preserve"> 5-10 years</v>
          </cell>
          <cell r="F700" t="str">
            <v>Uttar Pradesh</v>
          </cell>
          <cell r="G700" t="str">
            <v>PVT SECTOR</v>
          </cell>
          <cell r="I700" t="str">
            <v>1.89</v>
          </cell>
          <cell r="J700">
            <v>147.403999999999</v>
          </cell>
          <cell r="K700" t="str">
            <v>Contracted</v>
          </cell>
        </row>
        <row r="701">
          <cell r="C701" t="str">
            <v>VALLUR TPP3</v>
          </cell>
          <cell r="D701">
            <v>500</v>
          </cell>
          <cell r="E701" t="str">
            <v xml:space="preserve"> 5-10 years</v>
          </cell>
          <cell r="F701" t="str">
            <v>Tamil Nadu</v>
          </cell>
          <cell r="G701" t="str">
            <v>CENTRAL SECTOR</v>
          </cell>
          <cell r="H701" t="str">
            <v>3.20</v>
          </cell>
          <cell r="I701" t="str">
            <v>1.78</v>
          </cell>
          <cell r="J701">
            <v>4777.884</v>
          </cell>
          <cell r="K701" t="str">
            <v>Contracted</v>
          </cell>
        </row>
        <row r="702">
          <cell r="C702" t="str">
            <v>VALLUR TPP1</v>
          </cell>
          <cell r="D702">
            <v>500</v>
          </cell>
          <cell r="E702" t="str">
            <v xml:space="preserve"> 5-10 years</v>
          </cell>
          <cell r="F702" t="str">
            <v>Tamil Nadu</v>
          </cell>
          <cell r="G702" t="str">
            <v>CENTRAL SECTOR</v>
          </cell>
          <cell r="H702" t="str">
            <v>3.20</v>
          </cell>
          <cell r="I702" t="str">
            <v>1.78</v>
          </cell>
          <cell r="J702">
            <v>4075.33699999999</v>
          </cell>
          <cell r="K702" t="str">
            <v>Contracted</v>
          </cell>
        </row>
        <row r="703">
          <cell r="C703" t="str">
            <v>VALLUR TPP2</v>
          </cell>
          <cell r="D703">
            <v>500</v>
          </cell>
          <cell r="E703" t="str">
            <v xml:space="preserve"> 5-10 years</v>
          </cell>
          <cell r="F703" t="str">
            <v>Tamil Nadu</v>
          </cell>
          <cell r="G703" t="str">
            <v>CENTRAL SECTOR</v>
          </cell>
          <cell r="H703" t="str">
            <v>3.20</v>
          </cell>
          <cell r="I703" t="str">
            <v>1.78</v>
          </cell>
          <cell r="J703">
            <v>4055.335</v>
          </cell>
          <cell r="K703" t="str">
            <v>Contracted</v>
          </cell>
        </row>
        <row r="704">
          <cell r="C704" t="str">
            <v>VINDHYACHAL STPS12</v>
          </cell>
          <cell r="D704">
            <v>500</v>
          </cell>
          <cell r="E704" t="str">
            <v xml:space="preserve"> 5-10 years</v>
          </cell>
          <cell r="F704" t="str">
            <v>Madhya Pradesh</v>
          </cell>
          <cell r="G704" t="str">
            <v>CENTRAL SECTOR</v>
          </cell>
          <cell r="J704">
            <v>8058.7400000000098</v>
          </cell>
          <cell r="K704" t="str">
            <v>Contracted</v>
          </cell>
        </row>
        <row r="705">
          <cell r="C705" t="str">
            <v>VINDHYACHAL STPS13</v>
          </cell>
          <cell r="D705">
            <v>500</v>
          </cell>
          <cell r="E705" t="str">
            <v xml:space="preserve"> 0-5 years</v>
          </cell>
          <cell r="F705" t="str">
            <v>Madhya Pradesh</v>
          </cell>
          <cell r="G705" t="str">
            <v>CENTRAL SECTOR</v>
          </cell>
          <cell r="J705">
            <v>7829.8899999999903</v>
          </cell>
          <cell r="K705" t="str">
            <v>Contracted</v>
          </cell>
        </row>
        <row r="706">
          <cell r="C706" t="str">
            <v>VINDHYACHAL STPS10</v>
          </cell>
          <cell r="D706">
            <v>500</v>
          </cell>
          <cell r="E706" t="str">
            <v xml:space="preserve"> 10-15 years</v>
          </cell>
          <cell r="F706" t="str">
            <v>Madhya Pradesh</v>
          </cell>
          <cell r="G706" t="str">
            <v>CENTRAL SECTOR</v>
          </cell>
          <cell r="J706">
            <v>7822.88</v>
          </cell>
          <cell r="K706" t="str">
            <v>Contracted</v>
          </cell>
        </row>
        <row r="707">
          <cell r="C707" t="str">
            <v>VINDHYACHAL STPS11</v>
          </cell>
          <cell r="D707">
            <v>500</v>
          </cell>
          <cell r="E707" t="str">
            <v xml:space="preserve"> 5-10 years</v>
          </cell>
          <cell r="F707" t="str">
            <v>Madhya Pradesh</v>
          </cell>
          <cell r="G707" t="str">
            <v>CENTRAL SECTOR</v>
          </cell>
          <cell r="J707">
            <v>7718.7</v>
          </cell>
          <cell r="K707" t="str">
            <v>Contracted</v>
          </cell>
        </row>
        <row r="708">
          <cell r="C708" t="str">
            <v>VINDHYACHAL STPS9</v>
          </cell>
          <cell r="D708">
            <v>500</v>
          </cell>
          <cell r="E708" t="str">
            <v xml:space="preserve"> 10-15 years</v>
          </cell>
          <cell r="F708" t="str">
            <v>Madhya Pradesh</v>
          </cell>
          <cell r="G708" t="str">
            <v>CENTRAL SECTOR</v>
          </cell>
          <cell r="J708">
            <v>7542.0799999999899</v>
          </cell>
          <cell r="K708" t="str">
            <v>Contracted</v>
          </cell>
        </row>
        <row r="709">
          <cell r="C709" t="str">
            <v>VINDHYACHAL STPS8</v>
          </cell>
          <cell r="D709">
            <v>500</v>
          </cell>
          <cell r="E709" t="str">
            <v xml:space="preserve"> 20-25 years</v>
          </cell>
          <cell r="F709" t="str">
            <v>Madhya Pradesh</v>
          </cell>
          <cell r="G709" t="str">
            <v>CENTRAL SECTOR</v>
          </cell>
          <cell r="J709">
            <v>7394.59</v>
          </cell>
          <cell r="K709" t="str">
            <v>Contracted</v>
          </cell>
        </row>
        <row r="710">
          <cell r="C710" t="str">
            <v>VINDHYACHAL STPS7</v>
          </cell>
          <cell r="D710">
            <v>500</v>
          </cell>
          <cell r="E710" t="str">
            <v xml:space="preserve"> 20-25 years</v>
          </cell>
          <cell r="F710" t="str">
            <v>Madhya Pradesh</v>
          </cell>
          <cell r="G710" t="str">
            <v>CENTRAL SECTOR</v>
          </cell>
          <cell r="J710">
            <v>7086.5899999999901</v>
          </cell>
          <cell r="K710" t="str">
            <v>Contracted</v>
          </cell>
        </row>
        <row r="711">
          <cell r="C711" t="str">
            <v>VINDHYACHAL STPS3</v>
          </cell>
          <cell r="D711">
            <v>210</v>
          </cell>
          <cell r="E711" t="str">
            <v xml:space="preserve"> 30-35 years</v>
          </cell>
          <cell r="F711" t="str">
            <v>Madhya Pradesh</v>
          </cell>
          <cell r="G711" t="str">
            <v>CENTRAL SECTOR</v>
          </cell>
          <cell r="J711">
            <v>3159.45</v>
          </cell>
          <cell r="K711" t="str">
            <v>Contracted</v>
          </cell>
        </row>
        <row r="712">
          <cell r="C712" t="str">
            <v>VINDHYACHAL STPS4</v>
          </cell>
          <cell r="D712">
            <v>210</v>
          </cell>
          <cell r="E712" t="str">
            <v xml:space="preserve"> 30-35 years</v>
          </cell>
          <cell r="F712" t="str">
            <v>Madhya Pradesh</v>
          </cell>
          <cell r="G712" t="str">
            <v>CENTRAL SECTOR</v>
          </cell>
          <cell r="J712">
            <v>3151.87</v>
          </cell>
          <cell r="K712" t="str">
            <v>Contracted</v>
          </cell>
        </row>
        <row r="713">
          <cell r="C713" t="str">
            <v>VINDHYACHAL STPS1</v>
          </cell>
          <cell r="D713">
            <v>210</v>
          </cell>
          <cell r="E713" t="str">
            <v xml:space="preserve"> 30-35 years</v>
          </cell>
          <cell r="F713" t="str">
            <v>Madhya Pradesh</v>
          </cell>
          <cell r="G713" t="str">
            <v>CENTRAL SECTOR</v>
          </cell>
          <cell r="J713">
            <v>3150.6799999999898</v>
          </cell>
          <cell r="K713" t="str">
            <v>Contracted</v>
          </cell>
        </row>
        <row r="714">
          <cell r="C714" t="str">
            <v>VINDHYACHAL STPS2</v>
          </cell>
          <cell r="D714">
            <v>210</v>
          </cell>
          <cell r="E714" t="str">
            <v xml:space="preserve"> 30-35 years</v>
          </cell>
          <cell r="F714" t="str">
            <v>Madhya Pradesh</v>
          </cell>
          <cell r="G714" t="str">
            <v>CENTRAL SECTOR</v>
          </cell>
          <cell r="J714">
            <v>3138.239</v>
          </cell>
          <cell r="K714" t="str">
            <v>Contracted</v>
          </cell>
        </row>
        <row r="715">
          <cell r="C715" t="str">
            <v>VINDHYACHAL STPS6</v>
          </cell>
          <cell r="D715">
            <v>210</v>
          </cell>
          <cell r="E715" t="str">
            <v xml:space="preserve"> 25-30 years</v>
          </cell>
          <cell r="F715" t="str">
            <v>Madhya Pradesh</v>
          </cell>
          <cell r="G715" t="str">
            <v>CENTRAL SECTOR</v>
          </cell>
          <cell r="J715">
            <v>3054.24</v>
          </cell>
          <cell r="K715" t="str">
            <v>Contracted</v>
          </cell>
        </row>
        <row r="716">
          <cell r="C716" t="str">
            <v>VINDHYACHAL STPS5</v>
          </cell>
          <cell r="D716">
            <v>210</v>
          </cell>
          <cell r="E716" t="str">
            <v xml:space="preserve"> 30-35 years</v>
          </cell>
          <cell r="F716" t="str">
            <v>Madhya Pradesh</v>
          </cell>
          <cell r="G716" t="str">
            <v>CENTRAL SECTOR</v>
          </cell>
          <cell r="J716">
            <v>3002.44</v>
          </cell>
          <cell r="K716" t="str">
            <v>Contracted</v>
          </cell>
        </row>
        <row r="717">
          <cell r="C717" t="str">
            <v>VIZAG TPS2</v>
          </cell>
          <cell r="D717">
            <v>520</v>
          </cell>
          <cell r="E717" t="str">
            <v xml:space="preserve"> 0-5 years</v>
          </cell>
          <cell r="F717" t="str">
            <v>Andhra Pradesh</v>
          </cell>
          <cell r="G717" t="str">
            <v>PVT SECTOR</v>
          </cell>
          <cell r="H717" t="str">
            <v>2.76</v>
          </cell>
          <cell r="I717" t="str">
            <v>1.06</v>
          </cell>
          <cell r="J717">
            <v>2096.694</v>
          </cell>
          <cell r="K717" t="str">
            <v>Contracted</v>
          </cell>
        </row>
        <row r="718">
          <cell r="C718" t="str">
            <v>VIZAG TPS1</v>
          </cell>
          <cell r="D718">
            <v>520</v>
          </cell>
          <cell r="E718" t="str">
            <v xml:space="preserve"> 0-5 years</v>
          </cell>
          <cell r="F718" t="str">
            <v>Andhra Pradesh</v>
          </cell>
          <cell r="G718" t="str">
            <v>PVT SECTOR</v>
          </cell>
          <cell r="H718" t="str">
            <v>2.76</v>
          </cell>
          <cell r="I718" t="str">
            <v>1.06</v>
          </cell>
          <cell r="J718">
            <v>1769.7260000000001</v>
          </cell>
          <cell r="K718" t="str">
            <v>Contracted</v>
          </cell>
        </row>
        <row r="719">
          <cell r="C719" t="str">
            <v>WANAKBORI TPS3</v>
          </cell>
          <cell r="D719">
            <v>210</v>
          </cell>
          <cell r="E719" t="str">
            <v xml:space="preserve"> 35-40 years</v>
          </cell>
          <cell r="F719" t="str">
            <v>Gujarat</v>
          </cell>
          <cell r="G719" t="str">
            <v>STATE SECTOR</v>
          </cell>
          <cell r="H719" t="str">
            <v>4.10</v>
          </cell>
          <cell r="I719" t="str">
            <v>0.47</v>
          </cell>
          <cell r="J719">
            <v>2660.8829999999998</v>
          </cell>
          <cell r="K719" t="str">
            <v>Contracted</v>
          </cell>
        </row>
        <row r="720">
          <cell r="C720" t="str">
            <v>WANAKBORI TPS7</v>
          </cell>
          <cell r="D720">
            <v>210</v>
          </cell>
          <cell r="E720" t="str">
            <v xml:space="preserve"> 20-25 years</v>
          </cell>
          <cell r="F720" t="str">
            <v>Gujarat</v>
          </cell>
          <cell r="G720" t="str">
            <v>STATE SECTOR</v>
          </cell>
          <cell r="H720" t="str">
            <v>4.10</v>
          </cell>
          <cell r="I720" t="str">
            <v>0.47</v>
          </cell>
          <cell r="J720">
            <v>2567.7799999999902</v>
          </cell>
          <cell r="K720" t="str">
            <v>Contracted</v>
          </cell>
        </row>
        <row r="721">
          <cell r="C721" t="str">
            <v>WANAKBORI TPS4</v>
          </cell>
          <cell r="D721">
            <v>210</v>
          </cell>
          <cell r="E721" t="str">
            <v xml:space="preserve"> 30-35 years</v>
          </cell>
          <cell r="F721" t="str">
            <v>Gujarat</v>
          </cell>
          <cell r="G721" t="str">
            <v>STATE SECTOR</v>
          </cell>
          <cell r="H721" t="str">
            <v>4.10</v>
          </cell>
          <cell r="I721" t="str">
            <v>0.47</v>
          </cell>
          <cell r="J721">
            <v>1847.3130000000001</v>
          </cell>
          <cell r="K721" t="str">
            <v>Contracted</v>
          </cell>
        </row>
        <row r="722">
          <cell r="C722" t="str">
            <v>WANAKBORI TPS5</v>
          </cell>
          <cell r="D722">
            <v>210</v>
          </cell>
          <cell r="E722" t="str">
            <v xml:space="preserve"> 30-35 years</v>
          </cell>
          <cell r="F722" t="str">
            <v>Gujarat</v>
          </cell>
          <cell r="G722" t="str">
            <v>STATE SECTOR</v>
          </cell>
          <cell r="H722" t="str">
            <v>4.10</v>
          </cell>
          <cell r="I722" t="str">
            <v>0.47</v>
          </cell>
          <cell r="J722">
            <v>1801.346</v>
          </cell>
          <cell r="K722" t="str">
            <v>Contracted</v>
          </cell>
        </row>
        <row r="723">
          <cell r="C723" t="str">
            <v>WANAKBORI TPS6</v>
          </cell>
          <cell r="D723">
            <v>210</v>
          </cell>
          <cell r="E723" t="str">
            <v xml:space="preserve"> 30-35 years</v>
          </cell>
          <cell r="F723" t="str">
            <v>Gujarat</v>
          </cell>
          <cell r="G723" t="str">
            <v>STATE SECTOR</v>
          </cell>
          <cell r="H723" t="str">
            <v>4.10</v>
          </cell>
          <cell r="I723" t="str">
            <v>0.47</v>
          </cell>
          <cell r="J723">
            <v>1780.5609999999999</v>
          </cell>
          <cell r="K723" t="str">
            <v>Contracted</v>
          </cell>
        </row>
        <row r="724">
          <cell r="C724" t="str">
            <v>WANAKBORI TPS2</v>
          </cell>
          <cell r="D724">
            <v>210</v>
          </cell>
          <cell r="E724" t="str">
            <v xml:space="preserve"> 35-40 years</v>
          </cell>
          <cell r="F724" t="str">
            <v>Gujarat</v>
          </cell>
          <cell r="G724" t="str">
            <v>STATE SECTOR</v>
          </cell>
          <cell r="I724" t="str">
            <v>0.47</v>
          </cell>
          <cell r="J724">
            <v>1533.20999999999</v>
          </cell>
          <cell r="K724" t="str">
            <v>Contracted</v>
          </cell>
        </row>
        <row r="725">
          <cell r="C725" t="str">
            <v>WANAKBORI TPS1</v>
          </cell>
          <cell r="D725">
            <v>210</v>
          </cell>
          <cell r="E725" t="str">
            <v xml:space="preserve"> 35-40 years</v>
          </cell>
          <cell r="F725" t="str">
            <v>Gujarat</v>
          </cell>
          <cell r="G725" t="str">
            <v>STATE SECTOR</v>
          </cell>
          <cell r="H725" t="str">
            <v>4.10</v>
          </cell>
          <cell r="I725" t="str">
            <v>0.47</v>
          </cell>
          <cell r="J725">
            <v>1133.1030000000001</v>
          </cell>
          <cell r="K725" t="str">
            <v>Contracted</v>
          </cell>
        </row>
        <row r="726">
          <cell r="C726" t="str">
            <v>WANAKBORI TPS8</v>
          </cell>
          <cell r="D726">
            <v>800</v>
          </cell>
          <cell r="E726" t="str">
            <v xml:space="preserve"> 0-5 years</v>
          </cell>
          <cell r="F726" t="str">
            <v>Gujarat</v>
          </cell>
          <cell r="G726" t="str">
            <v>STATE SECTOR</v>
          </cell>
          <cell r="H726" t="str">
            <v>4.10</v>
          </cell>
          <cell r="I726" t="str">
            <v>0.47</v>
          </cell>
          <cell r="J726">
            <v>347.76999999999902</v>
          </cell>
          <cell r="K726" t="str">
            <v>Contracted</v>
          </cell>
        </row>
        <row r="727">
          <cell r="C727" t="str">
            <v>WANAKBORI TPS8</v>
          </cell>
          <cell r="D727">
            <v>0</v>
          </cell>
          <cell r="E727" t="str">
            <v xml:space="preserve"> 0-5 years</v>
          </cell>
          <cell r="F727" t="str">
            <v>Gujarat</v>
          </cell>
          <cell r="G727" t="str">
            <v>STATE SECTOR</v>
          </cell>
          <cell r="H727" t="str">
            <v>4.10</v>
          </cell>
          <cell r="I727" t="str">
            <v>0.47</v>
          </cell>
          <cell r="J727">
            <v>0</v>
          </cell>
          <cell r="K727" t="str">
            <v>Contracted</v>
          </cell>
        </row>
        <row r="728">
          <cell r="C728" t="str">
            <v>WARDHA WARORA TPP3</v>
          </cell>
          <cell r="D728">
            <v>135</v>
          </cell>
          <cell r="E728" t="str">
            <v xml:space="preserve"> 5-10 years</v>
          </cell>
          <cell r="F728" t="str">
            <v>Maharashtra</v>
          </cell>
          <cell r="G728" t="str">
            <v>PVT SECTOR</v>
          </cell>
          <cell r="J728">
            <v>561.26369999999997</v>
          </cell>
          <cell r="K728" t="str">
            <v>Not contracted</v>
          </cell>
        </row>
        <row r="729">
          <cell r="C729" t="str">
            <v>WARDHA WARORA TPP4</v>
          </cell>
          <cell r="D729">
            <v>135</v>
          </cell>
          <cell r="E729" t="str">
            <v xml:space="preserve"> 5-10 years</v>
          </cell>
          <cell r="F729" t="str">
            <v>Maharashtra</v>
          </cell>
          <cell r="G729" t="str">
            <v>PVT SECTOR</v>
          </cell>
          <cell r="J729">
            <v>481.48899999999998</v>
          </cell>
          <cell r="K729" t="str">
            <v>Not contracted</v>
          </cell>
        </row>
        <row r="730">
          <cell r="C730" t="str">
            <v>WARDHA WARORA TPP2</v>
          </cell>
          <cell r="D730">
            <v>135</v>
          </cell>
          <cell r="E730" t="str">
            <v xml:space="preserve"> 5-10 years</v>
          </cell>
          <cell r="F730" t="str">
            <v>Maharashtra</v>
          </cell>
          <cell r="G730" t="str">
            <v>PVT SECTOR</v>
          </cell>
          <cell r="J730">
            <v>151.28</v>
          </cell>
          <cell r="K730" t="str">
            <v>Not contracted</v>
          </cell>
        </row>
        <row r="731">
          <cell r="C731" t="str">
            <v>WARDHA WARORA TPP1</v>
          </cell>
          <cell r="D731">
            <v>135</v>
          </cell>
          <cell r="E731" t="str">
            <v xml:space="preserve"> 5-10 years</v>
          </cell>
          <cell r="F731" t="str">
            <v>Maharashtra</v>
          </cell>
          <cell r="G731" t="str">
            <v>PVT SECTOR</v>
          </cell>
          <cell r="J731">
            <v>0</v>
          </cell>
          <cell r="K731" t="str">
            <v>Not contracted</v>
          </cell>
        </row>
        <row r="732">
          <cell r="C732" t="str">
            <v>YAMUNA NAGAR TPS2</v>
          </cell>
          <cell r="D732">
            <v>300</v>
          </cell>
          <cell r="E732" t="str">
            <v xml:space="preserve"> 10-15 years</v>
          </cell>
          <cell r="F732" t="str">
            <v>Haryana</v>
          </cell>
          <cell r="G732" t="str">
            <v>STATE SECTOR</v>
          </cell>
          <cell r="I732" t="str">
            <v>1.11</v>
          </cell>
          <cell r="J732">
            <v>3095.2019999999902</v>
          </cell>
          <cell r="K732" t="str">
            <v>Contracted</v>
          </cell>
        </row>
        <row r="733">
          <cell r="C733" t="str">
            <v>YAMUNA NAGAR TPS1</v>
          </cell>
          <cell r="D733">
            <v>300</v>
          </cell>
          <cell r="E733" t="str">
            <v xml:space="preserve"> 10-15 years</v>
          </cell>
          <cell r="F733" t="str">
            <v>Haryana</v>
          </cell>
          <cell r="G733" t="str">
            <v>STATE SECTOR</v>
          </cell>
          <cell r="H733" t="str">
            <v>3.55</v>
          </cell>
          <cell r="I733" t="str">
            <v>1.11</v>
          </cell>
          <cell r="J733">
            <v>2883.172</v>
          </cell>
          <cell r="K733" t="str">
            <v>Contracted</v>
          </cell>
        </row>
        <row r="734">
          <cell r="C734" t="str">
            <v>YERMARUS TPS2</v>
          </cell>
          <cell r="D734">
            <v>800</v>
          </cell>
          <cell r="E734" t="str">
            <v xml:space="preserve"> 0-5 years</v>
          </cell>
          <cell r="F734" t="str">
            <v>Karnataka</v>
          </cell>
          <cell r="G734" t="str">
            <v>STATE SECTOR</v>
          </cell>
          <cell r="H734" t="str">
            <v>3.48</v>
          </cell>
          <cell r="I734" t="str">
            <v>2.52</v>
          </cell>
          <cell r="J734">
            <v>716.22199999999998</v>
          </cell>
          <cell r="K734" t="str">
            <v>Contracted</v>
          </cell>
        </row>
        <row r="735">
          <cell r="C735" t="str">
            <v>YERMARUS TPS1</v>
          </cell>
          <cell r="D735">
            <v>800</v>
          </cell>
          <cell r="E735" t="str">
            <v xml:space="preserve"> 0-5 years</v>
          </cell>
          <cell r="F735" t="str">
            <v>Karnataka</v>
          </cell>
          <cell r="G735" t="str">
            <v>STATE SECTOR</v>
          </cell>
          <cell r="I735" t="str">
            <v>2.52</v>
          </cell>
          <cell r="J735">
            <v>380.04999999999899</v>
          </cell>
          <cell r="K735" t="str">
            <v>Contracted</v>
          </cell>
        </row>
      </sheetData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Sheet4"/>
      <sheetName val="Analysis"/>
      <sheetName val="Sheet2"/>
      <sheetName val="Sheet1"/>
      <sheetName val="Actual vs calc"/>
      <sheetName val="Mine location"/>
      <sheetName val="CIL rates"/>
      <sheetName val="Freight charges"/>
    </sheetNames>
    <sheetDataSet>
      <sheetData sheetId="0" refreshError="1"/>
      <sheetData sheetId="1" refreshError="1"/>
      <sheetData sheetId="2" refreshError="1">
        <row r="3">
          <cell r="A3" t="str">
            <v>DARLIPALI STPS1</v>
          </cell>
          <cell r="B3" t="str">
            <v>DARLIPALI STPS</v>
          </cell>
          <cell r="C3">
            <v>800</v>
          </cell>
          <cell r="D3"/>
          <cell r="E3" t="str">
            <v/>
          </cell>
          <cell r="F3">
            <v>21.963554299999998</v>
          </cell>
          <cell r="G3">
            <v>83.891869799999995</v>
          </cell>
          <cell r="H3">
            <v>0</v>
          </cell>
          <cell r="I3">
            <v>0</v>
          </cell>
          <cell r="J3">
            <v>0</v>
          </cell>
          <cell r="K3">
            <v>1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3577.0422471690913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/>
          <cell r="Y3"/>
          <cell r="Z3"/>
          <cell r="AA3">
            <v>1436.3806800000002</v>
          </cell>
          <cell r="AB3"/>
          <cell r="AC3"/>
          <cell r="AD3"/>
          <cell r="AE3"/>
          <cell r="AF3">
            <v>1436.3806800000002</v>
          </cell>
          <cell r="AG3">
            <v>0</v>
          </cell>
          <cell r="AH3">
            <v>1436.3806800000002</v>
          </cell>
          <cell r="AI3">
            <v>421.68658740000001</v>
          </cell>
          <cell r="AJ3">
            <v>364.84371019999998</v>
          </cell>
          <cell r="AK3">
            <v>533.24585009999998</v>
          </cell>
          <cell r="AL3">
            <v>146.74209379999999</v>
          </cell>
          <cell r="AM3">
            <v>412.63034820000001</v>
          </cell>
          <cell r="AN3">
            <v>1751.427062</v>
          </cell>
          <cell r="AO3">
            <v>190.29043569999999</v>
          </cell>
          <cell r="AP3">
            <v>591.89905319999991</v>
          </cell>
          <cell r="AQ3">
            <v>0</v>
          </cell>
          <cell r="AR3">
            <v>0</v>
          </cell>
          <cell r="AS3">
            <v>0</v>
          </cell>
          <cell r="AT3">
            <v>681.11400000000003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681.11400000000003</v>
          </cell>
          <cell r="BH3">
            <v>2117.4946800000002</v>
          </cell>
          <cell r="BI3">
            <v>3577.0422471690913</v>
          </cell>
          <cell r="BJ3">
            <v>0.59196803774845197</v>
          </cell>
          <cell r="BK3">
            <v>0.40155541387210814</v>
          </cell>
          <cell r="BL3">
            <v>0.19041262387634386</v>
          </cell>
        </row>
        <row r="4">
          <cell r="A4" t="str">
            <v>GADARWARA TPP1</v>
          </cell>
          <cell r="B4" t="str">
            <v>GADARWARA TPP</v>
          </cell>
          <cell r="C4">
            <v>800</v>
          </cell>
          <cell r="D4"/>
          <cell r="E4" t="str">
            <v/>
          </cell>
          <cell r="F4">
            <v>22.861752200000002</v>
          </cell>
          <cell r="G4">
            <v>78.866128900000007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</v>
          </cell>
          <cell r="P4" t="e">
            <v>#DIV/0!</v>
          </cell>
          <cell r="Q4" t="e">
            <v>#DIV/0!</v>
          </cell>
          <cell r="R4" t="e">
            <v>#DIV/0!</v>
          </cell>
          <cell r="S4" t="e">
            <v>#DIV/0!</v>
          </cell>
          <cell r="T4" t="e">
            <v>#DIV/0!</v>
          </cell>
          <cell r="U4" t="e">
            <v>#DIV/0!</v>
          </cell>
          <cell r="V4" t="e">
            <v>#DIV/0!</v>
          </cell>
          <cell r="W4">
            <v>4150</v>
          </cell>
          <cell r="X4"/>
          <cell r="Y4"/>
          <cell r="Z4"/>
          <cell r="AA4"/>
          <cell r="AB4"/>
          <cell r="AC4"/>
          <cell r="AD4"/>
          <cell r="AE4">
            <v>1608.0582000000002</v>
          </cell>
          <cell r="AF4">
            <v>1608.0582000000002</v>
          </cell>
          <cell r="AG4">
            <v>0</v>
          </cell>
          <cell r="AH4">
            <v>1608.0582000000002</v>
          </cell>
          <cell r="AI4">
            <v>922.05862019999995</v>
          </cell>
          <cell r="AJ4">
            <v>865.21574299999997</v>
          </cell>
          <cell r="AK4">
            <v>1031.548059</v>
          </cell>
          <cell r="AL4">
            <v>757.78854619999993</v>
          </cell>
          <cell r="AM4">
            <v>510.12990360000003</v>
          </cell>
          <cell r="AN4">
            <v>2099.9069180000001</v>
          </cell>
          <cell r="AO4">
            <v>472.63444820000001</v>
          </cell>
          <cell r="AP4">
            <v>266.58193589999996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962.85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962.85</v>
          </cell>
          <cell r="BH4">
            <v>2570.9082000000003</v>
          </cell>
          <cell r="BI4">
            <v>4150</v>
          </cell>
          <cell r="BJ4">
            <v>0.61949595180722894</v>
          </cell>
          <cell r="BK4">
            <v>0.38748390361445789</v>
          </cell>
          <cell r="BL4">
            <v>0.2320120481927711</v>
          </cell>
        </row>
        <row r="5">
          <cell r="A5" t="str">
            <v>KOTHAGUDEM STAGE-7 TPS12</v>
          </cell>
          <cell r="B5" t="str">
            <v>KOTHAGUDEM STAGE-7 TPS</v>
          </cell>
          <cell r="C5">
            <v>800</v>
          </cell>
          <cell r="D5" t="str">
            <v>RAIL</v>
          </cell>
          <cell r="E5" t="str">
            <v/>
          </cell>
          <cell r="F5">
            <v>17.617899999999999</v>
          </cell>
          <cell r="G5">
            <v>80.694800000000001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1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4279.0292548546358</v>
          </cell>
          <cell r="X5"/>
          <cell r="Y5"/>
          <cell r="Z5"/>
          <cell r="AA5"/>
          <cell r="AB5"/>
          <cell r="AC5"/>
          <cell r="AD5"/>
          <cell r="AE5">
            <v>1608.0582000000002</v>
          </cell>
          <cell r="AF5">
            <v>1608.0582000000002</v>
          </cell>
          <cell r="AG5">
            <v>0</v>
          </cell>
          <cell r="AH5">
            <v>1608.0582000000002</v>
          </cell>
          <cell r="AI5">
            <v>1189.132646</v>
          </cell>
          <cell r="AJ5">
            <v>1132.289769</v>
          </cell>
          <cell r="AK5">
            <v>1300.6919089999999</v>
          </cell>
          <cell r="AL5">
            <v>853.57883600000002</v>
          </cell>
          <cell r="AM5">
            <v>1025.9740509999999</v>
          </cell>
          <cell r="AN5">
            <v>2518.6094249999996</v>
          </cell>
          <cell r="AO5">
            <v>741.65769110000008</v>
          </cell>
          <cell r="AP5">
            <v>523.51993259999995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1662.78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1662.78</v>
          </cell>
          <cell r="BH5">
            <v>3270.8382000000001</v>
          </cell>
          <cell r="BI5">
            <v>4279.0292548546358</v>
          </cell>
          <cell r="BJ5">
            <v>0.76438790323510297</v>
          </cell>
          <cell r="BK5">
            <v>0.37579976771031165</v>
          </cell>
          <cell r="BL5">
            <v>0.38858813552479132</v>
          </cell>
        </row>
        <row r="6">
          <cell r="A6" t="str">
            <v>LARA TPP1</v>
          </cell>
          <cell r="B6" t="str">
            <v>LARA TPP</v>
          </cell>
          <cell r="C6">
            <v>800</v>
          </cell>
          <cell r="D6"/>
          <cell r="E6" t="str">
            <v/>
          </cell>
          <cell r="F6">
            <v>21.757661299999999</v>
          </cell>
          <cell r="G6">
            <v>83.457544999999996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1</v>
          </cell>
          <cell r="O6">
            <v>0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>
            <v>6550</v>
          </cell>
          <cell r="W6" t="e">
            <v>#DIV/0!</v>
          </cell>
          <cell r="X6"/>
          <cell r="Y6"/>
          <cell r="Z6"/>
          <cell r="AA6"/>
          <cell r="AB6"/>
          <cell r="AC6"/>
          <cell r="AD6">
            <v>4331.2617600000012</v>
          </cell>
          <cell r="AE6"/>
          <cell r="AF6">
            <v>4331.2617600000012</v>
          </cell>
          <cell r="AG6">
            <v>0</v>
          </cell>
          <cell r="AH6">
            <v>4331.2617600000012</v>
          </cell>
          <cell r="AI6">
            <v>1189.132646</v>
          </cell>
          <cell r="AJ6">
            <v>1132.289769</v>
          </cell>
          <cell r="AK6">
            <v>1300.6919089999999</v>
          </cell>
          <cell r="AL6">
            <v>853.57883600000002</v>
          </cell>
          <cell r="AM6">
            <v>1025.9740509999999</v>
          </cell>
          <cell r="AN6">
            <v>2518.6094249999996</v>
          </cell>
          <cell r="AO6">
            <v>741.65769110000008</v>
          </cell>
          <cell r="AP6">
            <v>523.51993259999995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1985.3400000000001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1985.3400000000001</v>
          </cell>
          <cell r="BH6">
            <v>6316.6017600000014</v>
          </cell>
          <cell r="BI6">
            <v>6550</v>
          </cell>
          <cell r="BJ6">
            <v>0.96436668091603073</v>
          </cell>
          <cell r="BK6">
            <v>0.66126133740458037</v>
          </cell>
          <cell r="BL6">
            <v>0.30310534351145041</v>
          </cell>
        </row>
        <row r="7">
          <cell r="A7" t="str">
            <v>YERMARUS TPS2</v>
          </cell>
          <cell r="B7" t="str">
            <v>YERMARUS TPS</v>
          </cell>
          <cell r="C7">
            <v>800</v>
          </cell>
          <cell r="D7" t="str">
            <v>RAIL</v>
          </cell>
          <cell r="E7" t="str">
            <v/>
          </cell>
          <cell r="F7">
            <v>16.295261400000001</v>
          </cell>
          <cell r="G7">
            <v>77.356120300000001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1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4279.0292548546358</v>
          </cell>
          <cell r="X7"/>
          <cell r="Y7"/>
          <cell r="Z7"/>
          <cell r="AA7"/>
          <cell r="AB7"/>
          <cell r="AC7"/>
          <cell r="AD7"/>
          <cell r="AE7">
            <v>1608.0582000000002</v>
          </cell>
          <cell r="AF7">
            <v>1608.0582000000002</v>
          </cell>
          <cell r="AG7">
            <v>0</v>
          </cell>
          <cell r="AH7">
            <v>1608.0582000000002</v>
          </cell>
          <cell r="AI7">
            <v>1516.6149800000001</v>
          </cell>
          <cell r="AJ7">
            <v>1459.7721029999998</v>
          </cell>
          <cell r="AK7">
            <v>1628.1742429999999</v>
          </cell>
          <cell r="AL7">
            <v>1205.9139250000001</v>
          </cell>
          <cell r="AM7">
            <v>1304.3973570000001</v>
          </cell>
          <cell r="AN7">
            <v>2814.9498369999997</v>
          </cell>
          <cell r="AO7">
            <v>1037.9981029999999</v>
          </cell>
          <cell r="AP7">
            <v>669.19312330000002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1877.8620000000001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1877.8620000000001</v>
          </cell>
          <cell r="BH7">
            <v>3485.9202000000005</v>
          </cell>
          <cell r="BI7">
            <v>4279.0292548546358</v>
          </cell>
          <cell r="BJ7">
            <v>0.81465210737813054</v>
          </cell>
          <cell r="BK7">
            <v>0.37579976771031165</v>
          </cell>
          <cell r="BL7">
            <v>0.43885233966781878</v>
          </cell>
        </row>
        <row r="8">
          <cell r="A8" t="str">
            <v>KUDGI STPP3</v>
          </cell>
          <cell r="B8" t="str">
            <v>KUDGI STPP</v>
          </cell>
          <cell r="C8">
            <v>800</v>
          </cell>
          <cell r="D8" t="str">
            <v>RAIL</v>
          </cell>
          <cell r="E8" t="str">
            <v/>
          </cell>
          <cell r="F8">
            <v>16.4995461</v>
          </cell>
          <cell r="G8">
            <v>75.834631900000005</v>
          </cell>
          <cell r="H8">
            <v>0</v>
          </cell>
          <cell r="I8">
            <v>0</v>
          </cell>
          <cell r="J8">
            <v>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e">
            <v>#DIV/0!</v>
          </cell>
          <cell r="Q8" t="e">
            <v>#DIV/0!</v>
          </cell>
          <cell r="R8">
            <v>5971.1338194728896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/>
          <cell r="Y8"/>
          <cell r="Z8">
            <v>3824.9374800000005</v>
          </cell>
          <cell r="AA8"/>
          <cell r="AB8"/>
          <cell r="AC8"/>
          <cell r="AD8"/>
          <cell r="AE8"/>
          <cell r="AF8">
            <v>3824.9374800000005</v>
          </cell>
          <cell r="AG8">
            <v>4.8908057223748518E-2</v>
          </cell>
          <cell r="AH8">
            <v>3893.705266188329</v>
          </cell>
          <cell r="AI8">
            <v>1654.1603540000001</v>
          </cell>
          <cell r="AJ8">
            <v>1597.3174770000001</v>
          </cell>
          <cell r="AK8">
            <v>1765.7196169999997</v>
          </cell>
          <cell r="AL8">
            <v>1357.77845</v>
          </cell>
          <cell r="AM8">
            <v>1360.3343609999999</v>
          </cell>
          <cell r="AN8">
            <v>2950.1113760000003</v>
          </cell>
          <cell r="AO8">
            <v>1175.5434769999999</v>
          </cell>
          <cell r="AP8">
            <v>725.13012790000005</v>
          </cell>
          <cell r="AQ8">
            <v>0</v>
          </cell>
          <cell r="AR8">
            <v>0</v>
          </cell>
          <cell r="AS8">
            <v>3768.8700000000003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3584.5418903711316</v>
          </cell>
          <cell r="BH8">
            <v>7478.2471565594606</v>
          </cell>
          <cell r="BI8">
            <v>5971.1338194728896</v>
          </cell>
          <cell r="BJ8">
            <v>1.252399859499316</v>
          </cell>
          <cell r="BK8">
            <v>0.65208809313405258</v>
          </cell>
          <cell r="BL8">
            <v>0.60031176636526329</v>
          </cell>
        </row>
        <row r="9">
          <cell r="A9" t="str">
            <v>WANAKBORI TPS8</v>
          </cell>
          <cell r="B9" t="str">
            <v>WANAKBORI TPS</v>
          </cell>
          <cell r="C9">
            <v>800</v>
          </cell>
          <cell r="D9" t="str">
            <v>RAIL</v>
          </cell>
          <cell r="E9"/>
          <cell r="F9">
            <v>22.877500000000001</v>
          </cell>
          <cell r="G9">
            <v>73.359700000000004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0.92250080964163961</v>
          </cell>
          <cell r="O9">
            <v>7.749919035836042E-2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>
            <v>4351.9056022214663</v>
          </cell>
          <cell r="W9">
            <v>4456.7278922527003</v>
          </cell>
          <cell r="X9"/>
          <cell r="Y9"/>
          <cell r="Z9"/>
          <cell r="AA9"/>
          <cell r="AB9"/>
          <cell r="AC9"/>
          <cell r="AD9">
            <v>1562.6213170495123</v>
          </cell>
          <cell r="AE9">
            <v>131.27564295048805</v>
          </cell>
          <cell r="AF9">
            <v>1693.8969600000003</v>
          </cell>
          <cell r="AG9">
            <v>0.10571332468406133</v>
          </cell>
          <cell r="AH9">
            <v>2067.8158821085003</v>
          </cell>
          <cell r="AI9">
            <v>1548.7044779999999</v>
          </cell>
          <cell r="AJ9">
            <v>1501.4816850000002</v>
          </cell>
          <cell r="AK9">
            <v>1643.8870989999998</v>
          </cell>
          <cell r="AL9">
            <v>1406.7184910000001</v>
          </cell>
          <cell r="AM9">
            <v>1133.0479779999998</v>
          </cell>
          <cell r="AN9">
            <v>2700.5624980000002</v>
          </cell>
          <cell r="AO9">
            <v>1126.4713280000001</v>
          </cell>
          <cell r="AP9">
            <v>755.67133609999996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2576.6609964311147</v>
          </cell>
          <cell r="AX9">
            <v>153.86224258606728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2441.8705492935837</v>
          </cell>
          <cell r="BH9">
            <v>4509.6864314020841</v>
          </cell>
          <cell r="BI9">
            <v>4360.0292448303944</v>
          </cell>
          <cell r="BJ9">
            <v>1.0343248125569651</v>
          </cell>
          <cell r="BK9">
            <v>0.47426651657446361</v>
          </cell>
          <cell r="BL9">
            <v>0.56005829598250156</v>
          </cell>
        </row>
        <row r="10">
          <cell r="A10" t="str">
            <v>YERMARUS TPS1</v>
          </cell>
          <cell r="B10" t="str">
            <v>YERMARUS TPS</v>
          </cell>
          <cell r="C10">
            <v>800</v>
          </cell>
          <cell r="D10" t="str">
            <v>RAIL</v>
          </cell>
          <cell r="E10" t="str">
            <v/>
          </cell>
          <cell r="F10">
            <v>16.295261400000001</v>
          </cell>
          <cell r="G10">
            <v>77.356120300000001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4279.0292548546358</v>
          </cell>
          <cell r="X10"/>
          <cell r="Y10"/>
          <cell r="Z10"/>
          <cell r="AA10"/>
          <cell r="AB10"/>
          <cell r="AC10"/>
          <cell r="AD10"/>
          <cell r="AE10">
            <v>1608.0582000000002</v>
          </cell>
          <cell r="AF10">
            <v>1608.0582000000002</v>
          </cell>
          <cell r="AG10">
            <v>0</v>
          </cell>
          <cell r="AH10">
            <v>1608.0582000000002</v>
          </cell>
          <cell r="AI10">
            <v>1516.6149800000001</v>
          </cell>
          <cell r="AJ10">
            <v>1459.7721029999998</v>
          </cell>
          <cell r="AK10">
            <v>1628.1742429999999</v>
          </cell>
          <cell r="AL10">
            <v>1205.9139250000001</v>
          </cell>
          <cell r="AM10">
            <v>1304.3973570000001</v>
          </cell>
          <cell r="AN10">
            <v>2814.9498369999997</v>
          </cell>
          <cell r="AO10">
            <v>1037.9981029999999</v>
          </cell>
          <cell r="AP10">
            <v>669.19312330000002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1877.8620000000001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1877.8620000000001</v>
          </cell>
          <cell r="BH10">
            <v>3485.9202000000005</v>
          </cell>
          <cell r="BI10">
            <v>4279.0292548546358</v>
          </cell>
          <cell r="BJ10">
            <v>0.81465210737813054</v>
          </cell>
          <cell r="BK10">
            <v>0.37579976771031165</v>
          </cell>
          <cell r="BL10">
            <v>0.43885233966781878</v>
          </cell>
        </row>
        <row r="11">
          <cell r="A11" t="str">
            <v>KUDGI STPP2</v>
          </cell>
          <cell r="B11" t="str">
            <v>KUDGI STPP</v>
          </cell>
          <cell r="C11">
            <v>800</v>
          </cell>
          <cell r="D11" t="str">
            <v>RAIL</v>
          </cell>
          <cell r="E11" t="str">
            <v/>
          </cell>
          <cell r="F11">
            <v>16.4995461</v>
          </cell>
          <cell r="G11">
            <v>75.834631900000005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e">
            <v>#DIV/0!</v>
          </cell>
          <cell r="Q11" t="e">
            <v>#DIV/0!</v>
          </cell>
          <cell r="R11">
            <v>5971.1338194728896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/>
          <cell r="Y11"/>
          <cell r="Z11">
            <v>3824.9374800000005</v>
          </cell>
          <cell r="AA11"/>
          <cell r="AB11"/>
          <cell r="AC11"/>
          <cell r="AD11"/>
          <cell r="AE11"/>
          <cell r="AF11">
            <v>3824.9374800000005</v>
          </cell>
          <cell r="AG11">
            <v>4.8908057223748518E-2</v>
          </cell>
          <cell r="AH11">
            <v>3893.705266188329</v>
          </cell>
          <cell r="AI11">
            <v>1654.1603540000001</v>
          </cell>
          <cell r="AJ11">
            <v>1597.3174770000001</v>
          </cell>
          <cell r="AK11">
            <v>1765.7196169999997</v>
          </cell>
          <cell r="AL11">
            <v>1357.77845</v>
          </cell>
          <cell r="AM11">
            <v>1360.3343609999999</v>
          </cell>
          <cell r="AN11">
            <v>2950.1113760000003</v>
          </cell>
          <cell r="AO11">
            <v>1175.5434769999999</v>
          </cell>
          <cell r="AP11">
            <v>725.13012790000005</v>
          </cell>
          <cell r="AQ11">
            <v>0</v>
          </cell>
          <cell r="AR11">
            <v>0</v>
          </cell>
          <cell r="AS11">
            <v>3768.8700000000003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3584.5418903711316</v>
          </cell>
          <cell r="BH11">
            <v>7478.2471565594606</v>
          </cell>
          <cell r="BI11">
            <v>5971.1338194728896</v>
          </cell>
          <cell r="BJ11">
            <v>1.252399859499316</v>
          </cell>
          <cell r="BK11">
            <v>0.65208809313405258</v>
          </cell>
          <cell r="BL11">
            <v>0.60031176636526329</v>
          </cell>
        </row>
        <row r="12">
          <cell r="A12" t="str">
            <v>KUDGI STPP1</v>
          </cell>
          <cell r="B12" t="str">
            <v>KUDGI STPP</v>
          </cell>
          <cell r="C12">
            <v>800</v>
          </cell>
          <cell r="D12" t="str">
            <v>RAIL</v>
          </cell>
          <cell r="E12" t="str">
            <v/>
          </cell>
          <cell r="F12">
            <v>16.4995461</v>
          </cell>
          <cell r="G12">
            <v>75.834631900000005</v>
          </cell>
          <cell r="H12">
            <v>0</v>
          </cell>
          <cell r="I12">
            <v>0</v>
          </cell>
          <cell r="J12">
            <v>1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e">
            <v>#DIV/0!</v>
          </cell>
          <cell r="Q12" t="e">
            <v>#DIV/0!</v>
          </cell>
          <cell r="R12">
            <v>5971.1338194728896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/>
          <cell r="Y12"/>
          <cell r="Z12">
            <v>3824.9374800000005</v>
          </cell>
          <cell r="AA12"/>
          <cell r="AB12"/>
          <cell r="AC12"/>
          <cell r="AD12"/>
          <cell r="AE12"/>
          <cell r="AF12">
            <v>3824.9374800000005</v>
          </cell>
          <cell r="AG12">
            <v>4.8908057223748518E-2</v>
          </cell>
          <cell r="AH12">
            <v>3893.705266188329</v>
          </cell>
          <cell r="AI12">
            <v>1654.1603540000001</v>
          </cell>
          <cell r="AJ12">
            <v>1597.3174770000001</v>
          </cell>
          <cell r="AK12">
            <v>1765.7196169999997</v>
          </cell>
          <cell r="AL12">
            <v>1357.77845</v>
          </cell>
          <cell r="AM12">
            <v>1360.3343609999999</v>
          </cell>
          <cell r="AN12">
            <v>2950.1113760000003</v>
          </cell>
          <cell r="AO12">
            <v>1175.5434769999999</v>
          </cell>
          <cell r="AP12">
            <v>725.13012790000005</v>
          </cell>
          <cell r="AQ12">
            <v>0</v>
          </cell>
          <cell r="AR12">
            <v>0</v>
          </cell>
          <cell r="AS12">
            <v>3768.8700000000003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3584.5418903711316</v>
          </cell>
          <cell r="BH12">
            <v>7478.2471565594606</v>
          </cell>
          <cell r="BI12">
            <v>5971.1338194728896</v>
          </cell>
          <cell r="BJ12">
            <v>1.252399859499316</v>
          </cell>
          <cell r="BK12">
            <v>0.65208809313405258</v>
          </cell>
          <cell r="BL12">
            <v>0.60031176636526329</v>
          </cell>
        </row>
        <row r="13">
          <cell r="A13" t="str">
            <v>DAMODARAN SANJEEVAIAH TPS2</v>
          </cell>
          <cell r="B13" t="str">
            <v>DAMODARAN SANJEEVAIAH TPS</v>
          </cell>
          <cell r="C13">
            <v>800</v>
          </cell>
          <cell r="D13" t="str">
            <v>RAIL</v>
          </cell>
          <cell r="E13" t="str">
            <v/>
          </cell>
          <cell r="F13">
            <v>14.288601</v>
          </cell>
          <cell r="G13">
            <v>80.124848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e">
            <v>#DIV/0!</v>
          </cell>
          <cell r="Q13" t="e">
            <v>#DIV/0!</v>
          </cell>
          <cell r="R13" t="e">
            <v>#DIV/0!</v>
          </cell>
          <cell r="S13">
            <v>3758.421560030215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/>
          <cell r="Y13"/>
          <cell r="Z13"/>
          <cell r="AA13">
            <v>1522.2194400000001</v>
          </cell>
          <cell r="AB13"/>
          <cell r="AC13"/>
          <cell r="AD13"/>
          <cell r="AE13"/>
          <cell r="AF13">
            <v>1522.2194400000001</v>
          </cell>
          <cell r="AG13">
            <v>0.12048661201055144</v>
          </cell>
          <cell r="AH13">
            <v>1969.0778443649958</v>
          </cell>
          <cell r="AI13">
            <v>1500.9000919999999</v>
          </cell>
          <cell r="AJ13">
            <v>1444.0572139999999</v>
          </cell>
          <cell r="AK13">
            <v>1596.2681010000001</v>
          </cell>
          <cell r="AL13">
            <v>1165.3462809999999</v>
          </cell>
          <cell r="AM13">
            <v>1432.852646</v>
          </cell>
          <cell r="AN13">
            <v>2805.9478810000001</v>
          </cell>
          <cell r="AO13">
            <v>1133.5421370000001</v>
          </cell>
          <cell r="AP13">
            <v>881.53282369999999</v>
          </cell>
          <cell r="AQ13">
            <v>0</v>
          </cell>
          <cell r="AR13">
            <v>0</v>
          </cell>
          <cell r="AS13">
            <v>0</v>
          </cell>
          <cell r="AT13">
            <v>2881.9560000000001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2534.7188855965192</v>
          </cell>
          <cell r="BH13">
            <v>4503.7967299615148</v>
          </cell>
          <cell r="BI13">
            <v>3758.421560030215</v>
          </cell>
          <cell r="BJ13">
            <v>1.198321331981</v>
          </cell>
          <cell r="BK13">
            <v>0.52391085271157445</v>
          </cell>
          <cell r="BL13">
            <v>0.67441047926942554</v>
          </cell>
        </row>
        <row r="14">
          <cell r="A14" t="str">
            <v>DAMODARAN SANJEEVAIAH TPS1</v>
          </cell>
          <cell r="B14" t="str">
            <v>DAMODARAN SANJEEVAIAH TPS</v>
          </cell>
          <cell r="C14">
            <v>800</v>
          </cell>
          <cell r="D14" t="str">
            <v>RAIL</v>
          </cell>
          <cell r="E14" t="str">
            <v/>
          </cell>
          <cell r="F14">
            <v>14.288601</v>
          </cell>
          <cell r="G14">
            <v>80.124848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e">
            <v>#DIV/0!</v>
          </cell>
          <cell r="Q14" t="e">
            <v>#DIV/0!</v>
          </cell>
          <cell r="R14" t="e">
            <v>#DIV/0!</v>
          </cell>
          <cell r="S14">
            <v>3758.421560030215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/>
          <cell r="Y14"/>
          <cell r="Z14"/>
          <cell r="AA14">
            <v>1522.2194400000001</v>
          </cell>
          <cell r="AB14"/>
          <cell r="AC14"/>
          <cell r="AD14"/>
          <cell r="AE14"/>
          <cell r="AF14">
            <v>1522.2194400000001</v>
          </cell>
          <cell r="AG14">
            <v>0.12048661201055144</v>
          </cell>
          <cell r="AH14">
            <v>1969.0778443649958</v>
          </cell>
          <cell r="AI14">
            <v>1500.9000919999999</v>
          </cell>
          <cell r="AJ14">
            <v>1444.0572139999999</v>
          </cell>
          <cell r="AK14">
            <v>1596.2681010000001</v>
          </cell>
          <cell r="AL14">
            <v>1165.3462809999999</v>
          </cell>
          <cell r="AM14">
            <v>1432.852646</v>
          </cell>
          <cell r="AN14">
            <v>2805.9478810000001</v>
          </cell>
          <cell r="AO14">
            <v>1133.5421370000001</v>
          </cell>
          <cell r="AP14">
            <v>881.53282369999999</v>
          </cell>
          <cell r="AQ14">
            <v>0</v>
          </cell>
          <cell r="AR14">
            <v>0</v>
          </cell>
          <cell r="AS14">
            <v>0</v>
          </cell>
          <cell r="AT14">
            <v>2881.9560000000001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2534.7188855965192</v>
          </cell>
          <cell r="BH14">
            <v>4503.7967299615148</v>
          </cell>
          <cell r="BI14">
            <v>3758.421560030215</v>
          </cell>
          <cell r="BJ14">
            <v>1.198321331981</v>
          </cell>
          <cell r="BK14">
            <v>0.52391085271157445</v>
          </cell>
          <cell r="BL14">
            <v>0.67441047926942554</v>
          </cell>
        </row>
        <row r="15">
          <cell r="A15" t="str">
            <v>BELLARY TPS3</v>
          </cell>
          <cell r="B15" t="str">
            <v>BELLARY TPS</v>
          </cell>
          <cell r="C15">
            <v>700</v>
          </cell>
          <cell r="D15" t="str">
            <v>RAIL</v>
          </cell>
          <cell r="E15" t="str">
            <v/>
          </cell>
          <cell r="F15">
            <v>15.192941666666666</v>
          </cell>
          <cell r="G15">
            <v>76.720613888888892</v>
          </cell>
          <cell r="H15">
            <v>0</v>
          </cell>
          <cell r="I15">
            <v>0</v>
          </cell>
          <cell r="J15">
            <v>0</v>
          </cell>
          <cell r="K15">
            <v>1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e">
            <v>#DIV/0!</v>
          </cell>
          <cell r="Q15" t="e">
            <v>#DIV/0!</v>
          </cell>
          <cell r="R15" t="e">
            <v>#DIV/0!</v>
          </cell>
          <cell r="S15">
            <v>3444.2880509129841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/>
          <cell r="Y15"/>
          <cell r="Z15"/>
          <cell r="AA15">
            <v>1436.3806800000002</v>
          </cell>
          <cell r="AB15"/>
          <cell r="AC15"/>
          <cell r="AD15"/>
          <cell r="AE15"/>
          <cell r="AF15">
            <v>1436.3806800000002</v>
          </cell>
          <cell r="AG15">
            <v>0</v>
          </cell>
          <cell r="AH15">
            <v>1436.3806800000002</v>
          </cell>
          <cell r="AI15">
            <v>1689.148216</v>
          </cell>
          <cell r="AJ15">
            <v>1632.305339</v>
          </cell>
          <cell r="AK15">
            <v>1800.7074790000001</v>
          </cell>
          <cell r="AL15">
            <v>1370.239738</v>
          </cell>
          <cell r="AM15">
            <v>1476.9305919999999</v>
          </cell>
          <cell r="AN15">
            <v>2987.483072</v>
          </cell>
          <cell r="AO15">
            <v>1210.5313389999999</v>
          </cell>
          <cell r="AP15">
            <v>841.72635880000007</v>
          </cell>
          <cell r="AQ15">
            <v>0</v>
          </cell>
          <cell r="AR15">
            <v>0</v>
          </cell>
          <cell r="AS15">
            <v>0</v>
          </cell>
          <cell r="AT15">
            <v>3306.576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3306.576</v>
          </cell>
          <cell r="BH15">
            <v>4742.9566800000002</v>
          </cell>
          <cell r="BI15">
            <v>3444.2880509129841</v>
          </cell>
          <cell r="BJ15">
            <v>1.3770499475915714</v>
          </cell>
          <cell r="BK15">
            <v>0.41703268099753038</v>
          </cell>
          <cell r="BL15">
            <v>0.96001726659404096</v>
          </cell>
        </row>
        <row r="16">
          <cell r="A16" t="str">
            <v>KHARGONE STPP1</v>
          </cell>
          <cell r="B16" t="str">
            <v>KHARGONE STPP</v>
          </cell>
          <cell r="C16">
            <v>660</v>
          </cell>
          <cell r="D16"/>
          <cell r="E16" t="str">
            <v/>
          </cell>
          <cell r="F16">
            <v>22.065168700000001</v>
          </cell>
          <cell r="G16">
            <v>75.851942899999997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1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4279.0292548546358</v>
          </cell>
          <cell r="X16"/>
          <cell r="Y16"/>
          <cell r="Z16"/>
          <cell r="AA16"/>
          <cell r="AB16"/>
          <cell r="AC16"/>
          <cell r="AD16"/>
          <cell r="AE16">
            <v>1608.0582000000002</v>
          </cell>
          <cell r="AF16">
            <v>1608.0582000000002</v>
          </cell>
          <cell r="AG16">
            <v>0</v>
          </cell>
          <cell r="AH16">
            <v>1608.0582000000002</v>
          </cell>
          <cell r="AI16">
            <v>1294.9365519999999</v>
          </cell>
          <cell r="AJ16">
            <v>1238.0936750000001</v>
          </cell>
          <cell r="AK16">
            <v>1404.4259909999998</v>
          </cell>
          <cell r="AL16">
            <v>1104.8925800000002</v>
          </cell>
          <cell r="AM16">
            <v>883.0078357000001</v>
          </cell>
          <cell r="AN16">
            <v>2472.78485</v>
          </cell>
          <cell r="AO16">
            <v>845.51238039999998</v>
          </cell>
          <cell r="AP16">
            <v>450.622773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1444.4220000000003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1444.4220000000003</v>
          </cell>
          <cell r="BH16">
            <v>3052.4802000000004</v>
          </cell>
          <cell r="BI16">
            <v>4279.0292548546358</v>
          </cell>
          <cell r="BJ16">
            <v>0.7133581048872023</v>
          </cell>
          <cell r="BK16">
            <v>0.37579976771031165</v>
          </cell>
          <cell r="BL16">
            <v>0.33755833717689065</v>
          </cell>
        </row>
        <row r="17">
          <cell r="A17" t="str">
            <v>TANDA STPS5</v>
          </cell>
          <cell r="B17" t="str">
            <v>TANDA STPS</v>
          </cell>
          <cell r="C17">
            <v>660</v>
          </cell>
          <cell r="D17" t="str">
            <v>RAIL</v>
          </cell>
          <cell r="E17" t="str">
            <v/>
          </cell>
          <cell r="F17">
            <v>26.589500000000001</v>
          </cell>
          <cell r="G17">
            <v>82.6006</v>
          </cell>
          <cell r="H17">
            <v>0</v>
          </cell>
          <cell r="I17">
            <v>1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e">
            <v>#DIV/0!</v>
          </cell>
          <cell r="Q17">
            <v>4351.5922565188512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/>
          <cell r="Y17">
            <v>1693.8969600000003</v>
          </cell>
          <cell r="Z17"/>
          <cell r="AA17"/>
          <cell r="AB17"/>
          <cell r="AC17"/>
          <cell r="AD17"/>
          <cell r="AE17"/>
          <cell r="AF17">
            <v>1693.8969600000003</v>
          </cell>
          <cell r="AG17">
            <v>0</v>
          </cell>
          <cell r="AH17">
            <v>1693.8969600000003</v>
          </cell>
          <cell r="AI17">
            <v>555.15569790000006</v>
          </cell>
          <cell r="AJ17">
            <v>551.743019</v>
          </cell>
          <cell r="AK17">
            <v>626.45812089999993</v>
          </cell>
          <cell r="AL17">
            <v>788.97209150000003</v>
          </cell>
          <cell r="AM17">
            <v>318.46784930000001</v>
          </cell>
          <cell r="AN17">
            <v>1644.6417860000001</v>
          </cell>
          <cell r="AO17">
            <v>579.77927990000001</v>
          </cell>
          <cell r="AP17">
            <v>777.64599720000001</v>
          </cell>
          <cell r="AQ17">
            <v>0</v>
          </cell>
          <cell r="AR17">
            <v>1662.78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1662.78</v>
          </cell>
          <cell r="BH17">
            <v>3356.6769600000002</v>
          </cell>
          <cell r="BI17">
            <v>4351.5922565188512</v>
          </cell>
          <cell r="BJ17">
            <v>0.77136752759212912</v>
          </cell>
          <cell r="BK17">
            <v>0.38925911715705397</v>
          </cell>
          <cell r="BL17">
            <v>0.38210841043507515</v>
          </cell>
        </row>
        <row r="18">
          <cell r="A18" t="str">
            <v>IB VALLEY TPS4</v>
          </cell>
          <cell r="B18" t="str">
            <v>IB VALLEY TPS</v>
          </cell>
          <cell r="C18">
            <v>660</v>
          </cell>
          <cell r="D18" t="str">
            <v>PITHEAD</v>
          </cell>
          <cell r="E18" t="str">
            <v/>
          </cell>
          <cell r="F18">
            <v>21.691299999999998</v>
          </cell>
          <cell r="G18">
            <v>83.860500000000002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e">
            <v>#DIV/0!</v>
          </cell>
          <cell r="Q18" t="e">
            <v>#DIV/0!</v>
          </cell>
          <cell r="R18" t="e">
            <v>#DIV/0!</v>
          </cell>
          <cell r="S18">
            <v>3249.9999999999991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/>
          <cell r="Y18"/>
          <cell r="Z18"/>
          <cell r="AA18">
            <v>1350.5419199999999</v>
          </cell>
          <cell r="AB18"/>
          <cell r="AC18"/>
          <cell r="AD18"/>
          <cell r="AE18"/>
          <cell r="AF18">
            <v>1350.5419199999999</v>
          </cell>
          <cell r="AG18">
            <v>0</v>
          </cell>
          <cell r="AH18">
            <v>1350.5419199999999</v>
          </cell>
          <cell r="AI18">
            <v>461.68784250000004</v>
          </cell>
          <cell r="AJ18">
            <v>530.4920699999999</v>
          </cell>
          <cell r="AK18">
            <v>573.22446190000005</v>
          </cell>
          <cell r="AL18">
            <v>188.23999280000001</v>
          </cell>
          <cell r="AM18">
            <v>468.83054320000002</v>
          </cell>
          <cell r="AN18">
            <v>1782.2291499999999</v>
          </cell>
          <cell r="AO18">
            <v>265.93687349999999</v>
          </cell>
          <cell r="AP18">
            <v>661.20881450000002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480.10395074601735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480.10395074601735</v>
          </cell>
          <cell r="BH18">
            <v>1830.6458707460172</v>
          </cell>
          <cell r="BI18">
            <v>3249.9999999999991</v>
          </cell>
          <cell r="BJ18">
            <v>0.56327565253723622</v>
          </cell>
          <cell r="BK18">
            <v>0.41555136000000009</v>
          </cell>
          <cell r="BL18">
            <v>0.14772429253723615</v>
          </cell>
        </row>
        <row r="19">
          <cell r="A19" t="str">
            <v>NABINAGAR STPP1</v>
          </cell>
          <cell r="B19" t="str">
            <v>NABINAGAR STPP</v>
          </cell>
          <cell r="C19">
            <v>660</v>
          </cell>
          <cell r="D19"/>
          <cell r="E19" t="str">
            <v/>
          </cell>
          <cell r="F19">
            <v>24.766667000000002</v>
          </cell>
          <cell r="G19">
            <v>84.15</v>
          </cell>
          <cell r="H19">
            <v>0</v>
          </cell>
          <cell r="I19">
            <v>1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e">
            <v>#DIV/0!</v>
          </cell>
          <cell r="Q19">
            <v>3947.4147273821336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/>
          <cell r="Y19">
            <v>1522.2194400000001</v>
          </cell>
          <cell r="Z19"/>
          <cell r="AA19"/>
          <cell r="AB19"/>
          <cell r="AC19"/>
          <cell r="AD19"/>
          <cell r="AE19"/>
          <cell r="AF19">
            <v>1522.2194400000001</v>
          </cell>
          <cell r="AG19">
            <v>0</v>
          </cell>
          <cell r="AH19">
            <v>1522.2194400000001</v>
          </cell>
          <cell r="AI19">
            <v>279.115498</v>
          </cell>
          <cell r="AJ19">
            <v>275.70281920000002</v>
          </cell>
          <cell r="AK19">
            <v>374.29811910000001</v>
          </cell>
          <cell r="AL19">
            <v>524.65540930000009</v>
          </cell>
          <cell r="AM19">
            <v>205.60945860000001</v>
          </cell>
          <cell r="AN19">
            <v>1455.524447</v>
          </cell>
          <cell r="AO19">
            <v>378.30131670000003</v>
          </cell>
          <cell r="AP19">
            <v>812.81226749999996</v>
          </cell>
          <cell r="AQ19">
            <v>0</v>
          </cell>
          <cell r="AR19">
            <v>962.85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962.85</v>
          </cell>
          <cell r="BH19">
            <v>2485.0694400000002</v>
          </cell>
          <cell r="BI19">
            <v>3947.4147273821336</v>
          </cell>
          <cell r="BJ19">
            <v>0.62954353966451893</v>
          </cell>
          <cell r="BK19">
            <v>0.38562440106451984</v>
          </cell>
          <cell r="BL19">
            <v>0.24391913859999903</v>
          </cell>
        </row>
        <row r="20">
          <cell r="A20" t="str">
            <v>IB VALLEY TPS3</v>
          </cell>
          <cell r="B20" t="str">
            <v>IB VALLEY TPS</v>
          </cell>
          <cell r="C20">
            <v>660</v>
          </cell>
          <cell r="D20" t="str">
            <v>PITHEAD</v>
          </cell>
          <cell r="E20" t="str">
            <v/>
          </cell>
          <cell r="F20">
            <v>21.691299999999998</v>
          </cell>
          <cell r="G20">
            <v>83.860500000000002</v>
          </cell>
          <cell r="H20">
            <v>0</v>
          </cell>
          <cell r="I20">
            <v>0</v>
          </cell>
          <cell r="J20">
            <v>0</v>
          </cell>
          <cell r="K20">
            <v>1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e">
            <v>#DIV/0!</v>
          </cell>
          <cell r="Q20" t="e">
            <v>#DIV/0!</v>
          </cell>
          <cell r="R20" t="e">
            <v>#DIV/0!</v>
          </cell>
          <cell r="S20">
            <v>3249.9999999999991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/>
          <cell r="Y20"/>
          <cell r="Z20"/>
          <cell r="AA20">
            <v>1350.5419199999999</v>
          </cell>
          <cell r="AB20"/>
          <cell r="AC20"/>
          <cell r="AD20"/>
          <cell r="AE20"/>
          <cell r="AF20">
            <v>1350.5419199999999</v>
          </cell>
          <cell r="AG20">
            <v>0</v>
          </cell>
          <cell r="AH20">
            <v>1350.5419199999999</v>
          </cell>
          <cell r="AI20">
            <v>461.68784250000004</v>
          </cell>
          <cell r="AJ20">
            <v>530.4920699999999</v>
          </cell>
          <cell r="AK20">
            <v>573.22446190000005</v>
          </cell>
          <cell r="AL20">
            <v>188.23999280000001</v>
          </cell>
          <cell r="AM20">
            <v>468.83054320000002</v>
          </cell>
          <cell r="AN20">
            <v>1782.2291499999999</v>
          </cell>
          <cell r="AO20">
            <v>265.93687349999999</v>
          </cell>
          <cell r="AP20">
            <v>661.20881450000002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480.10395074601735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480.10395074601735</v>
          </cell>
          <cell r="BH20">
            <v>1830.6458707460172</v>
          </cell>
          <cell r="BI20">
            <v>3249.9999999999991</v>
          </cell>
          <cell r="BJ20">
            <v>0.56327565253723622</v>
          </cell>
          <cell r="BK20">
            <v>0.41555136000000009</v>
          </cell>
          <cell r="BL20">
            <v>0.14772429253723615</v>
          </cell>
        </row>
        <row r="21">
          <cell r="A21" t="str">
            <v>CHHABRA TPS6</v>
          </cell>
          <cell r="B21" t="str">
            <v>CHHABRA TPS</v>
          </cell>
          <cell r="C21">
            <v>660</v>
          </cell>
          <cell r="D21" t="str">
            <v>RAIL</v>
          </cell>
          <cell r="E21">
            <v>0.91324300699300698</v>
          </cell>
          <cell r="F21">
            <v>24.621500000000001</v>
          </cell>
          <cell r="G21">
            <v>77.035399999999996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</v>
          </cell>
          <cell r="O21">
            <v>0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>
            <v>4431.9195703193527</v>
          </cell>
          <cell r="W21" t="e">
            <v>#DIV/0!</v>
          </cell>
          <cell r="X21"/>
          <cell r="Y21"/>
          <cell r="Z21"/>
          <cell r="AA21"/>
          <cell r="AB21"/>
          <cell r="AC21"/>
          <cell r="AD21">
            <v>1693.8969600000003</v>
          </cell>
          <cell r="AE21"/>
          <cell r="AF21">
            <v>1693.8969600000003</v>
          </cell>
          <cell r="AG21">
            <v>0</v>
          </cell>
          <cell r="AH21">
            <v>1693.8969600000003</v>
          </cell>
          <cell r="AI21">
            <v>1097.2493449999999</v>
          </cell>
          <cell r="AJ21">
            <v>1082.8915999999999</v>
          </cell>
          <cell r="AK21">
            <v>1192.431967</v>
          </cell>
          <cell r="AL21">
            <v>1024.6149479999999</v>
          </cell>
          <cell r="AM21">
            <v>714.45789269999989</v>
          </cell>
          <cell r="AN21">
            <v>2244.7031269999998</v>
          </cell>
          <cell r="AO21">
            <v>738.10572640000009</v>
          </cell>
          <cell r="AP21">
            <v>528.62300659999994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1985.3400000000001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1985.3400000000001</v>
          </cell>
          <cell r="BH21">
            <v>3679.2369600000002</v>
          </cell>
          <cell r="BI21">
            <v>4431.9195703193527</v>
          </cell>
          <cell r="BJ21">
            <v>0.83016780914525568</v>
          </cell>
          <cell r="BK21">
            <v>0.38220390355097134</v>
          </cell>
          <cell r="BL21">
            <v>0.44796390559428445</v>
          </cell>
        </row>
        <row r="22">
          <cell r="A22" t="str">
            <v>SHREE SINGAJI TPP4</v>
          </cell>
          <cell r="B22" t="str">
            <v>SHREE SINGAJI TPP</v>
          </cell>
          <cell r="C22">
            <v>660</v>
          </cell>
          <cell r="D22" t="str">
            <v>RAIL</v>
          </cell>
          <cell r="E22" t="str">
            <v/>
          </cell>
          <cell r="F22">
            <v>21.724111799999999</v>
          </cell>
          <cell r="G22">
            <v>76.706028000000003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0.10213115586329155</v>
          </cell>
          <cell r="M22">
            <v>0</v>
          </cell>
          <cell r="N22">
            <v>0.58666449459365078</v>
          </cell>
          <cell r="O22">
            <v>0.31120434954305776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>
            <v>4487.7104114131726</v>
          </cell>
          <cell r="U22" t="e">
            <v>#DIV/0!</v>
          </cell>
          <cell r="V22">
            <v>4221.9388738430662</v>
          </cell>
          <cell r="W22">
            <v>4388.4525109227816</v>
          </cell>
          <cell r="X22"/>
          <cell r="Y22"/>
          <cell r="Z22"/>
          <cell r="AA22"/>
          <cell r="AB22">
            <v>172.99965443811575</v>
          </cell>
          <cell r="AC22"/>
          <cell r="AD22">
            <v>943.39065118017595</v>
          </cell>
          <cell r="AE22">
            <v>527.148101629763</v>
          </cell>
          <cell r="AF22">
            <v>1643.5384072480547</v>
          </cell>
          <cell r="AG22">
            <v>2.4167248138043805E-3</v>
          </cell>
          <cell r="AH22">
            <v>1652.2083146978284</v>
          </cell>
          <cell r="AI22">
            <v>1208.4969210000002</v>
          </cell>
          <cell r="AJ22">
            <v>1151.654043</v>
          </cell>
          <cell r="AK22">
            <v>1317.986359</v>
          </cell>
          <cell r="AL22">
            <v>956.3679449</v>
          </cell>
          <cell r="AM22">
            <v>796.5682041</v>
          </cell>
          <cell r="AN22">
            <v>2386.3452189999998</v>
          </cell>
          <cell r="AO22">
            <v>746.9119950999999</v>
          </cell>
          <cell r="AP22">
            <v>302.09813789999998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215.98104481264892</v>
          </cell>
          <cell r="AV22">
            <v>0</v>
          </cell>
          <cell r="AW22">
            <v>1164.7284876965587</v>
          </cell>
          <cell r="AX22">
            <v>348.54015776643746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1725.0705696398923</v>
          </cell>
          <cell r="BH22">
            <v>3377.2788843377207</v>
          </cell>
          <cell r="BI22">
            <v>4300.9021962880979</v>
          </cell>
          <cell r="BJ22">
            <v>0.78524893852561628</v>
          </cell>
          <cell r="BK22">
            <v>0.38415389127513061</v>
          </cell>
          <cell r="BL22">
            <v>0.40109504725048567</v>
          </cell>
        </row>
        <row r="23">
          <cell r="A23" t="str">
            <v>RAIKHEDA TPP2</v>
          </cell>
          <cell r="B23" t="str">
            <v>RAIKHEDA TPP</v>
          </cell>
          <cell r="C23">
            <v>685</v>
          </cell>
          <cell r="D23"/>
          <cell r="E23" t="str">
            <v/>
          </cell>
          <cell r="F23">
            <v>21.449918199999999</v>
          </cell>
          <cell r="G23">
            <v>81.852473599999996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</v>
          </cell>
          <cell r="O23">
            <v>0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>
            <v>4150.0000000000009</v>
          </cell>
          <cell r="W23" t="e">
            <v>#DIV/0!</v>
          </cell>
          <cell r="X23"/>
          <cell r="Y23"/>
          <cell r="Z23"/>
          <cell r="AA23"/>
          <cell r="AB23"/>
          <cell r="AC23"/>
          <cell r="AD23">
            <v>1608.0582000000002</v>
          </cell>
          <cell r="AE23"/>
          <cell r="AF23">
            <v>1608.0582000000002</v>
          </cell>
          <cell r="AG23">
            <v>1.3611142179564709E-3</v>
          </cell>
          <cell r="AH23">
            <v>1612.9894375948088</v>
          </cell>
          <cell r="AI23">
            <v>645.75036829999999</v>
          </cell>
          <cell r="AJ23">
            <v>588.90749100000005</v>
          </cell>
          <cell r="AK23">
            <v>757.30963100000008</v>
          </cell>
          <cell r="AL23">
            <v>366.6884713</v>
          </cell>
          <cell r="AM23">
            <v>452.91985269999998</v>
          </cell>
          <cell r="AN23">
            <v>1945.5552259999999</v>
          </cell>
          <cell r="AO23">
            <v>167.13349100000002</v>
          </cell>
          <cell r="AP23">
            <v>331.85071799999997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731.26199999999994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730.2666688947487</v>
          </cell>
          <cell r="BH23">
            <v>2343.2561064895576</v>
          </cell>
          <cell r="BI23">
            <v>4150.0000000000009</v>
          </cell>
          <cell r="BJ23">
            <v>0.56464002566013427</v>
          </cell>
          <cell r="BK23">
            <v>0.38867215363730323</v>
          </cell>
          <cell r="BL23">
            <v>0.17596787202283098</v>
          </cell>
        </row>
        <row r="24">
          <cell r="A24" t="str">
            <v>SHREE SINGAJI TPP3</v>
          </cell>
          <cell r="B24" t="str">
            <v>SHREE SINGAJI TPP</v>
          </cell>
          <cell r="C24">
            <v>660</v>
          </cell>
          <cell r="D24" t="str">
            <v>RAIL</v>
          </cell>
          <cell r="E24" t="str">
            <v/>
          </cell>
          <cell r="F24">
            <v>21.724111799999999</v>
          </cell>
          <cell r="G24">
            <v>76.706028000000003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0.10213115586329155</v>
          </cell>
          <cell r="M24">
            <v>0</v>
          </cell>
          <cell r="N24">
            <v>0.58666449459365078</v>
          </cell>
          <cell r="O24">
            <v>0.31120434954305776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>
            <v>4487.7104114131726</v>
          </cell>
          <cell r="U24" t="e">
            <v>#DIV/0!</v>
          </cell>
          <cell r="V24">
            <v>4221.9388738430662</v>
          </cell>
          <cell r="W24">
            <v>4388.4525109227816</v>
          </cell>
          <cell r="X24"/>
          <cell r="Y24"/>
          <cell r="Z24"/>
          <cell r="AA24"/>
          <cell r="AB24">
            <v>172.99965443811575</v>
          </cell>
          <cell r="AC24"/>
          <cell r="AD24">
            <v>943.39065118017595</v>
          </cell>
          <cell r="AE24">
            <v>527.148101629763</v>
          </cell>
          <cell r="AF24">
            <v>1643.5384072480547</v>
          </cell>
          <cell r="AG24">
            <v>2.4167248138043805E-3</v>
          </cell>
          <cell r="AH24">
            <v>1652.2083146978284</v>
          </cell>
          <cell r="AI24">
            <v>1208.4969210000002</v>
          </cell>
          <cell r="AJ24">
            <v>1151.654043</v>
          </cell>
          <cell r="AK24">
            <v>1317.986359</v>
          </cell>
          <cell r="AL24">
            <v>956.3679449</v>
          </cell>
          <cell r="AM24">
            <v>796.5682041</v>
          </cell>
          <cell r="AN24">
            <v>2386.3452189999998</v>
          </cell>
          <cell r="AO24">
            <v>746.9119950999999</v>
          </cell>
          <cell r="AP24">
            <v>302.09813789999998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215.98104481264892</v>
          </cell>
          <cell r="AV24">
            <v>0</v>
          </cell>
          <cell r="AW24">
            <v>1164.7284876965587</v>
          </cell>
          <cell r="AX24">
            <v>348.54015776643746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1725.0705696398923</v>
          </cell>
          <cell r="BH24">
            <v>3377.2788843377207</v>
          </cell>
          <cell r="BI24">
            <v>4300.9021962880979</v>
          </cell>
          <cell r="BJ24">
            <v>0.78524893852561628</v>
          </cell>
          <cell r="BK24">
            <v>0.38415389127513061</v>
          </cell>
          <cell r="BL24">
            <v>0.40109504725048567</v>
          </cell>
        </row>
        <row r="25">
          <cell r="A25" t="str">
            <v>MEJA STPP1</v>
          </cell>
          <cell r="B25" t="str">
            <v>MEJA STPP</v>
          </cell>
          <cell r="C25">
            <v>660</v>
          </cell>
          <cell r="D25"/>
          <cell r="E25" t="str">
            <v/>
          </cell>
          <cell r="F25">
            <v>25.145867299999999</v>
          </cell>
          <cell r="G25">
            <v>81.940095999999997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</v>
          </cell>
          <cell r="O25">
            <v>0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>
            <v>4188.277643991325</v>
          </cell>
          <cell r="W25" t="e">
            <v>#DIV/0!</v>
          </cell>
          <cell r="X25"/>
          <cell r="Y25"/>
          <cell r="Z25"/>
          <cell r="AA25"/>
          <cell r="AB25"/>
          <cell r="AC25"/>
          <cell r="AD25">
            <v>1608.0582000000002</v>
          </cell>
          <cell r="AE25"/>
          <cell r="AF25">
            <v>1608.0582000000002</v>
          </cell>
          <cell r="AG25">
            <v>0</v>
          </cell>
          <cell r="AH25">
            <v>1608.0582000000002</v>
          </cell>
          <cell r="AI25">
            <v>531.15196200000003</v>
          </cell>
          <cell r="AJ25">
            <v>526.64039000000002</v>
          </cell>
          <cell r="AK25">
            <v>626.33458310000003</v>
          </cell>
          <cell r="AL25">
            <v>697.75976170000001</v>
          </cell>
          <cell r="AM25">
            <v>201.7045171</v>
          </cell>
          <cell r="AN25">
            <v>1683.009982</v>
          </cell>
          <cell r="AO25">
            <v>434.1550527</v>
          </cell>
          <cell r="AP25">
            <v>586.8593419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1444.4220000000003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1444.4220000000003</v>
          </cell>
          <cell r="BH25">
            <v>3052.4802000000004</v>
          </cell>
          <cell r="BI25">
            <v>4188.277643991325</v>
          </cell>
          <cell r="BJ25">
            <v>0.72881515015586751</v>
          </cell>
          <cell r="BK25">
            <v>0.38394259805268316</v>
          </cell>
          <cell r="BL25">
            <v>0.34487255210318429</v>
          </cell>
        </row>
        <row r="26">
          <cell r="A26" t="str">
            <v>RAIKHEDA TPP1</v>
          </cell>
          <cell r="B26" t="str">
            <v>RAIKHEDA TPP</v>
          </cell>
          <cell r="C26">
            <v>685</v>
          </cell>
          <cell r="D26"/>
          <cell r="E26" t="str">
            <v/>
          </cell>
          <cell r="F26">
            <v>21.449918199999999</v>
          </cell>
          <cell r="G26">
            <v>81.852473599999996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>
            <v>4150.0000000000009</v>
          </cell>
          <cell r="W26" t="e">
            <v>#DIV/0!</v>
          </cell>
          <cell r="X26"/>
          <cell r="Y26"/>
          <cell r="Z26"/>
          <cell r="AA26"/>
          <cell r="AB26"/>
          <cell r="AC26"/>
          <cell r="AD26">
            <v>1608.0582000000002</v>
          </cell>
          <cell r="AE26"/>
          <cell r="AF26">
            <v>1608.0582000000002</v>
          </cell>
          <cell r="AG26">
            <v>1.3611142179564709E-3</v>
          </cell>
          <cell r="AH26">
            <v>1612.9894375948088</v>
          </cell>
          <cell r="AI26">
            <v>645.75036829999999</v>
          </cell>
          <cell r="AJ26">
            <v>588.90749100000005</v>
          </cell>
          <cell r="AK26">
            <v>757.30963100000008</v>
          </cell>
          <cell r="AL26">
            <v>366.6884713</v>
          </cell>
          <cell r="AM26">
            <v>452.91985269999998</v>
          </cell>
          <cell r="AN26">
            <v>1945.5552259999999</v>
          </cell>
          <cell r="AO26">
            <v>167.13349100000002</v>
          </cell>
          <cell r="AP26">
            <v>331.85071799999997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731.26199999999994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730.2666688947487</v>
          </cell>
          <cell r="BH26">
            <v>2343.2561064895576</v>
          </cell>
          <cell r="BI26">
            <v>4150.0000000000009</v>
          </cell>
          <cell r="BJ26">
            <v>0.56464002566013427</v>
          </cell>
          <cell r="BK26">
            <v>0.38867215363730323</v>
          </cell>
          <cell r="BL26">
            <v>0.17596787202283098</v>
          </cell>
        </row>
        <row r="27">
          <cell r="A27" t="str">
            <v>SOLAPUR STPS2</v>
          </cell>
          <cell r="B27" t="str">
            <v>SOLAPUR STPS</v>
          </cell>
          <cell r="C27">
            <v>660</v>
          </cell>
          <cell r="D27" t="str">
            <v>RAIL</v>
          </cell>
          <cell r="E27">
            <v>1.1666180332652465</v>
          </cell>
          <cell r="F27">
            <v>17.551296000000001</v>
          </cell>
          <cell r="G27">
            <v>75.983199499999998</v>
          </cell>
          <cell r="H27">
            <v>0.37242897415920811</v>
          </cell>
          <cell r="I27">
            <v>0</v>
          </cell>
          <cell r="J27">
            <v>0</v>
          </cell>
          <cell r="K27">
            <v>0.57119302016303963</v>
          </cell>
          <cell r="L27">
            <v>1.7993419727452234E-2</v>
          </cell>
          <cell r="M27">
            <v>0</v>
          </cell>
          <cell r="N27">
            <v>2.2456840234597463E-3</v>
          </cell>
          <cell r="O27">
            <v>3.6138901926840314E-2</v>
          </cell>
          <cell r="P27">
            <v>4083.2933219116794</v>
          </cell>
          <cell r="Q27" t="e">
            <v>#DIV/0!</v>
          </cell>
          <cell r="R27" t="e">
            <v>#DIV/0!</v>
          </cell>
          <cell r="S27">
            <v>3710.8824082002279</v>
          </cell>
          <cell r="T27">
            <v>4495.0288187068572</v>
          </cell>
          <cell r="U27" t="e">
            <v>#DIV/0!</v>
          </cell>
          <cell r="V27">
            <v>4150</v>
          </cell>
          <cell r="W27">
            <v>4171.8972091161377</v>
          </cell>
          <cell r="X27">
            <v>598.8874658143028</v>
          </cell>
          <cell r="Y27"/>
          <cell r="Z27"/>
          <cell r="AA27">
            <v>869.48111928449089</v>
          </cell>
          <cell r="AB27">
            <v>30.478998976335372</v>
          </cell>
          <cell r="AC27"/>
          <cell r="AD27">
            <v>3.6111906085334375</v>
          </cell>
          <cell r="AE27">
            <v>58.113457582451375</v>
          </cell>
          <cell r="AF27">
            <v>1560.5722322661138</v>
          </cell>
          <cell r="AG27">
            <v>6.2528240989779438E-2</v>
          </cell>
          <cell r="AH27">
            <v>1790.0776242625566</v>
          </cell>
          <cell r="AI27">
            <v>1530.9843640000001</v>
          </cell>
          <cell r="AJ27">
            <v>1474.1414869999999</v>
          </cell>
          <cell r="AK27">
            <v>1642.543627</v>
          </cell>
          <cell r="AL27">
            <v>1234.6024600000001</v>
          </cell>
          <cell r="AM27">
            <v>1237.1583719999999</v>
          </cell>
          <cell r="AN27">
            <v>2826.9353860000001</v>
          </cell>
          <cell r="AO27">
            <v>1052.367487</v>
          </cell>
          <cell r="AP27">
            <v>601.95413840000003</v>
          </cell>
          <cell r="AQ27">
            <v>1322.2666158492143</v>
          </cell>
          <cell r="AR27">
            <v>0</v>
          </cell>
          <cell r="AS27">
            <v>0</v>
          </cell>
          <cell r="AT27">
            <v>1717.2598283110497</v>
          </cell>
          <cell r="AU27">
            <v>54.096208779080413</v>
          </cell>
          <cell r="AV27">
            <v>0</v>
          </cell>
          <cell r="AW27">
            <v>5.8916194060673481</v>
          </cell>
          <cell r="AX27">
            <v>67.863870650140214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2969.3275591645661</v>
          </cell>
          <cell r="BH27">
            <v>4759.4051834271231</v>
          </cell>
          <cell r="BI27">
            <v>3881.3351862889454</v>
          </cell>
          <cell r="BJ27">
            <v>1.2262288503811818</v>
          </cell>
          <cell r="BK27">
            <v>0.46120150369545915</v>
          </cell>
          <cell r="BL27">
            <v>0.76502734668572248</v>
          </cell>
        </row>
        <row r="28">
          <cell r="A28" t="str">
            <v>BARA TPP3</v>
          </cell>
          <cell r="B28" t="str">
            <v>BARA TPP</v>
          </cell>
          <cell r="C28">
            <v>660</v>
          </cell>
          <cell r="D28"/>
          <cell r="E28" t="str">
            <v/>
          </cell>
          <cell r="F28">
            <v>25.196345000000001</v>
          </cell>
          <cell r="G28">
            <v>81.658533800000001</v>
          </cell>
          <cell r="H28">
            <v>1.2105818047371496E-2</v>
          </cell>
          <cell r="I28">
            <v>9.0679561192570257E-2</v>
          </cell>
          <cell r="J28">
            <v>7.260377538286217E-3</v>
          </cell>
          <cell r="K28">
            <v>0</v>
          </cell>
          <cell r="L28">
            <v>0.88462419338277276</v>
          </cell>
          <cell r="M28">
            <v>0</v>
          </cell>
          <cell r="N28">
            <v>5.330049838999245E-3</v>
          </cell>
          <cell r="O28">
            <v>0</v>
          </cell>
          <cell r="P28">
            <v>4158.2211649766068</v>
          </cell>
          <cell r="Q28">
            <v>4487.6931480381345</v>
          </cell>
          <cell r="R28">
            <v>6250</v>
          </cell>
          <cell r="S28" t="e">
            <v>#DIV/0!</v>
          </cell>
          <cell r="T28">
            <v>4542.5849454681202</v>
          </cell>
          <cell r="U28" t="e">
            <v>#DIV/0!</v>
          </cell>
          <cell r="V28">
            <v>5649.9999999999991</v>
          </cell>
          <cell r="W28" t="e">
            <v>#DIV/0!</v>
          </cell>
          <cell r="X28">
            <v>19.466859978783724</v>
          </cell>
          <cell r="Y28">
            <v>153.60183303822876</v>
          </cell>
          <cell r="Z28">
            <v>30.145958784268966</v>
          </cell>
          <cell r="AA28"/>
          <cell r="AB28">
            <v>1498.4622319135312</v>
          </cell>
          <cell r="AC28"/>
          <cell r="AD28">
            <v>17.602173414738559</v>
          </cell>
          <cell r="AE28"/>
          <cell r="AF28">
            <v>1719.2790571295513</v>
          </cell>
          <cell r="AG28">
            <v>0</v>
          </cell>
          <cell r="AH28">
            <v>1719.2790571295513</v>
          </cell>
          <cell r="AI28">
            <v>557.87954090000005</v>
          </cell>
          <cell r="AJ28">
            <v>554.46686199999999</v>
          </cell>
          <cell r="AK28">
            <v>653.06216200000006</v>
          </cell>
          <cell r="AL28">
            <v>730.23010150000005</v>
          </cell>
          <cell r="AM28">
            <v>234.17485690000001</v>
          </cell>
          <cell r="AN28">
            <v>1708.5540489999998</v>
          </cell>
          <cell r="AO28">
            <v>464.01895380000002</v>
          </cell>
          <cell r="AP28">
            <v>570.21201980000001</v>
          </cell>
          <cell r="AQ28">
            <v>20.129312132808376</v>
          </cell>
          <cell r="AR28">
            <v>150.78016075978198</v>
          </cell>
          <cell r="AS28">
            <v>13.633987084801232</v>
          </cell>
          <cell r="AT28">
            <v>0</v>
          </cell>
          <cell r="AU28">
            <v>851.7604045986028</v>
          </cell>
          <cell r="AV28">
            <v>0</v>
          </cell>
          <cell r="AW28">
            <v>7.6988412485469686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1044.0027058245414</v>
          </cell>
          <cell r="BH28">
            <v>2763.2817629540928</v>
          </cell>
          <cell r="BI28">
            <v>4551.2533987170345</v>
          </cell>
          <cell r="BJ28">
            <v>0.60714742091333385</v>
          </cell>
          <cell r="BK28">
            <v>0.37775946679088529</v>
          </cell>
          <cell r="BL28">
            <v>0.22938795412244861</v>
          </cell>
        </row>
        <row r="29">
          <cell r="A29" t="str">
            <v>CHHABRA TPS5</v>
          </cell>
          <cell r="B29" t="str">
            <v>CHHABRA TPS</v>
          </cell>
          <cell r="C29">
            <v>660</v>
          </cell>
          <cell r="D29" t="str">
            <v>RAIL</v>
          </cell>
          <cell r="E29">
            <v>0.91324300699300698</v>
          </cell>
          <cell r="F29">
            <v>24.621500000000001</v>
          </cell>
          <cell r="G29">
            <v>77.035399999999996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</v>
          </cell>
          <cell r="O29">
            <v>0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>
            <v>4431.9195703193527</v>
          </cell>
          <cell r="W29" t="e">
            <v>#DIV/0!</v>
          </cell>
          <cell r="X29"/>
          <cell r="Y29"/>
          <cell r="Z29"/>
          <cell r="AA29"/>
          <cell r="AB29"/>
          <cell r="AC29"/>
          <cell r="AD29">
            <v>1693.8969600000003</v>
          </cell>
          <cell r="AE29"/>
          <cell r="AF29">
            <v>1693.8969600000003</v>
          </cell>
          <cell r="AG29">
            <v>0</v>
          </cell>
          <cell r="AH29">
            <v>1693.8969600000003</v>
          </cell>
          <cell r="AI29">
            <v>1097.2493449999999</v>
          </cell>
          <cell r="AJ29">
            <v>1082.8915999999999</v>
          </cell>
          <cell r="AK29">
            <v>1192.431967</v>
          </cell>
          <cell r="AL29">
            <v>1024.6149479999999</v>
          </cell>
          <cell r="AM29">
            <v>714.45789269999989</v>
          </cell>
          <cell r="AN29">
            <v>2244.7031269999998</v>
          </cell>
          <cell r="AO29">
            <v>738.10572640000009</v>
          </cell>
          <cell r="AP29">
            <v>528.62300659999994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1985.3400000000001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1985.3400000000001</v>
          </cell>
          <cell r="BH29">
            <v>3679.2369600000002</v>
          </cell>
          <cell r="BI29">
            <v>4431.9195703193527</v>
          </cell>
          <cell r="BJ29">
            <v>0.83016780914525568</v>
          </cell>
          <cell r="BK29">
            <v>0.38220390355097134</v>
          </cell>
          <cell r="BL29">
            <v>0.44796390559428445</v>
          </cell>
        </row>
        <row r="30">
          <cell r="A30" t="str">
            <v>BARA TPP1</v>
          </cell>
          <cell r="B30" t="str">
            <v>BARA TPP</v>
          </cell>
          <cell r="C30">
            <v>660</v>
          </cell>
          <cell r="D30"/>
          <cell r="E30" t="str">
            <v/>
          </cell>
          <cell r="F30">
            <v>25.196345000000001</v>
          </cell>
          <cell r="G30">
            <v>81.658533800000001</v>
          </cell>
          <cell r="H30">
            <v>1.2105818047371496E-2</v>
          </cell>
          <cell r="I30">
            <v>9.0679561192570257E-2</v>
          </cell>
          <cell r="J30">
            <v>7.260377538286217E-3</v>
          </cell>
          <cell r="K30">
            <v>0</v>
          </cell>
          <cell r="L30">
            <v>0.88462419338277276</v>
          </cell>
          <cell r="M30">
            <v>0</v>
          </cell>
          <cell r="N30">
            <v>5.330049838999245E-3</v>
          </cell>
          <cell r="O30">
            <v>0</v>
          </cell>
          <cell r="P30">
            <v>4158.2211649766068</v>
          </cell>
          <cell r="Q30">
            <v>4487.6931480381345</v>
          </cell>
          <cell r="R30">
            <v>6250</v>
          </cell>
          <cell r="S30" t="e">
            <v>#DIV/0!</v>
          </cell>
          <cell r="T30">
            <v>4542.5849454681202</v>
          </cell>
          <cell r="U30" t="e">
            <v>#DIV/0!</v>
          </cell>
          <cell r="V30">
            <v>5649.9999999999991</v>
          </cell>
          <cell r="W30" t="e">
            <v>#DIV/0!</v>
          </cell>
          <cell r="X30">
            <v>19.466859978783724</v>
          </cell>
          <cell r="Y30">
            <v>153.60183303822876</v>
          </cell>
          <cell r="Z30">
            <v>30.145958784268966</v>
          </cell>
          <cell r="AA30"/>
          <cell r="AB30">
            <v>1498.4622319135312</v>
          </cell>
          <cell r="AC30"/>
          <cell r="AD30">
            <v>17.602173414738559</v>
          </cell>
          <cell r="AE30"/>
          <cell r="AF30">
            <v>1719.2790571295513</v>
          </cell>
          <cell r="AG30">
            <v>0</v>
          </cell>
          <cell r="AH30">
            <v>1719.2790571295513</v>
          </cell>
          <cell r="AI30">
            <v>557.87954090000005</v>
          </cell>
          <cell r="AJ30">
            <v>554.46686199999999</v>
          </cell>
          <cell r="AK30">
            <v>653.06216200000006</v>
          </cell>
          <cell r="AL30">
            <v>730.23010150000005</v>
          </cell>
          <cell r="AM30">
            <v>234.17485690000001</v>
          </cell>
          <cell r="AN30">
            <v>1708.5540489999998</v>
          </cell>
          <cell r="AO30">
            <v>464.01895380000002</v>
          </cell>
          <cell r="AP30">
            <v>570.21201980000001</v>
          </cell>
          <cell r="AQ30">
            <v>20.129312132808376</v>
          </cell>
          <cell r="AR30">
            <v>150.78016075978198</v>
          </cell>
          <cell r="AS30">
            <v>13.633987084801232</v>
          </cell>
          <cell r="AT30">
            <v>0</v>
          </cell>
          <cell r="AU30">
            <v>851.7604045986028</v>
          </cell>
          <cell r="AV30">
            <v>0</v>
          </cell>
          <cell r="AW30">
            <v>7.6988412485469686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1044.0027058245414</v>
          </cell>
          <cell r="BH30">
            <v>2763.2817629540928</v>
          </cell>
          <cell r="BI30">
            <v>4551.2533987170345</v>
          </cell>
          <cell r="BJ30">
            <v>0.60714742091333385</v>
          </cell>
          <cell r="BK30">
            <v>0.37775946679088529</v>
          </cell>
          <cell r="BL30">
            <v>0.22938795412244861</v>
          </cell>
        </row>
        <row r="31">
          <cell r="A31" t="str">
            <v>MAUDA TPS4</v>
          </cell>
          <cell r="B31" t="str">
            <v>MAUDA TPS</v>
          </cell>
          <cell r="C31">
            <v>660</v>
          </cell>
          <cell r="D31" t="str">
            <v>RAIL</v>
          </cell>
          <cell r="E31">
            <v>1.0472343070229957</v>
          </cell>
          <cell r="F31">
            <v>21.216130555555555</v>
          </cell>
          <cell r="G31">
            <v>79.374080555555551</v>
          </cell>
          <cell r="H31">
            <v>7.3063620546739733E-2</v>
          </cell>
          <cell r="I31">
            <v>4.5247587078533344E-3</v>
          </cell>
          <cell r="J31">
            <v>1.0302391355259887E-2</v>
          </cell>
          <cell r="K31">
            <v>0.23541428311058782</v>
          </cell>
          <cell r="L31">
            <v>0.14343602682999856</v>
          </cell>
          <cell r="M31">
            <v>0</v>
          </cell>
          <cell r="N31">
            <v>9.6641589622293189E-2</v>
          </cell>
          <cell r="O31">
            <v>0.43661732982726748</v>
          </cell>
          <cell r="P31">
            <v>4106.5707452867609</v>
          </cell>
          <cell r="Q31">
            <v>4135.7765867297103</v>
          </cell>
          <cell r="R31">
            <v>5744.1705411008634</v>
          </cell>
          <cell r="S31">
            <v>3489.7300111008267</v>
          </cell>
          <cell r="T31">
            <v>4563.1782935932242</v>
          </cell>
          <cell r="U31" t="e">
            <v>#DIV/0!</v>
          </cell>
          <cell r="V31">
            <v>4580.6951420864825</v>
          </cell>
          <cell r="W31">
            <v>4327.2492753231209</v>
          </cell>
          <cell r="X31">
            <v>117.49055414187332</v>
          </cell>
          <cell r="Y31">
            <v>7.2760753431849592</v>
          </cell>
          <cell r="Z31">
            <v>34.023036312890589</v>
          </cell>
          <cell r="AA31">
            <v>338.14452805609869</v>
          </cell>
          <cell r="AB31">
            <v>242.96584980181305</v>
          </cell>
          <cell r="AC31"/>
          <cell r="AD31">
            <v>163.70089487077001</v>
          </cell>
          <cell r="AE31">
            <v>739.58476767772584</v>
          </cell>
          <cell r="AF31">
            <v>1643.1857062043564</v>
          </cell>
          <cell r="AG31">
            <v>2.9640974451316578E-2</v>
          </cell>
          <cell r="AH31">
            <v>1749.5320180228216</v>
          </cell>
          <cell r="AI31">
            <v>927.63564780000002</v>
          </cell>
          <cell r="AJ31">
            <v>870.79277049999996</v>
          </cell>
          <cell r="AK31">
            <v>1039.1949099999999</v>
          </cell>
          <cell r="AL31">
            <v>633.96731940000006</v>
          </cell>
          <cell r="AM31">
            <v>637.94313920000002</v>
          </cell>
          <cell r="AN31">
            <v>2217.9813629999999</v>
          </cell>
          <cell r="AO31">
            <v>449.01877049999996</v>
          </cell>
          <cell r="AP31">
            <v>39.60085583</v>
          </cell>
          <cell r="AQ31">
            <v>173.24494998664301</v>
          </cell>
          <cell r="AR31">
            <v>10.149649148899297</v>
          </cell>
          <cell r="AS31">
            <v>26.570403029565718</v>
          </cell>
          <cell r="AT31">
            <v>442.07553651061465</v>
          </cell>
          <cell r="AU31">
            <v>269.35306421503475</v>
          </cell>
          <cell r="AV31">
            <v>0</v>
          </cell>
          <cell r="AW31">
            <v>139.59123816541199</v>
          </cell>
          <cell r="AX31">
            <v>169.25907408083853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1193.7782866795442</v>
          </cell>
          <cell r="BH31">
            <v>2943.310304702366</v>
          </cell>
          <cell r="BI31">
            <v>4186.0271478899185</v>
          </cell>
          <cell r="BJ31">
            <v>0.70312738085944382</v>
          </cell>
          <cell r="BK31">
            <v>0.4179456931866104</v>
          </cell>
          <cell r="BL31">
            <v>0.28518168767283336</v>
          </cell>
        </row>
        <row r="32">
          <cell r="A32" t="str">
            <v>LALITPUR TPS3</v>
          </cell>
          <cell r="B32" t="str">
            <v>LALITPUR TPS</v>
          </cell>
          <cell r="C32">
            <v>660</v>
          </cell>
          <cell r="D32" t="str">
            <v>RAIL</v>
          </cell>
          <cell r="E32" t="str">
            <v/>
          </cell>
          <cell r="F32">
            <v>24.795832999999998</v>
          </cell>
          <cell r="G32">
            <v>78.646944000000005</v>
          </cell>
          <cell r="H32">
            <v>0</v>
          </cell>
          <cell r="I32">
            <v>0.28252784455217311</v>
          </cell>
          <cell r="J32">
            <v>0</v>
          </cell>
          <cell r="K32">
            <v>2.0146666968642014E-3</v>
          </cell>
          <cell r="L32">
            <v>0.4181852808724596</v>
          </cell>
          <cell r="M32">
            <v>0</v>
          </cell>
          <cell r="N32">
            <v>0.20227169101919679</v>
          </cell>
          <cell r="O32">
            <v>9.5000516859306328E-2</v>
          </cell>
          <cell r="P32" t="e">
            <v>#DIV/0!</v>
          </cell>
          <cell r="Q32">
            <v>4166.9531598066951</v>
          </cell>
          <cell r="R32" t="e">
            <v>#DIV/0!</v>
          </cell>
          <cell r="S32">
            <v>3849.9999999999995</v>
          </cell>
          <cell r="T32">
            <v>4488.3238026631125</v>
          </cell>
          <cell r="U32" t="e">
            <v>#DIV/0!</v>
          </cell>
          <cell r="V32">
            <v>5746.439797433376</v>
          </cell>
          <cell r="W32">
            <v>4525.2467394645146</v>
          </cell>
          <cell r="X32"/>
          <cell r="Y32">
            <v>454.32121716044736</v>
          </cell>
          <cell r="Z32"/>
          <cell r="AA32">
            <v>3.0667648110872743</v>
          </cell>
          <cell r="AB32">
            <v>708.36277598660558</v>
          </cell>
          <cell r="AC32"/>
          <cell r="AD32">
            <v>667.9902608341863</v>
          </cell>
          <cell r="AE32">
            <v>160.92108670640775</v>
          </cell>
          <cell r="AF32">
            <v>1994.6621054987343</v>
          </cell>
          <cell r="AG32">
            <v>0</v>
          </cell>
          <cell r="AH32">
            <v>1994.6621054987343</v>
          </cell>
          <cell r="AI32">
            <v>899.61536230000002</v>
          </cell>
          <cell r="AJ32">
            <v>890.41325649999999</v>
          </cell>
          <cell r="AK32">
            <v>994.79798339999991</v>
          </cell>
          <cell r="AL32">
            <v>900.09121170000003</v>
          </cell>
          <cell r="AM32">
            <v>521.97954950000008</v>
          </cell>
          <cell r="AN32">
            <v>2047.0691440000001</v>
          </cell>
          <cell r="AO32">
            <v>607.99238479999997</v>
          </cell>
          <cell r="AP32">
            <v>492.31263540000003</v>
          </cell>
          <cell r="AQ32">
            <v>0</v>
          </cell>
          <cell r="AR32">
            <v>650.97805718955317</v>
          </cell>
          <cell r="AS32">
            <v>0</v>
          </cell>
          <cell r="AT32">
            <v>4.642033829578744</v>
          </cell>
          <cell r="AU32">
            <v>695.35012132910833</v>
          </cell>
          <cell r="AV32">
            <v>0</v>
          </cell>
          <cell r="AW32">
            <v>379.83832224069096</v>
          </cell>
          <cell r="AX32">
            <v>137.220836562953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1868.0293711518843</v>
          </cell>
          <cell r="BH32">
            <v>3862.6914766506188</v>
          </cell>
          <cell r="BI32">
            <v>4654.2305857680822</v>
          </cell>
          <cell r="BJ32">
            <v>0.82993126478566237</v>
          </cell>
          <cell r="BK32">
            <v>0.42856967843366051</v>
          </cell>
          <cell r="BL32">
            <v>0.40136158635200186</v>
          </cell>
        </row>
        <row r="33">
          <cell r="A33" t="str">
            <v>LALITPUR TPS1</v>
          </cell>
          <cell r="B33" t="str">
            <v>LALITPUR TPS</v>
          </cell>
          <cell r="C33">
            <v>660</v>
          </cell>
          <cell r="D33" t="str">
            <v>RAIL</v>
          </cell>
          <cell r="E33" t="str">
            <v/>
          </cell>
          <cell r="F33">
            <v>24.795832999999998</v>
          </cell>
          <cell r="G33">
            <v>78.646944000000005</v>
          </cell>
          <cell r="H33">
            <v>0</v>
          </cell>
          <cell r="I33">
            <v>0.28252784455217311</v>
          </cell>
          <cell r="J33">
            <v>0</v>
          </cell>
          <cell r="K33">
            <v>2.0146666968642014E-3</v>
          </cell>
          <cell r="L33">
            <v>0.4181852808724596</v>
          </cell>
          <cell r="M33">
            <v>0</v>
          </cell>
          <cell r="N33">
            <v>0.20227169101919679</v>
          </cell>
          <cell r="O33">
            <v>9.5000516859306328E-2</v>
          </cell>
          <cell r="P33" t="e">
            <v>#DIV/0!</v>
          </cell>
          <cell r="Q33">
            <v>4166.9531598066951</v>
          </cell>
          <cell r="R33" t="e">
            <v>#DIV/0!</v>
          </cell>
          <cell r="S33">
            <v>3849.9999999999995</v>
          </cell>
          <cell r="T33">
            <v>4488.3238026631125</v>
          </cell>
          <cell r="U33" t="e">
            <v>#DIV/0!</v>
          </cell>
          <cell r="V33">
            <v>5746.439797433376</v>
          </cell>
          <cell r="W33">
            <v>4525.2467394645146</v>
          </cell>
          <cell r="X33"/>
          <cell r="Y33">
            <v>454.32121716044736</v>
          </cell>
          <cell r="Z33"/>
          <cell r="AA33">
            <v>3.0667648110872743</v>
          </cell>
          <cell r="AB33">
            <v>708.36277598660558</v>
          </cell>
          <cell r="AC33"/>
          <cell r="AD33">
            <v>667.9902608341863</v>
          </cell>
          <cell r="AE33">
            <v>160.92108670640775</v>
          </cell>
          <cell r="AF33">
            <v>1994.6621054987343</v>
          </cell>
          <cell r="AG33">
            <v>0</v>
          </cell>
          <cell r="AH33">
            <v>1994.6621054987343</v>
          </cell>
          <cell r="AI33">
            <v>899.61536230000002</v>
          </cell>
          <cell r="AJ33">
            <v>890.41325649999999</v>
          </cell>
          <cell r="AK33">
            <v>994.79798339999991</v>
          </cell>
          <cell r="AL33">
            <v>900.09121170000003</v>
          </cell>
          <cell r="AM33">
            <v>521.97954950000008</v>
          </cell>
          <cell r="AN33">
            <v>2047.0691440000001</v>
          </cell>
          <cell r="AO33">
            <v>607.99238479999997</v>
          </cell>
          <cell r="AP33">
            <v>492.31263540000003</v>
          </cell>
          <cell r="AQ33">
            <v>0</v>
          </cell>
          <cell r="AR33">
            <v>650.97805718955317</v>
          </cell>
          <cell r="AS33">
            <v>0</v>
          </cell>
          <cell r="AT33">
            <v>4.642033829578744</v>
          </cell>
          <cell r="AU33">
            <v>695.35012132910833</v>
          </cell>
          <cell r="AV33">
            <v>0</v>
          </cell>
          <cell r="AW33">
            <v>379.83832224069096</v>
          </cell>
          <cell r="AX33">
            <v>137.220836562953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1868.0293711518843</v>
          </cell>
          <cell r="BH33">
            <v>3862.6914766506188</v>
          </cell>
          <cell r="BI33">
            <v>4654.2305857680822</v>
          </cell>
          <cell r="BJ33">
            <v>0.82993126478566237</v>
          </cell>
          <cell r="BK33">
            <v>0.42856967843366051</v>
          </cell>
          <cell r="BL33">
            <v>0.40136158635200186</v>
          </cell>
        </row>
        <row r="34">
          <cell r="A34" t="str">
            <v>LALITPUR TPS2</v>
          </cell>
          <cell r="B34" t="str">
            <v>LALITPUR TPS</v>
          </cell>
          <cell r="C34">
            <v>660</v>
          </cell>
          <cell r="D34" t="str">
            <v>RAIL</v>
          </cell>
          <cell r="E34" t="str">
            <v/>
          </cell>
          <cell r="F34">
            <v>24.795832999999998</v>
          </cell>
          <cell r="G34">
            <v>78.646944000000005</v>
          </cell>
          <cell r="H34">
            <v>0</v>
          </cell>
          <cell r="I34">
            <v>0.28252784455217311</v>
          </cell>
          <cell r="J34">
            <v>0</v>
          </cell>
          <cell r="K34">
            <v>2.0146666968642014E-3</v>
          </cell>
          <cell r="L34">
            <v>0.4181852808724596</v>
          </cell>
          <cell r="M34">
            <v>0</v>
          </cell>
          <cell r="N34">
            <v>0.20227169101919679</v>
          </cell>
          <cell r="O34">
            <v>9.5000516859306328E-2</v>
          </cell>
          <cell r="P34" t="e">
            <v>#DIV/0!</v>
          </cell>
          <cell r="Q34">
            <v>4166.9531598066951</v>
          </cell>
          <cell r="R34" t="e">
            <v>#DIV/0!</v>
          </cell>
          <cell r="S34">
            <v>3849.9999999999995</v>
          </cell>
          <cell r="T34">
            <v>4488.3238026631125</v>
          </cell>
          <cell r="U34" t="e">
            <v>#DIV/0!</v>
          </cell>
          <cell r="V34">
            <v>5746.439797433376</v>
          </cell>
          <cell r="W34">
            <v>4525.2467394645146</v>
          </cell>
          <cell r="X34"/>
          <cell r="Y34">
            <v>454.32121716044736</v>
          </cell>
          <cell r="Z34"/>
          <cell r="AA34">
            <v>3.0667648110872743</v>
          </cell>
          <cell r="AB34">
            <v>708.36277598660558</v>
          </cell>
          <cell r="AC34"/>
          <cell r="AD34">
            <v>667.9902608341863</v>
          </cell>
          <cell r="AE34">
            <v>160.92108670640775</v>
          </cell>
          <cell r="AF34">
            <v>1994.6621054987343</v>
          </cell>
          <cell r="AG34">
            <v>0</v>
          </cell>
          <cell r="AH34">
            <v>1994.6621054987343</v>
          </cell>
          <cell r="AI34">
            <v>899.61536230000002</v>
          </cell>
          <cell r="AJ34">
            <v>890.41325649999999</v>
          </cell>
          <cell r="AK34">
            <v>994.79798339999991</v>
          </cell>
          <cell r="AL34">
            <v>900.09121170000003</v>
          </cell>
          <cell r="AM34">
            <v>521.97954950000008</v>
          </cell>
          <cell r="AN34">
            <v>2047.0691440000001</v>
          </cell>
          <cell r="AO34">
            <v>607.99238479999997</v>
          </cell>
          <cell r="AP34">
            <v>492.31263540000003</v>
          </cell>
          <cell r="AQ34">
            <v>0</v>
          </cell>
          <cell r="AR34">
            <v>650.97805718955317</v>
          </cell>
          <cell r="AS34">
            <v>0</v>
          </cell>
          <cell r="AT34">
            <v>4.642033829578744</v>
          </cell>
          <cell r="AU34">
            <v>695.35012132910833</v>
          </cell>
          <cell r="AV34">
            <v>0</v>
          </cell>
          <cell r="AW34">
            <v>379.83832224069096</v>
          </cell>
          <cell r="AX34">
            <v>137.220836562953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1868.0293711518843</v>
          </cell>
          <cell r="BH34">
            <v>3862.6914766506188</v>
          </cell>
          <cell r="BI34">
            <v>4654.2305857680822</v>
          </cell>
          <cell r="BJ34">
            <v>0.82993126478566237</v>
          </cell>
          <cell r="BK34">
            <v>0.42856967843366051</v>
          </cell>
          <cell r="BL34">
            <v>0.40136158635200186</v>
          </cell>
        </row>
        <row r="35">
          <cell r="A35" t="str">
            <v>BARA TPP2</v>
          </cell>
          <cell r="B35" t="str">
            <v>BARA TPP</v>
          </cell>
          <cell r="C35">
            <v>660</v>
          </cell>
          <cell r="D35"/>
          <cell r="E35" t="str">
            <v/>
          </cell>
          <cell r="F35">
            <v>25.196345000000001</v>
          </cell>
          <cell r="G35">
            <v>81.658533800000001</v>
          </cell>
          <cell r="H35">
            <v>1.2105818047371496E-2</v>
          </cell>
          <cell r="I35">
            <v>9.0679561192570257E-2</v>
          </cell>
          <cell r="J35">
            <v>7.260377538286217E-3</v>
          </cell>
          <cell r="K35">
            <v>0</v>
          </cell>
          <cell r="L35">
            <v>0.88462419338277276</v>
          </cell>
          <cell r="M35">
            <v>0</v>
          </cell>
          <cell r="N35">
            <v>5.330049838999245E-3</v>
          </cell>
          <cell r="O35">
            <v>0</v>
          </cell>
          <cell r="P35">
            <v>4158.2211649766068</v>
          </cell>
          <cell r="Q35">
            <v>4487.6931480381345</v>
          </cell>
          <cell r="R35">
            <v>6250</v>
          </cell>
          <cell r="S35" t="e">
            <v>#DIV/0!</v>
          </cell>
          <cell r="T35">
            <v>4542.5849454681202</v>
          </cell>
          <cell r="U35" t="e">
            <v>#DIV/0!</v>
          </cell>
          <cell r="V35">
            <v>5649.9999999999991</v>
          </cell>
          <cell r="W35" t="e">
            <v>#DIV/0!</v>
          </cell>
          <cell r="X35">
            <v>19.466859978783724</v>
          </cell>
          <cell r="Y35">
            <v>153.60183303822876</v>
          </cell>
          <cell r="Z35">
            <v>30.145958784268966</v>
          </cell>
          <cell r="AA35"/>
          <cell r="AB35">
            <v>1498.4622319135312</v>
          </cell>
          <cell r="AC35"/>
          <cell r="AD35">
            <v>17.602173414738559</v>
          </cell>
          <cell r="AE35"/>
          <cell r="AF35">
            <v>1719.2790571295513</v>
          </cell>
          <cell r="AG35">
            <v>0</v>
          </cell>
          <cell r="AH35">
            <v>1719.2790571295513</v>
          </cell>
          <cell r="AI35">
            <v>557.87954090000005</v>
          </cell>
          <cell r="AJ35">
            <v>554.46686199999999</v>
          </cell>
          <cell r="AK35">
            <v>653.06216200000006</v>
          </cell>
          <cell r="AL35">
            <v>730.23010150000005</v>
          </cell>
          <cell r="AM35">
            <v>234.17485690000001</v>
          </cell>
          <cell r="AN35">
            <v>1708.5540489999998</v>
          </cell>
          <cell r="AO35">
            <v>464.01895380000002</v>
          </cell>
          <cell r="AP35">
            <v>570.21201980000001</v>
          </cell>
          <cell r="AQ35">
            <v>20.129312132808376</v>
          </cell>
          <cell r="AR35">
            <v>150.78016075978198</v>
          </cell>
          <cell r="AS35">
            <v>13.633987084801232</v>
          </cell>
          <cell r="AT35">
            <v>0</v>
          </cell>
          <cell r="AU35">
            <v>851.7604045986028</v>
          </cell>
          <cell r="AV35">
            <v>0</v>
          </cell>
          <cell r="AW35">
            <v>7.6988412485469686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1044.0027058245414</v>
          </cell>
          <cell r="BH35">
            <v>2763.2817629540928</v>
          </cell>
          <cell r="BI35">
            <v>4551.2533987170345</v>
          </cell>
          <cell r="BJ35">
            <v>0.60714742091333385</v>
          </cell>
          <cell r="BK35">
            <v>0.37775946679088529</v>
          </cell>
          <cell r="BL35">
            <v>0.22938795412244861</v>
          </cell>
        </row>
        <row r="36">
          <cell r="A36" t="str">
            <v>SOLAPUR STPS1</v>
          </cell>
          <cell r="B36" t="str">
            <v>SOLAPUR STPS</v>
          </cell>
          <cell r="C36">
            <v>660</v>
          </cell>
          <cell r="D36" t="str">
            <v>RAIL</v>
          </cell>
          <cell r="E36">
            <v>1.1666180332652465</v>
          </cell>
          <cell r="F36">
            <v>17.551296000000001</v>
          </cell>
          <cell r="G36">
            <v>75.983199499999998</v>
          </cell>
          <cell r="H36">
            <v>0.37242897415920811</v>
          </cell>
          <cell r="I36">
            <v>0</v>
          </cell>
          <cell r="J36">
            <v>0</v>
          </cell>
          <cell r="K36">
            <v>0.57119302016303963</v>
          </cell>
          <cell r="L36">
            <v>1.7993419727452234E-2</v>
          </cell>
          <cell r="M36">
            <v>0</v>
          </cell>
          <cell r="N36">
            <v>2.2456840234597463E-3</v>
          </cell>
          <cell r="O36">
            <v>3.6138901926840314E-2</v>
          </cell>
          <cell r="P36">
            <v>4083.2933219116794</v>
          </cell>
          <cell r="Q36" t="e">
            <v>#DIV/0!</v>
          </cell>
          <cell r="R36" t="e">
            <v>#DIV/0!</v>
          </cell>
          <cell r="S36">
            <v>3710.8824082002279</v>
          </cell>
          <cell r="T36">
            <v>4495.0288187068572</v>
          </cell>
          <cell r="U36" t="e">
            <v>#DIV/0!</v>
          </cell>
          <cell r="V36">
            <v>4150</v>
          </cell>
          <cell r="W36">
            <v>4171.8972091161377</v>
          </cell>
          <cell r="X36">
            <v>598.8874658143028</v>
          </cell>
          <cell r="Y36"/>
          <cell r="Z36"/>
          <cell r="AA36">
            <v>869.48111928449089</v>
          </cell>
          <cell r="AB36">
            <v>30.478998976335372</v>
          </cell>
          <cell r="AC36"/>
          <cell r="AD36">
            <v>3.6111906085334375</v>
          </cell>
          <cell r="AE36">
            <v>58.113457582451375</v>
          </cell>
          <cell r="AF36">
            <v>1560.5722322661138</v>
          </cell>
          <cell r="AG36">
            <v>6.2528240989779438E-2</v>
          </cell>
          <cell r="AH36">
            <v>1790.0776242625566</v>
          </cell>
          <cell r="AI36">
            <v>1530.9843640000001</v>
          </cell>
          <cell r="AJ36">
            <v>1474.1414869999999</v>
          </cell>
          <cell r="AK36">
            <v>1642.543627</v>
          </cell>
          <cell r="AL36">
            <v>1234.6024600000001</v>
          </cell>
          <cell r="AM36">
            <v>1237.1583719999999</v>
          </cell>
          <cell r="AN36">
            <v>2826.9353860000001</v>
          </cell>
          <cell r="AO36">
            <v>1052.367487</v>
          </cell>
          <cell r="AP36">
            <v>601.95413840000003</v>
          </cell>
          <cell r="AQ36">
            <v>1322.2666158492143</v>
          </cell>
          <cell r="AR36">
            <v>0</v>
          </cell>
          <cell r="AS36">
            <v>0</v>
          </cell>
          <cell r="AT36">
            <v>1717.2598283110497</v>
          </cell>
          <cell r="AU36">
            <v>54.096208779080413</v>
          </cell>
          <cell r="AV36">
            <v>0</v>
          </cell>
          <cell r="AW36">
            <v>5.8916194060673481</v>
          </cell>
          <cell r="AX36">
            <v>67.863870650140214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2969.3275591645661</v>
          </cell>
          <cell r="BH36">
            <v>4759.4051834271231</v>
          </cell>
          <cell r="BI36">
            <v>3881.3351862889454</v>
          </cell>
          <cell r="BJ36">
            <v>1.2262288503811818</v>
          </cell>
          <cell r="BK36">
            <v>0.46120150369545915</v>
          </cell>
          <cell r="BL36">
            <v>0.76502734668572248</v>
          </cell>
        </row>
        <row r="37">
          <cell r="A37" t="str">
            <v>MAUDA TPS3</v>
          </cell>
          <cell r="B37" t="str">
            <v>MAUDA TPS</v>
          </cell>
          <cell r="C37">
            <v>660</v>
          </cell>
          <cell r="D37" t="str">
            <v>RAIL</v>
          </cell>
          <cell r="E37">
            <v>1.0472343070229957</v>
          </cell>
          <cell r="F37">
            <v>21.216130555555555</v>
          </cell>
          <cell r="G37">
            <v>79.374080555555551</v>
          </cell>
          <cell r="H37">
            <v>7.3063620546739733E-2</v>
          </cell>
          <cell r="I37">
            <v>4.5247587078533344E-3</v>
          </cell>
          <cell r="J37">
            <v>1.0302391355259887E-2</v>
          </cell>
          <cell r="K37">
            <v>0.23541428311058782</v>
          </cell>
          <cell r="L37">
            <v>0.14343602682999856</v>
          </cell>
          <cell r="M37">
            <v>0</v>
          </cell>
          <cell r="N37">
            <v>9.6641589622293189E-2</v>
          </cell>
          <cell r="O37">
            <v>0.43661732982726748</v>
          </cell>
          <cell r="P37">
            <v>4106.5707452867609</v>
          </cell>
          <cell r="Q37">
            <v>4135.7765867297103</v>
          </cell>
          <cell r="R37">
            <v>5744.1705411008634</v>
          </cell>
          <cell r="S37">
            <v>3489.7300111008267</v>
          </cell>
          <cell r="T37">
            <v>4563.1782935932242</v>
          </cell>
          <cell r="U37" t="e">
            <v>#DIV/0!</v>
          </cell>
          <cell r="V37">
            <v>4580.6951420864825</v>
          </cell>
          <cell r="W37">
            <v>4327.2492753231209</v>
          </cell>
          <cell r="X37">
            <v>117.49055414187332</v>
          </cell>
          <cell r="Y37">
            <v>7.2760753431849592</v>
          </cell>
          <cell r="Z37">
            <v>34.023036312890589</v>
          </cell>
          <cell r="AA37">
            <v>338.14452805609869</v>
          </cell>
          <cell r="AB37">
            <v>242.96584980181305</v>
          </cell>
          <cell r="AC37"/>
          <cell r="AD37">
            <v>163.70089487077001</v>
          </cell>
          <cell r="AE37">
            <v>739.58476767772584</v>
          </cell>
          <cell r="AF37">
            <v>1643.1857062043564</v>
          </cell>
          <cell r="AG37">
            <v>2.9640974451316578E-2</v>
          </cell>
          <cell r="AH37">
            <v>1749.5320180228216</v>
          </cell>
          <cell r="AI37">
            <v>927.63564780000002</v>
          </cell>
          <cell r="AJ37">
            <v>870.79277049999996</v>
          </cell>
          <cell r="AK37">
            <v>1039.1949099999999</v>
          </cell>
          <cell r="AL37">
            <v>633.96731940000006</v>
          </cell>
          <cell r="AM37">
            <v>637.94313920000002</v>
          </cell>
          <cell r="AN37">
            <v>2217.9813629999999</v>
          </cell>
          <cell r="AO37">
            <v>449.01877049999996</v>
          </cell>
          <cell r="AP37">
            <v>39.60085583</v>
          </cell>
          <cell r="AQ37">
            <v>173.24494998664301</v>
          </cell>
          <cell r="AR37">
            <v>10.149649148899297</v>
          </cell>
          <cell r="AS37">
            <v>26.570403029565718</v>
          </cell>
          <cell r="AT37">
            <v>442.07553651061465</v>
          </cell>
          <cell r="AU37">
            <v>269.35306421503475</v>
          </cell>
          <cell r="AV37">
            <v>0</v>
          </cell>
          <cell r="AW37">
            <v>139.59123816541199</v>
          </cell>
          <cell r="AX37">
            <v>169.25907408083853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1193.7782866795442</v>
          </cell>
          <cell r="BH37">
            <v>2943.310304702366</v>
          </cell>
          <cell r="BI37">
            <v>4186.0271478899185</v>
          </cell>
          <cell r="BJ37">
            <v>0.70312738085944382</v>
          </cell>
          <cell r="BK37">
            <v>0.4179456931866104</v>
          </cell>
          <cell r="BL37">
            <v>0.28518168767283336</v>
          </cell>
        </row>
        <row r="38">
          <cell r="A38" t="str">
            <v>SASAN UMPTPP6</v>
          </cell>
          <cell r="B38" t="str">
            <v>SASAN UMPTPP</v>
          </cell>
          <cell r="C38">
            <v>660</v>
          </cell>
          <cell r="D38"/>
          <cell r="E38" t="str">
            <v/>
          </cell>
          <cell r="F38">
            <v>23.978100000000001</v>
          </cell>
          <cell r="G38">
            <v>82.627399999999994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4503.0962946398622</v>
          </cell>
          <cell r="U38">
            <v>0</v>
          </cell>
          <cell r="V38">
            <v>0</v>
          </cell>
          <cell r="W38">
            <v>0</v>
          </cell>
          <cell r="X38"/>
          <cell r="Y38"/>
          <cell r="Z38"/>
          <cell r="AA38"/>
          <cell r="AB38">
            <v>1693.8969600000003</v>
          </cell>
          <cell r="AC38"/>
          <cell r="AD38"/>
          <cell r="AE38"/>
          <cell r="AF38">
            <v>1693.8969600000003</v>
          </cell>
          <cell r="AG38">
            <v>0</v>
          </cell>
          <cell r="AH38">
            <v>1693.8969600000003</v>
          </cell>
          <cell r="AI38">
            <v>474.45519309999997</v>
          </cell>
          <cell r="AJ38">
            <v>426.12422559999999</v>
          </cell>
          <cell r="AK38">
            <v>579.10867370000005</v>
          </cell>
          <cell r="AL38">
            <v>495.3084422</v>
          </cell>
          <cell r="AM38">
            <v>151.58245680000002</v>
          </cell>
          <cell r="AN38">
            <v>1703.3094289999997</v>
          </cell>
          <cell r="AO38">
            <v>256.63533150000001</v>
          </cell>
          <cell r="AP38">
            <v>610.26759790000006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731.26199999999994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731.26199999999994</v>
          </cell>
          <cell r="BH38">
            <v>2425.1589600000002</v>
          </cell>
          <cell r="BI38">
            <v>4503.0962946398622</v>
          </cell>
          <cell r="BJ38">
            <v>0.53855365315787762</v>
          </cell>
          <cell r="BK38">
            <v>0.37616272208442098</v>
          </cell>
          <cell r="BL38">
            <v>0.16239093107345665</v>
          </cell>
        </row>
        <row r="39">
          <cell r="A39" t="str">
            <v>NIGRI TPP2</v>
          </cell>
          <cell r="B39" t="str">
            <v>NIGRI TPP</v>
          </cell>
          <cell r="C39">
            <v>660</v>
          </cell>
          <cell r="D39" t="str">
            <v>PITHEAD</v>
          </cell>
          <cell r="E39">
            <v>0.23526200873362446</v>
          </cell>
          <cell r="F39">
            <v>24.149969599999999</v>
          </cell>
          <cell r="G39">
            <v>81.904524600000002</v>
          </cell>
          <cell r="H39">
            <v>4.0938962949481274E-2</v>
          </cell>
          <cell r="I39">
            <v>0</v>
          </cell>
          <cell r="J39">
            <v>0</v>
          </cell>
          <cell r="K39">
            <v>0</v>
          </cell>
          <cell r="L39">
            <v>0.95906103705051882</v>
          </cell>
          <cell r="M39">
            <v>0</v>
          </cell>
          <cell r="N39">
            <v>0</v>
          </cell>
          <cell r="O39">
            <v>0</v>
          </cell>
          <cell r="P39">
            <v>4828.6632553282489</v>
          </cell>
          <cell r="Q39" t="e">
            <v>#DIV/0!</v>
          </cell>
          <cell r="R39" t="e">
            <v>#DIV/0!</v>
          </cell>
          <cell r="S39" t="e">
            <v>#DIV/0!</v>
          </cell>
          <cell r="T39">
            <v>4469.1459695514268</v>
          </cell>
          <cell r="U39" t="e">
            <v>#DIV/0!</v>
          </cell>
          <cell r="V39" t="e">
            <v>#DIV/0!</v>
          </cell>
          <cell r="W39" t="e">
            <v>#DIV/0!</v>
          </cell>
          <cell r="X39">
            <v>75.254230951928989</v>
          </cell>
          <cell r="Y39"/>
          <cell r="Z39"/>
          <cell r="AA39"/>
          <cell r="AB39">
            <v>1624.5505751143214</v>
          </cell>
          <cell r="AC39"/>
          <cell r="AD39"/>
          <cell r="AE39"/>
          <cell r="AF39">
            <v>1699.8048060662504</v>
          </cell>
          <cell r="AG39">
            <v>0</v>
          </cell>
          <cell r="AH39">
            <v>1699.8048060662504</v>
          </cell>
          <cell r="AI39">
            <v>588.19121210000003</v>
          </cell>
          <cell r="AJ39">
            <v>586.95403859999999</v>
          </cell>
          <cell r="AK39">
            <v>688.35834239999997</v>
          </cell>
          <cell r="AL39">
            <v>597.1677535</v>
          </cell>
          <cell r="AM39">
            <v>163.0445091</v>
          </cell>
          <cell r="AN39">
            <v>1757.0089559999999</v>
          </cell>
          <cell r="AO39">
            <v>328.04138040000004</v>
          </cell>
          <cell r="AP39">
            <v>568.23106409999991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61.415607334440878</v>
          </cell>
          <cell r="AZ39">
            <v>0</v>
          </cell>
          <cell r="BA39">
            <v>0</v>
          </cell>
          <cell r="BB39">
            <v>0</v>
          </cell>
          <cell r="BC39">
            <v>398.8189698447411</v>
          </cell>
          <cell r="BD39">
            <v>0</v>
          </cell>
          <cell r="BE39">
            <v>0</v>
          </cell>
          <cell r="BF39">
            <v>0</v>
          </cell>
          <cell r="BG39">
            <v>460.234577179182</v>
          </cell>
          <cell r="BH39">
            <v>2160.0393832454324</v>
          </cell>
          <cell r="BI39">
            <v>4483.8642343935417</v>
          </cell>
          <cell r="BJ39">
            <v>0.48173612543324146</v>
          </cell>
          <cell r="BK39">
            <v>0.37909372746566999</v>
          </cell>
          <cell r="BL39">
            <v>0.10264239796757145</v>
          </cell>
        </row>
        <row r="40">
          <cell r="A40" t="str">
            <v>BARH II5</v>
          </cell>
          <cell r="B40" t="str">
            <v>BARH II</v>
          </cell>
          <cell r="C40">
            <v>660</v>
          </cell>
          <cell r="D40" t="str">
            <v>RAIL</v>
          </cell>
          <cell r="E40" t="str">
            <v/>
          </cell>
          <cell r="F40">
            <v>25.486499999999999</v>
          </cell>
          <cell r="G40">
            <v>85.747100000000003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4304.8689461390541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/>
          <cell r="Y40">
            <v>1693.8969600000003</v>
          </cell>
          <cell r="Z40"/>
          <cell r="AA40"/>
          <cell r="AB40"/>
          <cell r="AC40"/>
          <cell r="AD40"/>
          <cell r="AE40"/>
          <cell r="AF40">
            <v>1693.8969600000003</v>
          </cell>
          <cell r="AG40">
            <v>4.7535098469989852E-3</v>
          </cell>
          <cell r="AH40">
            <v>1710.7106141304903</v>
          </cell>
          <cell r="AI40">
            <v>253.46966899999998</v>
          </cell>
          <cell r="AJ40">
            <v>283.6865464</v>
          </cell>
          <cell r="AK40">
            <v>236.1769874</v>
          </cell>
          <cell r="AL40">
            <v>615.77295019999997</v>
          </cell>
          <cell r="AM40">
            <v>407.17499420000001</v>
          </cell>
          <cell r="AN40">
            <v>1258.6721499999999</v>
          </cell>
          <cell r="AO40">
            <v>577.43838659999994</v>
          </cell>
          <cell r="AP40">
            <v>978.98194409999996</v>
          </cell>
          <cell r="AQ40">
            <v>0</v>
          </cell>
          <cell r="AR40">
            <v>1119.972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1114.6482020696369</v>
          </cell>
          <cell r="BH40">
            <v>2825.358816200127</v>
          </cell>
          <cell r="BI40">
            <v>4304.8689461390541</v>
          </cell>
          <cell r="BJ40">
            <v>0.65631703346837811</v>
          </cell>
          <cell r="BK40">
            <v>0.39738970815006819</v>
          </cell>
          <cell r="BL40">
            <v>0.25892732531830992</v>
          </cell>
        </row>
        <row r="41">
          <cell r="A41" t="str">
            <v>KORADI TPS10</v>
          </cell>
          <cell r="B41" t="str">
            <v>KORADI TPS</v>
          </cell>
          <cell r="C41">
            <v>660</v>
          </cell>
          <cell r="D41" t="str">
            <v>RAIL</v>
          </cell>
          <cell r="E41">
            <v>0.99484066767830048</v>
          </cell>
          <cell r="F41">
            <v>21.247800000000002</v>
          </cell>
          <cell r="G41">
            <v>79.098100000000002</v>
          </cell>
          <cell r="H41">
            <v>0</v>
          </cell>
          <cell r="I41">
            <v>0</v>
          </cell>
          <cell r="J41">
            <v>0</v>
          </cell>
          <cell r="K41">
            <v>0.1584515642412013</v>
          </cell>
          <cell r="L41">
            <v>0</v>
          </cell>
          <cell r="M41">
            <v>0</v>
          </cell>
          <cell r="N41">
            <v>0.22940742277694773</v>
          </cell>
          <cell r="O41">
            <v>0.61214101298185097</v>
          </cell>
          <cell r="P41" t="e">
            <v>#DIV/0!</v>
          </cell>
          <cell r="Q41" t="e">
            <v>#DIV/0!</v>
          </cell>
          <cell r="R41" t="e">
            <v>#DIV/0!</v>
          </cell>
          <cell r="S41">
            <v>3453.3050039655473</v>
          </cell>
          <cell r="T41" t="e">
            <v>#DIV/0!</v>
          </cell>
          <cell r="U41" t="e">
            <v>#DIV/0!</v>
          </cell>
          <cell r="V41">
            <v>4557.7475218895052</v>
          </cell>
          <cell r="W41">
            <v>4054.4110705340545</v>
          </cell>
          <cell r="X41"/>
          <cell r="Y41"/>
          <cell r="Z41"/>
          <cell r="AA41">
            <v>227.59676559184044</v>
          </cell>
          <cell r="AB41"/>
          <cell r="AC41"/>
          <cell r="AD41">
            <v>388.59253604330655</v>
          </cell>
          <cell r="AE41">
            <v>984.35837548177199</v>
          </cell>
          <cell r="AF41">
            <v>1600.547677116919</v>
          </cell>
          <cell r="AG41">
            <v>7.1458891059498833E-2</v>
          </cell>
          <cell r="AH41">
            <v>1859.9757741545254</v>
          </cell>
          <cell r="AI41">
            <v>955.46189059999995</v>
          </cell>
          <cell r="AJ41">
            <v>898.61901339999997</v>
          </cell>
          <cell r="AK41">
            <v>1067.0211529999999</v>
          </cell>
          <cell r="AL41">
            <v>661.79356229999996</v>
          </cell>
          <cell r="AM41">
            <v>640.44355590000009</v>
          </cell>
          <cell r="AN41">
            <v>2230.22057</v>
          </cell>
          <cell r="AO41">
            <v>476.84501329999995</v>
          </cell>
          <cell r="AP41">
            <v>15.483282509999999</v>
          </cell>
          <cell r="AQ41">
            <v>0</v>
          </cell>
          <cell r="AR41">
            <v>0</v>
          </cell>
          <cell r="AS41">
            <v>0</v>
          </cell>
          <cell r="AT41">
            <v>297.55017132911075</v>
          </cell>
          <cell r="AU41">
            <v>0</v>
          </cell>
          <cell r="AV41">
            <v>0</v>
          </cell>
          <cell r="AW41">
            <v>331.36112842232444</v>
          </cell>
          <cell r="AX41">
            <v>237.30258509254438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804.31520121268841</v>
          </cell>
          <cell r="BH41">
            <v>2664.2909753672138</v>
          </cell>
          <cell r="BI41">
            <v>4074.6339921065437</v>
          </cell>
          <cell r="BJ41">
            <v>0.653872465730303</v>
          </cell>
          <cell r="BK41">
            <v>0.45647677257827446</v>
          </cell>
          <cell r="BL41">
            <v>0.19739569315202854</v>
          </cell>
        </row>
        <row r="42">
          <cell r="A42" t="str">
            <v>NIGRI TPP1</v>
          </cell>
          <cell r="B42" t="str">
            <v>NIGRI TPP</v>
          </cell>
          <cell r="C42">
            <v>660</v>
          </cell>
          <cell r="D42" t="str">
            <v>PITHEAD</v>
          </cell>
          <cell r="E42">
            <v>0.23526200873362446</v>
          </cell>
          <cell r="F42">
            <v>24.149969599999999</v>
          </cell>
          <cell r="G42">
            <v>81.904524600000002</v>
          </cell>
          <cell r="H42">
            <v>4.0938962949481274E-2</v>
          </cell>
          <cell r="I42">
            <v>0</v>
          </cell>
          <cell r="J42">
            <v>0</v>
          </cell>
          <cell r="K42">
            <v>0</v>
          </cell>
          <cell r="L42">
            <v>0.95906103705051882</v>
          </cell>
          <cell r="M42">
            <v>0</v>
          </cell>
          <cell r="N42">
            <v>0</v>
          </cell>
          <cell r="O42">
            <v>0</v>
          </cell>
          <cell r="P42">
            <v>4828.6632553282489</v>
          </cell>
          <cell r="Q42" t="e">
            <v>#DIV/0!</v>
          </cell>
          <cell r="R42" t="e">
            <v>#DIV/0!</v>
          </cell>
          <cell r="S42" t="e">
            <v>#DIV/0!</v>
          </cell>
          <cell r="T42">
            <v>4469.1459695514268</v>
          </cell>
          <cell r="U42" t="e">
            <v>#DIV/0!</v>
          </cell>
          <cell r="V42" t="e">
            <v>#DIV/0!</v>
          </cell>
          <cell r="W42" t="e">
            <v>#DIV/0!</v>
          </cell>
          <cell r="X42">
            <v>75.254230951928989</v>
          </cell>
          <cell r="Y42"/>
          <cell r="Z42"/>
          <cell r="AA42"/>
          <cell r="AB42">
            <v>1624.5505751143214</v>
          </cell>
          <cell r="AC42"/>
          <cell r="AD42"/>
          <cell r="AE42"/>
          <cell r="AF42">
            <v>1699.8048060662504</v>
          </cell>
          <cell r="AG42">
            <v>0</v>
          </cell>
          <cell r="AH42">
            <v>1699.8048060662504</v>
          </cell>
          <cell r="AI42">
            <v>588.19121210000003</v>
          </cell>
          <cell r="AJ42">
            <v>586.95403859999999</v>
          </cell>
          <cell r="AK42">
            <v>688.35834239999997</v>
          </cell>
          <cell r="AL42">
            <v>597.1677535</v>
          </cell>
          <cell r="AM42">
            <v>163.0445091</v>
          </cell>
          <cell r="AN42">
            <v>1757.0089559999999</v>
          </cell>
          <cell r="AO42">
            <v>328.04138040000004</v>
          </cell>
          <cell r="AP42">
            <v>568.23106409999991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61.415607334440878</v>
          </cell>
          <cell r="AZ42">
            <v>0</v>
          </cell>
          <cell r="BA42">
            <v>0</v>
          </cell>
          <cell r="BB42">
            <v>0</v>
          </cell>
          <cell r="BC42">
            <v>398.8189698447411</v>
          </cell>
          <cell r="BD42">
            <v>0</v>
          </cell>
          <cell r="BE42">
            <v>0</v>
          </cell>
          <cell r="BF42">
            <v>0</v>
          </cell>
          <cell r="BG42">
            <v>460.234577179182</v>
          </cell>
          <cell r="BH42">
            <v>2160.0393832454324</v>
          </cell>
          <cell r="BI42">
            <v>4483.8642343935417</v>
          </cell>
          <cell r="BJ42">
            <v>0.48173612543324146</v>
          </cell>
          <cell r="BK42">
            <v>0.37909372746566999</v>
          </cell>
          <cell r="BL42">
            <v>0.10264239796757145</v>
          </cell>
        </row>
        <row r="43">
          <cell r="A43" t="str">
            <v>SASAN UMPTPP5</v>
          </cell>
          <cell r="B43" t="str">
            <v>SASAN UMPTPP</v>
          </cell>
          <cell r="C43">
            <v>660</v>
          </cell>
          <cell r="D43"/>
          <cell r="E43" t="str">
            <v/>
          </cell>
          <cell r="F43">
            <v>23.978100000000001</v>
          </cell>
          <cell r="G43">
            <v>82.627399999999994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4503.0962946398622</v>
          </cell>
          <cell r="U43">
            <v>0</v>
          </cell>
          <cell r="V43">
            <v>0</v>
          </cell>
          <cell r="W43">
            <v>0</v>
          </cell>
          <cell r="X43"/>
          <cell r="Y43"/>
          <cell r="Z43"/>
          <cell r="AA43"/>
          <cell r="AB43">
            <v>1693.8969600000003</v>
          </cell>
          <cell r="AC43"/>
          <cell r="AD43"/>
          <cell r="AE43"/>
          <cell r="AF43">
            <v>1693.8969600000003</v>
          </cell>
          <cell r="AG43">
            <v>0</v>
          </cell>
          <cell r="AH43">
            <v>1693.8969600000003</v>
          </cell>
          <cell r="AI43">
            <v>474.45519309999997</v>
          </cell>
          <cell r="AJ43">
            <v>426.12422559999999</v>
          </cell>
          <cell r="AK43">
            <v>579.10867370000005</v>
          </cell>
          <cell r="AL43">
            <v>495.3084422</v>
          </cell>
          <cell r="AM43">
            <v>151.58245680000002</v>
          </cell>
          <cell r="AN43">
            <v>1703.3094289999997</v>
          </cell>
          <cell r="AO43">
            <v>256.63533150000001</v>
          </cell>
          <cell r="AP43">
            <v>610.26759790000006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731.26199999999994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731.26199999999994</v>
          </cell>
          <cell r="BH43">
            <v>2425.1589600000002</v>
          </cell>
          <cell r="BI43">
            <v>4503.0962946398622</v>
          </cell>
          <cell r="BJ43">
            <v>0.53855365315787762</v>
          </cell>
          <cell r="BK43">
            <v>0.37616272208442098</v>
          </cell>
          <cell r="BL43">
            <v>0.16239093107345665</v>
          </cell>
        </row>
        <row r="44">
          <cell r="A44" t="str">
            <v>SASAN UMPTPP3</v>
          </cell>
          <cell r="B44" t="str">
            <v>SASAN UMPTPP</v>
          </cell>
          <cell r="C44">
            <v>660</v>
          </cell>
          <cell r="D44"/>
          <cell r="E44" t="str">
            <v/>
          </cell>
          <cell r="F44">
            <v>23.978100000000001</v>
          </cell>
          <cell r="G44">
            <v>82.627399999999994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4503.0962946398622</v>
          </cell>
          <cell r="U44">
            <v>0</v>
          </cell>
          <cell r="V44">
            <v>0</v>
          </cell>
          <cell r="W44">
            <v>0</v>
          </cell>
          <cell r="X44"/>
          <cell r="Y44"/>
          <cell r="Z44"/>
          <cell r="AA44"/>
          <cell r="AB44">
            <v>1693.8969600000003</v>
          </cell>
          <cell r="AC44"/>
          <cell r="AD44"/>
          <cell r="AE44"/>
          <cell r="AF44">
            <v>1693.8969600000003</v>
          </cell>
          <cell r="AG44">
            <v>0</v>
          </cell>
          <cell r="AH44">
            <v>1693.8969600000003</v>
          </cell>
          <cell r="AI44">
            <v>474.45519309999997</v>
          </cell>
          <cell r="AJ44">
            <v>426.12422559999999</v>
          </cell>
          <cell r="AK44">
            <v>579.10867370000005</v>
          </cell>
          <cell r="AL44">
            <v>495.3084422</v>
          </cell>
          <cell r="AM44">
            <v>151.58245680000002</v>
          </cell>
          <cell r="AN44">
            <v>1703.3094289999997</v>
          </cell>
          <cell r="AO44">
            <v>256.63533150000001</v>
          </cell>
          <cell r="AP44">
            <v>610.26759790000006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731.26199999999994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731.26199999999994</v>
          </cell>
          <cell r="BH44">
            <v>2425.1589600000002</v>
          </cell>
          <cell r="BI44">
            <v>4503.0962946398622</v>
          </cell>
          <cell r="BJ44">
            <v>0.53855365315787762</v>
          </cell>
          <cell r="BK44">
            <v>0.37616272208442098</v>
          </cell>
          <cell r="BL44">
            <v>0.16239093107345665</v>
          </cell>
        </row>
        <row r="45">
          <cell r="A45" t="str">
            <v>SASAN UMPTPP4</v>
          </cell>
          <cell r="B45" t="str">
            <v>SASAN UMPTPP</v>
          </cell>
          <cell r="C45">
            <v>660</v>
          </cell>
          <cell r="D45"/>
          <cell r="E45" t="str">
            <v/>
          </cell>
          <cell r="F45">
            <v>23.978100000000001</v>
          </cell>
          <cell r="G45">
            <v>82.627399999999994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4503.0962946398622</v>
          </cell>
          <cell r="U45">
            <v>0</v>
          </cell>
          <cell r="V45">
            <v>0</v>
          </cell>
          <cell r="W45">
            <v>0</v>
          </cell>
          <cell r="X45"/>
          <cell r="Y45"/>
          <cell r="Z45"/>
          <cell r="AA45"/>
          <cell r="AB45">
            <v>1693.8969600000003</v>
          </cell>
          <cell r="AC45"/>
          <cell r="AD45"/>
          <cell r="AE45"/>
          <cell r="AF45">
            <v>1693.8969600000003</v>
          </cell>
          <cell r="AG45">
            <v>0</v>
          </cell>
          <cell r="AH45">
            <v>1693.8969600000003</v>
          </cell>
          <cell r="AI45">
            <v>474.45519309999997</v>
          </cell>
          <cell r="AJ45">
            <v>426.12422559999999</v>
          </cell>
          <cell r="AK45">
            <v>579.10867370000005</v>
          </cell>
          <cell r="AL45">
            <v>495.3084422</v>
          </cell>
          <cell r="AM45">
            <v>151.58245680000002</v>
          </cell>
          <cell r="AN45">
            <v>1703.3094289999997</v>
          </cell>
          <cell r="AO45">
            <v>256.63533150000001</v>
          </cell>
          <cell r="AP45">
            <v>610.26759790000006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731.26199999999994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731.26199999999994</v>
          </cell>
          <cell r="BH45">
            <v>2425.1589600000002</v>
          </cell>
          <cell r="BI45">
            <v>4503.0962946398622</v>
          </cell>
          <cell r="BJ45">
            <v>0.53855365315787762</v>
          </cell>
          <cell r="BK45">
            <v>0.37616272208442098</v>
          </cell>
          <cell r="BL45">
            <v>0.16239093107345665</v>
          </cell>
        </row>
        <row r="46">
          <cell r="A46" t="str">
            <v>KORADI TPS9</v>
          </cell>
          <cell r="B46" t="str">
            <v>KORADI TPS</v>
          </cell>
          <cell r="C46">
            <v>660</v>
          </cell>
          <cell r="D46" t="str">
            <v>RAIL</v>
          </cell>
          <cell r="E46">
            <v>0.99484066767830048</v>
          </cell>
          <cell r="F46">
            <v>21.247800000000002</v>
          </cell>
          <cell r="G46">
            <v>79.098100000000002</v>
          </cell>
          <cell r="H46">
            <v>0</v>
          </cell>
          <cell r="I46">
            <v>0</v>
          </cell>
          <cell r="J46">
            <v>0</v>
          </cell>
          <cell r="K46">
            <v>0.1584515642412013</v>
          </cell>
          <cell r="L46">
            <v>0</v>
          </cell>
          <cell r="M46">
            <v>0</v>
          </cell>
          <cell r="N46">
            <v>0.22940742277694773</v>
          </cell>
          <cell r="O46">
            <v>0.61214101298185097</v>
          </cell>
          <cell r="P46" t="e">
            <v>#DIV/0!</v>
          </cell>
          <cell r="Q46" t="e">
            <v>#DIV/0!</v>
          </cell>
          <cell r="R46" t="e">
            <v>#DIV/0!</v>
          </cell>
          <cell r="S46">
            <v>3453.3050039655473</v>
          </cell>
          <cell r="T46" t="e">
            <v>#DIV/0!</v>
          </cell>
          <cell r="U46" t="e">
            <v>#DIV/0!</v>
          </cell>
          <cell r="V46">
            <v>4557.7475218895052</v>
          </cell>
          <cell r="W46">
            <v>4054.4110705340545</v>
          </cell>
          <cell r="X46"/>
          <cell r="Y46"/>
          <cell r="Z46"/>
          <cell r="AA46">
            <v>227.59676559184044</v>
          </cell>
          <cell r="AB46"/>
          <cell r="AC46"/>
          <cell r="AD46">
            <v>388.59253604330655</v>
          </cell>
          <cell r="AE46">
            <v>984.35837548177199</v>
          </cell>
          <cell r="AF46">
            <v>1600.547677116919</v>
          </cell>
          <cell r="AG46">
            <v>7.1458891059498833E-2</v>
          </cell>
          <cell r="AH46">
            <v>1859.9757741545254</v>
          </cell>
          <cell r="AI46">
            <v>955.46189059999995</v>
          </cell>
          <cell r="AJ46">
            <v>898.61901339999997</v>
          </cell>
          <cell r="AK46">
            <v>1067.0211529999999</v>
          </cell>
          <cell r="AL46">
            <v>661.79356229999996</v>
          </cell>
          <cell r="AM46">
            <v>640.44355590000009</v>
          </cell>
          <cell r="AN46">
            <v>2230.22057</v>
          </cell>
          <cell r="AO46">
            <v>476.84501329999995</v>
          </cell>
          <cell r="AP46">
            <v>15.483282509999999</v>
          </cell>
          <cell r="AQ46">
            <v>0</v>
          </cell>
          <cell r="AR46">
            <v>0</v>
          </cell>
          <cell r="AS46">
            <v>0</v>
          </cell>
          <cell r="AT46">
            <v>297.55017132911075</v>
          </cell>
          <cell r="AU46">
            <v>0</v>
          </cell>
          <cell r="AV46">
            <v>0</v>
          </cell>
          <cell r="AW46">
            <v>331.36112842232444</v>
          </cell>
          <cell r="AX46">
            <v>237.30258509254438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804.31520121268841</v>
          </cell>
          <cell r="BH46">
            <v>2664.2909753672138</v>
          </cell>
          <cell r="BI46">
            <v>4074.6339921065437</v>
          </cell>
          <cell r="BJ46">
            <v>0.653872465730303</v>
          </cell>
          <cell r="BK46">
            <v>0.45647677257827446</v>
          </cell>
          <cell r="BL46">
            <v>0.19739569315202854</v>
          </cell>
        </row>
        <row r="47">
          <cell r="A47" t="str">
            <v>SASAN UMPTPP2</v>
          </cell>
          <cell r="B47" t="str">
            <v>SASAN UMPTPP</v>
          </cell>
          <cell r="C47">
            <v>660</v>
          </cell>
          <cell r="D47"/>
          <cell r="E47" t="str">
            <v/>
          </cell>
          <cell r="F47">
            <v>23.978100000000001</v>
          </cell>
          <cell r="G47">
            <v>82.627399999999994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4503.0962946398622</v>
          </cell>
          <cell r="U47">
            <v>0</v>
          </cell>
          <cell r="V47">
            <v>0</v>
          </cell>
          <cell r="W47">
            <v>0</v>
          </cell>
          <cell r="X47"/>
          <cell r="Y47"/>
          <cell r="Z47"/>
          <cell r="AA47"/>
          <cell r="AB47">
            <v>1693.8969600000003</v>
          </cell>
          <cell r="AC47"/>
          <cell r="AD47"/>
          <cell r="AE47"/>
          <cell r="AF47">
            <v>1693.8969600000003</v>
          </cell>
          <cell r="AG47">
            <v>0</v>
          </cell>
          <cell r="AH47">
            <v>1693.8969600000003</v>
          </cell>
          <cell r="AI47">
            <v>474.45519309999997</v>
          </cell>
          <cell r="AJ47">
            <v>426.12422559999999</v>
          </cell>
          <cell r="AK47">
            <v>579.10867370000005</v>
          </cell>
          <cell r="AL47">
            <v>495.3084422</v>
          </cell>
          <cell r="AM47">
            <v>151.58245680000002</v>
          </cell>
          <cell r="AN47">
            <v>1703.3094289999997</v>
          </cell>
          <cell r="AO47">
            <v>256.63533150000001</v>
          </cell>
          <cell r="AP47">
            <v>610.26759790000006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731.26199999999994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731.26199999999994</v>
          </cell>
          <cell r="BH47">
            <v>2425.1589600000002</v>
          </cell>
          <cell r="BI47">
            <v>4503.0962946398622</v>
          </cell>
          <cell r="BJ47">
            <v>0.53855365315787762</v>
          </cell>
          <cell r="BK47">
            <v>0.37616272208442098</v>
          </cell>
          <cell r="BL47">
            <v>0.16239093107345665</v>
          </cell>
        </row>
        <row r="48">
          <cell r="A48" t="str">
            <v>RAJPURA TPS2</v>
          </cell>
          <cell r="B48" t="str">
            <v>RAJPURA TPS</v>
          </cell>
          <cell r="C48">
            <v>700</v>
          </cell>
          <cell r="D48" t="str">
            <v>RAIL</v>
          </cell>
          <cell r="E48" t="str">
            <v/>
          </cell>
          <cell r="F48">
            <v>30.5589628</v>
          </cell>
          <cell r="G48">
            <v>76.577593100000001</v>
          </cell>
          <cell r="H48">
            <v>2.9216919631038174E-2</v>
          </cell>
          <cell r="I48">
            <v>1.952802301794913E-2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0.95125505735101268</v>
          </cell>
          <cell r="O48">
            <v>0</v>
          </cell>
          <cell r="P48">
            <v>4141.501912682098</v>
          </cell>
          <cell r="Q48">
            <v>4093.873849490049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>
            <v>4212.0140026966092</v>
          </cell>
          <cell r="W48" t="e">
            <v>#DIV/0!</v>
          </cell>
          <cell r="X48">
            <v>46.982507191431914</v>
          </cell>
          <cell r="Y48">
            <v>31.402197543801851</v>
          </cell>
          <cell r="Z48"/>
          <cell r="AA48"/>
          <cell r="AB48"/>
          <cell r="AC48"/>
          <cell r="AD48">
            <v>1529.6734952647664</v>
          </cell>
          <cell r="AE48"/>
          <cell r="AF48">
            <v>1608.0582000000002</v>
          </cell>
          <cell r="AG48">
            <v>0.18617211707693215</v>
          </cell>
          <cell r="AH48">
            <v>2282.5489449525112</v>
          </cell>
          <cell r="AI48">
            <v>1305.0732720000001</v>
          </cell>
          <cell r="AJ48">
            <v>1301.6605930000001</v>
          </cell>
          <cell r="AK48">
            <v>1400.255893</v>
          </cell>
          <cell r="AL48">
            <v>1527.9852069999999</v>
          </cell>
          <cell r="AM48">
            <v>1057.4809650000002</v>
          </cell>
          <cell r="AN48">
            <v>2430.6010630000001</v>
          </cell>
          <cell r="AO48">
            <v>1256.2792809999999</v>
          </cell>
          <cell r="AP48">
            <v>1208.264496</v>
          </cell>
          <cell r="AQ48">
            <v>92.746248110606842</v>
          </cell>
          <cell r="AR48">
            <v>61.989795324223756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2901.8454076717881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2487.5312113360183</v>
          </cell>
          <cell r="BH48">
            <v>4770.0801562885299</v>
          </cell>
          <cell r="BI48">
            <v>4207.6468129984778</v>
          </cell>
          <cell r="BJ48">
            <v>1.1336693330705787</v>
          </cell>
          <cell r="BK48">
            <v>0.54247636419985257</v>
          </cell>
          <cell r="BL48">
            <v>0.59119296887072592</v>
          </cell>
        </row>
        <row r="49">
          <cell r="A49" t="str">
            <v>BARH II4</v>
          </cell>
          <cell r="B49" t="str">
            <v>BARH II</v>
          </cell>
          <cell r="C49">
            <v>660</v>
          </cell>
          <cell r="D49" t="str">
            <v>RAIL</v>
          </cell>
          <cell r="E49" t="str">
            <v/>
          </cell>
          <cell r="F49">
            <v>25.486499999999999</v>
          </cell>
          <cell r="G49">
            <v>85.747100000000003</v>
          </cell>
          <cell r="H49">
            <v>0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4304.8689461390541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/>
          <cell r="Y49">
            <v>1693.8969600000003</v>
          </cell>
          <cell r="Z49"/>
          <cell r="AA49"/>
          <cell r="AB49"/>
          <cell r="AC49"/>
          <cell r="AD49"/>
          <cell r="AE49"/>
          <cell r="AF49">
            <v>1693.8969600000003</v>
          </cell>
          <cell r="AG49">
            <v>4.7535098469989852E-3</v>
          </cell>
          <cell r="AH49">
            <v>1710.7106141304903</v>
          </cell>
          <cell r="AI49">
            <v>253.46966899999998</v>
          </cell>
          <cell r="AJ49">
            <v>283.6865464</v>
          </cell>
          <cell r="AK49">
            <v>236.1769874</v>
          </cell>
          <cell r="AL49">
            <v>615.77295019999997</v>
          </cell>
          <cell r="AM49">
            <v>407.17499420000001</v>
          </cell>
          <cell r="AN49">
            <v>1258.6721499999999</v>
          </cell>
          <cell r="AO49">
            <v>577.43838659999994</v>
          </cell>
          <cell r="AP49">
            <v>978.98194409999996</v>
          </cell>
          <cell r="AQ49">
            <v>0</v>
          </cell>
          <cell r="AR49">
            <v>1119.972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1114.6482020696369</v>
          </cell>
          <cell r="BH49">
            <v>2825.358816200127</v>
          </cell>
          <cell r="BI49">
            <v>4304.8689461390541</v>
          </cell>
          <cell r="BJ49">
            <v>0.65631703346837811</v>
          </cell>
          <cell r="BK49">
            <v>0.39738970815006819</v>
          </cell>
          <cell r="BL49">
            <v>0.25892732531830992</v>
          </cell>
        </row>
        <row r="50">
          <cell r="A50" t="str">
            <v>RAJPURA TPS1</v>
          </cell>
          <cell r="B50" t="str">
            <v>RAJPURA TPS</v>
          </cell>
          <cell r="C50">
            <v>700</v>
          </cell>
          <cell r="D50" t="str">
            <v>RAIL</v>
          </cell>
          <cell r="E50" t="str">
            <v/>
          </cell>
          <cell r="F50">
            <v>30.5589628</v>
          </cell>
          <cell r="G50">
            <v>76.577593100000001</v>
          </cell>
          <cell r="H50">
            <v>2.9216919631038174E-2</v>
          </cell>
          <cell r="I50">
            <v>1.952802301794913E-2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0.95125505735101268</v>
          </cell>
          <cell r="O50">
            <v>0</v>
          </cell>
          <cell r="P50">
            <v>4141.501912682098</v>
          </cell>
          <cell r="Q50">
            <v>4093.873849490049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>
            <v>4212.0140026966092</v>
          </cell>
          <cell r="W50" t="e">
            <v>#DIV/0!</v>
          </cell>
          <cell r="X50">
            <v>46.982507191431914</v>
          </cell>
          <cell r="Y50">
            <v>31.402197543801851</v>
          </cell>
          <cell r="Z50"/>
          <cell r="AA50"/>
          <cell r="AB50"/>
          <cell r="AC50"/>
          <cell r="AD50">
            <v>1529.6734952647664</v>
          </cell>
          <cell r="AE50"/>
          <cell r="AF50">
            <v>1608.0582000000002</v>
          </cell>
          <cell r="AG50">
            <v>0.18617211707693215</v>
          </cell>
          <cell r="AH50">
            <v>2282.5489449525112</v>
          </cell>
          <cell r="AI50">
            <v>1305.0732720000001</v>
          </cell>
          <cell r="AJ50">
            <v>1301.6605930000001</v>
          </cell>
          <cell r="AK50">
            <v>1400.255893</v>
          </cell>
          <cell r="AL50">
            <v>1527.9852069999999</v>
          </cell>
          <cell r="AM50">
            <v>1057.4809650000002</v>
          </cell>
          <cell r="AN50">
            <v>2430.6010630000001</v>
          </cell>
          <cell r="AO50">
            <v>1256.2792809999999</v>
          </cell>
          <cell r="AP50">
            <v>1208.264496</v>
          </cell>
          <cell r="AQ50">
            <v>92.746248110606842</v>
          </cell>
          <cell r="AR50">
            <v>61.989795324223756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2901.8454076717881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2487.5312113360183</v>
          </cell>
          <cell r="BH50">
            <v>4770.0801562885299</v>
          </cell>
          <cell r="BI50">
            <v>4207.6468129984778</v>
          </cell>
          <cell r="BJ50">
            <v>1.1336693330705787</v>
          </cell>
          <cell r="BK50">
            <v>0.54247636419985257</v>
          </cell>
          <cell r="BL50">
            <v>0.59119296887072592</v>
          </cell>
        </row>
        <row r="51">
          <cell r="A51" t="str">
            <v>TIRORA TPS5</v>
          </cell>
          <cell r="B51" t="str">
            <v>TIRORA TPS</v>
          </cell>
          <cell r="C51">
            <v>660</v>
          </cell>
          <cell r="D51" t="str">
            <v>RAIL</v>
          </cell>
          <cell r="E51" t="str">
            <v/>
          </cell>
          <cell r="F51">
            <v>21.411111111111111</v>
          </cell>
          <cell r="G51">
            <v>79.968888888888884</v>
          </cell>
          <cell r="H51">
            <v>0</v>
          </cell>
          <cell r="I51">
            <v>0</v>
          </cell>
          <cell r="J51">
            <v>0</v>
          </cell>
          <cell r="K51">
            <v>5.5073928548053319E-2</v>
          </cell>
          <cell r="L51">
            <v>0</v>
          </cell>
          <cell r="M51">
            <v>0</v>
          </cell>
          <cell r="N51">
            <v>0.70468943225134961</v>
          </cell>
          <cell r="O51">
            <v>0.2402366392005971</v>
          </cell>
          <cell r="P51" t="e">
            <v>#DIV/0!</v>
          </cell>
          <cell r="Q51" t="e">
            <v>#DIV/0!</v>
          </cell>
          <cell r="R51" t="e">
            <v>#DIV/0!</v>
          </cell>
          <cell r="S51">
            <v>3322.5295018038264</v>
          </cell>
          <cell r="T51" t="e">
            <v>#DIV/0!</v>
          </cell>
          <cell r="U51" t="e">
            <v>#DIV/0!</v>
          </cell>
          <cell r="V51">
            <v>4231.9549370468349</v>
          </cell>
          <cell r="W51">
            <v>4523.9871571673893</v>
          </cell>
          <cell r="X51"/>
          <cell r="Y51"/>
          <cell r="Z51"/>
          <cell r="AA51">
            <v>74.379649203230741</v>
          </cell>
          <cell r="AB51"/>
          <cell r="AC51"/>
          <cell r="AD51">
            <v>1133.1816199851273</v>
          </cell>
          <cell r="AE51">
            <v>406.93611282250833</v>
          </cell>
          <cell r="AF51">
            <v>1614.4973820108662</v>
          </cell>
          <cell r="AG51">
            <v>4.5121823647374507E-2</v>
          </cell>
          <cell r="AH51">
            <v>1777.6805753600402</v>
          </cell>
          <cell r="AI51">
            <v>863.2195938000001</v>
          </cell>
          <cell r="AJ51">
            <v>806.37671660000001</v>
          </cell>
          <cell r="AK51">
            <v>974.77885649999996</v>
          </cell>
          <cell r="AL51">
            <v>569.5512655</v>
          </cell>
          <cell r="AM51">
            <v>587.64459590000001</v>
          </cell>
          <cell r="AN51">
            <v>2155.3568879999998</v>
          </cell>
          <cell r="AO51">
            <v>384.60271649999999</v>
          </cell>
          <cell r="AP51">
            <v>110.1177247</v>
          </cell>
          <cell r="AQ51">
            <v>0</v>
          </cell>
          <cell r="AR51">
            <v>0</v>
          </cell>
          <cell r="AS51">
            <v>0</v>
          </cell>
          <cell r="AT51">
            <v>91.575826911132097</v>
          </cell>
          <cell r="AU51">
            <v>0</v>
          </cell>
          <cell r="AV51">
            <v>0</v>
          </cell>
          <cell r="AW51">
            <v>903.59507139861557</v>
          </cell>
          <cell r="AX51">
            <v>145.67853706468526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1089.372228343261</v>
          </cell>
          <cell r="BH51">
            <v>2867.0528037033009</v>
          </cell>
          <cell r="BI51">
            <v>4252.0261447065277</v>
          </cell>
          <cell r="BJ51">
            <v>0.67427920387380003</v>
          </cell>
          <cell r="BK51">
            <v>0.41807846773781648</v>
          </cell>
          <cell r="BL51">
            <v>0.25620073613598365</v>
          </cell>
        </row>
        <row r="52">
          <cell r="A52" t="str">
            <v>SASAN UMPTPP1</v>
          </cell>
          <cell r="B52" t="str">
            <v>SASAN UMPTPP</v>
          </cell>
          <cell r="C52">
            <v>660</v>
          </cell>
          <cell r="D52"/>
          <cell r="E52" t="str">
            <v/>
          </cell>
          <cell r="F52">
            <v>23.978100000000001</v>
          </cell>
          <cell r="G52">
            <v>82.627399999999994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4503.0962946398622</v>
          </cell>
          <cell r="U52">
            <v>0</v>
          </cell>
          <cell r="V52">
            <v>0</v>
          </cell>
          <cell r="W52">
            <v>0</v>
          </cell>
          <cell r="X52"/>
          <cell r="Y52"/>
          <cell r="Z52"/>
          <cell r="AA52"/>
          <cell r="AB52">
            <v>1693.8969600000003</v>
          </cell>
          <cell r="AC52"/>
          <cell r="AD52"/>
          <cell r="AE52"/>
          <cell r="AF52">
            <v>1693.8969600000003</v>
          </cell>
          <cell r="AG52">
            <v>0</v>
          </cell>
          <cell r="AH52">
            <v>1693.8969600000003</v>
          </cell>
          <cell r="AI52">
            <v>474.45519309999997</v>
          </cell>
          <cell r="AJ52">
            <v>426.12422559999999</v>
          </cell>
          <cell r="AK52">
            <v>579.10867370000005</v>
          </cell>
          <cell r="AL52">
            <v>495.3084422</v>
          </cell>
          <cell r="AM52">
            <v>151.58245680000002</v>
          </cell>
          <cell r="AN52">
            <v>1703.3094289999997</v>
          </cell>
          <cell r="AO52">
            <v>256.63533150000001</v>
          </cell>
          <cell r="AP52">
            <v>610.26759790000006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731.26199999999994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731.26199999999994</v>
          </cell>
          <cell r="BH52">
            <v>2425.1589600000002</v>
          </cell>
          <cell r="BI52">
            <v>4503.0962946398622</v>
          </cell>
          <cell r="BJ52">
            <v>0.53855365315787762</v>
          </cell>
          <cell r="BK52">
            <v>0.37616272208442098</v>
          </cell>
          <cell r="BL52">
            <v>0.16239093107345665</v>
          </cell>
        </row>
        <row r="53">
          <cell r="A53" t="str">
            <v>KORADI TPS8</v>
          </cell>
          <cell r="B53" t="str">
            <v>KORADI TPS</v>
          </cell>
          <cell r="C53">
            <v>660</v>
          </cell>
          <cell r="D53" t="str">
            <v>RAIL</v>
          </cell>
          <cell r="E53">
            <v>0.99484066767830048</v>
          </cell>
          <cell r="F53">
            <v>21.247800000000002</v>
          </cell>
          <cell r="G53">
            <v>79.098100000000002</v>
          </cell>
          <cell r="H53">
            <v>0</v>
          </cell>
          <cell r="I53">
            <v>0</v>
          </cell>
          <cell r="J53">
            <v>0</v>
          </cell>
          <cell r="K53">
            <v>0.1584515642412013</v>
          </cell>
          <cell r="L53">
            <v>0</v>
          </cell>
          <cell r="M53">
            <v>0</v>
          </cell>
          <cell r="N53">
            <v>0.22940742277694773</v>
          </cell>
          <cell r="O53">
            <v>0.61214101298185097</v>
          </cell>
          <cell r="P53" t="e">
            <v>#DIV/0!</v>
          </cell>
          <cell r="Q53" t="e">
            <v>#DIV/0!</v>
          </cell>
          <cell r="R53" t="e">
            <v>#DIV/0!</v>
          </cell>
          <cell r="S53">
            <v>3453.3050039655473</v>
          </cell>
          <cell r="T53" t="e">
            <v>#DIV/0!</v>
          </cell>
          <cell r="U53" t="e">
            <v>#DIV/0!</v>
          </cell>
          <cell r="V53">
            <v>4557.7475218895052</v>
          </cell>
          <cell r="W53">
            <v>4054.4110705340545</v>
          </cell>
          <cell r="X53"/>
          <cell r="Y53"/>
          <cell r="Z53"/>
          <cell r="AA53">
            <v>227.59676559184044</v>
          </cell>
          <cell r="AB53"/>
          <cell r="AC53"/>
          <cell r="AD53">
            <v>388.59253604330655</v>
          </cell>
          <cell r="AE53">
            <v>984.35837548177199</v>
          </cell>
          <cell r="AF53">
            <v>1600.547677116919</v>
          </cell>
          <cell r="AG53">
            <v>7.1458891059498833E-2</v>
          </cell>
          <cell r="AH53">
            <v>1859.9757741545254</v>
          </cell>
          <cell r="AI53">
            <v>955.46189059999995</v>
          </cell>
          <cell r="AJ53">
            <v>898.61901339999997</v>
          </cell>
          <cell r="AK53">
            <v>1067.0211529999999</v>
          </cell>
          <cell r="AL53">
            <v>661.79356229999996</v>
          </cell>
          <cell r="AM53">
            <v>640.44355590000009</v>
          </cell>
          <cell r="AN53">
            <v>2230.22057</v>
          </cell>
          <cell r="AO53">
            <v>476.84501329999995</v>
          </cell>
          <cell r="AP53">
            <v>15.483282509999999</v>
          </cell>
          <cell r="AQ53">
            <v>0</v>
          </cell>
          <cell r="AR53">
            <v>0</v>
          </cell>
          <cell r="AS53">
            <v>0</v>
          </cell>
          <cell r="AT53">
            <v>297.55017132911075</v>
          </cell>
          <cell r="AU53">
            <v>0</v>
          </cell>
          <cell r="AV53">
            <v>0</v>
          </cell>
          <cell r="AW53">
            <v>331.36112842232444</v>
          </cell>
          <cell r="AX53">
            <v>237.30258509254438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804.31520121268841</v>
          </cell>
          <cell r="BH53">
            <v>2664.2909753672138</v>
          </cell>
          <cell r="BI53">
            <v>4074.6339921065437</v>
          </cell>
          <cell r="BJ53">
            <v>0.653872465730303</v>
          </cell>
          <cell r="BK53">
            <v>0.45647677257827446</v>
          </cell>
          <cell r="BL53">
            <v>0.19739569315202854</v>
          </cell>
        </row>
        <row r="54">
          <cell r="A54" t="str">
            <v>TIRORA TPS4</v>
          </cell>
          <cell r="B54" t="str">
            <v>TIRORA TPS</v>
          </cell>
          <cell r="C54">
            <v>660</v>
          </cell>
          <cell r="D54" t="str">
            <v>RAIL</v>
          </cell>
          <cell r="E54" t="str">
            <v/>
          </cell>
          <cell r="F54">
            <v>21.411111111111111</v>
          </cell>
          <cell r="G54">
            <v>79.968888888888884</v>
          </cell>
          <cell r="H54">
            <v>0</v>
          </cell>
          <cell r="I54">
            <v>0</v>
          </cell>
          <cell r="J54">
            <v>0</v>
          </cell>
          <cell r="K54">
            <v>5.5073928548053319E-2</v>
          </cell>
          <cell r="L54">
            <v>0</v>
          </cell>
          <cell r="M54">
            <v>0</v>
          </cell>
          <cell r="N54">
            <v>0.70468943225134961</v>
          </cell>
          <cell r="O54">
            <v>0.2402366392005971</v>
          </cell>
          <cell r="P54" t="e">
            <v>#DIV/0!</v>
          </cell>
          <cell r="Q54" t="e">
            <v>#DIV/0!</v>
          </cell>
          <cell r="R54" t="e">
            <v>#DIV/0!</v>
          </cell>
          <cell r="S54">
            <v>3322.5295018038264</v>
          </cell>
          <cell r="T54" t="e">
            <v>#DIV/0!</v>
          </cell>
          <cell r="U54" t="e">
            <v>#DIV/0!</v>
          </cell>
          <cell r="V54">
            <v>4231.9549370468349</v>
          </cell>
          <cell r="W54">
            <v>4523.9871571673893</v>
          </cell>
          <cell r="X54"/>
          <cell r="Y54"/>
          <cell r="Z54"/>
          <cell r="AA54">
            <v>74.379649203230741</v>
          </cell>
          <cell r="AB54"/>
          <cell r="AC54"/>
          <cell r="AD54">
            <v>1133.1816199851273</v>
          </cell>
          <cell r="AE54">
            <v>406.93611282250833</v>
          </cell>
          <cell r="AF54">
            <v>1614.4973820108662</v>
          </cell>
          <cell r="AG54">
            <v>4.5121823647374507E-2</v>
          </cell>
          <cell r="AH54">
            <v>1777.6805753600402</v>
          </cell>
          <cell r="AI54">
            <v>863.2195938000001</v>
          </cell>
          <cell r="AJ54">
            <v>806.37671660000001</v>
          </cell>
          <cell r="AK54">
            <v>974.77885649999996</v>
          </cell>
          <cell r="AL54">
            <v>569.5512655</v>
          </cell>
          <cell r="AM54">
            <v>587.64459590000001</v>
          </cell>
          <cell r="AN54">
            <v>2155.3568879999998</v>
          </cell>
          <cell r="AO54">
            <v>384.60271649999999</v>
          </cell>
          <cell r="AP54">
            <v>110.1177247</v>
          </cell>
          <cell r="AQ54">
            <v>0</v>
          </cell>
          <cell r="AR54">
            <v>0</v>
          </cell>
          <cell r="AS54">
            <v>0</v>
          </cell>
          <cell r="AT54">
            <v>91.575826911132097</v>
          </cell>
          <cell r="AU54">
            <v>0</v>
          </cell>
          <cell r="AV54">
            <v>0</v>
          </cell>
          <cell r="AW54">
            <v>903.59507139861557</v>
          </cell>
          <cell r="AX54">
            <v>145.67853706468526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1089.372228343261</v>
          </cell>
          <cell r="BH54">
            <v>2867.0528037033009</v>
          </cell>
          <cell r="BI54">
            <v>4252.0261447065277</v>
          </cell>
          <cell r="BJ54">
            <v>0.67427920387380003</v>
          </cell>
          <cell r="BK54">
            <v>0.41807846773781648</v>
          </cell>
          <cell r="BL54">
            <v>0.25620073613598365</v>
          </cell>
        </row>
        <row r="55">
          <cell r="A55" t="str">
            <v>SIPAT STPS3</v>
          </cell>
          <cell r="B55" t="str">
            <v>SIPAT STPS</v>
          </cell>
          <cell r="C55">
            <v>660</v>
          </cell>
          <cell r="D55" t="str">
            <v>PITHEAD</v>
          </cell>
          <cell r="E55">
            <v>0.45766084457218659</v>
          </cell>
          <cell r="F55">
            <v>22.1325</v>
          </cell>
          <cell r="G55">
            <v>82.29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7.9251311331613697E-4</v>
          </cell>
          <cell r="M55">
            <v>0</v>
          </cell>
          <cell r="N55">
            <v>0.99920748688668382</v>
          </cell>
          <cell r="O55">
            <v>0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>
            <v>4450</v>
          </cell>
          <cell r="U55" t="e">
            <v>#DIV/0!</v>
          </cell>
          <cell r="V55">
            <v>4199.2748642438901</v>
          </cell>
          <cell r="W55" t="e">
            <v>#DIV/0!</v>
          </cell>
          <cell r="X55"/>
          <cell r="Y55"/>
          <cell r="Z55"/>
          <cell r="AA55"/>
          <cell r="AB55">
            <v>1.3424355534063401</v>
          </cell>
          <cell r="AC55"/>
          <cell r="AD55">
            <v>1606.7837927895246</v>
          </cell>
          <cell r="AE55"/>
          <cell r="AF55">
            <v>1608.126228342931</v>
          </cell>
          <cell r="AG55">
            <v>2.9815102260802168E-3</v>
          </cell>
          <cell r="AH55">
            <v>1618.9278635409244</v>
          </cell>
          <cell r="AI55">
            <v>571.33689770000001</v>
          </cell>
          <cell r="AJ55">
            <v>613.85336480000001</v>
          </cell>
          <cell r="AK55">
            <v>682.87351720000004</v>
          </cell>
          <cell r="AL55">
            <v>361.87699119999996</v>
          </cell>
          <cell r="AM55">
            <v>355.07346319999999</v>
          </cell>
          <cell r="AN55">
            <v>1841.7844729999999</v>
          </cell>
          <cell r="AO55">
            <v>78.327401930000008</v>
          </cell>
          <cell r="AP55">
            <v>413.13457099999999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0.71770844304742998</v>
          </cell>
          <cell r="BD55">
            <v>0</v>
          </cell>
          <cell r="BE55">
            <v>199.61482079249677</v>
          </cell>
          <cell r="BF55">
            <v>0</v>
          </cell>
          <cell r="BG55">
            <v>199.73523575101191</v>
          </cell>
          <cell r="BH55">
            <v>1818.6630992919363</v>
          </cell>
          <cell r="BI55">
            <v>4199.473567201816</v>
          </cell>
          <cell r="BJ55">
            <v>0.43306930504238034</v>
          </cell>
          <cell r="BK55">
            <v>0.38550733505858087</v>
          </cell>
          <cell r="BL55">
            <v>4.7561969983799433E-2</v>
          </cell>
        </row>
        <row r="56">
          <cell r="A56" t="str">
            <v>MAHATMA GANDHI TPS2</v>
          </cell>
          <cell r="B56" t="str">
            <v>MAHATMA GANDHI TPS</v>
          </cell>
          <cell r="C56">
            <v>660</v>
          </cell>
          <cell r="D56" t="str">
            <v>RAIL</v>
          </cell>
          <cell r="E56" t="str">
            <v/>
          </cell>
          <cell r="F56">
            <v>28.488655555555557</v>
          </cell>
          <cell r="G56">
            <v>76.351252777777773</v>
          </cell>
          <cell r="H56">
            <v>0.21901520165204583</v>
          </cell>
          <cell r="I56">
            <v>0.53349409446194174</v>
          </cell>
          <cell r="J56">
            <v>0.12312011053699122</v>
          </cell>
          <cell r="K56">
            <v>0</v>
          </cell>
          <cell r="L56">
            <v>0.12437059334902112</v>
          </cell>
          <cell r="M56">
            <v>0</v>
          </cell>
          <cell r="N56">
            <v>0</v>
          </cell>
          <cell r="O56">
            <v>0</v>
          </cell>
          <cell r="P56">
            <v>4243.0268346618595</v>
          </cell>
          <cell r="Q56">
            <v>4285.4972706172739</v>
          </cell>
          <cell r="R56">
            <v>5787.8370513870932</v>
          </cell>
          <cell r="S56" t="e">
            <v>#DIV/0!</v>
          </cell>
          <cell r="T56">
            <v>4662.3101455031901</v>
          </cell>
          <cell r="U56" t="e">
            <v>#DIV/0!</v>
          </cell>
          <cell r="V56" t="e">
            <v>#DIV/0!</v>
          </cell>
          <cell r="W56" t="e">
            <v>#DIV/0!</v>
          </cell>
          <cell r="X56">
            <v>352.18919094122589</v>
          </cell>
          <cell r="Y56">
            <v>857.8895532511001</v>
          </cell>
          <cell r="Z56">
            <v>406.59686156345651</v>
          </cell>
          <cell r="AA56"/>
          <cell r="AB56">
            <v>228.61872116949337</v>
          </cell>
          <cell r="AC56"/>
          <cell r="AD56"/>
          <cell r="AE56"/>
          <cell r="AF56">
            <v>1845.294326925276</v>
          </cell>
          <cell r="AG56">
            <v>0</v>
          </cell>
          <cell r="AH56">
            <v>1845.294326925276</v>
          </cell>
          <cell r="AI56">
            <v>1215.9140419999999</v>
          </cell>
          <cell r="AJ56">
            <v>1212.5013629999999</v>
          </cell>
          <cell r="AK56">
            <v>1311.096663</v>
          </cell>
          <cell r="AL56">
            <v>1401.251579</v>
          </cell>
          <cell r="AM56">
            <v>930.74733639999999</v>
          </cell>
          <cell r="AN56">
            <v>2359.922525</v>
          </cell>
          <cell r="AO56">
            <v>1102.649784</v>
          </cell>
          <cell r="AP56">
            <v>1027.3643629999999</v>
          </cell>
          <cell r="AQ56">
            <v>648.7983685227282</v>
          </cell>
          <cell r="AR56">
            <v>1580.3930297647667</v>
          </cell>
          <cell r="AS56">
            <v>390.83272512884599</v>
          </cell>
          <cell r="AT56">
            <v>0</v>
          </cell>
          <cell r="AU56">
            <v>294.90158116071814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2914.9257045770592</v>
          </cell>
          <cell r="BH56">
            <v>4760.2200315023347</v>
          </cell>
          <cell r="BI56">
            <v>4508.0282802258562</v>
          </cell>
          <cell r="BJ56">
            <v>1.0559428059452731</v>
          </cell>
          <cell r="BK56">
            <v>0.40933512662720589</v>
          </cell>
          <cell r="BL56">
            <v>0.6466076793180674</v>
          </cell>
        </row>
        <row r="57">
          <cell r="A57" t="str">
            <v>SIPAT STPS2</v>
          </cell>
          <cell r="B57" t="str">
            <v>SIPAT STPS</v>
          </cell>
          <cell r="C57">
            <v>660</v>
          </cell>
          <cell r="D57" t="str">
            <v>PITHEAD</v>
          </cell>
          <cell r="E57">
            <v>0.45766084457218659</v>
          </cell>
          <cell r="F57">
            <v>22.1325</v>
          </cell>
          <cell r="G57">
            <v>82.29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7.9251311331613697E-4</v>
          </cell>
          <cell r="M57">
            <v>0</v>
          </cell>
          <cell r="N57">
            <v>0.99920748688668382</v>
          </cell>
          <cell r="O57">
            <v>0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>
            <v>4450</v>
          </cell>
          <cell r="U57" t="e">
            <v>#DIV/0!</v>
          </cell>
          <cell r="V57">
            <v>4199.2748642438901</v>
          </cell>
          <cell r="W57" t="e">
            <v>#DIV/0!</v>
          </cell>
          <cell r="X57"/>
          <cell r="Y57"/>
          <cell r="Z57"/>
          <cell r="AA57"/>
          <cell r="AB57">
            <v>1.3424355534063401</v>
          </cell>
          <cell r="AC57"/>
          <cell r="AD57">
            <v>1606.7837927895246</v>
          </cell>
          <cell r="AE57"/>
          <cell r="AF57">
            <v>1608.126228342931</v>
          </cell>
          <cell r="AG57">
            <v>2.9815102260802168E-3</v>
          </cell>
          <cell r="AH57">
            <v>1618.9278635409244</v>
          </cell>
          <cell r="AI57">
            <v>571.33689770000001</v>
          </cell>
          <cell r="AJ57">
            <v>613.85336480000001</v>
          </cell>
          <cell r="AK57">
            <v>682.87351720000004</v>
          </cell>
          <cell r="AL57">
            <v>361.87699119999996</v>
          </cell>
          <cell r="AM57">
            <v>355.07346319999999</v>
          </cell>
          <cell r="AN57">
            <v>1841.7844729999999</v>
          </cell>
          <cell r="AO57">
            <v>78.327401930000008</v>
          </cell>
          <cell r="AP57">
            <v>413.13457099999999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0.71770844304742998</v>
          </cell>
          <cell r="BD57">
            <v>0</v>
          </cell>
          <cell r="BE57">
            <v>199.61482079249677</v>
          </cell>
          <cell r="BF57">
            <v>0</v>
          </cell>
          <cell r="BG57">
            <v>199.73523575101191</v>
          </cell>
          <cell r="BH57">
            <v>1818.6630992919363</v>
          </cell>
          <cell r="BI57">
            <v>4199.473567201816</v>
          </cell>
          <cell r="BJ57">
            <v>0.43306930504238034</v>
          </cell>
          <cell r="BK57">
            <v>0.38550733505858087</v>
          </cell>
          <cell r="BL57">
            <v>4.7561969983799433E-2</v>
          </cell>
        </row>
        <row r="58">
          <cell r="A58" t="str">
            <v>TIRORA TPS3</v>
          </cell>
          <cell r="B58" t="str">
            <v>TIRORA TPS</v>
          </cell>
          <cell r="C58">
            <v>660</v>
          </cell>
          <cell r="D58" t="str">
            <v>RAIL</v>
          </cell>
          <cell r="E58" t="str">
            <v/>
          </cell>
          <cell r="F58">
            <v>21.411111111111111</v>
          </cell>
          <cell r="G58">
            <v>79.968888888888884</v>
          </cell>
          <cell r="H58">
            <v>0</v>
          </cell>
          <cell r="I58">
            <v>0</v>
          </cell>
          <cell r="J58">
            <v>0</v>
          </cell>
          <cell r="K58">
            <v>5.5073928548053319E-2</v>
          </cell>
          <cell r="L58">
            <v>0</v>
          </cell>
          <cell r="M58">
            <v>0</v>
          </cell>
          <cell r="N58">
            <v>0.70468943225134961</v>
          </cell>
          <cell r="O58">
            <v>0.2402366392005971</v>
          </cell>
          <cell r="P58" t="e">
            <v>#DIV/0!</v>
          </cell>
          <cell r="Q58" t="e">
            <v>#DIV/0!</v>
          </cell>
          <cell r="R58" t="e">
            <v>#DIV/0!</v>
          </cell>
          <cell r="S58">
            <v>3322.5295018038264</v>
          </cell>
          <cell r="T58" t="e">
            <v>#DIV/0!</v>
          </cell>
          <cell r="U58" t="e">
            <v>#DIV/0!</v>
          </cell>
          <cell r="V58">
            <v>4231.9549370468349</v>
          </cell>
          <cell r="W58">
            <v>4523.9871571673893</v>
          </cell>
          <cell r="X58"/>
          <cell r="Y58"/>
          <cell r="Z58"/>
          <cell r="AA58">
            <v>74.379649203230741</v>
          </cell>
          <cell r="AB58"/>
          <cell r="AC58"/>
          <cell r="AD58">
            <v>1133.1816199851273</v>
          </cell>
          <cell r="AE58">
            <v>406.93611282250833</v>
          </cell>
          <cell r="AF58">
            <v>1614.4973820108662</v>
          </cell>
          <cell r="AG58">
            <v>4.5121823647374507E-2</v>
          </cell>
          <cell r="AH58">
            <v>1777.6805753600402</v>
          </cell>
          <cell r="AI58">
            <v>863.2195938000001</v>
          </cell>
          <cell r="AJ58">
            <v>806.37671660000001</v>
          </cell>
          <cell r="AK58">
            <v>974.77885649999996</v>
          </cell>
          <cell r="AL58">
            <v>569.5512655</v>
          </cell>
          <cell r="AM58">
            <v>587.64459590000001</v>
          </cell>
          <cell r="AN58">
            <v>2155.3568879999998</v>
          </cell>
          <cell r="AO58">
            <v>384.60271649999999</v>
          </cell>
          <cell r="AP58">
            <v>110.1177247</v>
          </cell>
          <cell r="AQ58">
            <v>0</v>
          </cell>
          <cell r="AR58">
            <v>0</v>
          </cell>
          <cell r="AS58">
            <v>0</v>
          </cell>
          <cell r="AT58">
            <v>91.575826911132097</v>
          </cell>
          <cell r="AU58">
            <v>0</v>
          </cell>
          <cell r="AV58">
            <v>0</v>
          </cell>
          <cell r="AW58">
            <v>903.59507139861557</v>
          </cell>
          <cell r="AX58">
            <v>145.67853706468526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1089.372228343261</v>
          </cell>
          <cell r="BH58">
            <v>2867.0528037033009</v>
          </cell>
          <cell r="BI58">
            <v>4252.0261447065277</v>
          </cell>
          <cell r="BJ58">
            <v>0.67427920387380003</v>
          </cell>
          <cell r="BK58">
            <v>0.41807846773781648</v>
          </cell>
          <cell r="BL58">
            <v>0.25620073613598365</v>
          </cell>
        </row>
        <row r="59">
          <cell r="A59" t="str">
            <v>MAHATMA GANDHI TPS1</v>
          </cell>
          <cell r="B59" t="str">
            <v>MAHATMA GANDHI TPS</v>
          </cell>
          <cell r="C59">
            <v>660</v>
          </cell>
          <cell r="D59" t="str">
            <v>RAIL</v>
          </cell>
          <cell r="E59" t="str">
            <v/>
          </cell>
          <cell r="F59">
            <v>28.488655555555557</v>
          </cell>
          <cell r="G59">
            <v>76.351252777777773</v>
          </cell>
          <cell r="H59">
            <v>0.21901520165204583</v>
          </cell>
          <cell r="I59">
            <v>0.53349409446194174</v>
          </cell>
          <cell r="J59">
            <v>0.12312011053699122</v>
          </cell>
          <cell r="K59">
            <v>0</v>
          </cell>
          <cell r="L59">
            <v>0.12437059334902112</v>
          </cell>
          <cell r="M59">
            <v>0</v>
          </cell>
          <cell r="N59">
            <v>0</v>
          </cell>
          <cell r="O59">
            <v>0</v>
          </cell>
          <cell r="P59">
            <v>4243.0268346618595</v>
          </cell>
          <cell r="Q59">
            <v>4285.4972706172739</v>
          </cell>
          <cell r="R59">
            <v>5787.8370513870932</v>
          </cell>
          <cell r="S59" t="e">
            <v>#DIV/0!</v>
          </cell>
          <cell r="T59">
            <v>4662.3101455031901</v>
          </cell>
          <cell r="U59" t="e">
            <v>#DIV/0!</v>
          </cell>
          <cell r="V59" t="e">
            <v>#DIV/0!</v>
          </cell>
          <cell r="W59" t="e">
            <v>#DIV/0!</v>
          </cell>
          <cell r="X59">
            <v>352.18919094122589</v>
          </cell>
          <cell r="Y59">
            <v>857.8895532511001</v>
          </cell>
          <cell r="Z59">
            <v>406.59686156345651</v>
          </cell>
          <cell r="AA59"/>
          <cell r="AB59">
            <v>228.61872116949337</v>
          </cell>
          <cell r="AC59"/>
          <cell r="AD59"/>
          <cell r="AE59"/>
          <cell r="AF59">
            <v>1845.294326925276</v>
          </cell>
          <cell r="AG59">
            <v>0</v>
          </cell>
          <cell r="AH59">
            <v>1845.294326925276</v>
          </cell>
          <cell r="AI59">
            <v>1215.9140419999999</v>
          </cell>
          <cell r="AJ59">
            <v>1212.5013629999999</v>
          </cell>
          <cell r="AK59">
            <v>1311.096663</v>
          </cell>
          <cell r="AL59">
            <v>1401.251579</v>
          </cell>
          <cell r="AM59">
            <v>930.74733639999999</v>
          </cell>
          <cell r="AN59">
            <v>2359.922525</v>
          </cell>
          <cell r="AO59">
            <v>1102.649784</v>
          </cell>
          <cell r="AP59">
            <v>1027.3643629999999</v>
          </cell>
          <cell r="AQ59">
            <v>648.7983685227282</v>
          </cell>
          <cell r="AR59">
            <v>1580.3930297647667</v>
          </cell>
          <cell r="AS59">
            <v>390.83272512884599</v>
          </cell>
          <cell r="AT59">
            <v>0</v>
          </cell>
          <cell r="AU59">
            <v>294.90158116071814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2914.9257045770592</v>
          </cell>
          <cell r="BH59">
            <v>4760.2200315023347</v>
          </cell>
          <cell r="BI59">
            <v>4508.0282802258562</v>
          </cell>
          <cell r="BJ59">
            <v>1.0559428059452731</v>
          </cell>
          <cell r="BK59">
            <v>0.40933512662720589</v>
          </cell>
          <cell r="BL59">
            <v>0.6466076793180674</v>
          </cell>
        </row>
        <row r="60">
          <cell r="A60" t="str">
            <v>TIRORA TPS2</v>
          </cell>
          <cell r="B60" t="str">
            <v>TIRORA TPS</v>
          </cell>
          <cell r="C60">
            <v>660</v>
          </cell>
          <cell r="D60" t="str">
            <v>RAIL</v>
          </cell>
          <cell r="E60" t="str">
            <v/>
          </cell>
          <cell r="F60">
            <v>21.411111111111111</v>
          </cell>
          <cell r="G60">
            <v>79.968888888888884</v>
          </cell>
          <cell r="H60">
            <v>0</v>
          </cell>
          <cell r="I60">
            <v>0</v>
          </cell>
          <cell r="J60">
            <v>0</v>
          </cell>
          <cell r="K60">
            <v>5.5073928548053319E-2</v>
          </cell>
          <cell r="L60">
            <v>0</v>
          </cell>
          <cell r="M60">
            <v>0</v>
          </cell>
          <cell r="N60">
            <v>0.70468943225134961</v>
          </cell>
          <cell r="O60">
            <v>0.2402366392005971</v>
          </cell>
          <cell r="P60" t="e">
            <v>#DIV/0!</v>
          </cell>
          <cell r="Q60" t="e">
            <v>#DIV/0!</v>
          </cell>
          <cell r="R60" t="e">
            <v>#DIV/0!</v>
          </cell>
          <cell r="S60">
            <v>3322.5295018038264</v>
          </cell>
          <cell r="T60" t="e">
            <v>#DIV/0!</v>
          </cell>
          <cell r="U60" t="e">
            <v>#DIV/0!</v>
          </cell>
          <cell r="V60">
            <v>4231.9549370468349</v>
          </cell>
          <cell r="W60">
            <v>4523.9871571673893</v>
          </cell>
          <cell r="X60"/>
          <cell r="Y60"/>
          <cell r="Z60"/>
          <cell r="AA60">
            <v>74.379649203230741</v>
          </cell>
          <cell r="AB60"/>
          <cell r="AC60"/>
          <cell r="AD60">
            <v>1133.1816199851273</v>
          </cell>
          <cell r="AE60">
            <v>406.93611282250833</v>
          </cell>
          <cell r="AF60">
            <v>1614.4973820108662</v>
          </cell>
          <cell r="AG60">
            <v>4.5121823647374507E-2</v>
          </cell>
          <cell r="AH60">
            <v>1777.6805753600402</v>
          </cell>
          <cell r="AI60">
            <v>863.2195938000001</v>
          </cell>
          <cell r="AJ60">
            <v>806.37671660000001</v>
          </cell>
          <cell r="AK60">
            <v>974.77885649999996</v>
          </cell>
          <cell r="AL60">
            <v>569.5512655</v>
          </cell>
          <cell r="AM60">
            <v>587.64459590000001</v>
          </cell>
          <cell r="AN60">
            <v>2155.3568879999998</v>
          </cell>
          <cell r="AO60">
            <v>384.60271649999999</v>
          </cell>
          <cell r="AP60">
            <v>110.1177247</v>
          </cell>
          <cell r="AQ60">
            <v>0</v>
          </cell>
          <cell r="AR60">
            <v>0</v>
          </cell>
          <cell r="AS60">
            <v>0</v>
          </cell>
          <cell r="AT60">
            <v>91.575826911132097</v>
          </cell>
          <cell r="AU60">
            <v>0</v>
          </cell>
          <cell r="AV60">
            <v>0</v>
          </cell>
          <cell r="AW60">
            <v>903.59507139861557</v>
          </cell>
          <cell r="AX60">
            <v>145.67853706468526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1089.372228343261</v>
          </cell>
          <cell r="BH60">
            <v>2867.0528037033009</v>
          </cell>
          <cell r="BI60">
            <v>4252.0261447065277</v>
          </cell>
          <cell r="BJ60">
            <v>0.67427920387380003</v>
          </cell>
          <cell r="BK60">
            <v>0.41807846773781648</v>
          </cell>
          <cell r="BL60">
            <v>0.25620073613598365</v>
          </cell>
        </row>
        <row r="61">
          <cell r="A61" t="str">
            <v>SIPAT STPS1</v>
          </cell>
          <cell r="B61" t="str">
            <v>SIPAT STPS</v>
          </cell>
          <cell r="C61">
            <v>660</v>
          </cell>
          <cell r="D61" t="str">
            <v>PITHEAD</v>
          </cell>
          <cell r="E61">
            <v>0.45766084457218659</v>
          </cell>
          <cell r="F61">
            <v>22.1325</v>
          </cell>
          <cell r="G61">
            <v>82.29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7.9251311331613697E-4</v>
          </cell>
          <cell r="M61">
            <v>0</v>
          </cell>
          <cell r="N61">
            <v>0.99920748688668382</v>
          </cell>
          <cell r="O61">
            <v>0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>
            <v>4450</v>
          </cell>
          <cell r="U61" t="e">
            <v>#DIV/0!</v>
          </cell>
          <cell r="V61">
            <v>4199.2748642438901</v>
          </cell>
          <cell r="W61" t="e">
            <v>#DIV/0!</v>
          </cell>
          <cell r="X61"/>
          <cell r="Y61"/>
          <cell r="Z61"/>
          <cell r="AA61"/>
          <cell r="AB61">
            <v>1.3424355534063401</v>
          </cell>
          <cell r="AC61"/>
          <cell r="AD61">
            <v>1606.7837927895246</v>
          </cell>
          <cell r="AE61"/>
          <cell r="AF61">
            <v>1608.126228342931</v>
          </cell>
          <cell r="AG61">
            <v>2.9815102260802168E-3</v>
          </cell>
          <cell r="AH61">
            <v>1618.9278635409244</v>
          </cell>
          <cell r="AI61">
            <v>571.33689770000001</v>
          </cell>
          <cell r="AJ61">
            <v>613.85336480000001</v>
          </cell>
          <cell r="AK61">
            <v>682.87351720000004</v>
          </cell>
          <cell r="AL61">
            <v>361.87699119999996</v>
          </cell>
          <cell r="AM61">
            <v>355.07346319999999</v>
          </cell>
          <cell r="AN61">
            <v>1841.7844729999999</v>
          </cell>
          <cell r="AO61">
            <v>78.327401930000008</v>
          </cell>
          <cell r="AP61">
            <v>413.13457099999999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0.71770844304742998</v>
          </cell>
          <cell r="BD61">
            <v>0</v>
          </cell>
          <cell r="BE61">
            <v>199.61482079249677</v>
          </cell>
          <cell r="BF61">
            <v>0</v>
          </cell>
          <cell r="BG61">
            <v>199.73523575101191</v>
          </cell>
          <cell r="BH61">
            <v>1818.6630992919363</v>
          </cell>
          <cell r="BI61">
            <v>4199.473567201816</v>
          </cell>
          <cell r="BJ61">
            <v>0.43306930504238034</v>
          </cell>
          <cell r="BK61">
            <v>0.38550733505858087</v>
          </cell>
          <cell r="BL61">
            <v>4.7561969983799433E-2</v>
          </cell>
        </row>
        <row r="62">
          <cell r="A62" t="str">
            <v>TALWANDI SABO TPS3</v>
          </cell>
          <cell r="B62" t="str">
            <v>TALWANDI SABO TPS</v>
          </cell>
          <cell r="C62">
            <v>660</v>
          </cell>
          <cell r="D62" t="str">
            <v>RAIL</v>
          </cell>
          <cell r="E62" t="str">
            <v/>
          </cell>
          <cell r="F62">
            <v>29.924579600000001</v>
          </cell>
          <cell r="G62">
            <v>75.238929400000004</v>
          </cell>
          <cell r="H62">
            <v>0</v>
          </cell>
          <cell r="I62">
            <v>0</v>
          </cell>
          <cell r="J62">
            <v>0</v>
          </cell>
          <cell r="K62">
            <v>1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e">
            <v>#DIV/0!</v>
          </cell>
          <cell r="Q62" t="e">
            <v>#DIV/0!</v>
          </cell>
          <cell r="R62" t="e">
            <v>#DIV/0!</v>
          </cell>
          <cell r="S62">
            <v>3376.5727014317126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/>
          <cell r="Y62"/>
          <cell r="Z62"/>
          <cell r="AA62">
            <v>1350.5419199999999</v>
          </cell>
          <cell r="AB62"/>
          <cell r="AC62"/>
          <cell r="AD62"/>
          <cell r="AE62"/>
          <cell r="AF62">
            <v>1350.5419199999999</v>
          </cell>
          <cell r="AG62">
            <v>0.15771750712608484</v>
          </cell>
          <cell r="AH62">
            <v>1962.5580948848735</v>
          </cell>
          <cell r="AI62">
            <v>1423.5408439999999</v>
          </cell>
          <cell r="AJ62">
            <v>1420.1281650000001</v>
          </cell>
          <cell r="AK62">
            <v>1518.723465</v>
          </cell>
          <cell r="AL62">
            <v>1608.878381</v>
          </cell>
          <cell r="AM62">
            <v>1138.3741380000001</v>
          </cell>
          <cell r="AN62">
            <v>2558.5017170000001</v>
          </cell>
          <cell r="AO62">
            <v>1319.2934</v>
          </cell>
          <cell r="AP62">
            <v>1248.6820579999999</v>
          </cell>
          <cell r="AQ62">
            <v>0</v>
          </cell>
          <cell r="AR62">
            <v>0</v>
          </cell>
          <cell r="AS62">
            <v>0</v>
          </cell>
          <cell r="AT62">
            <v>3623.2139999999999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3051.7697201356696</v>
          </cell>
          <cell r="BH62">
            <v>5014.3278150205433</v>
          </cell>
          <cell r="BI62">
            <v>3376.5727014317126</v>
          </cell>
          <cell r="BJ62">
            <v>1.4850347551807193</v>
          </cell>
          <cell r="BK62">
            <v>0.58122785096637253</v>
          </cell>
          <cell r="BL62">
            <v>0.90380690421434662</v>
          </cell>
        </row>
        <row r="63">
          <cell r="A63" t="str">
            <v>MAHAN TPP2</v>
          </cell>
          <cell r="B63" t="str">
            <v>MAHAN TPP</v>
          </cell>
          <cell r="C63">
            <v>600</v>
          </cell>
          <cell r="D63"/>
          <cell r="E63" t="str">
            <v/>
          </cell>
          <cell r="F63">
            <v>24.008500000000002</v>
          </cell>
          <cell r="G63">
            <v>82.417199999999994</v>
          </cell>
          <cell r="H63">
            <v>0</v>
          </cell>
          <cell r="I63">
            <v>1.5316243779447986E-2</v>
          </cell>
          <cell r="J63">
            <v>0</v>
          </cell>
          <cell r="K63">
            <v>0</v>
          </cell>
          <cell r="L63">
            <v>0.98468375622055204</v>
          </cell>
          <cell r="M63">
            <v>0</v>
          </cell>
          <cell r="N63">
            <v>0</v>
          </cell>
          <cell r="O63">
            <v>0</v>
          </cell>
          <cell r="P63" t="e">
            <v>#DIV/0!</v>
          </cell>
          <cell r="Q63">
            <v>4452.6591539474739</v>
          </cell>
          <cell r="R63" t="e">
            <v>#DIV/0!</v>
          </cell>
          <cell r="S63" t="e">
            <v>#DIV/0!</v>
          </cell>
          <cell r="T63">
            <v>5034.2007292256467</v>
          </cell>
          <cell r="U63" t="e">
            <v>#DIV/0!</v>
          </cell>
          <cell r="V63" t="e">
            <v>#DIV/0!</v>
          </cell>
          <cell r="W63" t="e">
            <v>#DIV/0!</v>
          </cell>
          <cell r="X63"/>
          <cell r="Y63">
            <v>25.944138776625856</v>
          </cell>
          <cell r="Z63"/>
          <cell r="AA63"/>
          <cell r="AB63">
            <v>2208.1716384424535</v>
          </cell>
          <cell r="AC63"/>
          <cell r="AD63"/>
          <cell r="AE63"/>
          <cell r="AF63">
            <v>2234.1157772190795</v>
          </cell>
          <cell r="AG63">
            <v>0</v>
          </cell>
          <cell r="AH63">
            <v>2234.1157772190795</v>
          </cell>
          <cell r="AI63">
            <v>506.88132610000002</v>
          </cell>
          <cell r="AJ63">
            <v>458.55035859999998</v>
          </cell>
          <cell r="AK63">
            <v>611.53480669999999</v>
          </cell>
          <cell r="AL63">
            <v>576.64770279999993</v>
          </cell>
          <cell r="AM63">
            <v>90.116651619999999</v>
          </cell>
          <cell r="AN63">
            <v>1709.0604799999999</v>
          </cell>
          <cell r="AO63">
            <v>306.21431540000003</v>
          </cell>
          <cell r="AP63">
            <v>580.71343720000004</v>
          </cell>
          <cell r="AQ63">
            <v>0</v>
          </cell>
          <cell r="AR63">
            <v>22.123119472397821</v>
          </cell>
          <cell r="AS63">
            <v>0</v>
          </cell>
          <cell r="AT63">
            <v>0</v>
          </cell>
          <cell r="AU63">
            <v>381.72250493645925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403.84562440885708</v>
          </cell>
          <cell r="BH63">
            <v>2637.9614016279365</v>
          </cell>
          <cell r="BI63">
            <v>5025.2936966908019</v>
          </cell>
          <cell r="BJ63">
            <v>0.52493676207722073</v>
          </cell>
          <cell r="BK63">
            <v>0.44457417059828036</v>
          </cell>
          <cell r="BL63">
            <v>8.0362591478940384E-2</v>
          </cell>
        </row>
        <row r="64">
          <cell r="A64" t="str">
            <v>TIRORA TPS1</v>
          </cell>
          <cell r="B64" t="str">
            <v>TIRORA TPS</v>
          </cell>
          <cell r="C64">
            <v>660</v>
          </cell>
          <cell r="D64" t="str">
            <v>RAIL</v>
          </cell>
          <cell r="E64" t="str">
            <v/>
          </cell>
          <cell r="F64">
            <v>21.411111111111111</v>
          </cell>
          <cell r="G64">
            <v>79.968888888888884</v>
          </cell>
          <cell r="H64">
            <v>0</v>
          </cell>
          <cell r="I64">
            <v>0</v>
          </cell>
          <cell r="J64">
            <v>0</v>
          </cell>
          <cell r="K64">
            <v>5.5073928548053319E-2</v>
          </cell>
          <cell r="L64">
            <v>0</v>
          </cell>
          <cell r="M64">
            <v>0</v>
          </cell>
          <cell r="N64">
            <v>0.70468943225134961</v>
          </cell>
          <cell r="O64">
            <v>0.2402366392005971</v>
          </cell>
          <cell r="P64" t="e">
            <v>#DIV/0!</v>
          </cell>
          <cell r="Q64" t="e">
            <v>#DIV/0!</v>
          </cell>
          <cell r="R64" t="e">
            <v>#DIV/0!</v>
          </cell>
          <cell r="S64">
            <v>3322.5295018038264</v>
          </cell>
          <cell r="T64" t="e">
            <v>#DIV/0!</v>
          </cell>
          <cell r="U64" t="e">
            <v>#DIV/0!</v>
          </cell>
          <cell r="V64">
            <v>4231.9549370468349</v>
          </cell>
          <cell r="W64">
            <v>4523.9871571673893</v>
          </cell>
          <cell r="X64"/>
          <cell r="Y64"/>
          <cell r="Z64"/>
          <cell r="AA64">
            <v>74.379649203230741</v>
          </cell>
          <cell r="AB64"/>
          <cell r="AC64"/>
          <cell r="AD64">
            <v>1133.1816199851273</v>
          </cell>
          <cell r="AE64">
            <v>406.93611282250833</v>
          </cell>
          <cell r="AF64">
            <v>1614.4973820108662</v>
          </cell>
          <cell r="AG64">
            <v>4.5121823647374507E-2</v>
          </cell>
          <cell r="AH64">
            <v>1777.6805753600402</v>
          </cell>
          <cell r="AI64">
            <v>863.2195938000001</v>
          </cell>
          <cell r="AJ64">
            <v>806.37671660000001</v>
          </cell>
          <cell r="AK64">
            <v>974.77885649999996</v>
          </cell>
          <cell r="AL64">
            <v>569.5512655</v>
          </cell>
          <cell r="AM64">
            <v>587.64459590000001</v>
          </cell>
          <cell r="AN64">
            <v>2155.3568879999998</v>
          </cell>
          <cell r="AO64">
            <v>384.60271649999999</v>
          </cell>
          <cell r="AP64">
            <v>110.1177247</v>
          </cell>
          <cell r="AQ64">
            <v>0</v>
          </cell>
          <cell r="AR64">
            <v>0</v>
          </cell>
          <cell r="AS64">
            <v>0</v>
          </cell>
          <cell r="AT64">
            <v>91.575826911132097</v>
          </cell>
          <cell r="AU64">
            <v>0</v>
          </cell>
          <cell r="AV64">
            <v>0</v>
          </cell>
          <cell r="AW64">
            <v>903.59507139861557</v>
          </cell>
          <cell r="AX64">
            <v>145.67853706468526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1089.372228343261</v>
          </cell>
          <cell r="BH64">
            <v>2867.0528037033009</v>
          </cell>
          <cell r="BI64">
            <v>4252.0261447065277</v>
          </cell>
          <cell r="BJ64">
            <v>0.67427920387380003</v>
          </cell>
          <cell r="BK64">
            <v>0.41807846773781648</v>
          </cell>
          <cell r="BL64">
            <v>0.25620073613598365</v>
          </cell>
        </row>
        <row r="65">
          <cell r="A65" t="str">
            <v>TALWANDI SABO TPS2</v>
          </cell>
          <cell r="B65" t="str">
            <v>TALWANDI SABO TPS</v>
          </cell>
          <cell r="C65">
            <v>660</v>
          </cell>
          <cell r="D65" t="str">
            <v>RAIL</v>
          </cell>
          <cell r="E65" t="str">
            <v/>
          </cell>
          <cell r="F65">
            <v>29.924579600000001</v>
          </cell>
          <cell r="G65">
            <v>75.238929400000004</v>
          </cell>
          <cell r="H65">
            <v>0</v>
          </cell>
          <cell r="I65">
            <v>0</v>
          </cell>
          <cell r="J65">
            <v>0</v>
          </cell>
          <cell r="K65">
            <v>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e">
            <v>#DIV/0!</v>
          </cell>
          <cell r="Q65" t="e">
            <v>#DIV/0!</v>
          </cell>
          <cell r="R65" t="e">
            <v>#DIV/0!</v>
          </cell>
          <cell r="S65">
            <v>3376.5727014317126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/>
          <cell r="Y65"/>
          <cell r="Z65"/>
          <cell r="AA65">
            <v>1350.5419199999999</v>
          </cell>
          <cell r="AB65"/>
          <cell r="AC65"/>
          <cell r="AD65"/>
          <cell r="AE65"/>
          <cell r="AF65">
            <v>1350.5419199999999</v>
          </cell>
          <cell r="AG65">
            <v>0.15771750712608484</v>
          </cell>
          <cell r="AH65">
            <v>1962.5580948848735</v>
          </cell>
          <cell r="AI65">
            <v>1423.5408439999999</v>
          </cell>
          <cell r="AJ65">
            <v>1420.1281650000001</v>
          </cell>
          <cell r="AK65">
            <v>1518.723465</v>
          </cell>
          <cell r="AL65">
            <v>1608.878381</v>
          </cell>
          <cell r="AM65">
            <v>1138.3741380000001</v>
          </cell>
          <cell r="AN65">
            <v>2558.5017170000001</v>
          </cell>
          <cell r="AO65">
            <v>1319.2934</v>
          </cell>
          <cell r="AP65">
            <v>1248.6820579999999</v>
          </cell>
          <cell r="AQ65">
            <v>0</v>
          </cell>
          <cell r="AR65">
            <v>0</v>
          </cell>
          <cell r="AS65">
            <v>0</v>
          </cell>
          <cell r="AT65">
            <v>3623.2139999999999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3051.7697201356696</v>
          </cell>
          <cell r="BH65">
            <v>5014.3278150205433</v>
          </cell>
          <cell r="BI65">
            <v>3376.5727014317126</v>
          </cell>
          <cell r="BJ65">
            <v>1.4850347551807193</v>
          </cell>
          <cell r="BK65">
            <v>0.58122785096637253</v>
          </cell>
          <cell r="BL65">
            <v>0.90380690421434662</v>
          </cell>
        </row>
        <row r="66">
          <cell r="A66" t="str">
            <v>RAYALSEEMA TPS6</v>
          </cell>
          <cell r="B66" t="str">
            <v>RAYALSEEMA TPS</v>
          </cell>
          <cell r="C66">
            <v>600</v>
          </cell>
          <cell r="D66" t="str">
            <v>RAIL</v>
          </cell>
          <cell r="E66"/>
          <cell r="F66">
            <v>14.7042</v>
          </cell>
          <cell r="G66">
            <v>78.459199999999996</v>
          </cell>
          <cell r="H66">
            <v>0</v>
          </cell>
          <cell r="I66">
            <v>0</v>
          </cell>
          <cell r="J66">
            <v>0</v>
          </cell>
          <cell r="K66">
            <v>1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e">
            <v>#DIV/0!</v>
          </cell>
          <cell r="Q66" t="e">
            <v>#DIV/0!</v>
          </cell>
          <cell r="R66" t="e">
            <v>#DIV/0!</v>
          </cell>
          <cell r="S66">
            <v>3705.8725734969948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/>
          <cell r="Y66"/>
          <cell r="Z66"/>
          <cell r="AA66">
            <v>1522.2194400000001</v>
          </cell>
          <cell r="AB66"/>
          <cell r="AC66"/>
          <cell r="AD66"/>
          <cell r="AE66"/>
          <cell r="AF66">
            <v>1522.2194400000001</v>
          </cell>
          <cell r="AG66">
            <v>0</v>
          </cell>
          <cell r="AH66">
            <v>1522.2194400000001</v>
          </cell>
          <cell r="AI66">
            <v>1580.847319</v>
          </cell>
          <cell r="AJ66">
            <v>1524.0044419999999</v>
          </cell>
          <cell r="AK66">
            <v>1676.215328</v>
          </cell>
          <cell r="AL66">
            <v>1245.2935089999999</v>
          </cell>
          <cell r="AM66">
            <v>1468.6819739999996</v>
          </cell>
          <cell r="AN66">
            <v>2885.8951079999997</v>
          </cell>
          <cell r="AO66">
            <v>1202.2827209999998</v>
          </cell>
          <cell r="AP66">
            <v>833.47774089999996</v>
          </cell>
          <cell r="AQ66">
            <v>0</v>
          </cell>
          <cell r="AR66">
            <v>0</v>
          </cell>
          <cell r="AS66">
            <v>0</v>
          </cell>
          <cell r="AT66">
            <v>3050.5440000000003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3050.5440000000003</v>
          </cell>
          <cell r="BH66">
            <v>4572.7634400000006</v>
          </cell>
          <cell r="BI66">
            <v>3705.8725734969948</v>
          </cell>
          <cell r="BJ66">
            <v>1.2339235495312717</v>
          </cell>
          <cell r="BK66">
            <v>0.4107587106168572</v>
          </cell>
          <cell r="BL66">
            <v>0.8231648389144145</v>
          </cell>
        </row>
        <row r="67">
          <cell r="A67" t="str">
            <v>TALWANDI SABO TPS1</v>
          </cell>
          <cell r="B67" t="str">
            <v>TALWANDI SABO TPS</v>
          </cell>
          <cell r="C67">
            <v>660</v>
          </cell>
          <cell r="D67" t="str">
            <v>RAIL</v>
          </cell>
          <cell r="E67" t="str">
            <v/>
          </cell>
          <cell r="F67">
            <v>29.924579600000001</v>
          </cell>
          <cell r="G67">
            <v>75.238929400000004</v>
          </cell>
          <cell r="H67">
            <v>0</v>
          </cell>
          <cell r="I67">
            <v>0</v>
          </cell>
          <cell r="J67">
            <v>0</v>
          </cell>
          <cell r="K67">
            <v>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e">
            <v>#DIV/0!</v>
          </cell>
          <cell r="Q67" t="e">
            <v>#DIV/0!</v>
          </cell>
          <cell r="R67" t="e">
            <v>#DIV/0!</v>
          </cell>
          <cell r="S67">
            <v>3376.5727014317126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/>
          <cell r="Y67"/>
          <cell r="Z67"/>
          <cell r="AA67">
            <v>1350.5419199999999</v>
          </cell>
          <cell r="AB67"/>
          <cell r="AC67"/>
          <cell r="AD67"/>
          <cell r="AE67"/>
          <cell r="AF67">
            <v>1350.5419199999999</v>
          </cell>
          <cell r="AG67">
            <v>0.15771750712608484</v>
          </cell>
          <cell r="AH67">
            <v>1962.5580948848735</v>
          </cell>
          <cell r="AI67">
            <v>1423.5408439999999</v>
          </cell>
          <cell r="AJ67">
            <v>1420.1281650000001</v>
          </cell>
          <cell r="AK67">
            <v>1518.723465</v>
          </cell>
          <cell r="AL67">
            <v>1608.878381</v>
          </cell>
          <cell r="AM67">
            <v>1138.3741380000001</v>
          </cell>
          <cell r="AN67">
            <v>2558.5017170000001</v>
          </cell>
          <cell r="AO67">
            <v>1319.2934</v>
          </cell>
          <cell r="AP67">
            <v>1248.6820579999999</v>
          </cell>
          <cell r="AQ67">
            <v>0</v>
          </cell>
          <cell r="AR67">
            <v>0</v>
          </cell>
          <cell r="AS67">
            <v>0</v>
          </cell>
          <cell r="AT67">
            <v>3623.2139999999999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3051.7697201356696</v>
          </cell>
          <cell r="BH67">
            <v>5014.3278150205433</v>
          </cell>
          <cell r="BI67">
            <v>3376.5727014317126</v>
          </cell>
          <cell r="BJ67">
            <v>1.4850347551807193</v>
          </cell>
          <cell r="BK67">
            <v>0.58122785096637253</v>
          </cell>
          <cell r="BL67">
            <v>0.90380690421434662</v>
          </cell>
        </row>
        <row r="68">
          <cell r="A68" t="str">
            <v>SINGARENI TPP2</v>
          </cell>
          <cell r="B68" t="str">
            <v>SINGARENI TPP</v>
          </cell>
          <cell r="C68">
            <v>600</v>
          </cell>
          <cell r="D68" t="str">
            <v>RAIL</v>
          </cell>
          <cell r="E68">
            <v>0.68765133171912829</v>
          </cell>
          <cell r="F68">
            <v>18.8270561</v>
          </cell>
          <cell r="G68">
            <v>79.570283900000007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4279.0292548546358</v>
          </cell>
          <cell r="X68"/>
          <cell r="Y68"/>
          <cell r="Z68"/>
          <cell r="AA68"/>
          <cell r="AB68"/>
          <cell r="AC68"/>
          <cell r="AD68"/>
          <cell r="AE68">
            <v>1608.0582000000002</v>
          </cell>
          <cell r="AF68">
            <v>1608.0582000000002</v>
          </cell>
          <cell r="AG68">
            <v>0</v>
          </cell>
          <cell r="AH68">
            <v>1608.0582000000002</v>
          </cell>
          <cell r="AI68">
            <v>1107.7926640000001</v>
          </cell>
          <cell r="AJ68">
            <v>1050.9497860000001</v>
          </cell>
          <cell r="AK68">
            <v>1219.351926</v>
          </cell>
          <cell r="AL68">
            <v>806.01138460000004</v>
          </cell>
          <cell r="AM68">
            <v>913.49214659999996</v>
          </cell>
          <cell r="AN68">
            <v>2406.12752</v>
          </cell>
          <cell r="AO68">
            <v>629.17578630000003</v>
          </cell>
          <cell r="AP68">
            <v>302.58460930000001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1119.972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1119.972</v>
          </cell>
          <cell r="BH68">
            <v>2728.0302000000001</v>
          </cell>
          <cell r="BI68">
            <v>4279.0292548546358</v>
          </cell>
          <cell r="BJ68">
            <v>0.63753483267378941</v>
          </cell>
          <cell r="BK68">
            <v>0.37579976771031165</v>
          </cell>
          <cell r="BL68">
            <v>0.26173506496347776</v>
          </cell>
        </row>
        <row r="69">
          <cell r="A69" t="str">
            <v>KAWAI TPS2</v>
          </cell>
          <cell r="B69" t="str">
            <v>KAWAI TPS</v>
          </cell>
          <cell r="C69">
            <v>660</v>
          </cell>
          <cell r="D69" t="str">
            <v>RAIL</v>
          </cell>
          <cell r="E69" t="str">
            <v/>
          </cell>
          <cell r="F69">
            <v>24.7779971</v>
          </cell>
          <cell r="G69">
            <v>76.737144299999997</v>
          </cell>
          <cell r="H69">
            <v>0</v>
          </cell>
          <cell r="I69">
            <v>0</v>
          </cell>
          <cell r="J69">
            <v>0</v>
          </cell>
          <cell r="K69">
            <v>0.16954218626580952</v>
          </cell>
          <cell r="L69">
            <v>0.62075731213493868</v>
          </cell>
          <cell r="M69">
            <v>0</v>
          </cell>
          <cell r="N69">
            <v>0.20970050159925183</v>
          </cell>
          <cell r="O69">
            <v>0</v>
          </cell>
          <cell r="P69" t="e">
            <v>#DIV/0!</v>
          </cell>
          <cell r="Q69" t="e">
            <v>#DIV/0!</v>
          </cell>
          <cell r="R69" t="e">
            <v>#DIV/0!</v>
          </cell>
          <cell r="S69">
            <v>3834.8279410593022</v>
          </cell>
          <cell r="T69">
            <v>4551.4324269427334</v>
          </cell>
          <cell r="U69" t="e">
            <v>#DIV/0!</v>
          </cell>
          <cell r="V69">
            <v>4717.6848593376162</v>
          </cell>
          <cell r="W69" t="e">
            <v>#DIV/0!</v>
          </cell>
          <cell r="X69"/>
          <cell r="Y69"/>
          <cell r="Z69"/>
          <cell r="AA69">
            <v>258.08041183391629</v>
          </cell>
          <cell r="AB69">
            <v>1051.4989239231438</v>
          </cell>
          <cell r="AC69"/>
          <cell r="AD69">
            <v>385.47263636255366</v>
          </cell>
          <cell r="AE69"/>
          <cell r="AF69">
            <v>1695.0519721196138</v>
          </cell>
          <cell r="AG69">
            <v>0.14544979256246485</v>
          </cell>
          <cell r="AH69">
            <v>2209.3548792864726</v>
          </cell>
          <cell r="AI69">
            <v>1134.4924569999998</v>
          </cell>
          <cell r="AJ69">
            <v>1120.1347109999999</v>
          </cell>
          <cell r="AK69">
            <v>1229.675078</v>
          </cell>
          <cell r="AL69">
            <v>1061.8580589999999</v>
          </cell>
          <cell r="AM69">
            <v>751.70100409999998</v>
          </cell>
          <cell r="AN69">
            <v>2281.9462389999999</v>
          </cell>
          <cell r="AO69">
            <v>775.34883769999999</v>
          </cell>
          <cell r="AP69">
            <v>547.8694888</v>
          </cell>
          <cell r="AQ69">
            <v>0</v>
          </cell>
          <cell r="AR69">
            <v>0</v>
          </cell>
          <cell r="AS69">
            <v>0</v>
          </cell>
          <cell r="AT69">
            <v>452.31854697920045</v>
          </cell>
          <cell r="AU69">
            <v>1232.4143220739793</v>
          </cell>
          <cell r="AV69">
            <v>0</v>
          </cell>
          <cell r="AW69">
            <v>430.56839371067019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1807.6311328877282</v>
          </cell>
          <cell r="BH69">
            <v>4016.9860121742008</v>
          </cell>
          <cell r="BI69">
            <v>4464.8009541834754</v>
          </cell>
          <cell r="BJ69">
            <v>0.89970102886900782</v>
          </cell>
          <cell r="BK69">
            <v>0.49483838181326506</v>
          </cell>
          <cell r="BL69">
            <v>0.40486264705574282</v>
          </cell>
        </row>
        <row r="70">
          <cell r="A70" t="str">
            <v>AKALTARA TPS2</v>
          </cell>
          <cell r="B70" t="str">
            <v>AKALTARA TPS</v>
          </cell>
          <cell r="C70">
            <v>600</v>
          </cell>
          <cell r="D70" t="str">
            <v>RAIL</v>
          </cell>
          <cell r="E70" t="str">
            <v/>
          </cell>
          <cell r="F70">
            <v>21.9603</v>
          </cell>
          <cell r="G70">
            <v>82.409099999999995</v>
          </cell>
          <cell r="H70">
            <v>5.7010875352663198E-4</v>
          </cell>
          <cell r="I70">
            <v>0</v>
          </cell>
          <cell r="J70">
            <v>0</v>
          </cell>
          <cell r="K70">
            <v>0.16483772685145329</v>
          </cell>
          <cell r="L70">
            <v>0</v>
          </cell>
          <cell r="M70">
            <v>0</v>
          </cell>
          <cell r="N70">
            <v>0.83459216439502004</v>
          </cell>
          <cell r="O70">
            <v>0</v>
          </cell>
          <cell r="P70">
            <v>4450</v>
          </cell>
          <cell r="Q70" t="e">
            <v>#DIV/0!</v>
          </cell>
          <cell r="R70" t="e">
            <v>#DIV/0!</v>
          </cell>
          <cell r="S70">
            <v>3311.9730690427114</v>
          </cell>
          <cell r="T70" t="e">
            <v>#DIV/0!</v>
          </cell>
          <cell r="U70" t="e">
            <v>#DIV/0!</v>
          </cell>
          <cell r="V70">
            <v>4469.5627633273134</v>
          </cell>
          <cell r="W70" t="e">
            <v>#DIV/0!</v>
          </cell>
          <cell r="X70">
            <v>0.9657054844681513</v>
          </cell>
          <cell r="Y70"/>
          <cell r="Z70"/>
          <cell r="AA70">
            <v>222.62026011039725</v>
          </cell>
          <cell r="AB70"/>
          <cell r="AC70"/>
          <cell r="AD70">
            <v>1413.7131301085449</v>
          </cell>
          <cell r="AE70"/>
          <cell r="AF70">
            <v>1637.2990957034103</v>
          </cell>
          <cell r="AG70">
            <v>4.3831710939856224E-2</v>
          </cell>
          <cell r="AH70">
            <v>1794.8171549448384</v>
          </cell>
          <cell r="AI70">
            <v>542.25308050000001</v>
          </cell>
          <cell r="AJ70">
            <v>485.41020320000007</v>
          </cell>
          <cell r="AK70">
            <v>653.81234319999999</v>
          </cell>
          <cell r="AL70">
            <v>313.46014459999998</v>
          </cell>
          <cell r="AM70">
            <v>379.94365950000002</v>
          </cell>
          <cell r="AN70">
            <v>1871.993555</v>
          </cell>
          <cell r="AO70">
            <v>63.996909650000006</v>
          </cell>
          <cell r="AP70">
            <v>426.49298390000007</v>
          </cell>
          <cell r="AQ70">
            <v>0.94796543318901316</v>
          </cell>
          <cell r="AR70">
            <v>0</v>
          </cell>
          <cell r="AS70">
            <v>0</v>
          </cell>
          <cell r="AT70">
            <v>184.61363861727583</v>
          </cell>
          <cell r="AU70">
            <v>0</v>
          </cell>
          <cell r="AV70">
            <v>0</v>
          </cell>
          <cell r="AW70">
            <v>323.5379984493735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486.78489588346969</v>
          </cell>
          <cell r="BH70">
            <v>2281.6020508283082</v>
          </cell>
          <cell r="BI70">
            <v>4278.737156592154</v>
          </cell>
          <cell r="BJ70">
            <v>0.53324192800978565</v>
          </cell>
          <cell r="BK70">
            <v>0.41947357111656275</v>
          </cell>
          <cell r="BL70">
            <v>0.11376835689322284</v>
          </cell>
        </row>
        <row r="71">
          <cell r="A71" t="str">
            <v>KAWAI TPS1</v>
          </cell>
          <cell r="B71" t="str">
            <v>KAWAI TPS</v>
          </cell>
          <cell r="C71">
            <v>660</v>
          </cell>
          <cell r="D71" t="str">
            <v>RAIL</v>
          </cell>
          <cell r="E71" t="str">
            <v/>
          </cell>
          <cell r="F71">
            <v>24.7779971</v>
          </cell>
          <cell r="G71">
            <v>76.737144299999997</v>
          </cell>
          <cell r="H71">
            <v>0</v>
          </cell>
          <cell r="I71">
            <v>0</v>
          </cell>
          <cell r="J71">
            <v>0</v>
          </cell>
          <cell r="K71">
            <v>0.16954218626580952</v>
          </cell>
          <cell r="L71">
            <v>0.62075731213493868</v>
          </cell>
          <cell r="M71">
            <v>0</v>
          </cell>
          <cell r="N71">
            <v>0.20970050159925183</v>
          </cell>
          <cell r="O71">
            <v>0</v>
          </cell>
          <cell r="P71" t="e">
            <v>#DIV/0!</v>
          </cell>
          <cell r="Q71" t="e">
            <v>#DIV/0!</v>
          </cell>
          <cell r="R71" t="e">
            <v>#DIV/0!</v>
          </cell>
          <cell r="S71">
            <v>3834.8279410593022</v>
          </cell>
          <cell r="T71">
            <v>4551.4324269427334</v>
          </cell>
          <cell r="U71" t="e">
            <v>#DIV/0!</v>
          </cell>
          <cell r="V71">
            <v>4717.6848593376162</v>
          </cell>
          <cell r="W71" t="e">
            <v>#DIV/0!</v>
          </cell>
          <cell r="X71"/>
          <cell r="Y71"/>
          <cell r="Z71"/>
          <cell r="AA71">
            <v>258.08041183391629</v>
          </cell>
          <cell r="AB71">
            <v>1051.4989239231438</v>
          </cell>
          <cell r="AC71"/>
          <cell r="AD71">
            <v>385.47263636255366</v>
          </cell>
          <cell r="AE71"/>
          <cell r="AF71">
            <v>1695.0519721196138</v>
          </cell>
          <cell r="AG71">
            <v>0.14544979256246485</v>
          </cell>
          <cell r="AH71">
            <v>2209.3548792864726</v>
          </cell>
          <cell r="AI71">
            <v>1134.4924569999998</v>
          </cell>
          <cell r="AJ71">
            <v>1120.1347109999999</v>
          </cell>
          <cell r="AK71">
            <v>1229.675078</v>
          </cell>
          <cell r="AL71">
            <v>1061.8580589999999</v>
          </cell>
          <cell r="AM71">
            <v>751.70100409999998</v>
          </cell>
          <cell r="AN71">
            <v>2281.9462389999999</v>
          </cell>
          <cell r="AO71">
            <v>775.34883769999999</v>
          </cell>
          <cell r="AP71">
            <v>547.8694888</v>
          </cell>
          <cell r="AQ71">
            <v>0</v>
          </cell>
          <cell r="AR71">
            <v>0</v>
          </cell>
          <cell r="AS71">
            <v>0</v>
          </cell>
          <cell r="AT71">
            <v>452.31854697920045</v>
          </cell>
          <cell r="AU71">
            <v>1232.4143220739793</v>
          </cell>
          <cell r="AV71">
            <v>0</v>
          </cell>
          <cell r="AW71">
            <v>430.56839371067019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1807.6311328877282</v>
          </cell>
          <cell r="BH71">
            <v>4016.9860121742008</v>
          </cell>
          <cell r="BI71">
            <v>4464.8009541834754</v>
          </cell>
          <cell r="BJ71">
            <v>0.89970102886900782</v>
          </cell>
          <cell r="BK71">
            <v>0.49483838181326506</v>
          </cell>
          <cell r="BL71">
            <v>0.40486264705574282</v>
          </cell>
        </row>
        <row r="72">
          <cell r="A72" t="str">
            <v>ANPARA TPS7</v>
          </cell>
          <cell r="B72" t="str">
            <v>ANPARA TPS</v>
          </cell>
          <cell r="C72">
            <v>600</v>
          </cell>
          <cell r="D72" t="str">
            <v>PITHEAD</v>
          </cell>
          <cell r="E72" t="str">
            <v/>
          </cell>
          <cell r="F72">
            <v>24.203099999999999</v>
          </cell>
          <cell r="G72">
            <v>82.788300000000007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1</v>
          </cell>
          <cell r="M72">
            <v>0</v>
          </cell>
          <cell r="N72">
            <v>0</v>
          </cell>
          <cell r="O72">
            <v>0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>
            <v>4489.130228333277</v>
          </cell>
          <cell r="U72" t="e">
            <v>#DIV/0!</v>
          </cell>
          <cell r="V72" t="e">
            <v>#DIV/0!</v>
          </cell>
          <cell r="W72" t="e">
            <v>#DIV/0!</v>
          </cell>
          <cell r="X72"/>
          <cell r="Y72"/>
          <cell r="Z72"/>
          <cell r="AA72"/>
          <cell r="AB72">
            <v>1693.8969600000003</v>
          </cell>
          <cell r="AC72"/>
          <cell r="AD72"/>
          <cell r="AE72"/>
          <cell r="AF72">
            <v>1693.8969600000003</v>
          </cell>
          <cell r="AG72">
            <v>0</v>
          </cell>
          <cell r="AH72">
            <v>1693.8969600000003</v>
          </cell>
          <cell r="AI72">
            <v>429.35465909999994</v>
          </cell>
          <cell r="AJ72">
            <v>428.11748570000003</v>
          </cell>
          <cell r="AK72">
            <v>529.52178949999995</v>
          </cell>
          <cell r="AL72">
            <v>528.51230740000017</v>
          </cell>
          <cell r="AM72">
            <v>7.4753393740000007</v>
          </cell>
          <cell r="AN72">
            <v>1635.767114</v>
          </cell>
          <cell r="AO72">
            <v>320.62651040000003</v>
          </cell>
          <cell r="AP72">
            <v>680.47493570000017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19.065767657767676</v>
          </cell>
          <cell r="BD72">
            <v>0</v>
          </cell>
          <cell r="BE72">
            <v>0</v>
          </cell>
          <cell r="BF72">
            <v>0</v>
          </cell>
          <cell r="BG72">
            <v>19.065767657767676</v>
          </cell>
          <cell r="BH72">
            <v>1712.962727657768</v>
          </cell>
          <cell r="BI72">
            <v>4489.130228333277</v>
          </cell>
          <cell r="BJ72">
            <v>0.38158009247456304</v>
          </cell>
          <cell r="BK72">
            <v>0.37733299633610984</v>
          </cell>
          <cell r="BL72">
            <v>4.247096138453174E-3</v>
          </cell>
        </row>
        <row r="73">
          <cell r="A73" t="str">
            <v>SEIONI TPP1</v>
          </cell>
          <cell r="B73" t="str">
            <v>SEIONI TPP</v>
          </cell>
          <cell r="C73">
            <v>600</v>
          </cell>
          <cell r="D73" t="str">
            <v>RAIL</v>
          </cell>
          <cell r="E73">
            <v>0.86425339366515841</v>
          </cell>
          <cell r="F73">
            <v>22.735478700000002</v>
          </cell>
          <cell r="G73">
            <v>79.912340599999993</v>
          </cell>
          <cell r="H73">
            <v>0</v>
          </cell>
          <cell r="I73">
            <v>0</v>
          </cell>
          <cell r="J73">
            <v>0</v>
          </cell>
          <cell r="K73">
            <v>0.28597672196052493</v>
          </cell>
          <cell r="L73">
            <v>0</v>
          </cell>
          <cell r="M73">
            <v>0</v>
          </cell>
          <cell r="N73">
            <v>0.71402327803947507</v>
          </cell>
          <cell r="O73">
            <v>0</v>
          </cell>
          <cell r="P73" t="e">
            <v>#DIV/0!</v>
          </cell>
          <cell r="Q73" t="e">
            <v>#DIV/0!</v>
          </cell>
          <cell r="R73" t="e">
            <v>#DIV/0!</v>
          </cell>
          <cell r="S73">
            <v>3252.8369430342445</v>
          </cell>
          <cell r="T73" t="e">
            <v>#DIV/0!</v>
          </cell>
          <cell r="U73" t="e">
            <v>#DIV/0!</v>
          </cell>
          <cell r="V73">
            <v>4160.0743099523625</v>
          </cell>
          <cell r="W73" t="e">
            <v>#DIV/0!</v>
          </cell>
          <cell r="X73"/>
          <cell r="Y73"/>
          <cell r="Z73"/>
          <cell r="AA73">
            <v>386.22355115187349</v>
          </cell>
          <cell r="AB73"/>
          <cell r="AC73"/>
          <cell r="AD73">
            <v>1148.190987242258</v>
          </cell>
          <cell r="AE73"/>
          <cell r="AF73">
            <v>1534.4145383941313</v>
          </cell>
          <cell r="AG73">
            <v>0</v>
          </cell>
          <cell r="AH73">
            <v>1534.4145383941313</v>
          </cell>
          <cell r="AI73">
            <v>822.49852229999999</v>
          </cell>
          <cell r="AJ73">
            <v>765.65564500000005</v>
          </cell>
          <cell r="AK73">
            <v>934.05778500000008</v>
          </cell>
          <cell r="AL73">
            <v>627.91894519999994</v>
          </cell>
          <cell r="AM73">
            <v>440.84384649999998</v>
          </cell>
          <cell r="AN73">
            <v>2030.6208610000001</v>
          </cell>
          <cell r="AO73">
            <v>362.70545400000003</v>
          </cell>
          <cell r="AP73">
            <v>223.90790100000001</v>
          </cell>
          <cell r="AQ73">
            <v>0</v>
          </cell>
          <cell r="AR73">
            <v>0</v>
          </cell>
          <cell r="AS73">
            <v>0</v>
          </cell>
          <cell r="AT73">
            <v>537.02481905423531</v>
          </cell>
          <cell r="AU73">
            <v>0</v>
          </cell>
          <cell r="AV73">
            <v>0</v>
          </cell>
          <cell r="AW73">
            <v>915.5634884988973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1452.5883075531326</v>
          </cell>
          <cell r="BH73">
            <v>2987.0028459472642</v>
          </cell>
          <cell r="BI73">
            <v>3900.6255417210209</v>
          </cell>
          <cell r="BJ73">
            <v>0.76577533885227778</v>
          </cell>
          <cell r="BK73">
            <v>0.39337652947765966</v>
          </cell>
          <cell r="BL73">
            <v>0.372398809374618</v>
          </cell>
        </row>
        <row r="74">
          <cell r="A74" t="str">
            <v>SINGARENI TPP1</v>
          </cell>
          <cell r="B74" t="str">
            <v>SINGARENI TPP</v>
          </cell>
          <cell r="C74">
            <v>600</v>
          </cell>
          <cell r="D74" t="str">
            <v>RAIL</v>
          </cell>
          <cell r="E74">
            <v>0.68765133171912829</v>
          </cell>
          <cell r="F74">
            <v>18.8270561</v>
          </cell>
          <cell r="G74">
            <v>79.570283900000007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4279.0292548546358</v>
          </cell>
          <cell r="X74"/>
          <cell r="Y74"/>
          <cell r="Z74"/>
          <cell r="AA74"/>
          <cell r="AB74"/>
          <cell r="AC74"/>
          <cell r="AD74"/>
          <cell r="AE74">
            <v>1608.0582000000002</v>
          </cell>
          <cell r="AF74">
            <v>1608.0582000000002</v>
          </cell>
          <cell r="AG74">
            <v>0</v>
          </cell>
          <cell r="AH74">
            <v>1608.0582000000002</v>
          </cell>
          <cell r="AI74">
            <v>1107.7926640000001</v>
          </cell>
          <cell r="AJ74">
            <v>1050.9497860000001</v>
          </cell>
          <cell r="AK74">
            <v>1219.351926</v>
          </cell>
          <cell r="AL74">
            <v>806.01138460000004</v>
          </cell>
          <cell r="AM74">
            <v>913.49214659999996</v>
          </cell>
          <cell r="AN74">
            <v>2406.12752</v>
          </cell>
          <cell r="AO74">
            <v>629.17578630000003</v>
          </cell>
          <cell r="AP74">
            <v>302.58460930000001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1119.972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1119.972</v>
          </cell>
          <cell r="BH74">
            <v>2728.0302000000001</v>
          </cell>
          <cell r="BI74">
            <v>4279.0292548546358</v>
          </cell>
          <cell r="BJ74">
            <v>0.63753483267378941</v>
          </cell>
          <cell r="BK74">
            <v>0.37579976771031165</v>
          </cell>
          <cell r="BL74">
            <v>0.26173506496347776</v>
          </cell>
        </row>
        <row r="75">
          <cell r="A75" t="str">
            <v>ANUPPUR TPP2</v>
          </cell>
          <cell r="B75" t="str">
            <v>ANUPPUR TPP</v>
          </cell>
          <cell r="C75">
            <v>600</v>
          </cell>
          <cell r="D75" t="str">
            <v>RAIL</v>
          </cell>
          <cell r="E75">
            <v>0.75494842486757741</v>
          </cell>
          <cell r="F75">
            <v>23.066330000000001</v>
          </cell>
          <cell r="G75">
            <v>81.785914599999998</v>
          </cell>
          <cell r="H75">
            <v>0</v>
          </cell>
          <cell r="I75">
            <v>1.1118673613556807E-2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0.98888132638644322</v>
          </cell>
          <cell r="O75">
            <v>0</v>
          </cell>
          <cell r="P75" t="e">
            <v>#DIV/0!</v>
          </cell>
          <cell r="Q75">
            <v>4143.211213224432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>
            <v>4225.3573362362949</v>
          </cell>
          <cell r="W75" t="e">
            <v>#DIV/0!</v>
          </cell>
          <cell r="X75"/>
          <cell r="Y75">
            <v>17.879474277403656</v>
          </cell>
          <cell r="Z75"/>
          <cell r="AA75"/>
          <cell r="AB75"/>
          <cell r="AC75"/>
          <cell r="AD75">
            <v>1590.1787257225965</v>
          </cell>
          <cell r="AE75"/>
          <cell r="AF75">
            <v>1608.0582000000002</v>
          </cell>
          <cell r="AG75">
            <v>2.9234423533710946E-3</v>
          </cell>
          <cell r="AH75">
            <v>1618.6496615019187</v>
          </cell>
          <cell r="AI75">
            <v>587.29669420000005</v>
          </cell>
          <cell r="AJ75">
            <v>530.45381689999999</v>
          </cell>
          <cell r="AK75">
            <v>698.85595690000002</v>
          </cell>
          <cell r="AL75">
            <v>463.8345587</v>
          </cell>
          <cell r="AM75">
            <v>272.29747989999998</v>
          </cell>
          <cell r="AN75">
            <v>1837.376931</v>
          </cell>
          <cell r="AO75">
            <v>154.57455179999999</v>
          </cell>
          <cell r="AP75">
            <v>437.4011926</v>
          </cell>
          <cell r="AQ75">
            <v>0</v>
          </cell>
          <cell r="AR75">
            <v>18.487908111149988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723.1313364960032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739.45116349739362</v>
          </cell>
          <cell r="BH75">
            <v>2358.1008249993124</v>
          </cell>
          <cell r="BI75">
            <v>4224.4439803059058</v>
          </cell>
          <cell r="BJ75">
            <v>0.55820383368619186</v>
          </cell>
          <cell r="BK75">
            <v>0.38316277101743151</v>
          </cell>
          <cell r="BL75">
            <v>0.17504106266876038</v>
          </cell>
        </row>
        <row r="76">
          <cell r="A76" t="str">
            <v>RAGHUNATHPUR TPP2</v>
          </cell>
          <cell r="B76" t="str">
            <v>RAGHUNATHPUR TPP</v>
          </cell>
          <cell r="C76">
            <v>600</v>
          </cell>
          <cell r="D76" t="str">
            <v>RAIL</v>
          </cell>
          <cell r="E76">
            <v>0.56849315068493156</v>
          </cell>
          <cell r="F76">
            <v>23.6219</v>
          </cell>
          <cell r="G76">
            <v>86.660700000000006</v>
          </cell>
          <cell r="H76">
            <v>0.39907781093723421</v>
          </cell>
          <cell r="I76">
            <v>0.34036387060867213</v>
          </cell>
          <cell r="J76">
            <v>0.26055831845409361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4201.5904533642997</v>
          </cell>
          <cell r="Q76">
            <v>4314.1765738230488</v>
          </cell>
          <cell r="R76">
            <v>6110.1723431978889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>
            <v>641.74034631566917</v>
          </cell>
          <cell r="Y76">
            <v>576.54132571786317</v>
          </cell>
          <cell r="Z76">
            <v>1081.8694052196111</v>
          </cell>
          <cell r="AA76"/>
          <cell r="AB76"/>
          <cell r="AC76"/>
          <cell r="AD76"/>
          <cell r="AE76"/>
          <cell r="AF76">
            <v>2300.1510772531433</v>
          </cell>
          <cell r="AG76">
            <v>0</v>
          </cell>
          <cell r="AH76">
            <v>2300.1510772531433</v>
          </cell>
          <cell r="AI76">
            <v>40.615475799999999</v>
          </cell>
          <cell r="AJ76">
            <v>114.792163</v>
          </cell>
          <cell r="AK76">
            <v>137.39866169999999</v>
          </cell>
          <cell r="AL76">
            <v>439.19409580000001</v>
          </cell>
          <cell r="AM76">
            <v>465.45499579999995</v>
          </cell>
          <cell r="AN76">
            <v>1385.108236</v>
          </cell>
          <cell r="AO76">
            <v>511.15584580000001</v>
          </cell>
          <cell r="AP76">
            <v>968.58375600000011</v>
          </cell>
          <cell r="AQ76">
            <v>154.70650418792823</v>
          </cell>
          <cell r="AR76">
            <v>206.39528968161633</v>
          </cell>
          <cell r="AS76">
            <v>177.46991851554151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538.57171238508613</v>
          </cell>
          <cell r="BH76">
            <v>2838.7227896382292</v>
          </cell>
          <cell r="BI76">
            <v>4737.2075889474336</v>
          </cell>
          <cell r="BJ76">
            <v>0.59923968632098068</v>
          </cell>
          <cell r="BK76">
            <v>0.48554998573837399</v>
          </cell>
          <cell r="BL76">
            <v>0.11368970058260675</v>
          </cell>
        </row>
        <row r="77">
          <cell r="A77" t="str">
            <v>KAKATIYA TPS2</v>
          </cell>
          <cell r="B77" t="str">
            <v>KAKATIYA TPS</v>
          </cell>
          <cell r="C77">
            <v>600</v>
          </cell>
          <cell r="D77" t="str">
            <v>PITHEAD</v>
          </cell>
          <cell r="E77" t="str">
            <v/>
          </cell>
          <cell r="F77">
            <v>18.384166666666665</v>
          </cell>
          <cell r="G77">
            <v>79.828333333333333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4279.0292548546358</v>
          </cell>
          <cell r="X77"/>
          <cell r="Y77"/>
          <cell r="Z77"/>
          <cell r="AA77"/>
          <cell r="AB77"/>
          <cell r="AC77"/>
          <cell r="AD77"/>
          <cell r="AE77">
            <v>1608.0582000000002</v>
          </cell>
          <cell r="AF77">
            <v>1608.0582000000002</v>
          </cell>
          <cell r="AG77">
            <v>0</v>
          </cell>
          <cell r="AH77">
            <v>1608.0582000000002</v>
          </cell>
          <cell r="AI77">
            <v>1141.969012</v>
          </cell>
          <cell r="AJ77">
            <v>1210.77324</v>
          </cell>
          <cell r="AK77">
            <v>1253.505631</v>
          </cell>
          <cell r="AL77">
            <v>819.23058160000005</v>
          </cell>
          <cell r="AM77">
            <v>953.70298409999998</v>
          </cell>
          <cell r="AN77">
            <v>2424.4857099999999</v>
          </cell>
          <cell r="AO77">
            <v>664.51178970000001</v>
          </cell>
          <cell r="AP77">
            <v>382.72670669999997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976.14009228055079</v>
          </cell>
          <cell r="BG77">
            <v>976.14009228055079</v>
          </cell>
          <cell r="BH77">
            <v>2584.198292280551</v>
          </cell>
          <cell r="BI77">
            <v>4279.0292548546358</v>
          </cell>
          <cell r="BJ77">
            <v>0.60392162295892959</v>
          </cell>
          <cell r="BK77">
            <v>0.37579976771031165</v>
          </cell>
          <cell r="BL77">
            <v>0.22812185524861794</v>
          </cell>
        </row>
        <row r="78">
          <cell r="A78" t="str">
            <v>ANPARA TPS6</v>
          </cell>
          <cell r="B78" t="str">
            <v>ANPARA TPS</v>
          </cell>
          <cell r="C78">
            <v>600</v>
          </cell>
          <cell r="D78" t="str">
            <v>PITHEAD</v>
          </cell>
          <cell r="E78" t="str">
            <v/>
          </cell>
          <cell r="F78">
            <v>24.203099999999999</v>
          </cell>
          <cell r="G78">
            <v>82.788300000000007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</v>
          </cell>
          <cell r="M78">
            <v>0</v>
          </cell>
          <cell r="N78">
            <v>0</v>
          </cell>
          <cell r="O78">
            <v>0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>
            <v>4489.130228333277</v>
          </cell>
          <cell r="U78" t="e">
            <v>#DIV/0!</v>
          </cell>
          <cell r="V78" t="e">
            <v>#DIV/0!</v>
          </cell>
          <cell r="W78" t="e">
            <v>#DIV/0!</v>
          </cell>
          <cell r="X78"/>
          <cell r="Y78"/>
          <cell r="Z78"/>
          <cell r="AA78"/>
          <cell r="AB78">
            <v>1693.8969600000003</v>
          </cell>
          <cell r="AC78"/>
          <cell r="AD78"/>
          <cell r="AE78"/>
          <cell r="AF78">
            <v>1693.8969600000003</v>
          </cell>
          <cell r="AG78">
            <v>0</v>
          </cell>
          <cell r="AH78">
            <v>1693.8969600000003</v>
          </cell>
          <cell r="AI78">
            <v>429.35465909999994</v>
          </cell>
          <cell r="AJ78">
            <v>428.11748570000003</v>
          </cell>
          <cell r="AK78">
            <v>529.52178949999995</v>
          </cell>
          <cell r="AL78">
            <v>528.51230740000017</v>
          </cell>
          <cell r="AM78">
            <v>7.4753393740000007</v>
          </cell>
          <cell r="AN78">
            <v>1635.767114</v>
          </cell>
          <cell r="AO78">
            <v>320.62651040000003</v>
          </cell>
          <cell r="AP78">
            <v>680.47493570000017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19.065767657767676</v>
          </cell>
          <cell r="BD78">
            <v>0</v>
          </cell>
          <cell r="BE78">
            <v>0</v>
          </cell>
          <cell r="BF78">
            <v>0</v>
          </cell>
          <cell r="BG78">
            <v>19.065767657767676</v>
          </cell>
          <cell r="BH78">
            <v>1712.962727657768</v>
          </cell>
          <cell r="BI78">
            <v>4489.130228333277</v>
          </cell>
          <cell r="BJ78">
            <v>0.38158009247456304</v>
          </cell>
          <cell r="BK78">
            <v>0.37733299633610984</v>
          </cell>
          <cell r="BL78">
            <v>4.247096138453174E-3</v>
          </cell>
        </row>
        <row r="79">
          <cell r="A79" t="str">
            <v>KALISINDH TPS2</v>
          </cell>
          <cell r="B79" t="str">
            <v>KALISINDH TPS</v>
          </cell>
          <cell r="C79">
            <v>600</v>
          </cell>
          <cell r="D79"/>
          <cell r="E79" t="str">
            <v/>
          </cell>
          <cell r="F79">
            <v>24.5325129</v>
          </cell>
          <cell r="G79">
            <v>76.100352999999998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1</v>
          </cell>
          <cell r="O79">
            <v>0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>
            <v>4738.2241258517897</v>
          </cell>
          <cell r="W79" t="e">
            <v>#DIV/0!</v>
          </cell>
          <cell r="X79"/>
          <cell r="Y79"/>
          <cell r="Z79"/>
          <cell r="AA79"/>
          <cell r="AB79"/>
          <cell r="AC79"/>
          <cell r="AD79">
            <v>1838.2056</v>
          </cell>
          <cell r="AE79"/>
          <cell r="AF79">
            <v>1838.2056</v>
          </cell>
          <cell r="AG79">
            <v>0</v>
          </cell>
          <cell r="AH79">
            <v>1838.2056</v>
          </cell>
          <cell r="AI79">
            <v>1237.527163</v>
          </cell>
          <cell r="AJ79">
            <v>1213.2433729999998</v>
          </cell>
          <cell r="AK79">
            <v>1332.7097839999999</v>
          </cell>
          <cell r="AL79">
            <v>1154.428829</v>
          </cell>
          <cell r="AM79">
            <v>844.80966650000005</v>
          </cell>
          <cell r="AN79">
            <v>2384.9809439999999</v>
          </cell>
          <cell r="AO79">
            <v>867.91960779999999</v>
          </cell>
          <cell r="AP79">
            <v>584.93574509999996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2243.136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2243.136</v>
          </cell>
          <cell r="BH79">
            <v>4081.3415999999997</v>
          </cell>
          <cell r="BI79">
            <v>4738.2241258517897</v>
          </cell>
          <cell r="BJ79">
            <v>0.86136524815957238</v>
          </cell>
          <cell r="BK79">
            <v>0.387952437701445</v>
          </cell>
          <cell r="BL79">
            <v>0.47341281045812744</v>
          </cell>
        </row>
        <row r="80">
          <cell r="A80" t="str">
            <v>BARADARHA TPS2</v>
          </cell>
          <cell r="B80" t="str">
            <v>BARADARHA TPS</v>
          </cell>
          <cell r="C80">
            <v>600</v>
          </cell>
          <cell r="D80" t="str">
            <v>RAIL</v>
          </cell>
          <cell r="E80" t="str">
            <v/>
          </cell>
          <cell r="F80">
            <v>21.9114358</v>
          </cell>
          <cell r="G80">
            <v>83.188862799999995</v>
          </cell>
          <cell r="H80">
            <v>1.5153912965608286E-2</v>
          </cell>
          <cell r="I80">
            <v>4.6201033822171604E-2</v>
          </cell>
          <cell r="J80">
            <v>5.4015594503937035E-3</v>
          </cell>
          <cell r="K80">
            <v>0.21760383499186914</v>
          </cell>
          <cell r="L80">
            <v>0</v>
          </cell>
          <cell r="M80">
            <v>0</v>
          </cell>
          <cell r="N80">
            <v>0.71563965876995717</v>
          </cell>
          <cell r="O80">
            <v>0</v>
          </cell>
          <cell r="P80">
            <v>4186.7738435880965</v>
          </cell>
          <cell r="Q80">
            <v>4189.2960094219125</v>
          </cell>
          <cell r="R80">
            <v>6250</v>
          </cell>
          <cell r="S80">
            <v>3726.208886061328</v>
          </cell>
          <cell r="T80" t="e">
            <v>#DIV/0!</v>
          </cell>
          <cell r="U80" t="e">
            <v>#DIV/0!</v>
          </cell>
          <cell r="V80">
            <v>4159.7395516284232</v>
          </cell>
          <cell r="W80" t="e">
            <v>#DIV/0!</v>
          </cell>
          <cell r="X80">
            <v>24.368374006432724</v>
          </cell>
          <cell r="Y80">
            <v>74.293951286220391</v>
          </cell>
          <cell r="Z80">
            <v>22.427923025168703</v>
          </cell>
          <cell r="AA80">
            <v>331.24078784317544</v>
          </cell>
          <cell r="AB80"/>
          <cell r="AC80"/>
          <cell r="AD80">
            <v>1150.7902215302317</v>
          </cell>
          <cell r="AE80"/>
          <cell r="AF80">
            <v>1603.1212576912289</v>
          </cell>
          <cell r="AG80">
            <v>0</v>
          </cell>
          <cell r="AH80">
            <v>1603.1212576912289</v>
          </cell>
          <cell r="AI80">
            <v>484.42723160000003</v>
          </cell>
          <cell r="AJ80">
            <v>427.58435430000003</v>
          </cell>
          <cell r="AK80">
            <v>595.9864943</v>
          </cell>
          <cell r="AL80">
            <v>224.40091450000003</v>
          </cell>
          <cell r="AM80">
            <v>349.18276199999997</v>
          </cell>
          <cell r="AN80">
            <v>1814.167706</v>
          </cell>
          <cell r="AO80">
            <v>104.027694</v>
          </cell>
          <cell r="AP80">
            <v>508.39128490000002</v>
          </cell>
          <cell r="AQ80">
            <v>21.888645273609857</v>
          </cell>
          <cell r="AR80">
            <v>66.733789675488765</v>
          </cell>
          <cell r="AS80">
            <v>8.9816050229256419</v>
          </cell>
          <cell r="AT80">
            <v>209.51985252192119</v>
          </cell>
          <cell r="AU80">
            <v>0</v>
          </cell>
          <cell r="AV80">
            <v>0</v>
          </cell>
          <cell r="AW80">
            <v>433.96102651946694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741.08491901341245</v>
          </cell>
          <cell r="BH80">
            <v>2344.2061767046416</v>
          </cell>
          <cell r="BI80">
            <v>4078.467496506757</v>
          </cell>
          <cell r="BJ80">
            <v>0.57477623119774146</v>
          </cell>
          <cell r="BK80">
            <v>0.39306951914274574</v>
          </cell>
          <cell r="BL80">
            <v>0.18170671205499569</v>
          </cell>
        </row>
        <row r="81">
          <cell r="A81" t="str">
            <v>ANUPPUR TPP1</v>
          </cell>
          <cell r="B81" t="str">
            <v>ANUPPUR TPP</v>
          </cell>
          <cell r="C81">
            <v>600</v>
          </cell>
          <cell r="D81" t="str">
            <v>RAIL</v>
          </cell>
          <cell r="E81">
            <v>0.75494842486757741</v>
          </cell>
          <cell r="F81">
            <v>23.066330000000001</v>
          </cell>
          <cell r="G81">
            <v>81.785914599999998</v>
          </cell>
          <cell r="H81">
            <v>0</v>
          </cell>
          <cell r="I81">
            <v>1.1118673613556807E-2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0.98888132638644322</v>
          </cell>
          <cell r="O81">
            <v>0</v>
          </cell>
          <cell r="P81" t="e">
            <v>#DIV/0!</v>
          </cell>
          <cell r="Q81">
            <v>4143.211213224432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>
            <v>4225.3573362362949</v>
          </cell>
          <cell r="W81" t="e">
            <v>#DIV/0!</v>
          </cell>
          <cell r="X81"/>
          <cell r="Y81">
            <v>17.879474277403656</v>
          </cell>
          <cell r="Z81"/>
          <cell r="AA81"/>
          <cell r="AB81"/>
          <cell r="AC81"/>
          <cell r="AD81">
            <v>1590.1787257225965</v>
          </cell>
          <cell r="AE81"/>
          <cell r="AF81">
            <v>1608.0582000000002</v>
          </cell>
          <cell r="AG81">
            <v>2.9234423533710946E-3</v>
          </cell>
          <cell r="AH81">
            <v>1618.6496615019187</v>
          </cell>
          <cell r="AI81">
            <v>587.29669420000005</v>
          </cell>
          <cell r="AJ81">
            <v>530.45381689999999</v>
          </cell>
          <cell r="AK81">
            <v>698.85595690000002</v>
          </cell>
          <cell r="AL81">
            <v>463.8345587</v>
          </cell>
          <cell r="AM81">
            <v>272.29747989999998</v>
          </cell>
          <cell r="AN81">
            <v>1837.376931</v>
          </cell>
          <cell r="AO81">
            <v>154.57455179999999</v>
          </cell>
          <cell r="AP81">
            <v>437.4011926</v>
          </cell>
          <cell r="AQ81">
            <v>0</v>
          </cell>
          <cell r="AR81">
            <v>18.487908111149988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723.1313364960032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739.45116349739362</v>
          </cell>
          <cell r="BH81">
            <v>2358.1008249993124</v>
          </cell>
          <cell r="BI81">
            <v>4224.4439803059058</v>
          </cell>
          <cell r="BJ81">
            <v>0.55820383368619186</v>
          </cell>
          <cell r="BK81">
            <v>0.38316277101743151</v>
          </cell>
          <cell r="BL81">
            <v>0.17504106266876038</v>
          </cell>
        </row>
        <row r="82">
          <cell r="A82" t="str">
            <v>DERANG TPP2</v>
          </cell>
          <cell r="B82" t="str">
            <v>DERANG TPP</v>
          </cell>
          <cell r="C82">
            <v>600</v>
          </cell>
          <cell r="D82" t="str">
            <v>RAIL</v>
          </cell>
          <cell r="E82" t="str">
            <v/>
          </cell>
          <cell r="F82">
            <v>21.126395500000001</v>
          </cell>
          <cell r="G82">
            <v>84.987558000000007</v>
          </cell>
          <cell r="H82">
            <v>0</v>
          </cell>
          <cell r="I82">
            <v>0</v>
          </cell>
          <cell r="J82">
            <v>0</v>
          </cell>
          <cell r="K82">
            <v>0.99985898692858688</v>
          </cell>
          <cell r="L82">
            <v>0</v>
          </cell>
          <cell r="M82">
            <v>0</v>
          </cell>
          <cell r="N82">
            <v>1.4101307141308833E-4</v>
          </cell>
          <cell r="O82">
            <v>0</v>
          </cell>
          <cell r="P82" t="e">
            <v>#DIV/0!</v>
          </cell>
          <cell r="Q82" t="e">
            <v>#DIV/0!</v>
          </cell>
          <cell r="R82" t="e">
            <v>#DIV/0!</v>
          </cell>
          <cell r="S82">
            <v>3527.7165864693829</v>
          </cell>
          <cell r="T82" t="e">
            <v>#DIV/0!</v>
          </cell>
          <cell r="U82" t="e">
            <v>#DIV/0!</v>
          </cell>
          <cell r="V82">
            <v>4150</v>
          </cell>
          <cell r="W82" t="e">
            <v>#DIV/0!</v>
          </cell>
          <cell r="X82"/>
          <cell r="Y82"/>
          <cell r="Z82"/>
          <cell r="AA82">
            <v>1436.178131548595</v>
          </cell>
          <cell r="AB82"/>
          <cell r="AC82"/>
          <cell r="AD82">
            <v>0.22675722579300231</v>
          </cell>
          <cell r="AE82"/>
          <cell r="AF82">
            <v>1436.4048887743882</v>
          </cell>
          <cell r="AG82">
            <v>1.0423923581497694E-3</v>
          </cell>
          <cell r="AH82">
            <v>1440.3603457206023</v>
          </cell>
          <cell r="AI82">
            <v>437.80240428870002</v>
          </cell>
          <cell r="AJ82">
            <v>420.50260611869999</v>
          </cell>
          <cell r="AK82">
            <v>527.47200821470005</v>
          </cell>
          <cell r="AL82">
            <v>56.961203093099996</v>
          </cell>
          <cell r="AM82">
            <v>568.89520998040007</v>
          </cell>
          <cell r="AN82">
            <v>1772.0918402698001</v>
          </cell>
          <cell r="AO82">
            <v>355.35733956939998</v>
          </cell>
          <cell r="AP82">
            <v>694.84553789760002</v>
          </cell>
          <cell r="AQ82">
            <v>0</v>
          </cell>
          <cell r="AR82">
            <v>0</v>
          </cell>
          <cell r="AS82">
            <v>0</v>
          </cell>
          <cell r="AT82">
            <v>387.60533487273602</v>
          </cell>
          <cell r="AU82">
            <v>0</v>
          </cell>
          <cell r="AV82">
            <v>0</v>
          </cell>
          <cell r="AW82">
            <v>0.18081542095014663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387.38192497402372</v>
          </cell>
          <cell r="BH82">
            <v>1827.7422706946259</v>
          </cell>
          <cell r="BI82">
            <v>3527.8043365648145</v>
          </cell>
          <cell r="BJ82">
            <v>0.518096270745668</v>
          </cell>
          <cell r="BK82">
            <v>0.40828804783520034</v>
          </cell>
          <cell r="BL82">
            <v>0.10980822291046768</v>
          </cell>
        </row>
        <row r="83">
          <cell r="A83" t="str">
            <v>OP JINDAL TPS24</v>
          </cell>
          <cell r="B83" t="str">
            <v>OP JINDAL TPS2</v>
          </cell>
          <cell r="C83">
            <v>600</v>
          </cell>
          <cell r="D83"/>
          <cell r="E83" t="str">
            <v/>
          </cell>
          <cell r="F83">
            <v>22.104700000000001</v>
          </cell>
          <cell r="G83">
            <v>83.4512</v>
          </cell>
          <cell r="H83">
            <v>0</v>
          </cell>
          <cell r="I83">
            <v>0</v>
          </cell>
          <cell r="J83">
            <v>0</v>
          </cell>
          <cell r="K83">
            <v>0.49314336308845741</v>
          </cell>
          <cell r="L83">
            <v>0</v>
          </cell>
          <cell r="M83">
            <v>0</v>
          </cell>
          <cell r="N83">
            <v>0.50685663691154259</v>
          </cell>
          <cell r="O83">
            <v>0</v>
          </cell>
          <cell r="P83" t="e">
            <v>#DIV/0!</v>
          </cell>
          <cell r="Q83" t="e">
            <v>#DIV/0!</v>
          </cell>
          <cell r="R83" t="e">
            <v>#DIV/0!</v>
          </cell>
          <cell r="S83">
            <v>3559.4790535822317</v>
          </cell>
          <cell r="T83" t="e">
            <v>#DIV/0!</v>
          </cell>
          <cell r="U83" t="e">
            <v>#DIV/0!</v>
          </cell>
          <cell r="V83">
            <v>4249.7288412904218</v>
          </cell>
          <cell r="W83" t="e">
            <v>#DIV/0!</v>
          </cell>
          <cell r="X83"/>
          <cell r="Y83"/>
          <cell r="Z83"/>
          <cell r="AA83">
            <v>708.34159921048547</v>
          </cell>
          <cell r="AB83"/>
          <cell r="AC83"/>
          <cell r="AD83">
            <v>815.05497121002884</v>
          </cell>
          <cell r="AE83"/>
          <cell r="AF83">
            <v>1523.3965704205143</v>
          </cell>
          <cell r="AG83">
            <v>8.5516716266012364E-3</v>
          </cell>
          <cell r="AH83">
            <v>1555.1027774719387</v>
          </cell>
          <cell r="AI83">
            <v>446.18547899999999</v>
          </cell>
          <cell r="AJ83">
            <v>389.34260169999999</v>
          </cell>
          <cell r="AK83">
            <v>557.74474169999996</v>
          </cell>
          <cell r="AL83">
            <v>232.19816829999999</v>
          </cell>
          <cell r="AM83">
            <v>322.70171310000001</v>
          </cell>
          <cell r="AN83">
            <v>1775.9259529999999</v>
          </cell>
          <cell r="AO83">
            <v>134.87876560000001</v>
          </cell>
          <cell r="AP83">
            <v>556.9670685000001</v>
          </cell>
          <cell r="AQ83">
            <v>0</v>
          </cell>
          <cell r="AR83">
            <v>0</v>
          </cell>
          <cell r="AS83">
            <v>0</v>
          </cell>
          <cell r="AT83">
            <v>474.82308714972123</v>
          </cell>
          <cell r="AU83">
            <v>0</v>
          </cell>
          <cell r="AV83">
            <v>0</v>
          </cell>
          <cell r="AW83">
            <v>345.22715139336844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813.03743818575322</v>
          </cell>
          <cell r="BH83">
            <v>2368.1402156576919</v>
          </cell>
          <cell r="BI83">
            <v>3909.3367396089129</v>
          </cell>
          <cell r="BJ83">
            <v>0.60576521629973445</v>
          </cell>
          <cell r="BK83">
            <v>0.39779197369104358</v>
          </cell>
          <cell r="BL83">
            <v>0.20797324260869093</v>
          </cell>
        </row>
        <row r="84">
          <cell r="A84" t="str">
            <v>OP JINDAL TPS23</v>
          </cell>
          <cell r="B84" t="str">
            <v>OP JINDAL TPS2</v>
          </cell>
          <cell r="C84">
            <v>600</v>
          </cell>
          <cell r="D84"/>
          <cell r="E84" t="str">
            <v/>
          </cell>
          <cell r="F84">
            <v>22.104700000000001</v>
          </cell>
          <cell r="G84">
            <v>83.4512</v>
          </cell>
          <cell r="H84">
            <v>0</v>
          </cell>
          <cell r="I84">
            <v>0</v>
          </cell>
          <cell r="J84">
            <v>0</v>
          </cell>
          <cell r="K84">
            <v>0.49314336308845741</v>
          </cell>
          <cell r="L84">
            <v>0</v>
          </cell>
          <cell r="M84">
            <v>0</v>
          </cell>
          <cell r="N84">
            <v>0.50685663691154259</v>
          </cell>
          <cell r="O84">
            <v>0</v>
          </cell>
          <cell r="P84" t="e">
            <v>#DIV/0!</v>
          </cell>
          <cell r="Q84" t="e">
            <v>#DIV/0!</v>
          </cell>
          <cell r="R84" t="e">
            <v>#DIV/0!</v>
          </cell>
          <cell r="S84">
            <v>3559.4790535822317</v>
          </cell>
          <cell r="T84" t="e">
            <v>#DIV/0!</v>
          </cell>
          <cell r="U84" t="e">
            <v>#DIV/0!</v>
          </cell>
          <cell r="V84">
            <v>4249.7288412904218</v>
          </cell>
          <cell r="W84" t="e">
            <v>#DIV/0!</v>
          </cell>
          <cell r="X84"/>
          <cell r="Y84"/>
          <cell r="Z84"/>
          <cell r="AA84">
            <v>708.34159921048547</v>
          </cell>
          <cell r="AB84"/>
          <cell r="AC84"/>
          <cell r="AD84">
            <v>815.05497121002884</v>
          </cell>
          <cell r="AE84"/>
          <cell r="AF84">
            <v>1523.3965704205143</v>
          </cell>
          <cell r="AG84">
            <v>8.5516716266012364E-3</v>
          </cell>
          <cell r="AH84">
            <v>1555.1027774719387</v>
          </cell>
          <cell r="AI84">
            <v>446.18547899999999</v>
          </cell>
          <cell r="AJ84">
            <v>389.34260169999999</v>
          </cell>
          <cell r="AK84">
            <v>557.74474169999996</v>
          </cell>
          <cell r="AL84">
            <v>232.19816829999999</v>
          </cell>
          <cell r="AM84">
            <v>322.70171310000001</v>
          </cell>
          <cell r="AN84">
            <v>1775.9259529999999</v>
          </cell>
          <cell r="AO84">
            <v>134.87876560000001</v>
          </cell>
          <cell r="AP84">
            <v>556.9670685000001</v>
          </cell>
          <cell r="AQ84">
            <v>0</v>
          </cell>
          <cell r="AR84">
            <v>0</v>
          </cell>
          <cell r="AS84">
            <v>0</v>
          </cell>
          <cell r="AT84">
            <v>474.82308714972123</v>
          </cell>
          <cell r="AU84">
            <v>0</v>
          </cell>
          <cell r="AV84">
            <v>0</v>
          </cell>
          <cell r="AW84">
            <v>345.22715139336844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813.03743818575322</v>
          </cell>
          <cell r="BH84">
            <v>2368.1402156576919</v>
          </cell>
          <cell r="BI84">
            <v>3909.3367396089129</v>
          </cell>
          <cell r="BJ84">
            <v>0.60576521629973445</v>
          </cell>
          <cell r="BK84">
            <v>0.39779197369104358</v>
          </cell>
          <cell r="BL84">
            <v>0.20797324260869093</v>
          </cell>
        </row>
        <row r="85">
          <cell r="A85" t="str">
            <v>SHREE SINGAJI TPP2</v>
          </cell>
          <cell r="B85" t="str">
            <v>SHREE SINGAJI TPP</v>
          </cell>
          <cell r="C85">
            <v>600</v>
          </cell>
          <cell r="D85" t="str">
            <v>RAIL</v>
          </cell>
          <cell r="E85"/>
          <cell r="F85">
            <v>21.724111799999999</v>
          </cell>
          <cell r="G85">
            <v>76.706028000000003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0.10213115586329155</v>
          </cell>
          <cell r="M85">
            <v>0</v>
          </cell>
          <cell r="N85">
            <v>0.58666449459365078</v>
          </cell>
          <cell r="O85">
            <v>0.31120434954305776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>
            <v>4487.7104114131726</v>
          </cell>
          <cell r="U85" t="e">
            <v>#DIV/0!</v>
          </cell>
          <cell r="V85">
            <v>4221.9388738430662</v>
          </cell>
          <cell r="W85">
            <v>4388.4525109227816</v>
          </cell>
          <cell r="X85"/>
          <cell r="Y85"/>
          <cell r="Z85"/>
          <cell r="AA85"/>
          <cell r="AB85">
            <v>172.99965443811575</v>
          </cell>
          <cell r="AC85"/>
          <cell r="AD85">
            <v>943.39065118017595</v>
          </cell>
          <cell r="AE85">
            <v>527.148101629763</v>
          </cell>
          <cell r="AF85">
            <v>1643.5384072480547</v>
          </cell>
          <cell r="AG85">
            <v>2.4167248138043805E-3</v>
          </cell>
          <cell r="AH85">
            <v>1652.2083146978284</v>
          </cell>
          <cell r="AI85">
            <v>1208.4969210000002</v>
          </cell>
          <cell r="AJ85">
            <v>1151.654043</v>
          </cell>
          <cell r="AK85">
            <v>1317.986359</v>
          </cell>
          <cell r="AL85">
            <v>956.3679449</v>
          </cell>
          <cell r="AM85">
            <v>796.5682041</v>
          </cell>
          <cell r="AN85">
            <v>2386.3452189999998</v>
          </cell>
          <cell r="AO85">
            <v>746.9119950999999</v>
          </cell>
          <cell r="AP85">
            <v>302.09813789999998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215.98104481264892</v>
          </cell>
          <cell r="AV85">
            <v>0</v>
          </cell>
          <cell r="AW85">
            <v>1164.7284876965587</v>
          </cell>
          <cell r="AX85">
            <v>348.54015776643746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1725.0705696398923</v>
          </cell>
          <cell r="BH85">
            <v>3377.2788843377207</v>
          </cell>
          <cell r="BI85">
            <v>4300.9021962880979</v>
          </cell>
          <cell r="BJ85">
            <v>0.78524893852561628</v>
          </cell>
          <cell r="BK85">
            <v>0.38415389127513061</v>
          </cell>
          <cell r="BL85">
            <v>0.40109504725048567</v>
          </cell>
        </row>
        <row r="86">
          <cell r="A86" t="str">
            <v>RAGHUNATHPUR TPP1</v>
          </cell>
          <cell r="B86" t="str">
            <v>RAGHUNATHPUR TPP</v>
          </cell>
          <cell r="C86">
            <v>600</v>
          </cell>
          <cell r="D86" t="str">
            <v>RAIL</v>
          </cell>
          <cell r="E86">
            <v>0.56849315068493156</v>
          </cell>
          <cell r="F86">
            <v>23.6219</v>
          </cell>
          <cell r="G86">
            <v>86.660700000000006</v>
          </cell>
          <cell r="H86">
            <v>0.39907781093723421</v>
          </cell>
          <cell r="I86">
            <v>0.34036387060867213</v>
          </cell>
          <cell r="J86">
            <v>0.26055831845409361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4201.5904533642997</v>
          </cell>
          <cell r="Q86">
            <v>4314.1765738230488</v>
          </cell>
          <cell r="R86">
            <v>6110.1723431978889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>
            <v>641.74034631566917</v>
          </cell>
          <cell r="Y86">
            <v>576.54132571786317</v>
          </cell>
          <cell r="Z86">
            <v>1081.8694052196111</v>
          </cell>
          <cell r="AA86"/>
          <cell r="AB86"/>
          <cell r="AC86"/>
          <cell r="AD86"/>
          <cell r="AE86"/>
          <cell r="AF86">
            <v>2300.1510772531433</v>
          </cell>
          <cell r="AG86">
            <v>0</v>
          </cell>
          <cell r="AH86">
            <v>2300.1510772531433</v>
          </cell>
          <cell r="AI86">
            <v>40.615475799999999</v>
          </cell>
          <cell r="AJ86">
            <v>114.792163</v>
          </cell>
          <cell r="AK86">
            <v>137.39866169999999</v>
          </cell>
          <cell r="AL86">
            <v>439.19409580000001</v>
          </cell>
          <cell r="AM86">
            <v>465.45499579999995</v>
          </cell>
          <cell r="AN86">
            <v>1385.108236</v>
          </cell>
          <cell r="AO86">
            <v>511.15584580000001</v>
          </cell>
          <cell r="AP86">
            <v>968.58375600000011</v>
          </cell>
          <cell r="AQ86">
            <v>154.70650418792823</v>
          </cell>
          <cell r="AR86">
            <v>206.39528968161633</v>
          </cell>
          <cell r="AS86">
            <v>177.46991851554151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538.57171238508613</v>
          </cell>
          <cell r="BH86">
            <v>2838.7227896382292</v>
          </cell>
          <cell r="BI86">
            <v>4737.2075889474336</v>
          </cell>
          <cell r="BJ86">
            <v>0.59923968632098068</v>
          </cell>
          <cell r="BK86">
            <v>0.48554998573837399</v>
          </cell>
          <cell r="BL86">
            <v>0.11368970058260675</v>
          </cell>
        </row>
        <row r="87">
          <cell r="A87" t="str">
            <v>KALISINDH TPS1</v>
          </cell>
          <cell r="B87" t="str">
            <v>KALISINDH TPS</v>
          </cell>
          <cell r="C87">
            <v>600</v>
          </cell>
          <cell r="D87"/>
          <cell r="E87">
            <v>0.91877007801743915</v>
          </cell>
          <cell r="F87">
            <v>24.5325129</v>
          </cell>
          <cell r="G87">
            <v>76.100352999999998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1</v>
          </cell>
          <cell r="O87">
            <v>0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>
            <v>4738.2241258517897</v>
          </cell>
          <cell r="W87" t="e">
            <v>#DIV/0!</v>
          </cell>
          <cell r="X87"/>
          <cell r="Y87"/>
          <cell r="Z87"/>
          <cell r="AA87"/>
          <cell r="AB87"/>
          <cell r="AC87"/>
          <cell r="AD87">
            <v>1838.2056</v>
          </cell>
          <cell r="AE87"/>
          <cell r="AF87">
            <v>1838.2056</v>
          </cell>
          <cell r="AG87">
            <v>0</v>
          </cell>
          <cell r="AH87">
            <v>1838.2056</v>
          </cell>
          <cell r="AI87">
            <v>1237.527163</v>
          </cell>
          <cell r="AJ87">
            <v>1213.2433729999998</v>
          </cell>
          <cell r="AK87">
            <v>1332.7097839999999</v>
          </cell>
          <cell r="AL87">
            <v>1154.428829</v>
          </cell>
          <cell r="AM87">
            <v>844.80966650000005</v>
          </cell>
          <cell r="AN87">
            <v>2384.9809439999999</v>
          </cell>
          <cell r="AO87">
            <v>867.91960779999999</v>
          </cell>
          <cell r="AP87">
            <v>584.93574509999996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2243.136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2243.136</v>
          </cell>
          <cell r="BH87">
            <v>4081.3415999999997</v>
          </cell>
          <cell r="BI87">
            <v>4738.2241258517897</v>
          </cell>
          <cell r="BJ87">
            <v>0.86136524815957238</v>
          </cell>
          <cell r="BK87">
            <v>0.387952437701445</v>
          </cell>
          <cell r="BL87">
            <v>0.47341281045812744</v>
          </cell>
        </row>
        <row r="88">
          <cell r="A88" t="str">
            <v>DERANG TPP1</v>
          </cell>
          <cell r="B88" t="str">
            <v>DERANG TPP</v>
          </cell>
          <cell r="C88">
            <v>600</v>
          </cell>
          <cell r="D88" t="str">
            <v>RAIL</v>
          </cell>
          <cell r="E88" t="str">
            <v/>
          </cell>
          <cell r="F88">
            <v>21.126395500000001</v>
          </cell>
          <cell r="G88">
            <v>84.987558000000007</v>
          </cell>
          <cell r="H88">
            <v>0</v>
          </cell>
          <cell r="I88">
            <v>0</v>
          </cell>
          <cell r="J88">
            <v>0</v>
          </cell>
          <cell r="K88">
            <v>0.99985898692858688</v>
          </cell>
          <cell r="L88">
            <v>0</v>
          </cell>
          <cell r="M88">
            <v>0</v>
          </cell>
          <cell r="N88">
            <v>1.4101307141308833E-4</v>
          </cell>
          <cell r="O88">
            <v>0</v>
          </cell>
          <cell r="P88" t="e">
            <v>#DIV/0!</v>
          </cell>
          <cell r="Q88" t="e">
            <v>#DIV/0!</v>
          </cell>
          <cell r="R88" t="e">
            <v>#DIV/0!</v>
          </cell>
          <cell r="S88">
            <v>3527.7165864693829</v>
          </cell>
          <cell r="T88" t="e">
            <v>#DIV/0!</v>
          </cell>
          <cell r="U88" t="e">
            <v>#DIV/0!</v>
          </cell>
          <cell r="V88">
            <v>4150</v>
          </cell>
          <cell r="W88" t="e">
            <v>#DIV/0!</v>
          </cell>
          <cell r="X88"/>
          <cell r="Y88"/>
          <cell r="Z88"/>
          <cell r="AA88">
            <v>1436.178131548595</v>
          </cell>
          <cell r="AB88"/>
          <cell r="AC88"/>
          <cell r="AD88">
            <v>0.22675722579300231</v>
          </cell>
          <cell r="AE88"/>
          <cell r="AF88">
            <v>1436.4048887743882</v>
          </cell>
          <cell r="AG88">
            <v>1.0423923581497694E-3</v>
          </cell>
          <cell r="AH88">
            <v>1440.3603457206023</v>
          </cell>
          <cell r="AI88">
            <v>437.80240428870002</v>
          </cell>
          <cell r="AJ88">
            <v>420.50260611869999</v>
          </cell>
          <cell r="AK88">
            <v>527.47200821470005</v>
          </cell>
          <cell r="AL88">
            <v>56.961203093099996</v>
          </cell>
          <cell r="AM88">
            <v>568.89520998040007</v>
          </cell>
          <cell r="AN88">
            <v>1772.0918402698001</v>
          </cell>
          <cell r="AO88">
            <v>355.35733956939998</v>
          </cell>
          <cell r="AP88">
            <v>694.84553789760002</v>
          </cell>
          <cell r="AQ88">
            <v>0</v>
          </cell>
          <cell r="AR88">
            <v>0</v>
          </cell>
          <cell r="AS88">
            <v>0</v>
          </cell>
          <cell r="AT88">
            <v>387.60533487273602</v>
          </cell>
          <cell r="AU88">
            <v>0</v>
          </cell>
          <cell r="AV88">
            <v>0</v>
          </cell>
          <cell r="AW88">
            <v>0.18081542095014663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387.38192497402372</v>
          </cell>
          <cell r="BH88">
            <v>1827.7422706946259</v>
          </cell>
          <cell r="BI88">
            <v>3527.8043365648145</v>
          </cell>
          <cell r="BJ88">
            <v>0.518096270745668</v>
          </cell>
          <cell r="BK88">
            <v>0.40828804783520034</v>
          </cell>
          <cell r="BL88">
            <v>0.10980822291046768</v>
          </cell>
        </row>
        <row r="89">
          <cell r="A89" t="str">
            <v>BARADARHA TPS1</v>
          </cell>
          <cell r="B89" t="str">
            <v>BARADARHA TPS</v>
          </cell>
          <cell r="C89">
            <v>600</v>
          </cell>
          <cell r="D89" t="str">
            <v>RAIL</v>
          </cell>
          <cell r="E89" t="str">
            <v/>
          </cell>
          <cell r="F89">
            <v>21.9114358</v>
          </cell>
          <cell r="G89">
            <v>83.188862799999995</v>
          </cell>
          <cell r="H89">
            <v>1.5153912965608286E-2</v>
          </cell>
          <cell r="I89">
            <v>4.6201033822171604E-2</v>
          </cell>
          <cell r="J89">
            <v>5.4015594503937035E-3</v>
          </cell>
          <cell r="K89">
            <v>0.21760383499186914</v>
          </cell>
          <cell r="L89">
            <v>0</v>
          </cell>
          <cell r="M89">
            <v>0</v>
          </cell>
          <cell r="N89">
            <v>0.71563965876995717</v>
          </cell>
          <cell r="O89">
            <v>0</v>
          </cell>
          <cell r="P89">
            <v>4186.7738435880965</v>
          </cell>
          <cell r="Q89">
            <v>4189.2960094219125</v>
          </cell>
          <cell r="R89">
            <v>6250</v>
          </cell>
          <cell r="S89">
            <v>3726.208886061328</v>
          </cell>
          <cell r="T89" t="e">
            <v>#DIV/0!</v>
          </cell>
          <cell r="U89" t="e">
            <v>#DIV/0!</v>
          </cell>
          <cell r="V89">
            <v>4159.7395516284232</v>
          </cell>
          <cell r="W89" t="e">
            <v>#DIV/0!</v>
          </cell>
          <cell r="X89">
            <v>24.368374006432724</v>
          </cell>
          <cell r="Y89">
            <v>74.293951286220391</v>
          </cell>
          <cell r="Z89">
            <v>22.427923025168703</v>
          </cell>
          <cell r="AA89">
            <v>331.24078784317544</v>
          </cell>
          <cell r="AB89"/>
          <cell r="AC89"/>
          <cell r="AD89">
            <v>1150.7902215302317</v>
          </cell>
          <cell r="AE89"/>
          <cell r="AF89">
            <v>1603.1212576912289</v>
          </cell>
          <cell r="AG89">
            <v>0</v>
          </cell>
          <cell r="AH89">
            <v>1603.1212576912289</v>
          </cell>
          <cell r="AI89">
            <v>484.42723160000003</v>
          </cell>
          <cell r="AJ89">
            <v>427.58435430000003</v>
          </cell>
          <cell r="AK89">
            <v>595.9864943</v>
          </cell>
          <cell r="AL89">
            <v>224.40091450000003</v>
          </cell>
          <cell r="AM89">
            <v>349.18276199999997</v>
          </cell>
          <cell r="AN89">
            <v>1814.167706</v>
          </cell>
          <cell r="AO89">
            <v>104.027694</v>
          </cell>
          <cell r="AP89">
            <v>508.39128490000002</v>
          </cell>
          <cell r="AQ89">
            <v>21.888645273609857</v>
          </cell>
          <cell r="AR89">
            <v>66.733789675488765</v>
          </cell>
          <cell r="AS89">
            <v>8.9816050229256419</v>
          </cell>
          <cell r="AT89">
            <v>209.51985252192119</v>
          </cell>
          <cell r="AU89">
            <v>0</v>
          </cell>
          <cell r="AV89">
            <v>0</v>
          </cell>
          <cell r="AW89">
            <v>433.96102651946694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741.08491901341245</v>
          </cell>
          <cell r="BH89">
            <v>2344.2061767046416</v>
          </cell>
          <cell r="BI89">
            <v>4078.467496506757</v>
          </cell>
          <cell r="BJ89">
            <v>0.57477623119774146</v>
          </cell>
          <cell r="BK89">
            <v>0.39306951914274574</v>
          </cell>
          <cell r="BL89">
            <v>0.18170671205499569</v>
          </cell>
        </row>
        <row r="90">
          <cell r="A90" t="str">
            <v>OP JINDAL TPS21</v>
          </cell>
          <cell r="B90" t="str">
            <v>OP JINDAL TPS2</v>
          </cell>
          <cell r="C90">
            <v>600</v>
          </cell>
          <cell r="D90"/>
          <cell r="E90" t="str">
            <v/>
          </cell>
          <cell r="F90">
            <v>22.104700000000001</v>
          </cell>
          <cell r="G90">
            <v>83.4512</v>
          </cell>
          <cell r="H90">
            <v>0</v>
          </cell>
          <cell r="I90">
            <v>0</v>
          </cell>
          <cell r="J90">
            <v>0</v>
          </cell>
          <cell r="K90">
            <v>0.49314336308845741</v>
          </cell>
          <cell r="L90">
            <v>0</v>
          </cell>
          <cell r="M90">
            <v>0</v>
          </cell>
          <cell r="N90">
            <v>0.50685663691154259</v>
          </cell>
          <cell r="O90">
            <v>0</v>
          </cell>
          <cell r="P90" t="e">
            <v>#DIV/0!</v>
          </cell>
          <cell r="Q90" t="e">
            <v>#DIV/0!</v>
          </cell>
          <cell r="R90" t="e">
            <v>#DIV/0!</v>
          </cell>
          <cell r="S90">
            <v>3559.4790535822317</v>
          </cell>
          <cell r="T90" t="e">
            <v>#DIV/0!</v>
          </cell>
          <cell r="U90" t="e">
            <v>#DIV/0!</v>
          </cell>
          <cell r="V90">
            <v>4249.7288412904218</v>
          </cell>
          <cell r="W90" t="e">
            <v>#DIV/0!</v>
          </cell>
          <cell r="X90"/>
          <cell r="Y90"/>
          <cell r="Z90"/>
          <cell r="AA90">
            <v>708.34159921048547</v>
          </cell>
          <cell r="AB90"/>
          <cell r="AC90"/>
          <cell r="AD90">
            <v>815.05497121002884</v>
          </cell>
          <cell r="AE90"/>
          <cell r="AF90">
            <v>1523.3965704205143</v>
          </cell>
          <cell r="AG90">
            <v>8.5516716266012364E-3</v>
          </cell>
          <cell r="AH90">
            <v>1555.1027774719387</v>
          </cell>
          <cell r="AI90">
            <v>446.18547899999999</v>
          </cell>
          <cell r="AJ90">
            <v>389.34260169999999</v>
          </cell>
          <cell r="AK90">
            <v>557.74474169999996</v>
          </cell>
          <cell r="AL90">
            <v>232.19816829999999</v>
          </cell>
          <cell r="AM90">
            <v>322.70171310000001</v>
          </cell>
          <cell r="AN90">
            <v>1775.9259529999999</v>
          </cell>
          <cell r="AO90">
            <v>134.87876560000001</v>
          </cell>
          <cell r="AP90">
            <v>556.9670685000001</v>
          </cell>
          <cell r="AQ90">
            <v>0</v>
          </cell>
          <cell r="AR90">
            <v>0</v>
          </cell>
          <cell r="AS90">
            <v>0</v>
          </cell>
          <cell r="AT90">
            <v>474.82308714972123</v>
          </cell>
          <cell r="AU90">
            <v>0</v>
          </cell>
          <cell r="AV90">
            <v>0</v>
          </cell>
          <cell r="AW90">
            <v>345.22715139336844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813.03743818575322</v>
          </cell>
          <cell r="BH90">
            <v>2368.1402156576919</v>
          </cell>
          <cell r="BI90">
            <v>3909.3367396089129</v>
          </cell>
          <cell r="BJ90">
            <v>0.60576521629973445</v>
          </cell>
          <cell r="BK90">
            <v>0.39779197369104358</v>
          </cell>
          <cell r="BL90">
            <v>0.20797324260869093</v>
          </cell>
        </row>
        <row r="91">
          <cell r="A91" t="str">
            <v>OP JINDAL TPS22</v>
          </cell>
          <cell r="B91" t="str">
            <v>OP JINDAL TPS2</v>
          </cell>
          <cell r="C91">
            <v>600</v>
          </cell>
          <cell r="D91"/>
          <cell r="E91" t="str">
            <v/>
          </cell>
          <cell r="F91">
            <v>22.104700000000001</v>
          </cell>
          <cell r="G91">
            <v>83.4512</v>
          </cell>
          <cell r="H91">
            <v>0</v>
          </cell>
          <cell r="I91">
            <v>0</v>
          </cell>
          <cell r="J91">
            <v>0</v>
          </cell>
          <cell r="K91">
            <v>0.49314336308845741</v>
          </cell>
          <cell r="L91">
            <v>0</v>
          </cell>
          <cell r="M91">
            <v>0</v>
          </cell>
          <cell r="N91">
            <v>0.50685663691154259</v>
          </cell>
          <cell r="O91">
            <v>0</v>
          </cell>
          <cell r="P91" t="e">
            <v>#DIV/0!</v>
          </cell>
          <cell r="Q91" t="e">
            <v>#DIV/0!</v>
          </cell>
          <cell r="R91" t="e">
            <v>#DIV/0!</v>
          </cell>
          <cell r="S91">
            <v>3559.4790535822317</v>
          </cell>
          <cell r="T91" t="e">
            <v>#DIV/0!</v>
          </cell>
          <cell r="U91" t="e">
            <v>#DIV/0!</v>
          </cell>
          <cell r="V91">
            <v>4249.7288412904218</v>
          </cell>
          <cell r="W91" t="e">
            <v>#DIV/0!</v>
          </cell>
          <cell r="X91"/>
          <cell r="Y91"/>
          <cell r="Z91"/>
          <cell r="AA91">
            <v>708.34159921048547</v>
          </cell>
          <cell r="AB91"/>
          <cell r="AC91"/>
          <cell r="AD91">
            <v>815.05497121002884</v>
          </cell>
          <cell r="AE91"/>
          <cell r="AF91">
            <v>1523.3965704205143</v>
          </cell>
          <cell r="AG91">
            <v>8.5516716266012364E-3</v>
          </cell>
          <cell r="AH91">
            <v>1555.1027774719387</v>
          </cell>
          <cell r="AI91">
            <v>446.18547899999999</v>
          </cell>
          <cell r="AJ91">
            <v>389.34260169999999</v>
          </cell>
          <cell r="AK91">
            <v>557.74474169999996</v>
          </cell>
          <cell r="AL91">
            <v>232.19816829999999</v>
          </cell>
          <cell r="AM91">
            <v>322.70171310000001</v>
          </cell>
          <cell r="AN91">
            <v>1775.9259529999999</v>
          </cell>
          <cell r="AO91">
            <v>134.87876560000001</v>
          </cell>
          <cell r="AP91">
            <v>556.9670685000001</v>
          </cell>
          <cell r="AQ91">
            <v>0</v>
          </cell>
          <cell r="AR91">
            <v>0</v>
          </cell>
          <cell r="AS91">
            <v>0</v>
          </cell>
          <cell r="AT91">
            <v>474.82308714972123</v>
          </cell>
          <cell r="AU91">
            <v>0</v>
          </cell>
          <cell r="AV91">
            <v>0</v>
          </cell>
          <cell r="AW91">
            <v>345.22715139336844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813.03743818575322</v>
          </cell>
          <cell r="BH91">
            <v>2368.1402156576919</v>
          </cell>
          <cell r="BI91">
            <v>3909.3367396089129</v>
          </cell>
          <cell r="BJ91">
            <v>0.60576521629973445</v>
          </cell>
          <cell r="BK91">
            <v>0.39779197369104358</v>
          </cell>
          <cell r="BL91">
            <v>0.20797324260869093</v>
          </cell>
        </row>
        <row r="92">
          <cell r="A92" t="str">
            <v>SHREE SINGAJI TPP1</v>
          </cell>
          <cell r="B92" t="str">
            <v>SHREE SINGAJI TPP</v>
          </cell>
          <cell r="C92">
            <v>600</v>
          </cell>
          <cell r="D92" t="str">
            <v>RAIL</v>
          </cell>
          <cell r="E92"/>
          <cell r="F92">
            <v>21.724111799999999</v>
          </cell>
          <cell r="G92">
            <v>76.706028000000003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0.10213115586329155</v>
          </cell>
          <cell r="M92">
            <v>0</v>
          </cell>
          <cell r="N92">
            <v>0.58666449459365078</v>
          </cell>
          <cell r="O92">
            <v>0.31120434954305776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>
            <v>4487.7104114131726</v>
          </cell>
          <cell r="U92" t="e">
            <v>#DIV/0!</v>
          </cell>
          <cell r="V92">
            <v>4221.9388738430662</v>
          </cell>
          <cell r="W92">
            <v>4388.4525109227816</v>
          </cell>
          <cell r="X92"/>
          <cell r="Y92"/>
          <cell r="Z92"/>
          <cell r="AA92"/>
          <cell r="AB92">
            <v>172.99965443811575</v>
          </cell>
          <cell r="AC92"/>
          <cell r="AD92">
            <v>943.39065118017595</v>
          </cell>
          <cell r="AE92">
            <v>527.148101629763</v>
          </cell>
          <cell r="AF92">
            <v>1643.5384072480547</v>
          </cell>
          <cell r="AG92">
            <v>2.4167248138043805E-3</v>
          </cell>
          <cell r="AH92">
            <v>1652.2083146978284</v>
          </cell>
          <cell r="AI92">
            <v>1208.4969210000002</v>
          </cell>
          <cell r="AJ92">
            <v>1151.654043</v>
          </cell>
          <cell r="AK92">
            <v>1317.986359</v>
          </cell>
          <cell r="AL92">
            <v>956.3679449</v>
          </cell>
          <cell r="AM92">
            <v>796.5682041</v>
          </cell>
          <cell r="AN92">
            <v>2386.3452189999998</v>
          </cell>
          <cell r="AO92">
            <v>746.9119950999999</v>
          </cell>
          <cell r="AP92">
            <v>302.09813789999998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215.98104481264892</v>
          </cell>
          <cell r="AV92">
            <v>0</v>
          </cell>
          <cell r="AW92">
            <v>1164.7284876965587</v>
          </cell>
          <cell r="AX92">
            <v>348.54015776643746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1725.0705696398923</v>
          </cell>
          <cell r="BH92">
            <v>3377.2788843377207</v>
          </cell>
          <cell r="BI92">
            <v>4300.9021962880979</v>
          </cell>
          <cell r="BJ92">
            <v>0.78524893852561628</v>
          </cell>
          <cell r="BK92">
            <v>0.38415389127513061</v>
          </cell>
          <cell r="BL92">
            <v>0.40109504725048567</v>
          </cell>
        </row>
        <row r="93">
          <cell r="A93" t="str">
            <v>AKALTARA TPS4</v>
          </cell>
          <cell r="B93" t="str">
            <v>AKALTARA TPS</v>
          </cell>
          <cell r="C93">
            <v>600</v>
          </cell>
          <cell r="D93" t="str">
            <v>RAIL</v>
          </cell>
          <cell r="E93" t="str">
            <v/>
          </cell>
          <cell r="F93">
            <v>21.9603</v>
          </cell>
          <cell r="G93">
            <v>82.409099999999995</v>
          </cell>
          <cell r="H93">
            <v>5.7010875352663198E-4</v>
          </cell>
          <cell r="I93">
            <v>0</v>
          </cell>
          <cell r="J93">
            <v>0</v>
          </cell>
          <cell r="K93">
            <v>0.16483772685145329</v>
          </cell>
          <cell r="L93">
            <v>0</v>
          </cell>
          <cell r="M93">
            <v>0</v>
          </cell>
          <cell r="N93">
            <v>0.83459216439502004</v>
          </cell>
          <cell r="O93">
            <v>0</v>
          </cell>
          <cell r="P93">
            <v>4450</v>
          </cell>
          <cell r="Q93" t="e">
            <v>#DIV/0!</v>
          </cell>
          <cell r="R93" t="e">
            <v>#DIV/0!</v>
          </cell>
          <cell r="S93">
            <v>3311.9730690427114</v>
          </cell>
          <cell r="T93" t="e">
            <v>#DIV/0!</v>
          </cell>
          <cell r="U93" t="e">
            <v>#DIV/0!</v>
          </cell>
          <cell r="V93">
            <v>4469.5627633273134</v>
          </cell>
          <cell r="W93" t="e">
            <v>#DIV/0!</v>
          </cell>
          <cell r="X93">
            <v>0.9657054844681513</v>
          </cell>
          <cell r="Y93"/>
          <cell r="Z93"/>
          <cell r="AA93">
            <v>222.62026011039725</v>
          </cell>
          <cell r="AB93"/>
          <cell r="AC93"/>
          <cell r="AD93">
            <v>1413.7131301085449</v>
          </cell>
          <cell r="AE93"/>
          <cell r="AF93">
            <v>1637.2990957034103</v>
          </cell>
          <cell r="AG93">
            <v>4.3831710939856224E-2</v>
          </cell>
          <cell r="AH93">
            <v>1794.8171549448384</v>
          </cell>
          <cell r="AI93">
            <v>542.25308050000001</v>
          </cell>
          <cell r="AJ93">
            <v>485.41020320000007</v>
          </cell>
          <cell r="AK93">
            <v>653.81234319999999</v>
          </cell>
          <cell r="AL93">
            <v>313.46014459999998</v>
          </cell>
          <cell r="AM93">
            <v>379.94365950000002</v>
          </cell>
          <cell r="AN93">
            <v>1871.993555</v>
          </cell>
          <cell r="AO93">
            <v>63.996909650000006</v>
          </cell>
          <cell r="AP93">
            <v>426.49298390000007</v>
          </cell>
          <cell r="AQ93">
            <v>0.94796543318901316</v>
          </cell>
          <cell r="AR93">
            <v>0</v>
          </cell>
          <cell r="AS93">
            <v>0</v>
          </cell>
          <cell r="AT93">
            <v>184.61363861727583</v>
          </cell>
          <cell r="AU93">
            <v>0</v>
          </cell>
          <cell r="AV93">
            <v>0</v>
          </cell>
          <cell r="AW93">
            <v>323.5379984493735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486.78489588346969</v>
          </cell>
          <cell r="BH93">
            <v>2281.6020508283082</v>
          </cell>
          <cell r="BI93">
            <v>4278.737156592154</v>
          </cell>
          <cell r="BJ93">
            <v>0.53324192800978565</v>
          </cell>
          <cell r="BK93">
            <v>0.41947357111656275</v>
          </cell>
          <cell r="BL93">
            <v>0.11376835689322284</v>
          </cell>
        </row>
        <row r="94">
          <cell r="A94" t="str">
            <v>MAHAN TPP1</v>
          </cell>
          <cell r="B94" t="str">
            <v>MAHAN TPP</v>
          </cell>
          <cell r="C94">
            <v>600</v>
          </cell>
          <cell r="D94"/>
          <cell r="E94" t="str">
            <v/>
          </cell>
          <cell r="F94">
            <v>24.008500000000002</v>
          </cell>
          <cell r="G94">
            <v>82.417199999999994</v>
          </cell>
          <cell r="H94">
            <v>0</v>
          </cell>
          <cell r="I94">
            <v>1.5316243779447986E-2</v>
          </cell>
          <cell r="J94">
            <v>0</v>
          </cell>
          <cell r="K94">
            <v>0</v>
          </cell>
          <cell r="L94">
            <v>0.98468375622055204</v>
          </cell>
          <cell r="M94">
            <v>0</v>
          </cell>
          <cell r="N94">
            <v>0</v>
          </cell>
          <cell r="O94">
            <v>0</v>
          </cell>
          <cell r="P94" t="e">
            <v>#DIV/0!</v>
          </cell>
          <cell r="Q94">
            <v>4452.6591539474739</v>
          </cell>
          <cell r="R94" t="e">
            <v>#DIV/0!</v>
          </cell>
          <cell r="S94" t="e">
            <v>#DIV/0!</v>
          </cell>
          <cell r="T94">
            <v>5034.2007292256467</v>
          </cell>
          <cell r="U94" t="e">
            <v>#DIV/0!</v>
          </cell>
          <cell r="V94" t="e">
            <v>#DIV/0!</v>
          </cell>
          <cell r="W94" t="e">
            <v>#DIV/0!</v>
          </cell>
          <cell r="X94"/>
          <cell r="Y94">
            <v>25.944138776625856</v>
          </cell>
          <cell r="Z94"/>
          <cell r="AA94"/>
          <cell r="AB94">
            <v>2208.1716384424535</v>
          </cell>
          <cell r="AC94"/>
          <cell r="AD94"/>
          <cell r="AE94"/>
          <cell r="AF94">
            <v>2234.1157772190795</v>
          </cell>
          <cell r="AG94">
            <v>0</v>
          </cell>
          <cell r="AH94">
            <v>2234.1157772190795</v>
          </cell>
          <cell r="AI94">
            <v>506.88132610000002</v>
          </cell>
          <cell r="AJ94">
            <v>458.55035859999998</v>
          </cell>
          <cell r="AK94">
            <v>611.53480669999999</v>
          </cell>
          <cell r="AL94">
            <v>576.64770279999993</v>
          </cell>
          <cell r="AM94">
            <v>90.116651619999999</v>
          </cell>
          <cell r="AN94">
            <v>1709.0604799999999</v>
          </cell>
          <cell r="AO94">
            <v>306.21431540000003</v>
          </cell>
          <cell r="AP94">
            <v>580.71343720000004</v>
          </cell>
          <cell r="AQ94">
            <v>0</v>
          </cell>
          <cell r="AR94">
            <v>22.123119472397821</v>
          </cell>
          <cell r="AS94">
            <v>0</v>
          </cell>
          <cell r="AT94">
            <v>0</v>
          </cell>
          <cell r="AU94">
            <v>381.72250493645925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403.84562440885708</v>
          </cell>
          <cell r="BH94">
            <v>2637.9614016279365</v>
          </cell>
          <cell r="BI94">
            <v>5025.2936966908019</v>
          </cell>
          <cell r="BJ94">
            <v>0.52493676207722073</v>
          </cell>
          <cell r="BK94">
            <v>0.44457417059828036</v>
          </cell>
          <cell r="BL94">
            <v>8.0362591478940384E-2</v>
          </cell>
        </row>
        <row r="95">
          <cell r="A95" t="str">
            <v>AKALTARA TPS3</v>
          </cell>
          <cell r="B95" t="str">
            <v>AKALTARA TPS</v>
          </cell>
          <cell r="C95">
            <v>600</v>
          </cell>
          <cell r="D95" t="str">
            <v>RAIL</v>
          </cell>
          <cell r="E95" t="str">
            <v/>
          </cell>
          <cell r="F95">
            <v>21.9603</v>
          </cell>
          <cell r="G95">
            <v>82.409099999999995</v>
          </cell>
          <cell r="H95">
            <v>5.7010875352663198E-4</v>
          </cell>
          <cell r="I95">
            <v>0</v>
          </cell>
          <cell r="J95">
            <v>0</v>
          </cell>
          <cell r="K95">
            <v>0.16483772685145329</v>
          </cell>
          <cell r="L95">
            <v>0</v>
          </cell>
          <cell r="M95">
            <v>0</v>
          </cell>
          <cell r="N95">
            <v>0.83459216439502004</v>
          </cell>
          <cell r="O95">
            <v>0</v>
          </cell>
          <cell r="P95">
            <v>4450</v>
          </cell>
          <cell r="Q95" t="e">
            <v>#DIV/0!</v>
          </cell>
          <cell r="R95" t="e">
            <v>#DIV/0!</v>
          </cell>
          <cell r="S95">
            <v>3311.9730690427114</v>
          </cell>
          <cell r="T95" t="e">
            <v>#DIV/0!</v>
          </cell>
          <cell r="U95" t="e">
            <v>#DIV/0!</v>
          </cell>
          <cell r="V95">
            <v>4469.5627633273134</v>
          </cell>
          <cell r="W95" t="e">
            <v>#DIV/0!</v>
          </cell>
          <cell r="X95">
            <v>0.9657054844681513</v>
          </cell>
          <cell r="Y95"/>
          <cell r="Z95"/>
          <cell r="AA95">
            <v>222.62026011039725</v>
          </cell>
          <cell r="AB95"/>
          <cell r="AC95"/>
          <cell r="AD95">
            <v>1413.7131301085449</v>
          </cell>
          <cell r="AE95"/>
          <cell r="AF95">
            <v>1637.2990957034103</v>
          </cell>
          <cell r="AG95">
            <v>4.3831710939856224E-2</v>
          </cell>
          <cell r="AH95">
            <v>1794.8171549448384</v>
          </cell>
          <cell r="AI95">
            <v>542.25308050000001</v>
          </cell>
          <cell r="AJ95">
            <v>485.41020320000007</v>
          </cell>
          <cell r="AK95">
            <v>653.81234319999999</v>
          </cell>
          <cell r="AL95">
            <v>313.46014459999998</v>
          </cell>
          <cell r="AM95">
            <v>379.94365950000002</v>
          </cell>
          <cell r="AN95">
            <v>1871.993555</v>
          </cell>
          <cell r="AO95">
            <v>63.996909650000006</v>
          </cell>
          <cell r="AP95">
            <v>426.49298390000007</v>
          </cell>
          <cell r="AQ95">
            <v>0.94796543318901316</v>
          </cell>
          <cell r="AR95">
            <v>0</v>
          </cell>
          <cell r="AS95">
            <v>0</v>
          </cell>
          <cell r="AT95">
            <v>184.61363861727583</v>
          </cell>
          <cell r="AU95">
            <v>0</v>
          </cell>
          <cell r="AV95">
            <v>0</v>
          </cell>
          <cell r="AW95">
            <v>323.5379984493735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486.78489588346969</v>
          </cell>
          <cell r="BH95">
            <v>2281.6020508283082</v>
          </cell>
          <cell r="BI95">
            <v>4278.737156592154</v>
          </cell>
          <cell r="BJ95">
            <v>0.53324192800978565</v>
          </cell>
          <cell r="BK95">
            <v>0.41947357111656275</v>
          </cell>
          <cell r="BL95">
            <v>0.11376835689322284</v>
          </cell>
        </row>
        <row r="96">
          <cell r="A96" t="str">
            <v>ANPARA C TPS2</v>
          </cell>
          <cell r="B96" t="str">
            <v>ANPARA C TPS</v>
          </cell>
          <cell r="C96">
            <v>600</v>
          </cell>
          <cell r="D96" t="str">
            <v>PITHEAD</v>
          </cell>
          <cell r="E96" t="str">
            <v/>
          </cell>
          <cell r="F96">
            <v>24.203099999999999</v>
          </cell>
          <cell r="G96">
            <v>82.788300000000007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1</v>
          </cell>
          <cell r="M96">
            <v>0</v>
          </cell>
          <cell r="N96">
            <v>0</v>
          </cell>
          <cell r="O96">
            <v>0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>
            <v>4906.6842902887674</v>
          </cell>
          <cell r="U96" t="e">
            <v>#DIV/0!</v>
          </cell>
          <cell r="V96" t="e">
            <v>#DIV/0!</v>
          </cell>
          <cell r="W96" t="e">
            <v>#DIV/0!</v>
          </cell>
          <cell r="X96"/>
          <cell r="Y96"/>
          <cell r="Z96"/>
          <cell r="AA96"/>
          <cell r="AB96">
            <v>2242.5185999999999</v>
          </cell>
          <cell r="AC96"/>
          <cell r="AD96"/>
          <cell r="AE96"/>
          <cell r="AF96">
            <v>2242.5185999999999</v>
          </cell>
          <cell r="AG96">
            <v>0</v>
          </cell>
          <cell r="AH96">
            <v>2242.5185999999999</v>
          </cell>
          <cell r="AI96">
            <v>429.35465909999999</v>
          </cell>
          <cell r="AJ96">
            <v>428.11748570000003</v>
          </cell>
          <cell r="AK96">
            <v>529.52178949999995</v>
          </cell>
          <cell r="AL96">
            <v>528.51230740000005</v>
          </cell>
          <cell r="AM96">
            <v>7.4753393739999998</v>
          </cell>
          <cell r="AN96">
            <v>1635.767114</v>
          </cell>
          <cell r="AO96">
            <v>320.62651040000003</v>
          </cell>
          <cell r="AP96">
            <v>680.47493570000006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19.065767657767676</v>
          </cell>
          <cell r="BD96">
            <v>0</v>
          </cell>
          <cell r="BE96">
            <v>0</v>
          </cell>
          <cell r="BF96">
            <v>0</v>
          </cell>
          <cell r="BG96">
            <v>19.065767657767676</v>
          </cell>
          <cell r="BH96">
            <v>2261.5843676577674</v>
          </cell>
          <cell r="BI96">
            <v>4906.6842902887674</v>
          </cell>
          <cell r="BJ96">
            <v>0.4609190715884981</v>
          </cell>
          <cell r="BK96">
            <v>0.45703339920164776</v>
          </cell>
          <cell r="BL96">
            <v>3.8856723868503917E-3</v>
          </cell>
        </row>
        <row r="97">
          <cell r="A97" t="str">
            <v>ANPARA C TPS1</v>
          </cell>
          <cell r="B97" t="str">
            <v>ANPARA C TPS</v>
          </cell>
          <cell r="C97">
            <v>600</v>
          </cell>
          <cell r="D97" t="str">
            <v>PITHEAD</v>
          </cell>
          <cell r="E97" t="str">
            <v/>
          </cell>
          <cell r="F97">
            <v>24.203099999999999</v>
          </cell>
          <cell r="G97">
            <v>82.788300000000007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1</v>
          </cell>
          <cell r="M97">
            <v>0</v>
          </cell>
          <cell r="N97">
            <v>0</v>
          </cell>
          <cell r="O97">
            <v>0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>
            <v>4906.6842902887674</v>
          </cell>
          <cell r="U97" t="e">
            <v>#DIV/0!</v>
          </cell>
          <cell r="V97" t="e">
            <v>#DIV/0!</v>
          </cell>
          <cell r="W97" t="e">
            <v>#DIV/0!</v>
          </cell>
          <cell r="X97"/>
          <cell r="Y97"/>
          <cell r="Z97"/>
          <cell r="AA97"/>
          <cell r="AB97">
            <v>2242.5185999999999</v>
          </cell>
          <cell r="AC97"/>
          <cell r="AD97"/>
          <cell r="AE97"/>
          <cell r="AF97">
            <v>2242.5185999999999</v>
          </cell>
          <cell r="AG97">
            <v>0</v>
          </cell>
          <cell r="AH97">
            <v>2242.5185999999999</v>
          </cell>
          <cell r="AI97">
            <v>429.35465909999999</v>
          </cell>
          <cell r="AJ97">
            <v>428.11748570000003</v>
          </cell>
          <cell r="AK97">
            <v>529.52178949999995</v>
          </cell>
          <cell r="AL97">
            <v>528.51230740000005</v>
          </cell>
          <cell r="AM97">
            <v>7.4753393739999998</v>
          </cell>
          <cell r="AN97">
            <v>1635.767114</v>
          </cell>
          <cell r="AO97">
            <v>320.62651040000003</v>
          </cell>
          <cell r="AP97">
            <v>680.47493570000006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19.065767657767676</v>
          </cell>
          <cell r="BD97">
            <v>0</v>
          </cell>
          <cell r="BE97">
            <v>0</v>
          </cell>
          <cell r="BF97">
            <v>0</v>
          </cell>
          <cell r="BG97">
            <v>19.065767657767676</v>
          </cell>
          <cell r="BH97">
            <v>2261.5843676577674</v>
          </cell>
          <cell r="BI97">
            <v>4906.6842902887674</v>
          </cell>
          <cell r="BJ97">
            <v>0.4609190715884981</v>
          </cell>
          <cell r="BK97">
            <v>0.45703339920164776</v>
          </cell>
          <cell r="BL97">
            <v>3.8856723868503917E-3</v>
          </cell>
        </row>
        <row r="98">
          <cell r="A98" t="str">
            <v>RAJIV GANDHI TPS2</v>
          </cell>
          <cell r="B98" t="str">
            <v>RAJIV GANDHI TPS</v>
          </cell>
          <cell r="C98">
            <v>600</v>
          </cell>
          <cell r="D98" t="str">
            <v>RAIL</v>
          </cell>
          <cell r="E98"/>
          <cell r="F98">
            <v>29.347794444444443</v>
          </cell>
          <cell r="G98">
            <v>75.858574999999988</v>
          </cell>
          <cell r="H98">
            <v>0.10023635189536349</v>
          </cell>
          <cell r="I98">
            <v>0.21883154342920369</v>
          </cell>
          <cell r="J98">
            <v>9.7183248414973583E-2</v>
          </cell>
          <cell r="K98">
            <v>0.20677802240623272</v>
          </cell>
          <cell r="L98">
            <v>0.37697083385422647</v>
          </cell>
          <cell r="M98">
            <v>0</v>
          </cell>
          <cell r="N98">
            <v>0</v>
          </cell>
          <cell r="O98">
            <v>0</v>
          </cell>
          <cell r="P98">
            <v>4232.0413152247229</v>
          </cell>
          <cell r="Q98">
            <v>4278.120767700364</v>
          </cell>
          <cell r="R98">
            <v>6045.6816468079314</v>
          </cell>
          <cell r="S98">
            <v>3396.8373045612939</v>
          </cell>
          <cell r="T98">
            <v>4607.3578599871607</v>
          </cell>
          <cell r="U98" t="e">
            <v>#DIV/0!</v>
          </cell>
          <cell r="V98" t="e">
            <v>#DIV/0!</v>
          </cell>
          <cell r="W98" t="e">
            <v>#DIV/0!</v>
          </cell>
          <cell r="X98">
            <v>161.18588760342482</v>
          </cell>
          <cell r="Y98">
            <v>351.89385782998716</v>
          </cell>
          <cell r="Z98">
            <v>371.71984929058311</v>
          </cell>
          <cell r="AA98">
            <v>279.26238739431653</v>
          </cell>
          <cell r="AB98">
            <v>692.94989782750872</v>
          </cell>
          <cell r="AC98"/>
          <cell r="AD98"/>
          <cell r="AE98"/>
          <cell r="AF98">
            <v>1857.0118799458205</v>
          </cell>
          <cell r="AG98">
            <v>0</v>
          </cell>
          <cell r="AH98">
            <v>1857.0118799458205</v>
          </cell>
          <cell r="AI98">
            <v>1312.3934650000001</v>
          </cell>
          <cell r="AJ98">
            <v>1308.9807860000001</v>
          </cell>
          <cell r="AK98">
            <v>1407.5760859999998</v>
          </cell>
          <cell r="AL98">
            <v>1497.731002</v>
          </cell>
          <cell r="AM98">
            <v>1027.2267589999999</v>
          </cell>
          <cell r="AN98">
            <v>2447.3543380000001</v>
          </cell>
          <cell r="AO98">
            <v>1208.146021</v>
          </cell>
          <cell r="AP98">
            <v>1137.5346790000001</v>
          </cell>
          <cell r="AQ98">
            <v>318.19047592934567</v>
          </cell>
          <cell r="AR98">
            <v>694.65928912475101</v>
          </cell>
          <cell r="AS98">
            <v>329.11942851667169</v>
          </cell>
          <cell r="AT98">
            <v>726.0389922727644</v>
          </cell>
          <cell r="AU98">
            <v>972.2273829934104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3040.2355688369435</v>
          </cell>
          <cell r="BH98">
            <v>4897.247448782764</v>
          </cell>
          <cell r="BI98">
            <v>4387.1619690176503</v>
          </cell>
          <cell r="BJ98">
            <v>1.1162677565513563</v>
          </cell>
          <cell r="BK98">
            <v>0.42328318239903795</v>
          </cell>
          <cell r="BL98">
            <v>0.69298457415231851</v>
          </cell>
        </row>
        <row r="99">
          <cell r="A99" t="str">
            <v>STERLITE TPP2</v>
          </cell>
          <cell r="B99" t="str">
            <v>STERLITE TPP</v>
          </cell>
          <cell r="C99">
            <v>600</v>
          </cell>
          <cell r="D99"/>
          <cell r="E99" t="str">
            <v/>
          </cell>
          <cell r="F99">
            <v>21.788395999999999</v>
          </cell>
          <cell r="G99">
            <v>84.055109000000002</v>
          </cell>
          <cell r="H99">
            <v>0</v>
          </cell>
          <cell r="I99">
            <v>0</v>
          </cell>
          <cell r="J99">
            <v>0</v>
          </cell>
          <cell r="K99">
            <v>1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e">
            <v>#DIV/0!</v>
          </cell>
          <cell r="Q99" t="e">
            <v>#DIV/0!</v>
          </cell>
          <cell r="R99" t="e">
            <v>#DIV/0!</v>
          </cell>
          <cell r="S99">
            <v>3526.9894260214323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/>
          <cell r="Y99"/>
          <cell r="Z99"/>
          <cell r="AA99">
            <v>1436.3806800000002</v>
          </cell>
          <cell r="AB99"/>
          <cell r="AC99"/>
          <cell r="AD99"/>
          <cell r="AE99"/>
          <cell r="AF99">
            <v>1436.3806800000002</v>
          </cell>
          <cell r="AG99">
            <v>6.9427017984107053E-2</v>
          </cell>
          <cell r="AH99">
            <v>1699.8297837724804</v>
          </cell>
          <cell r="AI99">
            <v>413.35715451289997</v>
          </cell>
          <cell r="AJ99">
            <v>356.5142772598</v>
          </cell>
          <cell r="AK99">
            <v>524.91641721480005</v>
          </cell>
          <cell r="AL99">
            <v>138.41266088649999</v>
          </cell>
          <cell r="AM99">
            <v>415.46352644450002</v>
          </cell>
          <cell r="AN99">
            <v>1743.0976286778</v>
          </cell>
          <cell r="AO99">
            <v>199.36329672049999</v>
          </cell>
          <cell r="AP99">
            <v>583.62741880199997</v>
          </cell>
          <cell r="AQ99">
            <v>0</v>
          </cell>
          <cell r="AR99">
            <v>0</v>
          </cell>
          <cell r="AS99">
            <v>0</v>
          </cell>
          <cell r="AT99">
            <v>681.11400000000003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633.82628607277297</v>
          </cell>
          <cell r="BH99">
            <v>2333.6560698452531</v>
          </cell>
          <cell r="BI99">
            <v>3526.9894260214323</v>
          </cell>
          <cell r="BJ99">
            <v>0.66165666747623308</v>
          </cell>
          <cell r="BK99">
            <v>0.48194921459970125</v>
          </cell>
          <cell r="BL99">
            <v>0.17970745287653195</v>
          </cell>
        </row>
        <row r="100">
          <cell r="A100" t="str">
            <v>NORTH CHENNAI TPS4</v>
          </cell>
          <cell r="B100" t="str">
            <v>NORTH CHENNAI TPS</v>
          </cell>
          <cell r="C100">
            <v>600</v>
          </cell>
          <cell r="D100" t="str">
            <v>INTER MODAL</v>
          </cell>
          <cell r="E100" t="str">
            <v/>
          </cell>
          <cell r="F100">
            <v>13.253299999999999</v>
          </cell>
          <cell r="G100">
            <v>80.328100000000006</v>
          </cell>
          <cell r="H100">
            <v>0</v>
          </cell>
          <cell r="I100">
            <v>0</v>
          </cell>
          <cell r="J100">
            <v>0</v>
          </cell>
          <cell r="K100">
            <v>1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e">
            <v>#DIV/0!</v>
          </cell>
          <cell r="Q100" t="e">
            <v>#DIV/0!</v>
          </cell>
          <cell r="R100" t="e">
            <v>#DIV/0!</v>
          </cell>
          <cell r="S100">
            <v>3742.0720109048975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/>
          <cell r="Y100"/>
          <cell r="Z100"/>
          <cell r="AA100">
            <v>1522.2194400000001</v>
          </cell>
          <cell r="AB100"/>
          <cell r="AC100"/>
          <cell r="AD100"/>
          <cell r="AE100"/>
          <cell r="AF100">
            <v>1522.2194400000001</v>
          </cell>
          <cell r="AG100">
            <v>0.17717116061028612</v>
          </cell>
          <cell r="AH100">
            <v>2179.3083962640671</v>
          </cell>
          <cell r="AI100">
            <v>1630.5739140000001</v>
          </cell>
          <cell r="AJ100">
            <v>1573.731037</v>
          </cell>
          <cell r="AK100">
            <v>1725.9419240000002</v>
          </cell>
          <cell r="AL100">
            <v>1295.0201039999999</v>
          </cell>
          <cell r="AM100">
            <v>1562.5264690000001</v>
          </cell>
          <cell r="AN100">
            <v>2935.6217040000001</v>
          </cell>
          <cell r="AO100">
            <v>1263.21596</v>
          </cell>
          <cell r="AP100">
            <v>1011.2066470000001</v>
          </cell>
          <cell r="AQ100">
            <v>0</v>
          </cell>
          <cell r="AR100">
            <v>0</v>
          </cell>
          <cell r="AS100">
            <v>0</v>
          </cell>
          <cell r="AT100">
            <v>3138.9960000000001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2582.8564355289541</v>
          </cell>
          <cell r="BH100">
            <v>4762.1648317930212</v>
          </cell>
          <cell r="BI100">
            <v>3742.0720109048975</v>
          </cell>
          <cell r="BJ100">
            <v>1.2726010664453911</v>
          </cell>
          <cell r="BK100">
            <v>0.58238013322920335</v>
          </cell>
          <cell r="BL100">
            <v>0.6902209332161876</v>
          </cell>
        </row>
        <row r="101">
          <cell r="A101" t="str">
            <v>RAJIV GANDHI TPS1</v>
          </cell>
          <cell r="B101" t="str">
            <v>RAJIV GANDHI TPS</v>
          </cell>
          <cell r="C101">
            <v>600</v>
          </cell>
          <cell r="D101" t="str">
            <v>RAIL</v>
          </cell>
          <cell r="E101"/>
          <cell r="F101">
            <v>29.347794444444443</v>
          </cell>
          <cell r="G101">
            <v>75.858574999999988</v>
          </cell>
          <cell r="H101">
            <v>0.10023635189536349</v>
          </cell>
          <cell r="I101">
            <v>0.21883154342920369</v>
          </cell>
          <cell r="J101">
            <v>9.7183248414973583E-2</v>
          </cell>
          <cell r="K101">
            <v>0.20677802240623272</v>
          </cell>
          <cell r="L101">
            <v>0.37697083385422647</v>
          </cell>
          <cell r="M101">
            <v>0</v>
          </cell>
          <cell r="N101">
            <v>0</v>
          </cell>
          <cell r="O101">
            <v>0</v>
          </cell>
          <cell r="P101">
            <v>4232.0413152247229</v>
          </cell>
          <cell r="Q101">
            <v>4278.120767700364</v>
          </cell>
          <cell r="R101">
            <v>6045.6816468079314</v>
          </cell>
          <cell r="S101">
            <v>3396.8373045612939</v>
          </cell>
          <cell r="T101">
            <v>4607.3578599871607</v>
          </cell>
          <cell r="U101" t="e">
            <v>#DIV/0!</v>
          </cell>
          <cell r="V101" t="e">
            <v>#DIV/0!</v>
          </cell>
          <cell r="W101" t="e">
            <v>#DIV/0!</v>
          </cell>
          <cell r="X101">
            <v>161.18588760342482</v>
          </cell>
          <cell r="Y101">
            <v>351.89385782998716</v>
          </cell>
          <cell r="Z101">
            <v>371.71984929058311</v>
          </cell>
          <cell r="AA101">
            <v>279.26238739431653</v>
          </cell>
          <cell r="AB101">
            <v>692.94989782750872</v>
          </cell>
          <cell r="AC101"/>
          <cell r="AD101"/>
          <cell r="AE101"/>
          <cell r="AF101">
            <v>1857.0118799458205</v>
          </cell>
          <cell r="AG101">
            <v>0</v>
          </cell>
          <cell r="AH101">
            <v>1857.0118799458205</v>
          </cell>
          <cell r="AI101">
            <v>1312.3934650000001</v>
          </cell>
          <cell r="AJ101">
            <v>1308.9807860000001</v>
          </cell>
          <cell r="AK101">
            <v>1407.5760859999998</v>
          </cell>
          <cell r="AL101">
            <v>1497.731002</v>
          </cell>
          <cell r="AM101">
            <v>1027.2267589999999</v>
          </cell>
          <cell r="AN101">
            <v>2447.3543380000001</v>
          </cell>
          <cell r="AO101">
            <v>1208.146021</v>
          </cell>
          <cell r="AP101">
            <v>1137.5346790000001</v>
          </cell>
          <cell r="AQ101">
            <v>318.19047592934567</v>
          </cell>
          <cell r="AR101">
            <v>694.65928912475101</v>
          </cell>
          <cell r="AS101">
            <v>329.11942851667169</v>
          </cell>
          <cell r="AT101">
            <v>726.0389922727644</v>
          </cell>
          <cell r="AU101">
            <v>972.2273829934104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3040.2355688369435</v>
          </cell>
          <cell r="BH101">
            <v>4897.247448782764</v>
          </cell>
          <cell r="BI101">
            <v>4387.1619690176503</v>
          </cell>
          <cell r="BJ101">
            <v>1.1162677565513563</v>
          </cell>
          <cell r="BK101">
            <v>0.42328318239903795</v>
          </cell>
          <cell r="BL101">
            <v>0.69298457415231851</v>
          </cell>
        </row>
        <row r="102">
          <cell r="A102" t="str">
            <v>NORTH CHENNAI TPS5</v>
          </cell>
          <cell r="B102" t="str">
            <v>NORTH CHENNAI TPS</v>
          </cell>
          <cell r="C102">
            <v>600</v>
          </cell>
          <cell r="D102" t="str">
            <v>INTER MODAL</v>
          </cell>
          <cell r="E102" t="str">
            <v/>
          </cell>
          <cell r="F102">
            <v>13.253299999999999</v>
          </cell>
          <cell r="G102">
            <v>80.328100000000006</v>
          </cell>
          <cell r="H102">
            <v>0</v>
          </cell>
          <cell r="I102">
            <v>0</v>
          </cell>
          <cell r="J102">
            <v>0</v>
          </cell>
          <cell r="K102">
            <v>1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e">
            <v>#DIV/0!</v>
          </cell>
          <cell r="Q102" t="e">
            <v>#DIV/0!</v>
          </cell>
          <cell r="R102" t="e">
            <v>#DIV/0!</v>
          </cell>
          <cell r="S102">
            <v>3742.0720109048975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/>
          <cell r="Y102"/>
          <cell r="Z102"/>
          <cell r="AA102">
            <v>1522.2194400000001</v>
          </cell>
          <cell r="AB102"/>
          <cell r="AC102"/>
          <cell r="AD102"/>
          <cell r="AE102"/>
          <cell r="AF102">
            <v>1522.2194400000001</v>
          </cell>
          <cell r="AG102">
            <v>0.17717116061028612</v>
          </cell>
          <cell r="AH102">
            <v>2179.3083962640671</v>
          </cell>
          <cell r="AI102">
            <v>1630.5739140000001</v>
          </cell>
          <cell r="AJ102">
            <v>1573.731037</v>
          </cell>
          <cell r="AK102">
            <v>1725.9419240000002</v>
          </cell>
          <cell r="AL102">
            <v>1295.0201039999999</v>
          </cell>
          <cell r="AM102">
            <v>1562.5264690000001</v>
          </cell>
          <cell r="AN102">
            <v>2935.6217040000001</v>
          </cell>
          <cell r="AO102">
            <v>1263.21596</v>
          </cell>
          <cell r="AP102">
            <v>1011.2066470000001</v>
          </cell>
          <cell r="AQ102">
            <v>0</v>
          </cell>
          <cell r="AR102">
            <v>0</v>
          </cell>
          <cell r="AS102">
            <v>0</v>
          </cell>
          <cell r="AT102">
            <v>3138.9960000000001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2582.8564355289541</v>
          </cell>
          <cell r="BH102">
            <v>4762.1648317930212</v>
          </cell>
          <cell r="BI102">
            <v>3742.0720109048975</v>
          </cell>
          <cell r="BJ102">
            <v>1.2726010664453911</v>
          </cell>
          <cell r="BK102">
            <v>0.58238013322920335</v>
          </cell>
          <cell r="BL102">
            <v>0.6902209332161876</v>
          </cell>
        </row>
        <row r="103">
          <cell r="A103" t="str">
            <v>MUNDRA UMTPP5</v>
          </cell>
          <cell r="B103" t="str">
            <v>MUNDRA UMTPP</v>
          </cell>
          <cell r="C103">
            <v>800</v>
          </cell>
          <cell r="D103"/>
          <cell r="E103" t="str">
            <v/>
          </cell>
          <cell r="F103">
            <v>22.814722222222223</v>
          </cell>
          <cell r="G103">
            <v>69.528055555555554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4279.0292548546358</v>
          </cell>
          <cell r="X103"/>
          <cell r="Y103"/>
          <cell r="Z103"/>
          <cell r="AA103"/>
          <cell r="AB103"/>
          <cell r="AC103"/>
          <cell r="AD103"/>
          <cell r="AE103">
            <v>1608.0582000000002</v>
          </cell>
          <cell r="AF103">
            <v>1608.0582000000002</v>
          </cell>
          <cell r="AG103">
            <v>1</v>
          </cell>
          <cell r="AH103">
            <v>5231</v>
          </cell>
          <cell r="AI103">
            <v>1993.2273929999999</v>
          </cell>
          <cell r="AJ103">
            <v>1946.0045989999999</v>
          </cell>
          <cell r="AK103">
            <v>2088.410014</v>
          </cell>
          <cell r="AL103">
            <v>1863.7221910000001</v>
          </cell>
          <cell r="AM103">
            <v>1577.570892</v>
          </cell>
          <cell r="AN103">
            <v>3145.0854119999999</v>
          </cell>
          <cell r="AO103">
            <v>1588.2574199999999</v>
          </cell>
          <cell r="AP103">
            <v>1209.4523840000002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2962.3440000000005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5231</v>
          </cell>
          <cell r="BI103">
            <v>4279.0292548546358</v>
          </cell>
          <cell r="BJ103">
            <v>1.2224735304310752</v>
          </cell>
          <cell r="BK103">
            <v>1.2224735304310752</v>
          </cell>
          <cell r="BL103">
            <v>0</v>
          </cell>
        </row>
        <row r="104">
          <cell r="A104" t="str">
            <v>MUNDRA UMTPP4</v>
          </cell>
          <cell r="B104" t="str">
            <v>MUNDRA UMTPP</v>
          </cell>
          <cell r="C104">
            <v>800</v>
          </cell>
          <cell r="D104"/>
          <cell r="E104" t="str">
            <v/>
          </cell>
          <cell r="F104">
            <v>22.814722222222223</v>
          </cell>
          <cell r="G104">
            <v>69.528055555555554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4279.0292548546358</v>
          </cell>
          <cell r="X104"/>
          <cell r="Y104"/>
          <cell r="Z104"/>
          <cell r="AA104"/>
          <cell r="AB104"/>
          <cell r="AC104"/>
          <cell r="AD104"/>
          <cell r="AE104">
            <v>1608.0582000000002</v>
          </cell>
          <cell r="AF104">
            <v>1608.0582000000002</v>
          </cell>
          <cell r="AG104">
            <v>1</v>
          </cell>
          <cell r="AH104">
            <v>5231</v>
          </cell>
          <cell r="AI104">
            <v>1993.2273929999999</v>
          </cell>
          <cell r="AJ104">
            <v>1946.0045989999999</v>
          </cell>
          <cell r="AK104">
            <v>2088.410014</v>
          </cell>
          <cell r="AL104">
            <v>1863.7221910000001</v>
          </cell>
          <cell r="AM104">
            <v>1577.570892</v>
          </cell>
          <cell r="AN104">
            <v>3145.0854119999999</v>
          </cell>
          <cell r="AO104">
            <v>1588.2574199999999</v>
          </cell>
          <cell r="AP104">
            <v>1209.4523840000002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2962.3440000000005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5231</v>
          </cell>
          <cell r="BI104">
            <v>4279.0292548546358</v>
          </cell>
          <cell r="BJ104">
            <v>1.2224735304310752</v>
          </cell>
          <cell r="BK104">
            <v>1.2224735304310752</v>
          </cell>
          <cell r="BL104">
            <v>0</v>
          </cell>
        </row>
        <row r="105">
          <cell r="A105" t="str">
            <v>PAINAMPURAM TPP2</v>
          </cell>
          <cell r="B105" t="str">
            <v>PAINAMPURAM TPP</v>
          </cell>
          <cell r="C105">
            <v>660</v>
          </cell>
          <cell r="D105" t="str">
            <v>RAIL</v>
          </cell>
          <cell r="E105" t="str">
            <v/>
          </cell>
          <cell r="F105">
            <v>14.351195000000001</v>
          </cell>
          <cell r="G105">
            <v>80.143085999999997</v>
          </cell>
          <cell r="H105">
            <v>0</v>
          </cell>
          <cell r="I105">
            <v>0</v>
          </cell>
          <cell r="J105">
            <v>0</v>
          </cell>
          <cell r="K105">
            <v>1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e">
            <v>#DIV/0!</v>
          </cell>
          <cell r="Q105" t="e">
            <v>#DIV/0!</v>
          </cell>
          <cell r="R105" t="e">
            <v>#DIV/0!</v>
          </cell>
          <cell r="S105">
            <v>3743.6770082031862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/>
          <cell r="Y105"/>
          <cell r="Z105"/>
          <cell r="AA105">
            <v>1522.2194400000001</v>
          </cell>
          <cell r="AB105"/>
          <cell r="AC105"/>
          <cell r="AD105"/>
          <cell r="AE105"/>
          <cell r="AF105">
            <v>1522.2194400000001</v>
          </cell>
          <cell r="AG105">
            <v>0.51543963834409801</v>
          </cell>
          <cell r="AH105">
            <v>3433.8719505440213</v>
          </cell>
          <cell r="AI105">
            <v>1500.1915036634</v>
          </cell>
          <cell r="AJ105">
            <v>1443.3486264104001</v>
          </cell>
          <cell r="AK105">
            <v>1595.5595128715001</v>
          </cell>
          <cell r="AL105">
            <v>1164.6376936298002</v>
          </cell>
          <cell r="AM105">
            <v>1432.1440585310002</v>
          </cell>
          <cell r="AN105">
            <v>2805.2392931571003</v>
          </cell>
          <cell r="AO105">
            <v>1132.8335494270002</v>
          </cell>
          <cell r="AP105">
            <v>880.82423582429999</v>
          </cell>
          <cell r="AQ105">
            <v>0</v>
          </cell>
          <cell r="AR105">
            <v>0</v>
          </cell>
          <cell r="AS105">
            <v>0</v>
          </cell>
          <cell r="AT105">
            <v>2881.9560000000001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1396.4816416363967</v>
          </cell>
          <cell r="BH105">
            <v>4830.3535921804178</v>
          </cell>
          <cell r="BI105">
            <v>3743.6770082031862</v>
          </cell>
          <cell r="BJ105">
            <v>1.290269855437874</v>
          </cell>
          <cell r="BK105">
            <v>0.91724578349566033</v>
          </cell>
          <cell r="BL105">
            <v>0.37302407194221371</v>
          </cell>
        </row>
        <row r="106">
          <cell r="A106" t="str">
            <v>MUNDRA UMTPP3</v>
          </cell>
          <cell r="B106" t="str">
            <v>MUNDRA UMTPP</v>
          </cell>
          <cell r="C106">
            <v>800</v>
          </cell>
          <cell r="D106"/>
          <cell r="E106" t="str">
            <v/>
          </cell>
          <cell r="F106">
            <v>22.814722222222223</v>
          </cell>
          <cell r="G106">
            <v>69.528055555555554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4279.0292548546358</v>
          </cell>
          <cell r="X106"/>
          <cell r="Y106"/>
          <cell r="Z106"/>
          <cell r="AA106"/>
          <cell r="AB106"/>
          <cell r="AC106"/>
          <cell r="AD106"/>
          <cell r="AE106">
            <v>1608.0582000000002</v>
          </cell>
          <cell r="AF106">
            <v>1608.0582000000002</v>
          </cell>
          <cell r="AG106">
            <v>1</v>
          </cell>
          <cell r="AH106">
            <v>5231</v>
          </cell>
          <cell r="AI106">
            <v>1993.2273929999999</v>
          </cell>
          <cell r="AJ106">
            <v>1946.0045989999999</v>
          </cell>
          <cell r="AK106">
            <v>2088.410014</v>
          </cell>
          <cell r="AL106">
            <v>1863.7221910000001</v>
          </cell>
          <cell r="AM106">
            <v>1577.570892</v>
          </cell>
          <cell r="AN106">
            <v>3145.0854119999999</v>
          </cell>
          <cell r="AO106">
            <v>1588.2574199999999</v>
          </cell>
          <cell r="AP106">
            <v>1209.4523840000002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2962.3440000000005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5231</v>
          </cell>
          <cell r="BI106">
            <v>4279.0292548546358</v>
          </cell>
          <cell r="BJ106">
            <v>1.2224735304310752</v>
          </cell>
          <cell r="BK106">
            <v>1.2224735304310752</v>
          </cell>
          <cell r="BL106">
            <v>0</v>
          </cell>
        </row>
        <row r="107">
          <cell r="A107" t="str">
            <v>MUNDRA UMTPP2</v>
          </cell>
          <cell r="B107" t="str">
            <v>MUNDRA UMTPP</v>
          </cell>
          <cell r="C107">
            <v>800</v>
          </cell>
          <cell r="D107"/>
          <cell r="E107" t="str">
            <v/>
          </cell>
          <cell r="F107">
            <v>22.814722222222223</v>
          </cell>
          <cell r="G107">
            <v>69.528055555555554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4279.0292548546358</v>
          </cell>
          <cell r="X107"/>
          <cell r="Y107"/>
          <cell r="Z107"/>
          <cell r="AA107"/>
          <cell r="AB107"/>
          <cell r="AC107"/>
          <cell r="AD107"/>
          <cell r="AE107">
            <v>1608.0582000000002</v>
          </cell>
          <cell r="AF107">
            <v>1608.0582000000002</v>
          </cell>
          <cell r="AG107">
            <v>1</v>
          </cell>
          <cell r="AH107">
            <v>5231</v>
          </cell>
          <cell r="AI107">
            <v>1993.2273929999999</v>
          </cell>
          <cell r="AJ107">
            <v>1946.0045989999999</v>
          </cell>
          <cell r="AK107">
            <v>2088.410014</v>
          </cell>
          <cell r="AL107">
            <v>1863.7221910000001</v>
          </cell>
          <cell r="AM107">
            <v>1577.570892</v>
          </cell>
          <cell r="AN107">
            <v>3145.0854119999999</v>
          </cell>
          <cell r="AO107">
            <v>1588.2574199999999</v>
          </cell>
          <cell r="AP107">
            <v>1209.4523840000002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2962.3440000000005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5231</v>
          </cell>
          <cell r="BI107">
            <v>4279.0292548546358</v>
          </cell>
          <cell r="BJ107">
            <v>1.2224735304310752</v>
          </cell>
          <cell r="BK107">
            <v>1.2224735304310752</v>
          </cell>
          <cell r="BL107">
            <v>0</v>
          </cell>
        </row>
        <row r="108">
          <cell r="A108" t="str">
            <v>PAINAMPURAM TPP1</v>
          </cell>
          <cell r="B108" t="str">
            <v>PAINAMPURAM TPP</v>
          </cell>
          <cell r="C108">
            <v>660</v>
          </cell>
          <cell r="D108" t="str">
            <v>RAIL</v>
          </cell>
          <cell r="E108" t="str">
            <v/>
          </cell>
          <cell r="F108">
            <v>14.351195000000001</v>
          </cell>
          <cell r="G108">
            <v>80.143085999999997</v>
          </cell>
          <cell r="H108">
            <v>0</v>
          </cell>
          <cell r="I108">
            <v>0</v>
          </cell>
          <cell r="J108">
            <v>0</v>
          </cell>
          <cell r="K108">
            <v>1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e">
            <v>#DIV/0!</v>
          </cell>
          <cell r="Q108" t="e">
            <v>#DIV/0!</v>
          </cell>
          <cell r="R108" t="e">
            <v>#DIV/0!</v>
          </cell>
          <cell r="S108">
            <v>3743.6770082031862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/>
          <cell r="Y108"/>
          <cell r="Z108"/>
          <cell r="AA108">
            <v>1522.2194400000001</v>
          </cell>
          <cell r="AB108"/>
          <cell r="AC108"/>
          <cell r="AD108"/>
          <cell r="AE108"/>
          <cell r="AF108">
            <v>1522.2194400000001</v>
          </cell>
          <cell r="AG108">
            <v>0.51543963834409801</v>
          </cell>
          <cell r="AH108">
            <v>3433.8719505440213</v>
          </cell>
          <cell r="AI108">
            <v>1500.1915036634</v>
          </cell>
          <cell r="AJ108">
            <v>1443.3486264104001</v>
          </cell>
          <cell r="AK108">
            <v>1595.5595128715001</v>
          </cell>
          <cell r="AL108">
            <v>1164.6376936298002</v>
          </cell>
          <cell r="AM108">
            <v>1432.1440585310002</v>
          </cell>
          <cell r="AN108">
            <v>2805.2392931571003</v>
          </cell>
          <cell r="AO108">
            <v>1132.8335494270002</v>
          </cell>
          <cell r="AP108">
            <v>880.82423582429999</v>
          </cell>
          <cell r="AQ108">
            <v>0</v>
          </cell>
          <cell r="AR108">
            <v>0</v>
          </cell>
          <cell r="AS108">
            <v>0</v>
          </cell>
          <cell r="AT108">
            <v>2881.9560000000001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1396.4816416363967</v>
          </cell>
          <cell r="BH108">
            <v>4830.3535921804178</v>
          </cell>
          <cell r="BI108">
            <v>3743.6770082031862</v>
          </cell>
          <cell r="BJ108">
            <v>1.290269855437874</v>
          </cell>
          <cell r="BK108">
            <v>0.91724578349566033</v>
          </cell>
          <cell r="BL108">
            <v>0.37302407194221371</v>
          </cell>
        </row>
        <row r="109">
          <cell r="A109" t="str">
            <v>MUNDRA UMTPP1</v>
          </cell>
          <cell r="B109" t="str">
            <v>MUNDRA UMTPP</v>
          </cell>
          <cell r="C109">
            <v>800</v>
          </cell>
          <cell r="D109"/>
          <cell r="E109" t="str">
            <v/>
          </cell>
          <cell r="F109">
            <v>22.814722222222223</v>
          </cell>
          <cell r="G109">
            <v>69.528055555555554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4279.0292548546358</v>
          </cell>
          <cell r="X109"/>
          <cell r="Y109"/>
          <cell r="Z109"/>
          <cell r="AA109"/>
          <cell r="AB109"/>
          <cell r="AC109"/>
          <cell r="AD109"/>
          <cell r="AE109">
            <v>1608.0582000000002</v>
          </cell>
          <cell r="AF109">
            <v>1608.0582000000002</v>
          </cell>
          <cell r="AG109">
            <v>1</v>
          </cell>
          <cell r="AH109">
            <v>5231</v>
          </cell>
          <cell r="AI109">
            <v>1993.2273929999999</v>
          </cell>
          <cell r="AJ109">
            <v>1946.0045989999999</v>
          </cell>
          <cell r="AK109">
            <v>2088.410014</v>
          </cell>
          <cell r="AL109">
            <v>1863.7221910000001</v>
          </cell>
          <cell r="AM109">
            <v>1577.570892</v>
          </cell>
          <cell r="AN109">
            <v>3145.0854119999999</v>
          </cell>
          <cell r="AO109">
            <v>1588.2574199999999</v>
          </cell>
          <cell r="AP109">
            <v>1209.4523840000002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2962.3440000000005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5231</v>
          </cell>
          <cell r="BI109">
            <v>4279.0292548546358</v>
          </cell>
          <cell r="BJ109">
            <v>1.2224735304310752</v>
          </cell>
          <cell r="BK109">
            <v>1.2224735304310752</v>
          </cell>
          <cell r="BL109">
            <v>0</v>
          </cell>
        </row>
        <row r="110">
          <cell r="A110" t="str">
            <v>STERLITE TPP1</v>
          </cell>
          <cell r="B110" t="str">
            <v>STERLITE TPP</v>
          </cell>
          <cell r="C110">
            <v>600</v>
          </cell>
          <cell r="D110"/>
          <cell r="E110" t="str">
            <v/>
          </cell>
          <cell r="F110">
            <v>21.788395999999999</v>
          </cell>
          <cell r="G110">
            <v>84.055109000000002</v>
          </cell>
          <cell r="H110">
            <v>0</v>
          </cell>
          <cell r="I110">
            <v>0</v>
          </cell>
          <cell r="J110">
            <v>0</v>
          </cell>
          <cell r="K110">
            <v>1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e">
            <v>#DIV/0!</v>
          </cell>
          <cell r="Q110" t="e">
            <v>#DIV/0!</v>
          </cell>
          <cell r="R110" t="e">
            <v>#DIV/0!</v>
          </cell>
          <cell r="S110">
            <v>3526.9894260214323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/>
          <cell r="Y110"/>
          <cell r="Z110"/>
          <cell r="AA110">
            <v>1436.3806800000002</v>
          </cell>
          <cell r="AB110"/>
          <cell r="AC110"/>
          <cell r="AD110"/>
          <cell r="AE110"/>
          <cell r="AF110">
            <v>1436.3806800000002</v>
          </cell>
          <cell r="AG110">
            <v>6.9427017984107053E-2</v>
          </cell>
          <cell r="AH110">
            <v>1699.8297837724804</v>
          </cell>
          <cell r="AI110">
            <v>413.35715451289997</v>
          </cell>
          <cell r="AJ110">
            <v>356.5142772598</v>
          </cell>
          <cell r="AK110">
            <v>524.91641721480005</v>
          </cell>
          <cell r="AL110">
            <v>138.41266088649999</v>
          </cell>
          <cell r="AM110">
            <v>415.46352644450002</v>
          </cell>
          <cell r="AN110">
            <v>1743.0976286778</v>
          </cell>
          <cell r="AO110">
            <v>199.36329672049999</v>
          </cell>
          <cell r="AP110">
            <v>583.62741880199997</v>
          </cell>
          <cell r="AQ110">
            <v>0</v>
          </cell>
          <cell r="AR110">
            <v>0</v>
          </cell>
          <cell r="AS110">
            <v>0</v>
          </cell>
          <cell r="AT110">
            <v>681.11400000000003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633.82628607277297</v>
          </cell>
          <cell r="BH110">
            <v>2333.6560698452531</v>
          </cell>
          <cell r="BI110">
            <v>3526.9894260214323</v>
          </cell>
          <cell r="BJ110">
            <v>0.66165666747623308</v>
          </cell>
          <cell r="BK110">
            <v>0.48194921459970125</v>
          </cell>
          <cell r="BL110">
            <v>0.17970745287653195</v>
          </cell>
        </row>
        <row r="111">
          <cell r="A111" t="str">
            <v>AVANTHA BHANDAR1</v>
          </cell>
          <cell r="B111" t="str">
            <v>AVANTHA BHANDAR</v>
          </cell>
          <cell r="C111">
            <v>600</v>
          </cell>
          <cell r="D111"/>
          <cell r="E111"/>
          <cell r="F111">
            <v>21.743775100000001</v>
          </cell>
          <cell r="G111">
            <v>83.274092699999997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1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4277.9166493810972</v>
          </cell>
          <cell r="W111">
            <v>0</v>
          </cell>
          <cell r="X111"/>
          <cell r="Y111"/>
          <cell r="Z111"/>
          <cell r="AA111"/>
          <cell r="AB111"/>
          <cell r="AC111"/>
          <cell r="AD111">
            <v>1608.0582000000002</v>
          </cell>
          <cell r="AE111"/>
          <cell r="AF111">
            <v>1608.0582000000002</v>
          </cell>
          <cell r="AG111">
            <v>0.28000000000000003</v>
          </cell>
          <cell r="AH111">
            <v>2622.4819040000002</v>
          </cell>
          <cell r="AI111">
            <v>522</v>
          </cell>
          <cell r="AJ111">
            <v>465</v>
          </cell>
          <cell r="AK111">
            <v>644</v>
          </cell>
          <cell r="AL111">
            <v>215</v>
          </cell>
          <cell r="AM111">
            <v>440</v>
          </cell>
          <cell r="AN111">
            <v>1899</v>
          </cell>
          <cell r="AO111">
            <v>131</v>
          </cell>
          <cell r="AP111">
            <v>512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681.11400000000003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490.40208000000001</v>
          </cell>
          <cell r="BH111">
            <v>3112.8839840000001</v>
          </cell>
          <cell r="BI111">
            <v>4277.9166493810972</v>
          </cell>
          <cell r="BJ111">
            <v>0.72766354259154464</v>
          </cell>
          <cell r="BK111">
            <v>0.6130278167947486</v>
          </cell>
          <cell r="BL111">
            <v>0.11463572579679607</v>
          </cell>
        </row>
        <row r="112">
          <cell r="A112" t="str">
            <v>VIZAG TPS2</v>
          </cell>
          <cell r="B112" t="str">
            <v>VIZAG TPS</v>
          </cell>
          <cell r="C112">
            <v>520</v>
          </cell>
          <cell r="D112" t="str">
            <v>RAIL</v>
          </cell>
          <cell r="E112" t="str">
            <v/>
          </cell>
          <cell r="F112">
            <v>17.6041639</v>
          </cell>
          <cell r="G112">
            <v>83.191523500000002</v>
          </cell>
          <cell r="H112">
            <v>0</v>
          </cell>
          <cell r="I112">
            <v>0</v>
          </cell>
          <cell r="J112">
            <v>0</v>
          </cell>
          <cell r="K112">
            <v>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e">
            <v>#DIV/0!</v>
          </cell>
          <cell r="Q112" t="e">
            <v>#DIV/0!</v>
          </cell>
          <cell r="R112" t="e">
            <v>#DIV/0!</v>
          </cell>
          <cell r="S112">
            <v>3678.2479553474091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/>
          <cell r="Y112"/>
          <cell r="Z112"/>
          <cell r="AA112">
            <v>1436.3806800000002</v>
          </cell>
          <cell r="AB112"/>
          <cell r="AC112"/>
          <cell r="AD112"/>
          <cell r="AE112"/>
          <cell r="AF112">
            <v>1436.3806800000002</v>
          </cell>
          <cell r="AG112">
            <v>4.9013357007384684E-2</v>
          </cell>
          <cell r="AH112">
            <v>1622.3677114382795</v>
          </cell>
          <cell r="AI112">
            <v>943.11334733019999</v>
          </cell>
          <cell r="AJ112">
            <v>918.73880307400009</v>
          </cell>
          <cell r="AK112">
            <v>1012.6549547648</v>
          </cell>
          <cell r="AL112">
            <v>640.02787029340004</v>
          </cell>
          <cell r="AM112">
            <v>929.31542744650005</v>
          </cell>
          <cell r="AN112">
            <v>2222.3347350504</v>
          </cell>
          <cell r="AO112">
            <v>635.73703635840002</v>
          </cell>
          <cell r="AP112">
            <v>747.80906997429997</v>
          </cell>
          <cell r="AQ112">
            <v>0</v>
          </cell>
          <cell r="AR112">
            <v>0</v>
          </cell>
          <cell r="AS112">
            <v>0</v>
          </cell>
          <cell r="AT112">
            <v>1877.8620000000001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1785.8216793833985</v>
          </cell>
          <cell r="BH112">
            <v>3408.189390821678</v>
          </cell>
          <cell r="BI112">
            <v>3678.2479553474091</v>
          </cell>
          <cell r="BJ112">
            <v>0.92657956510704453</v>
          </cell>
          <cell r="BK112">
            <v>0.44107078455102344</v>
          </cell>
          <cell r="BL112">
            <v>0.48550878055602109</v>
          </cell>
        </row>
        <row r="113">
          <cell r="A113" t="str">
            <v>SAGARDIGHI TPS4</v>
          </cell>
          <cell r="B113" t="str">
            <v>SAGARDIGHI TPS</v>
          </cell>
          <cell r="C113">
            <v>500</v>
          </cell>
          <cell r="D113" t="str">
            <v>RAIL</v>
          </cell>
          <cell r="E113">
            <v>0.89534883720930236</v>
          </cell>
          <cell r="F113">
            <v>24.364699999999999</v>
          </cell>
          <cell r="G113">
            <v>88.108400000000003</v>
          </cell>
          <cell r="H113">
            <v>0.11968449293995434</v>
          </cell>
          <cell r="I113">
            <v>2.7015749270536397E-2</v>
          </cell>
          <cell r="J113">
            <v>0.85329975778950917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4243.6269984843111</v>
          </cell>
          <cell r="Q113">
            <v>4362.6090134852402</v>
          </cell>
          <cell r="R113">
            <v>6117.625830960058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>
            <v>192.45963028493571</v>
          </cell>
          <cell r="Y113">
            <v>45.761895561483826</v>
          </cell>
          <cell r="Z113">
            <v>3543.0029903129766</v>
          </cell>
          <cell r="AA113"/>
          <cell r="AB113"/>
          <cell r="AC113"/>
          <cell r="AD113"/>
          <cell r="AE113"/>
          <cell r="AF113">
            <v>3781.224516159396</v>
          </cell>
          <cell r="AG113">
            <v>6.5371616889120401E-4</v>
          </cell>
          <cell r="AH113">
            <v>3782.1722578344447</v>
          </cell>
          <cell r="AI113">
            <v>228.69749340000001</v>
          </cell>
          <cell r="AJ113">
            <v>304.2342041</v>
          </cell>
          <cell r="AK113">
            <v>122.4456533</v>
          </cell>
          <cell r="AL113">
            <v>610.7552404999999</v>
          </cell>
          <cell r="AM113">
            <v>633.95052740000006</v>
          </cell>
          <cell r="AN113">
            <v>1206.600946</v>
          </cell>
          <cell r="AO113">
            <v>703.82183810000004</v>
          </cell>
          <cell r="AP113">
            <v>1161.249748</v>
          </cell>
          <cell r="AQ113">
            <v>115.23821402723505</v>
          </cell>
          <cell r="AR113">
            <v>30.25688274202119</v>
          </cell>
          <cell r="AS113">
            <v>517.43755992452714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662.49928689721673</v>
          </cell>
          <cell r="BH113">
            <v>4444.6715447316619</v>
          </cell>
          <cell r="BI113">
            <v>5845.9241366186579</v>
          </cell>
          <cell r="BJ113">
            <v>0.76030263836138412</v>
          </cell>
          <cell r="BK113">
            <v>0.64697593903811612</v>
          </cell>
          <cell r="BL113">
            <v>0.11332669932326783</v>
          </cell>
        </row>
        <row r="114">
          <cell r="A114" t="str">
            <v>VIZAG TPS1</v>
          </cell>
          <cell r="B114" t="str">
            <v>VIZAG TPS</v>
          </cell>
          <cell r="C114">
            <v>520</v>
          </cell>
          <cell r="D114" t="str">
            <v>RAIL</v>
          </cell>
          <cell r="E114" t="str">
            <v/>
          </cell>
          <cell r="F114">
            <v>17.6041639</v>
          </cell>
          <cell r="G114">
            <v>83.191523500000002</v>
          </cell>
          <cell r="H114">
            <v>0</v>
          </cell>
          <cell r="I114">
            <v>0</v>
          </cell>
          <cell r="J114">
            <v>0</v>
          </cell>
          <cell r="K114">
            <v>1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e">
            <v>#DIV/0!</v>
          </cell>
          <cell r="Q114" t="e">
            <v>#DIV/0!</v>
          </cell>
          <cell r="R114" t="e">
            <v>#DIV/0!</v>
          </cell>
          <cell r="S114">
            <v>3678.2479553474091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/>
          <cell r="Y114"/>
          <cell r="Z114"/>
          <cell r="AA114">
            <v>1436.3806800000002</v>
          </cell>
          <cell r="AB114"/>
          <cell r="AC114"/>
          <cell r="AD114"/>
          <cell r="AE114"/>
          <cell r="AF114">
            <v>1436.3806800000002</v>
          </cell>
          <cell r="AG114">
            <v>4.9013357007384684E-2</v>
          </cell>
          <cell r="AH114">
            <v>1622.3677114382795</v>
          </cell>
          <cell r="AI114">
            <v>943.11334733019999</v>
          </cell>
          <cell r="AJ114">
            <v>918.73880307400009</v>
          </cell>
          <cell r="AK114">
            <v>1012.6549547648</v>
          </cell>
          <cell r="AL114">
            <v>640.02787029340004</v>
          </cell>
          <cell r="AM114">
            <v>929.31542744650005</v>
          </cell>
          <cell r="AN114">
            <v>2222.3347350504</v>
          </cell>
          <cell r="AO114">
            <v>635.73703635840002</v>
          </cell>
          <cell r="AP114">
            <v>747.80906997429997</v>
          </cell>
          <cell r="AQ114">
            <v>0</v>
          </cell>
          <cell r="AR114">
            <v>0</v>
          </cell>
          <cell r="AS114">
            <v>0</v>
          </cell>
          <cell r="AT114">
            <v>1877.8620000000001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1785.8216793833985</v>
          </cell>
          <cell r="BH114">
            <v>3408.189390821678</v>
          </cell>
          <cell r="BI114">
            <v>3678.2479553474091</v>
          </cell>
          <cell r="BJ114">
            <v>0.92657956510704453</v>
          </cell>
          <cell r="BK114">
            <v>0.44107078455102344</v>
          </cell>
          <cell r="BL114">
            <v>0.48550878055602109</v>
          </cell>
        </row>
        <row r="115">
          <cell r="A115" t="str">
            <v>UNCHAHAR STPS6</v>
          </cell>
          <cell r="B115" t="str">
            <v>UNCHAHAR STPS</v>
          </cell>
          <cell r="C115">
            <v>500</v>
          </cell>
          <cell r="D115" t="str">
            <v>RAIL</v>
          </cell>
          <cell r="E115">
            <v>1.0030717676626641</v>
          </cell>
          <cell r="F115">
            <v>25.914400000000001</v>
          </cell>
          <cell r="G115">
            <v>81.325800000000001</v>
          </cell>
          <cell r="H115">
            <v>0.42534560730009024</v>
          </cell>
          <cell r="I115">
            <v>0.52564215679669646</v>
          </cell>
          <cell r="J115">
            <v>3.4216731655366331E-2</v>
          </cell>
          <cell r="K115">
            <v>0</v>
          </cell>
          <cell r="L115">
            <v>1.4795504247847167E-2</v>
          </cell>
          <cell r="M115">
            <v>0</v>
          </cell>
          <cell r="N115">
            <v>0</v>
          </cell>
          <cell r="O115">
            <v>0</v>
          </cell>
          <cell r="P115">
            <v>4265.9248665810264</v>
          </cell>
          <cell r="Q115">
            <v>4255.7844647679367</v>
          </cell>
          <cell r="R115">
            <v>5826.9470237497217</v>
          </cell>
          <cell r="S115" t="e">
            <v>#DIV/0!</v>
          </cell>
          <cell r="T115">
            <v>4464.9446334592512</v>
          </cell>
          <cell r="U115" t="e">
            <v>#DIV/0!</v>
          </cell>
          <cell r="V115" t="e">
            <v>#DIV/0!</v>
          </cell>
          <cell r="W115" t="e">
            <v>#DIV/0!</v>
          </cell>
          <cell r="X115">
            <v>683.98049165289001</v>
          </cell>
          <cell r="Y115">
            <v>845.26318050261352</v>
          </cell>
          <cell r="Z115">
            <v>130.87685935171314</v>
          </cell>
          <cell r="AA115"/>
          <cell r="AB115">
            <v>25.062059667095408</v>
          </cell>
          <cell r="AC115"/>
          <cell r="AD115"/>
          <cell r="AE115"/>
          <cell r="AF115">
            <v>1685.1825911743122</v>
          </cell>
          <cell r="AG115">
            <v>1.1361835485414404E-2</v>
          </cell>
          <cell r="AH115">
            <v>1725.4695852347079</v>
          </cell>
          <cell r="AI115">
            <v>601.61290209999993</v>
          </cell>
          <cell r="AJ115">
            <v>598.20022329999983</v>
          </cell>
          <cell r="AK115">
            <v>696.79552320000005</v>
          </cell>
          <cell r="AL115">
            <v>792.60750910000002</v>
          </cell>
          <cell r="AM115">
            <v>322.10326689999999</v>
          </cell>
          <cell r="AN115">
            <v>1749.0666840000001</v>
          </cell>
          <cell r="AO115">
            <v>556.63072829999999</v>
          </cell>
          <cell r="AP115">
            <v>642.67926679999994</v>
          </cell>
          <cell r="AQ115">
            <v>798.74035281576209</v>
          </cell>
          <cell r="AR115">
            <v>874.02726547841087</v>
          </cell>
          <cell r="AS115">
            <v>64.25430013980953</v>
          </cell>
          <cell r="AT115">
            <v>0</v>
          </cell>
          <cell r="AU115">
            <v>16.570550483469887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1733.6684397771508</v>
          </cell>
          <cell r="BH115">
            <v>3459.1380250118586</v>
          </cell>
          <cell r="BI115">
            <v>4316.9523179673752</v>
          </cell>
          <cell r="BJ115">
            <v>0.80129169150531276</v>
          </cell>
          <cell r="BK115">
            <v>0.39969623432096196</v>
          </cell>
          <cell r="BL115">
            <v>0.40159545718435075</v>
          </cell>
        </row>
        <row r="116">
          <cell r="A116" t="str">
            <v>MARWA TPS2</v>
          </cell>
          <cell r="B116" t="str">
            <v>MARWA TPS</v>
          </cell>
          <cell r="C116">
            <v>500</v>
          </cell>
          <cell r="D116" t="str">
            <v>RAIL</v>
          </cell>
          <cell r="E116">
            <v>0.57993987428259086</v>
          </cell>
          <cell r="F116">
            <v>22.070799999999998</v>
          </cell>
          <cell r="G116">
            <v>82.602188600000005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1</v>
          </cell>
          <cell r="O116">
            <v>0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>
            <v>4202.034650864076</v>
          </cell>
          <cell r="W116" t="e">
            <v>#DIV/0!</v>
          </cell>
          <cell r="X116"/>
          <cell r="Y116"/>
          <cell r="Z116"/>
          <cell r="AA116"/>
          <cell r="AB116"/>
          <cell r="AC116"/>
          <cell r="AD116">
            <v>1608.0582000000002</v>
          </cell>
          <cell r="AE116"/>
          <cell r="AF116">
            <v>1608.0582000000002</v>
          </cell>
          <cell r="AG116">
            <v>0</v>
          </cell>
          <cell r="AH116">
            <v>1608.0582000000002</v>
          </cell>
          <cell r="AI116">
            <v>516.55585050000002</v>
          </cell>
          <cell r="AJ116">
            <v>459.71297320000002</v>
          </cell>
          <cell r="AK116">
            <v>628.1151132</v>
          </cell>
          <cell r="AL116">
            <v>287.76291470000001</v>
          </cell>
          <cell r="AM116">
            <v>359.38150009999998</v>
          </cell>
          <cell r="AN116">
            <v>1846.296325</v>
          </cell>
          <cell r="AO116">
            <v>43.434750269999995</v>
          </cell>
          <cell r="AP116">
            <v>454.27619370000002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387.66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387.66</v>
          </cell>
          <cell r="BH116">
            <v>1995.7182000000003</v>
          </cell>
          <cell r="BI116">
            <v>4202.034650864076</v>
          </cell>
          <cell r="BJ116">
            <v>0.47494091929718268</v>
          </cell>
          <cell r="BK116">
            <v>0.38268561152139258</v>
          </cell>
          <cell r="BL116">
            <v>9.2255307775790094E-2</v>
          </cell>
        </row>
        <row r="117">
          <cell r="A117" t="str">
            <v>BOKARO A TPS1</v>
          </cell>
          <cell r="B117" t="str">
            <v>BOKARO A TPS</v>
          </cell>
          <cell r="C117">
            <v>500</v>
          </cell>
          <cell r="D117"/>
          <cell r="E117">
            <v>0.6898460057747835</v>
          </cell>
          <cell r="F117">
            <v>23.753299999999999</v>
          </cell>
          <cell r="G117">
            <v>85.8703</v>
          </cell>
          <cell r="H117">
            <v>0</v>
          </cell>
          <cell r="I117">
            <v>1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4304.8689461390541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/>
          <cell r="Y117">
            <v>1693.8969600000003</v>
          </cell>
          <cell r="Z117"/>
          <cell r="AA117"/>
          <cell r="AB117"/>
          <cell r="AC117"/>
          <cell r="AD117"/>
          <cell r="AE117"/>
          <cell r="AF117">
            <v>1693.8969600000003</v>
          </cell>
          <cell r="AG117">
            <v>0</v>
          </cell>
          <cell r="AH117">
            <v>1693.8969600000003</v>
          </cell>
          <cell r="AI117">
            <v>66.669671770000008</v>
          </cell>
          <cell r="AJ117">
            <v>21.47557157</v>
          </cell>
          <cell r="AK117">
            <v>177.77970769999999</v>
          </cell>
          <cell r="AL117">
            <v>400.24647720000002</v>
          </cell>
          <cell r="AM117">
            <v>386.90439449999997</v>
          </cell>
          <cell r="AN117">
            <v>1385.607863</v>
          </cell>
          <cell r="AO117">
            <v>442.19854460000005</v>
          </cell>
          <cell r="AP117">
            <v>899.62645479999992</v>
          </cell>
          <cell r="AQ117">
            <v>0</v>
          </cell>
          <cell r="AR117">
            <v>387.66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387.66</v>
          </cell>
          <cell r="BH117">
            <v>2081.5569600000003</v>
          </cell>
          <cell r="BI117">
            <v>4304.8689461390541</v>
          </cell>
          <cell r="BJ117">
            <v>0.4835355003935497</v>
          </cell>
          <cell r="BK117">
            <v>0.39348397853533279</v>
          </cell>
          <cell r="BL117">
            <v>9.0051521858216868E-2</v>
          </cell>
        </row>
        <row r="118">
          <cell r="A118" t="str">
            <v>METTUR TPS EXT1</v>
          </cell>
          <cell r="B118" t="str">
            <v>METTUR TPS EXT</v>
          </cell>
          <cell r="C118">
            <v>600</v>
          </cell>
          <cell r="D118" t="str">
            <v>INTER MODAL</v>
          </cell>
          <cell r="E118">
            <v>1.1253635834787667</v>
          </cell>
          <cell r="F118">
            <v>11.7719</v>
          </cell>
          <cell r="G118">
            <v>77.813599999999994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4279.0292548546358</v>
          </cell>
          <cell r="X118"/>
          <cell r="Y118"/>
          <cell r="Z118"/>
          <cell r="AA118"/>
          <cell r="AB118"/>
          <cell r="AC118"/>
          <cell r="AD118"/>
          <cell r="AE118">
            <v>1608.0582000000002</v>
          </cell>
          <cell r="AF118">
            <v>1608.0582000000002</v>
          </cell>
          <cell r="AG118">
            <v>0.29531465817618852</v>
          </cell>
          <cell r="AH118">
            <v>2677.9660192592255</v>
          </cell>
          <cell r="AI118">
            <v>1896.7804329999999</v>
          </cell>
          <cell r="AJ118">
            <v>1839.937555</v>
          </cell>
          <cell r="AK118">
            <v>1992.1484419999999</v>
          </cell>
          <cell r="AL118">
            <v>1561.2266219999999</v>
          </cell>
          <cell r="AM118">
            <v>1828.7329869999999</v>
          </cell>
          <cell r="AN118">
            <v>3201.8282220000001</v>
          </cell>
          <cell r="AO118">
            <v>1529.422478</v>
          </cell>
          <cell r="AP118">
            <v>1196.0708030000001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2926.1819999999998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2062.0375629086843</v>
          </cell>
          <cell r="BH118">
            <v>4740.0035821679103</v>
          </cell>
          <cell r="BI118">
            <v>4279.0292548546358</v>
          </cell>
          <cell r="BJ118">
            <v>1.107728715990967</v>
          </cell>
          <cell r="BK118">
            <v>0.62583494053494138</v>
          </cell>
          <cell r="BL118">
            <v>0.48189377545602557</v>
          </cell>
        </row>
        <row r="119">
          <cell r="A119" t="str">
            <v>SAGARDIGHI TPS3</v>
          </cell>
          <cell r="B119" t="str">
            <v>SAGARDIGHI TPS</v>
          </cell>
          <cell r="C119">
            <v>500</v>
          </cell>
          <cell r="D119" t="str">
            <v>RAIL</v>
          </cell>
          <cell r="E119">
            <v>0.89534883720930236</v>
          </cell>
          <cell r="F119">
            <v>24.364699999999999</v>
          </cell>
          <cell r="G119">
            <v>88.108400000000003</v>
          </cell>
          <cell r="H119">
            <v>0.11968449293995434</v>
          </cell>
          <cell r="I119">
            <v>2.7015749270536397E-2</v>
          </cell>
          <cell r="J119">
            <v>0.85329975778950917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4243.6269984843111</v>
          </cell>
          <cell r="Q119">
            <v>4362.6090134852402</v>
          </cell>
          <cell r="R119">
            <v>6117.625830960058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>
            <v>192.45963028493571</v>
          </cell>
          <cell r="Y119">
            <v>45.761895561483826</v>
          </cell>
          <cell r="Z119">
            <v>3543.0029903129766</v>
          </cell>
          <cell r="AA119"/>
          <cell r="AB119"/>
          <cell r="AC119"/>
          <cell r="AD119"/>
          <cell r="AE119"/>
          <cell r="AF119">
            <v>3781.224516159396</v>
          </cell>
          <cell r="AG119">
            <v>6.5371616889120401E-4</v>
          </cell>
          <cell r="AH119">
            <v>3782.1722578344447</v>
          </cell>
          <cell r="AI119">
            <v>228.69749340000001</v>
          </cell>
          <cell r="AJ119">
            <v>304.2342041</v>
          </cell>
          <cell r="AK119">
            <v>122.4456533</v>
          </cell>
          <cell r="AL119">
            <v>610.7552404999999</v>
          </cell>
          <cell r="AM119">
            <v>633.95052740000006</v>
          </cell>
          <cell r="AN119">
            <v>1206.600946</v>
          </cell>
          <cell r="AO119">
            <v>703.82183810000004</v>
          </cell>
          <cell r="AP119">
            <v>1161.249748</v>
          </cell>
          <cell r="AQ119">
            <v>115.23821402723505</v>
          </cell>
          <cell r="AR119">
            <v>30.25688274202119</v>
          </cell>
          <cell r="AS119">
            <v>517.43755992452714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662.49928689721673</v>
          </cell>
          <cell r="BH119">
            <v>4444.6715447316619</v>
          </cell>
          <cell r="BI119">
            <v>5845.9241366186579</v>
          </cell>
          <cell r="BJ119">
            <v>0.76030263836138412</v>
          </cell>
          <cell r="BK119">
            <v>0.64697593903811612</v>
          </cell>
          <cell r="BL119">
            <v>0.11332669932326783</v>
          </cell>
        </row>
        <row r="120">
          <cell r="A120" t="str">
            <v>VINDHYACHAL STPS13</v>
          </cell>
          <cell r="B120" t="str">
            <v>VINDHYACHAL STPS</v>
          </cell>
          <cell r="C120">
            <v>500</v>
          </cell>
          <cell r="D120" t="str">
            <v>PITHEAD</v>
          </cell>
          <cell r="E120">
            <v>0.41716738197424891</v>
          </cell>
          <cell r="F120">
            <v>24.100200000000001</v>
          </cell>
          <cell r="G120">
            <v>82.6721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1</v>
          </cell>
          <cell r="M120">
            <v>0</v>
          </cell>
          <cell r="N120">
            <v>0</v>
          </cell>
          <cell r="O120">
            <v>0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>
            <v>4450.5827544825906</v>
          </cell>
          <cell r="U120" t="e">
            <v>#DIV/0!</v>
          </cell>
          <cell r="V120" t="e">
            <v>#DIV/0!</v>
          </cell>
          <cell r="W120" t="e">
            <v>#DIV/0!</v>
          </cell>
          <cell r="X120"/>
          <cell r="Y120"/>
          <cell r="Z120"/>
          <cell r="AA120"/>
          <cell r="AB120">
            <v>1693.8969600000003</v>
          </cell>
          <cell r="AC120"/>
          <cell r="AD120"/>
          <cell r="AE120"/>
          <cell r="AF120">
            <v>1693.8969600000003</v>
          </cell>
          <cell r="AG120">
            <v>0</v>
          </cell>
          <cell r="AH120">
            <v>1693.8969600000003</v>
          </cell>
          <cell r="AI120">
            <v>469.52908040000005</v>
          </cell>
          <cell r="AJ120">
            <v>468.29190699999992</v>
          </cell>
          <cell r="AK120">
            <v>569.69621079999979</v>
          </cell>
          <cell r="AL120">
            <v>568.68672879999997</v>
          </cell>
          <cell r="AM120">
            <v>44.382377450000014</v>
          </cell>
          <cell r="AN120">
            <v>1675.9415349999999</v>
          </cell>
          <cell r="AO120">
            <v>356.98295969999992</v>
          </cell>
          <cell r="AP120">
            <v>660.02921019999985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113.19674655898073</v>
          </cell>
          <cell r="BD120">
            <v>0</v>
          </cell>
          <cell r="BE120">
            <v>0</v>
          </cell>
          <cell r="BF120">
            <v>0</v>
          </cell>
          <cell r="BG120">
            <v>113.19674655898073</v>
          </cell>
          <cell r="BH120">
            <v>1807.093706558981</v>
          </cell>
          <cell r="BI120">
            <v>4450.5827544825906</v>
          </cell>
          <cell r="BJ120">
            <v>0.40603530059943072</v>
          </cell>
          <cell r="BK120">
            <v>0.38060116021748414</v>
          </cell>
          <cell r="BL120">
            <v>2.5434140381946586E-2</v>
          </cell>
        </row>
        <row r="121">
          <cell r="A121" t="str">
            <v>CHANDRAPUR STPS9</v>
          </cell>
          <cell r="B121" t="str">
            <v>CHANDRAPUR STPS</v>
          </cell>
          <cell r="C121">
            <v>500</v>
          </cell>
          <cell r="D121" t="str">
            <v>RAIL</v>
          </cell>
          <cell r="E121">
            <v>0.85511111111111116</v>
          </cell>
          <cell r="F121">
            <v>20.0046</v>
          </cell>
          <cell r="G121">
            <v>79.2881</v>
          </cell>
          <cell r="H121">
            <v>0</v>
          </cell>
          <cell r="I121">
            <v>0</v>
          </cell>
          <cell r="J121">
            <v>0</v>
          </cell>
          <cell r="K121">
            <v>1.7806354402605864E-4</v>
          </cell>
          <cell r="L121">
            <v>0</v>
          </cell>
          <cell r="M121">
            <v>0</v>
          </cell>
          <cell r="N121">
            <v>9.875656184697339E-3</v>
          </cell>
          <cell r="O121">
            <v>0.98994628027127662</v>
          </cell>
          <cell r="P121" t="e">
            <v>#DIV/0!</v>
          </cell>
          <cell r="Q121" t="e">
            <v>#DIV/0!</v>
          </cell>
          <cell r="R121" t="e">
            <v>#DIV/0!</v>
          </cell>
          <cell r="S121">
            <v>3550</v>
          </cell>
          <cell r="T121" t="e">
            <v>#DIV/0!</v>
          </cell>
          <cell r="U121" t="e">
            <v>#DIV/0!</v>
          </cell>
          <cell r="V121">
            <v>4418.0665198501893</v>
          </cell>
          <cell r="W121">
            <v>4179.5340119096463</v>
          </cell>
          <cell r="X121"/>
          <cell r="Y121"/>
          <cell r="Z121"/>
          <cell r="AA121">
            <v>0.25576703445136006</v>
          </cell>
          <cell r="AB121"/>
          <cell r="AC121"/>
          <cell r="AD121">
            <v>16.728343989264022</v>
          </cell>
          <cell r="AE121">
            <v>1591.8912335497248</v>
          </cell>
          <cell r="AF121">
            <v>1608.8753445734401</v>
          </cell>
          <cell r="AG121">
            <v>3.3278847509413102E-2</v>
          </cell>
          <cell r="AH121">
            <v>1729.4154786414658</v>
          </cell>
          <cell r="AI121">
            <v>993.51831249999998</v>
          </cell>
          <cell r="AJ121">
            <v>936.67543520000004</v>
          </cell>
          <cell r="AK121">
            <v>1105.077575</v>
          </cell>
          <cell r="AL121">
            <v>697.13640820000012</v>
          </cell>
          <cell r="AM121">
            <v>787.70863150000002</v>
          </cell>
          <cell r="AN121">
            <v>2291.8531690000004</v>
          </cell>
          <cell r="AO121">
            <v>514.90143520000004</v>
          </cell>
          <cell r="AP121">
            <v>152.50439810000003</v>
          </cell>
          <cell r="AQ121">
            <v>0</v>
          </cell>
          <cell r="AR121">
            <v>0</v>
          </cell>
          <cell r="AS121">
            <v>0</v>
          </cell>
          <cell r="AT121">
            <v>0.33437876291186253</v>
          </cell>
          <cell r="AU121">
            <v>0</v>
          </cell>
          <cell r="AV121">
            <v>0</v>
          </cell>
          <cell r="AW121">
            <v>16.42104359079104</v>
          </cell>
          <cell r="AX121">
            <v>723.91009680373418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716.01702428991644</v>
          </cell>
          <cell r="BH121">
            <v>2445.4325029313823</v>
          </cell>
          <cell r="BI121">
            <v>4181.7775798896982</v>
          </cell>
          <cell r="BJ121">
            <v>0.58478301540750166</v>
          </cell>
          <cell r="BK121">
            <v>0.41355989064513615</v>
          </cell>
          <cell r="BL121">
            <v>0.17122312476236545</v>
          </cell>
        </row>
        <row r="122">
          <cell r="A122" t="str">
            <v>MAITHON RB TPP2</v>
          </cell>
          <cell r="B122" t="str">
            <v>MAITHON RB TPP</v>
          </cell>
          <cell r="C122">
            <v>525</v>
          </cell>
          <cell r="D122" t="str">
            <v>RAIL</v>
          </cell>
          <cell r="E122">
            <v>0.69342919912123024</v>
          </cell>
          <cell r="F122">
            <v>23.821666666666665</v>
          </cell>
          <cell r="G122">
            <v>86.76</v>
          </cell>
          <cell r="H122">
            <v>0.58158604777483358</v>
          </cell>
          <cell r="I122">
            <v>0.41634317018365369</v>
          </cell>
          <cell r="J122">
            <v>2.0707820415127942E-3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4391.5427409256936</v>
          </cell>
          <cell r="Q122">
            <v>4486.9378308074001</v>
          </cell>
          <cell r="R122">
            <v>6250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>
            <v>985.14683830420552</v>
          </cell>
          <cell r="Y122">
            <v>705.24243029085369</v>
          </cell>
          <cell r="Z122">
            <v>8.5981355302061022</v>
          </cell>
          <cell r="AA122"/>
          <cell r="AB122"/>
          <cell r="AC122"/>
          <cell r="AD122"/>
          <cell r="AE122"/>
          <cell r="AF122">
            <v>1698.9874041252651</v>
          </cell>
          <cell r="AG122">
            <v>1.7995376705771868E-2</v>
          </cell>
          <cell r="AH122">
            <v>1762.5473013175622</v>
          </cell>
          <cell r="AI122">
            <v>42.261071870000002</v>
          </cell>
          <cell r="AJ122">
            <v>117.79778260000001</v>
          </cell>
          <cell r="AK122">
            <v>114.52286530000001</v>
          </cell>
          <cell r="AL122">
            <v>476.38217340000006</v>
          </cell>
          <cell r="AM122">
            <v>458.55842369999999</v>
          </cell>
          <cell r="AN122">
            <v>1358.8395930000001</v>
          </cell>
          <cell r="AO122">
            <v>528.1676999</v>
          </cell>
          <cell r="AP122">
            <v>985.59561010000004</v>
          </cell>
          <cell r="AQ122">
            <v>225.457647280392</v>
          </cell>
          <cell r="AR122">
            <v>252.46883302668684</v>
          </cell>
          <cell r="AS122">
            <v>1.2557139468451923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470.55913015762627</v>
          </cell>
          <cell r="BH122">
            <v>2233.1064314751884</v>
          </cell>
          <cell r="BI122">
            <v>4435.1082949840093</v>
          </cell>
          <cell r="BJ122">
            <v>0.503506630041204</v>
          </cell>
          <cell r="BK122">
            <v>0.39740795130323125</v>
          </cell>
          <cell r="BL122">
            <v>0.1060986787379727</v>
          </cell>
        </row>
        <row r="123">
          <cell r="A123" t="str">
            <v>CHANDRAPUR STPS8</v>
          </cell>
          <cell r="B123" t="str">
            <v>CHANDRAPUR STPS</v>
          </cell>
          <cell r="C123">
            <v>500</v>
          </cell>
          <cell r="D123" t="str">
            <v>RAIL</v>
          </cell>
          <cell r="E123">
            <v>0.85511111111111116</v>
          </cell>
          <cell r="F123">
            <v>20.0046</v>
          </cell>
          <cell r="G123">
            <v>79.2881</v>
          </cell>
          <cell r="H123">
            <v>0</v>
          </cell>
          <cell r="I123">
            <v>0</v>
          </cell>
          <cell r="J123">
            <v>0</v>
          </cell>
          <cell r="K123">
            <v>1.7806354402605864E-4</v>
          </cell>
          <cell r="L123">
            <v>0</v>
          </cell>
          <cell r="M123">
            <v>0</v>
          </cell>
          <cell r="N123">
            <v>9.875656184697339E-3</v>
          </cell>
          <cell r="O123">
            <v>0.98994628027127662</v>
          </cell>
          <cell r="P123" t="e">
            <v>#DIV/0!</v>
          </cell>
          <cell r="Q123" t="e">
            <v>#DIV/0!</v>
          </cell>
          <cell r="R123" t="e">
            <v>#DIV/0!</v>
          </cell>
          <cell r="S123">
            <v>3550</v>
          </cell>
          <cell r="T123" t="e">
            <v>#DIV/0!</v>
          </cell>
          <cell r="U123" t="e">
            <v>#DIV/0!</v>
          </cell>
          <cell r="V123">
            <v>4418.0665198501893</v>
          </cell>
          <cell r="W123">
            <v>4179.5340119096463</v>
          </cell>
          <cell r="X123"/>
          <cell r="Y123"/>
          <cell r="Z123"/>
          <cell r="AA123">
            <v>0.25576703445136006</v>
          </cell>
          <cell r="AB123"/>
          <cell r="AC123"/>
          <cell r="AD123">
            <v>16.728343989264022</v>
          </cell>
          <cell r="AE123">
            <v>1591.8912335497248</v>
          </cell>
          <cell r="AF123">
            <v>1608.8753445734401</v>
          </cell>
          <cell r="AG123">
            <v>3.3278847509413102E-2</v>
          </cell>
          <cell r="AH123">
            <v>1729.4154786414658</v>
          </cell>
          <cell r="AI123">
            <v>993.51831249999998</v>
          </cell>
          <cell r="AJ123">
            <v>936.67543520000004</v>
          </cell>
          <cell r="AK123">
            <v>1105.077575</v>
          </cell>
          <cell r="AL123">
            <v>697.13640820000012</v>
          </cell>
          <cell r="AM123">
            <v>787.70863150000002</v>
          </cell>
          <cell r="AN123">
            <v>2291.8531690000004</v>
          </cell>
          <cell r="AO123">
            <v>514.90143520000004</v>
          </cell>
          <cell r="AP123">
            <v>152.50439810000003</v>
          </cell>
          <cell r="AQ123">
            <v>0</v>
          </cell>
          <cell r="AR123">
            <v>0</v>
          </cell>
          <cell r="AS123">
            <v>0</v>
          </cell>
          <cell r="AT123">
            <v>0.33437876291186253</v>
          </cell>
          <cell r="AU123">
            <v>0</v>
          </cell>
          <cell r="AV123">
            <v>0</v>
          </cell>
          <cell r="AW123">
            <v>16.42104359079104</v>
          </cell>
          <cell r="AX123">
            <v>723.91009680373418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716.01702428991644</v>
          </cell>
          <cell r="BH123">
            <v>2445.4325029313823</v>
          </cell>
          <cell r="BI123">
            <v>4181.7775798896982</v>
          </cell>
          <cell r="BJ123">
            <v>0.58478301540750166</v>
          </cell>
          <cell r="BK123">
            <v>0.41355989064513615</v>
          </cell>
          <cell r="BL123">
            <v>0.17122312476236545</v>
          </cell>
        </row>
        <row r="124">
          <cell r="A124" t="str">
            <v>MAITHON RB TPP1</v>
          </cell>
          <cell r="B124" t="str">
            <v>MAITHON RB TPP</v>
          </cell>
          <cell r="C124">
            <v>525</v>
          </cell>
          <cell r="D124" t="str">
            <v>RAIL</v>
          </cell>
          <cell r="E124">
            <v>0.69342919912123024</v>
          </cell>
          <cell r="F124">
            <v>23.821666666666665</v>
          </cell>
          <cell r="G124">
            <v>86.76</v>
          </cell>
          <cell r="H124">
            <v>0.58158604777483358</v>
          </cell>
          <cell r="I124">
            <v>0.41634317018365369</v>
          </cell>
          <cell r="J124">
            <v>2.0707820415127942E-3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4391.5427409256936</v>
          </cell>
          <cell r="Q124">
            <v>4486.9378308074001</v>
          </cell>
          <cell r="R124">
            <v>6250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>
            <v>985.14683830420552</v>
          </cell>
          <cell r="Y124">
            <v>705.24243029085369</v>
          </cell>
          <cell r="Z124">
            <v>8.5981355302061022</v>
          </cell>
          <cell r="AA124"/>
          <cell r="AB124"/>
          <cell r="AC124"/>
          <cell r="AD124"/>
          <cell r="AE124"/>
          <cell r="AF124">
            <v>1698.9874041252651</v>
          </cell>
          <cell r="AG124">
            <v>1.7995376705771868E-2</v>
          </cell>
          <cell r="AH124">
            <v>1762.5473013175622</v>
          </cell>
          <cell r="AI124">
            <v>42.261071870000002</v>
          </cell>
          <cell r="AJ124">
            <v>117.79778260000001</v>
          </cell>
          <cell r="AK124">
            <v>114.52286530000001</v>
          </cell>
          <cell r="AL124">
            <v>476.38217340000006</v>
          </cell>
          <cell r="AM124">
            <v>458.55842369999999</v>
          </cell>
          <cell r="AN124">
            <v>1358.8395930000001</v>
          </cell>
          <cell r="AO124">
            <v>528.1676999</v>
          </cell>
          <cell r="AP124">
            <v>985.59561010000004</v>
          </cell>
          <cell r="AQ124">
            <v>225.457647280392</v>
          </cell>
          <cell r="AR124">
            <v>252.46883302668684</v>
          </cell>
          <cell r="AS124">
            <v>1.2557139468451923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470.55913015762627</v>
          </cell>
          <cell r="BH124">
            <v>2233.1064314751884</v>
          </cell>
          <cell r="BI124">
            <v>4435.1082949840093</v>
          </cell>
          <cell r="BJ124">
            <v>0.503506630041204</v>
          </cell>
          <cell r="BK124">
            <v>0.39740795130323125</v>
          </cell>
          <cell r="BL124">
            <v>0.1060986787379727</v>
          </cell>
        </row>
        <row r="125">
          <cell r="A125" t="str">
            <v>MARWA TPS1</v>
          </cell>
          <cell r="B125" t="str">
            <v>MARWA TPS</v>
          </cell>
          <cell r="C125">
            <v>500</v>
          </cell>
          <cell r="D125" t="str">
            <v>RAIL</v>
          </cell>
          <cell r="E125">
            <v>0.57993987428259086</v>
          </cell>
          <cell r="F125">
            <v>22.070799999999998</v>
          </cell>
          <cell r="G125">
            <v>82.602188600000005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  <cell r="O125">
            <v>0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>
            <v>4202.034650864076</v>
          </cell>
          <cell r="W125" t="e">
            <v>#DIV/0!</v>
          </cell>
          <cell r="X125"/>
          <cell r="Y125"/>
          <cell r="Z125"/>
          <cell r="AA125"/>
          <cell r="AB125"/>
          <cell r="AC125"/>
          <cell r="AD125">
            <v>1608.0582000000002</v>
          </cell>
          <cell r="AE125"/>
          <cell r="AF125">
            <v>1608.0582000000002</v>
          </cell>
          <cell r="AG125">
            <v>0</v>
          </cell>
          <cell r="AH125">
            <v>1608.0582000000002</v>
          </cell>
          <cell r="AI125">
            <v>516.55585050000002</v>
          </cell>
          <cell r="AJ125">
            <v>459.71297320000002</v>
          </cell>
          <cell r="AK125">
            <v>628.1151132</v>
          </cell>
          <cell r="AL125">
            <v>287.76291470000001</v>
          </cell>
          <cell r="AM125">
            <v>359.38150009999998</v>
          </cell>
          <cell r="AN125">
            <v>1846.296325</v>
          </cell>
          <cell r="AO125">
            <v>43.434750269999995</v>
          </cell>
          <cell r="AP125">
            <v>454.27619370000002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387.66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387.66</v>
          </cell>
          <cell r="BH125">
            <v>1995.7182000000003</v>
          </cell>
          <cell r="BI125">
            <v>4202.034650864076</v>
          </cell>
          <cell r="BJ125">
            <v>0.47494091929718268</v>
          </cell>
          <cell r="BK125">
            <v>0.38268561152139258</v>
          </cell>
          <cell r="BL125">
            <v>9.2255307775790094E-2</v>
          </cell>
        </row>
        <row r="126">
          <cell r="A126" t="str">
            <v>VALLUR TPP3</v>
          </cell>
          <cell r="B126" t="str">
            <v>VALLUR TPP</v>
          </cell>
          <cell r="C126">
            <v>500</v>
          </cell>
          <cell r="D126" t="str">
            <v>INTER MODAL</v>
          </cell>
          <cell r="E126">
            <v>0.74643660915228804</v>
          </cell>
          <cell r="F126">
            <v>13.235483333333333</v>
          </cell>
          <cell r="G126">
            <v>80.302499999999995</v>
          </cell>
          <cell r="H126">
            <v>0</v>
          </cell>
          <cell r="I126">
            <v>3.8553503189959044E-2</v>
          </cell>
          <cell r="J126">
            <v>0.19572272537439867</v>
          </cell>
          <cell r="K126">
            <v>0.76572377143564241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e">
            <v>#DIV/0!</v>
          </cell>
          <cell r="Q126">
            <v>4196.3400285761199</v>
          </cell>
          <cell r="R126">
            <v>6136.2397502287095</v>
          </cell>
          <cell r="S126">
            <v>3710.3645650076014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/>
          <cell r="Y126">
            <v>61.996276943339808</v>
          </cell>
          <cell r="Z126">
            <v>812.66424248154817</v>
          </cell>
          <cell r="AA126">
            <v>1165.5996105494517</v>
          </cell>
          <cell r="AB126"/>
          <cell r="AC126"/>
          <cell r="AD126"/>
          <cell r="AE126"/>
          <cell r="AF126">
            <v>2040.2601299743396</v>
          </cell>
          <cell r="AG126">
            <v>0</v>
          </cell>
          <cell r="AH126">
            <v>2040.2601299743396</v>
          </cell>
          <cell r="AI126">
            <v>1628.5557900000001</v>
          </cell>
          <cell r="AJ126">
            <v>1571.7129119999997</v>
          </cell>
          <cell r="AK126">
            <v>1723.9237989999999</v>
          </cell>
          <cell r="AL126">
            <v>1293.00198</v>
          </cell>
          <cell r="AM126">
            <v>1560.508345</v>
          </cell>
          <cell r="AN126">
            <v>2933.6035790000001</v>
          </cell>
          <cell r="AO126">
            <v>1261.1978359999998</v>
          </cell>
          <cell r="AP126">
            <v>1009.188522</v>
          </cell>
          <cell r="AQ126">
            <v>0</v>
          </cell>
          <cell r="AR126">
            <v>138.63832036408635</v>
          </cell>
          <cell r="AS126">
            <v>730.5264606600266</v>
          </cell>
          <cell r="AT126">
            <v>2403.603855641396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3272.7686366655089</v>
          </cell>
          <cell r="BH126">
            <v>5313.028766639849</v>
          </cell>
          <cell r="BI126">
            <v>4203.8995242621295</v>
          </cell>
          <cell r="BJ126">
            <v>1.2638334327394265</v>
          </cell>
          <cell r="BK126">
            <v>0.48532561689433978</v>
          </cell>
          <cell r="BL126">
            <v>0.77850781584508655</v>
          </cell>
        </row>
        <row r="127">
          <cell r="A127" t="str">
            <v>RIHAND STPS6</v>
          </cell>
          <cell r="B127" t="str">
            <v>RIHAND STPS</v>
          </cell>
          <cell r="C127">
            <v>500</v>
          </cell>
          <cell r="D127" t="str">
            <v>PITHEAD</v>
          </cell>
          <cell r="E127">
            <v>0.37335560659845479</v>
          </cell>
          <cell r="F127">
            <v>24.026700000000002</v>
          </cell>
          <cell r="G127">
            <v>82.7911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1</v>
          </cell>
          <cell r="M127">
            <v>0</v>
          </cell>
          <cell r="N127">
            <v>0</v>
          </cell>
          <cell r="O127">
            <v>0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>
            <v>4451.988614696289</v>
          </cell>
          <cell r="U127" t="e">
            <v>#DIV/0!</v>
          </cell>
          <cell r="V127" t="e">
            <v>#DIV/0!</v>
          </cell>
          <cell r="W127" t="e">
            <v>#DIV/0!</v>
          </cell>
          <cell r="X127"/>
          <cell r="Y127"/>
          <cell r="Z127"/>
          <cell r="AA127"/>
          <cell r="AB127">
            <v>1693.8969600000003</v>
          </cell>
          <cell r="AC127"/>
          <cell r="AD127"/>
          <cell r="AE127"/>
          <cell r="AF127">
            <v>1693.8969600000003</v>
          </cell>
          <cell r="AG127">
            <v>0</v>
          </cell>
          <cell r="AH127">
            <v>1693.8969600000003</v>
          </cell>
          <cell r="AI127">
            <v>454.41931380000005</v>
          </cell>
          <cell r="AJ127">
            <v>453.18214030000001</v>
          </cell>
          <cell r="AK127">
            <v>554.58644409999999</v>
          </cell>
          <cell r="AL127">
            <v>474.73724830000003</v>
          </cell>
          <cell r="AM127">
            <v>114.2335604</v>
          </cell>
          <cell r="AN127">
            <v>1664.545973</v>
          </cell>
          <cell r="AO127">
            <v>251.0117754</v>
          </cell>
          <cell r="AP127">
            <v>663.66113440000004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291.35139053099135</v>
          </cell>
          <cell r="BD127">
            <v>0</v>
          </cell>
          <cell r="BE127">
            <v>0</v>
          </cell>
          <cell r="BF127">
            <v>0</v>
          </cell>
          <cell r="BG127">
            <v>291.35139053099135</v>
          </cell>
          <cell r="BH127">
            <v>1985.2483505309915</v>
          </cell>
          <cell r="BI127">
            <v>4451.988614696289</v>
          </cell>
          <cell r="BJ127">
            <v>0.44592395047407901</v>
          </cell>
          <cell r="BK127">
            <v>0.3804809730214363</v>
          </cell>
          <cell r="BL127">
            <v>6.5442977452642728E-2</v>
          </cell>
        </row>
        <row r="128">
          <cell r="A128" t="str">
            <v>KORBA-WEST TPS5</v>
          </cell>
          <cell r="B128" t="str">
            <v>KORBA-WEST TPS</v>
          </cell>
          <cell r="C128">
            <v>500</v>
          </cell>
          <cell r="D128" t="str">
            <v>PITHEAD</v>
          </cell>
          <cell r="E128" t="str">
            <v/>
          </cell>
          <cell r="F128">
            <v>22.412500000000001</v>
          </cell>
          <cell r="G128">
            <v>82.688599999999994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1</v>
          </cell>
          <cell r="O128">
            <v>0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>
            <v>4151.0935953175876</v>
          </cell>
          <cell r="W128" t="e">
            <v>#DIV/0!</v>
          </cell>
          <cell r="X128"/>
          <cell r="Y128"/>
          <cell r="Z128"/>
          <cell r="AA128"/>
          <cell r="AB128"/>
          <cell r="AC128"/>
          <cell r="AD128">
            <v>1608.0582000000002</v>
          </cell>
          <cell r="AE128"/>
          <cell r="AF128">
            <v>1608.0582000000002</v>
          </cell>
          <cell r="AG128">
            <v>0</v>
          </cell>
          <cell r="AH128">
            <v>1608.0582000000002</v>
          </cell>
          <cell r="AI128">
            <v>497.3291804000001</v>
          </cell>
          <cell r="AJ128">
            <v>566.13340789999995</v>
          </cell>
          <cell r="AK128">
            <v>608.86579989999996</v>
          </cell>
          <cell r="AL128">
            <v>349.61589380000004</v>
          </cell>
          <cell r="AM128">
            <v>316.78310119999998</v>
          </cell>
          <cell r="AN128">
            <v>1803.494111</v>
          </cell>
          <cell r="AO128">
            <v>12.759536350000001</v>
          </cell>
          <cell r="AP128">
            <v>489.10189220000001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32.543051666130424</v>
          </cell>
          <cell r="BF128">
            <v>0</v>
          </cell>
          <cell r="BG128">
            <v>32.543051666130424</v>
          </cell>
          <cell r="BH128">
            <v>1640.6012516661306</v>
          </cell>
          <cell r="BI128">
            <v>4151.0935953175876</v>
          </cell>
          <cell r="BJ128">
            <v>0.39522145526102337</v>
          </cell>
          <cell r="BK128">
            <v>0.38738182194058007</v>
          </cell>
          <cell r="BL128">
            <v>7.839633320443273E-3</v>
          </cell>
        </row>
        <row r="129">
          <cell r="A129" t="str">
            <v>VINDHYACHAL STPS12</v>
          </cell>
          <cell r="B129" t="str">
            <v>VINDHYACHAL STPS</v>
          </cell>
          <cell r="C129">
            <v>500</v>
          </cell>
          <cell r="D129" t="str">
            <v>PITHEAD</v>
          </cell>
          <cell r="E129">
            <v>0.40702348212396872</v>
          </cell>
          <cell r="F129">
            <v>24.100200000000001</v>
          </cell>
          <cell r="G129">
            <v>82.6721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1</v>
          </cell>
          <cell r="M129">
            <v>0</v>
          </cell>
          <cell r="N129">
            <v>0</v>
          </cell>
          <cell r="O129">
            <v>0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>
            <v>4450.5827544825906</v>
          </cell>
          <cell r="U129" t="e">
            <v>#DIV/0!</v>
          </cell>
          <cell r="V129" t="e">
            <v>#DIV/0!</v>
          </cell>
          <cell r="W129" t="e">
            <v>#DIV/0!</v>
          </cell>
          <cell r="X129"/>
          <cell r="Y129"/>
          <cell r="Z129"/>
          <cell r="AA129"/>
          <cell r="AB129">
            <v>1693.8969600000003</v>
          </cell>
          <cell r="AC129"/>
          <cell r="AD129"/>
          <cell r="AE129"/>
          <cell r="AF129">
            <v>1693.8969600000003</v>
          </cell>
          <cell r="AG129">
            <v>0</v>
          </cell>
          <cell r="AH129">
            <v>1693.8969600000003</v>
          </cell>
          <cell r="AI129">
            <v>469.52908040000005</v>
          </cell>
          <cell r="AJ129">
            <v>468.29190699999992</v>
          </cell>
          <cell r="AK129">
            <v>569.69621079999979</v>
          </cell>
          <cell r="AL129">
            <v>568.68672879999997</v>
          </cell>
          <cell r="AM129">
            <v>44.382377450000014</v>
          </cell>
          <cell r="AN129">
            <v>1675.9415349999999</v>
          </cell>
          <cell r="AO129">
            <v>356.98295969999992</v>
          </cell>
          <cell r="AP129">
            <v>660.02921019999985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113.19674655898073</v>
          </cell>
          <cell r="BD129">
            <v>0</v>
          </cell>
          <cell r="BE129">
            <v>0</v>
          </cell>
          <cell r="BF129">
            <v>0</v>
          </cell>
          <cell r="BG129">
            <v>113.19674655898073</v>
          </cell>
          <cell r="BH129">
            <v>1807.093706558981</v>
          </cell>
          <cell r="BI129">
            <v>4450.5827544825906</v>
          </cell>
          <cell r="BJ129">
            <v>0.40603530059943072</v>
          </cell>
          <cell r="BK129">
            <v>0.38060116021748414</v>
          </cell>
          <cell r="BL129">
            <v>2.5434140381946586E-2</v>
          </cell>
        </row>
        <row r="130">
          <cell r="A130" t="str">
            <v>KODARMA TPS2</v>
          </cell>
          <cell r="B130" t="str">
            <v>KODARMA TPS</v>
          </cell>
          <cell r="C130">
            <v>500</v>
          </cell>
          <cell r="D130" t="str">
            <v>RAIL</v>
          </cell>
          <cell r="E130">
            <v>0.68983050847457628</v>
          </cell>
          <cell r="F130">
            <v>24.389900000000001</v>
          </cell>
          <cell r="G130">
            <v>85.562799999999996</v>
          </cell>
          <cell r="H130">
            <v>0.30792830438820257</v>
          </cell>
          <cell r="I130">
            <v>0.68906772634013036</v>
          </cell>
          <cell r="J130">
            <v>3.0039692716671293E-3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4287.6733651774139</v>
          </cell>
          <cell r="Q130">
            <v>4300.0479777525306</v>
          </cell>
          <cell r="R130">
            <v>5491.2684038414436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>
            <v>495.16663488354516</v>
          </cell>
          <cell r="Y130">
            <v>1167.209726881659</v>
          </cell>
          <cell r="Z130">
            <v>8.4592406725281144</v>
          </cell>
          <cell r="AA130"/>
          <cell r="AB130"/>
          <cell r="AC130"/>
          <cell r="AD130"/>
          <cell r="AE130"/>
          <cell r="AF130">
            <v>1670.8356024377322</v>
          </cell>
          <cell r="AG130">
            <v>0</v>
          </cell>
          <cell r="AH130">
            <v>1670.8356024377322</v>
          </cell>
          <cell r="AI130">
            <v>121.31435929999999</v>
          </cell>
          <cell r="AJ130">
            <v>130.6283128</v>
          </cell>
          <cell r="AK130">
            <v>206.3128327</v>
          </cell>
          <cell r="AL130">
            <v>498.22865879999995</v>
          </cell>
          <cell r="AM130">
            <v>345.31733870000005</v>
          </cell>
          <cell r="AN130">
            <v>1359.3635160000001</v>
          </cell>
          <cell r="AO130">
            <v>499.01823719999999</v>
          </cell>
          <cell r="AP130">
            <v>933.52918799999998</v>
          </cell>
          <cell r="AQ130">
            <v>186.72649206778848</v>
          </cell>
          <cell r="AR130">
            <v>469.33367535843155</v>
          </cell>
          <cell r="AS130">
            <v>2.8923718132246954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658.95253923944472</v>
          </cell>
          <cell r="BH130">
            <v>2329.788141677177</v>
          </cell>
          <cell r="BI130">
            <v>4299.8158738405682</v>
          </cell>
          <cell r="BJ130">
            <v>0.54183439710785219</v>
          </cell>
          <cell r="BK130">
            <v>0.38858305831253015</v>
          </cell>
          <cell r="BL130">
            <v>0.15325133879532207</v>
          </cell>
        </row>
        <row r="131">
          <cell r="A131" t="str">
            <v>VALLUR TPP2</v>
          </cell>
          <cell r="B131" t="str">
            <v>VALLUR TPP</v>
          </cell>
          <cell r="C131">
            <v>500</v>
          </cell>
          <cell r="D131" t="str">
            <v>INTER MODAL</v>
          </cell>
          <cell r="E131">
            <v>0.74643660915228804</v>
          </cell>
          <cell r="F131">
            <v>13.235483333333333</v>
          </cell>
          <cell r="G131">
            <v>80.302499999999995</v>
          </cell>
          <cell r="H131">
            <v>0</v>
          </cell>
          <cell r="I131">
            <v>3.8553503189959044E-2</v>
          </cell>
          <cell r="J131">
            <v>0.19572272537439867</v>
          </cell>
          <cell r="K131">
            <v>0.76572377143564241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e">
            <v>#DIV/0!</v>
          </cell>
          <cell r="Q131">
            <v>4196.3400285761199</v>
          </cell>
          <cell r="R131">
            <v>6136.2397502287095</v>
          </cell>
          <cell r="S131">
            <v>3710.3645650076014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/>
          <cell r="Y131">
            <v>61.996276943339808</v>
          </cell>
          <cell r="Z131">
            <v>812.66424248154817</v>
          </cell>
          <cell r="AA131">
            <v>1165.5996105494517</v>
          </cell>
          <cell r="AB131"/>
          <cell r="AC131"/>
          <cell r="AD131"/>
          <cell r="AE131"/>
          <cell r="AF131">
            <v>2040.2601299743396</v>
          </cell>
          <cell r="AG131">
            <v>0</v>
          </cell>
          <cell r="AH131">
            <v>2040.2601299743396</v>
          </cell>
          <cell r="AI131">
            <v>1628.5557900000001</v>
          </cell>
          <cell r="AJ131">
            <v>1571.7129119999997</v>
          </cell>
          <cell r="AK131">
            <v>1723.9237989999999</v>
          </cell>
          <cell r="AL131">
            <v>1293.00198</v>
          </cell>
          <cell r="AM131">
            <v>1560.508345</v>
          </cell>
          <cell r="AN131">
            <v>2933.6035790000001</v>
          </cell>
          <cell r="AO131">
            <v>1261.1978359999998</v>
          </cell>
          <cell r="AP131">
            <v>1009.188522</v>
          </cell>
          <cell r="AQ131">
            <v>0</v>
          </cell>
          <cell r="AR131">
            <v>138.63832036408635</v>
          </cell>
          <cell r="AS131">
            <v>730.5264606600266</v>
          </cell>
          <cell r="AT131">
            <v>2403.603855641396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3272.7686366655089</v>
          </cell>
          <cell r="BH131">
            <v>5313.028766639849</v>
          </cell>
          <cell r="BI131">
            <v>4203.8995242621295</v>
          </cell>
          <cell r="BJ131">
            <v>1.2638334327394265</v>
          </cell>
          <cell r="BK131">
            <v>0.48532561689433978</v>
          </cell>
          <cell r="BL131">
            <v>0.77850781584508655</v>
          </cell>
        </row>
        <row r="132">
          <cell r="A132" t="str">
            <v>VINDHYACHAL STPS11</v>
          </cell>
          <cell r="B132" t="str">
            <v>VINDHYACHAL STPS</v>
          </cell>
          <cell r="C132">
            <v>500</v>
          </cell>
          <cell r="D132" t="str">
            <v>PITHEAD</v>
          </cell>
          <cell r="E132">
            <v>0.40702348212396872</v>
          </cell>
          <cell r="F132">
            <v>24.100200000000001</v>
          </cell>
          <cell r="G132">
            <v>82.6721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1</v>
          </cell>
          <cell r="M132">
            <v>0</v>
          </cell>
          <cell r="N132">
            <v>0</v>
          </cell>
          <cell r="O132">
            <v>0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>
            <v>4450.5827544825906</v>
          </cell>
          <cell r="U132" t="e">
            <v>#DIV/0!</v>
          </cell>
          <cell r="V132" t="e">
            <v>#DIV/0!</v>
          </cell>
          <cell r="W132" t="e">
            <v>#DIV/0!</v>
          </cell>
          <cell r="X132"/>
          <cell r="Y132"/>
          <cell r="Z132"/>
          <cell r="AA132"/>
          <cell r="AB132">
            <v>1693.8969600000003</v>
          </cell>
          <cell r="AC132"/>
          <cell r="AD132"/>
          <cell r="AE132"/>
          <cell r="AF132">
            <v>1693.8969600000003</v>
          </cell>
          <cell r="AG132">
            <v>0</v>
          </cell>
          <cell r="AH132">
            <v>1693.8969600000003</v>
          </cell>
          <cell r="AI132">
            <v>469.52908040000005</v>
          </cell>
          <cell r="AJ132">
            <v>468.29190699999992</v>
          </cell>
          <cell r="AK132">
            <v>569.69621079999979</v>
          </cell>
          <cell r="AL132">
            <v>568.68672879999997</v>
          </cell>
          <cell r="AM132">
            <v>44.382377450000014</v>
          </cell>
          <cell r="AN132">
            <v>1675.9415349999999</v>
          </cell>
          <cell r="AO132">
            <v>356.98295969999992</v>
          </cell>
          <cell r="AP132">
            <v>660.02921019999985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113.19674655898073</v>
          </cell>
          <cell r="BD132">
            <v>0</v>
          </cell>
          <cell r="BE132">
            <v>0</v>
          </cell>
          <cell r="BF132">
            <v>0</v>
          </cell>
          <cell r="BG132">
            <v>113.19674655898073</v>
          </cell>
          <cell r="BH132">
            <v>1807.093706558981</v>
          </cell>
          <cell r="BI132">
            <v>4450.5827544825906</v>
          </cell>
          <cell r="BJ132">
            <v>0.40603530059943072</v>
          </cell>
          <cell r="BK132">
            <v>0.38060116021748414</v>
          </cell>
          <cell r="BL132">
            <v>2.5434140381946586E-2</v>
          </cell>
        </row>
        <row r="133">
          <cell r="A133" t="str">
            <v>RIHAND STPS5</v>
          </cell>
          <cell r="B133" t="str">
            <v>RIHAND STPS</v>
          </cell>
          <cell r="C133">
            <v>500</v>
          </cell>
          <cell r="D133" t="str">
            <v>PITHEAD</v>
          </cell>
          <cell r="E133">
            <v>0.37335560659845479</v>
          </cell>
          <cell r="F133">
            <v>24.026700000000002</v>
          </cell>
          <cell r="G133">
            <v>82.7911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1</v>
          </cell>
          <cell r="M133">
            <v>0</v>
          </cell>
          <cell r="N133">
            <v>0</v>
          </cell>
          <cell r="O133">
            <v>0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>
            <v>4451.988614696289</v>
          </cell>
          <cell r="U133" t="e">
            <v>#DIV/0!</v>
          </cell>
          <cell r="V133" t="e">
            <v>#DIV/0!</v>
          </cell>
          <cell r="W133" t="e">
            <v>#DIV/0!</v>
          </cell>
          <cell r="X133"/>
          <cell r="Y133"/>
          <cell r="Z133"/>
          <cell r="AA133"/>
          <cell r="AB133">
            <v>1693.8969600000003</v>
          </cell>
          <cell r="AC133"/>
          <cell r="AD133"/>
          <cell r="AE133"/>
          <cell r="AF133">
            <v>1693.8969600000003</v>
          </cell>
          <cell r="AG133">
            <v>0</v>
          </cell>
          <cell r="AH133">
            <v>1693.8969600000003</v>
          </cell>
          <cell r="AI133">
            <v>454.41931380000005</v>
          </cell>
          <cell r="AJ133">
            <v>453.18214030000001</v>
          </cell>
          <cell r="AK133">
            <v>554.58644409999999</v>
          </cell>
          <cell r="AL133">
            <v>474.73724830000003</v>
          </cell>
          <cell r="AM133">
            <v>114.2335604</v>
          </cell>
          <cell r="AN133">
            <v>1664.545973</v>
          </cell>
          <cell r="AO133">
            <v>251.0117754</v>
          </cell>
          <cell r="AP133">
            <v>663.66113440000004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291.35139053099135</v>
          </cell>
          <cell r="BD133">
            <v>0</v>
          </cell>
          <cell r="BE133">
            <v>0</v>
          </cell>
          <cell r="BF133">
            <v>0</v>
          </cell>
          <cell r="BG133">
            <v>291.35139053099135</v>
          </cell>
          <cell r="BH133">
            <v>1985.2483505309915</v>
          </cell>
          <cell r="BI133">
            <v>4451.988614696289</v>
          </cell>
          <cell r="BJ133">
            <v>0.44592395047407901</v>
          </cell>
          <cell r="BK133">
            <v>0.3804809730214363</v>
          </cell>
          <cell r="BL133">
            <v>6.5442977452642728E-2</v>
          </cell>
        </row>
        <row r="134">
          <cell r="A134" t="str">
            <v>MAUDA TPS2</v>
          </cell>
          <cell r="B134" t="str">
            <v>MAUDA TPS</v>
          </cell>
          <cell r="C134">
            <v>500</v>
          </cell>
          <cell r="D134" t="str">
            <v>RAIL</v>
          </cell>
          <cell r="E134">
            <v>0.83185020393029296</v>
          </cell>
          <cell r="F134">
            <v>21.216130555555555</v>
          </cell>
          <cell r="G134">
            <v>79.374080555555551</v>
          </cell>
          <cell r="H134">
            <v>7.3063620546739733E-2</v>
          </cell>
          <cell r="I134">
            <v>4.5247587078533344E-3</v>
          </cell>
          <cell r="J134">
            <v>1.0302391355259887E-2</v>
          </cell>
          <cell r="K134">
            <v>0.23541428311058782</v>
          </cell>
          <cell r="L134">
            <v>0.14343602682999856</v>
          </cell>
          <cell r="M134">
            <v>0</v>
          </cell>
          <cell r="N134">
            <v>9.6641589622293189E-2</v>
          </cell>
          <cell r="O134">
            <v>0.43661732982726748</v>
          </cell>
          <cell r="P134">
            <v>4106.5707452867609</v>
          </cell>
          <cell r="Q134">
            <v>4135.7765867297103</v>
          </cell>
          <cell r="R134">
            <v>5744.1705411008634</v>
          </cell>
          <cell r="S134">
            <v>3489.7300111008267</v>
          </cell>
          <cell r="T134">
            <v>4563.1782935932242</v>
          </cell>
          <cell r="U134" t="e">
            <v>#DIV/0!</v>
          </cell>
          <cell r="V134">
            <v>4580.6951420864825</v>
          </cell>
          <cell r="W134">
            <v>4327.2492753231209</v>
          </cell>
          <cell r="X134">
            <v>117.49055414187332</v>
          </cell>
          <cell r="Y134">
            <v>7.2760753431849592</v>
          </cell>
          <cell r="Z134">
            <v>34.023036312890589</v>
          </cell>
          <cell r="AA134">
            <v>338.14452805609869</v>
          </cell>
          <cell r="AB134">
            <v>242.96584980181305</v>
          </cell>
          <cell r="AC134"/>
          <cell r="AD134">
            <v>163.70089487077001</v>
          </cell>
          <cell r="AE134">
            <v>739.58476767772584</v>
          </cell>
          <cell r="AF134">
            <v>1643.1857062043564</v>
          </cell>
          <cell r="AG134">
            <v>2.9640974451316578E-2</v>
          </cell>
          <cell r="AH134">
            <v>1749.5320180228216</v>
          </cell>
          <cell r="AI134">
            <v>927.63564780000002</v>
          </cell>
          <cell r="AJ134">
            <v>870.79277049999996</v>
          </cell>
          <cell r="AK134">
            <v>1039.1949099999999</v>
          </cell>
          <cell r="AL134">
            <v>633.96731940000006</v>
          </cell>
          <cell r="AM134">
            <v>637.94313920000002</v>
          </cell>
          <cell r="AN134">
            <v>2217.9813629999999</v>
          </cell>
          <cell r="AO134">
            <v>449.01877049999996</v>
          </cell>
          <cell r="AP134">
            <v>39.60085583</v>
          </cell>
          <cell r="AQ134">
            <v>173.24494998664301</v>
          </cell>
          <cell r="AR134">
            <v>10.149649148899297</v>
          </cell>
          <cell r="AS134">
            <v>26.570403029565718</v>
          </cell>
          <cell r="AT134">
            <v>442.07553651061465</v>
          </cell>
          <cell r="AU134">
            <v>269.35306421503475</v>
          </cell>
          <cell r="AV134">
            <v>0</v>
          </cell>
          <cell r="AW134">
            <v>139.59123816541199</v>
          </cell>
          <cell r="AX134">
            <v>169.25907408083853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1193.7782866795442</v>
          </cell>
          <cell r="BH134">
            <v>2943.310304702366</v>
          </cell>
          <cell r="BI134">
            <v>4186.0271478899185</v>
          </cell>
          <cell r="BJ134">
            <v>0.70312738085944382</v>
          </cell>
          <cell r="BK134">
            <v>0.4179456931866104</v>
          </cell>
          <cell r="BL134">
            <v>0.28518168767283336</v>
          </cell>
        </row>
        <row r="135">
          <cell r="A135" t="str">
            <v>BELLARY TPS2</v>
          </cell>
          <cell r="B135" t="str">
            <v>BELLARY TPS</v>
          </cell>
          <cell r="C135">
            <v>500</v>
          </cell>
          <cell r="D135" t="str">
            <v>RAIL</v>
          </cell>
          <cell r="E135" t="str">
            <v/>
          </cell>
          <cell r="F135">
            <v>15.192941666666666</v>
          </cell>
          <cell r="G135">
            <v>76.720613888888892</v>
          </cell>
          <cell r="H135">
            <v>0</v>
          </cell>
          <cell r="I135">
            <v>0</v>
          </cell>
          <cell r="J135">
            <v>0</v>
          </cell>
          <cell r="K135">
            <v>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e">
            <v>#DIV/0!</v>
          </cell>
          <cell r="Q135" t="e">
            <v>#DIV/0!</v>
          </cell>
          <cell r="R135" t="e">
            <v>#DIV/0!</v>
          </cell>
          <cell r="S135">
            <v>3444.2880509129841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/>
          <cell r="Y135"/>
          <cell r="Z135"/>
          <cell r="AA135">
            <v>1436.3806800000002</v>
          </cell>
          <cell r="AB135"/>
          <cell r="AC135"/>
          <cell r="AD135"/>
          <cell r="AE135"/>
          <cell r="AF135">
            <v>1436.3806800000002</v>
          </cell>
          <cell r="AG135">
            <v>0</v>
          </cell>
          <cell r="AH135">
            <v>1436.3806800000002</v>
          </cell>
          <cell r="AI135">
            <v>1689.148216</v>
          </cell>
          <cell r="AJ135">
            <v>1632.305339</v>
          </cell>
          <cell r="AK135">
            <v>1800.7074790000001</v>
          </cell>
          <cell r="AL135">
            <v>1370.239738</v>
          </cell>
          <cell r="AM135">
            <v>1476.9305919999999</v>
          </cell>
          <cell r="AN135">
            <v>2987.483072</v>
          </cell>
          <cell r="AO135">
            <v>1210.5313389999999</v>
          </cell>
          <cell r="AP135">
            <v>841.72635880000007</v>
          </cell>
          <cell r="AQ135">
            <v>0</v>
          </cell>
          <cell r="AR135">
            <v>0</v>
          </cell>
          <cell r="AS135">
            <v>0</v>
          </cell>
          <cell r="AT135">
            <v>3306.576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3306.576</v>
          </cell>
          <cell r="BH135">
            <v>4742.9566800000002</v>
          </cell>
          <cell r="BI135">
            <v>3444.2880509129841</v>
          </cell>
          <cell r="BJ135">
            <v>1.3770499475915714</v>
          </cell>
          <cell r="BK135">
            <v>0.41703268099753038</v>
          </cell>
          <cell r="BL135">
            <v>0.96001726659404096</v>
          </cell>
        </row>
        <row r="136">
          <cell r="A136" t="str">
            <v>DURGAPUR STEEL TPS2</v>
          </cell>
          <cell r="B136" t="str">
            <v>DURGAPUR STEEL TPS</v>
          </cell>
          <cell r="C136">
            <v>500</v>
          </cell>
          <cell r="D136" t="str">
            <v>RAIL</v>
          </cell>
          <cell r="E136">
            <v>0.70896983940462199</v>
          </cell>
          <cell r="F136">
            <v>23.579499999999999</v>
          </cell>
          <cell r="G136">
            <v>87.203500000000005</v>
          </cell>
          <cell r="H136">
            <v>0.28752841437846288</v>
          </cell>
          <cell r="I136">
            <v>0</v>
          </cell>
          <cell r="J136">
            <v>0.59726910319710769</v>
          </cell>
          <cell r="K136">
            <v>0.11520248242442951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4806.4383648610556</v>
          </cell>
          <cell r="Q136" t="e">
            <v>#DIV/0!</v>
          </cell>
          <cell r="R136">
            <v>5852.1882954048979</v>
          </cell>
          <cell r="S136">
            <v>3381.5270374579677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>
            <v>528.53634146961099</v>
          </cell>
          <cell r="Y136"/>
          <cell r="Z136">
            <v>2284.5169784646055</v>
          </cell>
          <cell r="AA136">
            <v>155.58578180225527</v>
          </cell>
          <cell r="AB136"/>
          <cell r="AC136"/>
          <cell r="AD136"/>
          <cell r="AE136"/>
          <cell r="AF136">
            <v>2968.6391017364713</v>
          </cell>
          <cell r="AG136">
            <v>0</v>
          </cell>
          <cell r="AH136">
            <v>2968.6391017364713</v>
          </cell>
          <cell r="AI136">
            <v>89.193760949999998</v>
          </cell>
          <cell r="AJ136">
            <v>164.73047169999998</v>
          </cell>
          <cell r="AK136">
            <v>105.0133388</v>
          </cell>
          <cell r="AL136">
            <v>466.7870906</v>
          </cell>
          <cell r="AM136">
            <v>507.03397009999998</v>
          </cell>
          <cell r="AN136">
            <v>1333.3033680000001</v>
          </cell>
          <cell r="AO136">
            <v>558.82486640000002</v>
          </cell>
          <cell r="AP136">
            <v>1016.252777</v>
          </cell>
          <cell r="AQ136">
            <v>111.46326511795493</v>
          </cell>
          <cell r="AR136">
            <v>0</v>
          </cell>
          <cell r="AS136">
            <v>362.18159510231328</v>
          </cell>
          <cell r="AT136">
            <v>166.40100006845935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640.04586028872757</v>
          </cell>
          <cell r="BH136">
            <v>3608.6849620251987</v>
          </cell>
          <cell r="BI136">
            <v>5266.8791658938981</v>
          </cell>
          <cell r="BJ136">
            <v>0.68516570218537198</v>
          </cell>
          <cell r="BK136">
            <v>0.56364291038992009</v>
          </cell>
          <cell r="BL136">
            <v>0.1215227917954519</v>
          </cell>
        </row>
        <row r="137">
          <cell r="A137" t="str">
            <v>VALLUR TPP1</v>
          </cell>
          <cell r="B137" t="str">
            <v>VALLUR TPP</v>
          </cell>
          <cell r="C137">
            <v>500</v>
          </cell>
          <cell r="D137" t="str">
            <v>INTER MODAL</v>
          </cell>
          <cell r="E137">
            <v>0.74643660915228804</v>
          </cell>
          <cell r="F137">
            <v>13.235483333333333</v>
          </cell>
          <cell r="G137">
            <v>80.302499999999995</v>
          </cell>
          <cell r="H137">
            <v>0</v>
          </cell>
          <cell r="I137">
            <v>3.8553503189959044E-2</v>
          </cell>
          <cell r="J137">
            <v>0.19572272537439867</v>
          </cell>
          <cell r="K137">
            <v>0.76572377143564241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 t="e">
            <v>#DIV/0!</v>
          </cell>
          <cell r="Q137">
            <v>4196.3400285761199</v>
          </cell>
          <cell r="R137">
            <v>6136.2397502287095</v>
          </cell>
          <cell r="S137">
            <v>3710.3645650076014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/>
          <cell r="Y137">
            <v>61.996276943339808</v>
          </cell>
          <cell r="Z137">
            <v>812.66424248154817</v>
          </cell>
          <cell r="AA137">
            <v>1165.5996105494517</v>
          </cell>
          <cell r="AB137"/>
          <cell r="AC137"/>
          <cell r="AD137"/>
          <cell r="AE137"/>
          <cell r="AF137">
            <v>2040.2601299743396</v>
          </cell>
          <cell r="AG137">
            <v>0</v>
          </cell>
          <cell r="AH137">
            <v>2040.2601299743396</v>
          </cell>
          <cell r="AI137">
            <v>1628.5557900000001</v>
          </cell>
          <cell r="AJ137">
            <v>1571.7129119999997</v>
          </cell>
          <cell r="AK137">
            <v>1723.9237989999999</v>
          </cell>
          <cell r="AL137">
            <v>1293.00198</v>
          </cell>
          <cell r="AM137">
            <v>1560.508345</v>
          </cell>
          <cell r="AN137">
            <v>2933.6035790000001</v>
          </cell>
          <cell r="AO137">
            <v>1261.1978359999998</v>
          </cell>
          <cell r="AP137">
            <v>1009.188522</v>
          </cell>
          <cell r="AQ137">
            <v>0</v>
          </cell>
          <cell r="AR137">
            <v>138.63832036408635</v>
          </cell>
          <cell r="AS137">
            <v>730.5264606600266</v>
          </cell>
          <cell r="AT137">
            <v>2403.603855641396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3272.7686366655089</v>
          </cell>
          <cell r="BH137">
            <v>5313.028766639849</v>
          </cell>
          <cell r="BI137">
            <v>4203.8995242621295</v>
          </cell>
          <cell r="BJ137">
            <v>1.2638334327394265</v>
          </cell>
          <cell r="BK137">
            <v>0.48532561689433978</v>
          </cell>
          <cell r="BL137">
            <v>0.77850781584508655</v>
          </cell>
        </row>
        <row r="138">
          <cell r="A138" t="str">
            <v>SIMHADRI STPP4</v>
          </cell>
          <cell r="B138" t="str">
            <v>SIMHADRI STPP</v>
          </cell>
          <cell r="C138">
            <v>500</v>
          </cell>
          <cell r="D138" t="str">
            <v>RAIL</v>
          </cell>
          <cell r="E138">
            <v>0.84657650042265431</v>
          </cell>
          <cell r="F138">
            <v>17.5947</v>
          </cell>
          <cell r="G138">
            <v>83.090299999999999</v>
          </cell>
          <cell r="H138">
            <v>0</v>
          </cell>
          <cell r="I138">
            <v>1.1287861219726743E-2</v>
          </cell>
          <cell r="J138">
            <v>0.28263584859359459</v>
          </cell>
          <cell r="K138">
            <v>0.70590308735423568</v>
          </cell>
          <cell r="L138">
            <v>1.7320283244282822E-4</v>
          </cell>
          <cell r="M138">
            <v>0</v>
          </cell>
          <cell r="N138">
            <v>0</v>
          </cell>
          <cell r="O138">
            <v>0</v>
          </cell>
          <cell r="P138" t="e">
            <v>#DIV/0!</v>
          </cell>
          <cell r="Q138">
            <v>4768.5629605456834</v>
          </cell>
          <cell r="R138">
            <v>5971.8566527774574</v>
          </cell>
          <cell r="S138">
            <v>3635.7868446395441</v>
          </cell>
          <cell r="T138">
            <v>4450</v>
          </cell>
          <cell r="U138" t="e">
            <v>#DIV/0!</v>
          </cell>
          <cell r="V138" t="e">
            <v>#DIV/0!</v>
          </cell>
          <cell r="W138" t="e">
            <v>#DIV/0!</v>
          </cell>
          <cell r="X138"/>
          <cell r="Y138">
            <v>20.749409706124531</v>
          </cell>
          <cell r="Z138">
            <v>1081.0644504772454</v>
          </cell>
          <cell r="AA138">
            <v>1013.9455566279765</v>
          </cell>
          <cell r="AB138">
            <v>0.29338775133829614</v>
          </cell>
          <cell r="AC138"/>
          <cell r="AD138"/>
          <cell r="AE138"/>
          <cell r="AF138">
            <v>2116.0528045626847</v>
          </cell>
          <cell r="AG138">
            <v>1.6194662129857273E-2</v>
          </cell>
          <cell r="AH138">
            <v>2166.4983219451383</v>
          </cell>
          <cell r="AI138">
            <v>952.72559039999999</v>
          </cell>
          <cell r="AJ138">
            <v>923.81840030000001</v>
          </cell>
          <cell r="AK138">
            <v>1022.267198</v>
          </cell>
          <cell r="AL138">
            <v>645.10746749999998</v>
          </cell>
          <cell r="AM138">
            <v>934.39502460000006</v>
          </cell>
          <cell r="AN138">
            <v>2231.9469779999999</v>
          </cell>
          <cell r="AO138">
            <v>640.81663349999997</v>
          </cell>
          <cell r="AP138">
            <v>744.77551589999996</v>
          </cell>
          <cell r="AQ138">
            <v>0</v>
          </cell>
          <cell r="AR138">
            <v>26.765234706877507</v>
          </cell>
          <cell r="AS138">
            <v>728.9325505870072</v>
          </cell>
          <cell r="AT138">
            <v>1325.5885834251999</v>
          </cell>
          <cell r="AU138">
            <v>0.41069024255247705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2047.9846784350357</v>
          </cell>
          <cell r="BH138">
            <v>4214.4830003801744</v>
          </cell>
          <cell r="BI138">
            <v>4308.9715608505721</v>
          </cell>
          <cell r="BJ138">
            <v>0.97807166765061082</v>
          </cell>
          <cell r="BK138">
            <v>0.50278779781908822</v>
          </cell>
          <cell r="BL138">
            <v>0.47528386983152249</v>
          </cell>
        </row>
        <row r="139">
          <cell r="A139" t="str">
            <v>DURGAPUR STEEL TPS1</v>
          </cell>
          <cell r="B139" t="str">
            <v>DURGAPUR STEEL TPS</v>
          </cell>
          <cell r="C139">
            <v>500</v>
          </cell>
          <cell r="D139" t="str">
            <v>RAIL</v>
          </cell>
          <cell r="E139">
            <v>0.70896983940462199</v>
          </cell>
          <cell r="F139">
            <v>23.579499999999999</v>
          </cell>
          <cell r="G139">
            <v>87.203500000000005</v>
          </cell>
          <cell r="H139">
            <v>0.28752841437846288</v>
          </cell>
          <cell r="I139">
            <v>0</v>
          </cell>
          <cell r="J139">
            <v>0.59726910319710769</v>
          </cell>
          <cell r="K139">
            <v>0.11520248242442951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4806.4383648610556</v>
          </cell>
          <cell r="Q139" t="e">
            <v>#DIV/0!</v>
          </cell>
          <cell r="R139">
            <v>5852.1882954048979</v>
          </cell>
          <cell r="S139">
            <v>3381.5270374579677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>
            <v>528.53634146961099</v>
          </cell>
          <cell r="Y139"/>
          <cell r="Z139">
            <v>2284.5169784646055</v>
          </cell>
          <cell r="AA139">
            <v>155.58578180225527</v>
          </cell>
          <cell r="AB139"/>
          <cell r="AC139"/>
          <cell r="AD139"/>
          <cell r="AE139"/>
          <cell r="AF139">
            <v>2968.6391017364713</v>
          </cell>
          <cell r="AG139">
            <v>0</v>
          </cell>
          <cell r="AH139">
            <v>2968.6391017364713</v>
          </cell>
          <cell r="AI139">
            <v>89.193760949999998</v>
          </cell>
          <cell r="AJ139">
            <v>164.73047169999998</v>
          </cell>
          <cell r="AK139">
            <v>105.0133388</v>
          </cell>
          <cell r="AL139">
            <v>466.7870906</v>
          </cell>
          <cell r="AM139">
            <v>507.03397009999998</v>
          </cell>
          <cell r="AN139">
            <v>1333.3033680000001</v>
          </cell>
          <cell r="AO139">
            <v>558.82486640000002</v>
          </cell>
          <cell r="AP139">
            <v>1016.252777</v>
          </cell>
          <cell r="AQ139">
            <v>111.46326511795493</v>
          </cell>
          <cell r="AR139">
            <v>0</v>
          </cell>
          <cell r="AS139">
            <v>362.18159510231328</v>
          </cell>
          <cell r="AT139">
            <v>166.40100006845935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640.04586028872757</v>
          </cell>
          <cell r="BH139">
            <v>3608.6849620251987</v>
          </cell>
          <cell r="BI139">
            <v>5266.8791658938981</v>
          </cell>
          <cell r="BJ139">
            <v>0.68516570218537198</v>
          </cell>
          <cell r="BK139">
            <v>0.56364291038992009</v>
          </cell>
          <cell r="BL139">
            <v>0.1215227917954519</v>
          </cell>
        </row>
        <row r="140">
          <cell r="A140" t="str">
            <v>KODARMA TPS1</v>
          </cell>
          <cell r="B140" t="str">
            <v>KODARMA TPS</v>
          </cell>
          <cell r="C140">
            <v>500</v>
          </cell>
          <cell r="D140" t="str">
            <v>RAIL</v>
          </cell>
          <cell r="E140">
            <v>0.68983050847457628</v>
          </cell>
          <cell r="F140">
            <v>24.389900000000001</v>
          </cell>
          <cell r="G140">
            <v>85.562799999999996</v>
          </cell>
          <cell r="H140">
            <v>0.30792830438820257</v>
          </cell>
          <cell r="I140">
            <v>0.68906772634013036</v>
          </cell>
          <cell r="J140">
            <v>3.0039692716671293E-3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4287.6733651774139</v>
          </cell>
          <cell r="Q140">
            <v>4300.0479777525306</v>
          </cell>
          <cell r="R140">
            <v>5491.2684038414436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>
            <v>495.16663488354516</v>
          </cell>
          <cell r="Y140">
            <v>1167.209726881659</v>
          </cell>
          <cell r="Z140">
            <v>8.4592406725281144</v>
          </cell>
          <cell r="AA140"/>
          <cell r="AB140"/>
          <cell r="AC140"/>
          <cell r="AD140"/>
          <cell r="AE140"/>
          <cell r="AF140">
            <v>1670.8356024377322</v>
          </cell>
          <cell r="AG140">
            <v>0</v>
          </cell>
          <cell r="AH140">
            <v>1670.8356024377322</v>
          </cell>
          <cell r="AI140">
            <v>121.31435929999999</v>
          </cell>
          <cell r="AJ140">
            <v>130.6283128</v>
          </cell>
          <cell r="AK140">
            <v>206.3128327</v>
          </cell>
          <cell r="AL140">
            <v>498.22865879999995</v>
          </cell>
          <cell r="AM140">
            <v>345.31733870000005</v>
          </cell>
          <cell r="AN140">
            <v>1359.3635160000001</v>
          </cell>
          <cell r="AO140">
            <v>499.01823719999999</v>
          </cell>
          <cell r="AP140">
            <v>933.52918799999998</v>
          </cell>
          <cell r="AQ140">
            <v>186.72649206778848</v>
          </cell>
          <cell r="AR140">
            <v>469.33367535843155</v>
          </cell>
          <cell r="AS140">
            <v>2.8923718132246954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658.95253923944472</v>
          </cell>
          <cell r="BH140">
            <v>2329.788141677177</v>
          </cell>
          <cell r="BI140">
            <v>4299.8158738405682</v>
          </cell>
          <cell r="BJ140">
            <v>0.54183439710785219</v>
          </cell>
          <cell r="BK140">
            <v>0.38858305831253015</v>
          </cell>
          <cell r="BL140">
            <v>0.15325133879532207</v>
          </cell>
        </row>
        <row r="141">
          <cell r="A141" t="str">
            <v>INDIRA GANDHI STPP3</v>
          </cell>
          <cell r="B141" t="str">
            <v>INDIRA GANDHI STPP</v>
          </cell>
          <cell r="C141">
            <v>500</v>
          </cell>
          <cell r="D141" t="str">
            <v>RAIL</v>
          </cell>
          <cell r="E141">
            <v>0.91827018448720488</v>
          </cell>
          <cell r="F141">
            <v>28.484233333333336</v>
          </cell>
          <cell r="G141">
            <v>76.374219444444435</v>
          </cell>
          <cell r="H141">
            <v>0</v>
          </cell>
          <cell r="I141">
            <v>0.41725176950311421</v>
          </cell>
          <cell r="J141">
            <v>0.21415962103456668</v>
          </cell>
          <cell r="K141">
            <v>0</v>
          </cell>
          <cell r="L141">
            <v>0.36858860946231914</v>
          </cell>
          <cell r="M141">
            <v>0</v>
          </cell>
          <cell r="N141">
            <v>0</v>
          </cell>
          <cell r="O141">
            <v>0</v>
          </cell>
          <cell r="P141" t="e">
            <v>#DIV/0!</v>
          </cell>
          <cell r="Q141">
            <v>4260.2263460222721</v>
          </cell>
          <cell r="R141">
            <v>5905.2295767949317</v>
          </cell>
          <cell r="S141" t="e">
            <v>#DIV/0!</v>
          </cell>
          <cell r="T141">
            <v>4550.3586030889664</v>
          </cell>
          <cell r="U141" t="e">
            <v>#DIV/0!</v>
          </cell>
          <cell r="V141" t="e">
            <v>#DIV/0!</v>
          </cell>
          <cell r="W141" t="e">
            <v>#DIV/0!</v>
          </cell>
          <cell r="X141"/>
          <cell r="Y141">
            <v>670.96512941399283</v>
          </cell>
          <cell r="Z141">
            <v>819.1471611977106</v>
          </cell>
          <cell r="AA141"/>
          <cell r="AB141">
            <v>624.35112505884968</v>
          </cell>
          <cell r="AC141"/>
          <cell r="AD141"/>
          <cell r="AE141"/>
          <cell r="AF141">
            <v>2114.4634156705533</v>
          </cell>
          <cell r="AG141">
            <v>4.6404866790173083E-2</v>
          </cell>
          <cell r="AH141">
            <v>2259.0858807130626</v>
          </cell>
          <cell r="AI141">
            <v>1212.7007120000001</v>
          </cell>
          <cell r="AJ141">
            <v>1209.288033</v>
          </cell>
          <cell r="AK141">
            <v>1307.883333</v>
          </cell>
          <cell r="AL141">
            <v>1398.0382490000002</v>
          </cell>
          <cell r="AM141">
            <v>927.53400650000003</v>
          </cell>
          <cell r="AN141">
            <v>2356.7091949999999</v>
          </cell>
          <cell r="AO141">
            <v>1099.4364539999999</v>
          </cell>
          <cell r="AP141">
            <v>1024.1510330000001</v>
          </cell>
          <cell r="AQ141">
            <v>0</v>
          </cell>
          <cell r="AR141">
            <v>1236.0432758769336</v>
          </cell>
          <cell r="AS141">
            <v>679.82872933137048</v>
          </cell>
          <cell r="AT141">
            <v>0</v>
          </cell>
          <cell r="AU141">
            <v>873.97961850379693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2660.3889307493932</v>
          </cell>
          <cell r="BH141">
            <v>4919.4748114624563</v>
          </cell>
          <cell r="BI141">
            <v>4719.459059717552</v>
          </cell>
          <cell r="BJ141">
            <v>1.0423810757152483</v>
          </cell>
          <cell r="BK141">
            <v>0.47867474897605389</v>
          </cell>
          <cell r="BL141">
            <v>0.5637063267391943</v>
          </cell>
        </row>
        <row r="142">
          <cell r="A142" t="str">
            <v>KOTHAGUDEM NEW TPS11</v>
          </cell>
          <cell r="B142" t="str">
            <v>KOTHAGUDEM NEW TPS</v>
          </cell>
          <cell r="C142">
            <v>500</v>
          </cell>
          <cell r="D142" t="str">
            <v>RAIL</v>
          </cell>
          <cell r="E142" t="str">
            <v/>
          </cell>
          <cell r="F142">
            <v>17.617899999999999</v>
          </cell>
          <cell r="G142">
            <v>80.694800000000001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4279.0292548546358</v>
          </cell>
          <cell r="X142"/>
          <cell r="Y142"/>
          <cell r="Z142"/>
          <cell r="AA142"/>
          <cell r="AB142"/>
          <cell r="AC142"/>
          <cell r="AD142"/>
          <cell r="AE142">
            <v>1608.0582000000002</v>
          </cell>
          <cell r="AF142">
            <v>1608.0582000000002</v>
          </cell>
          <cell r="AG142">
            <v>0</v>
          </cell>
          <cell r="AH142">
            <v>1608.0582000000002</v>
          </cell>
          <cell r="AI142">
            <v>1189.132646</v>
          </cell>
          <cell r="AJ142">
            <v>1132.289769</v>
          </cell>
          <cell r="AK142">
            <v>1300.6919089999999</v>
          </cell>
          <cell r="AL142">
            <v>853.57883600000002</v>
          </cell>
          <cell r="AM142">
            <v>1025.9740509999999</v>
          </cell>
          <cell r="AN142">
            <v>2518.6094249999996</v>
          </cell>
          <cell r="AO142">
            <v>741.65769110000008</v>
          </cell>
          <cell r="AP142">
            <v>523.51993259999995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1662.78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1662.78</v>
          </cell>
          <cell r="BH142">
            <v>3270.8382000000001</v>
          </cell>
          <cell r="BI142">
            <v>4279.0292548546358</v>
          </cell>
          <cell r="BJ142">
            <v>0.76438790323510297</v>
          </cell>
          <cell r="BK142">
            <v>0.37579976771031165</v>
          </cell>
          <cell r="BL142">
            <v>0.38858813552479132</v>
          </cell>
        </row>
        <row r="143">
          <cell r="A143" t="str">
            <v>MAUDA TPS1</v>
          </cell>
          <cell r="B143" t="str">
            <v>MAUDA TPS</v>
          </cell>
          <cell r="C143">
            <v>500</v>
          </cell>
          <cell r="D143" t="str">
            <v>RAIL</v>
          </cell>
          <cell r="E143">
            <v>0.83185020393029296</v>
          </cell>
          <cell r="F143">
            <v>21.216130555555555</v>
          </cell>
          <cell r="G143">
            <v>79.374080555555551</v>
          </cell>
          <cell r="H143">
            <v>7.3063620546739733E-2</v>
          </cell>
          <cell r="I143">
            <v>4.5247587078533344E-3</v>
          </cell>
          <cell r="J143">
            <v>1.0302391355259887E-2</v>
          </cell>
          <cell r="K143">
            <v>0.23541428311058782</v>
          </cell>
          <cell r="L143">
            <v>0.14343602682999856</v>
          </cell>
          <cell r="M143">
            <v>0</v>
          </cell>
          <cell r="N143">
            <v>9.6641589622293189E-2</v>
          </cell>
          <cell r="O143">
            <v>0.43661732982726748</v>
          </cell>
          <cell r="P143">
            <v>4106.5707452867609</v>
          </cell>
          <cell r="Q143">
            <v>4135.7765867297103</v>
          </cell>
          <cell r="R143">
            <v>5744.1705411008634</v>
          </cell>
          <cell r="S143">
            <v>3489.7300111008267</v>
          </cell>
          <cell r="T143">
            <v>4563.1782935932242</v>
          </cell>
          <cell r="U143" t="e">
            <v>#DIV/0!</v>
          </cell>
          <cell r="V143">
            <v>4580.6951420864825</v>
          </cell>
          <cell r="W143">
            <v>4327.2492753231209</v>
          </cell>
          <cell r="X143">
            <v>117.49055414187332</v>
          </cell>
          <cell r="Y143">
            <v>7.2760753431849592</v>
          </cell>
          <cell r="Z143">
            <v>34.023036312890589</v>
          </cell>
          <cell r="AA143">
            <v>338.14452805609869</v>
          </cell>
          <cell r="AB143">
            <v>242.96584980181305</v>
          </cell>
          <cell r="AC143"/>
          <cell r="AD143">
            <v>163.70089487077001</v>
          </cell>
          <cell r="AE143">
            <v>739.58476767772584</v>
          </cell>
          <cell r="AF143">
            <v>1643.1857062043564</v>
          </cell>
          <cell r="AG143">
            <v>2.9640974451316578E-2</v>
          </cell>
          <cell r="AH143">
            <v>1749.5320180228216</v>
          </cell>
          <cell r="AI143">
            <v>927.63564780000002</v>
          </cell>
          <cell r="AJ143">
            <v>870.79277049999996</v>
          </cell>
          <cell r="AK143">
            <v>1039.1949099999999</v>
          </cell>
          <cell r="AL143">
            <v>633.96731940000006</v>
          </cell>
          <cell r="AM143">
            <v>637.94313920000002</v>
          </cell>
          <cell r="AN143">
            <v>2217.9813629999999</v>
          </cell>
          <cell r="AO143">
            <v>449.01877049999996</v>
          </cell>
          <cell r="AP143">
            <v>39.60085583</v>
          </cell>
          <cell r="AQ143">
            <v>173.24494998664301</v>
          </cell>
          <cell r="AR143">
            <v>10.149649148899297</v>
          </cell>
          <cell r="AS143">
            <v>26.570403029565718</v>
          </cell>
          <cell r="AT143">
            <v>442.07553651061465</v>
          </cell>
          <cell r="AU143">
            <v>269.35306421503475</v>
          </cell>
          <cell r="AV143">
            <v>0</v>
          </cell>
          <cell r="AW143">
            <v>139.59123816541199</v>
          </cell>
          <cell r="AX143">
            <v>169.25907408083853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1193.7782866795442</v>
          </cell>
          <cell r="BH143">
            <v>2943.310304702366</v>
          </cell>
          <cell r="BI143">
            <v>4186.0271478899185</v>
          </cell>
          <cell r="BJ143">
            <v>0.70312738085944382</v>
          </cell>
          <cell r="BK143">
            <v>0.4179456931866104</v>
          </cell>
          <cell r="BL143">
            <v>0.28518168767283336</v>
          </cell>
        </row>
        <row r="144">
          <cell r="A144" t="str">
            <v>MEJIA TPS8</v>
          </cell>
          <cell r="B144" t="str">
            <v>MEJIA TPS</v>
          </cell>
          <cell r="C144">
            <v>500</v>
          </cell>
          <cell r="D144" t="str">
            <v>RAIL</v>
          </cell>
          <cell r="E144">
            <v>0.61420916848581064</v>
          </cell>
          <cell r="F144">
            <v>23.463100000000001</v>
          </cell>
          <cell r="G144">
            <v>87.130799999999994</v>
          </cell>
          <cell r="H144">
            <v>0.62570403654386431</v>
          </cell>
          <cell r="I144">
            <v>1.4721365893105742E-2</v>
          </cell>
          <cell r="J144">
            <v>0.31011315523441657</v>
          </cell>
          <cell r="K144">
            <v>4.9461442328613443E-2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4249.9402187184578</v>
          </cell>
          <cell r="Q144">
            <v>4510.7264263643883</v>
          </cell>
          <cell r="R144">
            <v>5472.1287197953916</v>
          </cell>
          <cell r="S144">
            <v>3454.6554881081602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>
            <v>1006.1685067374608</v>
          </cell>
          <cell r="Y144">
            <v>24.936476933379506</v>
          </cell>
          <cell r="Z144">
            <v>873.2851699209034</v>
          </cell>
          <cell r="AA144">
            <v>71.045460165754577</v>
          </cell>
          <cell r="AB144"/>
          <cell r="AC144"/>
          <cell r="AD144"/>
          <cell r="AE144"/>
          <cell r="AF144">
            <v>1975.4356137574982</v>
          </cell>
          <cell r="AG144">
            <v>0</v>
          </cell>
          <cell r="AH144">
            <v>1975.4356137574982</v>
          </cell>
          <cell r="AI144">
            <v>99.595660539999983</v>
          </cell>
          <cell r="AJ144">
            <v>174.29695009999998</v>
          </cell>
          <cell r="AK144">
            <v>125.96852500000001</v>
          </cell>
          <cell r="AL144">
            <v>438.83783300000005</v>
          </cell>
          <cell r="AM144">
            <v>517.43586959999993</v>
          </cell>
          <cell r="AN144">
            <v>1354.2585539999998</v>
          </cell>
          <cell r="AO144">
            <v>557.38636359999987</v>
          </cell>
          <cell r="AP144">
            <v>1006.400279</v>
          </cell>
          <cell r="AQ144">
            <v>242.56042680659445</v>
          </cell>
          <cell r="AR144">
            <v>10.76517546572429</v>
          </cell>
          <cell r="AS144">
            <v>188.05137688152925</v>
          </cell>
          <cell r="AT144">
            <v>71.4431954511805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512.82017460502846</v>
          </cell>
          <cell r="BH144">
            <v>2488.2557883625268</v>
          </cell>
          <cell r="BI144">
            <v>4593.4601504233742</v>
          </cell>
          <cell r="BJ144">
            <v>0.54169530307848368</v>
          </cell>
          <cell r="BK144">
            <v>0.43005393517464702</v>
          </cell>
          <cell r="BL144">
            <v>0.11164136790383658</v>
          </cell>
        </row>
        <row r="145">
          <cell r="A145" t="str">
            <v>BHUSAWAL TPS4</v>
          </cell>
          <cell r="B145" t="str">
            <v>BHUSAWAL TPS</v>
          </cell>
          <cell r="C145">
            <v>500</v>
          </cell>
          <cell r="D145" t="str">
            <v>RAIL</v>
          </cell>
          <cell r="E145">
            <v>1.0931341385886841</v>
          </cell>
          <cell r="F145">
            <v>21.049199999999999</v>
          </cell>
          <cell r="G145">
            <v>75.842200000000005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1.8076316553565435E-2</v>
          </cell>
          <cell r="O145">
            <v>0.98192368344643455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>
            <v>4375.6049774125904</v>
          </cell>
          <cell r="W145">
            <v>4321.3704637134497</v>
          </cell>
          <cell r="X145"/>
          <cell r="Y145"/>
          <cell r="Z145"/>
          <cell r="AA145"/>
          <cell r="AB145"/>
          <cell r="AC145"/>
          <cell r="AD145">
            <v>30.619417658082174</v>
          </cell>
          <cell r="AE145">
            <v>1663.277542341918</v>
          </cell>
          <cell r="AF145">
            <v>1693.8969600000003</v>
          </cell>
          <cell r="AG145">
            <v>3.8557742899071587E-2</v>
          </cell>
          <cell r="AH145">
            <v>1830.2796696238449</v>
          </cell>
          <cell r="AI145">
            <v>1320.128009</v>
          </cell>
          <cell r="AJ145">
            <v>1263.285132</v>
          </cell>
          <cell r="AK145">
            <v>1431.6872720000001</v>
          </cell>
          <cell r="AL145">
            <v>1026.459681</v>
          </cell>
          <cell r="AM145">
            <v>933.763463</v>
          </cell>
          <cell r="AN145">
            <v>2523.540477</v>
          </cell>
          <cell r="AO145">
            <v>841.51113199999986</v>
          </cell>
          <cell r="AP145">
            <v>372.18987390000001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39.447547935881666</v>
          </cell>
          <cell r="AX145">
            <v>1259.0814623360252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1248.4606625468568</v>
          </cell>
          <cell r="BH145">
            <v>3078.7403321707015</v>
          </cell>
          <cell r="BI145">
            <v>4322.3508239512021</v>
          </cell>
          <cell r="BJ145">
            <v>0.71228376815473859</v>
          </cell>
          <cell r="BK145">
            <v>0.42344542221834885</v>
          </cell>
          <cell r="BL145">
            <v>0.2888383459363898</v>
          </cell>
        </row>
        <row r="146">
          <cell r="A146" t="str">
            <v>BHUSAWAL TPS5</v>
          </cell>
          <cell r="B146" t="str">
            <v>BHUSAWAL TPS</v>
          </cell>
          <cell r="C146">
            <v>500</v>
          </cell>
          <cell r="D146" t="str">
            <v>RAIL</v>
          </cell>
          <cell r="E146">
            <v>1.0931341385886841</v>
          </cell>
          <cell r="F146">
            <v>21.049199999999999</v>
          </cell>
          <cell r="G146">
            <v>75.842200000000005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1.8076316553565435E-2</v>
          </cell>
          <cell r="O146">
            <v>0.98192368344643455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>
            <v>4375.6049774125904</v>
          </cell>
          <cell r="W146">
            <v>4321.3704637134497</v>
          </cell>
          <cell r="X146"/>
          <cell r="Y146"/>
          <cell r="Z146"/>
          <cell r="AA146"/>
          <cell r="AB146"/>
          <cell r="AC146"/>
          <cell r="AD146">
            <v>30.619417658082174</v>
          </cell>
          <cell r="AE146">
            <v>1663.277542341918</v>
          </cell>
          <cell r="AF146">
            <v>1693.8969600000003</v>
          </cell>
          <cell r="AG146">
            <v>3.8557742899071587E-2</v>
          </cell>
          <cell r="AH146">
            <v>1830.2796696238449</v>
          </cell>
          <cell r="AI146">
            <v>1320.128009</v>
          </cell>
          <cell r="AJ146">
            <v>1263.285132</v>
          </cell>
          <cell r="AK146">
            <v>1431.6872720000001</v>
          </cell>
          <cell r="AL146">
            <v>1026.459681</v>
          </cell>
          <cell r="AM146">
            <v>933.763463</v>
          </cell>
          <cell r="AN146">
            <v>2523.540477</v>
          </cell>
          <cell r="AO146">
            <v>841.51113199999986</v>
          </cell>
          <cell r="AP146">
            <v>372.18987390000001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39.447547935881666</v>
          </cell>
          <cell r="AX146">
            <v>1259.0814623360252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1248.4606625468568</v>
          </cell>
          <cell r="BH146">
            <v>3078.7403321707015</v>
          </cell>
          <cell r="BI146">
            <v>4322.3508239512021</v>
          </cell>
          <cell r="BJ146">
            <v>0.71228376815473859</v>
          </cell>
          <cell r="BK146">
            <v>0.42344542221834885</v>
          </cell>
          <cell r="BL146">
            <v>0.2888383459363898</v>
          </cell>
        </row>
        <row r="147">
          <cell r="A147" t="str">
            <v>KHAPARKHEDA TPS5</v>
          </cell>
          <cell r="B147" t="str">
            <v>KHAPARKHEDA TPS</v>
          </cell>
          <cell r="C147">
            <v>500</v>
          </cell>
          <cell r="D147" t="str">
            <v>RAIL</v>
          </cell>
          <cell r="E147">
            <v>0.88165289256198343</v>
          </cell>
          <cell r="F147">
            <v>21.2819</v>
          </cell>
          <cell r="G147">
            <v>79.114999999999995</v>
          </cell>
          <cell r="H147">
            <v>0</v>
          </cell>
          <cell r="I147">
            <v>0</v>
          </cell>
          <cell r="J147">
            <v>0</v>
          </cell>
          <cell r="K147">
            <v>0.30442032129447166</v>
          </cell>
          <cell r="L147">
            <v>0</v>
          </cell>
          <cell r="M147">
            <v>0</v>
          </cell>
          <cell r="N147">
            <v>5.0072063550897071E-2</v>
          </cell>
          <cell r="O147">
            <v>0.6455076151546314</v>
          </cell>
          <cell r="P147" t="e">
            <v>#DIV/0!</v>
          </cell>
          <cell r="Q147" t="e">
            <v>#DIV/0!</v>
          </cell>
          <cell r="R147" t="e">
            <v>#DIV/0!</v>
          </cell>
          <cell r="S147">
            <v>3429.463834178086</v>
          </cell>
          <cell r="T147" t="e">
            <v>#DIV/0!</v>
          </cell>
          <cell r="U147" t="e">
            <v>#DIV/0!</v>
          </cell>
          <cell r="V147">
            <v>3984.9242838900609</v>
          </cell>
          <cell r="W147">
            <v>4049.8485459362923</v>
          </cell>
          <cell r="X147"/>
          <cell r="Y147"/>
          <cell r="Z147"/>
          <cell r="AA147">
            <v>437.26346810677177</v>
          </cell>
          <cell r="AB147"/>
          <cell r="AC147"/>
          <cell r="AD147">
            <v>76.220668538090962</v>
          </cell>
          <cell r="AE147">
            <v>1038.0138137118495</v>
          </cell>
          <cell r="AF147">
            <v>1551.4979503567122</v>
          </cell>
          <cell r="AG147">
            <v>2.4285213526101211E-2</v>
          </cell>
          <cell r="AH147">
            <v>1640.8554433020265</v>
          </cell>
          <cell r="AI147">
            <v>954.71962840000003</v>
          </cell>
          <cell r="AJ147">
            <v>897.87675120000006</v>
          </cell>
          <cell r="AK147">
            <v>1066.2788910000002</v>
          </cell>
          <cell r="AL147">
            <v>661.05130010000005</v>
          </cell>
          <cell r="AM147">
            <v>632.60659640000006</v>
          </cell>
          <cell r="AN147">
            <v>2222.3836110000002</v>
          </cell>
          <cell r="AO147">
            <v>476.1027512</v>
          </cell>
          <cell r="AP147">
            <v>22.028815050000002</v>
          </cell>
          <cell r="AQ147">
            <v>0</v>
          </cell>
          <cell r="AR147">
            <v>0</v>
          </cell>
          <cell r="AS147">
            <v>0</v>
          </cell>
          <cell r="AT147">
            <v>571.65935338667919</v>
          </cell>
          <cell r="AU147">
            <v>0</v>
          </cell>
          <cell r="AV147">
            <v>0</v>
          </cell>
          <cell r="AW147">
            <v>72.325190178313861</v>
          </cell>
          <cell r="AX147">
            <v>250.23748209084442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872.50565282304262</v>
          </cell>
          <cell r="BH147">
            <v>2513.3610961250693</v>
          </cell>
          <cell r="BI147">
            <v>3857.7399408815058</v>
          </cell>
          <cell r="BJ147">
            <v>0.65151128241961231</v>
          </cell>
          <cell r="BK147">
            <v>0.42534112419384235</v>
          </cell>
          <cell r="BL147">
            <v>0.22617015822576997</v>
          </cell>
        </row>
        <row r="148">
          <cell r="A148" t="str">
            <v>FARAKKA STPS6</v>
          </cell>
          <cell r="B148" t="str">
            <v>FARAKKA STPS</v>
          </cell>
          <cell r="C148">
            <v>500</v>
          </cell>
          <cell r="D148" t="str">
            <v>PITHEAD</v>
          </cell>
          <cell r="E148">
            <v>0.77032640949554898</v>
          </cell>
          <cell r="F148">
            <v>24.773099999999999</v>
          </cell>
          <cell r="G148">
            <v>87.895300000000006</v>
          </cell>
          <cell r="H148">
            <v>3.8074300007135228E-2</v>
          </cell>
          <cell r="I148">
            <v>0</v>
          </cell>
          <cell r="J148">
            <v>0.94316221348512674</v>
          </cell>
          <cell r="K148">
            <v>4.4978003528069849E-4</v>
          </cell>
          <cell r="L148">
            <v>0</v>
          </cell>
          <cell r="M148">
            <v>1.8313706472457301E-2</v>
          </cell>
          <cell r="N148">
            <v>0</v>
          </cell>
          <cell r="O148">
            <v>0</v>
          </cell>
          <cell r="P148">
            <v>4492.0920629703523</v>
          </cell>
          <cell r="Q148" t="e">
            <v>#DIV/0!</v>
          </cell>
          <cell r="R148">
            <v>4832.9606505856791</v>
          </cell>
          <cell r="S148">
            <v>3457.925275020124</v>
          </cell>
          <cell r="T148" t="e">
            <v>#DIV/0!</v>
          </cell>
          <cell r="U148">
            <v>6564.0313499722834</v>
          </cell>
          <cell r="V148" t="e">
            <v>#DIV/0!</v>
          </cell>
          <cell r="W148" t="e">
            <v>#DIV/0!</v>
          </cell>
          <cell r="X148">
            <v>64.493941036214352</v>
          </cell>
          <cell r="Y148"/>
          <cell r="Z148">
            <v>1733.7260625367555</v>
          </cell>
          <cell r="AA148">
            <v>0.64605535292691374</v>
          </cell>
          <cell r="AB148"/>
          <cell r="AC148">
            <v>79.321456528018828</v>
          </cell>
          <cell r="AD148"/>
          <cell r="AE148"/>
          <cell r="AF148">
            <v>1878.1875154539157</v>
          </cell>
          <cell r="AG148">
            <v>1.1012599888399872E-2</v>
          </cell>
          <cell r="AH148">
            <v>1915.1106978470536</v>
          </cell>
          <cell r="AI148">
            <v>247.97580960000002</v>
          </cell>
          <cell r="AJ148">
            <v>342.6369057</v>
          </cell>
          <cell r="AK148">
            <v>142.25691620000001</v>
          </cell>
          <cell r="AL148">
            <v>648.38083930000005</v>
          </cell>
          <cell r="AM148">
            <v>665.23966989999997</v>
          </cell>
          <cell r="AN148">
            <v>1152.9455590000002</v>
          </cell>
          <cell r="AO148">
            <v>733.39471700000001</v>
          </cell>
          <cell r="AP148">
            <v>1207.4909539999999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13.312522570603928</v>
          </cell>
          <cell r="AZ148">
            <v>0</v>
          </cell>
          <cell r="BA148">
            <v>342.20248990447368</v>
          </cell>
          <cell r="BB148">
            <v>0.74379581191290167</v>
          </cell>
          <cell r="BC148">
            <v>0</v>
          </cell>
          <cell r="BD148">
            <v>53.852817782816224</v>
          </cell>
          <cell r="BE148">
            <v>0</v>
          </cell>
          <cell r="BF148">
            <v>0</v>
          </cell>
          <cell r="BG148">
            <v>405.59523082231885</v>
          </cell>
          <cell r="BH148">
            <v>2320.7059286693725</v>
          </cell>
          <cell r="BI148">
            <v>4851.0661749297096</v>
          </cell>
          <cell r="BJ148">
            <v>0.47839090315089317</v>
          </cell>
          <cell r="BK148">
            <v>0.39478140037428017</v>
          </cell>
          <cell r="BL148">
            <v>8.3609502776612984E-2</v>
          </cell>
        </row>
        <row r="149">
          <cell r="A149" t="str">
            <v>KORBA STPS7</v>
          </cell>
          <cell r="B149" t="str">
            <v>KORBA STPS</v>
          </cell>
          <cell r="C149">
            <v>500</v>
          </cell>
          <cell r="D149" t="str">
            <v>PITHEAD</v>
          </cell>
          <cell r="E149">
            <v>0.27277108433734942</v>
          </cell>
          <cell r="F149">
            <v>22.386399999999998</v>
          </cell>
          <cell r="G149">
            <v>82.6828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1</v>
          </cell>
          <cell r="O149">
            <v>0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>
            <v>4155.9961352898499</v>
          </cell>
          <cell r="W149" t="e">
            <v>#DIV/0!</v>
          </cell>
          <cell r="X149"/>
          <cell r="Y149"/>
          <cell r="Z149"/>
          <cell r="AA149"/>
          <cell r="AB149"/>
          <cell r="AC149"/>
          <cell r="AD149">
            <v>1608.0582000000002</v>
          </cell>
          <cell r="AE149"/>
          <cell r="AF149">
            <v>1608.0582000000002</v>
          </cell>
          <cell r="AG149">
            <v>0</v>
          </cell>
          <cell r="AH149">
            <v>1608.0582000000002</v>
          </cell>
          <cell r="AI149">
            <v>495.10191369999995</v>
          </cell>
          <cell r="AJ149">
            <v>563.90614130000017</v>
          </cell>
          <cell r="AK149">
            <v>606.6385332000001</v>
          </cell>
          <cell r="AL149">
            <v>347.38862719999997</v>
          </cell>
          <cell r="AM149">
            <v>319.03380940000011</v>
          </cell>
          <cell r="AN149">
            <v>1805.744819</v>
          </cell>
          <cell r="AO149">
            <v>10.53226969</v>
          </cell>
          <cell r="AP149">
            <v>491.35260039999991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26.862433499261858</v>
          </cell>
          <cell r="BF149">
            <v>0</v>
          </cell>
          <cell r="BG149">
            <v>26.862433499261858</v>
          </cell>
          <cell r="BH149">
            <v>1634.9206334992621</v>
          </cell>
          <cell r="BI149">
            <v>4155.9961352898499</v>
          </cell>
          <cell r="BJ149">
            <v>0.3933883912010035</v>
          </cell>
          <cell r="BK149">
            <v>0.3869248545121301</v>
          </cell>
          <cell r="BL149">
            <v>6.4635366888733652E-3</v>
          </cell>
        </row>
        <row r="150">
          <cell r="A150" t="str">
            <v>SIMHADRI STPP3</v>
          </cell>
          <cell r="B150" t="str">
            <v>SIMHADRI STPP</v>
          </cell>
          <cell r="C150">
            <v>500</v>
          </cell>
          <cell r="D150" t="str">
            <v>RAIL</v>
          </cell>
          <cell r="E150">
            <v>0.84657650042265431</v>
          </cell>
          <cell r="F150">
            <v>17.5947</v>
          </cell>
          <cell r="G150">
            <v>83.090299999999999</v>
          </cell>
          <cell r="H150">
            <v>0</v>
          </cell>
          <cell r="I150">
            <v>1.1287861219726743E-2</v>
          </cell>
          <cell r="J150">
            <v>0.28263584859359459</v>
          </cell>
          <cell r="K150">
            <v>0.70590308735423568</v>
          </cell>
          <cell r="L150">
            <v>1.7320283244282822E-4</v>
          </cell>
          <cell r="M150">
            <v>0</v>
          </cell>
          <cell r="N150">
            <v>0</v>
          </cell>
          <cell r="O150">
            <v>0</v>
          </cell>
          <cell r="P150" t="e">
            <v>#DIV/0!</v>
          </cell>
          <cell r="Q150">
            <v>4768.5629605456834</v>
          </cell>
          <cell r="R150">
            <v>5971.8566527774574</v>
          </cell>
          <cell r="S150">
            <v>3635.7868446395441</v>
          </cell>
          <cell r="T150">
            <v>4450</v>
          </cell>
          <cell r="U150" t="e">
            <v>#DIV/0!</v>
          </cell>
          <cell r="V150" t="e">
            <v>#DIV/0!</v>
          </cell>
          <cell r="W150" t="e">
            <v>#DIV/0!</v>
          </cell>
          <cell r="X150"/>
          <cell r="Y150">
            <v>20.749409706124531</v>
          </cell>
          <cell r="Z150">
            <v>1081.0644504772454</v>
          </cell>
          <cell r="AA150">
            <v>1013.9455566279765</v>
          </cell>
          <cell r="AB150">
            <v>0.29338775133829614</v>
          </cell>
          <cell r="AC150"/>
          <cell r="AD150"/>
          <cell r="AE150"/>
          <cell r="AF150">
            <v>2116.0528045626847</v>
          </cell>
          <cell r="AG150">
            <v>1.6194662129857273E-2</v>
          </cell>
          <cell r="AH150">
            <v>2166.4983219451383</v>
          </cell>
          <cell r="AI150">
            <v>952.72559039999999</v>
          </cell>
          <cell r="AJ150">
            <v>923.81840030000001</v>
          </cell>
          <cell r="AK150">
            <v>1022.267198</v>
          </cell>
          <cell r="AL150">
            <v>645.10746749999998</v>
          </cell>
          <cell r="AM150">
            <v>934.39502460000006</v>
          </cell>
          <cell r="AN150">
            <v>2231.9469779999999</v>
          </cell>
          <cell r="AO150">
            <v>640.81663349999997</v>
          </cell>
          <cell r="AP150">
            <v>744.77551589999996</v>
          </cell>
          <cell r="AQ150">
            <v>0</v>
          </cell>
          <cell r="AR150">
            <v>26.765234706877507</v>
          </cell>
          <cell r="AS150">
            <v>728.9325505870072</v>
          </cell>
          <cell r="AT150">
            <v>1325.5885834251999</v>
          </cell>
          <cell r="AU150">
            <v>0.41069024255247705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2047.9846784350357</v>
          </cell>
          <cell r="BH150">
            <v>4214.4830003801744</v>
          </cell>
          <cell r="BI150">
            <v>4308.9715608505721</v>
          </cell>
          <cell r="BJ150">
            <v>0.97807166765061082</v>
          </cell>
          <cell r="BK150">
            <v>0.50278779781908822</v>
          </cell>
          <cell r="BL150">
            <v>0.47528386983152249</v>
          </cell>
        </row>
        <row r="151">
          <cell r="A151" t="str">
            <v>MEJIA TPS7</v>
          </cell>
          <cell r="B151" t="str">
            <v>MEJIA TPS</v>
          </cell>
          <cell r="C151">
            <v>500</v>
          </cell>
          <cell r="D151" t="str">
            <v>RAIL</v>
          </cell>
          <cell r="E151">
            <v>0.61420916848581064</v>
          </cell>
          <cell r="F151">
            <v>23.463100000000001</v>
          </cell>
          <cell r="G151">
            <v>87.130799999999994</v>
          </cell>
          <cell r="H151">
            <v>0.62570403654386431</v>
          </cell>
          <cell r="I151">
            <v>1.4721365893105742E-2</v>
          </cell>
          <cell r="J151">
            <v>0.31011315523441657</v>
          </cell>
          <cell r="K151">
            <v>4.9461442328613443E-2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4249.9402187184578</v>
          </cell>
          <cell r="Q151">
            <v>4510.7264263643883</v>
          </cell>
          <cell r="R151">
            <v>5472.1287197953916</v>
          </cell>
          <cell r="S151">
            <v>3454.6554881081602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>
            <v>1006.1685067374608</v>
          </cell>
          <cell r="Y151">
            <v>24.936476933379506</v>
          </cell>
          <cell r="Z151">
            <v>873.2851699209034</v>
          </cell>
          <cell r="AA151">
            <v>71.045460165754577</v>
          </cell>
          <cell r="AB151"/>
          <cell r="AC151"/>
          <cell r="AD151"/>
          <cell r="AE151"/>
          <cell r="AF151">
            <v>1975.4356137574982</v>
          </cell>
          <cell r="AG151">
            <v>0</v>
          </cell>
          <cell r="AH151">
            <v>1975.4356137574982</v>
          </cell>
          <cell r="AI151">
            <v>99.595660539999983</v>
          </cell>
          <cell r="AJ151">
            <v>174.29695009999998</v>
          </cell>
          <cell r="AK151">
            <v>125.96852500000001</v>
          </cell>
          <cell r="AL151">
            <v>438.83783300000005</v>
          </cell>
          <cell r="AM151">
            <v>517.43586959999993</v>
          </cell>
          <cell r="AN151">
            <v>1354.2585539999998</v>
          </cell>
          <cell r="AO151">
            <v>557.38636359999987</v>
          </cell>
          <cell r="AP151">
            <v>1006.400279</v>
          </cell>
          <cell r="AQ151">
            <v>242.56042680659445</v>
          </cell>
          <cell r="AR151">
            <v>10.76517546572429</v>
          </cell>
          <cell r="AS151">
            <v>188.05137688152925</v>
          </cell>
          <cell r="AT151">
            <v>71.4431954511805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512.82017460502846</v>
          </cell>
          <cell r="BH151">
            <v>2488.2557883625268</v>
          </cell>
          <cell r="BI151">
            <v>4593.4601504233742</v>
          </cell>
          <cell r="BJ151">
            <v>0.54169530307848368</v>
          </cell>
          <cell r="BK151">
            <v>0.43005393517464702</v>
          </cell>
          <cell r="BL151">
            <v>0.11164136790383658</v>
          </cell>
        </row>
        <row r="152">
          <cell r="A152" t="str">
            <v>INDIRA GANDHI STPP2</v>
          </cell>
          <cell r="B152" t="str">
            <v>INDIRA GANDHI STPP</v>
          </cell>
          <cell r="C152">
            <v>500</v>
          </cell>
          <cell r="D152" t="str">
            <v>RAIL</v>
          </cell>
          <cell r="E152">
            <v>0.91827018448720488</v>
          </cell>
          <cell r="F152">
            <v>28.484233333333336</v>
          </cell>
          <cell r="G152">
            <v>76.374219444444435</v>
          </cell>
          <cell r="H152">
            <v>0</v>
          </cell>
          <cell r="I152">
            <v>0.41725176950311421</v>
          </cell>
          <cell r="J152">
            <v>0.21415962103456668</v>
          </cell>
          <cell r="K152">
            <v>0</v>
          </cell>
          <cell r="L152">
            <v>0.36858860946231914</v>
          </cell>
          <cell r="M152">
            <v>0</v>
          </cell>
          <cell r="N152">
            <v>0</v>
          </cell>
          <cell r="O152">
            <v>0</v>
          </cell>
          <cell r="P152" t="e">
            <v>#DIV/0!</v>
          </cell>
          <cell r="Q152">
            <v>4260.2263460222721</v>
          </cell>
          <cell r="R152">
            <v>5905.2295767949317</v>
          </cell>
          <cell r="S152" t="e">
            <v>#DIV/0!</v>
          </cell>
          <cell r="T152">
            <v>4550.3586030889664</v>
          </cell>
          <cell r="U152" t="e">
            <v>#DIV/0!</v>
          </cell>
          <cell r="V152" t="e">
            <v>#DIV/0!</v>
          </cell>
          <cell r="W152" t="e">
            <v>#DIV/0!</v>
          </cell>
          <cell r="X152"/>
          <cell r="Y152">
            <v>670.96512941399283</v>
          </cell>
          <cell r="Z152">
            <v>819.1471611977106</v>
          </cell>
          <cell r="AA152"/>
          <cell r="AB152">
            <v>624.35112505884968</v>
          </cell>
          <cell r="AC152"/>
          <cell r="AD152"/>
          <cell r="AE152"/>
          <cell r="AF152">
            <v>2114.4634156705533</v>
          </cell>
          <cell r="AG152">
            <v>4.6404866790173083E-2</v>
          </cell>
          <cell r="AH152">
            <v>2259.0858807130626</v>
          </cell>
          <cell r="AI152">
            <v>1212.7007120000001</v>
          </cell>
          <cell r="AJ152">
            <v>1209.288033</v>
          </cell>
          <cell r="AK152">
            <v>1307.883333</v>
          </cell>
          <cell r="AL152">
            <v>1398.0382490000002</v>
          </cell>
          <cell r="AM152">
            <v>927.53400650000003</v>
          </cell>
          <cell r="AN152">
            <v>2356.7091949999999</v>
          </cell>
          <cell r="AO152">
            <v>1099.4364539999999</v>
          </cell>
          <cell r="AP152">
            <v>1024.1510330000001</v>
          </cell>
          <cell r="AQ152">
            <v>0</v>
          </cell>
          <cell r="AR152">
            <v>1236.0432758769336</v>
          </cell>
          <cell r="AS152">
            <v>679.82872933137048</v>
          </cell>
          <cell r="AT152">
            <v>0</v>
          </cell>
          <cell r="AU152">
            <v>873.97961850379693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2660.3889307493932</v>
          </cell>
          <cell r="BH152">
            <v>4919.4748114624563</v>
          </cell>
          <cell r="BI152">
            <v>4719.459059717552</v>
          </cell>
          <cell r="BJ152">
            <v>1.0423810757152483</v>
          </cell>
          <cell r="BK152">
            <v>0.47867474897605389</v>
          </cell>
          <cell r="BL152">
            <v>0.5637063267391943</v>
          </cell>
        </row>
        <row r="153">
          <cell r="A153" t="str">
            <v>KAKATIYA TPS1</v>
          </cell>
          <cell r="B153" t="str">
            <v>KAKATIYA TPS</v>
          </cell>
          <cell r="C153">
            <v>500</v>
          </cell>
          <cell r="D153" t="str">
            <v>PITHEAD</v>
          </cell>
          <cell r="E153" t="str">
            <v/>
          </cell>
          <cell r="F153">
            <v>18.384166666666665</v>
          </cell>
          <cell r="G153">
            <v>79.828333333333333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4279.0292548546358</v>
          </cell>
          <cell r="X153"/>
          <cell r="Y153"/>
          <cell r="Z153"/>
          <cell r="AA153"/>
          <cell r="AB153"/>
          <cell r="AC153"/>
          <cell r="AD153"/>
          <cell r="AE153">
            <v>1608.0582000000002</v>
          </cell>
          <cell r="AF153">
            <v>1608.0582000000002</v>
          </cell>
          <cell r="AG153">
            <v>0</v>
          </cell>
          <cell r="AH153">
            <v>1608.0582000000002</v>
          </cell>
          <cell r="AI153">
            <v>1141.969012</v>
          </cell>
          <cell r="AJ153">
            <v>1210.77324</v>
          </cell>
          <cell r="AK153">
            <v>1253.505631</v>
          </cell>
          <cell r="AL153">
            <v>819.23058160000005</v>
          </cell>
          <cell r="AM153">
            <v>953.70298409999998</v>
          </cell>
          <cell r="AN153">
            <v>2424.4857099999999</v>
          </cell>
          <cell r="AO153">
            <v>664.51178970000001</v>
          </cell>
          <cell r="AP153">
            <v>382.72670669999997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976.14009228055079</v>
          </cell>
          <cell r="BG153">
            <v>976.14009228055079</v>
          </cell>
          <cell r="BH153">
            <v>2584.198292280551</v>
          </cell>
          <cell r="BI153">
            <v>4279.0292548546358</v>
          </cell>
          <cell r="BJ153">
            <v>0.60392162295892959</v>
          </cell>
          <cell r="BK153">
            <v>0.37579976771031165</v>
          </cell>
          <cell r="BL153">
            <v>0.22812185524861794</v>
          </cell>
        </row>
        <row r="154">
          <cell r="A154" t="str">
            <v>NTPL TUTICORIN (JV) TPP2</v>
          </cell>
          <cell r="B154" t="str">
            <v>NTPL TUTICORIN (JV) TPP</v>
          </cell>
          <cell r="C154">
            <v>500</v>
          </cell>
          <cell r="D154"/>
          <cell r="E154" t="str">
            <v/>
          </cell>
          <cell r="F154">
            <v>8.7641659999999995</v>
          </cell>
          <cell r="G154">
            <v>78.134799999999998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4279.0292548546358</v>
          </cell>
          <cell r="X154"/>
          <cell r="Y154"/>
          <cell r="Z154"/>
          <cell r="AA154"/>
          <cell r="AB154"/>
          <cell r="AC154"/>
          <cell r="AD154"/>
          <cell r="AE154">
            <v>1608.0582000000002</v>
          </cell>
          <cell r="AF154">
            <v>1608.0582000000002</v>
          </cell>
          <cell r="AG154">
            <v>0.17625260328526579</v>
          </cell>
          <cell r="AH154">
            <v>2246.6111238010071</v>
          </cell>
          <cell r="AI154">
            <v>2213.3715769999999</v>
          </cell>
          <cell r="AJ154">
            <v>2156.5287000000003</v>
          </cell>
          <cell r="AK154">
            <v>2308.7395860000001</v>
          </cell>
          <cell r="AL154">
            <v>1877.817767</v>
          </cell>
          <cell r="AM154">
            <v>2145.3241320000002</v>
          </cell>
          <cell r="AN154">
            <v>3518.419367</v>
          </cell>
          <cell r="AO154">
            <v>1846.0136229999998</v>
          </cell>
          <cell r="AP154">
            <v>1559.533326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3577.7280000000001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2947.1441261534123</v>
          </cell>
          <cell r="BH154">
            <v>5193.7552499544199</v>
          </cell>
          <cell r="BI154">
            <v>4279.0292548546358</v>
          </cell>
          <cell r="BJ154">
            <v>1.213769511872818</v>
          </cell>
          <cell r="BK154">
            <v>0.52502822252317771</v>
          </cell>
          <cell r="BL154">
            <v>0.6887412893496403</v>
          </cell>
        </row>
        <row r="155">
          <cell r="A155" t="str">
            <v>UKAI TPS6</v>
          </cell>
          <cell r="B155" t="str">
            <v>UKAI TPS</v>
          </cell>
          <cell r="C155">
            <v>500</v>
          </cell>
          <cell r="D155" t="str">
            <v>RAIL</v>
          </cell>
          <cell r="E155"/>
          <cell r="F155">
            <v>21.209399999999999</v>
          </cell>
          <cell r="G155">
            <v>73.556299999999993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0.85296774146088927</v>
          </cell>
          <cell r="O155">
            <v>0.14703225853911084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>
            <v>4224.124816524135</v>
          </cell>
          <cell r="W155">
            <v>4346.3824840085445</v>
          </cell>
          <cell r="X155"/>
          <cell r="Y155"/>
          <cell r="Z155"/>
          <cell r="AA155"/>
          <cell r="AB155"/>
          <cell r="AC155"/>
          <cell r="AD155">
            <v>1371.6217709916632</v>
          </cell>
          <cell r="AE155">
            <v>249.05749576133394</v>
          </cell>
          <cell r="AF155">
            <v>1620.6792667529971</v>
          </cell>
          <cell r="AG155">
            <v>9.7715240367696243E-2</v>
          </cell>
          <cell r="AH155">
            <v>1973.4626250067054</v>
          </cell>
          <cell r="AI155">
            <v>1572.5648799999999</v>
          </cell>
          <cell r="AJ155">
            <v>1515.7220030000001</v>
          </cell>
          <cell r="AK155">
            <v>1680.3721210000001</v>
          </cell>
          <cell r="AL155">
            <v>1286.4782259999999</v>
          </cell>
          <cell r="AM155">
            <v>1160.636164</v>
          </cell>
          <cell r="AN155">
            <v>2737.0475200000001</v>
          </cell>
          <cell r="AO155">
            <v>1100.3064870000001</v>
          </cell>
          <cell r="AP155">
            <v>632.20841890000008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2313.5555832288578</v>
          </cell>
          <cell r="AX155">
            <v>276.10629108477178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2336.6124417940146</v>
          </cell>
          <cell r="BH155">
            <v>4310.0750668007204</v>
          </cell>
          <cell r="BI155">
            <v>4242.1006374980961</v>
          </cell>
          <cell r="BJ155">
            <v>1.0160237663156229</v>
          </cell>
          <cell r="BK155">
            <v>0.46520881837697586</v>
          </cell>
          <cell r="BL155">
            <v>0.55081494793864683</v>
          </cell>
        </row>
        <row r="156">
          <cell r="A156" t="str">
            <v>NTPL TUTICORIN (JV) TPP1</v>
          </cell>
          <cell r="B156" t="str">
            <v>NTPL TUTICORIN (JV) TPP</v>
          </cell>
          <cell r="C156">
            <v>500</v>
          </cell>
          <cell r="D156"/>
          <cell r="E156" t="str">
            <v/>
          </cell>
          <cell r="F156">
            <v>8.7641659999999995</v>
          </cell>
          <cell r="G156">
            <v>78.134799999999998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4279.0292548546358</v>
          </cell>
          <cell r="X156"/>
          <cell r="Y156"/>
          <cell r="Z156"/>
          <cell r="AA156"/>
          <cell r="AB156"/>
          <cell r="AC156"/>
          <cell r="AD156"/>
          <cell r="AE156">
            <v>1608.0582000000002</v>
          </cell>
          <cell r="AF156">
            <v>1608.0582000000002</v>
          </cell>
          <cell r="AG156">
            <v>0.17625260328526579</v>
          </cell>
          <cell r="AH156">
            <v>2246.6111238010071</v>
          </cell>
          <cell r="AI156">
            <v>2213.3715769999999</v>
          </cell>
          <cell r="AJ156">
            <v>2156.5287000000003</v>
          </cell>
          <cell r="AK156">
            <v>2308.7395860000001</v>
          </cell>
          <cell r="AL156">
            <v>1877.817767</v>
          </cell>
          <cell r="AM156">
            <v>2145.3241320000002</v>
          </cell>
          <cell r="AN156">
            <v>3518.419367</v>
          </cell>
          <cell r="AO156">
            <v>1846.0136229999998</v>
          </cell>
          <cell r="AP156">
            <v>1559.533326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3577.7280000000001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2947.1441261534123</v>
          </cell>
          <cell r="BH156">
            <v>5193.7552499544199</v>
          </cell>
          <cell r="BI156">
            <v>4279.0292548546358</v>
          </cell>
          <cell r="BJ156">
            <v>1.213769511872818</v>
          </cell>
          <cell r="BK156">
            <v>0.52502822252317771</v>
          </cell>
          <cell r="BL156">
            <v>0.6887412893496403</v>
          </cell>
        </row>
        <row r="157">
          <cell r="A157" t="str">
            <v>INDIRA GANDHI STPP1</v>
          </cell>
          <cell r="B157" t="str">
            <v>INDIRA GANDHI STPP</v>
          </cell>
          <cell r="C157">
            <v>500</v>
          </cell>
          <cell r="D157" t="str">
            <v>RAIL</v>
          </cell>
          <cell r="E157">
            <v>0.91827018448720488</v>
          </cell>
          <cell r="F157">
            <v>28.484233333333336</v>
          </cell>
          <cell r="G157">
            <v>76.374219444444435</v>
          </cell>
          <cell r="H157">
            <v>0</v>
          </cell>
          <cell r="I157">
            <v>0.41725176950311421</v>
          </cell>
          <cell r="J157">
            <v>0.21415962103456668</v>
          </cell>
          <cell r="K157">
            <v>0</v>
          </cell>
          <cell r="L157">
            <v>0.36858860946231914</v>
          </cell>
          <cell r="M157">
            <v>0</v>
          </cell>
          <cell r="N157">
            <v>0</v>
          </cell>
          <cell r="O157">
            <v>0</v>
          </cell>
          <cell r="P157" t="e">
            <v>#DIV/0!</v>
          </cell>
          <cell r="Q157">
            <v>4260.2263460222721</v>
          </cell>
          <cell r="R157">
            <v>5905.2295767949317</v>
          </cell>
          <cell r="S157" t="e">
            <v>#DIV/0!</v>
          </cell>
          <cell r="T157">
            <v>4550.3586030889664</v>
          </cell>
          <cell r="U157" t="e">
            <v>#DIV/0!</v>
          </cell>
          <cell r="V157" t="e">
            <v>#DIV/0!</v>
          </cell>
          <cell r="W157" t="e">
            <v>#DIV/0!</v>
          </cell>
          <cell r="X157"/>
          <cell r="Y157">
            <v>670.96512941399283</v>
          </cell>
          <cell r="Z157">
            <v>819.1471611977106</v>
          </cell>
          <cell r="AA157"/>
          <cell r="AB157">
            <v>624.35112505884968</v>
          </cell>
          <cell r="AC157"/>
          <cell r="AD157"/>
          <cell r="AE157"/>
          <cell r="AF157">
            <v>2114.4634156705533</v>
          </cell>
          <cell r="AG157">
            <v>4.6404866790173083E-2</v>
          </cell>
          <cell r="AH157">
            <v>2259.0858807130626</v>
          </cell>
          <cell r="AI157">
            <v>1212.7007120000001</v>
          </cell>
          <cell r="AJ157">
            <v>1209.288033</v>
          </cell>
          <cell r="AK157">
            <v>1307.883333</v>
          </cell>
          <cell r="AL157">
            <v>1398.0382490000002</v>
          </cell>
          <cell r="AM157">
            <v>927.53400650000003</v>
          </cell>
          <cell r="AN157">
            <v>2356.7091949999999</v>
          </cell>
          <cell r="AO157">
            <v>1099.4364539999999</v>
          </cell>
          <cell r="AP157">
            <v>1024.1510330000001</v>
          </cell>
          <cell r="AQ157">
            <v>0</v>
          </cell>
          <cell r="AR157">
            <v>1236.0432758769336</v>
          </cell>
          <cell r="AS157">
            <v>679.82872933137048</v>
          </cell>
          <cell r="AT157">
            <v>0</v>
          </cell>
          <cell r="AU157">
            <v>873.97961850379693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2660.3889307493932</v>
          </cell>
          <cell r="BH157">
            <v>4919.4748114624563</v>
          </cell>
          <cell r="BI157">
            <v>4719.459059717552</v>
          </cell>
          <cell r="BJ157">
            <v>1.0423810757152483</v>
          </cell>
          <cell r="BK157">
            <v>0.47867474897605389</v>
          </cell>
          <cell r="BL157">
            <v>0.5637063267391943</v>
          </cell>
        </row>
        <row r="158">
          <cell r="A158" t="str">
            <v>DADRI (NCTPP)6</v>
          </cell>
          <cell r="B158" t="str">
            <v>DADRI (NCTPP)</v>
          </cell>
          <cell r="C158">
            <v>490</v>
          </cell>
          <cell r="D158" t="str">
            <v>RAIL</v>
          </cell>
          <cell r="E158"/>
          <cell r="F158">
            <v>28.601099999999999</v>
          </cell>
          <cell r="G158">
            <v>77.606899999999996</v>
          </cell>
          <cell r="H158">
            <v>0.21365050531978347</v>
          </cell>
          <cell r="I158">
            <v>0.47487256444451786</v>
          </cell>
          <cell r="J158">
            <v>0.29554755224554441</v>
          </cell>
          <cell r="K158">
            <v>0</v>
          </cell>
          <cell r="L158">
            <v>1.5929377990154366E-2</v>
          </cell>
          <cell r="M158">
            <v>0</v>
          </cell>
          <cell r="N158">
            <v>0</v>
          </cell>
          <cell r="O158">
            <v>0</v>
          </cell>
          <cell r="P158">
            <v>4282.0535084030671</v>
          </cell>
          <cell r="Q158">
            <v>4161.9976698589226</v>
          </cell>
          <cell r="R158">
            <v>5945.7651798195066</v>
          </cell>
          <cell r="S158" t="e">
            <v>#DIV/0!</v>
          </cell>
          <cell r="T158">
            <v>4497.1367089912119</v>
          </cell>
          <cell r="U158" t="e">
            <v>#DIV/0!</v>
          </cell>
          <cell r="V158" t="e">
            <v>#DIV/0!</v>
          </cell>
          <cell r="W158" t="e">
            <v>#DIV/0!</v>
          </cell>
          <cell r="X158">
            <v>343.56244701362147</v>
          </cell>
          <cell r="Y158">
            <v>763.62272121003548</v>
          </cell>
          <cell r="Z158">
            <v>1130.4509097062412</v>
          </cell>
          <cell r="AA158"/>
          <cell r="AB158">
            <v>26.982724952213395</v>
          </cell>
          <cell r="AC158"/>
          <cell r="AD158"/>
          <cell r="AE158"/>
          <cell r="AF158">
            <v>2264.6188028821116</v>
          </cell>
          <cell r="AG158">
            <v>2.2633605042873307E-2</v>
          </cell>
          <cell r="AH158">
            <v>2331.7587033042837</v>
          </cell>
          <cell r="AI158">
            <v>1112.416138</v>
          </cell>
          <cell r="AJ158">
            <v>1109.003459</v>
          </cell>
          <cell r="AK158">
            <v>1207.5987589999997</v>
          </cell>
          <cell r="AL158">
            <v>1297.7536740000003</v>
          </cell>
          <cell r="AM158">
            <v>827.24943229999997</v>
          </cell>
          <cell r="AN158">
            <v>2242.82249</v>
          </cell>
          <cell r="AO158">
            <v>1008.1686940000001</v>
          </cell>
          <cell r="AP158">
            <v>963.37911259999998</v>
          </cell>
          <cell r="AQ158">
            <v>587.30387407355283</v>
          </cell>
          <cell r="AR158">
            <v>1305.3771924015352</v>
          </cell>
          <cell r="AS158">
            <v>875.5135181092752</v>
          </cell>
          <cell r="AT158">
            <v>0</v>
          </cell>
          <cell r="AU158">
            <v>34.762331141598089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2739.5158959432301</v>
          </cell>
          <cell r="BH158">
            <v>5071.2745992475138</v>
          </cell>
          <cell r="BI158">
            <v>4720.1743382080467</v>
          </cell>
          <cell r="BJ158">
            <v>1.0743829011139359</v>
          </cell>
          <cell r="BK158">
            <v>0.49399842807278721</v>
          </cell>
          <cell r="BL158">
            <v>0.58038447304114871</v>
          </cell>
        </row>
        <row r="159">
          <cell r="A159" t="str">
            <v>DR. N TATA RAO TPS7</v>
          </cell>
          <cell r="B159" t="str">
            <v>DR. N TATA RAO TPS</v>
          </cell>
          <cell r="C159">
            <v>500</v>
          </cell>
          <cell r="D159" t="str">
            <v>RAIL</v>
          </cell>
          <cell r="E159">
            <v>1.0084925690021231</v>
          </cell>
          <cell r="F159">
            <v>16.599399999999999</v>
          </cell>
          <cell r="G159">
            <v>80.536699999999996</v>
          </cell>
          <cell r="H159">
            <v>0</v>
          </cell>
          <cell r="I159">
            <v>0</v>
          </cell>
          <cell r="J159">
            <v>0</v>
          </cell>
          <cell r="K159">
            <v>1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e">
            <v>#DIV/0!</v>
          </cell>
          <cell r="Q159" t="e">
            <v>#DIV/0!</v>
          </cell>
          <cell r="R159" t="e">
            <v>#DIV/0!</v>
          </cell>
          <cell r="S159">
            <v>3570.8193390001843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/>
          <cell r="Y159"/>
          <cell r="Z159"/>
          <cell r="AA159">
            <v>1436.3806800000002</v>
          </cell>
          <cell r="AB159"/>
          <cell r="AC159"/>
          <cell r="AD159"/>
          <cell r="AE159"/>
          <cell r="AF159">
            <v>1436.3806800000002</v>
          </cell>
          <cell r="AG159">
            <v>0</v>
          </cell>
          <cell r="AH159">
            <v>1436.3806800000002</v>
          </cell>
          <cell r="AI159">
            <v>1227.5762779999998</v>
          </cell>
          <cell r="AJ159">
            <v>1170.7334000000001</v>
          </cell>
          <cell r="AK159">
            <v>1329.2215700000002</v>
          </cell>
          <cell r="AL159">
            <v>892.02246769999999</v>
          </cell>
          <cell r="AM159">
            <v>1143.8366679999999</v>
          </cell>
          <cell r="AN159">
            <v>2538.901351</v>
          </cell>
          <cell r="AO159">
            <v>844.52615909999997</v>
          </cell>
          <cell r="AP159">
            <v>598.64390430000003</v>
          </cell>
          <cell r="AQ159">
            <v>0</v>
          </cell>
          <cell r="AR159">
            <v>0</v>
          </cell>
          <cell r="AS159">
            <v>0</v>
          </cell>
          <cell r="AT159">
            <v>2304.1200000000003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2304.1200000000003</v>
          </cell>
          <cell r="BH159">
            <v>3740.5006800000006</v>
          </cell>
          <cell r="BI159">
            <v>3570.8193390001843</v>
          </cell>
          <cell r="BJ159">
            <v>1.047518881492147</v>
          </cell>
          <cell r="BK159">
            <v>0.40225520913701035</v>
          </cell>
          <cell r="BL159">
            <v>0.6452636723551366</v>
          </cell>
        </row>
        <row r="160">
          <cell r="A160" t="str">
            <v>KAHALGAON TPS7</v>
          </cell>
          <cell r="B160" t="str">
            <v>KAHALGAON TPS</v>
          </cell>
          <cell r="C160">
            <v>500</v>
          </cell>
          <cell r="D160" t="str">
            <v>PITHEAD</v>
          </cell>
          <cell r="E160">
            <v>0.72055073941866399</v>
          </cell>
          <cell r="F160">
            <v>25.238299999999999</v>
          </cell>
          <cell r="G160">
            <v>87.264899999999997</v>
          </cell>
          <cell r="H160">
            <v>0</v>
          </cell>
          <cell r="I160">
            <v>0</v>
          </cell>
          <cell r="J160">
            <v>1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e">
            <v>#DIV/0!</v>
          </cell>
          <cell r="Q160" t="e">
            <v>#DIV/0!</v>
          </cell>
          <cell r="R160">
            <v>3765.3709320470821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/>
          <cell r="Y160"/>
          <cell r="Z160">
            <v>1522.2194400000001</v>
          </cell>
          <cell r="AA160"/>
          <cell r="AB160"/>
          <cell r="AC160"/>
          <cell r="AD160"/>
          <cell r="AE160"/>
          <cell r="AF160">
            <v>1522.2194400000001</v>
          </cell>
          <cell r="AG160">
            <v>0</v>
          </cell>
          <cell r="AH160">
            <v>1522.2194400000001</v>
          </cell>
          <cell r="AI160">
            <v>241.28031670000001</v>
          </cell>
          <cell r="AJ160">
            <v>300.75341619999995</v>
          </cell>
          <cell r="AK160">
            <v>145.2733743</v>
          </cell>
          <cell r="AL160">
            <v>692.55382420000001</v>
          </cell>
          <cell r="AM160">
            <v>554.13204540000004</v>
          </cell>
          <cell r="AN160">
            <v>1169.1650020000002</v>
          </cell>
          <cell r="AO160">
            <v>715.30404129999988</v>
          </cell>
          <cell r="AP160">
            <v>1156.1512300000002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370.51808121209694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370.51808121209694</v>
          </cell>
          <cell r="BH160">
            <v>1892.7375212120969</v>
          </cell>
          <cell r="BI160">
            <v>3765.3709320470821</v>
          </cell>
          <cell r="BJ160">
            <v>0.5026696055634261</v>
          </cell>
          <cell r="BK160">
            <v>0.40426812323970168</v>
          </cell>
          <cell r="BL160">
            <v>9.840148232372449E-2</v>
          </cell>
        </row>
        <row r="161">
          <cell r="A161" t="str">
            <v>SEMBCORP GAYATRI P. LTD2</v>
          </cell>
          <cell r="B161" t="str">
            <v>SEMBCORP GAYATRI P. LTD</v>
          </cell>
          <cell r="C161">
            <v>660</v>
          </cell>
          <cell r="D161"/>
          <cell r="E161" t="str">
            <v/>
          </cell>
          <cell r="F161">
            <v>14.1625</v>
          </cell>
          <cell r="G161">
            <v>80.140833333333333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4279.0292548546358</v>
          </cell>
          <cell r="X161"/>
          <cell r="Y161"/>
          <cell r="Z161"/>
          <cell r="AA161"/>
          <cell r="AB161"/>
          <cell r="AC161"/>
          <cell r="AD161"/>
          <cell r="AE161">
            <v>1608.0582000000002</v>
          </cell>
          <cell r="AF161">
            <v>1608.0582000000002</v>
          </cell>
          <cell r="AG161">
            <v>1</v>
          </cell>
          <cell r="AH161">
            <v>5231</v>
          </cell>
          <cell r="AI161">
            <v>1511.454146</v>
          </cell>
          <cell r="AJ161">
            <v>1454.6112679999999</v>
          </cell>
          <cell r="AK161">
            <v>1606.8221550000001</v>
          </cell>
          <cell r="AL161">
            <v>1175.9003359999999</v>
          </cell>
          <cell r="AM161">
            <v>1443.4067</v>
          </cell>
          <cell r="AN161">
            <v>2816.5019350000002</v>
          </cell>
          <cell r="AO161">
            <v>1144.0961910000001</v>
          </cell>
          <cell r="AP161">
            <v>892.08687769999995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2304.1200000000003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5231</v>
          </cell>
          <cell r="BI161">
            <v>4279.0292548546358</v>
          </cell>
          <cell r="BJ161">
            <v>1.2224735304310752</v>
          </cell>
          <cell r="BK161">
            <v>1.2224735304310752</v>
          </cell>
          <cell r="BL161">
            <v>0</v>
          </cell>
        </row>
        <row r="162">
          <cell r="A162" t="str">
            <v>SIPAT STPS5</v>
          </cell>
          <cell r="B162" t="str">
            <v>SIPAT STPS</v>
          </cell>
          <cell r="C162">
            <v>500</v>
          </cell>
          <cell r="D162" t="str">
            <v>PITHEAD</v>
          </cell>
          <cell r="E162">
            <v>0.42012099484651577</v>
          </cell>
          <cell r="F162">
            <v>22.1325</v>
          </cell>
          <cell r="G162">
            <v>82.29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7.9251311331613697E-4</v>
          </cell>
          <cell r="M162">
            <v>0</v>
          </cell>
          <cell r="N162">
            <v>0.99920748688668382</v>
          </cell>
          <cell r="O162">
            <v>0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>
            <v>4450</v>
          </cell>
          <cell r="U162" t="e">
            <v>#DIV/0!</v>
          </cell>
          <cell r="V162">
            <v>4199.2748642438901</v>
          </cell>
          <cell r="W162" t="e">
            <v>#DIV/0!</v>
          </cell>
          <cell r="X162"/>
          <cell r="Y162"/>
          <cell r="Z162"/>
          <cell r="AA162"/>
          <cell r="AB162">
            <v>1.3424355534063401</v>
          </cell>
          <cell r="AC162"/>
          <cell r="AD162">
            <v>1606.7837927895246</v>
          </cell>
          <cell r="AE162"/>
          <cell r="AF162">
            <v>1608.126228342931</v>
          </cell>
          <cell r="AG162">
            <v>2.9815102260802168E-3</v>
          </cell>
          <cell r="AH162">
            <v>1618.9278635409244</v>
          </cell>
          <cell r="AI162">
            <v>571.33689770000001</v>
          </cell>
          <cell r="AJ162">
            <v>613.85336480000001</v>
          </cell>
          <cell r="AK162">
            <v>682.87351720000004</v>
          </cell>
          <cell r="AL162">
            <v>361.87699119999996</v>
          </cell>
          <cell r="AM162">
            <v>355.07346319999999</v>
          </cell>
          <cell r="AN162">
            <v>1841.7844729999999</v>
          </cell>
          <cell r="AO162">
            <v>78.327401930000008</v>
          </cell>
          <cell r="AP162">
            <v>413.13457099999999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0.71770844304742998</v>
          </cell>
          <cell r="BD162">
            <v>0</v>
          </cell>
          <cell r="BE162">
            <v>199.61482079249677</v>
          </cell>
          <cell r="BF162">
            <v>0</v>
          </cell>
          <cell r="BG162">
            <v>199.73523575101191</v>
          </cell>
          <cell r="BH162">
            <v>1818.6630992919363</v>
          </cell>
          <cell r="BI162">
            <v>4199.473567201816</v>
          </cell>
          <cell r="BJ162">
            <v>0.43306930504238034</v>
          </cell>
          <cell r="BK162">
            <v>0.38550733505858087</v>
          </cell>
          <cell r="BL162">
            <v>4.7561969983799433E-2</v>
          </cell>
        </row>
        <row r="163">
          <cell r="A163" t="str">
            <v>SEMBCORP GAYATRI P. LTD1</v>
          </cell>
          <cell r="B163" t="str">
            <v>SEMBCORP GAYATRI P. LTD</v>
          </cell>
          <cell r="C163">
            <v>660</v>
          </cell>
          <cell r="D163"/>
          <cell r="E163" t="str">
            <v/>
          </cell>
          <cell r="F163">
            <v>14.1625</v>
          </cell>
          <cell r="G163">
            <v>80.140833333333333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4279.0292548546358</v>
          </cell>
          <cell r="X163"/>
          <cell r="Y163"/>
          <cell r="Z163"/>
          <cell r="AA163"/>
          <cell r="AB163"/>
          <cell r="AC163"/>
          <cell r="AD163"/>
          <cell r="AE163">
            <v>1608.0582000000002</v>
          </cell>
          <cell r="AF163">
            <v>1608.0582000000002</v>
          </cell>
          <cell r="AG163">
            <v>1</v>
          </cell>
          <cell r="AH163">
            <v>5231</v>
          </cell>
          <cell r="AI163">
            <v>1511.454146</v>
          </cell>
          <cell r="AJ163">
            <v>1454.6112679999999</v>
          </cell>
          <cell r="AK163">
            <v>1606.8221550000001</v>
          </cell>
          <cell r="AL163">
            <v>1175.9003359999999</v>
          </cell>
          <cell r="AM163">
            <v>1443.4067</v>
          </cell>
          <cell r="AN163">
            <v>2816.5019350000002</v>
          </cell>
          <cell r="AO163">
            <v>1144.0961910000001</v>
          </cell>
          <cell r="AP163">
            <v>892.08687769999995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2304.1200000000003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5231</v>
          </cell>
          <cell r="BI163">
            <v>4279.0292548546358</v>
          </cell>
          <cell r="BJ163">
            <v>1.2224735304310752</v>
          </cell>
          <cell r="BK163">
            <v>1.2224735304310752</v>
          </cell>
          <cell r="BL163">
            <v>0</v>
          </cell>
        </row>
        <row r="164">
          <cell r="A164" t="str">
            <v>SIPAT STPS4</v>
          </cell>
          <cell r="B164" t="str">
            <v>SIPAT STPS</v>
          </cell>
          <cell r="C164">
            <v>500</v>
          </cell>
          <cell r="D164" t="str">
            <v>PITHEAD</v>
          </cell>
          <cell r="E164">
            <v>0.42012099484651577</v>
          </cell>
          <cell r="F164">
            <v>22.1325</v>
          </cell>
          <cell r="G164">
            <v>82.29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7.9251311331613697E-4</v>
          </cell>
          <cell r="M164">
            <v>0</v>
          </cell>
          <cell r="N164">
            <v>0.99920748688668382</v>
          </cell>
          <cell r="O164">
            <v>0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>
            <v>4450</v>
          </cell>
          <cell r="U164" t="e">
            <v>#DIV/0!</v>
          </cell>
          <cell r="V164">
            <v>4199.2748642438901</v>
          </cell>
          <cell r="W164" t="e">
            <v>#DIV/0!</v>
          </cell>
          <cell r="X164"/>
          <cell r="Y164"/>
          <cell r="Z164"/>
          <cell r="AA164"/>
          <cell r="AB164">
            <v>1.3424355534063401</v>
          </cell>
          <cell r="AC164"/>
          <cell r="AD164">
            <v>1606.7837927895246</v>
          </cell>
          <cell r="AE164"/>
          <cell r="AF164">
            <v>1608.126228342931</v>
          </cell>
          <cell r="AG164">
            <v>2.9815102260802168E-3</v>
          </cell>
          <cell r="AH164">
            <v>1618.9278635409244</v>
          </cell>
          <cell r="AI164">
            <v>571.33689770000001</v>
          </cell>
          <cell r="AJ164">
            <v>613.85336480000001</v>
          </cell>
          <cell r="AK164">
            <v>682.87351720000004</v>
          </cell>
          <cell r="AL164">
            <v>361.87699119999996</v>
          </cell>
          <cell r="AM164">
            <v>355.07346319999999</v>
          </cell>
          <cell r="AN164">
            <v>1841.7844729999999</v>
          </cell>
          <cell r="AO164">
            <v>78.327401930000008</v>
          </cell>
          <cell r="AP164">
            <v>413.13457099999999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0.71770844304742998</v>
          </cell>
          <cell r="BD164">
            <v>0</v>
          </cell>
          <cell r="BE164">
            <v>199.61482079249677</v>
          </cell>
          <cell r="BF164">
            <v>0</v>
          </cell>
          <cell r="BG164">
            <v>199.73523575101191</v>
          </cell>
          <cell r="BH164">
            <v>1818.6630992919363</v>
          </cell>
          <cell r="BI164">
            <v>4199.473567201816</v>
          </cell>
          <cell r="BJ164">
            <v>0.43306930504238034</v>
          </cell>
          <cell r="BK164">
            <v>0.38550733505858087</v>
          </cell>
          <cell r="BL164">
            <v>4.7561969983799433E-2</v>
          </cell>
        </row>
        <row r="165">
          <cell r="A165" t="str">
            <v>KAHALGAON TPS6</v>
          </cell>
          <cell r="B165" t="str">
            <v>KAHALGAON TPS</v>
          </cell>
          <cell r="C165">
            <v>500</v>
          </cell>
          <cell r="D165" t="str">
            <v>PITHEAD</v>
          </cell>
          <cell r="E165">
            <v>0.72055073941866399</v>
          </cell>
          <cell r="F165">
            <v>25.238299999999999</v>
          </cell>
          <cell r="G165">
            <v>87.264899999999997</v>
          </cell>
          <cell r="H165">
            <v>0</v>
          </cell>
          <cell r="I165">
            <v>0</v>
          </cell>
          <cell r="J165">
            <v>1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e">
            <v>#DIV/0!</v>
          </cell>
          <cell r="Q165" t="e">
            <v>#DIV/0!</v>
          </cell>
          <cell r="R165">
            <v>3765.3709320470821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/>
          <cell r="Y165"/>
          <cell r="Z165">
            <v>1522.2194400000001</v>
          </cell>
          <cell r="AA165"/>
          <cell r="AB165"/>
          <cell r="AC165"/>
          <cell r="AD165"/>
          <cell r="AE165"/>
          <cell r="AF165">
            <v>1522.2194400000001</v>
          </cell>
          <cell r="AG165">
            <v>0</v>
          </cell>
          <cell r="AH165">
            <v>1522.2194400000001</v>
          </cell>
          <cell r="AI165">
            <v>241.28031670000001</v>
          </cell>
          <cell r="AJ165">
            <v>300.75341619999995</v>
          </cell>
          <cell r="AK165">
            <v>145.2733743</v>
          </cell>
          <cell r="AL165">
            <v>692.55382420000001</v>
          </cell>
          <cell r="AM165">
            <v>554.13204540000004</v>
          </cell>
          <cell r="AN165">
            <v>1169.1650020000002</v>
          </cell>
          <cell r="AO165">
            <v>715.30404129999988</v>
          </cell>
          <cell r="AP165">
            <v>1156.1512300000002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370.51808121209694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370.51808121209694</v>
          </cell>
          <cell r="BH165">
            <v>1892.7375212120969</v>
          </cell>
          <cell r="BI165">
            <v>3765.3709320470821</v>
          </cell>
          <cell r="BJ165">
            <v>0.5026696055634261</v>
          </cell>
          <cell r="BK165">
            <v>0.40426812323970168</v>
          </cell>
          <cell r="BL165">
            <v>9.840148232372449E-2</v>
          </cell>
        </row>
        <row r="166">
          <cell r="A166" t="str">
            <v>DADRI (NCTPP)5</v>
          </cell>
          <cell r="B166" t="str">
            <v>DADRI (NCTPP)</v>
          </cell>
          <cell r="C166">
            <v>490</v>
          </cell>
          <cell r="D166" t="str">
            <v>RAIL</v>
          </cell>
          <cell r="E166"/>
          <cell r="F166">
            <v>28.601099999999999</v>
          </cell>
          <cell r="G166">
            <v>77.606899999999996</v>
          </cell>
          <cell r="H166">
            <v>0.21365050531978347</v>
          </cell>
          <cell r="I166">
            <v>0.47487256444451786</v>
          </cell>
          <cell r="J166">
            <v>0.29554755224554441</v>
          </cell>
          <cell r="K166">
            <v>0</v>
          </cell>
          <cell r="L166">
            <v>1.5929377990154366E-2</v>
          </cell>
          <cell r="M166">
            <v>0</v>
          </cell>
          <cell r="N166">
            <v>0</v>
          </cell>
          <cell r="O166">
            <v>0</v>
          </cell>
          <cell r="P166">
            <v>4282.0535084030671</v>
          </cell>
          <cell r="Q166">
            <v>4161.9976698589226</v>
          </cell>
          <cell r="R166">
            <v>5945.7651798195066</v>
          </cell>
          <cell r="S166" t="e">
            <v>#DIV/0!</v>
          </cell>
          <cell r="T166">
            <v>4497.1367089912119</v>
          </cell>
          <cell r="U166" t="e">
            <v>#DIV/0!</v>
          </cell>
          <cell r="V166" t="e">
            <v>#DIV/0!</v>
          </cell>
          <cell r="W166" t="e">
            <v>#DIV/0!</v>
          </cell>
          <cell r="X166">
            <v>343.56244701362147</v>
          </cell>
          <cell r="Y166">
            <v>763.62272121003548</v>
          </cell>
          <cell r="Z166">
            <v>1130.4509097062412</v>
          </cell>
          <cell r="AA166"/>
          <cell r="AB166">
            <v>26.982724952213395</v>
          </cell>
          <cell r="AC166"/>
          <cell r="AD166"/>
          <cell r="AE166"/>
          <cell r="AF166">
            <v>2264.6188028821116</v>
          </cell>
          <cell r="AG166">
            <v>2.2633605042873307E-2</v>
          </cell>
          <cell r="AH166">
            <v>2331.7587033042837</v>
          </cell>
          <cell r="AI166">
            <v>1112.416138</v>
          </cell>
          <cell r="AJ166">
            <v>1109.003459</v>
          </cell>
          <cell r="AK166">
            <v>1207.5987589999997</v>
          </cell>
          <cell r="AL166">
            <v>1297.7536740000003</v>
          </cell>
          <cell r="AM166">
            <v>827.24943229999997</v>
          </cell>
          <cell r="AN166">
            <v>2242.82249</v>
          </cell>
          <cell r="AO166">
            <v>1008.1686940000001</v>
          </cell>
          <cell r="AP166">
            <v>963.37911259999998</v>
          </cell>
          <cell r="AQ166">
            <v>587.30387407355283</v>
          </cell>
          <cell r="AR166">
            <v>1305.3771924015352</v>
          </cell>
          <cell r="AS166">
            <v>875.5135181092752</v>
          </cell>
          <cell r="AT166">
            <v>0</v>
          </cell>
          <cell r="AU166">
            <v>34.762331141598089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2739.5158959432301</v>
          </cell>
          <cell r="BH166">
            <v>5071.2745992475138</v>
          </cell>
          <cell r="BI166">
            <v>4720.1743382080467</v>
          </cell>
          <cell r="BJ166">
            <v>1.0743829011139359</v>
          </cell>
          <cell r="BK166">
            <v>0.49399842807278721</v>
          </cell>
          <cell r="BL166">
            <v>0.58038447304114871</v>
          </cell>
        </row>
        <row r="167">
          <cell r="A167" t="str">
            <v>BELLARY TPS1</v>
          </cell>
          <cell r="B167" t="str">
            <v>BELLARY TPS</v>
          </cell>
          <cell r="C167">
            <v>500</v>
          </cell>
          <cell r="D167" t="str">
            <v>RAIL</v>
          </cell>
          <cell r="E167" t="str">
            <v/>
          </cell>
          <cell r="F167">
            <v>15.192941666666666</v>
          </cell>
          <cell r="G167">
            <v>76.720613888888892</v>
          </cell>
          <cell r="H167">
            <v>0</v>
          </cell>
          <cell r="I167">
            <v>0</v>
          </cell>
          <cell r="J167">
            <v>0</v>
          </cell>
          <cell r="K167">
            <v>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e">
            <v>#DIV/0!</v>
          </cell>
          <cell r="Q167" t="e">
            <v>#DIV/0!</v>
          </cell>
          <cell r="R167" t="e">
            <v>#DIV/0!</v>
          </cell>
          <cell r="S167">
            <v>3444.2880509129841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/>
          <cell r="Y167"/>
          <cell r="Z167"/>
          <cell r="AA167">
            <v>1436.3806800000002</v>
          </cell>
          <cell r="AB167"/>
          <cell r="AC167"/>
          <cell r="AD167"/>
          <cell r="AE167"/>
          <cell r="AF167">
            <v>1436.3806800000002</v>
          </cell>
          <cell r="AG167">
            <v>0</v>
          </cell>
          <cell r="AH167">
            <v>1436.3806800000002</v>
          </cell>
          <cell r="AI167">
            <v>1689.148216</v>
          </cell>
          <cell r="AJ167">
            <v>1632.305339</v>
          </cell>
          <cell r="AK167">
            <v>1800.7074790000001</v>
          </cell>
          <cell r="AL167">
            <v>1370.239738</v>
          </cell>
          <cell r="AM167">
            <v>1476.9305919999999</v>
          </cell>
          <cell r="AN167">
            <v>2987.483072</v>
          </cell>
          <cell r="AO167">
            <v>1210.5313389999999</v>
          </cell>
          <cell r="AP167">
            <v>841.72635880000007</v>
          </cell>
          <cell r="AQ167">
            <v>0</v>
          </cell>
          <cell r="AR167">
            <v>0</v>
          </cell>
          <cell r="AS167">
            <v>0</v>
          </cell>
          <cell r="AT167">
            <v>3306.576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3306.576</v>
          </cell>
          <cell r="BH167">
            <v>4742.9566800000002</v>
          </cell>
          <cell r="BI167">
            <v>3444.2880509129841</v>
          </cell>
          <cell r="BJ167">
            <v>1.3770499475915714</v>
          </cell>
          <cell r="BK167">
            <v>0.41703268099753038</v>
          </cell>
          <cell r="BL167">
            <v>0.96001726659404096</v>
          </cell>
        </row>
        <row r="168">
          <cell r="A168" t="str">
            <v>SANJAY GANDHI TPS5</v>
          </cell>
          <cell r="B168" t="str">
            <v>SANJAY GANDHI TPS</v>
          </cell>
          <cell r="C168">
            <v>500</v>
          </cell>
          <cell r="D168" t="str">
            <v>RAIL</v>
          </cell>
          <cell r="E168"/>
          <cell r="F168">
            <v>23.305</v>
          </cell>
          <cell r="G168">
            <v>81.062299999999993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1</v>
          </cell>
          <cell r="O168">
            <v>0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>
            <v>4871.520386436875</v>
          </cell>
          <cell r="W168" t="e">
            <v>#DIV/0!</v>
          </cell>
          <cell r="X168"/>
          <cell r="Y168"/>
          <cell r="Z168"/>
          <cell r="AA168"/>
          <cell r="AB168"/>
          <cell r="AC168"/>
          <cell r="AD168">
            <v>1838.2056</v>
          </cell>
          <cell r="AE168"/>
          <cell r="AF168">
            <v>1838.2056</v>
          </cell>
          <cell r="AG168">
            <v>0</v>
          </cell>
          <cell r="AH168">
            <v>1838.2056</v>
          </cell>
          <cell r="AI168">
            <v>662.64548360000003</v>
          </cell>
          <cell r="AJ168">
            <v>605.80260629999998</v>
          </cell>
          <cell r="AK168">
            <v>774.20474630000001</v>
          </cell>
          <cell r="AL168">
            <v>552.70735380000008</v>
          </cell>
          <cell r="AM168">
            <v>298.17175639999999</v>
          </cell>
          <cell r="AN168">
            <v>1912.7257199999999</v>
          </cell>
          <cell r="AO168">
            <v>243.44734690000001</v>
          </cell>
          <cell r="AP168">
            <v>394.74827399999998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962.85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962.85</v>
          </cell>
          <cell r="BH168">
            <v>2801.0556000000001</v>
          </cell>
          <cell r="BI168">
            <v>4871.520386436875</v>
          </cell>
          <cell r="BJ168">
            <v>0.57498591359662699</v>
          </cell>
          <cell r="BK168">
            <v>0.37733714614391656</v>
          </cell>
          <cell r="BL168">
            <v>0.19764876745271046</v>
          </cell>
        </row>
        <row r="169">
          <cell r="A169" t="str">
            <v>KAHALGAON TPS5</v>
          </cell>
          <cell r="B169" t="str">
            <v>KAHALGAON TPS</v>
          </cell>
          <cell r="C169">
            <v>500</v>
          </cell>
          <cell r="D169" t="str">
            <v>PITHEAD</v>
          </cell>
          <cell r="E169">
            <v>0.72055073941866399</v>
          </cell>
          <cell r="F169">
            <v>25.238299999999999</v>
          </cell>
          <cell r="G169">
            <v>87.264899999999997</v>
          </cell>
          <cell r="H169">
            <v>0</v>
          </cell>
          <cell r="I169">
            <v>0</v>
          </cell>
          <cell r="J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e">
            <v>#DIV/0!</v>
          </cell>
          <cell r="Q169" t="e">
            <v>#DIV/0!</v>
          </cell>
          <cell r="R169">
            <v>3765.3709320470821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/>
          <cell r="Y169"/>
          <cell r="Z169">
            <v>1522.2194400000001</v>
          </cell>
          <cell r="AA169"/>
          <cell r="AB169"/>
          <cell r="AC169"/>
          <cell r="AD169"/>
          <cell r="AE169"/>
          <cell r="AF169">
            <v>1522.2194400000001</v>
          </cell>
          <cell r="AG169">
            <v>0</v>
          </cell>
          <cell r="AH169">
            <v>1522.2194400000001</v>
          </cell>
          <cell r="AI169">
            <v>241.28031670000001</v>
          </cell>
          <cell r="AJ169">
            <v>300.75341619999995</v>
          </cell>
          <cell r="AK169">
            <v>145.2733743</v>
          </cell>
          <cell r="AL169">
            <v>692.55382420000001</v>
          </cell>
          <cell r="AM169">
            <v>554.13204540000004</v>
          </cell>
          <cell r="AN169">
            <v>1169.1650020000002</v>
          </cell>
          <cell r="AO169">
            <v>715.30404129999988</v>
          </cell>
          <cell r="AP169">
            <v>1156.1512300000002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370.51808121209694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370.51808121209694</v>
          </cell>
          <cell r="BH169">
            <v>1892.7375212120969</v>
          </cell>
          <cell r="BI169">
            <v>3765.3709320470821</v>
          </cell>
          <cell r="BJ169">
            <v>0.5026696055634261</v>
          </cell>
          <cell r="BK169">
            <v>0.40426812323970168</v>
          </cell>
          <cell r="BL169">
            <v>9.840148232372449E-2</v>
          </cell>
        </row>
        <row r="170">
          <cell r="A170" t="str">
            <v>VINDHYACHAL STPS10</v>
          </cell>
          <cell r="B170" t="str">
            <v>VINDHYACHAL STPS</v>
          </cell>
          <cell r="C170">
            <v>500</v>
          </cell>
          <cell r="D170" t="str">
            <v>PITHEAD</v>
          </cell>
          <cell r="E170">
            <v>0.40702348212396872</v>
          </cell>
          <cell r="F170">
            <v>24.100200000000001</v>
          </cell>
          <cell r="G170">
            <v>82.6721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>
            <v>4450.5827544825906</v>
          </cell>
          <cell r="U170" t="e">
            <v>#DIV/0!</v>
          </cell>
          <cell r="V170" t="e">
            <v>#DIV/0!</v>
          </cell>
          <cell r="W170" t="e">
            <v>#DIV/0!</v>
          </cell>
          <cell r="X170"/>
          <cell r="Y170"/>
          <cell r="Z170"/>
          <cell r="AA170"/>
          <cell r="AB170">
            <v>1693.8969600000003</v>
          </cell>
          <cell r="AC170"/>
          <cell r="AD170"/>
          <cell r="AE170"/>
          <cell r="AF170">
            <v>1693.8969600000003</v>
          </cell>
          <cell r="AG170">
            <v>0</v>
          </cell>
          <cell r="AH170">
            <v>1693.8969600000003</v>
          </cell>
          <cell r="AI170">
            <v>469.52908040000005</v>
          </cell>
          <cell r="AJ170">
            <v>468.29190699999992</v>
          </cell>
          <cell r="AK170">
            <v>569.69621079999979</v>
          </cell>
          <cell r="AL170">
            <v>568.68672879999997</v>
          </cell>
          <cell r="AM170">
            <v>44.382377450000014</v>
          </cell>
          <cell r="AN170">
            <v>1675.9415349999999</v>
          </cell>
          <cell r="AO170">
            <v>356.98295969999992</v>
          </cell>
          <cell r="AP170">
            <v>660.02921019999985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113.19674655898073</v>
          </cell>
          <cell r="BD170">
            <v>0</v>
          </cell>
          <cell r="BE170">
            <v>0</v>
          </cell>
          <cell r="BF170">
            <v>0</v>
          </cell>
          <cell r="BG170">
            <v>113.19674655898073</v>
          </cell>
          <cell r="BH170">
            <v>1807.093706558981</v>
          </cell>
          <cell r="BI170">
            <v>4450.5827544825906</v>
          </cell>
          <cell r="BJ170">
            <v>0.40603530059943072</v>
          </cell>
          <cell r="BK170">
            <v>0.38060116021748414</v>
          </cell>
          <cell r="BL170">
            <v>2.5434140381946586E-2</v>
          </cell>
        </row>
        <row r="171">
          <cell r="A171" t="str">
            <v>VINDHYACHAL STPS9</v>
          </cell>
          <cell r="B171" t="str">
            <v>VINDHYACHAL STPS</v>
          </cell>
          <cell r="C171">
            <v>500</v>
          </cell>
          <cell r="D171" t="str">
            <v>PITHEAD</v>
          </cell>
          <cell r="E171">
            <v>0.40702348212396872</v>
          </cell>
          <cell r="F171">
            <v>24.100200000000001</v>
          </cell>
          <cell r="G171">
            <v>82.6721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>
            <v>4450.5827544825906</v>
          </cell>
          <cell r="U171" t="e">
            <v>#DIV/0!</v>
          </cell>
          <cell r="V171" t="e">
            <v>#DIV/0!</v>
          </cell>
          <cell r="W171" t="e">
            <v>#DIV/0!</v>
          </cell>
          <cell r="X171"/>
          <cell r="Y171"/>
          <cell r="Z171"/>
          <cell r="AA171"/>
          <cell r="AB171">
            <v>1693.8969600000003</v>
          </cell>
          <cell r="AC171"/>
          <cell r="AD171"/>
          <cell r="AE171"/>
          <cell r="AF171">
            <v>1693.8969600000003</v>
          </cell>
          <cell r="AG171">
            <v>0</v>
          </cell>
          <cell r="AH171">
            <v>1693.8969600000003</v>
          </cell>
          <cell r="AI171">
            <v>469.52908040000005</v>
          </cell>
          <cell r="AJ171">
            <v>468.29190699999992</v>
          </cell>
          <cell r="AK171">
            <v>569.69621079999979</v>
          </cell>
          <cell r="AL171">
            <v>568.68672879999997</v>
          </cell>
          <cell r="AM171">
            <v>44.382377450000014</v>
          </cell>
          <cell r="AN171">
            <v>1675.9415349999999</v>
          </cell>
          <cell r="AO171">
            <v>356.98295969999992</v>
          </cell>
          <cell r="AP171">
            <v>660.02921019999985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113.19674655898073</v>
          </cell>
          <cell r="BD171">
            <v>0</v>
          </cell>
          <cell r="BE171">
            <v>0</v>
          </cell>
          <cell r="BF171">
            <v>0</v>
          </cell>
          <cell r="BG171">
            <v>113.19674655898073</v>
          </cell>
          <cell r="BH171">
            <v>1807.093706558981</v>
          </cell>
          <cell r="BI171">
            <v>4450.5827544825906</v>
          </cell>
          <cell r="BJ171">
            <v>0.40603530059943072</v>
          </cell>
          <cell r="BK171">
            <v>0.38060116021748414</v>
          </cell>
          <cell r="BL171">
            <v>2.5434140381946586E-2</v>
          </cell>
        </row>
        <row r="172">
          <cell r="A172" t="str">
            <v>RIHAND STPS4</v>
          </cell>
          <cell r="B172" t="str">
            <v>RIHAND STPS</v>
          </cell>
          <cell r="C172">
            <v>500</v>
          </cell>
          <cell r="D172" t="str">
            <v>PITHEAD</v>
          </cell>
          <cell r="E172">
            <v>0.37382395985782979</v>
          </cell>
          <cell r="F172">
            <v>24.026700000000002</v>
          </cell>
          <cell r="G172">
            <v>82.7911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>
            <v>4451.988614696289</v>
          </cell>
          <cell r="U172" t="e">
            <v>#DIV/0!</v>
          </cell>
          <cell r="V172" t="e">
            <v>#DIV/0!</v>
          </cell>
          <cell r="W172" t="e">
            <v>#DIV/0!</v>
          </cell>
          <cell r="X172"/>
          <cell r="Y172"/>
          <cell r="Z172"/>
          <cell r="AA172"/>
          <cell r="AB172">
            <v>1693.8969600000003</v>
          </cell>
          <cell r="AC172"/>
          <cell r="AD172"/>
          <cell r="AE172"/>
          <cell r="AF172">
            <v>1693.8969600000003</v>
          </cell>
          <cell r="AG172">
            <v>0</v>
          </cell>
          <cell r="AH172">
            <v>1693.8969600000003</v>
          </cell>
          <cell r="AI172">
            <v>454.41931380000005</v>
          </cell>
          <cell r="AJ172">
            <v>453.18214030000001</v>
          </cell>
          <cell r="AK172">
            <v>554.58644409999999</v>
          </cell>
          <cell r="AL172">
            <v>474.73724830000003</v>
          </cell>
          <cell r="AM172">
            <v>114.2335604</v>
          </cell>
          <cell r="AN172">
            <v>1664.545973</v>
          </cell>
          <cell r="AO172">
            <v>251.0117754</v>
          </cell>
          <cell r="AP172">
            <v>663.66113440000004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291.35139053099135</v>
          </cell>
          <cell r="BD172">
            <v>0</v>
          </cell>
          <cell r="BE172">
            <v>0</v>
          </cell>
          <cell r="BF172">
            <v>0</v>
          </cell>
          <cell r="BG172">
            <v>291.35139053099135</v>
          </cell>
          <cell r="BH172">
            <v>1985.2483505309915</v>
          </cell>
          <cell r="BI172">
            <v>4451.988614696289</v>
          </cell>
          <cell r="BJ172">
            <v>0.44592395047407901</v>
          </cell>
          <cell r="BK172">
            <v>0.3804809730214363</v>
          </cell>
          <cell r="BL172">
            <v>6.5442977452642728E-2</v>
          </cell>
        </row>
        <row r="173">
          <cell r="A173" t="str">
            <v>MUNDRA TPS8</v>
          </cell>
          <cell r="B173" t="str">
            <v>MUNDRA TPS</v>
          </cell>
          <cell r="C173">
            <v>660</v>
          </cell>
          <cell r="D173"/>
          <cell r="E173" t="str">
            <v/>
          </cell>
          <cell r="F173">
            <v>22.822777777777777</v>
          </cell>
          <cell r="G173">
            <v>69.552777777777777</v>
          </cell>
          <cell r="H173">
            <v>0</v>
          </cell>
          <cell r="I173">
            <v>0</v>
          </cell>
          <cell r="J173">
            <v>0</v>
          </cell>
          <cell r="K173">
            <v>0.98977898287024912</v>
          </cell>
          <cell r="L173">
            <v>0</v>
          </cell>
          <cell r="M173">
            <v>0</v>
          </cell>
          <cell r="N173">
            <v>1.0221017129750834E-2</v>
          </cell>
          <cell r="O173">
            <v>0</v>
          </cell>
          <cell r="P173" t="e">
            <v>#DIV/0!</v>
          </cell>
          <cell r="Q173" t="e">
            <v>#DIV/0!</v>
          </cell>
          <cell r="R173" t="e">
            <v>#DIV/0!</v>
          </cell>
          <cell r="S173">
            <v>3265.1177795710737</v>
          </cell>
          <cell r="T173" t="e">
            <v>#DIV/0!</v>
          </cell>
          <cell r="U173" t="e">
            <v>#DIV/0!</v>
          </cell>
          <cell r="V173">
            <v>4150</v>
          </cell>
          <cell r="W173" t="e">
            <v>#DIV/0!</v>
          </cell>
          <cell r="X173"/>
          <cell r="Y173"/>
          <cell r="Z173"/>
          <cell r="AA173">
            <v>1336.7380079012332</v>
          </cell>
          <cell r="AB173"/>
          <cell r="AC173"/>
          <cell r="AD173">
            <v>16.435990407836293</v>
          </cell>
          <cell r="AE173"/>
          <cell r="AF173">
            <v>1353.1739983090695</v>
          </cell>
          <cell r="AG173">
            <v>1</v>
          </cell>
          <cell r="AH173">
            <v>5231</v>
          </cell>
          <cell r="AI173">
            <v>1990.0536219999997</v>
          </cell>
          <cell r="AJ173">
            <v>1942.830829</v>
          </cell>
          <cell r="AK173">
            <v>2085.2362430000003</v>
          </cell>
          <cell r="AL173">
            <v>1860.5484210000002</v>
          </cell>
          <cell r="AM173">
            <v>1574.3971219999999</v>
          </cell>
          <cell r="AN173">
            <v>3141.9116420000005</v>
          </cell>
          <cell r="AO173">
            <v>1585.08365</v>
          </cell>
          <cell r="AP173">
            <v>1206.2786140000001</v>
          </cell>
          <cell r="AQ173">
            <v>0</v>
          </cell>
          <cell r="AR173">
            <v>0</v>
          </cell>
          <cell r="AS173">
            <v>0</v>
          </cell>
          <cell r="AT173">
            <v>3811.4112138672695</v>
          </cell>
          <cell r="AU173">
            <v>0</v>
          </cell>
          <cell r="AV173">
            <v>0</v>
          </cell>
          <cell r="AW173">
            <v>36.847482223950841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5231</v>
          </cell>
          <cell r="BI173">
            <v>3274.1621759038899</v>
          </cell>
          <cell r="BJ173">
            <v>1.5976606285716104</v>
          </cell>
          <cell r="BK173">
            <v>1.5976606285716104</v>
          </cell>
          <cell r="BL173">
            <v>0</v>
          </cell>
        </row>
        <row r="174">
          <cell r="A174" t="str">
            <v>MUNDRA TPS9</v>
          </cell>
          <cell r="B174" t="str">
            <v>MUNDRA TPS</v>
          </cell>
          <cell r="C174">
            <v>660</v>
          </cell>
          <cell r="D174"/>
          <cell r="E174" t="str">
            <v/>
          </cell>
          <cell r="F174">
            <v>22.822777777777777</v>
          </cell>
          <cell r="G174">
            <v>69.552777777777777</v>
          </cell>
          <cell r="H174">
            <v>0</v>
          </cell>
          <cell r="I174">
            <v>0</v>
          </cell>
          <cell r="J174">
            <v>0</v>
          </cell>
          <cell r="K174">
            <v>0.98977898287024912</v>
          </cell>
          <cell r="L174">
            <v>0</v>
          </cell>
          <cell r="M174">
            <v>0</v>
          </cell>
          <cell r="N174">
            <v>1.0221017129750834E-2</v>
          </cell>
          <cell r="O174">
            <v>0</v>
          </cell>
          <cell r="P174" t="e">
            <v>#DIV/0!</v>
          </cell>
          <cell r="Q174" t="e">
            <v>#DIV/0!</v>
          </cell>
          <cell r="R174" t="e">
            <v>#DIV/0!</v>
          </cell>
          <cell r="S174">
            <v>3265.1177795710737</v>
          </cell>
          <cell r="T174" t="e">
            <v>#DIV/0!</v>
          </cell>
          <cell r="U174" t="e">
            <v>#DIV/0!</v>
          </cell>
          <cell r="V174">
            <v>4150</v>
          </cell>
          <cell r="W174" t="e">
            <v>#DIV/0!</v>
          </cell>
          <cell r="X174"/>
          <cell r="Y174"/>
          <cell r="Z174"/>
          <cell r="AA174">
            <v>1336.7380079012332</v>
          </cell>
          <cell r="AB174"/>
          <cell r="AC174"/>
          <cell r="AD174">
            <v>16.435990407836293</v>
          </cell>
          <cell r="AE174"/>
          <cell r="AF174">
            <v>1353.1739983090695</v>
          </cell>
          <cell r="AG174">
            <v>1</v>
          </cell>
          <cell r="AH174">
            <v>5231</v>
          </cell>
          <cell r="AI174">
            <v>1990.0536219999997</v>
          </cell>
          <cell r="AJ174">
            <v>1942.830829</v>
          </cell>
          <cell r="AK174">
            <v>2085.2362430000003</v>
          </cell>
          <cell r="AL174">
            <v>1860.5484210000002</v>
          </cell>
          <cell r="AM174">
            <v>1574.3971219999999</v>
          </cell>
          <cell r="AN174">
            <v>3141.9116420000005</v>
          </cell>
          <cell r="AO174">
            <v>1585.08365</v>
          </cell>
          <cell r="AP174">
            <v>1206.2786140000001</v>
          </cell>
          <cell r="AQ174">
            <v>0</v>
          </cell>
          <cell r="AR174">
            <v>0</v>
          </cell>
          <cell r="AS174">
            <v>0</v>
          </cell>
          <cell r="AT174">
            <v>3811.4112138672695</v>
          </cell>
          <cell r="AU174">
            <v>0</v>
          </cell>
          <cell r="AV174">
            <v>0</v>
          </cell>
          <cell r="AW174">
            <v>36.847482223950841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5231</v>
          </cell>
          <cell r="BI174">
            <v>3274.1621759038899</v>
          </cell>
          <cell r="BJ174">
            <v>1.5976606285716104</v>
          </cell>
          <cell r="BK174">
            <v>1.5976606285716104</v>
          </cell>
          <cell r="BL174">
            <v>0</v>
          </cell>
        </row>
        <row r="175">
          <cell r="A175" t="str">
            <v>MUNDRA TPS7</v>
          </cell>
          <cell r="B175" t="str">
            <v>MUNDRA TPS</v>
          </cell>
          <cell r="C175">
            <v>660</v>
          </cell>
          <cell r="D175"/>
          <cell r="E175" t="str">
            <v/>
          </cell>
          <cell r="F175">
            <v>22.822777777777777</v>
          </cell>
          <cell r="G175">
            <v>69.552777777777777</v>
          </cell>
          <cell r="H175">
            <v>0</v>
          </cell>
          <cell r="I175">
            <v>0</v>
          </cell>
          <cell r="J175">
            <v>0</v>
          </cell>
          <cell r="K175">
            <v>0.98977898287024912</v>
          </cell>
          <cell r="L175">
            <v>0</v>
          </cell>
          <cell r="M175">
            <v>0</v>
          </cell>
          <cell r="N175">
            <v>1.0221017129750834E-2</v>
          </cell>
          <cell r="O175">
            <v>0</v>
          </cell>
          <cell r="P175" t="e">
            <v>#DIV/0!</v>
          </cell>
          <cell r="Q175" t="e">
            <v>#DIV/0!</v>
          </cell>
          <cell r="R175" t="e">
            <v>#DIV/0!</v>
          </cell>
          <cell r="S175">
            <v>3265.1177795710737</v>
          </cell>
          <cell r="T175" t="e">
            <v>#DIV/0!</v>
          </cell>
          <cell r="U175" t="e">
            <v>#DIV/0!</v>
          </cell>
          <cell r="V175">
            <v>4150</v>
          </cell>
          <cell r="W175" t="e">
            <v>#DIV/0!</v>
          </cell>
          <cell r="X175"/>
          <cell r="Y175"/>
          <cell r="Z175"/>
          <cell r="AA175">
            <v>1336.7380079012332</v>
          </cell>
          <cell r="AB175"/>
          <cell r="AC175"/>
          <cell r="AD175">
            <v>16.435990407836293</v>
          </cell>
          <cell r="AE175"/>
          <cell r="AF175">
            <v>1353.1739983090695</v>
          </cell>
          <cell r="AG175">
            <v>1</v>
          </cell>
          <cell r="AH175">
            <v>5231</v>
          </cell>
          <cell r="AI175">
            <v>1990.0536219999997</v>
          </cell>
          <cell r="AJ175">
            <v>1942.830829</v>
          </cell>
          <cell r="AK175">
            <v>2085.2362430000003</v>
          </cell>
          <cell r="AL175">
            <v>1860.5484210000002</v>
          </cell>
          <cell r="AM175">
            <v>1574.3971219999999</v>
          </cell>
          <cell r="AN175">
            <v>3141.9116420000005</v>
          </cell>
          <cell r="AO175">
            <v>1585.08365</v>
          </cell>
          <cell r="AP175">
            <v>1206.2786140000001</v>
          </cell>
          <cell r="AQ175">
            <v>0</v>
          </cell>
          <cell r="AR175">
            <v>0</v>
          </cell>
          <cell r="AS175">
            <v>0</v>
          </cell>
          <cell r="AT175">
            <v>3811.4112138672695</v>
          </cell>
          <cell r="AU175">
            <v>0</v>
          </cell>
          <cell r="AV175">
            <v>0</v>
          </cell>
          <cell r="AW175">
            <v>36.847482223950841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5231</v>
          </cell>
          <cell r="BI175">
            <v>3274.1621759038899</v>
          </cell>
          <cell r="BJ175">
            <v>1.5976606285716104</v>
          </cell>
          <cell r="BK175">
            <v>1.5976606285716104</v>
          </cell>
          <cell r="BL175">
            <v>0</v>
          </cell>
        </row>
        <row r="176">
          <cell r="A176" t="str">
            <v>MUNDRA TPS6</v>
          </cell>
          <cell r="B176" t="str">
            <v>MUNDRA TPS</v>
          </cell>
          <cell r="C176">
            <v>660</v>
          </cell>
          <cell r="D176"/>
          <cell r="E176" t="str">
            <v/>
          </cell>
          <cell r="F176">
            <v>22.822777777777777</v>
          </cell>
          <cell r="G176">
            <v>69.552777777777777</v>
          </cell>
          <cell r="H176">
            <v>0</v>
          </cell>
          <cell r="I176">
            <v>0</v>
          </cell>
          <cell r="J176">
            <v>0</v>
          </cell>
          <cell r="K176">
            <v>0.98977898287024912</v>
          </cell>
          <cell r="L176">
            <v>0</v>
          </cell>
          <cell r="M176">
            <v>0</v>
          </cell>
          <cell r="N176">
            <v>1.0221017129750834E-2</v>
          </cell>
          <cell r="O176">
            <v>0</v>
          </cell>
          <cell r="P176" t="e">
            <v>#DIV/0!</v>
          </cell>
          <cell r="Q176" t="e">
            <v>#DIV/0!</v>
          </cell>
          <cell r="R176" t="e">
            <v>#DIV/0!</v>
          </cell>
          <cell r="S176">
            <v>3265.1177795710737</v>
          </cell>
          <cell r="T176" t="e">
            <v>#DIV/0!</v>
          </cell>
          <cell r="U176" t="e">
            <v>#DIV/0!</v>
          </cell>
          <cell r="V176">
            <v>4150</v>
          </cell>
          <cell r="W176" t="e">
            <v>#DIV/0!</v>
          </cell>
          <cell r="X176"/>
          <cell r="Y176"/>
          <cell r="Z176"/>
          <cell r="AA176">
            <v>1336.7380079012332</v>
          </cell>
          <cell r="AB176"/>
          <cell r="AC176"/>
          <cell r="AD176">
            <v>16.435990407836293</v>
          </cell>
          <cell r="AE176"/>
          <cell r="AF176">
            <v>1353.1739983090695</v>
          </cell>
          <cell r="AG176">
            <v>1</v>
          </cell>
          <cell r="AH176">
            <v>5231</v>
          </cell>
          <cell r="AI176">
            <v>1990.0536219999997</v>
          </cell>
          <cell r="AJ176">
            <v>1942.830829</v>
          </cell>
          <cell r="AK176">
            <v>2085.2362430000003</v>
          </cell>
          <cell r="AL176">
            <v>1860.5484210000002</v>
          </cell>
          <cell r="AM176">
            <v>1574.3971219999999</v>
          </cell>
          <cell r="AN176">
            <v>3141.9116420000005</v>
          </cell>
          <cell r="AO176">
            <v>1585.08365</v>
          </cell>
          <cell r="AP176">
            <v>1206.2786140000001</v>
          </cell>
          <cell r="AQ176">
            <v>0</v>
          </cell>
          <cell r="AR176">
            <v>0</v>
          </cell>
          <cell r="AS176">
            <v>0</v>
          </cell>
          <cell r="AT176">
            <v>3811.4112138672695</v>
          </cell>
          <cell r="AU176">
            <v>0</v>
          </cell>
          <cell r="AV176">
            <v>0</v>
          </cell>
          <cell r="AW176">
            <v>36.847482223950841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5231</v>
          </cell>
          <cell r="BI176">
            <v>3274.1621759038899</v>
          </cell>
          <cell r="BJ176">
            <v>1.5976606285716104</v>
          </cell>
          <cell r="BK176">
            <v>1.5976606285716104</v>
          </cell>
          <cell r="BL176">
            <v>0</v>
          </cell>
        </row>
        <row r="177">
          <cell r="A177" t="str">
            <v>MUNDRA TPS5</v>
          </cell>
          <cell r="B177" t="str">
            <v>MUNDRA TPS</v>
          </cell>
          <cell r="C177">
            <v>660</v>
          </cell>
          <cell r="D177"/>
          <cell r="E177" t="str">
            <v/>
          </cell>
          <cell r="F177">
            <v>22.822777777777777</v>
          </cell>
          <cell r="G177">
            <v>69.552777777777777</v>
          </cell>
          <cell r="H177">
            <v>0</v>
          </cell>
          <cell r="I177">
            <v>0</v>
          </cell>
          <cell r="J177">
            <v>0</v>
          </cell>
          <cell r="K177">
            <v>0.98977898287024912</v>
          </cell>
          <cell r="L177">
            <v>0</v>
          </cell>
          <cell r="M177">
            <v>0</v>
          </cell>
          <cell r="N177">
            <v>1.0221017129750834E-2</v>
          </cell>
          <cell r="O177">
            <v>0</v>
          </cell>
          <cell r="P177" t="e">
            <v>#DIV/0!</v>
          </cell>
          <cell r="Q177" t="e">
            <v>#DIV/0!</v>
          </cell>
          <cell r="R177" t="e">
            <v>#DIV/0!</v>
          </cell>
          <cell r="S177">
            <v>3265.1177795710737</v>
          </cell>
          <cell r="T177" t="e">
            <v>#DIV/0!</v>
          </cell>
          <cell r="U177" t="e">
            <v>#DIV/0!</v>
          </cell>
          <cell r="V177">
            <v>4150</v>
          </cell>
          <cell r="W177" t="e">
            <v>#DIV/0!</v>
          </cell>
          <cell r="X177"/>
          <cell r="Y177"/>
          <cell r="Z177"/>
          <cell r="AA177">
            <v>1336.7380079012332</v>
          </cell>
          <cell r="AB177"/>
          <cell r="AC177"/>
          <cell r="AD177">
            <v>16.435990407836293</v>
          </cell>
          <cell r="AE177"/>
          <cell r="AF177">
            <v>1353.1739983090695</v>
          </cell>
          <cell r="AG177">
            <v>1</v>
          </cell>
          <cell r="AH177">
            <v>5231</v>
          </cell>
          <cell r="AI177">
            <v>1990.0536219999997</v>
          </cell>
          <cell r="AJ177">
            <v>1942.830829</v>
          </cell>
          <cell r="AK177">
            <v>2085.2362430000003</v>
          </cell>
          <cell r="AL177">
            <v>1860.5484210000002</v>
          </cell>
          <cell r="AM177">
            <v>1574.3971219999999</v>
          </cell>
          <cell r="AN177">
            <v>3141.9116420000005</v>
          </cell>
          <cell r="AO177">
            <v>1585.08365</v>
          </cell>
          <cell r="AP177">
            <v>1206.2786140000001</v>
          </cell>
          <cell r="AQ177">
            <v>0</v>
          </cell>
          <cell r="AR177">
            <v>0</v>
          </cell>
          <cell r="AS177">
            <v>0</v>
          </cell>
          <cell r="AT177">
            <v>3811.4112138672695</v>
          </cell>
          <cell r="AU177">
            <v>0</v>
          </cell>
          <cell r="AV177">
            <v>0</v>
          </cell>
          <cell r="AW177">
            <v>36.847482223950841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5231</v>
          </cell>
          <cell r="BI177">
            <v>3274.1621759038899</v>
          </cell>
          <cell r="BJ177">
            <v>1.5976606285716104</v>
          </cell>
          <cell r="BK177">
            <v>1.5976606285716104</v>
          </cell>
          <cell r="BL177">
            <v>0</v>
          </cell>
        </row>
        <row r="178">
          <cell r="A178" t="str">
            <v>RIHAND STPS3</v>
          </cell>
          <cell r="B178" t="str">
            <v>RIHAND STPS</v>
          </cell>
          <cell r="C178">
            <v>500</v>
          </cell>
          <cell r="D178" t="str">
            <v>PITHEAD</v>
          </cell>
          <cell r="E178">
            <v>0.37382395985782979</v>
          </cell>
          <cell r="F178">
            <v>24.026700000000002</v>
          </cell>
          <cell r="G178">
            <v>82.7911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 t="e">
            <v>#DIV/0!</v>
          </cell>
          <cell r="Q178" t="e">
            <v>#DIV/0!</v>
          </cell>
          <cell r="R178" t="e">
            <v>#DIV/0!</v>
          </cell>
          <cell r="S178" t="e">
            <v>#DIV/0!</v>
          </cell>
          <cell r="T178">
            <v>4451.988614696289</v>
          </cell>
          <cell r="U178" t="e">
            <v>#DIV/0!</v>
          </cell>
          <cell r="V178" t="e">
            <v>#DIV/0!</v>
          </cell>
          <cell r="W178" t="e">
            <v>#DIV/0!</v>
          </cell>
          <cell r="X178"/>
          <cell r="Y178"/>
          <cell r="Z178"/>
          <cell r="AA178"/>
          <cell r="AB178">
            <v>1693.8969600000003</v>
          </cell>
          <cell r="AC178"/>
          <cell r="AD178"/>
          <cell r="AE178"/>
          <cell r="AF178">
            <v>1693.8969600000003</v>
          </cell>
          <cell r="AG178">
            <v>0</v>
          </cell>
          <cell r="AH178">
            <v>1693.8969600000003</v>
          </cell>
          <cell r="AI178">
            <v>454.41931380000005</v>
          </cell>
          <cell r="AJ178">
            <v>453.18214030000001</v>
          </cell>
          <cell r="AK178">
            <v>554.58644409999999</v>
          </cell>
          <cell r="AL178">
            <v>474.73724830000003</v>
          </cell>
          <cell r="AM178">
            <v>114.2335604</v>
          </cell>
          <cell r="AN178">
            <v>1664.545973</v>
          </cell>
          <cell r="AO178">
            <v>251.0117754</v>
          </cell>
          <cell r="AP178">
            <v>663.66113440000004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291.35139053099135</v>
          </cell>
          <cell r="BD178">
            <v>0</v>
          </cell>
          <cell r="BE178">
            <v>0</v>
          </cell>
          <cell r="BF178">
            <v>0</v>
          </cell>
          <cell r="BG178">
            <v>291.35139053099135</v>
          </cell>
          <cell r="BH178">
            <v>1985.2483505309915</v>
          </cell>
          <cell r="BI178">
            <v>4451.988614696289</v>
          </cell>
          <cell r="BJ178">
            <v>0.44592395047407901</v>
          </cell>
          <cell r="BK178">
            <v>0.3804809730214363</v>
          </cell>
          <cell r="BL178">
            <v>6.5442977452642728E-2</v>
          </cell>
        </row>
        <row r="179">
          <cell r="A179" t="str">
            <v>RAMAGUNDEM STPS7</v>
          </cell>
          <cell r="B179" t="str">
            <v>RAMAGUNDEM STPS</v>
          </cell>
          <cell r="C179">
            <v>500</v>
          </cell>
          <cell r="D179" t="str">
            <v>PITHEAD</v>
          </cell>
          <cell r="E179">
            <v>0.7160775370581528</v>
          </cell>
          <cell r="F179">
            <v>18.758600000000001</v>
          </cell>
          <cell r="G179">
            <v>79.454700000000003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4279.0292548546358</v>
          </cell>
          <cell r="X179"/>
          <cell r="Y179"/>
          <cell r="Z179"/>
          <cell r="AA179"/>
          <cell r="AB179"/>
          <cell r="AC179"/>
          <cell r="AD179"/>
          <cell r="AE179">
            <v>1608.0582000000002</v>
          </cell>
          <cell r="AF179">
            <v>1608.0582000000002</v>
          </cell>
          <cell r="AG179">
            <v>0</v>
          </cell>
          <cell r="AH179">
            <v>1608.0582000000002</v>
          </cell>
          <cell r="AI179">
            <v>1153.283148</v>
          </cell>
          <cell r="AJ179">
            <v>1211.1252339999999</v>
          </cell>
          <cell r="AK179">
            <v>1264.8197669999997</v>
          </cell>
          <cell r="AL179">
            <v>835.60980549999988</v>
          </cell>
          <cell r="AM179">
            <v>952.34533219999992</v>
          </cell>
          <cell r="AN179">
            <v>2424.2017769999993</v>
          </cell>
          <cell r="AO179">
            <v>667.86358089999987</v>
          </cell>
          <cell r="AP179">
            <v>308.52196000000004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786.88173370937761</v>
          </cell>
          <cell r="BG179">
            <v>786.88173370937761</v>
          </cell>
          <cell r="BH179">
            <v>2394.9399337093778</v>
          </cell>
          <cell r="BI179">
            <v>4279.0292548546358</v>
          </cell>
          <cell r="BJ179">
            <v>0.55969234867751261</v>
          </cell>
          <cell r="BK179">
            <v>0.37579976771031165</v>
          </cell>
          <cell r="BL179">
            <v>0.18389258096720093</v>
          </cell>
        </row>
        <row r="180">
          <cell r="A180" t="str">
            <v>TALCHER STPS6</v>
          </cell>
          <cell r="B180" t="str">
            <v>TALCHER STPS</v>
          </cell>
          <cell r="C180">
            <v>500</v>
          </cell>
          <cell r="D180" t="str">
            <v>PITHEAD</v>
          </cell>
          <cell r="E180">
            <v>0.47985347985347987</v>
          </cell>
          <cell r="F180">
            <v>21.096599999999999</v>
          </cell>
          <cell r="G180">
            <v>85.074399999999997</v>
          </cell>
          <cell r="H180">
            <v>0</v>
          </cell>
          <cell r="I180">
            <v>0</v>
          </cell>
          <cell r="J180">
            <v>5.8709501066223505E-3</v>
          </cell>
          <cell r="K180">
            <v>0.99412904989337758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e">
            <v>#DIV/0!</v>
          </cell>
          <cell r="Q180" t="e">
            <v>#DIV/0!</v>
          </cell>
          <cell r="R180">
            <v>6116.1218491417603</v>
          </cell>
          <cell r="S180">
            <v>3438.9539419022826</v>
          </cell>
          <cell r="T180" t="e">
            <v>#DIV/0!</v>
          </cell>
          <cell r="U180" t="e">
            <v>#DIV/0!</v>
          </cell>
          <cell r="V180" t="e">
            <v>#DIV/0!</v>
          </cell>
          <cell r="W180" t="e">
            <v>#DIV/0!</v>
          </cell>
          <cell r="X180"/>
          <cell r="Y180"/>
          <cell r="Z180">
            <v>24.376889356708794</v>
          </cell>
          <cell r="AA180">
            <v>1427.9477606936039</v>
          </cell>
          <cell r="AB180"/>
          <cell r="AC180"/>
          <cell r="AD180"/>
          <cell r="AE180"/>
          <cell r="AF180">
            <v>1452.3246500503126</v>
          </cell>
          <cell r="AG180">
            <v>2.3401661620630933E-2</v>
          </cell>
          <cell r="AH180">
            <v>1540.7519319640544</v>
          </cell>
          <cell r="AI180">
            <v>432.46409940000001</v>
          </cell>
          <cell r="AJ180">
            <v>518.8651079</v>
          </cell>
          <cell r="AK180">
            <v>528.43011869999998</v>
          </cell>
          <cell r="AL180">
            <v>67.161145980000015</v>
          </cell>
          <cell r="AM180">
            <v>585.01951589999999</v>
          </cell>
          <cell r="AN180">
            <v>1762.7359719999999</v>
          </cell>
          <cell r="AO180">
            <v>394.52868670000004</v>
          </cell>
          <cell r="AP180">
            <v>705.51243379999983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7.9126022419627891</v>
          </cell>
          <cell r="BB180">
            <v>170.28807844303708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174.0304886550434</v>
          </cell>
          <cell r="BH180">
            <v>1714.7824206190978</v>
          </cell>
          <cell r="BI180">
            <v>3454.6714611127372</v>
          </cell>
          <cell r="BJ180">
            <v>0.49636627966549751</v>
          </cell>
          <cell r="BK180">
            <v>0.44599087042209906</v>
          </cell>
          <cell r="BL180">
            <v>5.0375409243398443E-2</v>
          </cell>
        </row>
        <row r="181">
          <cell r="A181" t="str">
            <v>TALCHER STPS5</v>
          </cell>
          <cell r="B181" t="str">
            <v>TALCHER STPS</v>
          </cell>
          <cell r="C181">
            <v>500</v>
          </cell>
          <cell r="D181" t="str">
            <v>PITHEAD</v>
          </cell>
          <cell r="E181">
            <v>0.47985347985347987</v>
          </cell>
          <cell r="F181">
            <v>21.096599999999999</v>
          </cell>
          <cell r="G181">
            <v>85.074399999999997</v>
          </cell>
          <cell r="H181">
            <v>0</v>
          </cell>
          <cell r="I181">
            <v>0</v>
          </cell>
          <cell r="J181">
            <v>5.8709501066223505E-3</v>
          </cell>
          <cell r="K181">
            <v>0.99412904989337758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e">
            <v>#DIV/0!</v>
          </cell>
          <cell r="Q181" t="e">
            <v>#DIV/0!</v>
          </cell>
          <cell r="R181">
            <v>6116.1218491417603</v>
          </cell>
          <cell r="S181">
            <v>3438.9539419022826</v>
          </cell>
          <cell r="T181" t="e">
            <v>#DIV/0!</v>
          </cell>
          <cell r="U181" t="e">
            <v>#DIV/0!</v>
          </cell>
          <cell r="V181" t="e">
            <v>#DIV/0!</v>
          </cell>
          <cell r="W181" t="e">
            <v>#DIV/0!</v>
          </cell>
          <cell r="X181"/>
          <cell r="Y181"/>
          <cell r="Z181">
            <v>24.376889356708794</v>
          </cell>
          <cell r="AA181">
            <v>1427.9477606936039</v>
          </cell>
          <cell r="AB181"/>
          <cell r="AC181"/>
          <cell r="AD181"/>
          <cell r="AE181"/>
          <cell r="AF181">
            <v>1452.3246500503126</v>
          </cell>
          <cell r="AG181">
            <v>2.3401661620630933E-2</v>
          </cell>
          <cell r="AH181">
            <v>1540.7519319640544</v>
          </cell>
          <cell r="AI181">
            <v>432.46409940000001</v>
          </cell>
          <cell r="AJ181">
            <v>518.8651079</v>
          </cell>
          <cell r="AK181">
            <v>528.43011869999998</v>
          </cell>
          <cell r="AL181">
            <v>67.161145980000015</v>
          </cell>
          <cell r="AM181">
            <v>585.01951589999999</v>
          </cell>
          <cell r="AN181">
            <v>1762.7359719999999</v>
          </cell>
          <cell r="AO181">
            <v>394.52868670000004</v>
          </cell>
          <cell r="AP181">
            <v>705.51243379999983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7.9126022419627891</v>
          </cell>
          <cell r="BB181">
            <v>170.28807844303708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174.0304886550434</v>
          </cell>
          <cell r="BH181">
            <v>1714.7824206190978</v>
          </cell>
          <cell r="BI181">
            <v>3454.6714611127372</v>
          </cell>
          <cell r="BJ181">
            <v>0.49636627966549751</v>
          </cell>
          <cell r="BK181">
            <v>0.44599087042209906</v>
          </cell>
          <cell r="BL181">
            <v>5.0375409243398443E-2</v>
          </cell>
        </row>
        <row r="182">
          <cell r="A182" t="str">
            <v>UCHPINDA TPP3</v>
          </cell>
          <cell r="B182" t="str">
            <v>UCHPINDA TPP</v>
          </cell>
          <cell r="C182">
            <v>360</v>
          </cell>
          <cell r="D182" t="str">
            <v>RAIL</v>
          </cell>
          <cell r="E182" t="str">
            <v/>
          </cell>
          <cell r="F182">
            <v>21.886399699999998</v>
          </cell>
          <cell r="G182">
            <v>83.120809800000004</v>
          </cell>
          <cell r="H182">
            <v>0</v>
          </cell>
          <cell r="I182">
            <v>0</v>
          </cell>
          <cell r="J182">
            <v>0</v>
          </cell>
          <cell r="K182">
            <v>1.5426280827296404E-2</v>
          </cell>
          <cell r="L182">
            <v>0</v>
          </cell>
          <cell r="M182">
            <v>0</v>
          </cell>
          <cell r="N182">
            <v>0.98457371917270364</v>
          </cell>
          <cell r="O182">
            <v>0</v>
          </cell>
          <cell r="P182" t="e">
            <v>#DIV/0!</v>
          </cell>
          <cell r="Q182" t="e">
            <v>#DIV/0!</v>
          </cell>
          <cell r="R182" t="e">
            <v>#DIV/0!</v>
          </cell>
          <cell r="S182">
            <v>3604.4234608736565</v>
          </cell>
          <cell r="T182" t="e">
            <v>#DIV/0!</v>
          </cell>
          <cell r="U182" t="e">
            <v>#DIV/0!</v>
          </cell>
          <cell r="V182">
            <v>4154.3823740540556</v>
          </cell>
          <cell r="W182" t="e">
            <v>#DIV/0!</v>
          </cell>
          <cell r="X182"/>
          <cell r="Y182"/>
          <cell r="Z182"/>
          <cell r="AA182">
            <v>22.158011744582975</v>
          </cell>
          <cell r="AB182"/>
          <cell r="AC182"/>
          <cell r="AD182">
            <v>1583.2518426201634</v>
          </cell>
          <cell r="AE182"/>
          <cell r="AF182">
            <v>1605.4098543647465</v>
          </cell>
          <cell r="AG182">
            <v>0</v>
          </cell>
          <cell r="AH182">
            <v>1605.4098543647465</v>
          </cell>
          <cell r="AI182">
            <v>482.9068562999999</v>
          </cell>
          <cell r="AJ182">
            <v>426.06397909999993</v>
          </cell>
          <cell r="AK182">
            <v>594.46611899999994</v>
          </cell>
          <cell r="AL182">
            <v>239.28260809999998</v>
          </cell>
          <cell r="AM182">
            <v>344.23270649999995</v>
          </cell>
          <cell r="AN182">
            <v>1812.64733</v>
          </cell>
          <cell r="AO182">
            <v>99.0776386</v>
          </cell>
          <cell r="AP182">
            <v>503.44122950000008</v>
          </cell>
          <cell r="AQ182">
            <v>0</v>
          </cell>
          <cell r="AR182">
            <v>0</v>
          </cell>
          <cell r="AS182">
            <v>0</v>
          </cell>
          <cell r="AT182">
            <v>14.853194494562343</v>
          </cell>
          <cell r="AU182">
            <v>0</v>
          </cell>
          <cell r="AV182">
            <v>0</v>
          </cell>
          <cell r="AW182">
            <v>381.67984797449031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396.53304246905265</v>
          </cell>
          <cell r="BH182">
            <v>2001.9428968337991</v>
          </cell>
          <cell r="BI182">
            <v>4145.8985534158601</v>
          </cell>
          <cell r="BJ182">
            <v>0.48287310242658305</v>
          </cell>
          <cell r="BK182">
            <v>0.3872284460607528</v>
          </cell>
          <cell r="BL182">
            <v>9.564465636583025E-2</v>
          </cell>
        </row>
        <row r="183">
          <cell r="A183" t="str">
            <v>ITPCL TPP2</v>
          </cell>
          <cell r="B183" t="str">
            <v>ITPCL TPP</v>
          </cell>
          <cell r="C183">
            <v>600</v>
          </cell>
          <cell r="D183"/>
          <cell r="E183" t="str">
            <v/>
          </cell>
          <cell r="F183">
            <v>11.521599999999999</v>
          </cell>
          <cell r="G183">
            <v>79.751844700000007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4279.0292548546358</v>
          </cell>
          <cell r="X183"/>
          <cell r="Y183"/>
          <cell r="Z183"/>
          <cell r="AA183"/>
          <cell r="AB183"/>
          <cell r="AC183"/>
          <cell r="AD183"/>
          <cell r="AE183">
            <v>1608.0582000000002</v>
          </cell>
          <cell r="AF183">
            <v>1608.0582000000002</v>
          </cell>
          <cell r="AG183">
            <v>1</v>
          </cell>
          <cell r="AH183">
            <v>5231</v>
          </cell>
          <cell r="AI183">
            <v>1845.407942</v>
          </cell>
          <cell r="AJ183">
            <v>1788.565065</v>
          </cell>
          <cell r="AK183">
            <v>1940.7759509999998</v>
          </cell>
          <cell r="AL183">
            <v>1509.8541319999999</v>
          </cell>
          <cell r="AM183">
            <v>1777.3604969999999</v>
          </cell>
          <cell r="AN183">
            <v>3150.455731</v>
          </cell>
          <cell r="AO183">
            <v>1478.049988</v>
          </cell>
          <cell r="AP183">
            <v>1226.0406740000001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3006.4440000000004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5231</v>
          </cell>
          <cell r="BI183">
            <v>4279.0292548546358</v>
          </cell>
          <cell r="BJ183">
            <v>1.2224735304310752</v>
          </cell>
          <cell r="BK183">
            <v>1.2224735304310752</v>
          </cell>
          <cell r="BL183">
            <v>0</v>
          </cell>
        </row>
        <row r="184">
          <cell r="A184" t="str">
            <v>UCHPINDA TPP1</v>
          </cell>
          <cell r="B184" t="str">
            <v>UCHPINDA TPP</v>
          </cell>
          <cell r="C184">
            <v>360</v>
          </cell>
          <cell r="D184" t="str">
            <v>RAIL</v>
          </cell>
          <cell r="E184" t="str">
            <v/>
          </cell>
          <cell r="F184">
            <v>21.886399699999998</v>
          </cell>
          <cell r="G184">
            <v>83.120809800000004</v>
          </cell>
          <cell r="H184">
            <v>0</v>
          </cell>
          <cell r="I184">
            <v>0</v>
          </cell>
          <cell r="J184">
            <v>0</v>
          </cell>
          <cell r="K184">
            <v>1.5426280827296404E-2</v>
          </cell>
          <cell r="L184">
            <v>0</v>
          </cell>
          <cell r="M184">
            <v>0</v>
          </cell>
          <cell r="N184">
            <v>0.98457371917270364</v>
          </cell>
          <cell r="O184">
            <v>0</v>
          </cell>
          <cell r="P184" t="e">
            <v>#DIV/0!</v>
          </cell>
          <cell r="Q184" t="e">
            <v>#DIV/0!</v>
          </cell>
          <cell r="R184" t="e">
            <v>#DIV/0!</v>
          </cell>
          <cell r="S184">
            <v>3604.4234608736565</v>
          </cell>
          <cell r="T184" t="e">
            <v>#DIV/0!</v>
          </cell>
          <cell r="U184" t="e">
            <v>#DIV/0!</v>
          </cell>
          <cell r="V184">
            <v>4154.3823740540556</v>
          </cell>
          <cell r="W184" t="e">
            <v>#DIV/0!</v>
          </cell>
          <cell r="X184"/>
          <cell r="Y184"/>
          <cell r="Z184"/>
          <cell r="AA184">
            <v>22.158011744582975</v>
          </cell>
          <cell r="AB184"/>
          <cell r="AC184"/>
          <cell r="AD184">
            <v>1583.2518426201634</v>
          </cell>
          <cell r="AE184"/>
          <cell r="AF184">
            <v>1605.4098543647465</v>
          </cell>
          <cell r="AG184">
            <v>0</v>
          </cell>
          <cell r="AH184">
            <v>1605.4098543647465</v>
          </cell>
          <cell r="AI184">
            <v>482.9068562999999</v>
          </cell>
          <cell r="AJ184">
            <v>426.06397909999993</v>
          </cell>
          <cell r="AK184">
            <v>594.46611899999994</v>
          </cell>
          <cell r="AL184">
            <v>239.28260809999998</v>
          </cell>
          <cell r="AM184">
            <v>344.23270649999995</v>
          </cell>
          <cell r="AN184">
            <v>1812.64733</v>
          </cell>
          <cell r="AO184">
            <v>99.0776386</v>
          </cell>
          <cell r="AP184">
            <v>503.44122950000008</v>
          </cell>
          <cell r="AQ184">
            <v>0</v>
          </cell>
          <cell r="AR184">
            <v>0</v>
          </cell>
          <cell r="AS184">
            <v>0</v>
          </cell>
          <cell r="AT184">
            <v>14.853194494562343</v>
          </cell>
          <cell r="AU184">
            <v>0</v>
          </cell>
          <cell r="AV184">
            <v>0</v>
          </cell>
          <cell r="AW184">
            <v>381.67984797449031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396.53304246905265</v>
          </cell>
          <cell r="BH184">
            <v>2001.9428968337991</v>
          </cell>
          <cell r="BI184">
            <v>4145.8985534158601</v>
          </cell>
          <cell r="BJ184">
            <v>0.48287310242658305</v>
          </cell>
          <cell r="BK184">
            <v>0.3872284460607528</v>
          </cell>
          <cell r="BL184">
            <v>9.564465636583025E-2</v>
          </cell>
        </row>
        <row r="185">
          <cell r="A185" t="str">
            <v>TALCHER STPS4</v>
          </cell>
          <cell r="B185" t="str">
            <v>TALCHER STPS</v>
          </cell>
          <cell r="C185">
            <v>500</v>
          </cell>
          <cell r="D185" t="str">
            <v>PITHEAD</v>
          </cell>
          <cell r="E185">
            <v>0.47985347985347987</v>
          </cell>
          <cell r="F185">
            <v>21.096599999999999</v>
          </cell>
          <cell r="G185">
            <v>85.074399999999997</v>
          </cell>
          <cell r="H185">
            <v>0</v>
          </cell>
          <cell r="I185">
            <v>0</v>
          </cell>
          <cell r="J185">
            <v>5.8709501066223505E-3</v>
          </cell>
          <cell r="K185">
            <v>0.99412904989337758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e">
            <v>#DIV/0!</v>
          </cell>
          <cell r="Q185" t="e">
            <v>#DIV/0!</v>
          </cell>
          <cell r="R185">
            <v>6116.1218491417603</v>
          </cell>
          <cell r="S185">
            <v>3438.9539419022826</v>
          </cell>
          <cell r="T185" t="e">
            <v>#DIV/0!</v>
          </cell>
          <cell r="U185" t="e">
            <v>#DIV/0!</v>
          </cell>
          <cell r="V185" t="e">
            <v>#DIV/0!</v>
          </cell>
          <cell r="W185" t="e">
            <v>#DIV/0!</v>
          </cell>
          <cell r="X185"/>
          <cell r="Y185"/>
          <cell r="Z185">
            <v>24.376889356708794</v>
          </cell>
          <cell r="AA185">
            <v>1427.9477606936039</v>
          </cell>
          <cell r="AB185"/>
          <cell r="AC185"/>
          <cell r="AD185"/>
          <cell r="AE185"/>
          <cell r="AF185">
            <v>1452.3246500503126</v>
          </cell>
          <cell r="AG185">
            <v>2.3401661620630933E-2</v>
          </cell>
          <cell r="AH185">
            <v>1540.7519319640544</v>
          </cell>
          <cell r="AI185">
            <v>432.46409940000001</v>
          </cell>
          <cell r="AJ185">
            <v>518.8651079</v>
          </cell>
          <cell r="AK185">
            <v>528.43011869999998</v>
          </cell>
          <cell r="AL185">
            <v>67.161145980000015</v>
          </cell>
          <cell r="AM185">
            <v>585.01951589999999</v>
          </cell>
          <cell r="AN185">
            <v>1762.7359719999999</v>
          </cell>
          <cell r="AO185">
            <v>394.52868670000004</v>
          </cell>
          <cell r="AP185">
            <v>705.51243379999983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7.9126022419627891</v>
          </cell>
          <cell r="BB185">
            <v>170.28807844303708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174.0304886550434</v>
          </cell>
          <cell r="BH185">
            <v>1714.7824206190978</v>
          </cell>
          <cell r="BI185">
            <v>3454.6714611127372</v>
          </cell>
          <cell r="BJ185">
            <v>0.49636627966549751</v>
          </cell>
          <cell r="BK185">
            <v>0.44599087042209906</v>
          </cell>
          <cell r="BL185">
            <v>5.0375409243398443E-2</v>
          </cell>
        </row>
        <row r="186">
          <cell r="A186" t="str">
            <v>MUTHIARA TPP2</v>
          </cell>
          <cell r="B186" t="str">
            <v>MUTHIARA TPP</v>
          </cell>
          <cell r="C186">
            <v>600</v>
          </cell>
          <cell r="D186"/>
          <cell r="E186" t="str">
            <v/>
          </cell>
          <cell r="F186">
            <v>8.9126999999999992</v>
          </cell>
          <cell r="G186">
            <v>78.144959999999998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4279.0292548546358</v>
          </cell>
          <cell r="X186"/>
          <cell r="Y186"/>
          <cell r="Z186"/>
          <cell r="AA186"/>
          <cell r="AB186"/>
          <cell r="AC186"/>
          <cell r="AD186"/>
          <cell r="AE186">
            <v>1608.0582000000002</v>
          </cell>
          <cell r="AF186">
            <v>1608.0582000000002</v>
          </cell>
          <cell r="AG186">
            <v>1</v>
          </cell>
          <cell r="AH186">
            <v>5231</v>
          </cell>
          <cell r="AI186">
            <v>2205.4120600000001</v>
          </cell>
          <cell r="AJ186">
            <v>2148.5691820000002</v>
          </cell>
          <cell r="AK186">
            <v>2300.7800689999999</v>
          </cell>
          <cell r="AL186">
            <v>1869.85825</v>
          </cell>
          <cell r="AM186">
            <v>2137.3646140000001</v>
          </cell>
          <cell r="AN186">
            <v>3510.4598489999998</v>
          </cell>
          <cell r="AO186">
            <v>1838.0541049999999</v>
          </cell>
          <cell r="AP186">
            <v>1551.5738079999999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3577.7280000000001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5231</v>
          </cell>
          <cell r="BI186">
            <v>4279.0292548546358</v>
          </cell>
          <cell r="BJ186">
            <v>1.2224735304310752</v>
          </cell>
          <cell r="BK186">
            <v>1.2224735304310752</v>
          </cell>
          <cell r="BL186">
            <v>0</v>
          </cell>
        </row>
        <row r="187">
          <cell r="A187" t="str">
            <v>UCHPINDA TPP2</v>
          </cell>
          <cell r="B187" t="str">
            <v>UCHPINDA TPP</v>
          </cell>
          <cell r="C187">
            <v>360</v>
          </cell>
          <cell r="D187" t="str">
            <v>RAIL</v>
          </cell>
          <cell r="E187" t="str">
            <v/>
          </cell>
          <cell r="F187">
            <v>21.886399699999998</v>
          </cell>
          <cell r="G187">
            <v>83.120809800000004</v>
          </cell>
          <cell r="H187">
            <v>0</v>
          </cell>
          <cell r="I187">
            <v>0</v>
          </cell>
          <cell r="J187">
            <v>0</v>
          </cell>
          <cell r="K187">
            <v>1.5426280827296404E-2</v>
          </cell>
          <cell r="L187">
            <v>0</v>
          </cell>
          <cell r="M187">
            <v>0</v>
          </cell>
          <cell r="N187">
            <v>0.98457371917270364</v>
          </cell>
          <cell r="O187">
            <v>0</v>
          </cell>
          <cell r="P187" t="e">
            <v>#DIV/0!</v>
          </cell>
          <cell r="Q187" t="e">
            <v>#DIV/0!</v>
          </cell>
          <cell r="R187" t="e">
            <v>#DIV/0!</v>
          </cell>
          <cell r="S187">
            <v>3604.4234608736565</v>
          </cell>
          <cell r="T187" t="e">
            <v>#DIV/0!</v>
          </cell>
          <cell r="U187" t="e">
            <v>#DIV/0!</v>
          </cell>
          <cell r="V187">
            <v>4154.3823740540556</v>
          </cell>
          <cell r="W187" t="e">
            <v>#DIV/0!</v>
          </cell>
          <cell r="X187"/>
          <cell r="Y187"/>
          <cell r="Z187"/>
          <cell r="AA187">
            <v>22.158011744582975</v>
          </cell>
          <cell r="AB187"/>
          <cell r="AC187"/>
          <cell r="AD187">
            <v>1583.2518426201634</v>
          </cell>
          <cell r="AE187"/>
          <cell r="AF187">
            <v>1605.4098543647465</v>
          </cell>
          <cell r="AG187">
            <v>0</v>
          </cell>
          <cell r="AH187">
            <v>1605.4098543647465</v>
          </cell>
          <cell r="AI187">
            <v>482.9068562999999</v>
          </cell>
          <cell r="AJ187">
            <v>426.06397909999993</v>
          </cell>
          <cell r="AK187">
            <v>594.46611899999994</v>
          </cell>
          <cell r="AL187">
            <v>239.28260809999998</v>
          </cell>
          <cell r="AM187">
            <v>344.23270649999995</v>
          </cell>
          <cell r="AN187">
            <v>1812.64733</v>
          </cell>
          <cell r="AO187">
            <v>99.0776386</v>
          </cell>
          <cell r="AP187">
            <v>503.44122950000008</v>
          </cell>
          <cell r="AQ187">
            <v>0</v>
          </cell>
          <cell r="AR187">
            <v>0</v>
          </cell>
          <cell r="AS187">
            <v>0</v>
          </cell>
          <cell r="AT187">
            <v>14.853194494562343</v>
          </cell>
          <cell r="AU187">
            <v>0</v>
          </cell>
          <cell r="AV187">
            <v>0</v>
          </cell>
          <cell r="AW187">
            <v>381.67984797449031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396.53304246905265</v>
          </cell>
          <cell r="BH187">
            <v>2001.9428968337991</v>
          </cell>
          <cell r="BI187">
            <v>4145.8985534158601</v>
          </cell>
          <cell r="BJ187">
            <v>0.48287310242658305</v>
          </cell>
          <cell r="BK187">
            <v>0.3872284460607528</v>
          </cell>
          <cell r="BL187">
            <v>9.564465636583025E-2</v>
          </cell>
        </row>
        <row r="188">
          <cell r="A188" t="str">
            <v>ITPCL TPP1</v>
          </cell>
          <cell r="B188" t="str">
            <v>ITPCL TPP</v>
          </cell>
          <cell r="C188">
            <v>600</v>
          </cell>
          <cell r="D188"/>
          <cell r="E188" t="str">
            <v/>
          </cell>
          <cell r="F188">
            <v>11.521599999999999</v>
          </cell>
          <cell r="G188">
            <v>79.751844700000007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4279.0292548546358</v>
          </cell>
          <cell r="X188"/>
          <cell r="Y188"/>
          <cell r="Z188"/>
          <cell r="AA188"/>
          <cell r="AB188"/>
          <cell r="AC188"/>
          <cell r="AD188"/>
          <cell r="AE188">
            <v>1608.0582000000002</v>
          </cell>
          <cell r="AF188">
            <v>1608.0582000000002</v>
          </cell>
          <cell r="AG188">
            <v>1</v>
          </cell>
          <cell r="AH188">
            <v>5231</v>
          </cell>
          <cell r="AI188">
            <v>1845.407942</v>
          </cell>
          <cell r="AJ188">
            <v>1788.565065</v>
          </cell>
          <cell r="AK188">
            <v>1940.7759509999998</v>
          </cell>
          <cell r="AL188">
            <v>1509.8541319999999</v>
          </cell>
          <cell r="AM188">
            <v>1777.3604969999999</v>
          </cell>
          <cell r="AN188">
            <v>3150.455731</v>
          </cell>
          <cell r="AO188">
            <v>1478.049988</v>
          </cell>
          <cell r="AP188">
            <v>1226.0406740000001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3006.4440000000004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5231</v>
          </cell>
          <cell r="BI188">
            <v>4279.0292548546358</v>
          </cell>
          <cell r="BJ188">
            <v>1.2224735304310752</v>
          </cell>
          <cell r="BK188">
            <v>1.2224735304310752</v>
          </cell>
          <cell r="BL188">
            <v>0</v>
          </cell>
        </row>
        <row r="189">
          <cell r="A189" t="str">
            <v>TALCHER STPS3</v>
          </cell>
          <cell r="B189" t="str">
            <v>TALCHER STPS</v>
          </cell>
          <cell r="C189">
            <v>500</v>
          </cell>
          <cell r="D189" t="str">
            <v>PITHEAD</v>
          </cell>
          <cell r="E189">
            <v>0.47985347985347987</v>
          </cell>
          <cell r="F189">
            <v>21.096599999999999</v>
          </cell>
          <cell r="G189">
            <v>85.074399999999997</v>
          </cell>
          <cell r="H189">
            <v>0</v>
          </cell>
          <cell r="I189">
            <v>0</v>
          </cell>
          <cell r="J189">
            <v>5.8709501066223505E-3</v>
          </cell>
          <cell r="K189">
            <v>0.99412904989337758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e">
            <v>#DIV/0!</v>
          </cell>
          <cell r="Q189" t="e">
            <v>#DIV/0!</v>
          </cell>
          <cell r="R189">
            <v>6116.1218491417603</v>
          </cell>
          <cell r="S189">
            <v>3438.9539419022826</v>
          </cell>
          <cell r="T189" t="e">
            <v>#DIV/0!</v>
          </cell>
          <cell r="U189" t="e">
            <v>#DIV/0!</v>
          </cell>
          <cell r="V189" t="e">
            <v>#DIV/0!</v>
          </cell>
          <cell r="W189" t="e">
            <v>#DIV/0!</v>
          </cell>
          <cell r="X189"/>
          <cell r="Y189"/>
          <cell r="Z189">
            <v>24.376889356708794</v>
          </cell>
          <cell r="AA189">
            <v>1427.9477606936039</v>
          </cell>
          <cell r="AB189"/>
          <cell r="AC189"/>
          <cell r="AD189"/>
          <cell r="AE189"/>
          <cell r="AF189">
            <v>1452.3246500503126</v>
          </cell>
          <cell r="AG189">
            <v>2.3401661620630933E-2</v>
          </cell>
          <cell r="AH189">
            <v>1540.7519319640544</v>
          </cell>
          <cell r="AI189">
            <v>432.46409940000001</v>
          </cell>
          <cell r="AJ189">
            <v>518.8651079</v>
          </cell>
          <cell r="AK189">
            <v>528.43011869999998</v>
          </cell>
          <cell r="AL189">
            <v>67.161145980000015</v>
          </cell>
          <cell r="AM189">
            <v>585.01951589999999</v>
          </cell>
          <cell r="AN189">
            <v>1762.7359719999999</v>
          </cell>
          <cell r="AO189">
            <v>394.52868670000004</v>
          </cell>
          <cell r="AP189">
            <v>705.51243379999983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7.9126022419627891</v>
          </cell>
          <cell r="BB189">
            <v>170.28807844303708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174.0304886550434</v>
          </cell>
          <cell r="BH189">
            <v>1714.7824206190978</v>
          </cell>
          <cell r="BI189">
            <v>3454.6714611127372</v>
          </cell>
          <cell r="BJ189">
            <v>0.49636627966549751</v>
          </cell>
          <cell r="BK189">
            <v>0.44599087042209906</v>
          </cell>
          <cell r="BL189">
            <v>5.0375409243398443E-2</v>
          </cell>
        </row>
        <row r="190">
          <cell r="A190" t="str">
            <v>SIMHADRI STPP2</v>
          </cell>
          <cell r="B190" t="str">
            <v>SIMHADRI STPP</v>
          </cell>
          <cell r="C190">
            <v>500</v>
          </cell>
          <cell r="D190" t="str">
            <v>RAIL</v>
          </cell>
          <cell r="E190">
            <v>0.83302141817425657</v>
          </cell>
          <cell r="F190">
            <v>17.5947</v>
          </cell>
          <cell r="G190">
            <v>83.090299999999999</v>
          </cell>
          <cell r="H190">
            <v>0</v>
          </cell>
          <cell r="I190">
            <v>1.1287861219726743E-2</v>
          </cell>
          <cell r="J190">
            <v>0.28263584859359459</v>
          </cell>
          <cell r="K190">
            <v>0.70590308735423568</v>
          </cell>
          <cell r="L190">
            <v>1.7320283244282822E-4</v>
          </cell>
          <cell r="M190">
            <v>0</v>
          </cell>
          <cell r="N190">
            <v>0</v>
          </cell>
          <cell r="O190">
            <v>0</v>
          </cell>
          <cell r="P190" t="e">
            <v>#DIV/0!</v>
          </cell>
          <cell r="Q190">
            <v>4768.5629605456834</v>
          </cell>
          <cell r="R190">
            <v>5971.8566527774574</v>
          </cell>
          <cell r="S190">
            <v>3635.7868446395441</v>
          </cell>
          <cell r="T190">
            <v>4450</v>
          </cell>
          <cell r="U190" t="e">
            <v>#DIV/0!</v>
          </cell>
          <cell r="V190" t="e">
            <v>#DIV/0!</v>
          </cell>
          <cell r="W190" t="e">
            <v>#DIV/0!</v>
          </cell>
          <cell r="X190"/>
          <cell r="Y190">
            <v>20.749409706124531</v>
          </cell>
          <cell r="Z190">
            <v>1081.0644504772454</v>
          </cell>
          <cell r="AA190">
            <v>1013.9455566279765</v>
          </cell>
          <cell r="AB190">
            <v>0.29338775133829614</v>
          </cell>
          <cell r="AC190"/>
          <cell r="AD190"/>
          <cell r="AE190"/>
          <cell r="AF190">
            <v>2116.0528045626847</v>
          </cell>
          <cell r="AG190">
            <v>1.6194662129857273E-2</v>
          </cell>
          <cell r="AH190">
            <v>2166.4983219451383</v>
          </cell>
          <cell r="AI190">
            <v>952.72559039999999</v>
          </cell>
          <cell r="AJ190">
            <v>923.81840030000001</v>
          </cell>
          <cell r="AK190">
            <v>1022.267198</v>
          </cell>
          <cell r="AL190">
            <v>645.10746749999998</v>
          </cell>
          <cell r="AM190">
            <v>934.39502460000006</v>
          </cell>
          <cell r="AN190">
            <v>2231.9469779999999</v>
          </cell>
          <cell r="AO190">
            <v>640.81663349999997</v>
          </cell>
          <cell r="AP190">
            <v>744.77551589999996</v>
          </cell>
          <cell r="AQ190">
            <v>0</v>
          </cell>
          <cell r="AR190">
            <v>26.765234706877507</v>
          </cell>
          <cell r="AS190">
            <v>728.9325505870072</v>
          </cell>
          <cell r="AT190">
            <v>1325.5885834251999</v>
          </cell>
          <cell r="AU190">
            <v>0.41069024255247705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2047.9846784350357</v>
          </cell>
          <cell r="BH190">
            <v>4214.4830003801744</v>
          </cell>
          <cell r="BI190">
            <v>4308.9715608505721</v>
          </cell>
          <cell r="BJ190">
            <v>0.97807166765061082</v>
          </cell>
          <cell r="BK190">
            <v>0.50278779781908822</v>
          </cell>
          <cell r="BL190">
            <v>0.47528386983152249</v>
          </cell>
        </row>
        <row r="191">
          <cell r="A191" t="str">
            <v>MUTHIARA TPP1</v>
          </cell>
          <cell r="B191" t="str">
            <v>MUTHIARA TPP</v>
          </cell>
          <cell r="C191">
            <v>600</v>
          </cell>
          <cell r="D191"/>
          <cell r="E191" t="str">
            <v/>
          </cell>
          <cell r="F191">
            <v>8.9126999999999992</v>
          </cell>
          <cell r="G191">
            <v>78.144959999999998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4279.0292548546358</v>
          </cell>
          <cell r="X191"/>
          <cell r="Y191"/>
          <cell r="Z191"/>
          <cell r="AA191"/>
          <cell r="AB191"/>
          <cell r="AC191"/>
          <cell r="AD191"/>
          <cell r="AE191">
            <v>1608.0582000000002</v>
          </cell>
          <cell r="AF191">
            <v>1608.0582000000002</v>
          </cell>
          <cell r="AG191">
            <v>1</v>
          </cell>
          <cell r="AH191">
            <v>5231</v>
          </cell>
          <cell r="AI191">
            <v>2205.4120600000001</v>
          </cell>
          <cell r="AJ191">
            <v>2148.5691820000002</v>
          </cell>
          <cell r="AK191">
            <v>2300.7800689999999</v>
          </cell>
          <cell r="AL191">
            <v>1869.85825</v>
          </cell>
          <cell r="AM191">
            <v>2137.3646140000001</v>
          </cell>
          <cell r="AN191">
            <v>3510.4598489999998</v>
          </cell>
          <cell r="AO191">
            <v>1838.0541049999999</v>
          </cell>
          <cell r="AP191">
            <v>1551.5738079999999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3577.7280000000001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5231</v>
          </cell>
          <cell r="BI191">
            <v>4279.0292548546358</v>
          </cell>
          <cell r="BJ191">
            <v>1.2224735304310752</v>
          </cell>
          <cell r="BK191">
            <v>1.2224735304310752</v>
          </cell>
          <cell r="BL191">
            <v>0</v>
          </cell>
        </row>
        <row r="192">
          <cell r="A192" t="str">
            <v>SIMHADRI STPP1</v>
          </cell>
          <cell r="B192" t="str">
            <v>SIMHADRI STPP</v>
          </cell>
          <cell r="C192">
            <v>500</v>
          </cell>
          <cell r="D192" t="str">
            <v>RAIL</v>
          </cell>
          <cell r="E192">
            <v>0.83302141817425657</v>
          </cell>
          <cell r="F192">
            <v>17.5947</v>
          </cell>
          <cell r="G192">
            <v>83.090299999999999</v>
          </cell>
          <cell r="H192">
            <v>0</v>
          </cell>
          <cell r="I192">
            <v>1.1287861219726743E-2</v>
          </cell>
          <cell r="J192">
            <v>0.28263584859359459</v>
          </cell>
          <cell r="K192">
            <v>0.70590308735423568</v>
          </cell>
          <cell r="L192">
            <v>1.7320283244282822E-4</v>
          </cell>
          <cell r="M192">
            <v>0</v>
          </cell>
          <cell r="N192">
            <v>0</v>
          </cell>
          <cell r="O192">
            <v>0</v>
          </cell>
          <cell r="P192" t="e">
            <v>#DIV/0!</v>
          </cell>
          <cell r="Q192">
            <v>4768.5629605456834</v>
          </cell>
          <cell r="R192">
            <v>5971.8566527774574</v>
          </cell>
          <cell r="S192">
            <v>3635.7868446395441</v>
          </cell>
          <cell r="T192">
            <v>4450</v>
          </cell>
          <cell r="U192" t="e">
            <v>#DIV/0!</v>
          </cell>
          <cell r="V192" t="e">
            <v>#DIV/0!</v>
          </cell>
          <cell r="W192" t="e">
            <v>#DIV/0!</v>
          </cell>
          <cell r="X192"/>
          <cell r="Y192">
            <v>20.749409706124531</v>
          </cell>
          <cell r="Z192">
            <v>1081.0644504772454</v>
          </cell>
          <cell r="AA192">
            <v>1013.9455566279765</v>
          </cell>
          <cell r="AB192">
            <v>0.29338775133829614</v>
          </cell>
          <cell r="AC192"/>
          <cell r="AD192"/>
          <cell r="AE192"/>
          <cell r="AF192">
            <v>2116.0528045626847</v>
          </cell>
          <cell r="AG192">
            <v>1.6194662129857273E-2</v>
          </cell>
          <cell r="AH192">
            <v>2166.4983219451383</v>
          </cell>
          <cell r="AI192">
            <v>952.72559039999999</v>
          </cell>
          <cell r="AJ192">
            <v>923.81840030000001</v>
          </cell>
          <cell r="AK192">
            <v>1022.267198</v>
          </cell>
          <cell r="AL192">
            <v>645.10746749999998</v>
          </cell>
          <cell r="AM192">
            <v>934.39502460000006</v>
          </cell>
          <cell r="AN192">
            <v>2231.9469779999999</v>
          </cell>
          <cell r="AO192">
            <v>640.81663349999997</v>
          </cell>
          <cell r="AP192">
            <v>744.77551589999996</v>
          </cell>
          <cell r="AQ192">
            <v>0</v>
          </cell>
          <cell r="AR192">
            <v>26.765234706877507</v>
          </cell>
          <cell r="AS192">
            <v>728.9325505870072</v>
          </cell>
          <cell r="AT192">
            <v>1325.5885834251999</v>
          </cell>
          <cell r="AU192">
            <v>0.41069024255247705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2047.9846784350357</v>
          </cell>
          <cell r="BH192">
            <v>4214.4830003801744</v>
          </cell>
          <cell r="BI192">
            <v>4308.9715608505721</v>
          </cell>
          <cell r="BJ192">
            <v>0.97807166765061082</v>
          </cell>
          <cell r="BK192">
            <v>0.50278779781908822</v>
          </cell>
          <cell r="BL192">
            <v>0.47528386983152249</v>
          </cell>
        </row>
        <row r="193">
          <cell r="A193" t="str">
            <v>SALAYA TPP2</v>
          </cell>
          <cell r="B193" t="str">
            <v>SALAYA TPP</v>
          </cell>
          <cell r="C193">
            <v>600</v>
          </cell>
          <cell r="D193"/>
          <cell r="E193" t="str">
            <v/>
          </cell>
          <cell r="F193">
            <v>22.304500000000001</v>
          </cell>
          <cell r="G193">
            <v>69.710800000000006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4279.0292548546358</v>
          </cell>
          <cell r="X193"/>
          <cell r="Y193"/>
          <cell r="Z193"/>
          <cell r="AA193"/>
          <cell r="AB193"/>
          <cell r="AC193"/>
          <cell r="AD193"/>
          <cell r="AE193">
            <v>1608.0582000000002</v>
          </cell>
          <cell r="AF193">
            <v>1608.0582000000002</v>
          </cell>
          <cell r="AG193">
            <v>1</v>
          </cell>
          <cell r="AH193">
            <v>5231</v>
          </cell>
          <cell r="AI193">
            <v>1961.9161220000001</v>
          </cell>
          <cell r="AJ193">
            <v>1914.6933289999999</v>
          </cell>
          <cell r="AK193">
            <v>2057.0987439999999</v>
          </cell>
          <cell r="AL193">
            <v>1814.7073680000001</v>
          </cell>
          <cell r="AM193">
            <v>1546.259622</v>
          </cell>
          <cell r="AN193">
            <v>3113.7741420000002</v>
          </cell>
          <cell r="AO193">
            <v>1539.6829720000001</v>
          </cell>
          <cell r="AP193">
            <v>1160.437561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2837.4780000000001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5231</v>
          </cell>
          <cell r="BI193">
            <v>4279.0292548546358</v>
          </cell>
          <cell r="BJ193">
            <v>1.2224735304310752</v>
          </cell>
          <cell r="BK193">
            <v>1.2224735304310752</v>
          </cell>
          <cell r="BL193">
            <v>0</v>
          </cell>
        </row>
        <row r="194">
          <cell r="A194" t="str">
            <v>UDUPI TPP1</v>
          </cell>
          <cell r="B194" t="str">
            <v>UDUPI TPP</v>
          </cell>
          <cell r="C194">
            <v>600</v>
          </cell>
          <cell r="D194"/>
          <cell r="E194">
            <v>1.0461566091954022</v>
          </cell>
          <cell r="F194">
            <v>13.1591</v>
          </cell>
          <cell r="G194">
            <v>74.802700000000002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4279.0292548546358</v>
          </cell>
          <cell r="X194"/>
          <cell r="Y194"/>
          <cell r="Z194"/>
          <cell r="AA194"/>
          <cell r="AB194"/>
          <cell r="AC194"/>
          <cell r="AD194"/>
          <cell r="AE194">
            <v>1608.0582000000002</v>
          </cell>
          <cell r="AF194">
            <v>1608.0582000000002</v>
          </cell>
          <cell r="AG194">
            <v>1</v>
          </cell>
          <cell r="AH194">
            <v>5231</v>
          </cell>
          <cell r="AI194">
            <v>2038.809244</v>
          </cell>
          <cell r="AJ194">
            <v>1981.966367</v>
          </cell>
          <cell r="AK194">
            <v>2150.3685070000001</v>
          </cell>
          <cell r="AL194">
            <v>1719.858966</v>
          </cell>
          <cell r="AM194">
            <v>1812.219681</v>
          </cell>
          <cell r="AN194">
            <v>3337.1441</v>
          </cell>
          <cell r="AO194">
            <v>1560.1923670000001</v>
          </cell>
          <cell r="AP194">
            <v>1177.015447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2881.9560000000001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5231</v>
          </cell>
          <cell r="BI194">
            <v>4279.0292548546358</v>
          </cell>
          <cell r="BJ194">
            <v>1.2224735304310752</v>
          </cell>
          <cell r="BK194">
            <v>1.2224735304310752</v>
          </cell>
          <cell r="BL194">
            <v>0</v>
          </cell>
        </row>
        <row r="195">
          <cell r="A195" t="str">
            <v>UDUPI TPP2</v>
          </cell>
          <cell r="B195" t="str">
            <v>UDUPI TPP</v>
          </cell>
          <cell r="C195">
            <v>600</v>
          </cell>
          <cell r="D195"/>
          <cell r="E195">
            <v>1.0461566091954022</v>
          </cell>
          <cell r="F195">
            <v>13.1591</v>
          </cell>
          <cell r="G195">
            <v>74.802700000000002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4279.0292548546358</v>
          </cell>
          <cell r="X195"/>
          <cell r="Y195"/>
          <cell r="Z195"/>
          <cell r="AA195"/>
          <cell r="AB195"/>
          <cell r="AC195"/>
          <cell r="AD195"/>
          <cell r="AE195">
            <v>1608.0582000000002</v>
          </cell>
          <cell r="AF195">
            <v>1608.0582000000002</v>
          </cell>
          <cell r="AG195">
            <v>1</v>
          </cell>
          <cell r="AH195">
            <v>5231</v>
          </cell>
          <cell r="AI195">
            <v>2038.809244</v>
          </cell>
          <cell r="AJ195">
            <v>1981.966367</v>
          </cell>
          <cell r="AK195">
            <v>2150.3685070000001</v>
          </cell>
          <cell r="AL195">
            <v>1719.858966</v>
          </cell>
          <cell r="AM195">
            <v>1812.219681</v>
          </cell>
          <cell r="AN195">
            <v>3337.1441</v>
          </cell>
          <cell r="AO195">
            <v>1560.1923670000001</v>
          </cell>
          <cell r="AP195">
            <v>1177.015447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2881.9560000000001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5231</v>
          </cell>
          <cell r="BI195">
            <v>4279.0292548546358</v>
          </cell>
          <cell r="BJ195">
            <v>1.2224735304310752</v>
          </cell>
          <cell r="BK195">
            <v>1.2224735304310752</v>
          </cell>
          <cell r="BL195">
            <v>0</v>
          </cell>
        </row>
        <row r="196">
          <cell r="A196" t="str">
            <v>KAMALANGA TPS3</v>
          </cell>
          <cell r="B196" t="str">
            <v>KAMALANGA TPS</v>
          </cell>
          <cell r="C196">
            <v>350</v>
          </cell>
          <cell r="D196" t="str">
            <v>RAIL</v>
          </cell>
          <cell r="E196">
            <v>0.48273134721856048</v>
          </cell>
          <cell r="F196">
            <v>20.869700000000002</v>
          </cell>
          <cell r="G196">
            <v>85.2667</v>
          </cell>
          <cell r="H196">
            <v>0</v>
          </cell>
          <cell r="I196">
            <v>0</v>
          </cell>
          <cell r="J196">
            <v>0</v>
          </cell>
          <cell r="K196">
            <v>1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e">
            <v>#DIV/0!</v>
          </cell>
          <cell r="Q196" t="e">
            <v>#DIV/0!</v>
          </cell>
          <cell r="R196" t="e">
            <v>#DIV/0!</v>
          </cell>
          <cell r="S196">
            <v>3738.8192144385098</v>
          </cell>
          <cell r="T196" t="e">
            <v>#DIV/0!</v>
          </cell>
          <cell r="U196" t="e">
            <v>#DIV/0!</v>
          </cell>
          <cell r="V196" t="e">
            <v>#DIV/0!</v>
          </cell>
          <cell r="W196" t="e">
            <v>#DIV/0!</v>
          </cell>
          <cell r="X196"/>
          <cell r="Y196"/>
          <cell r="Z196"/>
          <cell r="AA196">
            <v>1522.2194400000001</v>
          </cell>
          <cell r="AB196"/>
          <cell r="AC196"/>
          <cell r="AD196"/>
          <cell r="AE196"/>
          <cell r="AF196">
            <v>1522.2194400000001</v>
          </cell>
          <cell r="AG196">
            <v>4.5917342400273363E-2</v>
          </cell>
          <cell r="AH196">
            <v>1692.5167868609979</v>
          </cell>
          <cell r="AI196">
            <v>446.8376758</v>
          </cell>
          <cell r="AJ196">
            <v>429.53787770000002</v>
          </cell>
          <cell r="AK196">
            <v>536.50727979999999</v>
          </cell>
          <cell r="AL196">
            <v>105.4140676</v>
          </cell>
          <cell r="AM196">
            <v>608.85315460000004</v>
          </cell>
          <cell r="AN196">
            <v>1781.1271119999999</v>
          </cell>
          <cell r="AO196">
            <v>395.31528419999995</v>
          </cell>
          <cell r="AP196">
            <v>712.5735476000001</v>
          </cell>
          <cell r="AQ196">
            <v>0</v>
          </cell>
          <cell r="AR196">
            <v>0</v>
          </cell>
          <cell r="AS196">
            <v>0</v>
          </cell>
          <cell r="AT196">
            <v>606.39599999999996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578.55190723784381</v>
          </cell>
          <cell r="BH196">
            <v>2271.0686940988417</v>
          </cell>
          <cell r="BI196">
            <v>3738.8192144385098</v>
          </cell>
          <cell r="BJ196">
            <v>0.60742939517601346</v>
          </cell>
          <cell r="BK196">
            <v>0.45268751704411508</v>
          </cell>
          <cell r="BL196">
            <v>0.15474187813189835</v>
          </cell>
        </row>
        <row r="197">
          <cell r="A197" t="str">
            <v>SALAYA TPP1</v>
          </cell>
          <cell r="B197" t="str">
            <v>SALAYA TPP</v>
          </cell>
          <cell r="C197">
            <v>600</v>
          </cell>
          <cell r="D197"/>
          <cell r="E197" t="str">
            <v/>
          </cell>
          <cell r="F197">
            <v>22.304500000000001</v>
          </cell>
          <cell r="G197">
            <v>69.710800000000006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4279.0292548546358</v>
          </cell>
          <cell r="X197"/>
          <cell r="Y197"/>
          <cell r="Z197"/>
          <cell r="AA197"/>
          <cell r="AB197"/>
          <cell r="AC197"/>
          <cell r="AD197"/>
          <cell r="AE197">
            <v>1608.0582000000002</v>
          </cell>
          <cell r="AF197">
            <v>1608.0582000000002</v>
          </cell>
          <cell r="AG197">
            <v>1</v>
          </cell>
          <cell r="AH197">
            <v>5231</v>
          </cell>
          <cell r="AI197">
            <v>1961.9161220000001</v>
          </cell>
          <cell r="AJ197">
            <v>1914.6933289999999</v>
          </cell>
          <cell r="AK197">
            <v>2057.0987439999999</v>
          </cell>
          <cell r="AL197">
            <v>1814.7073680000001</v>
          </cell>
          <cell r="AM197">
            <v>1546.259622</v>
          </cell>
          <cell r="AN197">
            <v>3113.7741420000002</v>
          </cell>
          <cell r="AO197">
            <v>1539.6829720000001</v>
          </cell>
          <cell r="AP197">
            <v>1160.437561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2837.4780000000001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5231</v>
          </cell>
          <cell r="BI197">
            <v>4279.0292548546358</v>
          </cell>
          <cell r="BJ197">
            <v>1.2224735304310752</v>
          </cell>
          <cell r="BK197">
            <v>1.2224735304310752</v>
          </cell>
          <cell r="BL197">
            <v>0</v>
          </cell>
        </row>
        <row r="198">
          <cell r="A198" t="str">
            <v>KAMALANGA TPS2</v>
          </cell>
          <cell r="B198" t="str">
            <v>KAMALANGA TPS</v>
          </cell>
          <cell r="C198">
            <v>350</v>
          </cell>
          <cell r="D198" t="str">
            <v>RAIL</v>
          </cell>
          <cell r="E198">
            <v>0.48273134721856048</v>
          </cell>
          <cell r="F198">
            <v>20.869700000000002</v>
          </cell>
          <cell r="G198">
            <v>85.2667</v>
          </cell>
          <cell r="H198">
            <v>0</v>
          </cell>
          <cell r="I198">
            <v>0</v>
          </cell>
          <cell r="J198">
            <v>0</v>
          </cell>
          <cell r="K198">
            <v>1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e">
            <v>#DIV/0!</v>
          </cell>
          <cell r="Q198" t="e">
            <v>#DIV/0!</v>
          </cell>
          <cell r="R198" t="e">
            <v>#DIV/0!</v>
          </cell>
          <cell r="S198">
            <v>3738.8192144385098</v>
          </cell>
          <cell r="T198" t="e">
            <v>#DIV/0!</v>
          </cell>
          <cell r="U198" t="e">
            <v>#DIV/0!</v>
          </cell>
          <cell r="V198" t="e">
            <v>#DIV/0!</v>
          </cell>
          <cell r="W198" t="e">
            <v>#DIV/0!</v>
          </cell>
          <cell r="X198"/>
          <cell r="Y198"/>
          <cell r="Z198"/>
          <cell r="AA198">
            <v>1522.2194400000001</v>
          </cell>
          <cell r="AB198"/>
          <cell r="AC198"/>
          <cell r="AD198"/>
          <cell r="AE198"/>
          <cell r="AF198">
            <v>1522.2194400000001</v>
          </cell>
          <cell r="AG198">
            <v>4.5917342400273363E-2</v>
          </cell>
          <cell r="AH198">
            <v>1692.5167868609979</v>
          </cell>
          <cell r="AI198">
            <v>446.8376758</v>
          </cell>
          <cell r="AJ198">
            <v>429.53787770000002</v>
          </cell>
          <cell r="AK198">
            <v>536.50727979999999</v>
          </cell>
          <cell r="AL198">
            <v>105.4140676</v>
          </cell>
          <cell r="AM198">
            <v>608.85315460000004</v>
          </cell>
          <cell r="AN198">
            <v>1781.1271119999999</v>
          </cell>
          <cell r="AO198">
            <v>395.31528419999995</v>
          </cell>
          <cell r="AP198">
            <v>712.5735476000001</v>
          </cell>
          <cell r="AQ198">
            <v>0</v>
          </cell>
          <cell r="AR198">
            <v>0</v>
          </cell>
          <cell r="AS198">
            <v>0</v>
          </cell>
          <cell r="AT198">
            <v>606.39599999999996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578.55190723784381</v>
          </cell>
          <cell r="BH198">
            <v>2271.0686940988417</v>
          </cell>
          <cell r="BI198">
            <v>3738.8192144385098</v>
          </cell>
          <cell r="BJ198">
            <v>0.60742939517601346</v>
          </cell>
          <cell r="BK198">
            <v>0.45268751704411508</v>
          </cell>
          <cell r="BL198">
            <v>0.15474187813189835</v>
          </cell>
        </row>
        <row r="199">
          <cell r="A199" t="str">
            <v>BINJKOTE  TPP2</v>
          </cell>
          <cell r="B199" t="str">
            <v>BINJKOTE  TPP</v>
          </cell>
          <cell r="C199">
            <v>300</v>
          </cell>
          <cell r="D199"/>
          <cell r="E199" t="str">
            <v/>
          </cell>
          <cell r="F199">
            <v>22.010421999999998</v>
          </cell>
          <cell r="G199">
            <v>83.205779000000007</v>
          </cell>
          <cell r="H199">
            <v>1.0703410134204852E-2</v>
          </cell>
          <cell r="I199">
            <v>0</v>
          </cell>
          <cell r="J199">
            <v>0</v>
          </cell>
          <cell r="K199">
            <v>0.12359974653675698</v>
          </cell>
          <cell r="L199">
            <v>0</v>
          </cell>
          <cell r="M199">
            <v>0</v>
          </cell>
          <cell r="N199">
            <v>0.86569684332903818</v>
          </cell>
          <cell r="O199">
            <v>0</v>
          </cell>
          <cell r="P199">
            <v>4889.929141818383</v>
          </cell>
          <cell r="Q199" t="e">
            <v>#DIV/0!</v>
          </cell>
          <cell r="R199" t="e">
            <v>#DIV/0!</v>
          </cell>
          <cell r="S199">
            <v>3628.0161209963553</v>
          </cell>
          <cell r="T199" t="e">
            <v>#DIV/0!</v>
          </cell>
          <cell r="U199" t="e">
            <v>#DIV/0!</v>
          </cell>
          <cell r="V199">
            <v>4118.4637083718826</v>
          </cell>
          <cell r="W199" t="e">
            <v>#DIV/0!</v>
          </cell>
          <cell r="X199">
            <v>19.675068447792111</v>
          </cell>
          <cell r="Y199"/>
          <cell r="Z199"/>
          <cell r="AA199">
            <v>177.53628797829467</v>
          </cell>
          <cell r="AB199"/>
          <cell r="AC199"/>
          <cell r="AD199">
            <v>1392.0909076293754</v>
          </cell>
          <cell r="AE199"/>
          <cell r="AF199">
            <v>1589.302264055462</v>
          </cell>
          <cell r="AG199">
            <v>0</v>
          </cell>
          <cell r="AH199">
            <v>1589.302264055462</v>
          </cell>
          <cell r="AI199">
            <v>480.9157659</v>
          </cell>
          <cell r="AJ199">
            <v>424.0728886</v>
          </cell>
          <cell r="AK199">
            <v>592.47502859999997</v>
          </cell>
          <cell r="AL199">
            <v>222.15531419999999</v>
          </cell>
          <cell r="AM199">
            <v>342.24161609999999</v>
          </cell>
          <cell r="AN199">
            <v>1810.65624</v>
          </cell>
          <cell r="AO199">
            <v>97.08654817</v>
          </cell>
          <cell r="AP199">
            <v>501.45013900000004</v>
          </cell>
          <cell r="AQ199">
            <v>15.460241072868444</v>
          </cell>
          <cell r="AR199">
            <v>0</v>
          </cell>
          <cell r="AS199">
            <v>0</v>
          </cell>
          <cell r="AT199">
            <v>119.00801595291647</v>
          </cell>
          <cell r="AU199">
            <v>0</v>
          </cell>
          <cell r="AV199">
            <v>0</v>
          </cell>
          <cell r="AW199">
            <v>335.59603828493493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470.06429531071984</v>
          </cell>
          <cell r="BH199">
            <v>2059.3665593661817</v>
          </cell>
          <cell r="BI199">
            <v>4066.1018218212434</v>
          </cell>
          <cell r="BJ199">
            <v>0.5064719600267592</v>
          </cell>
          <cell r="BK199">
            <v>0.39086632202033722</v>
          </cell>
          <cell r="BL199">
            <v>0.11560563800642204</v>
          </cell>
        </row>
        <row r="200">
          <cell r="A200" t="str">
            <v>KAMALANGA TPS1</v>
          </cell>
          <cell r="B200" t="str">
            <v>KAMALANGA TPS</v>
          </cell>
          <cell r="C200">
            <v>350</v>
          </cell>
          <cell r="D200" t="str">
            <v>RAIL</v>
          </cell>
          <cell r="E200">
            <v>0.48273134721856048</v>
          </cell>
          <cell r="F200">
            <v>20.869700000000002</v>
          </cell>
          <cell r="G200">
            <v>85.2667</v>
          </cell>
          <cell r="H200">
            <v>0</v>
          </cell>
          <cell r="I200">
            <v>0</v>
          </cell>
          <cell r="J200">
            <v>0</v>
          </cell>
          <cell r="K200">
            <v>1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e">
            <v>#DIV/0!</v>
          </cell>
          <cell r="Q200" t="e">
            <v>#DIV/0!</v>
          </cell>
          <cell r="R200" t="e">
            <v>#DIV/0!</v>
          </cell>
          <cell r="S200">
            <v>3738.8192144385098</v>
          </cell>
          <cell r="T200" t="e">
            <v>#DIV/0!</v>
          </cell>
          <cell r="U200" t="e">
            <v>#DIV/0!</v>
          </cell>
          <cell r="V200" t="e">
            <v>#DIV/0!</v>
          </cell>
          <cell r="W200" t="e">
            <v>#DIV/0!</v>
          </cell>
          <cell r="X200"/>
          <cell r="Y200"/>
          <cell r="Z200"/>
          <cell r="AA200">
            <v>1522.2194400000001</v>
          </cell>
          <cell r="AB200"/>
          <cell r="AC200"/>
          <cell r="AD200"/>
          <cell r="AE200"/>
          <cell r="AF200">
            <v>1522.2194400000001</v>
          </cell>
          <cell r="AG200">
            <v>4.5917342400273363E-2</v>
          </cell>
          <cell r="AH200">
            <v>1692.5167868609979</v>
          </cell>
          <cell r="AI200">
            <v>446.8376758</v>
          </cell>
          <cell r="AJ200">
            <v>429.53787770000002</v>
          </cell>
          <cell r="AK200">
            <v>536.50727979999999</v>
          </cell>
          <cell r="AL200">
            <v>105.4140676</v>
          </cell>
          <cell r="AM200">
            <v>608.85315460000004</v>
          </cell>
          <cell r="AN200">
            <v>1781.1271119999999</v>
          </cell>
          <cell r="AO200">
            <v>395.31528419999995</v>
          </cell>
          <cell r="AP200">
            <v>712.5735476000001</v>
          </cell>
          <cell r="AQ200">
            <v>0</v>
          </cell>
          <cell r="AR200">
            <v>0</v>
          </cell>
          <cell r="AS200">
            <v>0</v>
          </cell>
          <cell r="AT200">
            <v>606.39599999999996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578.55190723784381</v>
          </cell>
          <cell r="BH200">
            <v>2271.0686940988417</v>
          </cell>
          <cell r="BI200">
            <v>3738.8192144385098</v>
          </cell>
          <cell r="BJ200">
            <v>0.60742939517601346</v>
          </cell>
          <cell r="BK200">
            <v>0.45268751704411508</v>
          </cell>
          <cell r="BL200">
            <v>0.15474187813189835</v>
          </cell>
        </row>
        <row r="201">
          <cell r="A201" t="str">
            <v>VINDHYACHAL STPS8</v>
          </cell>
          <cell r="B201" t="str">
            <v>VINDHYACHAL STPS</v>
          </cell>
          <cell r="C201">
            <v>500</v>
          </cell>
          <cell r="D201" t="str">
            <v>PITHEAD</v>
          </cell>
          <cell r="E201">
            <v>0.40702348212396872</v>
          </cell>
          <cell r="F201">
            <v>24.100200000000001</v>
          </cell>
          <cell r="G201">
            <v>82.6721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 t="e">
            <v>#DIV/0!</v>
          </cell>
          <cell r="Q201" t="e">
            <v>#DIV/0!</v>
          </cell>
          <cell r="R201" t="e">
            <v>#DIV/0!</v>
          </cell>
          <cell r="S201" t="e">
            <v>#DIV/0!</v>
          </cell>
          <cell r="T201">
            <v>4450.5827544825906</v>
          </cell>
          <cell r="U201" t="e">
            <v>#DIV/0!</v>
          </cell>
          <cell r="V201" t="e">
            <v>#DIV/0!</v>
          </cell>
          <cell r="W201" t="e">
            <v>#DIV/0!</v>
          </cell>
          <cell r="X201"/>
          <cell r="Y201"/>
          <cell r="Z201"/>
          <cell r="AA201"/>
          <cell r="AB201">
            <v>1693.8969600000003</v>
          </cell>
          <cell r="AC201"/>
          <cell r="AD201"/>
          <cell r="AE201"/>
          <cell r="AF201">
            <v>1693.8969600000003</v>
          </cell>
          <cell r="AG201">
            <v>0</v>
          </cell>
          <cell r="AH201">
            <v>1693.8969600000003</v>
          </cell>
          <cell r="AI201">
            <v>469.52908040000005</v>
          </cell>
          <cell r="AJ201">
            <v>468.29190699999992</v>
          </cell>
          <cell r="AK201">
            <v>569.69621079999979</v>
          </cell>
          <cell r="AL201">
            <v>568.68672879999997</v>
          </cell>
          <cell r="AM201">
            <v>44.382377450000014</v>
          </cell>
          <cell r="AN201">
            <v>1675.9415349999999</v>
          </cell>
          <cell r="AO201">
            <v>356.98295969999992</v>
          </cell>
          <cell r="AP201">
            <v>660.02921019999985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113.19674655898073</v>
          </cell>
          <cell r="BD201">
            <v>0</v>
          </cell>
          <cell r="BE201">
            <v>0</v>
          </cell>
          <cell r="BF201">
            <v>0</v>
          </cell>
          <cell r="BG201">
            <v>113.19674655898073</v>
          </cell>
          <cell r="BH201">
            <v>1807.093706558981</v>
          </cell>
          <cell r="BI201">
            <v>4450.5827544825906</v>
          </cell>
          <cell r="BJ201">
            <v>0.40603530059943072</v>
          </cell>
          <cell r="BK201">
            <v>0.38060116021748414</v>
          </cell>
          <cell r="BL201">
            <v>2.5434140381946586E-2</v>
          </cell>
        </row>
        <row r="202">
          <cell r="A202" t="str">
            <v>BINJKOTE  TPP1</v>
          </cell>
          <cell r="B202" t="str">
            <v>BINJKOTE  TPP</v>
          </cell>
          <cell r="C202">
            <v>300</v>
          </cell>
          <cell r="D202"/>
          <cell r="E202" t="str">
            <v/>
          </cell>
          <cell r="F202">
            <v>22.010421999999998</v>
          </cell>
          <cell r="G202">
            <v>83.205779000000007</v>
          </cell>
          <cell r="H202">
            <v>1.0703410134204852E-2</v>
          </cell>
          <cell r="I202">
            <v>0</v>
          </cell>
          <cell r="J202">
            <v>0</v>
          </cell>
          <cell r="K202">
            <v>0.12359974653675698</v>
          </cell>
          <cell r="L202">
            <v>0</v>
          </cell>
          <cell r="M202">
            <v>0</v>
          </cell>
          <cell r="N202">
            <v>0.86569684332903818</v>
          </cell>
          <cell r="O202">
            <v>0</v>
          </cell>
          <cell r="P202">
            <v>4889.929141818383</v>
          </cell>
          <cell r="Q202" t="e">
            <v>#DIV/0!</v>
          </cell>
          <cell r="R202" t="e">
            <v>#DIV/0!</v>
          </cell>
          <cell r="S202">
            <v>3628.0161209963553</v>
          </cell>
          <cell r="T202" t="e">
            <v>#DIV/0!</v>
          </cell>
          <cell r="U202" t="e">
            <v>#DIV/0!</v>
          </cell>
          <cell r="V202">
            <v>4118.4637083718826</v>
          </cell>
          <cell r="W202" t="e">
            <v>#DIV/0!</v>
          </cell>
          <cell r="X202">
            <v>19.675068447792111</v>
          </cell>
          <cell r="Y202"/>
          <cell r="Z202"/>
          <cell r="AA202">
            <v>177.53628797829467</v>
          </cell>
          <cell r="AB202"/>
          <cell r="AC202"/>
          <cell r="AD202">
            <v>1392.0909076293754</v>
          </cell>
          <cell r="AE202"/>
          <cell r="AF202">
            <v>1589.302264055462</v>
          </cell>
          <cell r="AG202">
            <v>0</v>
          </cell>
          <cell r="AH202">
            <v>1589.302264055462</v>
          </cell>
          <cell r="AI202">
            <v>480.9157659</v>
          </cell>
          <cell r="AJ202">
            <v>424.0728886</v>
          </cell>
          <cell r="AK202">
            <v>592.47502859999997</v>
          </cell>
          <cell r="AL202">
            <v>222.15531419999999</v>
          </cell>
          <cell r="AM202">
            <v>342.24161609999999</v>
          </cell>
          <cell r="AN202">
            <v>1810.65624</v>
          </cell>
          <cell r="AO202">
            <v>97.08654817</v>
          </cell>
          <cell r="AP202">
            <v>501.45013900000004</v>
          </cell>
          <cell r="AQ202">
            <v>15.460241072868444</v>
          </cell>
          <cell r="AR202">
            <v>0</v>
          </cell>
          <cell r="AS202">
            <v>0</v>
          </cell>
          <cell r="AT202">
            <v>119.00801595291647</v>
          </cell>
          <cell r="AU202">
            <v>0</v>
          </cell>
          <cell r="AV202">
            <v>0</v>
          </cell>
          <cell r="AW202">
            <v>335.59603828493493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470.06429531071984</v>
          </cell>
          <cell r="BH202">
            <v>2059.3665593661817</v>
          </cell>
          <cell r="BI202">
            <v>4066.1018218212434</v>
          </cell>
          <cell r="BJ202">
            <v>0.5064719600267592</v>
          </cell>
          <cell r="BK202">
            <v>0.39086632202033722</v>
          </cell>
          <cell r="BL202">
            <v>0.11560563800642204</v>
          </cell>
        </row>
        <row r="203">
          <cell r="A203" t="str">
            <v>NAWAPARA TPP2</v>
          </cell>
          <cell r="B203" t="str">
            <v>NAWAPARA TPP</v>
          </cell>
          <cell r="C203">
            <v>300</v>
          </cell>
          <cell r="D203" t="str">
            <v>RAIL</v>
          </cell>
          <cell r="E203" t="str">
            <v/>
          </cell>
          <cell r="F203">
            <v>22.131035199999999</v>
          </cell>
          <cell r="G203">
            <v>83.261701500000001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1</v>
          </cell>
          <cell r="O203">
            <v>0</v>
          </cell>
          <cell r="P203" t="e">
            <v>#DIV/0!</v>
          </cell>
          <cell r="Q203" t="e">
            <v>#DIV/0!</v>
          </cell>
          <cell r="R203" t="e">
            <v>#DIV/0!</v>
          </cell>
          <cell r="S203" t="e">
            <v>#DIV/0!</v>
          </cell>
          <cell r="T203" t="e">
            <v>#DIV/0!</v>
          </cell>
          <cell r="U203" t="e">
            <v>#DIV/0!</v>
          </cell>
          <cell r="V203">
            <v>4150.0000000000009</v>
          </cell>
          <cell r="W203" t="e">
            <v>#DIV/0!</v>
          </cell>
          <cell r="X203"/>
          <cell r="Y203"/>
          <cell r="Z203"/>
          <cell r="AA203"/>
          <cell r="AB203"/>
          <cell r="AC203"/>
          <cell r="AD203">
            <v>1608.0582000000002</v>
          </cell>
          <cell r="AE203"/>
          <cell r="AF203">
            <v>1608.0582000000002</v>
          </cell>
          <cell r="AG203">
            <v>3.1688335896360502E-5</v>
          </cell>
          <cell r="AH203">
            <v>1608.1730049966916</v>
          </cell>
          <cell r="AI203">
            <v>451.33046671609998</v>
          </cell>
          <cell r="AJ203">
            <v>394.48758946309999</v>
          </cell>
          <cell r="AK203">
            <v>562.88972941809993</v>
          </cell>
          <cell r="AL203">
            <v>231.25725967140002</v>
          </cell>
          <cell r="AM203">
            <v>327.84670085279998</v>
          </cell>
          <cell r="AN203">
            <v>1781.0709408811001</v>
          </cell>
          <cell r="AO203">
            <v>140.02375331550002</v>
          </cell>
          <cell r="AP203">
            <v>556.02615982029999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681.11400000000003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681.09241663078433</v>
          </cell>
          <cell r="BH203">
            <v>2289.2654216274759</v>
          </cell>
          <cell r="BI203">
            <v>4150.0000000000009</v>
          </cell>
          <cell r="BJ203">
            <v>0.55163022207890977</v>
          </cell>
          <cell r="BK203">
            <v>0.38751156746908222</v>
          </cell>
          <cell r="BL203">
            <v>0.16411865460982752</v>
          </cell>
        </row>
        <row r="204">
          <cell r="A204" t="str">
            <v>VINDHYACHAL STPS7</v>
          </cell>
          <cell r="B204" t="str">
            <v>VINDHYACHAL STPS</v>
          </cell>
          <cell r="C204">
            <v>500</v>
          </cell>
          <cell r="D204" t="str">
            <v>PITHEAD</v>
          </cell>
          <cell r="E204">
            <v>0.40702348212396872</v>
          </cell>
          <cell r="F204">
            <v>24.100200000000001</v>
          </cell>
          <cell r="G204">
            <v>82.6721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 t="e">
            <v>#DIV/0!</v>
          </cell>
          <cell r="Q204" t="e">
            <v>#DIV/0!</v>
          </cell>
          <cell r="R204" t="e">
            <v>#DIV/0!</v>
          </cell>
          <cell r="S204" t="e">
            <v>#DIV/0!</v>
          </cell>
          <cell r="T204">
            <v>4450.5827544825906</v>
          </cell>
          <cell r="U204" t="e">
            <v>#DIV/0!</v>
          </cell>
          <cell r="V204" t="e">
            <v>#DIV/0!</v>
          </cell>
          <cell r="W204" t="e">
            <v>#DIV/0!</v>
          </cell>
          <cell r="X204"/>
          <cell r="Y204"/>
          <cell r="Z204"/>
          <cell r="AA204"/>
          <cell r="AB204">
            <v>1693.8969600000003</v>
          </cell>
          <cell r="AC204"/>
          <cell r="AD204"/>
          <cell r="AE204"/>
          <cell r="AF204">
            <v>1693.8969600000003</v>
          </cell>
          <cell r="AG204">
            <v>0</v>
          </cell>
          <cell r="AH204">
            <v>1693.8969600000003</v>
          </cell>
          <cell r="AI204">
            <v>469.52908040000005</v>
          </cell>
          <cell r="AJ204">
            <v>468.29190699999992</v>
          </cell>
          <cell r="AK204">
            <v>569.69621079999979</v>
          </cell>
          <cell r="AL204">
            <v>568.68672879999997</v>
          </cell>
          <cell r="AM204">
            <v>44.382377450000014</v>
          </cell>
          <cell r="AN204">
            <v>1675.9415349999999</v>
          </cell>
          <cell r="AO204">
            <v>356.98295969999992</v>
          </cell>
          <cell r="AP204">
            <v>660.02921019999985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113.19674655898073</v>
          </cell>
          <cell r="BD204">
            <v>0</v>
          </cell>
          <cell r="BE204">
            <v>0</v>
          </cell>
          <cell r="BF204">
            <v>0</v>
          </cell>
          <cell r="BG204">
            <v>113.19674655898073</v>
          </cell>
          <cell r="BH204">
            <v>1807.093706558981</v>
          </cell>
          <cell r="BI204">
            <v>4450.5827544825906</v>
          </cell>
          <cell r="BJ204">
            <v>0.40603530059943072</v>
          </cell>
          <cell r="BK204">
            <v>0.38060116021748414</v>
          </cell>
          <cell r="BL204">
            <v>2.5434140381946586E-2</v>
          </cell>
        </row>
        <row r="205">
          <cell r="A205" t="str">
            <v>NAWAPARA TPP1</v>
          </cell>
          <cell r="B205" t="str">
            <v>NAWAPARA TPP</v>
          </cell>
          <cell r="C205">
            <v>300</v>
          </cell>
          <cell r="D205" t="str">
            <v>RAIL</v>
          </cell>
          <cell r="E205" t="str">
            <v/>
          </cell>
          <cell r="F205">
            <v>22.131035199999999</v>
          </cell>
          <cell r="G205">
            <v>83.261701500000001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1</v>
          </cell>
          <cell r="O205">
            <v>0</v>
          </cell>
          <cell r="P205" t="e">
            <v>#DIV/0!</v>
          </cell>
          <cell r="Q205" t="e">
            <v>#DIV/0!</v>
          </cell>
          <cell r="R205" t="e">
            <v>#DIV/0!</v>
          </cell>
          <cell r="S205" t="e">
            <v>#DIV/0!</v>
          </cell>
          <cell r="T205" t="e">
            <v>#DIV/0!</v>
          </cell>
          <cell r="U205" t="e">
            <v>#DIV/0!</v>
          </cell>
          <cell r="V205">
            <v>4150.0000000000009</v>
          </cell>
          <cell r="W205" t="e">
            <v>#DIV/0!</v>
          </cell>
          <cell r="X205"/>
          <cell r="Y205"/>
          <cell r="Z205"/>
          <cell r="AA205"/>
          <cell r="AB205"/>
          <cell r="AC205"/>
          <cell r="AD205">
            <v>1608.0582000000002</v>
          </cell>
          <cell r="AE205"/>
          <cell r="AF205">
            <v>1608.0582000000002</v>
          </cell>
          <cell r="AG205">
            <v>3.1688335896360502E-5</v>
          </cell>
          <cell r="AH205">
            <v>1608.1730049966916</v>
          </cell>
          <cell r="AI205">
            <v>451.33046671609998</v>
          </cell>
          <cell r="AJ205">
            <v>394.48758946309999</v>
          </cell>
          <cell r="AK205">
            <v>562.88972941809993</v>
          </cell>
          <cell r="AL205">
            <v>231.25725967140002</v>
          </cell>
          <cell r="AM205">
            <v>327.84670085279998</v>
          </cell>
          <cell r="AN205">
            <v>1781.0709408811001</v>
          </cell>
          <cell r="AO205">
            <v>140.02375331550002</v>
          </cell>
          <cell r="AP205">
            <v>556.02615982029999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681.11400000000003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681.09241663078433</v>
          </cell>
          <cell r="BH205">
            <v>2289.2654216274759</v>
          </cell>
          <cell r="BI205">
            <v>4150.0000000000009</v>
          </cell>
          <cell r="BJ205">
            <v>0.55163022207890977</v>
          </cell>
          <cell r="BK205">
            <v>0.38751156746908222</v>
          </cell>
          <cell r="BL205">
            <v>0.16411865460982752</v>
          </cell>
        </row>
        <row r="206">
          <cell r="A206" t="str">
            <v>BANDAKHAR TPP1</v>
          </cell>
          <cell r="B206" t="str">
            <v>BANDAKHAR TPP</v>
          </cell>
          <cell r="C206">
            <v>300</v>
          </cell>
          <cell r="D206" t="str">
            <v>PITHEAD</v>
          </cell>
          <cell r="E206" t="str">
            <v/>
          </cell>
          <cell r="F206">
            <v>22.340949999999999</v>
          </cell>
          <cell r="G206">
            <v>82.430599999999998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1</v>
          </cell>
          <cell r="O206">
            <v>0</v>
          </cell>
          <cell r="P206" t="e">
            <v>#DIV/0!</v>
          </cell>
          <cell r="Q206" t="e">
            <v>#DIV/0!</v>
          </cell>
          <cell r="R206" t="e">
            <v>#DIV/0!</v>
          </cell>
          <cell r="S206" t="e">
            <v>#DIV/0!</v>
          </cell>
          <cell r="T206" t="e">
            <v>#DIV/0!</v>
          </cell>
          <cell r="U206" t="e">
            <v>#DIV/0!</v>
          </cell>
          <cell r="V206">
            <v>4177.6787465273401</v>
          </cell>
          <cell r="W206" t="e">
            <v>#DIV/0!</v>
          </cell>
          <cell r="X206"/>
          <cell r="Y206"/>
          <cell r="Z206"/>
          <cell r="AA206"/>
          <cell r="AB206"/>
          <cell r="AC206"/>
          <cell r="AD206">
            <v>1608.0582000000002</v>
          </cell>
          <cell r="AE206"/>
          <cell r="AF206">
            <v>1608.0582000000002</v>
          </cell>
          <cell r="AG206">
            <v>8.0944837960887448E-3</v>
          </cell>
          <cell r="AH206">
            <v>1637.3840436942728</v>
          </cell>
          <cell r="AI206">
            <v>549.68470090000005</v>
          </cell>
          <cell r="AJ206">
            <v>589.8428437</v>
          </cell>
          <cell r="AK206">
            <v>661.22132039999997</v>
          </cell>
          <cell r="AL206">
            <v>401.89211269999998</v>
          </cell>
          <cell r="AM206">
            <v>331.06294209999999</v>
          </cell>
          <cell r="AN206">
            <v>1817.773952</v>
          </cell>
          <cell r="AO206">
            <v>65.115056920000001</v>
          </cell>
          <cell r="AP206">
            <v>453.14969250000001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166.07520864898692</v>
          </cell>
          <cell r="BF206">
            <v>0</v>
          </cell>
          <cell r="BG206">
            <v>164.73091556364562</v>
          </cell>
          <cell r="BH206">
            <v>1802.1149592579184</v>
          </cell>
          <cell r="BI206">
            <v>4177.6787465273401</v>
          </cell>
          <cell r="BJ206">
            <v>0.43136752933813094</v>
          </cell>
          <cell r="BK206">
            <v>0.39193632230705494</v>
          </cell>
          <cell r="BL206">
            <v>3.9431207031075999E-2</v>
          </cell>
        </row>
        <row r="207">
          <cell r="A207" t="str">
            <v>CHANDRAPUR STPS7</v>
          </cell>
          <cell r="B207" t="str">
            <v>CHANDRAPUR STPS</v>
          </cell>
          <cell r="C207">
            <v>500</v>
          </cell>
          <cell r="D207" t="str">
            <v>RAIL</v>
          </cell>
          <cell r="E207">
            <v>0.69994058229352352</v>
          </cell>
          <cell r="F207">
            <v>20.0046</v>
          </cell>
          <cell r="G207">
            <v>79.2881</v>
          </cell>
          <cell r="H207">
            <v>0</v>
          </cell>
          <cell r="I207">
            <v>0</v>
          </cell>
          <cell r="J207">
            <v>0</v>
          </cell>
          <cell r="K207">
            <v>1.7806354402605864E-4</v>
          </cell>
          <cell r="L207">
            <v>0</v>
          </cell>
          <cell r="M207">
            <v>0</v>
          </cell>
          <cell r="N207">
            <v>9.875656184697339E-3</v>
          </cell>
          <cell r="O207">
            <v>0.98994628027127662</v>
          </cell>
          <cell r="P207" t="e">
            <v>#DIV/0!</v>
          </cell>
          <cell r="Q207" t="e">
            <v>#DIV/0!</v>
          </cell>
          <cell r="R207" t="e">
            <v>#DIV/0!</v>
          </cell>
          <cell r="S207">
            <v>3550</v>
          </cell>
          <cell r="T207" t="e">
            <v>#DIV/0!</v>
          </cell>
          <cell r="U207" t="e">
            <v>#DIV/0!</v>
          </cell>
          <cell r="V207">
            <v>4418.0665198501893</v>
          </cell>
          <cell r="W207">
            <v>4179.5340119096463</v>
          </cell>
          <cell r="X207"/>
          <cell r="Y207"/>
          <cell r="Z207"/>
          <cell r="AA207">
            <v>0.25576703445136006</v>
          </cell>
          <cell r="AB207"/>
          <cell r="AC207"/>
          <cell r="AD207">
            <v>16.728343989264022</v>
          </cell>
          <cell r="AE207">
            <v>1591.8912335497248</v>
          </cell>
          <cell r="AF207">
            <v>1608.8753445734401</v>
          </cell>
          <cell r="AG207">
            <v>3.3278847509413102E-2</v>
          </cell>
          <cell r="AH207">
            <v>1729.4154786414658</v>
          </cell>
          <cell r="AI207">
            <v>993.51831249999998</v>
          </cell>
          <cell r="AJ207">
            <v>936.67543520000004</v>
          </cell>
          <cell r="AK207">
            <v>1105.077575</v>
          </cell>
          <cell r="AL207">
            <v>697.13640820000012</v>
          </cell>
          <cell r="AM207">
            <v>787.70863150000002</v>
          </cell>
          <cell r="AN207">
            <v>2291.8531690000004</v>
          </cell>
          <cell r="AO207">
            <v>514.90143520000004</v>
          </cell>
          <cell r="AP207">
            <v>152.50439810000003</v>
          </cell>
          <cell r="AQ207">
            <v>0</v>
          </cell>
          <cell r="AR207">
            <v>0</v>
          </cell>
          <cell r="AS207">
            <v>0</v>
          </cell>
          <cell r="AT207">
            <v>0.33437876291186253</v>
          </cell>
          <cell r="AU207">
            <v>0</v>
          </cell>
          <cell r="AV207">
            <v>0</v>
          </cell>
          <cell r="AW207">
            <v>16.42104359079104</v>
          </cell>
          <cell r="AX207">
            <v>723.91009680373418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716.01702428991644</v>
          </cell>
          <cell r="BH207">
            <v>2445.4325029313823</v>
          </cell>
          <cell r="BI207">
            <v>4181.7775798896982</v>
          </cell>
          <cell r="BJ207">
            <v>0.58478301540750166</v>
          </cell>
          <cell r="BK207">
            <v>0.41355989064513615</v>
          </cell>
          <cell r="BL207">
            <v>0.17122312476236545</v>
          </cell>
        </row>
        <row r="208">
          <cell r="A208" t="str">
            <v>HALDIA TPP2</v>
          </cell>
          <cell r="B208" t="str">
            <v>HALDIA TPP</v>
          </cell>
          <cell r="C208">
            <v>300</v>
          </cell>
          <cell r="D208" t="str">
            <v>RAIL</v>
          </cell>
          <cell r="E208">
            <v>1.0511182108626198</v>
          </cell>
          <cell r="F208">
            <v>22.060459000000002</v>
          </cell>
          <cell r="G208">
            <v>88.109747999999996</v>
          </cell>
          <cell r="H208">
            <v>9.0162095334425124E-2</v>
          </cell>
          <cell r="I208">
            <v>8.0798397174577499E-2</v>
          </cell>
          <cell r="J208">
            <v>2.7842685631522788E-2</v>
          </cell>
          <cell r="K208">
            <v>0.8011968218594745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4277.9363378266216</v>
          </cell>
          <cell r="Q208">
            <v>4329.7521580481825</v>
          </cell>
          <cell r="R208">
            <v>6250.0000000000009</v>
          </cell>
          <cell r="S208">
            <v>3672.2560816985988</v>
          </cell>
          <cell r="T208" t="e">
            <v>#DIV/0!</v>
          </cell>
          <cell r="U208" t="e">
            <v>#DIV/0!</v>
          </cell>
          <cell r="V208" t="e">
            <v>#DIV/0!</v>
          </cell>
          <cell r="W208" t="e">
            <v>#DIV/0!</v>
          </cell>
          <cell r="X208">
            <v>144.98589673170409</v>
          </cell>
          <cell r="Y208">
            <v>136.86415934688944</v>
          </cell>
          <cell r="Z208">
            <v>115.6061718643584</v>
          </cell>
          <cell r="AA208">
            <v>1150.823635796351</v>
          </cell>
          <cell r="AB208"/>
          <cell r="AC208"/>
          <cell r="AD208"/>
          <cell r="AE208"/>
          <cell r="AF208">
            <v>1548.279863739303</v>
          </cell>
          <cell r="AG208">
            <v>2.2833310809997152E-2</v>
          </cell>
          <cell r="AH208">
            <v>1632.3685572367785</v>
          </cell>
          <cell r="AI208">
            <v>304.82423030000001</v>
          </cell>
          <cell r="AJ208">
            <v>379.00091749999996</v>
          </cell>
          <cell r="AK208">
            <v>318.14900780000005</v>
          </cell>
          <cell r="AL208">
            <v>448.60453230000002</v>
          </cell>
          <cell r="AM208">
            <v>690.01280250000002</v>
          </cell>
          <cell r="AN208">
            <v>1497.6518160000001</v>
          </cell>
          <cell r="AO208">
            <v>687.00572679999993</v>
          </cell>
          <cell r="AP208">
            <v>1042.261986</v>
          </cell>
          <cell r="AQ208">
            <v>100.97902223588677</v>
          </cell>
          <cell r="AR208">
            <v>103.60455276107375</v>
          </cell>
          <cell r="AS208">
            <v>31.18302831210784</v>
          </cell>
          <cell r="AT208">
            <v>1157.2663158239061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1361.2253655218535</v>
          </cell>
          <cell r="BH208">
            <v>2993.5939227586323</v>
          </cell>
          <cell r="BI208">
            <v>3851.7614253672486</v>
          </cell>
          <cell r="BJ208">
            <v>0.77720128329942095</v>
          </cell>
          <cell r="BK208">
            <v>0.42379793994669318</v>
          </cell>
          <cell r="BL208">
            <v>0.35340334335272766</v>
          </cell>
        </row>
        <row r="209">
          <cell r="A209" t="str">
            <v>HALDIA TPP1</v>
          </cell>
          <cell r="B209" t="str">
            <v>HALDIA TPP</v>
          </cell>
          <cell r="C209">
            <v>300</v>
          </cell>
          <cell r="D209" t="str">
            <v>RAIL</v>
          </cell>
          <cell r="E209">
            <v>1.0511182108626198</v>
          </cell>
          <cell r="F209">
            <v>22.060459000000002</v>
          </cell>
          <cell r="G209">
            <v>88.109747999999996</v>
          </cell>
          <cell r="H209">
            <v>9.0162095334425124E-2</v>
          </cell>
          <cell r="I209">
            <v>8.0798397174577499E-2</v>
          </cell>
          <cell r="J209">
            <v>2.7842685631522788E-2</v>
          </cell>
          <cell r="K209">
            <v>0.8011968218594745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4277.9363378266216</v>
          </cell>
          <cell r="Q209">
            <v>4329.7521580481825</v>
          </cell>
          <cell r="R209">
            <v>6250.0000000000009</v>
          </cell>
          <cell r="S209">
            <v>3672.2560816985988</v>
          </cell>
          <cell r="T209" t="e">
            <v>#DIV/0!</v>
          </cell>
          <cell r="U209" t="e">
            <v>#DIV/0!</v>
          </cell>
          <cell r="V209" t="e">
            <v>#DIV/0!</v>
          </cell>
          <cell r="W209" t="e">
            <v>#DIV/0!</v>
          </cell>
          <cell r="X209">
            <v>144.98589673170409</v>
          </cell>
          <cell r="Y209">
            <v>136.86415934688944</v>
          </cell>
          <cell r="Z209">
            <v>115.6061718643584</v>
          </cell>
          <cell r="AA209">
            <v>1150.823635796351</v>
          </cell>
          <cell r="AB209"/>
          <cell r="AC209"/>
          <cell r="AD209"/>
          <cell r="AE209"/>
          <cell r="AF209">
            <v>1548.279863739303</v>
          </cell>
          <cell r="AG209">
            <v>2.2833310809997152E-2</v>
          </cell>
          <cell r="AH209">
            <v>1632.3685572367785</v>
          </cell>
          <cell r="AI209">
            <v>304.82423030000001</v>
          </cell>
          <cell r="AJ209">
            <v>379.00091749999996</v>
          </cell>
          <cell r="AK209">
            <v>318.14900780000005</v>
          </cell>
          <cell r="AL209">
            <v>448.60453230000002</v>
          </cell>
          <cell r="AM209">
            <v>690.01280250000002</v>
          </cell>
          <cell r="AN209">
            <v>1497.6518160000001</v>
          </cell>
          <cell r="AO209">
            <v>687.00572679999993</v>
          </cell>
          <cell r="AP209">
            <v>1042.261986</v>
          </cell>
          <cell r="AQ209">
            <v>100.97902223588677</v>
          </cell>
          <cell r="AR209">
            <v>103.60455276107375</v>
          </cell>
          <cell r="AS209">
            <v>31.18302831210784</v>
          </cell>
          <cell r="AT209">
            <v>1157.2663158239061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1361.2253655218535</v>
          </cell>
          <cell r="BH209">
            <v>2993.5939227586323</v>
          </cell>
          <cell r="BI209">
            <v>3851.7614253672486</v>
          </cell>
          <cell r="BJ209">
            <v>0.77720128329942095</v>
          </cell>
          <cell r="BK209">
            <v>0.42379793994669318</v>
          </cell>
          <cell r="BL209">
            <v>0.35340334335272766</v>
          </cell>
        </row>
        <row r="210">
          <cell r="A210" t="str">
            <v>DHARIWAL TPS2</v>
          </cell>
          <cell r="B210" t="str">
            <v>DHARIWAL TPS</v>
          </cell>
          <cell r="C210">
            <v>300</v>
          </cell>
          <cell r="D210" t="str">
            <v>RAIL</v>
          </cell>
          <cell r="E210" t="str">
            <v/>
          </cell>
          <cell r="F210">
            <v>20.0105878</v>
          </cell>
          <cell r="G210">
            <v>79.203432800000002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0.8016651157960395</v>
          </cell>
          <cell r="O210">
            <v>0.19833488420396048</v>
          </cell>
          <cell r="P210" t="e">
            <v>#DIV/0!</v>
          </cell>
          <cell r="Q210" t="e">
            <v>#DIV/0!</v>
          </cell>
          <cell r="R210" t="e">
            <v>#DIV/0!</v>
          </cell>
          <cell r="S210" t="e">
            <v>#DIV/0!</v>
          </cell>
          <cell r="T210" t="e">
            <v>#DIV/0!</v>
          </cell>
          <cell r="U210" t="e">
            <v>#DIV/0!</v>
          </cell>
          <cell r="V210">
            <v>4173.9584010987519</v>
          </cell>
          <cell r="W210">
            <v>4390.5978573339708</v>
          </cell>
          <cell r="X210"/>
          <cell r="Y210"/>
          <cell r="Z210"/>
          <cell r="AA210"/>
          <cell r="AB210"/>
          <cell r="AC210"/>
          <cell r="AD210">
            <v>1289.124163109771</v>
          </cell>
          <cell r="AE210">
            <v>335.95885741504071</v>
          </cell>
          <cell r="AF210">
            <v>1625.0830205248117</v>
          </cell>
          <cell r="AG210">
            <v>2.9673684724732544E-2</v>
          </cell>
          <cell r="AH210">
            <v>1732.0838641173184</v>
          </cell>
          <cell r="AI210">
            <v>1001.9921450000001</v>
          </cell>
          <cell r="AJ210">
            <v>945.14926739999999</v>
          </cell>
          <cell r="AK210">
            <v>1113.5514069999999</v>
          </cell>
          <cell r="AL210">
            <v>705.61024029999999</v>
          </cell>
          <cell r="AM210">
            <v>779.7023408</v>
          </cell>
          <cell r="AN210">
            <v>2300.3270010000001</v>
          </cell>
          <cell r="AO210">
            <v>523.37526730000002</v>
          </cell>
          <cell r="AP210">
            <v>144.4981075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1332.9927212433386</v>
          </cell>
          <cell r="AX210">
            <v>135.08866631969633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1424.5180033182417</v>
          </cell>
          <cell r="BH210">
            <v>3156.6018674355601</v>
          </cell>
          <cell r="BI210">
            <v>4216.925562565174</v>
          </cell>
          <cell r="BJ210">
            <v>0.74855527340999251</v>
          </cell>
          <cell r="BK210">
            <v>0.41074565780660455</v>
          </cell>
          <cell r="BL210">
            <v>0.3378096156033879</v>
          </cell>
        </row>
        <row r="211">
          <cell r="A211" t="str">
            <v>GMR WARORA TPS2</v>
          </cell>
          <cell r="B211" t="str">
            <v>GMR WARORA TPS</v>
          </cell>
          <cell r="C211">
            <v>300</v>
          </cell>
          <cell r="D211" t="str">
            <v>RAIL</v>
          </cell>
          <cell r="E211" t="str">
            <v/>
          </cell>
          <cell r="F211">
            <v>20.279655999999999</v>
          </cell>
          <cell r="G211">
            <v>78.975351200000006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0.97251335757252921</v>
          </cell>
          <cell r="O211">
            <v>2.748664242747078E-2</v>
          </cell>
          <cell r="P211" t="e">
            <v>#DIV/0!</v>
          </cell>
          <cell r="Q211" t="e">
            <v>#DIV/0!</v>
          </cell>
          <cell r="R211" t="e">
            <v>#DIV/0!</v>
          </cell>
          <cell r="S211" t="e">
            <v>#DIV/0!</v>
          </cell>
          <cell r="T211" t="e">
            <v>#DIV/0!</v>
          </cell>
          <cell r="U211" t="e">
            <v>#DIV/0!</v>
          </cell>
          <cell r="V211">
            <v>4145.3205221035869</v>
          </cell>
          <cell r="W211">
            <v>3917.2358501588697</v>
          </cell>
          <cell r="X211"/>
          <cell r="Y211"/>
          <cell r="Z211"/>
          <cell r="AA211"/>
          <cell r="AB211"/>
          <cell r="AC211"/>
          <cell r="AD211">
            <v>1563.8580792540379</v>
          </cell>
          <cell r="AE211">
            <v>41.840701443424813</v>
          </cell>
          <cell r="AF211">
            <v>1605.6987806974628</v>
          </cell>
          <cell r="AG211">
            <v>8.6047411424651186E-3</v>
          </cell>
          <cell r="AH211">
            <v>1636.8935592530243</v>
          </cell>
          <cell r="AI211">
            <v>1010.096781</v>
          </cell>
          <cell r="AJ211">
            <v>953.25390379999999</v>
          </cell>
          <cell r="AK211">
            <v>1121.6560440000001</v>
          </cell>
          <cell r="AL211">
            <v>716.42845269999998</v>
          </cell>
          <cell r="AM211">
            <v>748.21903370000007</v>
          </cell>
          <cell r="AN211">
            <v>2308.4316370000001</v>
          </cell>
          <cell r="AO211">
            <v>531.47990379999999</v>
          </cell>
          <cell r="AP211">
            <v>113.0148004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1617.0757607044502</v>
          </cell>
          <cell r="AX211">
            <v>16.667790021448571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1619.6856103787306</v>
          </cell>
          <cell r="BH211">
            <v>3256.5791696317547</v>
          </cell>
          <cell r="BI211">
            <v>4139.0512402826553</v>
          </cell>
          <cell r="BJ211">
            <v>0.78679363471938157</v>
          </cell>
          <cell r="BK211">
            <v>0.3954755484354045</v>
          </cell>
          <cell r="BL211">
            <v>0.39131808628397713</v>
          </cell>
        </row>
        <row r="212">
          <cell r="A212" t="str">
            <v>TALCHER STPS2</v>
          </cell>
          <cell r="B212" t="str">
            <v>TALCHER STPS</v>
          </cell>
          <cell r="C212">
            <v>500</v>
          </cell>
          <cell r="D212" t="str">
            <v>PITHEAD</v>
          </cell>
          <cell r="E212">
            <v>0.48614547253834733</v>
          </cell>
          <cell r="F212">
            <v>21.096599999999999</v>
          </cell>
          <cell r="G212">
            <v>85.074399999999997</v>
          </cell>
          <cell r="H212">
            <v>0</v>
          </cell>
          <cell r="I212">
            <v>0</v>
          </cell>
          <cell r="J212">
            <v>5.8709501066223505E-3</v>
          </cell>
          <cell r="K212">
            <v>0.99412904989337758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e">
            <v>#DIV/0!</v>
          </cell>
          <cell r="Q212" t="e">
            <v>#DIV/0!</v>
          </cell>
          <cell r="R212">
            <v>6116.1218491417603</v>
          </cell>
          <cell r="S212">
            <v>3438.9539419022826</v>
          </cell>
          <cell r="T212" t="e">
            <v>#DIV/0!</v>
          </cell>
          <cell r="U212" t="e">
            <v>#DIV/0!</v>
          </cell>
          <cell r="V212" t="e">
            <v>#DIV/0!</v>
          </cell>
          <cell r="W212" t="e">
            <v>#DIV/0!</v>
          </cell>
          <cell r="X212"/>
          <cell r="Y212"/>
          <cell r="Z212">
            <v>24.376889356708794</v>
          </cell>
          <cell r="AA212">
            <v>1427.9477606936039</v>
          </cell>
          <cell r="AB212"/>
          <cell r="AC212"/>
          <cell r="AD212"/>
          <cell r="AE212"/>
          <cell r="AF212">
            <v>1452.3246500503126</v>
          </cell>
          <cell r="AG212">
            <v>2.3401661620630933E-2</v>
          </cell>
          <cell r="AH212">
            <v>1540.7519319640544</v>
          </cell>
          <cell r="AI212">
            <v>432.46409940000001</v>
          </cell>
          <cell r="AJ212">
            <v>518.8651079</v>
          </cell>
          <cell r="AK212">
            <v>528.43011869999998</v>
          </cell>
          <cell r="AL212">
            <v>67.161145980000015</v>
          </cell>
          <cell r="AM212">
            <v>585.01951589999999</v>
          </cell>
          <cell r="AN212">
            <v>1762.7359719999999</v>
          </cell>
          <cell r="AO212">
            <v>394.52868670000004</v>
          </cell>
          <cell r="AP212">
            <v>705.51243379999983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7.9126022419627891</v>
          </cell>
          <cell r="BB212">
            <v>170.28807844303708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174.0304886550434</v>
          </cell>
          <cell r="BH212">
            <v>1714.7824206190978</v>
          </cell>
          <cell r="BI212">
            <v>3454.6714611127372</v>
          </cell>
          <cell r="BJ212">
            <v>0.49636627966549751</v>
          </cell>
          <cell r="BK212">
            <v>0.44599087042209906</v>
          </cell>
          <cell r="BL212">
            <v>5.0375409243398443E-2</v>
          </cell>
        </row>
        <row r="213">
          <cell r="A213" t="str">
            <v>NABI NAGAR TPP3</v>
          </cell>
          <cell r="B213" t="str">
            <v>NABI NAGAR TPP</v>
          </cell>
          <cell r="C213">
            <v>250</v>
          </cell>
          <cell r="D213" t="str">
            <v>RAIL</v>
          </cell>
          <cell r="E213" t="str">
            <v/>
          </cell>
          <cell r="F213">
            <v>24.705079999999999</v>
          </cell>
          <cell r="G213">
            <v>84.088738000000006</v>
          </cell>
          <cell r="H213">
            <v>0</v>
          </cell>
          <cell r="I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e">
            <v>#DIV/0!</v>
          </cell>
          <cell r="Q213">
            <v>4277.0682910128971</v>
          </cell>
          <cell r="R213" t="e">
            <v>#DIV/0!</v>
          </cell>
          <cell r="S213" t="e">
            <v>#DIV/0!</v>
          </cell>
          <cell r="T213" t="e">
            <v>#DIV/0!</v>
          </cell>
          <cell r="U213" t="e">
            <v>#DIV/0!</v>
          </cell>
          <cell r="V213" t="e">
            <v>#DIV/0!</v>
          </cell>
          <cell r="W213" t="e">
            <v>#DIV/0!</v>
          </cell>
          <cell r="X213"/>
          <cell r="Y213">
            <v>1608.0582000000002</v>
          </cell>
          <cell r="Z213"/>
          <cell r="AA213"/>
          <cell r="AB213"/>
          <cell r="AC213"/>
          <cell r="AD213"/>
          <cell r="AE213"/>
          <cell r="AF213">
            <v>1608.0582000000002</v>
          </cell>
          <cell r="AG213">
            <v>0</v>
          </cell>
          <cell r="AH213">
            <v>1608.0582000000002</v>
          </cell>
          <cell r="AI213">
            <v>287.16155579999997</v>
          </cell>
          <cell r="AJ213">
            <v>283.74887689999997</v>
          </cell>
          <cell r="AK213">
            <v>382.34417690000004</v>
          </cell>
          <cell r="AL213">
            <v>514.76279810000005</v>
          </cell>
          <cell r="AM213">
            <v>191.21850889999999</v>
          </cell>
          <cell r="AN213">
            <v>1470.5819280000001</v>
          </cell>
          <cell r="AO213">
            <v>368.4087055</v>
          </cell>
          <cell r="AP213">
            <v>801.00344810000001</v>
          </cell>
          <cell r="AQ213">
            <v>0</v>
          </cell>
          <cell r="AR213">
            <v>1119.972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1119.972</v>
          </cell>
          <cell r="BH213">
            <v>2728.0302000000001</v>
          </cell>
          <cell r="BI213">
            <v>4277.0682910128971</v>
          </cell>
          <cell r="BJ213">
            <v>0.6378271316668519</v>
          </cell>
          <cell r="BK213">
            <v>0.37597206558027135</v>
          </cell>
          <cell r="BL213">
            <v>0.26185506608658049</v>
          </cell>
        </row>
        <row r="214">
          <cell r="A214" t="str">
            <v>ANPARA TPS5</v>
          </cell>
          <cell r="B214" t="str">
            <v>ANPARA TPS</v>
          </cell>
          <cell r="C214">
            <v>500</v>
          </cell>
          <cell r="D214" t="str">
            <v>PITHEAD</v>
          </cell>
          <cell r="E214">
            <v>0.66170886075949364</v>
          </cell>
          <cell r="F214">
            <v>24.203099999999999</v>
          </cell>
          <cell r="G214">
            <v>82.788300000000007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 t="e">
            <v>#DIV/0!</v>
          </cell>
          <cell r="Q214" t="e">
            <v>#DIV/0!</v>
          </cell>
          <cell r="R214" t="e">
            <v>#DIV/0!</v>
          </cell>
          <cell r="S214" t="e">
            <v>#DIV/0!</v>
          </cell>
          <cell r="T214">
            <v>4489.130228333277</v>
          </cell>
          <cell r="U214" t="e">
            <v>#DIV/0!</v>
          </cell>
          <cell r="V214" t="e">
            <v>#DIV/0!</v>
          </cell>
          <cell r="W214" t="e">
            <v>#DIV/0!</v>
          </cell>
          <cell r="X214"/>
          <cell r="Y214"/>
          <cell r="Z214"/>
          <cell r="AA214"/>
          <cell r="AB214">
            <v>1693.8969600000003</v>
          </cell>
          <cell r="AC214"/>
          <cell r="AD214"/>
          <cell r="AE214"/>
          <cell r="AF214">
            <v>1693.8969600000003</v>
          </cell>
          <cell r="AG214">
            <v>0</v>
          </cell>
          <cell r="AH214">
            <v>1693.8969600000003</v>
          </cell>
          <cell r="AI214">
            <v>429.35465909999994</v>
          </cell>
          <cell r="AJ214">
            <v>428.11748570000003</v>
          </cell>
          <cell r="AK214">
            <v>529.52178949999995</v>
          </cell>
          <cell r="AL214">
            <v>528.51230740000017</v>
          </cell>
          <cell r="AM214">
            <v>7.4753393740000007</v>
          </cell>
          <cell r="AN214">
            <v>1635.767114</v>
          </cell>
          <cell r="AO214">
            <v>320.62651040000003</v>
          </cell>
          <cell r="AP214">
            <v>680.47493570000017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19.065767657767676</v>
          </cell>
          <cell r="BD214">
            <v>0</v>
          </cell>
          <cell r="BE214">
            <v>0</v>
          </cell>
          <cell r="BF214">
            <v>0</v>
          </cell>
          <cell r="BG214">
            <v>19.065767657767676</v>
          </cell>
          <cell r="BH214">
            <v>1712.962727657768</v>
          </cell>
          <cell r="BI214">
            <v>4489.130228333277</v>
          </cell>
          <cell r="BJ214">
            <v>0.38158009247456304</v>
          </cell>
          <cell r="BK214">
            <v>0.37733299633610984</v>
          </cell>
          <cell r="BL214">
            <v>4.247096138453174E-3</v>
          </cell>
        </row>
        <row r="215">
          <cell r="A215" t="str">
            <v>TALCHER STPS1</v>
          </cell>
          <cell r="B215" t="str">
            <v>TALCHER STPS</v>
          </cell>
          <cell r="C215">
            <v>500</v>
          </cell>
          <cell r="D215" t="str">
            <v>PITHEAD</v>
          </cell>
          <cell r="E215">
            <v>0.48614547253834733</v>
          </cell>
          <cell r="F215">
            <v>21.096599999999999</v>
          </cell>
          <cell r="G215">
            <v>85.074399999999997</v>
          </cell>
          <cell r="H215">
            <v>0</v>
          </cell>
          <cell r="I215">
            <v>0</v>
          </cell>
          <cell r="J215">
            <v>5.8709501066223505E-3</v>
          </cell>
          <cell r="K215">
            <v>0.99412904989337758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e">
            <v>#DIV/0!</v>
          </cell>
          <cell r="Q215" t="e">
            <v>#DIV/0!</v>
          </cell>
          <cell r="R215">
            <v>6116.1218491417603</v>
          </cell>
          <cell r="S215">
            <v>3438.9539419022826</v>
          </cell>
          <cell r="T215" t="e">
            <v>#DIV/0!</v>
          </cell>
          <cell r="U215" t="e">
            <v>#DIV/0!</v>
          </cell>
          <cell r="V215" t="e">
            <v>#DIV/0!</v>
          </cell>
          <cell r="W215" t="e">
            <v>#DIV/0!</v>
          </cell>
          <cell r="X215"/>
          <cell r="Y215"/>
          <cell r="Z215">
            <v>24.376889356708794</v>
          </cell>
          <cell r="AA215">
            <v>1427.9477606936039</v>
          </cell>
          <cell r="AB215"/>
          <cell r="AC215"/>
          <cell r="AD215"/>
          <cell r="AE215"/>
          <cell r="AF215">
            <v>1452.3246500503126</v>
          </cell>
          <cell r="AG215">
            <v>2.3401661620630933E-2</v>
          </cell>
          <cell r="AH215">
            <v>1540.7519319640544</v>
          </cell>
          <cell r="AI215">
            <v>432.46409940000001</v>
          </cell>
          <cell r="AJ215">
            <v>518.8651079</v>
          </cell>
          <cell r="AK215">
            <v>528.43011869999998</v>
          </cell>
          <cell r="AL215">
            <v>67.161145980000015</v>
          </cell>
          <cell r="AM215">
            <v>585.01951589999999</v>
          </cell>
          <cell r="AN215">
            <v>1762.7359719999999</v>
          </cell>
          <cell r="AO215">
            <v>394.52868670000004</v>
          </cell>
          <cell r="AP215">
            <v>705.51243379999983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7.9126022419627891</v>
          </cell>
          <cell r="BB215">
            <v>170.28807844303708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174.0304886550434</v>
          </cell>
          <cell r="BH215">
            <v>1714.7824206190978</v>
          </cell>
          <cell r="BI215">
            <v>3454.6714611127372</v>
          </cell>
          <cell r="BJ215">
            <v>0.49636627966549751</v>
          </cell>
          <cell r="BK215">
            <v>0.44599087042209906</v>
          </cell>
          <cell r="BL215">
            <v>5.0375409243398443E-2</v>
          </cell>
        </row>
        <row r="216">
          <cell r="A216" t="str">
            <v>FARAKKA STPS5</v>
          </cell>
          <cell r="B216" t="str">
            <v>FARAKKA STPS</v>
          </cell>
          <cell r="C216">
            <v>500</v>
          </cell>
          <cell r="D216" t="str">
            <v>PITHEAD</v>
          </cell>
          <cell r="E216">
            <v>0.77032640949554898</v>
          </cell>
          <cell r="F216">
            <v>24.773099999999999</v>
          </cell>
          <cell r="G216">
            <v>87.895300000000006</v>
          </cell>
          <cell r="H216">
            <v>3.8074300007135228E-2</v>
          </cell>
          <cell r="I216">
            <v>0</v>
          </cell>
          <cell r="J216">
            <v>0.94316221348512674</v>
          </cell>
          <cell r="K216">
            <v>4.4978003528069849E-4</v>
          </cell>
          <cell r="L216">
            <v>0</v>
          </cell>
          <cell r="M216">
            <v>1.8313706472457301E-2</v>
          </cell>
          <cell r="N216">
            <v>0</v>
          </cell>
          <cell r="O216">
            <v>0</v>
          </cell>
          <cell r="P216">
            <v>4492.0920629703523</v>
          </cell>
          <cell r="Q216" t="e">
            <v>#DIV/0!</v>
          </cell>
          <cell r="R216">
            <v>4832.9606505856791</v>
          </cell>
          <cell r="S216">
            <v>3457.925275020124</v>
          </cell>
          <cell r="T216" t="e">
            <v>#DIV/0!</v>
          </cell>
          <cell r="U216">
            <v>6564.0313499722834</v>
          </cell>
          <cell r="V216" t="e">
            <v>#DIV/0!</v>
          </cell>
          <cell r="W216" t="e">
            <v>#DIV/0!</v>
          </cell>
          <cell r="X216">
            <v>64.493941036214352</v>
          </cell>
          <cell r="Y216"/>
          <cell r="Z216">
            <v>1733.7260625367555</v>
          </cell>
          <cell r="AA216">
            <v>0.64605535292691374</v>
          </cell>
          <cell r="AB216"/>
          <cell r="AC216">
            <v>79.321456528018828</v>
          </cell>
          <cell r="AD216"/>
          <cell r="AE216"/>
          <cell r="AF216">
            <v>1878.1875154539157</v>
          </cell>
          <cell r="AG216">
            <v>1.1012599888399872E-2</v>
          </cell>
          <cell r="AH216">
            <v>1915.1106978470536</v>
          </cell>
          <cell r="AI216">
            <v>247.97580960000002</v>
          </cell>
          <cell r="AJ216">
            <v>342.6369057</v>
          </cell>
          <cell r="AK216">
            <v>142.25691620000001</v>
          </cell>
          <cell r="AL216">
            <v>648.38083930000005</v>
          </cell>
          <cell r="AM216">
            <v>665.23966989999997</v>
          </cell>
          <cell r="AN216">
            <v>1152.9455590000002</v>
          </cell>
          <cell r="AO216">
            <v>733.39471700000001</v>
          </cell>
          <cell r="AP216">
            <v>1207.4909539999999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13.312522570603928</v>
          </cell>
          <cell r="AZ216">
            <v>0</v>
          </cell>
          <cell r="BA216">
            <v>342.20248990447368</v>
          </cell>
          <cell r="BB216">
            <v>0.74379581191290167</v>
          </cell>
          <cell r="BC216">
            <v>0</v>
          </cell>
          <cell r="BD216">
            <v>53.852817782816224</v>
          </cell>
          <cell r="BE216">
            <v>0</v>
          </cell>
          <cell r="BF216">
            <v>0</v>
          </cell>
          <cell r="BG216">
            <v>405.59523082231885</v>
          </cell>
          <cell r="BH216">
            <v>2320.7059286693725</v>
          </cell>
          <cell r="BI216">
            <v>4851.0661749297096</v>
          </cell>
          <cell r="BJ216">
            <v>0.47839090315089317</v>
          </cell>
          <cell r="BK216">
            <v>0.39478140037428017</v>
          </cell>
          <cell r="BL216">
            <v>8.3609502776612984E-2</v>
          </cell>
        </row>
        <row r="217">
          <cell r="A217" t="str">
            <v>ANPARA TPS4</v>
          </cell>
          <cell r="B217" t="str">
            <v>ANPARA TPS</v>
          </cell>
          <cell r="C217">
            <v>500</v>
          </cell>
          <cell r="D217" t="str">
            <v>PITHEAD</v>
          </cell>
          <cell r="E217">
            <v>0.66170886075949364</v>
          </cell>
          <cell r="F217">
            <v>24.203099999999999</v>
          </cell>
          <cell r="G217">
            <v>82.788300000000007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 t="e">
            <v>#DIV/0!</v>
          </cell>
          <cell r="Q217" t="e">
            <v>#DIV/0!</v>
          </cell>
          <cell r="R217" t="e">
            <v>#DIV/0!</v>
          </cell>
          <cell r="S217" t="e">
            <v>#DIV/0!</v>
          </cell>
          <cell r="T217">
            <v>4489.130228333277</v>
          </cell>
          <cell r="U217" t="e">
            <v>#DIV/0!</v>
          </cell>
          <cell r="V217" t="e">
            <v>#DIV/0!</v>
          </cell>
          <cell r="W217" t="e">
            <v>#DIV/0!</v>
          </cell>
          <cell r="X217"/>
          <cell r="Y217"/>
          <cell r="Z217"/>
          <cell r="AA217"/>
          <cell r="AB217">
            <v>1693.8969600000003</v>
          </cell>
          <cell r="AC217"/>
          <cell r="AD217"/>
          <cell r="AE217"/>
          <cell r="AF217">
            <v>1693.8969600000003</v>
          </cell>
          <cell r="AG217">
            <v>0</v>
          </cell>
          <cell r="AH217">
            <v>1693.8969600000003</v>
          </cell>
          <cell r="AI217">
            <v>429.35465909999994</v>
          </cell>
          <cell r="AJ217">
            <v>428.11748570000003</v>
          </cell>
          <cell r="AK217">
            <v>529.52178949999995</v>
          </cell>
          <cell r="AL217">
            <v>528.51230740000017</v>
          </cell>
          <cell r="AM217">
            <v>7.4753393740000007</v>
          </cell>
          <cell r="AN217">
            <v>1635.767114</v>
          </cell>
          <cell r="AO217">
            <v>320.62651040000003</v>
          </cell>
          <cell r="AP217">
            <v>680.47493570000017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19.065767657767676</v>
          </cell>
          <cell r="BD217">
            <v>0</v>
          </cell>
          <cell r="BE217">
            <v>0</v>
          </cell>
          <cell r="BF217">
            <v>0</v>
          </cell>
          <cell r="BG217">
            <v>19.065767657767676</v>
          </cell>
          <cell r="BH217">
            <v>1712.962727657768</v>
          </cell>
          <cell r="BI217">
            <v>4489.130228333277</v>
          </cell>
          <cell r="BJ217">
            <v>0.38158009247456304</v>
          </cell>
          <cell r="BK217">
            <v>0.37733299633610984</v>
          </cell>
          <cell r="BL217">
            <v>4.247096138453174E-3</v>
          </cell>
        </row>
        <row r="218">
          <cell r="A218" t="str">
            <v>FARAKKA STPS4</v>
          </cell>
          <cell r="B218" t="str">
            <v>FARAKKA STPS</v>
          </cell>
          <cell r="C218">
            <v>500</v>
          </cell>
          <cell r="D218" t="str">
            <v>PITHEAD</v>
          </cell>
          <cell r="E218">
            <v>0.77032640949554898</v>
          </cell>
          <cell r="F218">
            <v>24.773099999999999</v>
          </cell>
          <cell r="G218">
            <v>87.895300000000006</v>
          </cell>
          <cell r="H218">
            <v>3.8074300007135228E-2</v>
          </cell>
          <cell r="I218">
            <v>0</v>
          </cell>
          <cell r="J218">
            <v>0.94316221348512674</v>
          </cell>
          <cell r="K218">
            <v>4.4978003528069849E-4</v>
          </cell>
          <cell r="L218">
            <v>0</v>
          </cell>
          <cell r="M218">
            <v>1.8313706472457301E-2</v>
          </cell>
          <cell r="N218">
            <v>0</v>
          </cell>
          <cell r="O218">
            <v>0</v>
          </cell>
          <cell r="P218">
            <v>4492.0920629703523</v>
          </cell>
          <cell r="Q218" t="e">
            <v>#DIV/0!</v>
          </cell>
          <cell r="R218">
            <v>4832.9606505856791</v>
          </cell>
          <cell r="S218">
            <v>3457.925275020124</v>
          </cell>
          <cell r="T218" t="e">
            <v>#DIV/0!</v>
          </cell>
          <cell r="U218">
            <v>6564.0313499722834</v>
          </cell>
          <cell r="V218" t="e">
            <v>#DIV/0!</v>
          </cell>
          <cell r="W218" t="e">
            <v>#DIV/0!</v>
          </cell>
          <cell r="X218">
            <v>64.493941036214352</v>
          </cell>
          <cell r="Y218"/>
          <cell r="Z218">
            <v>1733.7260625367555</v>
          </cell>
          <cell r="AA218">
            <v>0.64605535292691374</v>
          </cell>
          <cell r="AB218"/>
          <cell r="AC218">
            <v>79.321456528018828</v>
          </cell>
          <cell r="AD218"/>
          <cell r="AE218"/>
          <cell r="AF218">
            <v>1878.1875154539157</v>
          </cell>
          <cell r="AG218">
            <v>1.1012599888399872E-2</v>
          </cell>
          <cell r="AH218">
            <v>1915.1106978470536</v>
          </cell>
          <cell r="AI218">
            <v>247.97580960000002</v>
          </cell>
          <cell r="AJ218">
            <v>342.6369057</v>
          </cell>
          <cell r="AK218">
            <v>142.25691620000001</v>
          </cell>
          <cell r="AL218">
            <v>648.38083930000005</v>
          </cell>
          <cell r="AM218">
            <v>665.23966989999997</v>
          </cell>
          <cell r="AN218">
            <v>1152.9455590000002</v>
          </cell>
          <cell r="AO218">
            <v>733.39471700000001</v>
          </cell>
          <cell r="AP218">
            <v>1207.4909539999999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13.312522570603928</v>
          </cell>
          <cell r="AZ218">
            <v>0</v>
          </cell>
          <cell r="BA218">
            <v>342.20248990447368</v>
          </cell>
          <cell r="BB218">
            <v>0.74379581191290167</v>
          </cell>
          <cell r="BC218">
            <v>0</v>
          </cell>
          <cell r="BD218">
            <v>53.852817782816224</v>
          </cell>
          <cell r="BE218">
            <v>0</v>
          </cell>
          <cell r="BF218">
            <v>0</v>
          </cell>
          <cell r="BG218">
            <v>405.59523082231885</v>
          </cell>
          <cell r="BH218">
            <v>2320.7059286693725</v>
          </cell>
          <cell r="BI218">
            <v>4851.0661749297096</v>
          </cell>
          <cell r="BJ218">
            <v>0.47839090315089317</v>
          </cell>
          <cell r="BK218">
            <v>0.39478140037428017</v>
          </cell>
          <cell r="BL218">
            <v>8.3609502776612984E-2</v>
          </cell>
        </row>
        <row r="219">
          <cell r="A219" t="str">
            <v>CHANDRAPUR STPS6</v>
          </cell>
          <cell r="B219" t="str">
            <v>CHANDRAPUR STPS</v>
          </cell>
          <cell r="C219">
            <v>500</v>
          </cell>
          <cell r="D219" t="str">
            <v>RAIL</v>
          </cell>
          <cell r="E219">
            <v>0.69994058229352352</v>
          </cell>
          <cell r="F219">
            <v>20.0046</v>
          </cell>
          <cell r="G219">
            <v>79.2881</v>
          </cell>
          <cell r="H219">
            <v>0</v>
          </cell>
          <cell r="I219">
            <v>0</v>
          </cell>
          <cell r="J219">
            <v>0</v>
          </cell>
          <cell r="K219">
            <v>1.7806354402605864E-4</v>
          </cell>
          <cell r="L219">
            <v>0</v>
          </cell>
          <cell r="M219">
            <v>0</v>
          </cell>
          <cell r="N219">
            <v>9.875656184697339E-3</v>
          </cell>
          <cell r="O219">
            <v>0.98994628027127662</v>
          </cell>
          <cell r="P219" t="e">
            <v>#DIV/0!</v>
          </cell>
          <cell r="Q219" t="e">
            <v>#DIV/0!</v>
          </cell>
          <cell r="R219" t="e">
            <v>#DIV/0!</v>
          </cell>
          <cell r="S219">
            <v>3550</v>
          </cell>
          <cell r="T219" t="e">
            <v>#DIV/0!</v>
          </cell>
          <cell r="U219" t="e">
            <v>#DIV/0!</v>
          </cell>
          <cell r="V219">
            <v>4418.0665198501893</v>
          </cell>
          <cell r="W219">
            <v>4179.5340119096463</v>
          </cell>
          <cell r="X219"/>
          <cell r="Y219"/>
          <cell r="Z219"/>
          <cell r="AA219">
            <v>0.25576703445136006</v>
          </cell>
          <cell r="AB219"/>
          <cell r="AC219"/>
          <cell r="AD219">
            <v>16.728343989264022</v>
          </cell>
          <cell r="AE219">
            <v>1591.8912335497248</v>
          </cell>
          <cell r="AF219">
            <v>1608.8753445734401</v>
          </cell>
          <cell r="AG219">
            <v>3.3278847509413102E-2</v>
          </cell>
          <cell r="AH219">
            <v>1729.4154786414658</v>
          </cell>
          <cell r="AI219">
            <v>993.51831249999998</v>
          </cell>
          <cell r="AJ219">
            <v>936.67543520000004</v>
          </cell>
          <cell r="AK219">
            <v>1105.077575</v>
          </cell>
          <cell r="AL219">
            <v>697.13640820000012</v>
          </cell>
          <cell r="AM219">
            <v>787.70863150000002</v>
          </cell>
          <cell r="AN219">
            <v>2291.8531690000004</v>
          </cell>
          <cell r="AO219">
            <v>514.90143520000004</v>
          </cell>
          <cell r="AP219">
            <v>152.50439810000003</v>
          </cell>
          <cell r="AQ219">
            <v>0</v>
          </cell>
          <cell r="AR219">
            <v>0</v>
          </cell>
          <cell r="AS219">
            <v>0</v>
          </cell>
          <cell r="AT219">
            <v>0.33437876291186253</v>
          </cell>
          <cell r="AU219">
            <v>0</v>
          </cell>
          <cell r="AV219">
            <v>0</v>
          </cell>
          <cell r="AW219">
            <v>16.42104359079104</v>
          </cell>
          <cell r="AX219">
            <v>723.91009680373418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716.01702428991644</v>
          </cell>
          <cell r="BH219">
            <v>2445.4325029313823</v>
          </cell>
          <cell r="BI219">
            <v>4181.7775798896982</v>
          </cell>
          <cell r="BJ219">
            <v>0.58478301540750166</v>
          </cell>
          <cell r="BK219">
            <v>0.41355989064513615</v>
          </cell>
          <cell r="BL219">
            <v>0.17122312476236545</v>
          </cell>
        </row>
        <row r="220">
          <cell r="A220" t="str">
            <v>CHANDRAPUR STPS5</v>
          </cell>
          <cell r="B220" t="str">
            <v>CHANDRAPUR STPS</v>
          </cell>
          <cell r="C220">
            <v>500</v>
          </cell>
          <cell r="D220" t="str">
            <v>RAIL</v>
          </cell>
          <cell r="E220">
            <v>0.69994058229352352</v>
          </cell>
          <cell r="F220">
            <v>20.0046</v>
          </cell>
          <cell r="G220">
            <v>79.2881</v>
          </cell>
          <cell r="H220">
            <v>0</v>
          </cell>
          <cell r="I220">
            <v>0</v>
          </cell>
          <cell r="J220">
            <v>0</v>
          </cell>
          <cell r="K220">
            <v>1.7806354402605864E-4</v>
          </cell>
          <cell r="L220">
            <v>0</v>
          </cell>
          <cell r="M220">
            <v>0</v>
          </cell>
          <cell r="N220">
            <v>9.875656184697339E-3</v>
          </cell>
          <cell r="O220">
            <v>0.98994628027127662</v>
          </cell>
          <cell r="P220" t="e">
            <v>#DIV/0!</v>
          </cell>
          <cell r="Q220" t="e">
            <v>#DIV/0!</v>
          </cell>
          <cell r="R220" t="e">
            <v>#DIV/0!</v>
          </cell>
          <cell r="S220">
            <v>3550</v>
          </cell>
          <cell r="T220" t="e">
            <v>#DIV/0!</v>
          </cell>
          <cell r="U220" t="e">
            <v>#DIV/0!</v>
          </cell>
          <cell r="V220">
            <v>4418.0665198501893</v>
          </cell>
          <cell r="W220">
            <v>4179.5340119096463</v>
          </cell>
          <cell r="X220"/>
          <cell r="Y220"/>
          <cell r="Z220"/>
          <cell r="AA220">
            <v>0.25576703445136006</v>
          </cell>
          <cell r="AB220"/>
          <cell r="AC220"/>
          <cell r="AD220">
            <v>16.728343989264022</v>
          </cell>
          <cell r="AE220">
            <v>1591.8912335497248</v>
          </cell>
          <cell r="AF220">
            <v>1608.8753445734401</v>
          </cell>
          <cell r="AG220">
            <v>3.3278847509413102E-2</v>
          </cell>
          <cell r="AH220">
            <v>1729.4154786414658</v>
          </cell>
          <cell r="AI220">
            <v>993.51831249999998</v>
          </cell>
          <cell r="AJ220">
            <v>936.67543520000004</v>
          </cell>
          <cell r="AK220">
            <v>1105.077575</v>
          </cell>
          <cell r="AL220">
            <v>697.13640820000012</v>
          </cell>
          <cell r="AM220">
            <v>787.70863150000002</v>
          </cell>
          <cell r="AN220">
            <v>2291.8531690000004</v>
          </cell>
          <cell r="AO220">
            <v>514.90143520000004</v>
          </cell>
          <cell r="AP220">
            <v>152.50439810000003</v>
          </cell>
          <cell r="AQ220">
            <v>0</v>
          </cell>
          <cell r="AR220">
            <v>0</v>
          </cell>
          <cell r="AS220">
            <v>0</v>
          </cell>
          <cell r="AT220">
            <v>0.33437876291186253</v>
          </cell>
          <cell r="AU220">
            <v>0</v>
          </cell>
          <cell r="AV220">
            <v>0</v>
          </cell>
          <cell r="AW220">
            <v>16.42104359079104</v>
          </cell>
          <cell r="AX220">
            <v>723.91009680373418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716.01702428991644</v>
          </cell>
          <cell r="BH220">
            <v>2445.4325029313823</v>
          </cell>
          <cell r="BI220">
            <v>4181.7775798896982</v>
          </cell>
          <cell r="BJ220">
            <v>0.58478301540750166</v>
          </cell>
          <cell r="BK220">
            <v>0.41355989064513615</v>
          </cell>
          <cell r="BL220">
            <v>0.17122312476236545</v>
          </cell>
        </row>
        <row r="221">
          <cell r="A221" t="str">
            <v>RAMAGUNDEM STPS6</v>
          </cell>
          <cell r="B221" t="str">
            <v>RAMAGUNDEM STPS</v>
          </cell>
          <cell r="C221">
            <v>500</v>
          </cell>
          <cell r="D221" t="str">
            <v>PITHEAD</v>
          </cell>
          <cell r="E221">
            <v>0.66286966046002194</v>
          </cell>
          <cell r="F221">
            <v>18.758600000000001</v>
          </cell>
          <cell r="G221">
            <v>79.454700000000003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4279.0292548546358</v>
          </cell>
          <cell r="X221"/>
          <cell r="Y221"/>
          <cell r="Z221"/>
          <cell r="AA221"/>
          <cell r="AB221"/>
          <cell r="AC221"/>
          <cell r="AD221"/>
          <cell r="AE221">
            <v>1608.0582000000002</v>
          </cell>
          <cell r="AF221">
            <v>1608.0582000000002</v>
          </cell>
          <cell r="AG221">
            <v>0</v>
          </cell>
          <cell r="AH221">
            <v>1608.0582000000002</v>
          </cell>
          <cell r="AI221">
            <v>1153.283148</v>
          </cell>
          <cell r="AJ221">
            <v>1211.1252339999999</v>
          </cell>
          <cell r="AK221">
            <v>1264.8197669999997</v>
          </cell>
          <cell r="AL221">
            <v>835.60980549999988</v>
          </cell>
          <cell r="AM221">
            <v>952.34533219999992</v>
          </cell>
          <cell r="AN221">
            <v>2424.2017769999993</v>
          </cell>
          <cell r="AO221">
            <v>667.86358089999987</v>
          </cell>
          <cell r="AP221">
            <v>308.52196000000004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786.88173370937761</v>
          </cell>
          <cell r="BG221">
            <v>786.88173370937761</v>
          </cell>
          <cell r="BH221">
            <v>2394.9399337093778</v>
          </cell>
          <cell r="BI221">
            <v>4279.0292548546358</v>
          </cell>
          <cell r="BJ221">
            <v>0.55969234867751261</v>
          </cell>
          <cell r="BK221">
            <v>0.37579976771031165</v>
          </cell>
          <cell r="BL221">
            <v>0.18389258096720093</v>
          </cell>
        </row>
        <row r="222">
          <cell r="A222" t="str">
            <v>RIHAND STPS2</v>
          </cell>
          <cell r="B222" t="str">
            <v>RIHAND STPS</v>
          </cell>
          <cell r="C222">
            <v>500</v>
          </cell>
          <cell r="D222" t="str">
            <v>PITHEAD</v>
          </cell>
          <cell r="E222">
            <v>0.37382395985782979</v>
          </cell>
          <cell r="F222">
            <v>24.026700000000002</v>
          </cell>
          <cell r="G222">
            <v>82.7911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 t="e">
            <v>#DIV/0!</v>
          </cell>
          <cell r="Q222" t="e">
            <v>#DIV/0!</v>
          </cell>
          <cell r="R222" t="e">
            <v>#DIV/0!</v>
          </cell>
          <cell r="S222" t="e">
            <v>#DIV/0!</v>
          </cell>
          <cell r="T222">
            <v>4451.988614696289</v>
          </cell>
          <cell r="U222" t="e">
            <v>#DIV/0!</v>
          </cell>
          <cell r="V222" t="e">
            <v>#DIV/0!</v>
          </cell>
          <cell r="W222" t="e">
            <v>#DIV/0!</v>
          </cell>
          <cell r="X222"/>
          <cell r="Y222"/>
          <cell r="Z222"/>
          <cell r="AA222"/>
          <cell r="AB222">
            <v>1693.8969600000003</v>
          </cell>
          <cell r="AC222"/>
          <cell r="AD222"/>
          <cell r="AE222"/>
          <cell r="AF222">
            <v>1693.8969600000003</v>
          </cell>
          <cell r="AG222">
            <v>0</v>
          </cell>
          <cell r="AH222">
            <v>1693.8969600000003</v>
          </cell>
          <cell r="AI222">
            <v>454.41931380000005</v>
          </cell>
          <cell r="AJ222">
            <v>453.18214030000001</v>
          </cell>
          <cell r="AK222">
            <v>554.58644409999999</v>
          </cell>
          <cell r="AL222">
            <v>474.73724830000003</v>
          </cell>
          <cell r="AM222">
            <v>114.2335604</v>
          </cell>
          <cell r="AN222">
            <v>1664.545973</v>
          </cell>
          <cell r="AO222">
            <v>251.0117754</v>
          </cell>
          <cell r="AP222">
            <v>663.66113440000004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291.35139053099135</v>
          </cell>
          <cell r="BD222">
            <v>0</v>
          </cell>
          <cell r="BE222">
            <v>0</v>
          </cell>
          <cell r="BF222">
            <v>0</v>
          </cell>
          <cell r="BG222">
            <v>291.35139053099135</v>
          </cell>
          <cell r="BH222">
            <v>1985.2483505309915</v>
          </cell>
          <cell r="BI222">
            <v>4451.988614696289</v>
          </cell>
          <cell r="BJ222">
            <v>0.44592395047407901</v>
          </cell>
          <cell r="BK222">
            <v>0.3804809730214363</v>
          </cell>
          <cell r="BL222">
            <v>6.5442977452642728E-2</v>
          </cell>
        </row>
        <row r="223">
          <cell r="A223" t="str">
            <v>RAMAGUNDEM STPS5</v>
          </cell>
          <cell r="B223" t="str">
            <v>RAMAGUNDEM STPS</v>
          </cell>
          <cell r="C223">
            <v>500</v>
          </cell>
          <cell r="D223" t="str">
            <v>PITHEAD</v>
          </cell>
          <cell r="E223">
            <v>0.66286966046002194</v>
          </cell>
          <cell r="F223">
            <v>18.758600000000001</v>
          </cell>
          <cell r="G223">
            <v>79.454700000000003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4279.0292548546358</v>
          </cell>
          <cell r="X223"/>
          <cell r="Y223"/>
          <cell r="Z223"/>
          <cell r="AA223"/>
          <cell r="AB223"/>
          <cell r="AC223"/>
          <cell r="AD223"/>
          <cell r="AE223">
            <v>1608.0582000000002</v>
          </cell>
          <cell r="AF223">
            <v>1608.0582000000002</v>
          </cell>
          <cell r="AG223">
            <v>0</v>
          </cell>
          <cell r="AH223">
            <v>1608.0582000000002</v>
          </cell>
          <cell r="AI223">
            <v>1153.283148</v>
          </cell>
          <cell r="AJ223">
            <v>1211.1252339999999</v>
          </cell>
          <cell r="AK223">
            <v>1264.8197669999997</v>
          </cell>
          <cell r="AL223">
            <v>835.60980549999988</v>
          </cell>
          <cell r="AM223">
            <v>952.34533219999992</v>
          </cell>
          <cell r="AN223">
            <v>2424.2017769999993</v>
          </cell>
          <cell r="AO223">
            <v>667.86358089999987</v>
          </cell>
          <cell r="AP223">
            <v>308.52196000000004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786.88173370937761</v>
          </cell>
          <cell r="BG223">
            <v>786.88173370937761</v>
          </cell>
          <cell r="BH223">
            <v>2394.9399337093778</v>
          </cell>
          <cell r="BI223">
            <v>4279.0292548546358</v>
          </cell>
          <cell r="BJ223">
            <v>0.55969234867751261</v>
          </cell>
          <cell r="BK223">
            <v>0.37579976771031165</v>
          </cell>
          <cell r="BL223">
            <v>0.18389258096720093</v>
          </cell>
        </row>
        <row r="224">
          <cell r="A224" t="str">
            <v>KORBA STPS6</v>
          </cell>
          <cell r="B224" t="str">
            <v>KORBA STPS</v>
          </cell>
          <cell r="C224">
            <v>500</v>
          </cell>
          <cell r="D224" t="str">
            <v>PITHEAD</v>
          </cell>
          <cell r="E224">
            <v>0.27277108433734942</v>
          </cell>
          <cell r="F224">
            <v>22.386399999999998</v>
          </cell>
          <cell r="G224">
            <v>82.6828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1</v>
          </cell>
          <cell r="O224">
            <v>0</v>
          </cell>
          <cell r="P224" t="e">
            <v>#DIV/0!</v>
          </cell>
          <cell r="Q224" t="e">
            <v>#DIV/0!</v>
          </cell>
          <cell r="R224" t="e">
            <v>#DIV/0!</v>
          </cell>
          <cell r="S224" t="e">
            <v>#DIV/0!</v>
          </cell>
          <cell r="T224" t="e">
            <v>#DIV/0!</v>
          </cell>
          <cell r="U224" t="e">
            <v>#DIV/0!</v>
          </cell>
          <cell r="V224">
            <v>4155.9961352898499</v>
          </cell>
          <cell r="W224" t="e">
            <v>#DIV/0!</v>
          </cell>
          <cell r="X224"/>
          <cell r="Y224"/>
          <cell r="Z224"/>
          <cell r="AA224"/>
          <cell r="AB224"/>
          <cell r="AC224"/>
          <cell r="AD224">
            <v>1608.0582000000002</v>
          </cell>
          <cell r="AE224"/>
          <cell r="AF224">
            <v>1608.0582000000002</v>
          </cell>
          <cell r="AG224">
            <v>0</v>
          </cell>
          <cell r="AH224">
            <v>1608.0582000000002</v>
          </cell>
          <cell r="AI224">
            <v>495.10191369999995</v>
          </cell>
          <cell r="AJ224">
            <v>563.90614130000017</v>
          </cell>
          <cell r="AK224">
            <v>606.6385332000001</v>
          </cell>
          <cell r="AL224">
            <v>347.38862719999997</v>
          </cell>
          <cell r="AM224">
            <v>319.03380940000011</v>
          </cell>
          <cell r="AN224">
            <v>1805.744819</v>
          </cell>
          <cell r="AO224">
            <v>10.53226969</v>
          </cell>
          <cell r="AP224">
            <v>491.35260039999991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26.862433499261858</v>
          </cell>
          <cell r="BF224">
            <v>0</v>
          </cell>
          <cell r="BG224">
            <v>26.862433499261858</v>
          </cell>
          <cell r="BH224">
            <v>1634.9206334992621</v>
          </cell>
          <cell r="BI224">
            <v>4155.9961352898499</v>
          </cell>
          <cell r="BJ224">
            <v>0.3933883912010035</v>
          </cell>
          <cell r="BK224">
            <v>0.3869248545121301</v>
          </cell>
          <cell r="BL224">
            <v>6.4635366888733652E-3</v>
          </cell>
        </row>
        <row r="225">
          <cell r="A225" t="str">
            <v>DHARIWAL TPS1</v>
          </cell>
          <cell r="B225" t="str">
            <v>DHARIWAL TPS</v>
          </cell>
          <cell r="C225">
            <v>300</v>
          </cell>
          <cell r="D225" t="str">
            <v>RAIL</v>
          </cell>
          <cell r="E225" t="str">
            <v/>
          </cell>
          <cell r="F225">
            <v>20.0105878</v>
          </cell>
          <cell r="G225">
            <v>79.203432800000002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0.8016651157960395</v>
          </cell>
          <cell r="O225">
            <v>0.19833488420396048</v>
          </cell>
          <cell r="P225" t="e">
            <v>#DIV/0!</v>
          </cell>
          <cell r="Q225" t="e">
            <v>#DIV/0!</v>
          </cell>
          <cell r="R225" t="e">
            <v>#DIV/0!</v>
          </cell>
          <cell r="S225" t="e">
            <v>#DIV/0!</v>
          </cell>
          <cell r="T225" t="e">
            <v>#DIV/0!</v>
          </cell>
          <cell r="U225" t="e">
            <v>#DIV/0!</v>
          </cell>
          <cell r="V225">
            <v>4173.9584010987519</v>
          </cell>
          <cell r="W225">
            <v>4390.5978573339708</v>
          </cell>
          <cell r="X225"/>
          <cell r="Y225"/>
          <cell r="Z225"/>
          <cell r="AA225"/>
          <cell r="AB225"/>
          <cell r="AC225"/>
          <cell r="AD225">
            <v>1289.124163109771</v>
          </cell>
          <cell r="AE225">
            <v>335.95885741504071</v>
          </cell>
          <cell r="AF225">
            <v>1625.0830205248117</v>
          </cell>
          <cell r="AG225">
            <v>2.9673684724732544E-2</v>
          </cell>
          <cell r="AH225">
            <v>1732.0838641173184</v>
          </cell>
          <cell r="AI225">
            <v>1001.9921450000001</v>
          </cell>
          <cell r="AJ225">
            <v>945.14926739999999</v>
          </cell>
          <cell r="AK225">
            <v>1113.5514069999999</v>
          </cell>
          <cell r="AL225">
            <v>705.61024029999999</v>
          </cell>
          <cell r="AM225">
            <v>779.7023408</v>
          </cell>
          <cell r="AN225">
            <v>2300.3270010000001</v>
          </cell>
          <cell r="AO225">
            <v>523.37526730000002</v>
          </cell>
          <cell r="AP225">
            <v>144.4981075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1332.9927212433386</v>
          </cell>
          <cell r="AX225">
            <v>135.08866631969633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1424.5180033182417</v>
          </cell>
          <cell r="BH225">
            <v>3156.6018674355601</v>
          </cell>
          <cell r="BI225">
            <v>4216.925562565174</v>
          </cell>
          <cell r="BJ225">
            <v>0.74855527340999251</v>
          </cell>
          <cell r="BK225">
            <v>0.41074565780660455</v>
          </cell>
          <cell r="BL225">
            <v>0.3378096156033879</v>
          </cell>
        </row>
        <row r="226">
          <cell r="A226" t="str">
            <v>GMR WARORA TPS1</v>
          </cell>
          <cell r="B226" t="str">
            <v>GMR WARORA TPS</v>
          </cell>
          <cell r="C226">
            <v>300</v>
          </cell>
          <cell r="D226" t="str">
            <v>RAIL</v>
          </cell>
          <cell r="E226" t="str">
            <v/>
          </cell>
          <cell r="F226">
            <v>20.279655999999999</v>
          </cell>
          <cell r="G226">
            <v>78.975351200000006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0.97251335757252921</v>
          </cell>
          <cell r="O226">
            <v>2.748664242747078E-2</v>
          </cell>
          <cell r="P226" t="e">
            <v>#DIV/0!</v>
          </cell>
          <cell r="Q226" t="e">
            <v>#DIV/0!</v>
          </cell>
          <cell r="R226" t="e">
            <v>#DIV/0!</v>
          </cell>
          <cell r="S226" t="e">
            <v>#DIV/0!</v>
          </cell>
          <cell r="T226" t="e">
            <v>#DIV/0!</v>
          </cell>
          <cell r="U226" t="e">
            <v>#DIV/0!</v>
          </cell>
          <cell r="V226">
            <v>4145.3205221035869</v>
          </cell>
          <cell r="W226">
            <v>3917.2358501588697</v>
          </cell>
          <cell r="X226"/>
          <cell r="Y226"/>
          <cell r="Z226"/>
          <cell r="AA226"/>
          <cell r="AB226"/>
          <cell r="AC226"/>
          <cell r="AD226">
            <v>1563.8580792540379</v>
          </cell>
          <cell r="AE226">
            <v>41.840701443424813</v>
          </cell>
          <cell r="AF226">
            <v>1605.6987806974628</v>
          </cell>
          <cell r="AG226">
            <v>8.6047411424651186E-3</v>
          </cell>
          <cell r="AH226">
            <v>1636.8935592530243</v>
          </cell>
          <cell r="AI226">
            <v>1010.096781</v>
          </cell>
          <cell r="AJ226">
            <v>953.25390379999999</v>
          </cell>
          <cell r="AK226">
            <v>1121.6560440000001</v>
          </cell>
          <cell r="AL226">
            <v>716.42845269999998</v>
          </cell>
          <cell r="AM226">
            <v>748.21903370000007</v>
          </cell>
          <cell r="AN226">
            <v>2308.4316370000001</v>
          </cell>
          <cell r="AO226">
            <v>531.47990379999999</v>
          </cell>
          <cell r="AP226">
            <v>113.0148004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1617.0757607044502</v>
          </cell>
          <cell r="AX226">
            <v>16.667790021448571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1619.6856103787306</v>
          </cell>
          <cell r="BH226">
            <v>3256.5791696317547</v>
          </cell>
          <cell r="BI226">
            <v>4139.0512402826553</v>
          </cell>
          <cell r="BJ226">
            <v>0.78679363471938157</v>
          </cell>
          <cell r="BK226">
            <v>0.3954755484354045</v>
          </cell>
          <cell r="BL226">
            <v>0.39131808628397713</v>
          </cell>
        </row>
        <row r="227">
          <cell r="A227" t="str">
            <v>BONGAIGAON TPS3</v>
          </cell>
          <cell r="B227" t="str">
            <v>BONGAIGAON TPS</v>
          </cell>
          <cell r="C227">
            <v>250</v>
          </cell>
          <cell r="D227" t="str">
            <v>RAIL</v>
          </cell>
          <cell r="E227" t="str">
            <v/>
          </cell>
          <cell r="F227">
            <v>26.512892560000001</v>
          </cell>
          <cell r="G227">
            <v>90.54938774</v>
          </cell>
          <cell r="H227">
            <v>0</v>
          </cell>
          <cell r="I227">
            <v>3.2648815444611262E-2</v>
          </cell>
          <cell r="J227">
            <v>0.63332694469359585</v>
          </cell>
          <cell r="K227">
            <v>0</v>
          </cell>
          <cell r="L227">
            <v>0</v>
          </cell>
          <cell r="M227">
            <v>0.33402423986179286</v>
          </cell>
          <cell r="N227">
            <v>0</v>
          </cell>
          <cell r="O227">
            <v>0</v>
          </cell>
          <cell r="P227" t="e">
            <v>#DIV/0!</v>
          </cell>
          <cell r="Q227">
            <v>4314.6568248760868</v>
          </cell>
          <cell r="R227">
            <v>5850.0808947052128</v>
          </cell>
          <cell r="S227" t="e">
            <v>#DIV/0!</v>
          </cell>
          <cell r="T227" t="e">
            <v>#DIV/0!</v>
          </cell>
          <cell r="U227">
            <v>6473.1394312773282</v>
          </cell>
          <cell r="V227" t="e">
            <v>#DIV/0!</v>
          </cell>
          <cell r="W227" t="e">
            <v>#DIV/0!</v>
          </cell>
          <cell r="X227"/>
          <cell r="Y227">
            <v>55.303729229228075</v>
          </cell>
          <cell r="Z227">
            <v>2422.435967852422</v>
          </cell>
          <cell r="AA227"/>
          <cell r="AB227"/>
          <cell r="AC227">
            <v>1446.7464170264516</v>
          </cell>
          <cell r="AD227"/>
          <cell r="AE227"/>
          <cell r="AF227">
            <v>3924.4861141081014</v>
          </cell>
          <cell r="AG227">
            <v>7.979458010659737E-3</v>
          </cell>
          <cell r="AH227">
            <v>3934.9113868009199</v>
          </cell>
          <cell r="AI227">
            <v>722.68852520000007</v>
          </cell>
          <cell r="AJ227">
            <v>770.39331949999985</v>
          </cell>
          <cell r="AK227">
            <v>632.57700060000002</v>
          </cell>
          <cell r="AL227">
            <v>1149.164225</v>
          </cell>
          <cell r="AM227">
            <v>1012.364242</v>
          </cell>
          <cell r="AN227">
            <v>633.70184759999995</v>
          </cell>
          <cell r="AO227">
            <v>1182.6276340000002</v>
          </cell>
          <cell r="AP227">
            <v>1602.097788</v>
          </cell>
          <cell r="AQ227">
            <v>0</v>
          </cell>
          <cell r="AR227">
            <v>67.036310906909847</v>
          </cell>
          <cell r="AS227">
            <v>1189.3006030162053</v>
          </cell>
          <cell r="AT227">
            <v>0</v>
          </cell>
          <cell r="AU227">
            <v>0</v>
          </cell>
          <cell r="AV227">
            <v>627.25142711534613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1868.5583269617769</v>
          </cell>
          <cell r="BH227">
            <v>5803.4697137626972</v>
          </cell>
          <cell r="BI227">
            <v>6008.0677716880546</v>
          </cell>
          <cell r="BJ227">
            <v>0.96594611350932336</v>
          </cell>
          <cell r="BK227">
            <v>0.65493791620385611</v>
          </cell>
          <cell r="BL227">
            <v>0.31100819730546714</v>
          </cell>
        </row>
        <row r="228">
          <cell r="A228" t="str">
            <v>RAMAGUNDEM STPS4</v>
          </cell>
          <cell r="B228" t="str">
            <v>RAMAGUNDEM STPS</v>
          </cell>
          <cell r="C228">
            <v>500</v>
          </cell>
          <cell r="D228" t="str">
            <v>PITHEAD</v>
          </cell>
          <cell r="E228">
            <v>0.66286966046002194</v>
          </cell>
          <cell r="F228">
            <v>18.758600000000001</v>
          </cell>
          <cell r="G228">
            <v>79.454700000000003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4279.0292548546358</v>
          </cell>
          <cell r="X228"/>
          <cell r="Y228"/>
          <cell r="Z228"/>
          <cell r="AA228"/>
          <cell r="AB228"/>
          <cell r="AC228"/>
          <cell r="AD228"/>
          <cell r="AE228">
            <v>1608.0582000000002</v>
          </cell>
          <cell r="AF228">
            <v>1608.0582000000002</v>
          </cell>
          <cell r="AG228">
            <v>0</v>
          </cell>
          <cell r="AH228">
            <v>1608.0582000000002</v>
          </cell>
          <cell r="AI228">
            <v>1153.283148</v>
          </cell>
          <cell r="AJ228">
            <v>1211.1252339999999</v>
          </cell>
          <cell r="AK228">
            <v>1264.8197669999997</v>
          </cell>
          <cell r="AL228">
            <v>835.60980549999988</v>
          </cell>
          <cell r="AM228">
            <v>952.34533219999992</v>
          </cell>
          <cell r="AN228">
            <v>2424.2017769999993</v>
          </cell>
          <cell r="AO228">
            <v>667.86358089999987</v>
          </cell>
          <cell r="AP228">
            <v>308.52196000000004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786.88173370937761</v>
          </cell>
          <cell r="BG228">
            <v>786.88173370937761</v>
          </cell>
          <cell r="BH228">
            <v>2394.9399337093778</v>
          </cell>
          <cell r="BI228">
            <v>4279.0292548546358</v>
          </cell>
          <cell r="BJ228">
            <v>0.55969234867751261</v>
          </cell>
          <cell r="BK228">
            <v>0.37579976771031165</v>
          </cell>
          <cell r="BL228">
            <v>0.18389258096720093</v>
          </cell>
        </row>
        <row r="229">
          <cell r="A229" t="str">
            <v>KORBA STPS5</v>
          </cell>
          <cell r="B229" t="str">
            <v>KORBA STPS</v>
          </cell>
          <cell r="C229">
            <v>500</v>
          </cell>
          <cell r="D229" t="str">
            <v>PITHEAD</v>
          </cell>
          <cell r="E229">
            <v>0.27277108433734942</v>
          </cell>
          <cell r="F229">
            <v>22.386399999999998</v>
          </cell>
          <cell r="G229">
            <v>82.6828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1</v>
          </cell>
          <cell r="O229">
            <v>0</v>
          </cell>
          <cell r="P229" t="e">
            <v>#DIV/0!</v>
          </cell>
          <cell r="Q229" t="e">
            <v>#DIV/0!</v>
          </cell>
          <cell r="R229" t="e">
            <v>#DIV/0!</v>
          </cell>
          <cell r="S229" t="e">
            <v>#DIV/0!</v>
          </cell>
          <cell r="T229" t="e">
            <v>#DIV/0!</v>
          </cell>
          <cell r="U229" t="e">
            <v>#DIV/0!</v>
          </cell>
          <cell r="V229">
            <v>4155.9961352898499</v>
          </cell>
          <cell r="W229" t="e">
            <v>#DIV/0!</v>
          </cell>
          <cell r="X229"/>
          <cell r="Y229"/>
          <cell r="Z229"/>
          <cell r="AA229"/>
          <cell r="AB229"/>
          <cell r="AC229"/>
          <cell r="AD229">
            <v>1608.0582000000002</v>
          </cell>
          <cell r="AE229"/>
          <cell r="AF229">
            <v>1608.0582000000002</v>
          </cell>
          <cell r="AG229">
            <v>0</v>
          </cell>
          <cell r="AH229">
            <v>1608.0582000000002</v>
          </cell>
          <cell r="AI229">
            <v>495.10191369999995</v>
          </cell>
          <cell r="AJ229">
            <v>563.90614130000017</v>
          </cell>
          <cell r="AK229">
            <v>606.6385332000001</v>
          </cell>
          <cell r="AL229">
            <v>347.38862719999997</v>
          </cell>
          <cell r="AM229">
            <v>319.03380940000011</v>
          </cell>
          <cell r="AN229">
            <v>1805.744819</v>
          </cell>
          <cell r="AO229">
            <v>10.53226969</v>
          </cell>
          <cell r="AP229">
            <v>491.35260039999991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26.862433499261858</v>
          </cell>
          <cell r="BF229">
            <v>0</v>
          </cell>
          <cell r="BG229">
            <v>26.862433499261858</v>
          </cell>
          <cell r="BH229">
            <v>1634.9206334992621</v>
          </cell>
          <cell r="BI229">
            <v>4155.9961352898499</v>
          </cell>
          <cell r="BJ229">
            <v>0.3933883912010035</v>
          </cell>
          <cell r="BK229">
            <v>0.3869248545121301</v>
          </cell>
          <cell r="BL229">
            <v>6.4635366888733652E-3</v>
          </cell>
        </row>
        <row r="230">
          <cell r="A230" t="str">
            <v>RIHAND STPS1</v>
          </cell>
          <cell r="B230" t="str">
            <v>RIHAND STPS</v>
          </cell>
          <cell r="C230">
            <v>500</v>
          </cell>
          <cell r="D230" t="str">
            <v>PITHEAD</v>
          </cell>
          <cell r="E230">
            <v>0.37382395985782979</v>
          </cell>
          <cell r="F230">
            <v>24.026700000000002</v>
          </cell>
          <cell r="G230">
            <v>82.7911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 t="e">
            <v>#DIV/0!</v>
          </cell>
          <cell r="Q230" t="e">
            <v>#DIV/0!</v>
          </cell>
          <cell r="R230" t="e">
            <v>#DIV/0!</v>
          </cell>
          <cell r="S230" t="e">
            <v>#DIV/0!</v>
          </cell>
          <cell r="T230">
            <v>4451.988614696289</v>
          </cell>
          <cell r="U230" t="e">
            <v>#DIV/0!</v>
          </cell>
          <cell r="V230" t="e">
            <v>#DIV/0!</v>
          </cell>
          <cell r="W230" t="e">
            <v>#DIV/0!</v>
          </cell>
          <cell r="X230"/>
          <cell r="Y230"/>
          <cell r="Z230"/>
          <cell r="AA230"/>
          <cell r="AB230">
            <v>1693.8969600000003</v>
          </cell>
          <cell r="AC230"/>
          <cell r="AD230"/>
          <cell r="AE230"/>
          <cell r="AF230">
            <v>1693.8969600000003</v>
          </cell>
          <cell r="AG230">
            <v>0</v>
          </cell>
          <cell r="AH230">
            <v>1693.8969600000003</v>
          </cell>
          <cell r="AI230">
            <v>454.41931380000005</v>
          </cell>
          <cell r="AJ230">
            <v>453.18214030000001</v>
          </cell>
          <cell r="AK230">
            <v>554.58644409999999</v>
          </cell>
          <cell r="AL230">
            <v>474.73724830000003</v>
          </cell>
          <cell r="AM230">
            <v>114.2335604</v>
          </cell>
          <cell r="AN230">
            <v>1664.545973</v>
          </cell>
          <cell r="AO230">
            <v>251.0117754</v>
          </cell>
          <cell r="AP230">
            <v>663.66113440000004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291.35139053099135</v>
          </cell>
          <cell r="BD230">
            <v>0</v>
          </cell>
          <cell r="BE230">
            <v>0</v>
          </cell>
          <cell r="BF230">
            <v>0</v>
          </cell>
          <cell r="BG230">
            <v>291.35139053099135</v>
          </cell>
          <cell r="BH230">
            <v>1985.2483505309915</v>
          </cell>
          <cell r="BI230">
            <v>4451.988614696289</v>
          </cell>
          <cell r="BJ230">
            <v>0.44592395047407901</v>
          </cell>
          <cell r="BK230">
            <v>0.3804809730214363</v>
          </cell>
          <cell r="BL230">
            <v>6.5442977452642728E-2</v>
          </cell>
        </row>
        <row r="231">
          <cell r="A231" t="str">
            <v>BUTIBORI TPP2</v>
          </cell>
          <cell r="B231" t="str">
            <v>BUTIBORI TPP</v>
          </cell>
          <cell r="C231">
            <v>300</v>
          </cell>
          <cell r="D231" t="str">
            <v>RAIL</v>
          </cell>
          <cell r="E231">
            <v>0.88813204086979303</v>
          </cell>
          <cell r="F231">
            <v>20.929300000000001</v>
          </cell>
          <cell r="G231">
            <v>78.933499999999995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1</v>
          </cell>
          <cell r="P231" t="e">
            <v>#DIV/0!</v>
          </cell>
          <cell r="Q231" t="e">
            <v>#DIV/0!</v>
          </cell>
          <cell r="R231" t="e">
            <v>#DIV/0!</v>
          </cell>
          <cell r="S231" t="e">
            <v>#DIV/0!</v>
          </cell>
          <cell r="T231" t="e">
            <v>#DIV/0!</v>
          </cell>
          <cell r="U231" t="e">
            <v>#DIV/0!</v>
          </cell>
          <cell r="V231" t="e">
            <v>#DIV/0!</v>
          </cell>
          <cell r="W231">
            <v>4181.3154366406134</v>
          </cell>
          <cell r="X231"/>
          <cell r="Y231"/>
          <cell r="Z231"/>
          <cell r="AA231"/>
          <cell r="AB231"/>
          <cell r="AC231"/>
          <cell r="AD231"/>
          <cell r="AE231">
            <v>1608.0582000000002</v>
          </cell>
          <cell r="AF231">
            <v>1608.0582000000002</v>
          </cell>
          <cell r="AG231">
            <v>3.243283978724501E-2</v>
          </cell>
          <cell r="AH231">
            <v>1725.5604909579131</v>
          </cell>
          <cell r="AI231">
            <v>982.16174020000005</v>
          </cell>
          <cell r="AJ231">
            <v>925.31886299999996</v>
          </cell>
          <cell r="AK231">
            <v>1093.7210030000001</v>
          </cell>
          <cell r="AL231">
            <v>688.49341189999996</v>
          </cell>
          <cell r="AM231">
            <v>676.37680709999995</v>
          </cell>
          <cell r="AN231">
            <v>2266.1538220000002</v>
          </cell>
          <cell r="AO231">
            <v>503.54486300000002</v>
          </cell>
          <cell r="AP231">
            <v>41.172573720000003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387.66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375.08708532807663</v>
          </cell>
          <cell r="BH231">
            <v>2100.6475762859895</v>
          </cell>
          <cell r="BI231">
            <v>4181.3154366406134</v>
          </cell>
          <cell r="BJ231">
            <v>0.50238916630832064</v>
          </cell>
          <cell r="BK231">
            <v>0.41268364396451201</v>
          </cell>
          <cell r="BL231">
            <v>8.9705522343808658E-2</v>
          </cell>
        </row>
        <row r="232">
          <cell r="A232" t="str">
            <v>ROSA TPP PH-I4</v>
          </cell>
          <cell r="B232" t="str">
            <v>ROSA TPP PH-I</v>
          </cell>
          <cell r="C232">
            <v>300</v>
          </cell>
          <cell r="D232" t="str">
            <v>RAIL</v>
          </cell>
          <cell r="E232" t="str">
            <v/>
          </cell>
          <cell r="F232">
            <v>27.819400000000002</v>
          </cell>
          <cell r="G232">
            <v>79.937200000000004</v>
          </cell>
          <cell r="H232">
            <v>0</v>
          </cell>
          <cell r="I232">
            <v>1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 t="e">
            <v>#DIV/0!</v>
          </cell>
          <cell r="Q232">
            <v>4422.9034140906479</v>
          </cell>
          <cell r="R232" t="e">
            <v>#DIV/0!</v>
          </cell>
          <cell r="S232" t="e">
            <v>#DIV/0!</v>
          </cell>
          <cell r="T232" t="e">
            <v>#DIV/0!</v>
          </cell>
          <cell r="U232" t="e">
            <v>#DIV/0!</v>
          </cell>
          <cell r="V232" t="e">
            <v>#DIV/0!</v>
          </cell>
          <cell r="W232" t="e">
            <v>#DIV/0!</v>
          </cell>
          <cell r="X232"/>
          <cell r="Y232">
            <v>1693.8969600000003</v>
          </cell>
          <cell r="Z232"/>
          <cell r="AA232"/>
          <cell r="AB232"/>
          <cell r="AC232"/>
          <cell r="AD232"/>
          <cell r="AE232"/>
          <cell r="AF232">
            <v>1693.8969600000003</v>
          </cell>
          <cell r="AG232">
            <v>0</v>
          </cell>
          <cell r="AH232">
            <v>1693.8969600000003</v>
          </cell>
          <cell r="AI232">
            <v>836.46864659999994</v>
          </cell>
          <cell r="AJ232">
            <v>833.0559677</v>
          </cell>
          <cell r="AK232">
            <v>931.65126759999998</v>
          </cell>
          <cell r="AL232">
            <v>1059.380582</v>
          </cell>
          <cell r="AM232">
            <v>588.87633999999991</v>
          </cell>
          <cell r="AN232">
            <v>1975.0672930000001</v>
          </cell>
          <cell r="AO232">
            <v>809.09878349999997</v>
          </cell>
          <cell r="AP232">
            <v>871.29420030000006</v>
          </cell>
          <cell r="AQ232">
            <v>0</v>
          </cell>
          <cell r="AR232">
            <v>2182.2779999999998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2182.2779999999998</v>
          </cell>
          <cell r="BH232">
            <v>3876.1749600000003</v>
          </cell>
          <cell r="BI232">
            <v>4422.9034140906479</v>
          </cell>
          <cell r="BJ232">
            <v>0.87638697866454418</v>
          </cell>
          <cell r="BK232">
            <v>0.38298303205164308</v>
          </cell>
          <cell r="BL232">
            <v>0.49340394661290105</v>
          </cell>
        </row>
        <row r="233">
          <cell r="A233" t="str">
            <v>SINGRAULI STPS7</v>
          </cell>
          <cell r="B233" t="str">
            <v>SINGRAULI STPS</v>
          </cell>
          <cell r="C233">
            <v>500</v>
          </cell>
          <cell r="D233" t="str">
            <v>PITHEAD</v>
          </cell>
          <cell r="E233">
            <v>0.33547695605573419</v>
          </cell>
          <cell r="F233">
            <v>24.104399999999998</v>
          </cell>
          <cell r="G233">
            <v>82.707499999999996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 t="e">
            <v>#DIV/0!</v>
          </cell>
          <cell r="Q233" t="e">
            <v>#DIV/0!</v>
          </cell>
          <cell r="R233" t="e">
            <v>#DIV/0!</v>
          </cell>
          <cell r="S233" t="e">
            <v>#DIV/0!</v>
          </cell>
          <cell r="T233">
            <v>4449.6383069062995</v>
          </cell>
          <cell r="U233" t="e">
            <v>#DIV/0!</v>
          </cell>
          <cell r="V233" t="e">
            <v>#DIV/0!</v>
          </cell>
          <cell r="W233" t="e">
            <v>#DIV/0!</v>
          </cell>
          <cell r="X233"/>
          <cell r="Y233"/>
          <cell r="Z233"/>
          <cell r="AA233"/>
          <cell r="AB233">
            <v>1693.8969600000003</v>
          </cell>
          <cell r="AC233"/>
          <cell r="AD233"/>
          <cell r="AE233"/>
          <cell r="AF233">
            <v>1693.8969600000003</v>
          </cell>
          <cell r="AG233">
            <v>0</v>
          </cell>
          <cell r="AH233">
            <v>1693.8969600000003</v>
          </cell>
          <cell r="AI233">
            <v>471.56829930000004</v>
          </cell>
          <cell r="AJ233">
            <v>470.3311258999999</v>
          </cell>
          <cell r="AK233">
            <v>571.73542970000005</v>
          </cell>
          <cell r="AL233">
            <v>570.72594759999993</v>
          </cell>
          <cell r="AM233">
            <v>46.421596339999994</v>
          </cell>
          <cell r="AN233">
            <v>1677.9807540000002</v>
          </cell>
          <cell r="AO233">
            <v>359.0221785999999</v>
          </cell>
          <cell r="AP233">
            <v>662.0684291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118.39775103715822</v>
          </cell>
          <cell r="BD233">
            <v>0</v>
          </cell>
          <cell r="BE233">
            <v>0</v>
          </cell>
          <cell r="BF233">
            <v>0</v>
          </cell>
          <cell r="BG233">
            <v>118.39775103715822</v>
          </cell>
          <cell r="BH233">
            <v>1812.2947110371585</v>
          </cell>
          <cell r="BI233">
            <v>4449.6383069062995</v>
          </cell>
          <cell r="BJ233">
            <v>0.40729034272837178</v>
          </cell>
          <cell r="BK233">
            <v>0.38068194382696158</v>
          </cell>
          <cell r="BL233">
            <v>2.6608398901410178E-2</v>
          </cell>
        </row>
        <row r="234">
          <cell r="A234" t="str">
            <v>BARAUNI TPS8</v>
          </cell>
          <cell r="B234" t="str">
            <v>BARAUNI TPS</v>
          </cell>
          <cell r="C234">
            <v>250</v>
          </cell>
          <cell r="D234"/>
          <cell r="E234">
            <v>0.79678480137696461</v>
          </cell>
          <cell r="F234">
            <v>25.399899999999999</v>
          </cell>
          <cell r="G234">
            <v>86.021199999999993</v>
          </cell>
          <cell r="H234">
            <v>0</v>
          </cell>
          <cell r="I234">
            <v>0</v>
          </cell>
          <cell r="J234">
            <v>1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e">
            <v>#DIV/0!</v>
          </cell>
          <cell r="Q234" t="e">
            <v>#DIV/0!</v>
          </cell>
          <cell r="R234">
            <v>5758.6620017898322</v>
          </cell>
          <cell r="S234" t="e">
            <v>#DIV/0!</v>
          </cell>
          <cell r="T234" t="e">
            <v>#DIV/0!</v>
          </cell>
          <cell r="U234" t="e">
            <v>#DIV/0!</v>
          </cell>
          <cell r="V234" t="e">
            <v>#DIV/0!</v>
          </cell>
          <cell r="W234" t="e">
            <v>#DIV/0!</v>
          </cell>
          <cell r="X234"/>
          <cell r="Y234"/>
          <cell r="Z234">
            <v>3302.4406800000006</v>
          </cell>
          <cell r="AA234"/>
          <cell r="AB234"/>
          <cell r="AC234"/>
          <cell r="AD234"/>
          <cell r="AE234"/>
          <cell r="AF234">
            <v>3302.4406800000006</v>
          </cell>
          <cell r="AG234">
            <v>0</v>
          </cell>
          <cell r="AH234">
            <v>3302.4406800000006</v>
          </cell>
          <cell r="AI234">
            <v>228.95300359999999</v>
          </cell>
          <cell r="AJ234">
            <v>265.48258020000003</v>
          </cell>
          <cell r="AK234">
            <v>211.66032190000001</v>
          </cell>
          <cell r="AL234">
            <v>628.07507029999999</v>
          </cell>
          <cell r="AM234">
            <v>419.47711430000004</v>
          </cell>
          <cell r="AN234">
            <v>1223.6719909999999</v>
          </cell>
          <cell r="AO234">
            <v>589.74050670000008</v>
          </cell>
          <cell r="AP234">
            <v>1013.5221580000001</v>
          </cell>
          <cell r="AQ234">
            <v>0</v>
          </cell>
          <cell r="AR234">
            <v>0</v>
          </cell>
          <cell r="AS234">
            <v>962.85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962.85</v>
          </cell>
          <cell r="BH234">
            <v>4265.290680000001</v>
          </cell>
          <cell r="BI234">
            <v>5758.6620017898322</v>
          </cell>
          <cell r="BJ234">
            <v>0.74067390631266761</v>
          </cell>
          <cell r="BK234">
            <v>0.57347360879551168</v>
          </cell>
          <cell r="BL234">
            <v>0.16720029751715582</v>
          </cell>
        </row>
        <row r="235">
          <cell r="A235" t="str">
            <v>ROSA TPP PH-I3</v>
          </cell>
          <cell r="B235" t="str">
            <v>ROSA TPP PH-I</v>
          </cell>
          <cell r="C235">
            <v>300</v>
          </cell>
          <cell r="D235" t="str">
            <v>RAIL</v>
          </cell>
          <cell r="E235" t="str">
            <v/>
          </cell>
          <cell r="F235">
            <v>27.819400000000002</v>
          </cell>
          <cell r="G235">
            <v>79.937200000000004</v>
          </cell>
          <cell r="H235">
            <v>0</v>
          </cell>
          <cell r="I235">
            <v>1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e">
            <v>#DIV/0!</v>
          </cell>
          <cell r="Q235">
            <v>4422.9034140906479</v>
          </cell>
          <cell r="R235" t="e">
            <v>#DIV/0!</v>
          </cell>
          <cell r="S235" t="e">
            <v>#DIV/0!</v>
          </cell>
          <cell r="T235" t="e">
            <v>#DIV/0!</v>
          </cell>
          <cell r="U235" t="e">
            <v>#DIV/0!</v>
          </cell>
          <cell r="V235" t="e">
            <v>#DIV/0!</v>
          </cell>
          <cell r="W235" t="e">
            <v>#DIV/0!</v>
          </cell>
          <cell r="X235"/>
          <cell r="Y235">
            <v>1693.8969600000003</v>
          </cell>
          <cell r="Z235"/>
          <cell r="AA235"/>
          <cell r="AB235"/>
          <cell r="AC235"/>
          <cell r="AD235"/>
          <cell r="AE235"/>
          <cell r="AF235">
            <v>1693.8969600000003</v>
          </cell>
          <cell r="AG235">
            <v>0</v>
          </cell>
          <cell r="AH235">
            <v>1693.8969600000003</v>
          </cell>
          <cell r="AI235">
            <v>836.46864659999994</v>
          </cell>
          <cell r="AJ235">
            <v>833.0559677</v>
          </cell>
          <cell r="AK235">
            <v>931.65126759999998</v>
          </cell>
          <cell r="AL235">
            <v>1059.380582</v>
          </cell>
          <cell r="AM235">
            <v>588.87633999999991</v>
          </cell>
          <cell r="AN235">
            <v>1975.0672930000001</v>
          </cell>
          <cell r="AO235">
            <v>809.09878349999997</v>
          </cell>
          <cell r="AP235">
            <v>871.29420030000006</v>
          </cell>
          <cell r="AQ235">
            <v>0</v>
          </cell>
          <cell r="AR235">
            <v>2182.2779999999998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2182.2779999999998</v>
          </cell>
          <cell r="BH235">
            <v>3876.1749600000003</v>
          </cell>
          <cell r="BI235">
            <v>4422.9034140906479</v>
          </cell>
          <cell r="BJ235">
            <v>0.87638697866454418</v>
          </cell>
          <cell r="BK235">
            <v>0.38298303205164308</v>
          </cell>
          <cell r="BL235">
            <v>0.49340394661290105</v>
          </cell>
        </row>
        <row r="236">
          <cell r="A236" t="str">
            <v>GOINDWAL SAHIB2</v>
          </cell>
          <cell r="B236" t="str">
            <v>GOINDWAL SAHIB</v>
          </cell>
          <cell r="C236">
            <v>270</v>
          </cell>
          <cell r="D236"/>
          <cell r="E236" t="str">
            <v/>
          </cell>
          <cell r="F236">
            <v>31.384139600000001</v>
          </cell>
          <cell r="G236">
            <v>75.146503199999998</v>
          </cell>
          <cell r="H236">
            <v>2.9706570157227896E-3</v>
          </cell>
          <cell r="I236">
            <v>0.92321031458439251</v>
          </cell>
          <cell r="J236">
            <v>0</v>
          </cell>
          <cell r="K236">
            <v>0</v>
          </cell>
          <cell r="L236">
            <v>7.3819028399884773E-2</v>
          </cell>
          <cell r="M236">
            <v>0</v>
          </cell>
          <cell r="N236">
            <v>0</v>
          </cell>
          <cell r="O236">
            <v>0</v>
          </cell>
          <cell r="P236">
            <v>4050</v>
          </cell>
          <cell r="Q236">
            <v>4155.3854107115658</v>
          </cell>
          <cell r="R236" t="e">
            <v>#DIV/0!</v>
          </cell>
          <cell r="S236" t="e">
            <v>#DIV/0!</v>
          </cell>
          <cell r="T236">
            <v>4450</v>
          </cell>
          <cell r="U236" t="e">
            <v>#DIV/0!</v>
          </cell>
          <cell r="V236" t="e">
            <v>#DIV/0!</v>
          </cell>
          <cell r="W236" t="e">
            <v>#DIV/0!</v>
          </cell>
          <cell r="X236">
            <v>4.7769893735205615</v>
          </cell>
          <cell r="Y236">
            <v>1484.575916692012</v>
          </cell>
          <cell r="Z236"/>
          <cell r="AA236"/>
          <cell r="AB236">
            <v>125.04182779671851</v>
          </cell>
          <cell r="AC236"/>
          <cell r="AD236"/>
          <cell r="AE236"/>
          <cell r="AF236">
            <v>1614.3947338622511</v>
          </cell>
          <cell r="AG236">
            <v>2.8896222955628895E-2</v>
          </cell>
          <cell r="AH236">
            <v>1718.9009659750691</v>
          </cell>
          <cell r="AI236">
            <v>1476.771244</v>
          </cell>
          <cell r="AJ236">
            <v>1473.358565</v>
          </cell>
          <cell r="AK236">
            <v>1571.953865</v>
          </cell>
          <cell r="AL236">
            <v>1699.68318</v>
          </cell>
          <cell r="AM236">
            <v>1229.178938</v>
          </cell>
          <cell r="AN236">
            <v>2602.2990359999999</v>
          </cell>
          <cell r="AO236">
            <v>1427.977253</v>
          </cell>
          <cell r="AP236">
            <v>1379.9624680000002</v>
          </cell>
          <cell r="AQ236">
            <v>10.377794221064528</v>
          </cell>
          <cell r="AR236">
            <v>3225.1743021198126</v>
          </cell>
          <cell r="AS236">
            <v>0</v>
          </cell>
          <cell r="AT236">
            <v>0</v>
          </cell>
          <cell r="AU236">
            <v>221.93277501866319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3357.576617651021</v>
          </cell>
          <cell r="BH236">
            <v>5076.4775836260906</v>
          </cell>
          <cell r="BI236">
            <v>4176.8205095355825</v>
          </cell>
          <cell r="BJ236">
            <v>1.2153928022611009</v>
          </cell>
          <cell r="BK236">
            <v>0.41153335702380767</v>
          </cell>
          <cell r="BL236">
            <v>0.80385944523729302</v>
          </cell>
        </row>
        <row r="237">
          <cell r="A237" t="str">
            <v>BUTIBORI TPP1</v>
          </cell>
          <cell r="B237" t="str">
            <v>BUTIBORI TPP</v>
          </cell>
          <cell r="C237">
            <v>300</v>
          </cell>
          <cell r="D237" t="str">
            <v>RAIL</v>
          </cell>
          <cell r="E237">
            <v>0.88813204086979303</v>
          </cell>
          <cell r="F237">
            <v>20.929300000000001</v>
          </cell>
          <cell r="G237">
            <v>78.933499999999995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1</v>
          </cell>
          <cell r="P237" t="e">
            <v>#DIV/0!</v>
          </cell>
          <cell r="Q237" t="e">
            <v>#DIV/0!</v>
          </cell>
          <cell r="R237" t="e">
            <v>#DIV/0!</v>
          </cell>
          <cell r="S237" t="e">
            <v>#DIV/0!</v>
          </cell>
          <cell r="T237" t="e">
            <v>#DIV/0!</v>
          </cell>
          <cell r="U237" t="e">
            <v>#DIV/0!</v>
          </cell>
          <cell r="V237" t="e">
            <v>#DIV/0!</v>
          </cell>
          <cell r="W237">
            <v>4181.3154366406134</v>
          </cell>
          <cell r="X237"/>
          <cell r="Y237"/>
          <cell r="Z237"/>
          <cell r="AA237"/>
          <cell r="AB237"/>
          <cell r="AC237"/>
          <cell r="AD237"/>
          <cell r="AE237">
            <v>1608.0582000000002</v>
          </cell>
          <cell r="AF237">
            <v>1608.0582000000002</v>
          </cell>
          <cell r="AG237">
            <v>3.243283978724501E-2</v>
          </cell>
          <cell r="AH237">
            <v>1725.5604909579131</v>
          </cell>
          <cell r="AI237">
            <v>982.16174020000005</v>
          </cell>
          <cell r="AJ237">
            <v>925.31886299999996</v>
          </cell>
          <cell r="AK237">
            <v>1093.7210030000001</v>
          </cell>
          <cell r="AL237">
            <v>688.49341189999996</v>
          </cell>
          <cell r="AM237">
            <v>676.37680709999995</v>
          </cell>
          <cell r="AN237">
            <v>2266.1538220000002</v>
          </cell>
          <cell r="AO237">
            <v>503.54486300000002</v>
          </cell>
          <cell r="AP237">
            <v>41.172573720000003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387.66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375.08708532807663</v>
          </cell>
          <cell r="BH237">
            <v>2100.6475762859895</v>
          </cell>
          <cell r="BI237">
            <v>4181.3154366406134</v>
          </cell>
          <cell r="BJ237">
            <v>0.50238916630832064</v>
          </cell>
          <cell r="BK237">
            <v>0.41268364396451201</v>
          </cell>
          <cell r="BL237">
            <v>8.9705522343808658E-2</v>
          </cell>
        </row>
        <row r="238">
          <cell r="A238" t="str">
            <v>GOINDWAL SAHIB1</v>
          </cell>
          <cell r="B238" t="str">
            <v>GOINDWAL SAHIB</v>
          </cell>
          <cell r="C238">
            <v>270</v>
          </cell>
          <cell r="D238"/>
          <cell r="E238" t="str">
            <v/>
          </cell>
          <cell r="F238">
            <v>31.384139600000001</v>
          </cell>
          <cell r="G238">
            <v>75.146503199999998</v>
          </cell>
          <cell r="H238">
            <v>2.9706570157227896E-3</v>
          </cell>
          <cell r="I238">
            <v>0.92321031458439251</v>
          </cell>
          <cell r="J238">
            <v>0</v>
          </cell>
          <cell r="K238">
            <v>0</v>
          </cell>
          <cell r="L238">
            <v>7.3819028399884773E-2</v>
          </cell>
          <cell r="M238">
            <v>0</v>
          </cell>
          <cell r="N238">
            <v>0</v>
          </cell>
          <cell r="O238">
            <v>0</v>
          </cell>
          <cell r="P238">
            <v>4050</v>
          </cell>
          <cell r="Q238">
            <v>4155.3854107115658</v>
          </cell>
          <cell r="R238" t="e">
            <v>#DIV/0!</v>
          </cell>
          <cell r="S238" t="e">
            <v>#DIV/0!</v>
          </cell>
          <cell r="T238">
            <v>4450</v>
          </cell>
          <cell r="U238" t="e">
            <v>#DIV/0!</v>
          </cell>
          <cell r="V238" t="e">
            <v>#DIV/0!</v>
          </cell>
          <cell r="W238" t="e">
            <v>#DIV/0!</v>
          </cell>
          <cell r="X238">
            <v>4.7769893735205615</v>
          </cell>
          <cell r="Y238">
            <v>1484.575916692012</v>
          </cell>
          <cell r="Z238"/>
          <cell r="AA238"/>
          <cell r="AB238">
            <v>125.04182779671851</v>
          </cell>
          <cell r="AC238"/>
          <cell r="AD238"/>
          <cell r="AE238"/>
          <cell r="AF238">
            <v>1614.3947338622511</v>
          </cell>
          <cell r="AG238">
            <v>2.8896222955628895E-2</v>
          </cell>
          <cell r="AH238">
            <v>1718.9009659750691</v>
          </cell>
          <cell r="AI238">
            <v>1476.771244</v>
          </cell>
          <cell r="AJ238">
            <v>1473.358565</v>
          </cell>
          <cell r="AK238">
            <v>1571.953865</v>
          </cell>
          <cell r="AL238">
            <v>1699.68318</v>
          </cell>
          <cell r="AM238">
            <v>1229.178938</v>
          </cell>
          <cell r="AN238">
            <v>2602.2990359999999</v>
          </cell>
          <cell r="AO238">
            <v>1427.977253</v>
          </cell>
          <cell r="AP238">
            <v>1379.9624680000002</v>
          </cell>
          <cell r="AQ238">
            <v>10.377794221064528</v>
          </cell>
          <cell r="AR238">
            <v>3225.1743021198126</v>
          </cell>
          <cell r="AS238">
            <v>0</v>
          </cell>
          <cell r="AT238">
            <v>0</v>
          </cell>
          <cell r="AU238">
            <v>221.93277501866319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3357.576617651021</v>
          </cell>
          <cell r="BH238">
            <v>5076.4775836260906</v>
          </cell>
          <cell r="BI238">
            <v>4176.8205095355825</v>
          </cell>
          <cell r="BJ238">
            <v>1.2153928022611009</v>
          </cell>
          <cell r="BK238">
            <v>0.41153335702380767</v>
          </cell>
          <cell r="BL238">
            <v>0.80385944523729302</v>
          </cell>
        </row>
        <row r="239">
          <cell r="A239" t="str">
            <v>BALCO TPS2</v>
          </cell>
          <cell r="B239" t="str">
            <v>BALCO TPS</v>
          </cell>
          <cell r="C239">
            <v>300</v>
          </cell>
          <cell r="D239" t="str">
            <v>RAIL</v>
          </cell>
          <cell r="E239" t="str">
            <v/>
          </cell>
          <cell r="F239">
            <v>22.398996799999999</v>
          </cell>
          <cell r="G239">
            <v>82.740011999999993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0</v>
          </cell>
          <cell r="P239" t="e">
            <v>#DIV/0!</v>
          </cell>
          <cell r="Q239" t="e">
            <v>#DIV/0!</v>
          </cell>
          <cell r="R239" t="e">
            <v>#DIV/0!</v>
          </cell>
          <cell r="S239" t="e">
            <v>#DIV/0!</v>
          </cell>
          <cell r="T239" t="e">
            <v>#DIV/0!</v>
          </cell>
          <cell r="U239" t="e">
            <v>#DIV/0!</v>
          </cell>
          <cell r="V239">
            <v>4143.7448173085222</v>
          </cell>
          <cell r="W239" t="e">
            <v>#DIV/0!</v>
          </cell>
          <cell r="X239"/>
          <cell r="Y239"/>
          <cell r="Z239"/>
          <cell r="AA239"/>
          <cell r="AB239"/>
          <cell r="AC239"/>
          <cell r="AD239">
            <v>1608.0582000000002</v>
          </cell>
          <cell r="AE239"/>
          <cell r="AF239">
            <v>1608.0582000000002</v>
          </cell>
          <cell r="AG239">
            <v>0.15516494069953726</v>
          </cell>
          <cell r="AH239">
            <v>2170.211749554875</v>
          </cell>
          <cell r="AI239">
            <v>498.55982209999996</v>
          </cell>
          <cell r="AJ239">
            <v>441.71694489999999</v>
          </cell>
          <cell r="AK239">
            <v>610.1190848</v>
          </cell>
          <cell r="AL239">
            <v>322.83120559999998</v>
          </cell>
          <cell r="AM239">
            <v>317.70719990000003</v>
          </cell>
          <cell r="AN239">
            <v>1810.3425730000001</v>
          </cell>
          <cell r="AO239">
            <v>13.571198710000001</v>
          </cell>
          <cell r="AP239">
            <v>484.43565309999997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387.66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327.50875908841743</v>
          </cell>
          <cell r="BH239">
            <v>2497.7205086432923</v>
          </cell>
          <cell r="BI239">
            <v>4143.7448173085222</v>
          </cell>
          <cell r="BJ239">
            <v>0.60276890078034084</v>
          </cell>
          <cell r="BK239">
            <v>0.52373199732035813</v>
          </cell>
          <cell r="BL239">
            <v>7.9036903459982724E-2</v>
          </cell>
        </row>
        <row r="240">
          <cell r="A240" t="str">
            <v>KORBA STPS4</v>
          </cell>
          <cell r="B240" t="str">
            <v>KORBA STPS</v>
          </cell>
          <cell r="C240">
            <v>500</v>
          </cell>
          <cell r="D240" t="str">
            <v>PITHEAD</v>
          </cell>
          <cell r="E240">
            <v>0.27277108433734942</v>
          </cell>
          <cell r="F240">
            <v>22.386399999999998</v>
          </cell>
          <cell r="G240">
            <v>82.6828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1</v>
          </cell>
          <cell r="O240">
            <v>0</v>
          </cell>
          <cell r="P240" t="e">
            <v>#DIV/0!</v>
          </cell>
          <cell r="Q240" t="e">
            <v>#DIV/0!</v>
          </cell>
          <cell r="R240" t="e">
            <v>#DIV/0!</v>
          </cell>
          <cell r="S240" t="e">
            <v>#DIV/0!</v>
          </cell>
          <cell r="T240" t="e">
            <v>#DIV/0!</v>
          </cell>
          <cell r="U240" t="e">
            <v>#DIV/0!</v>
          </cell>
          <cell r="V240">
            <v>4155.9961352898499</v>
          </cell>
          <cell r="W240" t="e">
            <v>#DIV/0!</v>
          </cell>
          <cell r="X240"/>
          <cell r="Y240"/>
          <cell r="Z240"/>
          <cell r="AA240"/>
          <cell r="AB240"/>
          <cell r="AC240"/>
          <cell r="AD240">
            <v>1608.0582000000002</v>
          </cell>
          <cell r="AE240"/>
          <cell r="AF240">
            <v>1608.0582000000002</v>
          </cell>
          <cell r="AG240">
            <v>0</v>
          </cell>
          <cell r="AH240">
            <v>1608.0582000000002</v>
          </cell>
          <cell r="AI240">
            <v>495.10191369999995</v>
          </cell>
          <cell r="AJ240">
            <v>563.90614130000017</v>
          </cell>
          <cell r="AK240">
            <v>606.6385332000001</v>
          </cell>
          <cell r="AL240">
            <v>347.38862719999997</v>
          </cell>
          <cell r="AM240">
            <v>319.03380940000011</v>
          </cell>
          <cell r="AN240">
            <v>1805.744819</v>
          </cell>
          <cell r="AO240">
            <v>10.53226969</v>
          </cell>
          <cell r="AP240">
            <v>491.35260039999991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26.862433499261858</v>
          </cell>
          <cell r="BF240">
            <v>0</v>
          </cell>
          <cell r="BG240">
            <v>26.862433499261858</v>
          </cell>
          <cell r="BH240">
            <v>1634.9206334992621</v>
          </cell>
          <cell r="BI240">
            <v>4155.9961352898499</v>
          </cell>
          <cell r="BJ240">
            <v>0.3933883912010035</v>
          </cell>
          <cell r="BK240">
            <v>0.3869248545121301</v>
          </cell>
          <cell r="BL240">
            <v>6.4635366888733652E-3</v>
          </cell>
        </row>
        <row r="241">
          <cell r="A241" t="str">
            <v>NABI NAGAR TPP2</v>
          </cell>
          <cell r="B241" t="str">
            <v>NABI NAGAR TPP</v>
          </cell>
          <cell r="C241">
            <v>250</v>
          </cell>
          <cell r="D241" t="str">
            <v>RAIL</v>
          </cell>
          <cell r="E241" t="str">
            <v/>
          </cell>
          <cell r="F241">
            <v>24.705079999999999</v>
          </cell>
          <cell r="G241">
            <v>84.088738000000006</v>
          </cell>
          <cell r="H241">
            <v>0</v>
          </cell>
          <cell r="I241">
            <v>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e">
            <v>#DIV/0!</v>
          </cell>
          <cell r="Q241">
            <v>4277.0682910128971</v>
          </cell>
          <cell r="R241" t="e">
            <v>#DIV/0!</v>
          </cell>
          <cell r="S241" t="e">
            <v>#DIV/0!</v>
          </cell>
          <cell r="T241" t="e">
            <v>#DIV/0!</v>
          </cell>
          <cell r="U241" t="e">
            <v>#DIV/0!</v>
          </cell>
          <cell r="V241" t="e">
            <v>#DIV/0!</v>
          </cell>
          <cell r="W241" t="e">
            <v>#DIV/0!</v>
          </cell>
          <cell r="X241"/>
          <cell r="Y241">
            <v>1608.0582000000002</v>
          </cell>
          <cell r="Z241"/>
          <cell r="AA241"/>
          <cell r="AB241"/>
          <cell r="AC241"/>
          <cell r="AD241"/>
          <cell r="AE241"/>
          <cell r="AF241">
            <v>1608.0582000000002</v>
          </cell>
          <cell r="AG241">
            <v>0</v>
          </cell>
          <cell r="AH241">
            <v>1608.0582000000002</v>
          </cell>
          <cell r="AI241">
            <v>287.16155579999997</v>
          </cell>
          <cell r="AJ241">
            <v>283.74887689999997</v>
          </cell>
          <cell r="AK241">
            <v>382.34417690000004</v>
          </cell>
          <cell r="AL241">
            <v>514.76279810000005</v>
          </cell>
          <cell r="AM241">
            <v>191.21850889999999</v>
          </cell>
          <cell r="AN241">
            <v>1470.5819280000001</v>
          </cell>
          <cell r="AO241">
            <v>368.4087055</v>
          </cell>
          <cell r="AP241">
            <v>801.00344810000001</v>
          </cell>
          <cell r="AQ241">
            <v>0</v>
          </cell>
          <cell r="AR241">
            <v>1119.972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1119.972</v>
          </cell>
          <cell r="BH241">
            <v>2728.0302000000001</v>
          </cell>
          <cell r="BI241">
            <v>4277.0682910128971</v>
          </cell>
          <cell r="BJ241">
            <v>0.6378271316668519</v>
          </cell>
          <cell r="BK241">
            <v>0.37597206558027135</v>
          </cell>
          <cell r="BL241">
            <v>0.26185506608658049</v>
          </cell>
        </row>
        <row r="242">
          <cell r="A242" t="str">
            <v>SINGRAULI STPS6</v>
          </cell>
          <cell r="B242" t="str">
            <v>SINGRAULI STPS</v>
          </cell>
          <cell r="C242">
            <v>500</v>
          </cell>
          <cell r="D242" t="str">
            <v>PITHEAD</v>
          </cell>
          <cell r="E242">
            <v>0.33547695605573419</v>
          </cell>
          <cell r="F242">
            <v>24.104399999999998</v>
          </cell>
          <cell r="G242">
            <v>82.707499999999996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 t="e">
            <v>#DIV/0!</v>
          </cell>
          <cell r="Q242" t="e">
            <v>#DIV/0!</v>
          </cell>
          <cell r="R242" t="e">
            <v>#DIV/0!</v>
          </cell>
          <cell r="S242" t="e">
            <v>#DIV/0!</v>
          </cell>
          <cell r="T242">
            <v>4449.6383069062995</v>
          </cell>
          <cell r="U242" t="e">
            <v>#DIV/0!</v>
          </cell>
          <cell r="V242" t="e">
            <v>#DIV/0!</v>
          </cell>
          <cell r="W242" t="e">
            <v>#DIV/0!</v>
          </cell>
          <cell r="X242"/>
          <cell r="Y242"/>
          <cell r="Z242"/>
          <cell r="AA242"/>
          <cell r="AB242">
            <v>1693.8969600000003</v>
          </cell>
          <cell r="AC242"/>
          <cell r="AD242"/>
          <cell r="AE242"/>
          <cell r="AF242">
            <v>1693.8969600000003</v>
          </cell>
          <cell r="AG242">
            <v>0</v>
          </cell>
          <cell r="AH242">
            <v>1693.8969600000003</v>
          </cell>
          <cell r="AI242">
            <v>471.56829930000004</v>
          </cell>
          <cell r="AJ242">
            <v>470.3311258999999</v>
          </cell>
          <cell r="AK242">
            <v>571.73542970000005</v>
          </cell>
          <cell r="AL242">
            <v>570.72594759999993</v>
          </cell>
          <cell r="AM242">
            <v>46.421596339999994</v>
          </cell>
          <cell r="AN242">
            <v>1677.9807540000002</v>
          </cell>
          <cell r="AO242">
            <v>359.0221785999999</v>
          </cell>
          <cell r="AP242">
            <v>662.0684291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118.39775103715822</v>
          </cell>
          <cell r="BD242">
            <v>0</v>
          </cell>
          <cell r="BE242">
            <v>0</v>
          </cell>
          <cell r="BF242">
            <v>0</v>
          </cell>
          <cell r="BG242">
            <v>118.39775103715822</v>
          </cell>
          <cell r="BH242">
            <v>1812.2947110371585</v>
          </cell>
          <cell r="BI242">
            <v>4449.6383069062995</v>
          </cell>
          <cell r="BJ242">
            <v>0.40729034272837178</v>
          </cell>
          <cell r="BK242">
            <v>0.38068194382696158</v>
          </cell>
          <cell r="BL242">
            <v>2.6608398901410178E-2</v>
          </cell>
        </row>
        <row r="243">
          <cell r="A243" t="str">
            <v>BONGAIGAON TPS2</v>
          </cell>
          <cell r="B243" t="str">
            <v>BONGAIGAON TPS</v>
          </cell>
          <cell r="C243">
            <v>250</v>
          </cell>
          <cell r="D243" t="str">
            <v>RAIL</v>
          </cell>
          <cell r="E243" t="str">
            <v/>
          </cell>
          <cell r="F243">
            <v>26.512892560000001</v>
          </cell>
          <cell r="G243">
            <v>90.54938774</v>
          </cell>
          <cell r="H243">
            <v>0</v>
          </cell>
          <cell r="I243">
            <v>3.2648815444611262E-2</v>
          </cell>
          <cell r="J243">
            <v>0.63332694469359585</v>
          </cell>
          <cell r="K243">
            <v>0</v>
          </cell>
          <cell r="L243">
            <v>0</v>
          </cell>
          <cell r="M243">
            <v>0.33402423986179286</v>
          </cell>
          <cell r="N243">
            <v>0</v>
          </cell>
          <cell r="O243">
            <v>0</v>
          </cell>
          <cell r="P243" t="e">
            <v>#DIV/0!</v>
          </cell>
          <cell r="Q243">
            <v>4314.6568248760868</v>
          </cell>
          <cell r="R243">
            <v>5850.0808947052128</v>
          </cell>
          <cell r="S243" t="e">
            <v>#DIV/0!</v>
          </cell>
          <cell r="T243" t="e">
            <v>#DIV/0!</v>
          </cell>
          <cell r="U243">
            <v>6473.1394312773282</v>
          </cell>
          <cell r="V243" t="e">
            <v>#DIV/0!</v>
          </cell>
          <cell r="W243" t="e">
            <v>#DIV/0!</v>
          </cell>
          <cell r="X243"/>
          <cell r="Y243">
            <v>55.303729229228075</v>
          </cell>
          <cell r="Z243">
            <v>2422.435967852422</v>
          </cell>
          <cell r="AA243"/>
          <cell r="AB243"/>
          <cell r="AC243">
            <v>1446.7464170264516</v>
          </cell>
          <cell r="AD243"/>
          <cell r="AE243"/>
          <cell r="AF243">
            <v>3924.4861141081014</v>
          </cell>
          <cell r="AG243">
            <v>7.979458010659737E-3</v>
          </cell>
          <cell r="AH243">
            <v>3934.9113868009199</v>
          </cell>
          <cell r="AI243">
            <v>722.68852520000007</v>
          </cell>
          <cell r="AJ243">
            <v>770.39331949999985</v>
          </cell>
          <cell r="AK243">
            <v>632.57700060000002</v>
          </cell>
          <cell r="AL243">
            <v>1149.164225</v>
          </cell>
          <cell r="AM243">
            <v>1012.364242</v>
          </cell>
          <cell r="AN243">
            <v>633.70184759999995</v>
          </cell>
          <cell r="AO243">
            <v>1182.6276340000002</v>
          </cell>
          <cell r="AP243">
            <v>1602.097788</v>
          </cell>
          <cell r="AQ243">
            <v>0</v>
          </cell>
          <cell r="AR243">
            <v>67.036310906909847</v>
          </cell>
          <cell r="AS243">
            <v>1189.3006030162053</v>
          </cell>
          <cell r="AT243">
            <v>0</v>
          </cell>
          <cell r="AU243">
            <v>0</v>
          </cell>
          <cell r="AV243">
            <v>627.25142711534613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1868.5583269617769</v>
          </cell>
          <cell r="BH243">
            <v>5803.4697137626972</v>
          </cell>
          <cell r="BI243">
            <v>6008.0677716880546</v>
          </cell>
          <cell r="BJ243">
            <v>0.96594611350932336</v>
          </cell>
          <cell r="BK243">
            <v>0.65493791620385611</v>
          </cell>
          <cell r="BL243">
            <v>0.31100819730546714</v>
          </cell>
        </row>
        <row r="244">
          <cell r="A244" t="str">
            <v>BALCO TPS1</v>
          </cell>
          <cell r="B244" t="str">
            <v>BALCO TPS</v>
          </cell>
          <cell r="C244">
            <v>300</v>
          </cell>
          <cell r="D244" t="str">
            <v>RAIL</v>
          </cell>
          <cell r="E244" t="str">
            <v/>
          </cell>
          <cell r="F244">
            <v>22.398996799999999</v>
          </cell>
          <cell r="G244">
            <v>82.740011999999993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P244" t="e">
            <v>#DIV/0!</v>
          </cell>
          <cell r="Q244" t="e">
            <v>#DIV/0!</v>
          </cell>
          <cell r="R244" t="e">
            <v>#DIV/0!</v>
          </cell>
          <cell r="S244" t="e">
            <v>#DIV/0!</v>
          </cell>
          <cell r="T244" t="e">
            <v>#DIV/0!</v>
          </cell>
          <cell r="U244" t="e">
            <v>#DIV/0!</v>
          </cell>
          <cell r="V244">
            <v>4143.7448173085222</v>
          </cell>
          <cell r="W244" t="e">
            <v>#DIV/0!</v>
          </cell>
          <cell r="X244"/>
          <cell r="Y244"/>
          <cell r="Z244"/>
          <cell r="AA244"/>
          <cell r="AB244"/>
          <cell r="AC244"/>
          <cell r="AD244">
            <v>1608.0582000000002</v>
          </cell>
          <cell r="AE244"/>
          <cell r="AF244">
            <v>1608.0582000000002</v>
          </cell>
          <cell r="AG244">
            <v>0.15516494069953726</v>
          </cell>
          <cell r="AH244">
            <v>2170.211749554875</v>
          </cell>
          <cell r="AI244">
            <v>498.55982209999996</v>
          </cell>
          <cell r="AJ244">
            <v>441.71694489999999</v>
          </cell>
          <cell r="AK244">
            <v>610.1190848</v>
          </cell>
          <cell r="AL244">
            <v>322.83120559999998</v>
          </cell>
          <cell r="AM244">
            <v>317.70719990000003</v>
          </cell>
          <cell r="AN244">
            <v>1810.3425730000001</v>
          </cell>
          <cell r="AO244">
            <v>13.571198710000001</v>
          </cell>
          <cell r="AP244">
            <v>484.43565309999997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387.66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327.50875908841743</v>
          </cell>
          <cell r="BH244">
            <v>2497.7205086432923</v>
          </cell>
          <cell r="BI244">
            <v>4143.7448173085222</v>
          </cell>
          <cell r="BJ244">
            <v>0.60276890078034084</v>
          </cell>
          <cell r="BK244">
            <v>0.52373199732035813</v>
          </cell>
          <cell r="BL244">
            <v>7.9036903459982724E-2</v>
          </cell>
        </row>
        <row r="245">
          <cell r="A245" t="str">
            <v>AMRAVATI TPS4</v>
          </cell>
          <cell r="B245" t="str">
            <v>AMRAVATI TPS</v>
          </cell>
          <cell r="C245">
            <v>270</v>
          </cell>
          <cell r="D245" t="str">
            <v>RAIL</v>
          </cell>
          <cell r="E245" t="str">
            <v/>
          </cell>
          <cell r="F245">
            <v>20.832000000000001</v>
          </cell>
          <cell r="G245">
            <v>77.735399999999998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0.99083348968676133</v>
          </cell>
          <cell r="O245">
            <v>9.1665103132386131E-3</v>
          </cell>
          <cell r="P245" t="e">
            <v>#DIV/0!</v>
          </cell>
          <cell r="Q245" t="e">
            <v>#DIV/0!</v>
          </cell>
          <cell r="R245" t="e">
            <v>#DIV/0!</v>
          </cell>
          <cell r="S245" t="e">
            <v>#DIV/0!</v>
          </cell>
          <cell r="T245" t="e">
            <v>#DIV/0!</v>
          </cell>
          <cell r="U245" t="e">
            <v>#DIV/0!</v>
          </cell>
          <cell r="V245">
            <v>4156.6841142671874</v>
          </cell>
          <cell r="W245">
            <v>4036.5714023751584</v>
          </cell>
          <cell r="X245"/>
          <cell r="Y245"/>
          <cell r="Z245"/>
          <cell r="AA245"/>
          <cell r="AB245"/>
          <cell r="AC245"/>
          <cell r="AD245">
            <v>1593.3179179254121</v>
          </cell>
          <cell r="AE245">
            <v>14.740282074587922</v>
          </cell>
          <cell r="AF245">
            <v>1608.0581999999999</v>
          </cell>
          <cell r="AG245">
            <v>2.8792014074136132E-2</v>
          </cell>
          <cell r="AH245">
            <v>1712.3699912953762</v>
          </cell>
          <cell r="AI245">
            <v>1107.6168870000001</v>
          </cell>
          <cell r="AJ245">
            <v>1050.7740100000001</v>
          </cell>
          <cell r="AK245">
            <v>1219.17615</v>
          </cell>
          <cell r="AL245">
            <v>813.94855859999996</v>
          </cell>
          <cell r="AM245">
            <v>778.66339830000004</v>
          </cell>
          <cell r="AN245">
            <v>2368.4404130000003</v>
          </cell>
          <cell r="AO245">
            <v>629.00000970000008</v>
          </cell>
          <cell r="AP245">
            <v>159.6787516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1860.648558610161</v>
          </cell>
          <cell r="AX245">
            <v>6.7031206646794939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1813.5868634437977</v>
          </cell>
          <cell r="BH245">
            <v>3525.9568547391737</v>
          </cell>
          <cell r="BI245">
            <v>4155.5830998548772</v>
          </cell>
          <cell r="BJ245">
            <v>0.84848666721700461</v>
          </cell>
          <cell r="BK245">
            <v>0.41206491367124293</v>
          </cell>
          <cell r="BL245">
            <v>0.43642175354576174</v>
          </cell>
        </row>
        <row r="246">
          <cell r="A246" t="str">
            <v>AMRAVATI TPS5</v>
          </cell>
          <cell r="B246" t="str">
            <v>AMRAVATI TPS</v>
          </cell>
          <cell r="C246">
            <v>270</v>
          </cell>
          <cell r="D246" t="str">
            <v>RAIL</v>
          </cell>
          <cell r="E246" t="str">
            <v/>
          </cell>
          <cell r="F246">
            <v>20.832000000000001</v>
          </cell>
          <cell r="G246">
            <v>77.735399999999998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0.99083348968676133</v>
          </cell>
          <cell r="O246">
            <v>9.1665103132386131E-3</v>
          </cell>
          <cell r="P246" t="e">
            <v>#DIV/0!</v>
          </cell>
          <cell r="Q246" t="e">
            <v>#DIV/0!</v>
          </cell>
          <cell r="R246" t="e">
            <v>#DIV/0!</v>
          </cell>
          <cell r="S246" t="e">
            <v>#DIV/0!</v>
          </cell>
          <cell r="T246" t="e">
            <v>#DIV/0!</v>
          </cell>
          <cell r="U246" t="e">
            <v>#DIV/0!</v>
          </cell>
          <cell r="V246">
            <v>4156.6841142671874</v>
          </cell>
          <cell r="W246">
            <v>4036.5714023751584</v>
          </cell>
          <cell r="X246"/>
          <cell r="Y246"/>
          <cell r="Z246"/>
          <cell r="AA246"/>
          <cell r="AB246"/>
          <cell r="AC246"/>
          <cell r="AD246">
            <v>1593.3179179254121</v>
          </cell>
          <cell r="AE246">
            <v>14.740282074587922</v>
          </cell>
          <cell r="AF246">
            <v>1608.0581999999999</v>
          </cell>
          <cell r="AG246">
            <v>2.8792014074136132E-2</v>
          </cell>
          <cell r="AH246">
            <v>1712.3699912953762</v>
          </cell>
          <cell r="AI246">
            <v>1107.6168870000001</v>
          </cell>
          <cell r="AJ246">
            <v>1050.7740100000001</v>
          </cell>
          <cell r="AK246">
            <v>1219.17615</v>
          </cell>
          <cell r="AL246">
            <v>813.94855859999996</v>
          </cell>
          <cell r="AM246">
            <v>778.66339830000004</v>
          </cell>
          <cell r="AN246">
            <v>2368.4404130000003</v>
          </cell>
          <cell r="AO246">
            <v>629.00000970000008</v>
          </cell>
          <cell r="AP246">
            <v>159.6787516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1860.648558610161</v>
          </cell>
          <cell r="AX246">
            <v>6.7031206646794939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1813.5868634437977</v>
          </cell>
          <cell r="BH246">
            <v>3525.9568547391737</v>
          </cell>
          <cell r="BI246">
            <v>4155.5830998548772</v>
          </cell>
          <cell r="BJ246">
            <v>0.84848666721700461</v>
          </cell>
          <cell r="BK246">
            <v>0.41206491367124293</v>
          </cell>
          <cell r="BL246">
            <v>0.43642175354576174</v>
          </cell>
        </row>
        <row r="247">
          <cell r="A247" t="str">
            <v>AMRAVATI TPS3</v>
          </cell>
          <cell r="B247" t="str">
            <v>AMRAVATI TPS</v>
          </cell>
          <cell r="C247">
            <v>270</v>
          </cell>
          <cell r="D247" t="str">
            <v>RAIL</v>
          </cell>
          <cell r="E247" t="str">
            <v/>
          </cell>
          <cell r="F247">
            <v>20.832000000000001</v>
          </cell>
          <cell r="G247">
            <v>77.735399999999998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0.99083348968676133</v>
          </cell>
          <cell r="O247">
            <v>9.1665103132386131E-3</v>
          </cell>
          <cell r="P247" t="e">
            <v>#DIV/0!</v>
          </cell>
          <cell r="Q247" t="e">
            <v>#DIV/0!</v>
          </cell>
          <cell r="R247" t="e">
            <v>#DIV/0!</v>
          </cell>
          <cell r="S247" t="e">
            <v>#DIV/0!</v>
          </cell>
          <cell r="T247" t="e">
            <v>#DIV/0!</v>
          </cell>
          <cell r="U247" t="e">
            <v>#DIV/0!</v>
          </cell>
          <cell r="V247">
            <v>4156.6841142671874</v>
          </cell>
          <cell r="W247">
            <v>4036.5714023751584</v>
          </cell>
          <cell r="X247"/>
          <cell r="Y247"/>
          <cell r="Z247"/>
          <cell r="AA247"/>
          <cell r="AB247"/>
          <cell r="AC247"/>
          <cell r="AD247">
            <v>1593.3179179254121</v>
          </cell>
          <cell r="AE247">
            <v>14.740282074587922</v>
          </cell>
          <cell r="AF247">
            <v>1608.0581999999999</v>
          </cell>
          <cell r="AG247">
            <v>2.8792014074136132E-2</v>
          </cell>
          <cell r="AH247">
            <v>1712.3699912953762</v>
          </cell>
          <cell r="AI247">
            <v>1107.6168870000001</v>
          </cell>
          <cell r="AJ247">
            <v>1050.7740100000001</v>
          </cell>
          <cell r="AK247">
            <v>1219.17615</v>
          </cell>
          <cell r="AL247">
            <v>813.94855859999996</v>
          </cell>
          <cell r="AM247">
            <v>778.66339830000004</v>
          </cell>
          <cell r="AN247">
            <v>2368.4404130000003</v>
          </cell>
          <cell r="AO247">
            <v>629.00000970000008</v>
          </cell>
          <cell r="AP247">
            <v>159.6787516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1860.648558610161</v>
          </cell>
          <cell r="AX247">
            <v>6.7031206646794939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1813.5868634437977</v>
          </cell>
          <cell r="BH247">
            <v>3525.9568547391737</v>
          </cell>
          <cell r="BI247">
            <v>4155.5830998548772</v>
          </cell>
          <cell r="BJ247">
            <v>0.84848666721700461</v>
          </cell>
          <cell r="BK247">
            <v>0.41206491367124293</v>
          </cell>
          <cell r="BL247">
            <v>0.43642175354576174</v>
          </cell>
        </row>
        <row r="248">
          <cell r="A248" t="str">
            <v>ROSA TPP PH-I2</v>
          </cell>
          <cell r="B248" t="str">
            <v>ROSA TPP PH-I</v>
          </cell>
          <cell r="C248">
            <v>300</v>
          </cell>
          <cell r="D248" t="str">
            <v>RAIL</v>
          </cell>
          <cell r="E248" t="str">
            <v/>
          </cell>
          <cell r="F248">
            <v>27.819400000000002</v>
          </cell>
          <cell r="G248">
            <v>79.937200000000004</v>
          </cell>
          <cell r="H248">
            <v>0</v>
          </cell>
          <cell r="I248">
            <v>1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 t="e">
            <v>#DIV/0!</v>
          </cell>
          <cell r="Q248">
            <v>4422.9034140906479</v>
          </cell>
          <cell r="R248" t="e">
            <v>#DIV/0!</v>
          </cell>
          <cell r="S248" t="e">
            <v>#DIV/0!</v>
          </cell>
          <cell r="T248" t="e">
            <v>#DIV/0!</v>
          </cell>
          <cell r="U248" t="e">
            <v>#DIV/0!</v>
          </cell>
          <cell r="V248" t="e">
            <v>#DIV/0!</v>
          </cell>
          <cell r="W248" t="e">
            <v>#DIV/0!</v>
          </cell>
          <cell r="X248"/>
          <cell r="Y248">
            <v>1693.8969600000003</v>
          </cell>
          <cell r="Z248"/>
          <cell r="AA248"/>
          <cell r="AB248"/>
          <cell r="AC248"/>
          <cell r="AD248"/>
          <cell r="AE248"/>
          <cell r="AF248">
            <v>1693.8969600000003</v>
          </cell>
          <cell r="AG248">
            <v>0</v>
          </cell>
          <cell r="AH248">
            <v>1693.8969600000003</v>
          </cell>
          <cell r="AI248">
            <v>836.46864659999994</v>
          </cell>
          <cell r="AJ248">
            <v>833.0559677</v>
          </cell>
          <cell r="AK248">
            <v>931.65126759999998</v>
          </cell>
          <cell r="AL248">
            <v>1059.380582</v>
          </cell>
          <cell r="AM248">
            <v>588.87633999999991</v>
          </cell>
          <cell r="AN248">
            <v>1975.0672930000001</v>
          </cell>
          <cell r="AO248">
            <v>809.09878349999997</v>
          </cell>
          <cell r="AP248">
            <v>871.29420030000006</v>
          </cell>
          <cell r="AQ248">
            <v>0</v>
          </cell>
          <cell r="AR248">
            <v>2182.2779999999998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2182.2779999999998</v>
          </cell>
          <cell r="BH248">
            <v>3876.1749600000003</v>
          </cell>
          <cell r="BI248">
            <v>4422.9034140906479</v>
          </cell>
          <cell r="BJ248">
            <v>0.87638697866454418</v>
          </cell>
          <cell r="BK248">
            <v>0.38298303205164308</v>
          </cell>
          <cell r="BL248">
            <v>0.49340394661290105</v>
          </cell>
        </row>
        <row r="249">
          <cell r="A249" t="str">
            <v>PATHADI TPS2</v>
          </cell>
          <cell r="B249" t="str">
            <v>PATHADI TPS</v>
          </cell>
          <cell r="C249">
            <v>300</v>
          </cell>
          <cell r="D249"/>
          <cell r="E249" t="str">
            <v/>
          </cell>
          <cell r="F249">
            <v>22.2456</v>
          </cell>
          <cell r="G249">
            <v>82.723299999999995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1</v>
          </cell>
          <cell r="O249">
            <v>0</v>
          </cell>
          <cell r="P249" t="e">
            <v>#DIV/0!</v>
          </cell>
          <cell r="Q249" t="e">
            <v>#DIV/0!</v>
          </cell>
          <cell r="R249" t="e">
            <v>#DIV/0!</v>
          </cell>
          <cell r="S249" t="e">
            <v>#DIV/0!</v>
          </cell>
          <cell r="T249" t="e">
            <v>#DIV/0!</v>
          </cell>
          <cell r="U249" t="e">
            <v>#DIV/0!</v>
          </cell>
          <cell r="V249">
            <v>4145.9303839930444</v>
          </cell>
          <cell r="W249" t="e">
            <v>#DIV/0!</v>
          </cell>
          <cell r="X249"/>
          <cell r="Y249"/>
          <cell r="Z249"/>
          <cell r="AA249"/>
          <cell r="AB249"/>
          <cell r="AC249"/>
          <cell r="AD249">
            <v>1608.0582000000002</v>
          </cell>
          <cell r="AE249"/>
          <cell r="AF249">
            <v>1608.0582000000002</v>
          </cell>
          <cell r="AG249">
            <v>0</v>
          </cell>
          <cell r="AH249">
            <v>1608.0582000000002</v>
          </cell>
          <cell r="AI249">
            <v>500.95590340000001</v>
          </cell>
          <cell r="AJ249">
            <v>444.11302620000004</v>
          </cell>
          <cell r="AK249">
            <v>612.51516609999999</v>
          </cell>
          <cell r="AL249">
            <v>302.4946774</v>
          </cell>
          <cell r="AM249">
            <v>330.8113204</v>
          </cell>
          <cell r="AN249">
            <v>1823.446694</v>
          </cell>
          <cell r="AO249">
            <v>17.206254619999999</v>
          </cell>
          <cell r="AP249">
            <v>469.00795640000001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387.66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387.66</v>
          </cell>
          <cell r="BH249">
            <v>1995.7182000000003</v>
          </cell>
          <cell r="BI249">
            <v>4145.9303839930444</v>
          </cell>
          <cell r="BJ249">
            <v>0.48136799587982382</v>
          </cell>
          <cell r="BK249">
            <v>0.38786425507975869</v>
          </cell>
          <cell r="BL249">
            <v>9.3503740800065113E-2</v>
          </cell>
        </row>
        <row r="250">
          <cell r="A250" t="str">
            <v>NABI NAGAR TPP1</v>
          </cell>
          <cell r="B250" t="str">
            <v>NABI NAGAR TPP</v>
          </cell>
          <cell r="C250">
            <v>250</v>
          </cell>
          <cell r="D250" t="str">
            <v>RAIL</v>
          </cell>
          <cell r="E250" t="str">
            <v/>
          </cell>
          <cell r="F250">
            <v>24.705079999999999</v>
          </cell>
          <cell r="G250">
            <v>84.088738000000006</v>
          </cell>
          <cell r="H250">
            <v>0</v>
          </cell>
          <cell r="I250">
            <v>1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 t="e">
            <v>#DIV/0!</v>
          </cell>
          <cell r="Q250">
            <v>4277.0682910128971</v>
          </cell>
          <cell r="R250" t="e">
            <v>#DIV/0!</v>
          </cell>
          <cell r="S250" t="e">
            <v>#DIV/0!</v>
          </cell>
          <cell r="T250" t="e">
            <v>#DIV/0!</v>
          </cell>
          <cell r="U250" t="e">
            <v>#DIV/0!</v>
          </cell>
          <cell r="V250" t="e">
            <v>#DIV/0!</v>
          </cell>
          <cell r="W250" t="e">
            <v>#DIV/0!</v>
          </cell>
          <cell r="X250"/>
          <cell r="Y250">
            <v>1608.0582000000002</v>
          </cell>
          <cell r="Z250"/>
          <cell r="AA250"/>
          <cell r="AB250"/>
          <cell r="AC250"/>
          <cell r="AD250"/>
          <cell r="AE250"/>
          <cell r="AF250">
            <v>1608.0582000000002</v>
          </cell>
          <cell r="AG250">
            <v>0</v>
          </cell>
          <cell r="AH250">
            <v>1608.0582000000002</v>
          </cell>
          <cell r="AI250">
            <v>287.16155579999997</v>
          </cell>
          <cell r="AJ250">
            <v>283.74887689999997</v>
          </cell>
          <cell r="AK250">
            <v>382.34417690000004</v>
          </cell>
          <cell r="AL250">
            <v>514.76279810000005</v>
          </cell>
          <cell r="AM250">
            <v>191.21850889999999</v>
          </cell>
          <cell r="AN250">
            <v>1470.5819280000001</v>
          </cell>
          <cell r="AO250">
            <v>368.4087055</v>
          </cell>
          <cell r="AP250">
            <v>801.00344810000001</v>
          </cell>
          <cell r="AQ250">
            <v>0</v>
          </cell>
          <cell r="AR250">
            <v>1119.972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1119.972</v>
          </cell>
          <cell r="BH250">
            <v>2728.0302000000001</v>
          </cell>
          <cell r="BI250">
            <v>4277.0682910128971</v>
          </cell>
          <cell r="BJ250">
            <v>0.6378271316668519</v>
          </cell>
          <cell r="BK250">
            <v>0.37597206558027135</v>
          </cell>
          <cell r="BL250">
            <v>0.26185506608658049</v>
          </cell>
        </row>
        <row r="251">
          <cell r="A251" t="str">
            <v>PARLI TPS8</v>
          </cell>
          <cell r="B251" t="str">
            <v>PARLI TPS</v>
          </cell>
          <cell r="C251">
            <v>250</v>
          </cell>
          <cell r="D251" t="str">
            <v>RAIL</v>
          </cell>
          <cell r="E251">
            <v>1.1515509601181684</v>
          </cell>
          <cell r="F251">
            <v>18.907299999999999</v>
          </cell>
          <cell r="G251">
            <v>76.543700000000001</v>
          </cell>
          <cell r="H251">
            <v>0</v>
          </cell>
          <cell r="I251">
            <v>0</v>
          </cell>
          <cell r="J251">
            <v>0</v>
          </cell>
          <cell r="K251">
            <v>1.3371431378434143E-3</v>
          </cell>
          <cell r="L251">
            <v>0</v>
          </cell>
          <cell r="M251">
            <v>0</v>
          </cell>
          <cell r="N251">
            <v>0</v>
          </cell>
          <cell r="O251">
            <v>0.9986628568621565</v>
          </cell>
          <cell r="P251" t="e">
            <v>#DIV/0!</v>
          </cell>
          <cell r="Q251" t="e">
            <v>#DIV/0!</v>
          </cell>
          <cell r="R251" t="e">
            <v>#DIV/0!</v>
          </cell>
          <cell r="S251">
            <v>3250</v>
          </cell>
          <cell r="T251" t="e">
            <v>#DIV/0!</v>
          </cell>
          <cell r="U251" t="e">
            <v>#DIV/0!</v>
          </cell>
          <cell r="V251" t="e">
            <v>#DIV/0!</v>
          </cell>
          <cell r="W251">
            <v>4201.2184324598475</v>
          </cell>
          <cell r="X251"/>
          <cell r="Y251"/>
          <cell r="Z251"/>
          <cell r="AA251">
            <v>1.8058678606978693</v>
          </cell>
          <cell r="AB251"/>
          <cell r="AC251"/>
          <cell r="AD251"/>
          <cell r="AE251">
            <v>1605.9079960126171</v>
          </cell>
          <cell r="AF251">
            <v>1607.7138638733149</v>
          </cell>
          <cell r="AG251">
            <v>0</v>
          </cell>
          <cell r="AH251">
            <v>1607.7138638733149</v>
          </cell>
          <cell r="AI251">
            <v>1358.8555309999999</v>
          </cell>
          <cell r="AJ251">
            <v>1302.0126540000001</v>
          </cell>
          <cell r="AK251">
            <v>1470.414794</v>
          </cell>
          <cell r="AL251">
            <v>1062.4736270000001</v>
          </cell>
          <cell r="AM251">
            <v>1065.029538</v>
          </cell>
          <cell r="AN251">
            <v>2654.8065529999999</v>
          </cell>
          <cell r="AO251">
            <v>880.23865359999991</v>
          </cell>
          <cell r="AP251">
            <v>429.82530479999997</v>
          </cell>
          <cell r="AQ251">
            <v>0</v>
          </cell>
          <cell r="AR251">
            <v>0</v>
          </cell>
          <cell r="AS251">
            <v>0</v>
          </cell>
          <cell r="AT251">
            <v>3.567340108875964</v>
          </cell>
          <cell r="AU251">
            <v>0</v>
          </cell>
          <cell r="AV251">
            <v>0</v>
          </cell>
          <cell r="AW251">
            <v>0</v>
          </cell>
          <cell r="AX251">
            <v>1442.4906010345501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1446.057941143426</v>
          </cell>
          <cell r="BH251">
            <v>3053.7718050167409</v>
          </cell>
          <cell r="BI251">
            <v>4199.9465172602941</v>
          </cell>
          <cell r="BJ251">
            <v>0.72709778385672752</v>
          </cell>
          <cell r="BK251">
            <v>0.3827938896998283</v>
          </cell>
          <cell r="BL251">
            <v>0.34430389415689927</v>
          </cell>
        </row>
        <row r="252">
          <cell r="A252" t="str">
            <v>ROSA TPP PH-I1</v>
          </cell>
          <cell r="B252" t="str">
            <v>ROSA TPP PH-I</v>
          </cell>
          <cell r="C252">
            <v>300</v>
          </cell>
          <cell r="D252" t="str">
            <v>RAIL</v>
          </cell>
          <cell r="E252" t="str">
            <v/>
          </cell>
          <cell r="F252">
            <v>27.819400000000002</v>
          </cell>
          <cell r="G252">
            <v>79.937200000000004</v>
          </cell>
          <cell r="H252">
            <v>0</v>
          </cell>
          <cell r="I252">
            <v>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 t="e">
            <v>#DIV/0!</v>
          </cell>
          <cell r="Q252">
            <v>4422.9034140906479</v>
          </cell>
          <cell r="R252" t="e">
            <v>#DIV/0!</v>
          </cell>
          <cell r="S252" t="e">
            <v>#DIV/0!</v>
          </cell>
          <cell r="T252" t="e">
            <v>#DIV/0!</v>
          </cell>
          <cell r="U252" t="e">
            <v>#DIV/0!</v>
          </cell>
          <cell r="V252" t="e">
            <v>#DIV/0!</v>
          </cell>
          <cell r="W252" t="e">
            <v>#DIV/0!</v>
          </cell>
          <cell r="X252"/>
          <cell r="Y252">
            <v>1693.8969600000003</v>
          </cell>
          <cell r="Z252"/>
          <cell r="AA252"/>
          <cell r="AB252"/>
          <cell r="AC252"/>
          <cell r="AD252"/>
          <cell r="AE252"/>
          <cell r="AF252">
            <v>1693.8969600000003</v>
          </cell>
          <cell r="AG252">
            <v>0</v>
          </cell>
          <cell r="AH252">
            <v>1693.8969600000003</v>
          </cell>
          <cell r="AI252">
            <v>836.46864659999994</v>
          </cell>
          <cell r="AJ252">
            <v>833.0559677</v>
          </cell>
          <cell r="AK252">
            <v>931.65126759999998</v>
          </cell>
          <cell r="AL252">
            <v>1059.380582</v>
          </cell>
          <cell r="AM252">
            <v>588.87633999999991</v>
          </cell>
          <cell r="AN252">
            <v>1975.0672930000001</v>
          </cell>
          <cell r="AO252">
            <v>809.09878349999997</v>
          </cell>
          <cell r="AP252">
            <v>871.29420030000006</v>
          </cell>
          <cell r="AQ252">
            <v>0</v>
          </cell>
          <cell r="AR252">
            <v>2182.2779999999998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2182.2779999999998</v>
          </cell>
          <cell r="BH252">
            <v>3876.1749600000003</v>
          </cell>
          <cell r="BI252">
            <v>4422.9034140906479</v>
          </cell>
          <cell r="BJ252">
            <v>0.87638697866454418</v>
          </cell>
          <cell r="BK252">
            <v>0.38298303205164308</v>
          </cell>
          <cell r="BL252">
            <v>0.49340394661290105</v>
          </cell>
        </row>
        <row r="253">
          <cell r="A253" t="str">
            <v>AMRAVATI TPS2</v>
          </cell>
          <cell r="B253" t="str">
            <v>AMRAVATI TPS</v>
          </cell>
          <cell r="C253">
            <v>270</v>
          </cell>
          <cell r="D253" t="str">
            <v>RAIL</v>
          </cell>
          <cell r="E253" t="str">
            <v/>
          </cell>
          <cell r="F253">
            <v>20.832000000000001</v>
          </cell>
          <cell r="G253">
            <v>77.735399999999998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0.99083348968676133</v>
          </cell>
          <cell r="O253">
            <v>9.1665103132386131E-3</v>
          </cell>
          <cell r="P253" t="e">
            <v>#DIV/0!</v>
          </cell>
          <cell r="Q253" t="e">
            <v>#DIV/0!</v>
          </cell>
          <cell r="R253" t="e">
            <v>#DIV/0!</v>
          </cell>
          <cell r="S253" t="e">
            <v>#DIV/0!</v>
          </cell>
          <cell r="T253" t="e">
            <v>#DIV/0!</v>
          </cell>
          <cell r="U253" t="e">
            <v>#DIV/0!</v>
          </cell>
          <cell r="V253">
            <v>4156.6841142671874</v>
          </cell>
          <cell r="W253">
            <v>4036.5714023751584</v>
          </cell>
          <cell r="X253"/>
          <cell r="Y253"/>
          <cell r="Z253"/>
          <cell r="AA253"/>
          <cell r="AB253"/>
          <cell r="AC253"/>
          <cell r="AD253">
            <v>1593.3179179254121</v>
          </cell>
          <cell r="AE253">
            <v>14.740282074587922</v>
          </cell>
          <cell r="AF253">
            <v>1608.0581999999999</v>
          </cell>
          <cell r="AG253">
            <v>2.8792014074136132E-2</v>
          </cell>
          <cell r="AH253">
            <v>1712.3699912953762</v>
          </cell>
          <cell r="AI253">
            <v>1107.6168870000001</v>
          </cell>
          <cell r="AJ253">
            <v>1050.7740100000001</v>
          </cell>
          <cell r="AK253">
            <v>1219.17615</v>
          </cell>
          <cell r="AL253">
            <v>813.94855859999996</v>
          </cell>
          <cell r="AM253">
            <v>778.66339830000004</v>
          </cell>
          <cell r="AN253">
            <v>2368.4404130000003</v>
          </cell>
          <cell r="AO253">
            <v>629.00000970000008</v>
          </cell>
          <cell r="AP253">
            <v>159.6787516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1860.648558610161</v>
          </cell>
          <cell r="AX253">
            <v>6.7031206646794939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1813.5868634437977</v>
          </cell>
          <cell r="BH253">
            <v>3525.9568547391737</v>
          </cell>
          <cell r="BI253">
            <v>4155.5830998548772</v>
          </cell>
          <cell r="BJ253">
            <v>0.84848666721700461</v>
          </cell>
          <cell r="BK253">
            <v>0.41206491367124293</v>
          </cell>
          <cell r="BL253">
            <v>0.43642175354576174</v>
          </cell>
        </row>
        <row r="254">
          <cell r="A254" t="str">
            <v>MAHADEV PRASAD STPP2</v>
          </cell>
          <cell r="B254" t="str">
            <v>MAHADEV PRASAD STPP</v>
          </cell>
          <cell r="C254">
            <v>270</v>
          </cell>
          <cell r="D254"/>
          <cell r="E254">
            <v>1.0376138701146047</v>
          </cell>
          <cell r="F254">
            <v>22.836600000000001</v>
          </cell>
          <cell r="G254">
            <v>86.062399999999997</v>
          </cell>
          <cell r="H254">
            <v>0.357200982080353</v>
          </cell>
          <cell r="I254">
            <v>0.64279901791964689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4317.3815900042309</v>
          </cell>
          <cell r="Q254">
            <v>4187.219285698493</v>
          </cell>
          <cell r="R254" t="e">
            <v>#DIV/0!</v>
          </cell>
          <cell r="S254" t="e">
            <v>#DIV/0!</v>
          </cell>
          <cell r="T254" t="e">
            <v>#DIV/0!</v>
          </cell>
          <cell r="U254" t="e">
            <v>#DIV/0!</v>
          </cell>
          <cell r="V254" t="e">
            <v>#DIV/0!</v>
          </cell>
          <cell r="W254" t="e">
            <v>#DIV/0!</v>
          </cell>
          <cell r="X254">
            <v>605.06165765492449</v>
          </cell>
          <cell r="Y254">
            <v>1033.6582317176353</v>
          </cell>
          <cell r="Z254"/>
          <cell r="AA254"/>
          <cell r="AB254"/>
          <cell r="AC254"/>
          <cell r="AD254"/>
          <cell r="AE254"/>
          <cell r="AF254">
            <v>1638.7198893725599</v>
          </cell>
          <cell r="AG254">
            <v>1.6422389830472372E-3</v>
          </cell>
          <cell r="AH254">
            <v>1644.6192718082575</v>
          </cell>
          <cell r="AI254">
            <v>171.90476379999998</v>
          </cell>
          <cell r="AJ254">
            <v>172.17835410000001</v>
          </cell>
          <cell r="AK254">
            <v>283.46402649999999</v>
          </cell>
          <cell r="AL254">
            <v>287.8451475</v>
          </cell>
          <cell r="AM254">
            <v>434.33830749999998</v>
          </cell>
          <cell r="AN254">
            <v>1519.1240989999999</v>
          </cell>
          <cell r="AO254">
            <v>447.32157309999997</v>
          </cell>
          <cell r="AP254">
            <v>849.3065292</v>
          </cell>
          <cell r="AQ254">
            <v>261.20750455804307</v>
          </cell>
          <cell r="AR254">
            <v>470.05449544195676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730.06109303677874</v>
          </cell>
          <cell r="BH254">
            <v>2374.6803648450364</v>
          </cell>
          <cell r="BI254">
            <v>4233.7133886263427</v>
          </cell>
          <cell r="BJ254">
            <v>0.56089776205080277</v>
          </cell>
          <cell r="BK254">
            <v>0.3884578668519329</v>
          </cell>
          <cell r="BL254">
            <v>0.17243989519886987</v>
          </cell>
        </row>
        <row r="255">
          <cell r="A255" t="str">
            <v>PATHADI TPS1</v>
          </cell>
          <cell r="B255" t="str">
            <v>PATHADI TPS</v>
          </cell>
          <cell r="C255">
            <v>300</v>
          </cell>
          <cell r="D255"/>
          <cell r="E255" t="str">
            <v/>
          </cell>
          <cell r="F255">
            <v>22.2456</v>
          </cell>
          <cell r="G255">
            <v>82.723299999999995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1</v>
          </cell>
          <cell r="O255">
            <v>0</v>
          </cell>
          <cell r="P255" t="e">
            <v>#DIV/0!</v>
          </cell>
          <cell r="Q255" t="e">
            <v>#DIV/0!</v>
          </cell>
          <cell r="R255" t="e">
            <v>#DIV/0!</v>
          </cell>
          <cell r="S255" t="e">
            <v>#DIV/0!</v>
          </cell>
          <cell r="T255" t="e">
            <v>#DIV/0!</v>
          </cell>
          <cell r="U255" t="e">
            <v>#DIV/0!</v>
          </cell>
          <cell r="V255">
            <v>4145.9303839930444</v>
          </cell>
          <cell r="W255" t="e">
            <v>#DIV/0!</v>
          </cell>
          <cell r="X255"/>
          <cell r="Y255"/>
          <cell r="Z255"/>
          <cell r="AA255"/>
          <cell r="AB255"/>
          <cell r="AC255"/>
          <cell r="AD255">
            <v>1608.0582000000002</v>
          </cell>
          <cell r="AE255"/>
          <cell r="AF255">
            <v>1608.0582000000002</v>
          </cell>
          <cell r="AG255">
            <v>0</v>
          </cell>
          <cell r="AH255">
            <v>1608.0582000000002</v>
          </cell>
          <cell r="AI255">
            <v>500.95590340000001</v>
          </cell>
          <cell r="AJ255">
            <v>444.11302620000004</v>
          </cell>
          <cell r="AK255">
            <v>612.51516609999999</v>
          </cell>
          <cell r="AL255">
            <v>302.4946774</v>
          </cell>
          <cell r="AM255">
            <v>330.8113204</v>
          </cell>
          <cell r="AN255">
            <v>1823.446694</v>
          </cell>
          <cell r="AO255">
            <v>17.206254619999999</v>
          </cell>
          <cell r="AP255">
            <v>469.00795640000001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387.66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387.66</v>
          </cell>
          <cell r="BH255">
            <v>1995.7182000000003</v>
          </cell>
          <cell r="BI255">
            <v>4145.9303839930444</v>
          </cell>
          <cell r="BJ255">
            <v>0.48136799587982382</v>
          </cell>
          <cell r="BK255">
            <v>0.38786425507975869</v>
          </cell>
          <cell r="BL255">
            <v>9.3503740800065113E-2</v>
          </cell>
        </row>
        <row r="256">
          <cell r="A256" t="str">
            <v>MAHADEV PRASAD STPP1</v>
          </cell>
          <cell r="B256" t="str">
            <v>MAHADEV PRASAD STPP</v>
          </cell>
          <cell r="C256">
            <v>270</v>
          </cell>
          <cell r="D256"/>
          <cell r="E256">
            <v>1.0376138701146047</v>
          </cell>
          <cell r="F256">
            <v>22.836600000000001</v>
          </cell>
          <cell r="G256">
            <v>86.062399999999997</v>
          </cell>
          <cell r="H256">
            <v>0.357200982080353</v>
          </cell>
          <cell r="I256">
            <v>0.64279901791964689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4317.3815900042309</v>
          </cell>
          <cell r="Q256">
            <v>4187.219285698493</v>
          </cell>
          <cell r="R256" t="e">
            <v>#DIV/0!</v>
          </cell>
          <cell r="S256" t="e">
            <v>#DIV/0!</v>
          </cell>
          <cell r="T256" t="e">
            <v>#DIV/0!</v>
          </cell>
          <cell r="U256" t="e">
            <v>#DIV/0!</v>
          </cell>
          <cell r="V256" t="e">
            <v>#DIV/0!</v>
          </cell>
          <cell r="W256" t="e">
            <v>#DIV/0!</v>
          </cell>
          <cell r="X256">
            <v>605.06165765492449</v>
          </cell>
          <cell r="Y256">
            <v>1033.6582317176353</v>
          </cell>
          <cell r="Z256"/>
          <cell r="AA256"/>
          <cell r="AB256"/>
          <cell r="AC256"/>
          <cell r="AD256"/>
          <cell r="AE256"/>
          <cell r="AF256">
            <v>1638.7198893725599</v>
          </cell>
          <cell r="AG256">
            <v>1.6422389830472372E-3</v>
          </cell>
          <cell r="AH256">
            <v>1644.6192718082575</v>
          </cell>
          <cell r="AI256">
            <v>171.90476379999998</v>
          </cell>
          <cell r="AJ256">
            <v>172.17835410000001</v>
          </cell>
          <cell r="AK256">
            <v>283.46402649999999</v>
          </cell>
          <cell r="AL256">
            <v>287.8451475</v>
          </cell>
          <cell r="AM256">
            <v>434.33830749999998</v>
          </cell>
          <cell r="AN256">
            <v>1519.1240989999999</v>
          </cell>
          <cell r="AO256">
            <v>447.32157309999997</v>
          </cell>
          <cell r="AP256">
            <v>849.3065292</v>
          </cell>
          <cell r="AQ256">
            <v>261.20750455804307</v>
          </cell>
          <cell r="AR256">
            <v>470.05449544195676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730.06109303677874</v>
          </cell>
          <cell r="BH256">
            <v>2374.6803648450364</v>
          </cell>
          <cell r="BI256">
            <v>4233.7133886263427</v>
          </cell>
          <cell r="BJ256">
            <v>0.56089776205080277</v>
          </cell>
          <cell r="BK256">
            <v>0.3884578668519329</v>
          </cell>
          <cell r="BL256">
            <v>0.17243989519886987</v>
          </cell>
        </row>
        <row r="257">
          <cell r="A257" t="str">
            <v>BONGAIGAON TPS1</v>
          </cell>
          <cell r="B257" t="str">
            <v>BONGAIGAON TPS</v>
          </cell>
          <cell r="C257">
            <v>250</v>
          </cell>
          <cell r="D257" t="str">
            <v>RAIL</v>
          </cell>
          <cell r="E257">
            <v>0.9998398462524023</v>
          </cell>
          <cell r="F257">
            <v>26.512892560000001</v>
          </cell>
          <cell r="G257">
            <v>90.54938774</v>
          </cell>
          <cell r="H257">
            <v>0</v>
          </cell>
          <cell r="I257">
            <v>3.2648815444611262E-2</v>
          </cell>
          <cell r="J257">
            <v>0.63332694469359585</v>
          </cell>
          <cell r="K257">
            <v>0</v>
          </cell>
          <cell r="L257">
            <v>0</v>
          </cell>
          <cell r="M257">
            <v>0.33402423986179286</v>
          </cell>
          <cell r="N257">
            <v>0</v>
          </cell>
          <cell r="O257">
            <v>0</v>
          </cell>
          <cell r="P257" t="e">
            <v>#DIV/0!</v>
          </cell>
          <cell r="Q257">
            <v>4314.6568248760868</v>
          </cell>
          <cell r="R257">
            <v>5850.0808947052128</v>
          </cell>
          <cell r="S257" t="e">
            <v>#DIV/0!</v>
          </cell>
          <cell r="T257" t="e">
            <v>#DIV/0!</v>
          </cell>
          <cell r="U257">
            <v>6473.1394312773282</v>
          </cell>
          <cell r="V257" t="e">
            <v>#DIV/0!</v>
          </cell>
          <cell r="W257" t="e">
            <v>#DIV/0!</v>
          </cell>
          <cell r="X257"/>
          <cell r="Y257">
            <v>55.303729229228075</v>
          </cell>
          <cell r="Z257">
            <v>2422.435967852422</v>
          </cell>
          <cell r="AA257"/>
          <cell r="AB257"/>
          <cell r="AC257">
            <v>1446.7464170264516</v>
          </cell>
          <cell r="AD257"/>
          <cell r="AE257"/>
          <cell r="AF257">
            <v>3924.4861141081014</v>
          </cell>
          <cell r="AG257">
            <v>7.979458010659737E-3</v>
          </cell>
          <cell r="AH257">
            <v>3934.9113868009199</v>
          </cell>
          <cell r="AI257">
            <v>722.68852520000007</v>
          </cell>
          <cell r="AJ257">
            <v>770.39331949999985</v>
          </cell>
          <cell r="AK257">
            <v>632.57700060000002</v>
          </cell>
          <cell r="AL257">
            <v>1149.164225</v>
          </cell>
          <cell r="AM257">
            <v>1012.364242</v>
          </cell>
          <cell r="AN257">
            <v>633.70184759999995</v>
          </cell>
          <cell r="AO257">
            <v>1182.6276340000002</v>
          </cell>
          <cell r="AP257">
            <v>1602.097788</v>
          </cell>
          <cell r="AQ257">
            <v>0</v>
          </cell>
          <cell r="AR257">
            <v>67.036310906909847</v>
          </cell>
          <cell r="AS257">
            <v>1189.3006030162053</v>
          </cell>
          <cell r="AT257">
            <v>0</v>
          </cell>
          <cell r="AU257">
            <v>0</v>
          </cell>
          <cell r="AV257">
            <v>627.25142711534613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1868.5583269617769</v>
          </cell>
          <cell r="BH257">
            <v>5803.4697137626972</v>
          </cell>
          <cell r="BI257">
            <v>6008.0677716880546</v>
          </cell>
          <cell r="BJ257">
            <v>0.96594611350932336</v>
          </cell>
          <cell r="BK257">
            <v>0.65493791620385611</v>
          </cell>
          <cell r="BL257">
            <v>0.31100819730546714</v>
          </cell>
        </row>
        <row r="258">
          <cell r="A258" t="str">
            <v>AMRAVATI TPS1</v>
          </cell>
          <cell r="B258" t="str">
            <v>AMRAVATI TPS</v>
          </cell>
          <cell r="C258">
            <v>270</v>
          </cell>
          <cell r="D258" t="str">
            <v>RAIL</v>
          </cell>
          <cell r="E258" t="str">
            <v/>
          </cell>
          <cell r="F258">
            <v>20.832000000000001</v>
          </cell>
          <cell r="G258">
            <v>77.735399999999998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0.99083348968676133</v>
          </cell>
          <cell r="O258">
            <v>9.1665103132386131E-3</v>
          </cell>
          <cell r="P258" t="e">
            <v>#DIV/0!</v>
          </cell>
          <cell r="Q258" t="e">
            <v>#DIV/0!</v>
          </cell>
          <cell r="R258" t="e">
            <v>#DIV/0!</v>
          </cell>
          <cell r="S258" t="e">
            <v>#DIV/0!</v>
          </cell>
          <cell r="T258" t="e">
            <v>#DIV/0!</v>
          </cell>
          <cell r="U258" t="e">
            <v>#DIV/0!</v>
          </cell>
          <cell r="V258">
            <v>4156.6841142671874</v>
          </cell>
          <cell r="W258">
            <v>4036.5714023751584</v>
          </cell>
          <cell r="X258"/>
          <cell r="Y258"/>
          <cell r="Z258"/>
          <cell r="AA258"/>
          <cell r="AB258"/>
          <cell r="AC258"/>
          <cell r="AD258">
            <v>1593.3179179254121</v>
          </cell>
          <cell r="AE258">
            <v>14.740282074587922</v>
          </cell>
          <cell r="AF258">
            <v>1608.0581999999999</v>
          </cell>
          <cell r="AG258">
            <v>2.8792014074136132E-2</v>
          </cell>
          <cell r="AH258">
            <v>1712.3699912953762</v>
          </cell>
          <cell r="AI258">
            <v>1107.6168870000001</v>
          </cell>
          <cell r="AJ258">
            <v>1050.7740100000001</v>
          </cell>
          <cell r="AK258">
            <v>1219.17615</v>
          </cell>
          <cell r="AL258">
            <v>813.94855859999996</v>
          </cell>
          <cell r="AM258">
            <v>778.66339830000004</v>
          </cell>
          <cell r="AN258">
            <v>2368.4404130000003</v>
          </cell>
          <cell r="AO258">
            <v>629.00000970000008</v>
          </cell>
          <cell r="AP258">
            <v>159.6787516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1860.648558610161</v>
          </cell>
          <cell r="AX258">
            <v>6.7031206646794939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1813.5868634437977</v>
          </cell>
          <cell r="BH258">
            <v>3525.9568547391737</v>
          </cell>
          <cell r="BI258">
            <v>4155.5830998548772</v>
          </cell>
          <cell r="BJ258">
            <v>0.84848666721700461</v>
          </cell>
          <cell r="BK258">
            <v>0.41206491367124293</v>
          </cell>
          <cell r="BL258">
            <v>0.43642175354576174</v>
          </cell>
        </row>
        <row r="259">
          <cell r="A259" t="str">
            <v>SAGARDIGHI TPS1</v>
          </cell>
          <cell r="B259" t="str">
            <v>SAGARDIGHI TPS</v>
          </cell>
          <cell r="C259">
            <v>300</v>
          </cell>
          <cell r="D259" t="str">
            <v>RAIL</v>
          </cell>
          <cell r="E259">
            <v>0.89534883720930236</v>
          </cell>
          <cell r="F259">
            <v>24.364699999999999</v>
          </cell>
          <cell r="G259">
            <v>88.108400000000003</v>
          </cell>
          <cell r="H259">
            <v>0.11968449293995434</v>
          </cell>
          <cell r="I259">
            <v>2.7015749270536397E-2</v>
          </cell>
          <cell r="J259">
            <v>0.85329975778950917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4243.6269984843111</v>
          </cell>
          <cell r="Q259">
            <v>4362.6090134852402</v>
          </cell>
          <cell r="R259">
            <v>6117.625830960058</v>
          </cell>
          <cell r="S259" t="e">
            <v>#DIV/0!</v>
          </cell>
          <cell r="T259" t="e">
            <v>#DIV/0!</v>
          </cell>
          <cell r="U259" t="e">
            <v>#DIV/0!</v>
          </cell>
          <cell r="V259" t="e">
            <v>#DIV/0!</v>
          </cell>
          <cell r="W259" t="e">
            <v>#DIV/0!</v>
          </cell>
          <cell r="X259">
            <v>192.45963028493571</v>
          </cell>
          <cell r="Y259">
            <v>45.761895561483826</v>
          </cell>
          <cell r="Z259">
            <v>3543.0029903129766</v>
          </cell>
          <cell r="AA259"/>
          <cell r="AB259"/>
          <cell r="AC259"/>
          <cell r="AD259"/>
          <cell r="AE259"/>
          <cell r="AF259">
            <v>3781.224516159396</v>
          </cell>
          <cell r="AG259">
            <v>6.5371616889120401E-4</v>
          </cell>
          <cell r="AH259">
            <v>3782.1722578344447</v>
          </cell>
          <cell r="AI259">
            <v>228.69749340000001</v>
          </cell>
          <cell r="AJ259">
            <v>304.2342041</v>
          </cell>
          <cell r="AK259">
            <v>122.4456533</v>
          </cell>
          <cell r="AL259">
            <v>610.7552404999999</v>
          </cell>
          <cell r="AM259">
            <v>633.95052740000006</v>
          </cell>
          <cell r="AN259">
            <v>1206.600946</v>
          </cell>
          <cell r="AO259">
            <v>703.82183810000004</v>
          </cell>
          <cell r="AP259">
            <v>1161.249748</v>
          </cell>
          <cell r="AQ259">
            <v>115.23821402723505</v>
          </cell>
          <cell r="AR259">
            <v>30.25688274202119</v>
          </cell>
          <cell r="AS259">
            <v>517.43755992452714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662.49928689721673</v>
          </cell>
          <cell r="BH259">
            <v>4444.6715447316619</v>
          </cell>
          <cell r="BI259">
            <v>5845.9241366186579</v>
          </cell>
          <cell r="BJ259">
            <v>0.76030263836138412</v>
          </cell>
          <cell r="BK259">
            <v>0.64697593903811612</v>
          </cell>
          <cell r="BL259">
            <v>0.11332669932326783</v>
          </cell>
        </row>
        <row r="260">
          <cell r="A260" t="str">
            <v>CHHABRA TPS4</v>
          </cell>
          <cell r="B260" t="str">
            <v>CHHABRA TPS</v>
          </cell>
          <cell r="C260">
            <v>250</v>
          </cell>
          <cell r="D260" t="str">
            <v>RAIL</v>
          </cell>
          <cell r="E260">
            <v>0.90887629839471196</v>
          </cell>
          <cell r="F260">
            <v>24.621500000000001</v>
          </cell>
          <cell r="G260">
            <v>77.035399999999996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1</v>
          </cell>
          <cell r="O260">
            <v>0</v>
          </cell>
          <cell r="P260" t="e">
            <v>#DIV/0!</v>
          </cell>
          <cell r="Q260" t="e">
            <v>#DIV/0!</v>
          </cell>
          <cell r="R260" t="e">
            <v>#DIV/0!</v>
          </cell>
          <cell r="S260" t="e">
            <v>#DIV/0!</v>
          </cell>
          <cell r="T260" t="e">
            <v>#DIV/0!</v>
          </cell>
          <cell r="U260" t="e">
            <v>#DIV/0!</v>
          </cell>
          <cell r="V260">
            <v>4431.9195703193527</v>
          </cell>
          <cell r="W260" t="e">
            <v>#DIV/0!</v>
          </cell>
          <cell r="X260"/>
          <cell r="Y260"/>
          <cell r="Z260"/>
          <cell r="AA260"/>
          <cell r="AB260"/>
          <cell r="AC260"/>
          <cell r="AD260">
            <v>1693.8969600000003</v>
          </cell>
          <cell r="AE260"/>
          <cell r="AF260">
            <v>1693.8969600000003</v>
          </cell>
          <cell r="AG260">
            <v>0</v>
          </cell>
          <cell r="AH260">
            <v>1693.8969600000003</v>
          </cell>
          <cell r="AI260">
            <v>1097.2493449999999</v>
          </cell>
          <cell r="AJ260">
            <v>1082.8915999999999</v>
          </cell>
          <cell r="AK260">
            <v>1192.431967</v>
          </cell>
          <cell r="AL260">
            <v>1024.6149479999999</v>
          </cell>
          <cell r="AM260">
            <v>714.45789269999989</v>
          </cell>
          <cell r="AN260">
            <v>2244.7031269999998</v>
          </cell>
          <cell r="AO260">
            <v>738.10572640000009</v>
          </cell>
          <cell r="AP260">
            <v>528.62300659999994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1985.3400000000001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1985.3400000000001</v>
          </cell>
          <cell r="BH260">
            <v>3679.2369600000002</v>
          </cell>
          <cell r="BI260">
            <v>4431.9195703193527</v>
          </cell>
          <cell r="BJ260">
            <v>0.83016780914525568</v>
          </cell>
          <cell r="BK260">
            <v>0.38220390355097134</v>
          </cell>
          <cell r="BL260">
            <v>0.44796390559428445</v>
          </cell>
        </row>
        <row r="261">
          <cell r="A261" t="str">
            <v>YAMUNA NAGAR TPS2</v>
          </cell>
          <cell r="B261" t="str">
            <v>YAMUNA NAGAR TPS</v>
          </cell>
          <cell r="C261">
            <v>300</v>
          </cell>
          <cell r="D261" t="str">
            <v>RAIL</v>
          </cell>
          <cell r="E261"/>
          <cell r="F261">
            <v>30.107099999999999</v>
          </cell>
          <cell r="G261">
            <v>77.326599999999999</v>
          </cell>
          <cell r="H261">
            <v>0.13009722702434925</v>
          </cell>
          <cell r="I261">
            <v>0.8366884736695398</v>
          </cell>
          <cell r="J261">
            <v>1.6003819144995199E-2</v>
          </cell>
          <cell r="K261">
            <v>0</v>
          </cell>
          <cell r="L261">
            <v>1.7210480161115763E-2</v>
          </cell>
          <cell r="M261">
            <v>0</v>
          </cell>
          <cell r="N261">
            <v>0</v>
          </cell>
          <cell r="O261">
            <v>0</v>
          </cell>
          <cell r="P261">
            <v>4267.6239474777067</v>
          </cell>
          <cell r="Q261">
            <v>4198.7183386300112</v>
          </cell>
          <cell r="R261">
            <v>6160.071158960739</v>
          </cell>
          <cell r="S261" t="e">
            <v>#DIV/0!</v>
          </cell>
          <cell r="T261">
            <v>4332.1800989180038</v>
          </cell>
          <cell r="U261" t="e">
            <v>#DIV/0!</v>
          </cell>
          <cell r="V261" t="e">
            <v>#DIV/0!</v>
          </cell>
          <cell r="W261" t="e">
            <v>#DIV/0!</v>
          </cell>
          <cell r="X261">
            <v>209.20391271376644</v>
          </cell>
          <cell r="Y261">
            <v>1345.4437609297877</v>
          </cell>
          <cell r="Z261">
            <v>66.449777548317456</v>
          </cell>
          <cell r="AA261"/>
          <cell r="AB261">
            <v>29.152780025054305</v>
          </cell>
          <cell r="AC261"/>
          <cell r="AD261"/>
          <cell r="AE261"/>
          <cell r="AF261">
            <v>1650.2502312169258</v>
          </cell>
          <cell r="AG261">
            <v>0</v>
          </cell>
          <cell r="AH261">
            <v>1650.2502312169258</v>
          </cell>
          <cell r="AI261">
            <v>1221.4676880000002</v>
          </cell>
          <cell r="AJ261">
            <v>1218.0550090000002</v>
          </cell>
          <cell r="AK261">
            <v>1316.6503089999999</v>
          </cell>
          <cell r="AL261">
            <v>1444.3796240000001</v>
          </cell>
          <cell r="AM261">
            <v>973.87538170000005</v>
          </cell>
          <cell r="AN261">
            <v>2346.99548</v>
          </cell>
          <cell r="AO261">
            <v>1172.6736969999999</v>
          </cell>
          <cell r="AP261">
            <v>1144.1618040000001</v>
          </cell>
          <cell r="AQ261">
            <v>391.13002760399274</v>
          </cell>
          <cell r="AR261">
            <v>2478.5590798441194</v>
          </cell>
          <cell r="AS261">
            <v>50.802555501511051</v>
          </cell>
          <cell r="AT261">
            <v>0</v>
          </cell>
          <cell r="AU261">
            <v>43.011881283295359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2963.5035442329186</v>
          </cell>
          <cell r="BH261">
            <v>4613.7537754498444</v>
          </cell>
          <cell r="BI261">
            <v>4241.3688440613269</v>
          </cell>
          <cell r="BJ261">
            <v>1.0877982899105609</v>
          </cell>
          <cell r="BK261">
            <v>0.38908434797590657</v>
          </cell>
          <cell r="BL261">
            <v>0.69871394193465453</v>
          </cell>
        </row>
        <row r="262">
          <cell r="A262" t="str">
            <v>D.P.L. TPS8</v>
          </cell>
          <cell r="B262" t="str">
            <v>D.P.L. TPS</v>
          </cell>
          <cell r="C262">
            <v>250</v>
          </cell>
          <cell r="D262" t="str">
            <v>RAIL</v>
          </cell>
          <cell r="E262" t="str">
            <v/>
          </cell>
          <cell r="F262">
            <v>23.520456299999999</v>
          </cell>
          <cell r="G262">
            <v>87.308190499999995</v>
          </cell>
          <cell r="H262">
            <v>0.54941054606539264</v>
          </cell>
          <cell r="I262">
            <v>0</v>
          </cell>
          <cell r="J262">
            <v>0.28089542668656448</v>
          </cell>
          <cell r="K262">
            <v>0.16969402724804283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4561.789644274837</v>
          </cell>
          <cell r="Q262" t="e">
            <v>#DIV/0!</v>
          </cell>
          <cell r="R262">
            <v>5926.3472594631739</v>
          </cell>
          <cell r="S262">
            <v>3404.2547123981931</v>
          </cell>
          <cell r="T262" t="e">
            <v>#DIV/0!</v>
          </cell>
          <cell r="U262" t="e">
            <v>#DIV/0!</v>
          </cell>
          <cell r="V262" t="e">
            <v>#DIV/0!</v>
          </cell>
          <cell r="W262" t="e">
            <v>#DIV/0!</v>
          </cell>
          <cell r="X262">
            <v>930.64485377210872</v>
          </cell>
          <cell r="Y262"/>
          <cell r="Z262">
            <v>1074.4074454940328</v>
          </cell>
          <cell r="AA262">
            <v>243.74522225048233</v>
          </cell>
          <cell r="AB262"/>
          <cell r="AC262"/>
          <cell r="AD262"/>
          <cell r="AE262"/>
          <cell r="AF262">
            <v>2248.7975215166239</v>
          </cell>
          <cell r="AG262">
            <v>0</v>
          </cell>
          <cell r="AH262">
            <v>2248.7975215166239</v>
          </cell>
          <cell r="AI262">
            <v>102.58863267219999</v>
          </cell>
          <cell r="AJ262">
            <v>178.12534342570001</v>
          </cell>
          <cell r="AK262">
            <v>118.4082105043</v>
          </cell>
          <cell r="AL262">
            <v>456.78059455170001</v>
          </cell>
          <cell r="AM262">
            <v>520.42884178400004</v>
          </cell>
          <cell r="AN262">
            <v>1344.3501877379001</v>
          </cell>
          <cell r="AO262">
            <v>572.21973809959991</v>
          </cell>
          <cell r="AP262">
            <v>1024.3430402383001</v>
          </cell>
          <cell r="AQ262">
            <v>333.16035749186983</v>
          </cell>
          <cell r="AR262">
            <v>0</v>
          </cell>
          <cell r="AS262">
            <v>170.33386316102593</v>
          </cell>
          <cell r="AT262">
            <v>245.10978622567256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748.60400687856827</v>
          </cell>
          <cell r="BH262">
            <v>2997.4015283951921</v>
          </cell>
          <cell r="BI262">
            <v>4748.6608735611362</v>
          </cell>
          <cell r="BJ262">
            <v>0.6312098522519608</v>
          </cell>
          <cell r="BK262">
            <v>0.47356456512553524</v>
          </cell>
          <cell r="BL262">
            <v>0.15764528712642559</v>
          </cell>
        </row>
        <row r="263">
          <cell r="A263" t="str">
            <v>D.P.L. TPS7</v>
          </cell>
          <cell r="B263" t="str">
            <v>D.P.L. TPS</v>
          </cell>
          <cell r="C263">
            <v>300</v>
          </cell>
          <cell r="D263" t="str">
            <v>RAIL</v>
          </cell>
          <cell r="E263" t="str">
            <v/>
          </cell>
          <cell r="F263">
            <v>23.520456299999999</v>
          </cell>
          <cell r="G263">
            <v>87.308190499999995</v>
          </cell>
          <cell r="H263">
            <v>0.54941054606539264</v>
          </cell>
          <cell r="I263">
            <v>0</v>
          </cell>
          <cell r="J263">
            <v>0.28089542668656448</v>
          </cell>
          <cell r="K263">
            <v>0.16969402724804283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4561.789644274837</v>
          </cell>
          <cell r="Q263" t="e">
            <v>#DIV/0!</v>
          </cell>
          <cell r="R263">
            <v>5926.3472594631739</v>
          </cell>
          <cell r="S263">
            <v>3404.2547123981931</v>
          </cell>
          <cell r="T263" t="e">
            <v>#DIV/0!</v>
          </cell>
          <cell r="U263" t="e">
            <v>#DIV/0!</v>
          </cell>
          <cell r="V263" t="e">
            <v>#DIV/0!</v>
          </cell>
          <cell r="W263" t="e">
            <v>#DIV/0!</v>
          </cell>
          <cell r="X263">
            <v>930.64485377210872</v>
          </cell>
          <cell r="Y263"/>
          <cell r="Z263">
            <v>1074.4074454940328</v>
          </cell>
          <cell r="AA263">
            <v>243.74522225048233</v>
          </cell>
          <cell r="AB263"/>
          <cell r="AC263"/>
          <cell r="AD263"/>
          <cell r="AE263"/>
          <cell r="AF263">
            <v>2248.7975215166239</v>
          </cell>
          <cell r="AG263">
            <v>0</v>
          </cell>
          <cell r="AH263">
            <v>2248.7975215166239</v>
          </cell>
          <cell r="AI263">
            <v>102.58863267219999</v>
          </cell>
          <cell r="AJ263">
            <v>178.12534342570001</v>
          </cell>
          <cell r="AK263">
            <v>118.4082105043</v>
          </cell>
          <cell r="AL263">
            <v>456.78059455170001</v>
          </cell>
          <cell r="AM263">
            <v>520.42884178400004</v>
          </cell>
          <cell r="AN263">
            <v>1344.3501877379001</v>
          </cell>
          <cell r="AO263">
            <v>572.21973809959991</v>
          </cell>
          <cell r="AP263">
            <v>1024.3430402383001</v>
          </cell>
          <cell r="AQ263">
            <v>333.16035749186983</v>
          </cell>
          <cell r="AR263">
            <v>0</v>
          </cell>
          <cell r="AS263">
            <v>170.33386316102593</v>
          </cell>
          <cell r="AT263">
            <v>245.10978622567256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748.60400687856827</v>
          </cell>
          <cell r="BH263">
            <v>2997.4015283951921</v>
          </cell>
          <cell r="BI263">
            <v>4748.6608735611362</v>
          </cell>
          <cell r="BJ263">
            <v>0.6312098522519608</v>
          </cell>
          <cell r="BK263">
            <v>0.47356456512553524</v>
          </cell>
          <cell r="BL263">
            <v>0.15764528712642559</v>
          </cell>
        </row>
        <row r="264">
          <cell r="A264" t="str">
            <v>SAGARDIGHI TPS2</v>
          </cell>
          <cell r="B264" t="str">
            <v>SAGARDIGHI TPS</v>
          </cell>
          <cell r="C264">
            <v>300</v>
          </cell>
          <cell r="D264" t="str">
            <v>RAIL</v>
          </cell>
          <cell r="E264">
            <v>0.89534883720930236</v>
          </cell>
          <cell r="F264">
            <v>24.364699999999999</v>
          </cell>
          <cell r="G264">
            <v>88.108400000000003</v>
          </cell>
          <cell r="H264">
            <v>0.11968449293995434</v>
          </cell>
          <cell r="I264">
            <v>2.7015749270536397E-2</v>
          </cell>
          <cell r="J264">
            <v>0.85329975778950917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4243.6269984843111</v>
          </cell>
          <cell r="Q264">
            <v>4362.6090134852402</v>
          </cell>
          <cell r="R264">
            <v>6117.625830960058</v>
          </cell>
          <cell r="S264" t="e">
            <v>#DIV/0!</v>
          </cell>
          <cell r="T264" t="e">
            <v>#DIV/0!</v>
          </cell>
          <cell r="U264" t="e">
            <v>#DIV/0!</v>
          </cell>
          <cell r="V264" t="e">
            <v>#DIV/0!</v>
          </cell>
          <cell r="W264" t="e">
            <v>#DIV/0!</v>
          </cell>
          <cell r="X264">
            <v>192.45963028493571</v>
          </cell>
          <cell r="Y264">
            <v>45.761895561483826</v>
          </cell>
          <cell r="Z264">
            <v>3543.0029903129766</v>
          </cell>
          <cell r="AA264"/>
          <cell r="AB264"/>
          <cell r="AC264"/>
          <cell r="AD264"/>
          <cell r="AE264"/>
          <cell r="AF264">
            <v>3781.224516159396</v>
          </cell>
          <cell r="AG264">
            <v>6.5371616889120401E-4</v>
          </cell>
          <cell r="AH264">
            <v>3782.1722578344447</v>
          </cell>
          <cell r="AI264">
            <v>228.69749340000001</v>
          </cell>
          <cell r="AJ264">
            <v>304.2342041</v>
          </cell>
          <cell r="AK264">
            <v>122.4456533</v>
          </cell>
          <cell r="AL264">
            <v>610.7552404999999</v>
          </cell>
          <cell r="AM264">
            <v>633.95052740000006</v>
          </cell>
          <cell r="AN264">
            <v>1206.600946</v>
          </cell>
          <cell r="AO264">
            <v>703.82183810000004</v>
          </cell>
          <cell r="AP264">
            <v>1161.249748</v>
          </cell>
          <cell r="AQ264">
            <v>115.23821402723505</v>
          </cell>
          <cell r="AR264">
            <v>30.25688274202119</v>
          </cell>
          <cell r="AS264">
            <v>517.43755992452714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662.49928689721673</v>
          </cell>
          <cell r="BH264">
            <v>4444.6715447316619</v>
          </cell>
          <cell r="BI264">
            <v>5845.9241366186579</v>
          </cell>
          <cell r="BJ264">
            <v>0.76030263836138412</v>
          </cell>
          <cell r="BK264">
            <v>0.64697593903811612</v>
          </cell>
          <cell r="BL264">
            <v>0.11332669932326783</v>
          </cell>
        </row>
        <row r="265">
          <cell r="A265" t="str">
            <v>SATPURA TPS11</v>
          </cell>
          <cell r="B265" t="str">
            <v>SATPURA TPS</v>
          </cell>
          <cell r="C265">
            <v>250</v>
          </cell>
          <cell r="D265" t="str">
            <v>RAIL</v>
          </cell>
          <cell r="E265"/>
          <cell r="F265">
            <v>22.109200000000001</v>
          </cell>
          <cell r="G265">
            <v>78.173299999999998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0.33286636775364925</v>
          </cell>
          <cell r="O265">
            <v>0.66713363224635081</v>
          </cell>
          <cell r="P265" t="e">
            <v>#DIV/0!</v>
          </cell>
          <cell r="Q265" t="e">
            <v>#DIV/0!</v>
          </cell>
          <cell r="R265" t="e">
            <v>#DIV/0!</v>
          </cell>
          <cell r="S265" t="e">
            <v>#DIV/0!</v>
          </cell>
          <cell r="T265" t="e">
            <v>#DIV/0!</v>
          </cell>
          <cell r="U265" t="e">
            <v>#DIV/0!</v>
          </cell>
          <cell r="V265">
            <v>4161.1297833627359</v>
          </cell>
          <cell r="W265">
            <v>4523.9769923994254</v>
          </cell>
          <cell r="X265"/>
          <cell r="Y265"/>
          <cell r="Z265"/>
          <cell r="AA265"/>
          <cell r="AB265"/>
          <cell r="AC265"/>
          <cell r="AD265">
            <v>535.26849217047129</v>
          </cell>
          <cell r="AE265">
            <v>1130.0556315758517</v>
          </cell>
          <cell r="AF265">
            <v>1665.324123746323</v>
          </cell>
          <cell r="AG265">
            <v>0</v>
          </cell>
          <cell r="AH265">
            <v>1665.324123746323</v>
          </cell>
          <cell r="AI265">
            <v>1014.3503789999999</v>
          </cell>
          <cell r="AJ265">
            <v>957.50750190000019</v>
          </cell>
          <cell r="AK265">
            <v>1125.9096420000001</v>
          </cell>
          <cell r="AL265">
            <v>785.55744330000005</v>
          </cell>
          <cell r="AM265">
            <v>654.87795030000007</v>
          </cell>
          <cell r="AN265">
            <v>2244.6549649999997</v>
          </cell>
          <cell r="AO265">
            <v>535.73350179999989</v>
          </cell>
          <cell r="AP265">
            <v>173.62196090000003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553.48353897341292</v>
          </cell>
          <cell r="AX265">
            <v>487.84947418373093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1041.3330131571438</v>
          </cell>
          <cell r="BH265">
            <v>2706.6571369034668</v>
          </cell>
          <cell r="BI265">
            <v>4403.1973598778304</v>
          </cell>
          <cell r="BJ265">
            <v>0.61470266165370446</v>
          </cell>
          <cell r="BK265">
            <v>0.37820792202521863</v>
          </cell>
          <cell r="BL265">
            <v>0.23649473962848586</v>
          </cell>
        </row>
        <row r="266">
          <cell r="A266" t="str">
            <v>YAMUNA NAGAR TPS1</v>
          </cell>
          <cell r="B266" t="str">
            <v>YAMUNA NAGAR TPS</v>
          </cell>
          <cell r="C266">
            <v>300</v>
          </cell>
          <cell r="D266" t="str">
            <v>RAIL</v>
          </cell>
          <cell r="E266"/>
          <cell r="F266">
            <v>30.107099999999999</v>
          </cell>
          <cell r="G266">
            <v>77.326599999999999</v>
          </cell>
          <cell r="H266">
            <v>0.13009722702434925</v>
          </cell>
          <cell r="I266">
            <v>0.8366884736695398</v>
          </cell>
          <cell r="J266">
            <v>1.6003819144995199E-2</v>
          </cell>
          <cell r="K266">
            <v>0</v>
          </cell>
          <cell r="L266">
            <v>1.7210480161115763E-2</v>
          </cell>
          <cell r="M266">
            <v>0</v>
          </cell>
          <cell r="N266">
            <v>0</v>
          </cell>
          <cell r="O266">
            <v>0</v>
          </cell>
          <cell r="P266">
            <v>4267.6239474777067</v>
          </cell>
          <cell r="Q266">
            <v>4198.7183386300112</v>
          </cell>
          <cell r="R266">
            <v>6160.071158960739</v>
          </cell>
          <cell r="S266" t="e">
            <v>#DIV/0!</v>
          </cell>
          <cell r="T266">
            <v>4332.1800989180038</v>
          </cell>
          <cell r="U266" t="e">
            <v>#DIV/0!</v>
          </cell>
          <cell r="V266" t="e">
            <v>#DIV/0!</v>
          </cell>
          <cell r="W266" t="e">
            <v>#DIV/0!</v>
          </cell>
          <cell r="X266">
            <v>209.20391271376644</v>
          </cell>
          <cell r="Y266">
            <v>1345.4437609297877</v>
          </cell>
          <cell r="Z266">
            <v>66.449777548317456</v>
          </cell>
          <cell r="AA266"/>
          <cell r="AB266">
            <v>29.152780025054305</v>
          </cell>
          <cell r="AC266"/>
          <cell r="AD266"/>
          <cell r="AE266"/>
          <cell r="AF266">
            <v>1650.2502312169258</v>
          </cell>
          <cell r="AG266">
            <v>0</v>
          </cell>
          <cell r="AH266">
            <v>1650.2502312169258</v>
          </cell>
          <cell r="AI266">
            <v>1221.4676880000002</v>
          </cell>
          <cell r="AJ266">
            <v>1218.0550090000002</v>
          </cell>
          <cell r="AK266">
            <v>1316.6503089999999</v>
          </cell>
          <cell r="AL266">
            <v>1444.3796240000001</v>
          </cell>
          <cell r="AM266">
            <v>973.87538170000005</v>
          </cell>
          <cell r="AN266">
            <v>2346.99548</v>
          </cell>
          <cell r="AO266">
            <v>1172.6736969999999</v>
          </cell>
          <cell r="AP266">
            <v>1144.1618040000001</v>
          </cell>
          <cell r="AQ266">
            <v>391.13002760399274</v>
          </cell>
          <cell r="AR266">
            <v>2478.5590798441194</v>
          </cell>
          <cell r="AS266">
            <v>50.802555501511051</v>
          </cell>
          <cell r="AT266">
            <v>0</v>
          </cell>
          <cell r="AU266">
            <v>43.011881283295359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2963.5035442329186</v>
          </cell>
          <cell r="BH266">
            <v>4613.7537754498444</v>
          </cell>
          <cell r="BI266">
            <v>4241.3688440613269</v>
          </cell>
          <cell r="BJ266">
            <v>1.0877982899105609</v>
          </cell>
          <cell r="BK266">
            <v>0.38908434797590657</v>
          </cell>
          <cell r="BL266">
            <v>0.69871394193465453</v>
          </cell>
        </row>
        <row r="267">
          <cell r="A267" t="str">
            <v>CHHABRA TPS3</v>
          </cell>
          <cell r="B267" t="str">
            <v>CHHABRA TPS</v>
          </cell>
          <cell r="C267">
            <v>250</v>
          </cell>
          <cell r="D267" t="str">
            <v>RAIL</v>
          </cell>
          <cell r="E267">
            <v>0.90887629839471196</v>
          </cell>
          <cell r="F267">
            <v>24.621500000000001</v>
          </cell>
          <cell r="G267">
            <v>77.035399999999996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1</v>
          </cell>
          <cell r="O267">
            <v>0</v>
          </cell>
          <cell r="P267" t="e">
            <v>#DIV/0!</v>
          </cell>
          <cell r="Q267" t="e">
            <v>#DIV/0!</v>
          </cell>
          <cell r="R267" t="e">
            <v>#DIV/0!</v>
          </cell>
          <cell r="S267" t="e">
            <v>#DIV/0!</v>
          </cell>
          <cell r="T267" t="e">
            <v>#DIV/0!</v>
          </cell>
          <cell r="U267" t="e">
            <v>#DIV/0!</v>
          </cell>
          <cell r="V267">
            <v>4431.9195703193527</v>
          </cell>
          <cell r="W267" t="e">
            <v>#DIV/0!</v>
          </cell>
          <cell r="X267"/>
          <cell r="Y267"/>
          <cell r="Z267"/>
          <cell r="AA267"/>
          <cell r="AB267"/>
          <cell r="AC267"/>
          <cell r="AD267">
            <v>1693.8969600000003</v>
          </cell>
          <cell r="AE267"/>
          <cell r="AF267">
            <v>1693.8969600000003</v>
          </cell>
          <cell r="AG267">
            <v>0</v>
          </cell>
          <cell r="AH267">
            <v>1693.8969600000003</v>
          </cell>
          <cell r="AI267">
            <v>1097.2493449999999</v>
          </cell>
          <cell r="AJ267">
            <v>1082.8915999999999</v>
          </cell>
          <cell r="AK267">
            <v>1192.431967</v>
          </cell>
          <cell r="AL267">
            <v>1024.6149479999999</v>
          </cell>
          <cell r="AM267">
            <v>714.45789269999989</v>
          </cell>
          <cell r="AN267">
            <v>2244.7031269999998</v>
          </cell>
          <cell r="AO267">
            <v>738.10572640000009</v>
          </cell>
          <cell r="AP267">
            <v>528.62300659999994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1985.3400000000001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1985.3400000000001</v>
          </cell>
          <cell r="BH267">
            <v>3679.2369600000002</v>
          </cell>
          <cell r="BI267">
            <v>4431.9195703193527</v>
          </cell>
          <cell r="BJ267">
            <v>0.83016780914525568</v>
          </cell>
          <cell r="BK267">
            <v>0.38220390355097134</v>
          </cell>
          <cell r="BL267">
            <v>0.44796390559428445</v>
          </cell>
        </row>
        <row r="268">
          <cell r="A268" t="str">
            <v>BINA TPS2</v>
          </cell>
          <cell r="B268" t="str">
            <v>BINA TPS</v>
          </cell>
          <cell r="C268">
            <v>250</v>
          </cell>
          <cell r="D268" t="str">
            <v>RAIL</v>
          </cell>
          <cell r="E268">
            <v>0.91170323928944619</v>
          </cell>
          <cell r="F268">
            <v>24.3142</v>
          </cell>
          <cell r="G268">
            <v>78.131100000000004</v>
          </cell>
          <cell r="H268">
            <v>1.6283613915024586E-2</v>
          </cell>
          <cell r="I268">
            <v>0.48476041445033746</v>
          </cell>
          <cell r="J268">
            <v>0</v>
          </cell>
          <cell r="K268">
            <v>0</v>
          </cell>
          <cell r="L268">
            <v>9.017632226379485E-2</v>
          </cell>
          <cell r="M268">
            <v>0</v>
          </cell>
          <cell r="N268">
            <v>0.40877964937084299</v>
          </cell>
          <cell r="O268">
            <v>0</v>
          </cell>
          <cell r="P268">
            <v>4794.6216705420838</v>
          </cell>
          <cell r="Q268">
            <v>4314.5465695753992</v>
          </cell>
          <cell r="R268" t="e">
            <v>#DIV/0!</v>
          </cell>
          <cell r="S268" t="e">
            <v>#DIV/0!</v>
          </cell>
          <cell r="T268">
            <v>4450</v>
          </cell>
          <cell r="U268" t="e">
            <v>#DIV/0!</v>
          </cell>
          <cell r="V268">
            <v>4174.4822070921864</v>
          </cell>
          <cell r="W268" t="e">
            <v>#DIV/0!</v>
          </cell>
          <cell r="X268">
            <v>29.932630286836119</v>
          </cell>
          <cell r="Y268">
            <v>821.13419236576681</v>
          </cell>
          <cell r="Z268"/>
          <cell r="AA268"/>
          <cell r="AB268">
            <v>152.74939814662244</v>
          </cell>
          <cell r="AC268"/>
          <cell r="AD268">
            <v>657.34146716390899</v>
          </cell>
          <cell r="AE268"/>
          <cell r="AF268">
            <v>1661.1576879631343</v>
          </cell>
          <cell r="AG268">
            <v>0</v>
          </cell>
          <cell r="AH268">
            <v>1661.1576879631343</v>
          </cell>
          <cell r="AI268">
            <v>990.33761500000003</v>
          </cell>
          <cell r="AJ268">
            <v>943.76167769999995</v>
          </cell>
          <cell r="AK268">
            <v>1085.5202360000001</v>
          </cell>
          <cell r="AL268">
            <v>885.48502589999998</v>
          </cell>
          <cell r="AM268">
            <v>575.32797069999992</v>
          </cell>
          <cell r="AN268">
            <v>2137.791397</v>
          </cell>
          <cell r="AO268">
            <v>598.97580440000002</v>
          </cell>
          <cell r="AP268">
            <v>452.07293959999998</v>
          </cell>
          <cell r="AQ268">
            <v>40.695486820784168</v>
          </cell>
          <cell r="AR268">
            <v>1179.0032553595859</v>
          </cell>
          <cell r="AS268">
            <v>0</v>
          </cell>
          <cell r="AT268">
            <v>0</v>
          </cell>
          <cell r="AU268">
            <v>149.94338513379279</v>
          </cell>
          <cell r="AV268">
            <v>0</v>
          </cell>
          <cell r="AW268">
            <v>679.71062538085027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2049.3527526950134</v>
          </cell>
          <cell r="BH268">
            <v>3710.5104406581477</v>
          </cell>
          <cell r="BI268">
            <v>4277.3231583782317</v>
          </cell>
          <cell r="BJ268">
            <v>0.86748424266007673</v>
          </cell>
          <cell r="BK268">
            <v>0.38836384964491916</v>
          </cell>
          <cell r="BL268">
            <v>0.47912039301515758</v>
          </cell>
        </row>
        <row r="269">
          <cell r="A269" t="str">
            <v>PARICHHA TPS6</v>
          </cell>
          <cell r="B269" t="str">
            <v>PARICHHA TPS</v>
          </cell>
          <cell r="C269">
            <v>250</v>
          </cell>
          <cell r="D269" t="str">
            <v>RAIL</v>
          </cell>
          <cell r="E269">
            <v>1.2913928012519562</v>
          </cell>
          <cell r="F269">
            <v>25.514199999999999</v>
          </cell>
          <cell r="G269">
            <v>78.760000000000005</v>
          </cell>
          <cell r="H269">
            <v>0.38566062150778258</v>
          </cell>
          <cell r="I269">
            <v>0.24058178514305156</v>
          </cell>
          <cell r="J269">
            <v>0</v>
          </cell>
          <cell r="K269">
            <v>0</v>
          </cell>
          <cell r="L269">
            <v>0.35479242361049174</v>
          </cell>
          <cell r="M269">
            <v>0</v>
          </cell>
          <cell r="N269">
            <v>1.896516973867398E-2</v>
          </cell>
          <cell r="O269">
            <v>0</v>
          </cell>
          <cell r="P269">
            <v>4278.7563052809473</v>
          </cell>
          <cell r="Q269">
            <v>4310.0012873464257</v>
          </cell>
          <cell r="R269" t="e">
            <v>#DIV/0!</v>
          </cell>
          <cell r="S269" t="e">
            <v>#DIV/0!</v>
          </cell>
          <cell r="T269">
            <v>4571.0269546203162</v>
          </cell>
          <cell r="U269" t="e">
            <v>#DIV/0!</v>
          </cell>
          <cell r="V269">
            <v>4983.8934554712941</v>
          </cell>
          <cell r="W269" t="e">
            <v>#DIV/0!</v>
          </cell>
          <cell r="X269">
            <v>620.16472483268615</v>
          </cell>
          <cell r="Y269">
            <v>407.52075448518826</v>
          </cell>
          <cell r="Z269"/>
          <cell r="AA269"/>
          <cell r="AB269">
            <v>600.98180778484425</v>
          </cell>
          <cell r="AC269"/>
          <cell r="AD269">
            <v>42.529745891133537</v>
          </cell>
          <cell r="AE269"/>
          <cell r="AF269">
            <v>1671.1970329938524</v>
          </cell>
          <cell r="AG269">
            <v>0</v>
          </cell>
          <cell r="AH269">
            <v>1671.1970329938524</v>
          </cell>
          <cell r="AI269">
            <v>877.29560260000005</v>
          </cell>
          <cell r="AJ269">
            <v>873.88292369999988</v>
          </cell>
          <cell r="AK269">
            <v>972.47822359999986</v>
          </cell>
          <cell r="AL269">
            <v>967.58158180000009</v>
          </cell>
          <cell r="AM269">
            <v>547.04212110000003</v>
          </cell>
          <cell r="AN269">
            <v>2024.7493840000002</v>
          </cell>
          <cell r="AO269">
            <v>658.32157489999997</v>
          </cell>
          <cell r="AP269">
            <v>588.05182579999996</v>
          </cell>
          <cell r="AQ269">
            <v>865.08922388648136</v>
          </cell>
          <cell r="AR269">
            <v>539.65766319864406</v>
          </cell>
          <cell r="AS269">
            <v>0</v>
          </cell>
          <cell r="AT269">
            <v>0</v>
          </cell>
          <cell r="AU269">
            <v>589.94174613105349</v>
          </cell>
          <cell r="AV269">
            <v>0</v>
          </cell>
          <cell r="AW269">
            <v>35.613971575805799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2030.3026047919848</v>
          </cell>
          <cell r="BH269">
            <v>3701.499637785837</v>
          </cell>
          <cell r="BI269">
            <v>4403.3417366147551</v>
          </cell>
          <cell r="BJ269">
            <v>0.84061148536509289</v>
          </cell>
          <cell r="BK269">
            <v>0.37952926049265756</v>
          </cell>
          <cell r="BL269">
            <v>0.46108222487243544</v>
          </cell>
        </row>
        <row r="270">
          <cell r="A270" t="str">
            <v>SATPURA TPS10</v>
          </cell>
          <cell r="B270" t="str">
            <v>SATPURA TPS</v>
          </cell>
          <cell r="C270">
            <v>250</v>
          </cell>
          <cell r="D270" t="str">
            <v>RAIL</v>
          </cell>
          <cell r="E270"/>
          <cell r="F270">
            <v>22.109200000000001</v>
          </cell>
          <cell r="G270">
            <v>78.173299999999998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0.33286636775364925</v>
          </cell>
          <cell r="O270">
            <v>0.66713363224635081</v>
          </cell>
          <cell r="P270" t="e">
            <v>#DIV/0!</v>
          </cell>
          <cell r="Q270" t="e">
            <v>#DIV/0!</v>
          </cell>
          <cell r="R270" t="e">
            <v>#DIV/0!</v>
          </cell>
          <cell r="S270" t="e">
            <v>#DIV/0!</v>
          </cell>
          <cell r="T270" t="e">
            <v>#DIV/0!</v>
          </cell>
          <cell r="U270" t="e">
            <v>#DIV/0!</v>
          </cell>
          <cell r="V270">
            <v>4161.1297833627359</v>
          </cell>
          <cell r="W270">
            <v>4523.9769923994254</v>
          </cell>
          <cell r="X270"/>
          <cell r="Y270"/>
          <cell r="Z270"/>
          <cell r="AA270"/>
          <cell r="AB270"/>
          <cell r="AC270"/>
          <cell r="AD270">
            <v>535.26849217047129</v>
          </cell>
          <cell r="AE270">
            <v>1130.0556315758517</v>
          </cell>
          <cell r="AF270">
            <v>1665.324123746323</v>
          </cell>
          <cell r="AG270">
            <v>0</v>
          </cell>
          <cell r="AH270">
            <v>1665.324123746323</v>
          </cell>
          <cell r="AI270">
            <v>1014.3503789999999</v>
          </cell>
          <cell r="AJ270">
            <v>957.50750190000019</v>
          </cell>
          <cell r="AK270">
            <v>1125.9096420000001</v>
          </cell>
          <cell r="AL270">
            <v>785.55744330000005</v>
          </cell>
          <cell r="AM270">
            <v>654.87795030000007</v>
          </cell>
          <cell r="AN270">
            <v>2244.6549649999997</v>
          </cell>
          <cell r="AO270">
            <v>535.73350179999989</v>
          </cell>
          <cell r="AP270">
            <v>173.62196090000003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553.48353897341292</v>
          </cell>
          <cell r="AX270">
            <v>487.84947418373093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1041.3330131571438</v>
          </cell>
          <cell r="BH270">
            <v>2706.6571369034668</v>
          </cell>
          <cell r="BI270">
            <v>4403.1973598778304</v>
          </cell>
          <cell r="BJ270">
            <v>0.61470266165370446</v>
          </cell>
          <cell r="BK270">
            <v>0.37820792202521863</v>
          </cell>
          <cell r="BL270">
            <v>0.23649473962848586</v>
          </cell>
        </row>
        <row r="271">
          <cell r="A271" t="str">
            <v>BINA TPS1</v>
          </cell>
          <cell r="B271" t="str">
            <v>BINA TPS</v>
          </cell>
          <cell r="C271">
            <v>250</v>
          </cell>
          <cell r="D271" t="str">
            <v>RAIL</v>
          </cell>
          <cell r="E271">
            <v>0.91170323928944619</v>
          </cell>
          <cell r="F271">
            <v>24.3142</v>
          </cell>
          <cell r="G271">
            <v>78.131100000000004</v>
          </cell>
          <cell r="H271">
            <v>1.6283613915024586E-2</v>
          </cell>
          <cell r="I271">
            <v>0.48476041445033746</v>
          </cell>
          <cell r="J271">
            <v>0</v>
          </cell>
          <cell r="K271">
            <v>0</v>
          </cell>
          <cell r="L271">
            <v>9.017632226379485E-2</v>
          </cell>
          <cell r="M271">
            <v>0</v>
          </cell>
          <cell r="N271">
            <v>0.40877964937084299</v>
          </cell>
          <cell r="O271">
            <v>0</v>
          </cell>
          <cell r="P271">
            <v>4794.6216705420838</v>
          </cell>
          <cell r="Q271">
            <v>4314.5465695753992</v>
          </cell>
          <cell r="R271" t="e">
            <v>#DIV/0!</v>
          </cell>
          <cell r="S271" t="e">
            <v>#DIV/0!</v>
          </cell>
          <cell r="T271">
            <v>4450</v>
          </cell>
          <cell r="U271" t="e">
            <v>#DIV/0!</v>
          </cell>
          <cell r="V271">
            <v>4174.4822070921864</v>
          </cell>
          <cell r="W271" t="e">
            <v>#DIV/0!</v>
          </cell>
          <cell r="X271">
            <v>29.932630286836119</v>
          </cell>
          <cell r="Y271">
            <v>821.13419236576681</v>
          </cell>
          <cell r="Z271"/>
          <cell r="AA271"/>
          <cell r="AB271">
            <v>152.74939814662244</v>
          </cell>
          <cell r="AC271"/>
          <cell r="AD271">
            <v>657.34146716390899</v>
          </cell>
          <cell r="AE271"/>
          <cell r="AF271">
            <v>1661.1576879631343</v>
          </cell>
          <cell r="AG271">
            <v>0</v>
          </cell>
          <cell r="AH271">
            <v>1661.1576879631343</v>
          </cell>
          <cell r="AI271">
            <v>990.33761500000003</v>
          </cell>
          <cell r="AJ271">
            <v>943.76167769999995</v>
          </cell>
          <cell r="AK271">
            <v>1085.5202360000001</v>
          </cell>
          <cell r="AL271">
            <v>885.48502589999998</v>
          </cell>
          <cell r="AM271">
            <v>575.32797069999992</v>
          </cell>
          <cell r="AN271">
            <v>2137.791397</v>
          </cell>
          <cell r="AO271">
            <v>598.97580440000002</v>
          </cell>
          <cell r="AP271">
            <v>452.07293959999998</v>
          </cell>
          <cell r="AQ271">
            <v>40.695486820784168</v>
          </cell>
          <cell r="AR271">
            <v>1179.0032553595859</v>
          </cell>
          <cell r="AS271">
            <v>0</v>
          </cell>
          <cell r="AT271">
            <v>0</v>
          </cell>
          <cell r="AU271">
            <v>149.94338513379279</v>
          </cell>
          <cell r="AV271">
            <v>0</v>
          </cell>
          <cell r="AW271">
            <v>679.71062538085027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2049.3527526950134</v>
          </cell>
          <cell r="BH271">
            <v>3710.5104406581477</v>
          </cell>
          <cell r="BI271">
            <v>4277.3231583782317</v>
          </cell>
          <cell r="BJ271">
            <v>0.86748424266007673</v>
          </cell>
          <cell r="BK271">
            <v>0.38836384964491916</v>
          </cell>
          <cell r="BL271">
            <v>0.47912039301515758</v>
          </cell>
        </row>
        <row r="272">
          <cell r="A272" t="str">
            <v>HARDUAGANJ TPS9</v>
          </cell>
          <cell r="B272" t="str">
            <v>HARDUAGANJ TPS</v>
          </cell>
          <cell r="C272">
            <v>250</v>
          </cell>
          <cell r="D272" t="str">
            <v>RAIL</v>
          </cell>
          <cell r="E272">
            <v>1.0727314181486549</v>
          </cell>
          <cell r="F272">
            <v>28.0167</v>
          </cell>
          <cell r="G272">
            <v>78.130600000000001</v>
          </cell>
          <cell r="H272">
            <v>0.20158844436636</v>
          </cell>
          <cell r="I272">
            <v>0.79680042406276064</v>
          </cell>
          <cell r="J272">
            <v>0</v>
          </cell>
          <cell r="K272">
            <v>0</v>
          </cell>
          <cell r="L272">
            <v>1.6111315708793688E-3</v>
          </cell>
          <cell r="M272">
            <v>0</v>
          </cell>
          <cell r="N272">
            <v>0</v>
          </cell>
          <cell r="O272">
            <v>0</v>
          </cell>
          <cell r="P272">
            <v>4225.8041585069204</v>
          </cell>
          <cell r="Q272">
            <v>4434.764231472077</v>
          </cell>
          <cell r="R272" t="e">
            <v>#DIV/0!</v>
          </cell>
          <cell r="S272" t="e">
            <v>#DIV/0!</v>
          </cell>
          <cell r="T272">
            <v>4232.4020863445958</v>
          </cell>
          <cell r="U272" t="e">
            <v>#DIV/0!</v>
          </cell>
          <cell r="V272" t="e">
            <v>#DIV/0!</v>
          </cell>
          <cell r="W272" t="e">
            <v>#DIV/0!</v>
          </cell>
          <cell r="X272">
            <v>324.16595098856902</v>
          </cell>
          <cell r="Y272">
            <v>1349.6978160466213</v>
          </cell>
          <cell r="Z272"/>
          <cell r="AA272"/>
          <cell r="AB272">
            <v>2.5907933338314506</v>
          </cell>
          <cell r="AC272"/>
          <cell r="AD272"/>
          <cell r="AE272"/>
          <cell r="AF272">
            <v>1676.4545603690217</v>
          </cell>
          <cell r="AG272">
            <v>0</v>
          </cell>
          <cell r="AH272">
            <v>1676.4545603690217</v>
          </cell>
          <cell r="AI272">
            <v>1028.138252</v>
          </cell>
          <cell r="AJ272">
            <v>1024.7255729999999</v>
          </cell>
          <cell r="AK272">
            <v>1123.3208729999999</v>
          </cell>
          <cell r="AL272">
            <v>1213.4757890000001</v>
          </cell>
          <cell r="AM272">
            <v>742.97154680000006</v>
          </cell>
          <cell r="AN272">
            <v>2172.1467349999998</v>
          </cell>
          <cell r="AO272">
            <v>923.89080839999997</v>
          </cell>
          <cell r="AP272">
            <v>879.19072540000002</v>
          </cell>
          <cell r="AQ272">
            <v>519.9070806199494</v>
          </cell>
          <cell r="AR272">
            <v>2054.9897272799108</v>
          </cell>
          <cell r="AS272">
            <v>0</v>
          </cell>
          <cell r="AT272">
            <v>0</v>
          </cell>
          <cell r="AU272">
            <v>3.198643952929646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2578.0954518527897</v>
          </cell>
          <cell r="BH272">
            <v>4254.5500122218109</v>
          </cell>
          <cell r="BI272">
            <v>4392.3142633875859</v>
          </cell>
          <cell r="BJ272">
            <v>0.96863515611482587</v>
          </cell>
          <cell r="BK272">
            <v>0.3816791012298949</v>
          </cell>
          <cell r="BL272">
            <v>0.58695605488493108</v>
          </cell>
        </row>
        <row r="273">
          <cell r="A273" t="str">
            <v>PARICHHA TPS5</v>
          </cell>
          <cell r="B273" t="str">
            <v>PARICHHA TPS</v>
          </cell>
          <cell r="C273">
            <v>250</v>
          </cell>
          <cell r="D273" t="str">
            <v>RAIL</v>
          </cell>
          <cell r="E273">
            <v>1.2913928012519562</v>
          </cell>
          <cell r="F273">
            <v>25.514199999999999</v>
          </cell>
          <cell r="G273">
            <v>78.760000000000005</v>
          </cell>
          <cell r="H273">
            <v>0.38566062150778258</v>
          </cell>
          <cell r="I273">
            <v>0.24058178514305156</v>
          </cell>
          <cell r="J273">
            <v>0</v>
          </cell>
          <cell r="K273">
            <v>0</v>
          </cell>
          <cell r="L273">
            <v>0.35479242361049174</v>
          </cell>
          <cell r="M273">
            <v>0</v>
          </cell>
          <cell r="N273">
            <v>1.896516973867398E-2</v>
          </cell>
          <cell r="O273">
            <v>0</v>
          </cell>
          <cell r="P273">
            <v>4278.7563052809473</v>
          </cell>
          <cell r="Q273">
            <v>4310.0012873464257</v>
          </cell>
          <cell r="R273" t="e">
            <v>#DIV/0!</v>
          </cell>
          <cell r="S273" t="e">
            <v>#DIV/0!</v>
          </cell>
          <cell r="T273">
            <v>4571.0269546203162</v>
          </cell>
          <cell r="U273" t="e">
            <v>#DIV/0!</v>
          </cell>
          <cell r="V273">
            <v>4983.8934554712941</v>
          </cell>
          <cell r="W273" t="e">
            <v>#DIV/0!</v>
          </cell>
          <cell r="X273">
            <v>620.16472483268615</v>
          </cell>
          <cell r="Y273">
            <v>407.52075448518826</v>
          </cell>
          <cell r="Z273"/>
          <cell r="AA273"/>
          <cell r="AB273">
            <v>600.98180778484425</v>
          </cell>
          <cell r="AC273"/>
          <cell r="AD273">
            <v>42.529745891133537</v>
          </cell>
          <cell r="AE273"/>
          <cell r="AF273">
            <v>1671.1970329938524</v>
          </cell>
          <cell r="AG273">
            <v>0</v>
          </cell>
          <cell r="AH273">
            <v>1671.1970329938524</v>
          </cell>
          <cell r="AI273">
            <v>877.29560260000005</v>
          </cell>
          <cell r="AJ273">
            <v>873.88292369999988</v>
          </cell>
          <cell r="AK273">
            <v>972.47822359999986</v>
          </cell>
          <cell r="AL273">
            <v>967.58158180000009</v>
          </cell>
          <cell r="AM273">
            <v>547.04212110000003</v>
          </cell>
          <cell r="AN273">
            <v>2024.7493840000002</v>
          </cell>
          <cell r="AO273">
            <v>658.32157489999997</v>
          </cell>
          <cell r="AP273">
            <v>588.05182579999996</v>
          </cell>
          <cell r="AQ273">
            <v>865.08922388648136</v>
          </cell>
          <cell r="AR273">
            <v>539.65766319864406</v>
          </cell>
          <cell r="AS273">
            <v>0</v>
          </cell>
          <cell r="AT273">
            <v>0</v>
          </cell>
          <cell r="AU273">
            <v>589.94174613105349</v>
          </cell>
          <cell r="AV273">
            <v>0</v>
          </cell>
          <cell r="AW273">
            <v>35.613971575805799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2030.3026047919848</v>
          </cell>
          <cell r="BH273">
            <v>3701.499637785837</v>
          </cell>
          <cell r="BI273">
            <v>4403.3417366147551</v>
          </cell>
          <cell r="BJ273">
            <v>0.84061148536509289</v>
          </cell>
          <cell r="BK273">
            <v>0.37952926049265756</v>
          </cell>
          <cell r="BL273">
            <v>0.46108222487243544</v>
          </cell>
        </row>
        <row r="274">
          <cell r="A274" t="str">
            <v>SANTALDIH TPS6</v>
          </cell>
          <cell r="B274" t="str">
            <v>SANTALDIH TPS</v>
          </cell>
          <cell r="C274">
            <v>250</v>
          </cell>
          <cell r="D274" t="str">
            <v>RAIL</v>
          </cell>
          <cell r="E274">
            <v>0.81243441762854141</v>
          </cell>
          <cell r="F274">
            <v>23.602699999999999</v>
          </cell>
          <cell r="G274">
            <v>86.468900000000005</v>
          </cell>
          <cell r="H274">
            <v>0.9616815997841015</v>
          </cell>
          <cell r="I274">
            <v>2.2499088702341657E-2</v>
          </cell>
          <cell r="J274">
            <v>1.5819311513556734E-2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4302.1044940295842</v>
          </cell>
          <cell r="Q274">
            <v>4235.9899892153326</v>
          </cell>
          <cell r="R274">
            <v>5887.6491517759414</v>
          </cell>
          <cell r="S274" t="e">
            <v>#DIV/0!</v>
          </cell>
          <cell r="T274" t="e">
            <v>#DIV/0!</v>
          </cell>
          <cell r="U274" t="e">
            <v>#DIV/0!</v>
          </cell>
          <cell r="V274" t="e">
            <v>#DIV/0!</v>
          </cell>
          <cell r="W274" t="e">
            <v>#DIV/0!</v>
          </cell>
          <cell r="X274">
            <v>1628.9895383622265</v>
          </cell>
          <cell r="Y274">
            <v>36.179844080327868</v>
          </cell>
          <cell r="Z274">
            <v>60.507877515998686</v>
          </cell>
          <cell r="AA274"/>
          <cell r="AB274"/>
          <cell r="AC274"/>
          <cell r="AD274"/>
          <cell r="AE274"/>
          <cell r="AF274">
            <v>1725.6772599585531</v>
          </cell>
          <cell r="AG274">
            <v>6.0996347612639931E-4</v>
          </cell>
          <cell r="AH274">
            <v>1727.8153788020136</v>
          </cell>
          <cell r="AI274">
            <v>21.04429412</v>
          </cell>
          <cell r="AJ274">
            <v>95.220981330000001</v>
          </cell>
          <cell r="AK274">
            <v>138.0749337</v>
          </cell>
          <cell r="AL274">
            <v>441.02174329999997</v>
          </cell>
          <cell r="AM274">
            <v>445.8838141</v>
          </cell>
          <cell r="AN274">
            <v>1373.7350060000001</v>
          </cell>
          <cell r="AO274">
            <v>496.37461509999997</v>
          </cell>
          <cell r="AP274">
            <v>953.80252519999999</v>
          </cell>
          <cell r="AQ274">
            <v>372.80548897230483</v>
          </cell>
          <cell r="AR274">
            <v>8.7219967263497669</v>
          </cell>
          <cell r="AS274">
            <v>10.774754542244683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392.06295020274973</v>
          </cell>
          <cell r="BH274">
            <v>2119.8783290047631</v>
          </cell>
          <cell r="BI274">
            <v>4325.6992027808037</v>
          </cell>
          <cell r="BJ274">
            <v>0.49006605166674228</v>
          </cell>
          <cell r="BK274">
            <v>0.39943031121795902</v>
          </cell>
          <cell r="BL274">
            <v>9.0635740448783295E-2</v>
          </cell>
        </row>
        <row r="275">
          <cell r="A275" t="str">
            <v>HARDUAGANJ TPS8</v>
          </cell>
          <cell r="B275" t="str">
            <v>HARDUAGANJ TPS</v>
          </cell>
          <cell r="C275">
            <v>250</v>
          </cell>
          <cell r="D275" t="str">
            <v>RAIL</v>
          </cell>
          <cell r="E275">
            <v>1.0727314181486549</v>
          </cell>
          <cell r="F275">
            <v>28.0167</v>
          </cell>
          <cell r="G275">
            <v>78.130600000000001</v>
          </cell>
          <cell r="H275">
            <v>0.20158844436636</v>
          </cell>
          <cell r="I275">
            <v>0.79680042406276064</v>
          </cell>
          <cell r="J275">
            <v>0</v>
          </cell>
          <cell r="K275">
            <v>0</v>
          </cell>
          <cell r="L275">
            <v>1.6111315708793688E-3</v>
          </cell>
          <cell r="M275">
            <v>0</v>
          </cell>
          <cell r="N275">
            <v>0</v>
          </cell>
          <cell r="O275">
            <v>0</v>
          </cell>
          <cell r="P275">
            <v>4225.8041585069204</v>
          </cell>
          <cell r="Q275">
            <v>4434.764231472077</v>
          </cell>
          <cell r="R275" t="e">
            <v>#DIV/0!</v>
          </cell>
          <cell r="S275" t="e">
            <v>#DIV/0!</v>
          </cell>
          <cell r="T275">
            <v>4232.4020863445958</v>
          </cell>
          <cell r="U275" t="e">
            <v>#DIV/0!</v>
          </cell>
          <cell r="V275" t="e">
            <v>#DIV/0!</v>
          </cell>
          <cell r="W275" t="e">
            <v>#DIV/0!</v>
          </cell>
          <cell r="X275">
            <v>324.16595098856902</v>
          </cell>
          <cell r="Y275">
            <v>1349.6978160466213</v>
          </cell>
          <cell r="Z275"/>
          <cell r="AA275"/>
          <cell r="AB275">
            <v>2.5907933338314506</v>
          </cell>
          <cell r="AC275"/>
          <cell r="AD275"/>
          <cell r="AE275"/>
          <cell r="AF275">
            <v>1676.4545603690217</v>
          </cell>
          <cell r="AG275">
            <v>0</v>
          </cell>
          <cell r="AH275">
            <v>1676.4545603690217</v>
          </cell>
          <cell r="AI275">
            <v>1028.138252</v>
          </cell>
          <cell r="AJ275">
            <v>1024.7255729999999</v>
          </cell>
          <cell r="AK275">
            <v>1123.3208729999999</v>
          </cell>
          <cell r="AL275">
            <v>1213.4757890000001</v>
          </cell>
          <cell r="AM275">
            <v>742.97154680000006</v>
          </cell>
          <cell r="AN275">
            <v>2172.1467349999998</v>
          </cell>
          <cell r="AO275">
            <v>923.89080839999997</v>
          </cell>
          <cell r="AP275">
            <v>879.19072540000002</v>
          </cell>
          <cell r="AQ275">
            <v>519.9070806199494</v>
          </cell>
          <cell r="AR275">
            <v>2054.9897272799108</v>
          </cell>
          <cell r="AS275">
            <v>0</v>
          </cell>
          <cell r="AT275">
            <v>0</v>
          </cell>
          <cell r="AU275">
            <v>3.198643952929646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2578.0954518527897</v>
          </cell>
          <cell r="BH275">
            <v>4254.5500122218109</v>
          </cell>
          <cell r="BI275">
            <v>4392.3142633875859</v>
          </cell>
          <cell r="BJ275">
            <v>0.96863515611482587</v>
          </cell>
          <cell r="BK275">
            <v>0.3816791012298949</v>
          </cell>
          <cell r="BL275">
            <v>0.58695605488493108</v>
          </cell>
        </row>
        <row r="276">
          <cell r="A276" t="str">
            <v>MUZAFFARPUR TPS4</v>
          </cell>
          <cell r="B276" t="str">
            <v>MUZAFFARPUR TPS</v>
          </cell>
          <cell r="C276">
            <v>195</v>
          </cell>
          <cell r="D276" t="str">
            <v>RAIL</v>
          </cell>
          <cell r="E276">
            <v>0.85341310851237417</v>
          </cell>
          <cell r="F276">
            <v>26.195</v>
          </cell>
          <cell r="G276">
            <v>85.302000000000007</v>
          </cell>
          <cell r="H276">
            <v>0</v>
          </cell>
          <cell r="I276">
            <v>0.8177148238755908</v>
          </cell>
          <cell r="J276">
            <v>0.18228517612440923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 t="e">
            <v>#DIV/0!</v>
          </cell>
          <cell r="Q276">
            <v>4316.4489666774216</v>
          </cell>
          <cell r="R276">
            <v>5980.4871446021834</v>
          </cell>
          <cell r="S276" t="e">
            <v>#DIV/0!</v>
          </cell>
          <cell r="T276" t="e">
            <v>#DIV/0!</v>
          </cell>
          <cell r="U276" t="e">
            <v>#DIV/0!</v>
          </cell>
          <cell r="V276" t="e">
            <v>#DIV/0!</v>
          </cell>
          <cell r="W276" t="e">
            <v>#DIV/0!</v>
          </cell>
          <cell r="X276"/>
          <cell r="Y276">
            <v>1385.1246543097989</v>
          </cell>
          <cell r="Z276">
            <v>697.22940220665407</v>
          </cell>
          <cell r="AA276"/>
          <cell r="AB276"/>
          <cell r="AC276"/>
          <cell r="AD276"/>
          <cell r="AE276"/>
          <cell r="AF276">
            <v>2082.3540565164531</v>
          </cell>
          <cell r="AG276">
            <v>0</v>
          </cell>
          <cell r="AH276">
            <v>2082.3540565164531</v>
          </cell>
          <cell r="AI276">
            <v>351.33882249999999</v>
          </cell>
          <cell r="AJ276">
            <v>374.28735139999998</v>
          </cell>
          <cell r="AK276">
            <v>334.04614079999999</v>
          </cell>
          <cell r="AL276">
            <v>671.2489963999999</v>
          </cell>
          <cell r="AM276">
            <v>444.66513829999997</v>
          </cell>
          <cell r="AN276">
            <v>1282.3788039999999</v>
          </cell>
          <cell r="AO276">
            <v>618.32881359999999</v>
          </cell>
          <cell r="AP276">
            <v>996.68618019999997</v>
          </cell>
          <cell r="AQ276">
            <v>0</v>
          </cell>
          <cell r="AR276">
            <v>1048.523010062715</v>
          </cell>
          <cell r="AS276">
            <v>204.15429327440685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1252.6773033371219</v>
          </cell>
          <cell r="BH276">
            <v>3335.0313598535749</v>
          </cell>
          <cell r="BI276">
            <v>4619.7784590181791</v>
          </cell>
          <cell r="BJ276">
            <v>0.72190287682374155</v>
          </cell>
          <cell r="BK276">
            <v>0.45074760077542908</v>
          </cell>
          <cell r="BL276">
            <v>0.27115527604831247</v>
          </cell>
        </row>
        <row r="277">
          <cell r="A277" t="str">
            <v>RAICHUR TPS8</v>
          </cell>
          <cell r="B277" t="str">
            <v>RAICHUR TPS</v>
          </cell>
          <cell r="C277">
            <v>250</v>
          </cell>
          <cell r="D277" t="str">
            <v>RAIL</v>
          </cell>
          <cell r="E277" t="str">
            <v/>
          </cell>
          <cell r="F277">
            <v>16.355599999999999</v>
          </cell>
          <cell r="G277">
            <v>77.343299999999999</v>
          </cell>
          <cell r="H277">
            <v>0</v>
          </cell>
          <cell r="I277">
            <v>0</v>
          </cell>
          <cell r="J277">
            <v>0</v>
          </cell>
          <cell r="K277">
            <v>0.6564342281591502</v>
          </cell>
          <cell r="L277">
            <v>0</v>
          </cell>
          <cell r="M277">
            <v>0</v>
          </cell>
          <cell r="N277">
            <v>0</v>
          </cell>
          <cell r="O277">
            <v>0.3435657718408498</v>
          </cell>
          <cell r="P277" t="e">
            <v>#DIV/0!</v>
          </cell>
          <cell r="Q277" t="e">
            <v>#DIV/0!</v>
          </cell>
          <cell r="R277" t="e">
            <v>#DIV/0!</v>
          </cell>
          <cell r="S277">
            <v>3798.2665071576243</v>
          </cell>
          <cell r="T277" t="e">
            <v>#DIV/0!</v>
          </cell>
          <cell r="U277" t="e">
            <v>#DIV/0!</v>
          </cell>
          <cell r="V277" t="e">
            <v>#DIV/0!</v>
          </cell>
          <cell r="W277">
            <v>4334.3626716655172</v>
          </cell>
          <cell r="X277"/>
          <cell r="Y277"/>
          <cell r="Z277"/>
          <cell r="AA277">
            <v>999.23694318525395</v>
          </cell>
          <cell r="AB277"/>
          <cell r="AC277"/>
          <cell r="AD277"/>
          <cell r="AE277">
            <v>581.96501648126912</v>
          </cell>
          <cell r="AF277">
            <v>1581.2019596665232</v>
          </cell>
          <cell r="AG277">
            <v>0</v>
          </cell>
          <cell r="AH277">
            <v>1581.2019596665232</v>
          </cell>
          <cell r="AI277">
            <v>1507.9357730000002</v>
          </cell>
          <cell r="AJ277">
            <v>1451.0928959999999</v>
          </cell>
          <cell r="AK277">
            <v>1619.495036</v>
          </cell>
          <cell r="AL277">
            <v>1197.2347180000002</v>
          </cell>
          <cell r="AM277">
            <v>1295.718149</v>
          </cell>
          <cell r="AN277">
            <v>2806.2706290000001</v>
          </cell>
          <cell r="AO277">
            <v>1029.3188959999998</v>
          </cell>
          <cell r="AP277">
            <v>660.51391569999987</v>
          </cell>
          <cell r="AQ277">
            <v>0</v>
          </cell>
          <cell r="AR277">
            <v>0</v>
          </cell>
          <cell r="AS277">
            <v>0</v>
          </cell>
          <cell r="AT277">
            <v>1920.8460226231982</v>
          </cell>
          <cell r="AU277">
            <v>0</v>
          </cell>
          <cell r="AV277">
            <v>0</v>
          </cell>
          <cell r="AW277">
            <v>0</v>
          </cell>
          <cell r="AX277">
            <v>645.16910744060192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2566.0151300637999</v>
          </cell>
          <cell r="BH277">
            <v>4147.2170897303231</v>
          </cell>
          <cell r="BI277">
            <v>3982.4507996977022</v>
          </cell>
          <cell r="BJ277">
            <v>1.041373088663174</v>
          </cell>
          <cell r="BK277">
            <v>0.39704243421828295</v>
          </cell>
          <cell r="BL277">
            <v>0.64433065444489102</v>
          </cell>
        </row>
        <row r="278">
          <cell r="A278" t="str">
            <v>AMARKANTAK TPS3</v>
          </cell>
          <cell r="B278" t="str">
            <v>AMARKANTAK TPS</v>
          </cell>
          <cell r="C278">
            <v>210</v>
          </cell>
          <cell r="D278" t="str">
            <v>PITHEAD</v>
          </cell>
          <cell r="E278"/>
          <cell r="F278">
            <v>23.164400000000001</v>
          </cell>
          <cell r="G278">
            <v>81.638099999999994</v>
          </cell>
          <cell r="H278">
            <v>0</v>
          </cell>
          <cell r="I278">
            <v>1.9477332178666825E-3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0.99805226678213332</v>
          </cell>
          <cell r="O278">
            <v>0</v>
          </cell>
          <cell r="P278" t="e">
            <v>#DIV/0!</v>
          </cell>
          <cell r="Q278">
            <v>4050</v>
          </cell>
          <cell r="R278" t="e">
            <v>#DIV/0!</v>
          </cell>
          <cell r="S278" t="e">
            <v>#DIV/0!</v>
          </cell>
          <cell r="T278" t="e">
            <v>#DIV/0!</v>
          </cell>
          <cell r="U278" t="e">
            <v>#DIV/0!</v>
          </cell>
          <cell r="V278">
            <v>5058.5907927351154</v>
          </cell>
          <cell r="W278" t="e">
            <v>#DIV/0!</v>
          </cell>
          <cell r="X278"/>
          <cell r="Y278">
            <v>3.1320683724029057</v>
          </cell>
          <cell r="Z278"/>
          <cell r="AA278"/>
          <cell r="AB278"/>
          <cell r="AC278"/>
          <cell r="AD278">
            <v>2238.150772031096</v>
          </cell>
          <cell r="AE278"/>
          <cell r="AF278">
            <v>2241.282840403499</v>
          </cell>
          <cell r="AG278">
            <v>0</v>
          </cell>
          <cell r="AH278">
            <v>2241.282840403499</v>
          </cell>
          <cell r="AI278">
            <v>650.4853683</v>
          </cell>
          <cell r="AJ278">
            <v>683.28308589999995</v>
          </cell>
          <cell r="AK278">
            <v>762.02198780000003</v>
          </cell>
          <cell r="AL278">
            <v>516.44930950000003</v>
          </cell>
          <cell r="AM278">
            <v>315.16473409999998</v>
          </cell>
          <cell r="AN278">
            <v>1844.677633</v>
          </cell>
          <cell r="AO278">
            <v>191.11127930000001</v>
          </cell>
          <cell r="AP278">
            <v>423.36487640000001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3.394325787043174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486.47775613554393</v>
          </cell>
          <cell r="BF278">
            <v>0</v>
          </cell>
          <cell r="BG278">
            <v>489.87208192258709</v>
          </cell>
          <cell r="BH278">
            <v>2731.1549223260863</v>
          </cell>
          <cell r="BI278">
            <v>5056.6263269448709</v>
          </cell>
          <cell r="BJ278">
            <v>0.54011404951415587</v>
          </cell>
          <cell r="BK278">
            <v>0.44323679376119623</v>
          </cell>
          <cell r="BL278">
            <v>9.6877255752959621E-2</v>
          </cell>
        </row>
        <row r="279">
          <cell r="A279" t="str">
            <v>ANPARA TPS1</v>
          </cell>
          <cell r="B279" t="str">
            <v>ANPARA TPS</v>
          </cell>
          <cell r="C279">
            <v>210</v>
          </cell>
          <cell r="D279" t="str">
            <v>PITHEAD</v>
          </cell>
          <cell r="E279">
            <v>0.74653061224489792</v>
          </cell>
          <cell r="F279">
            <v>24.203099999999999</v>
          </cell>
          <cell r="G279">
            <v>82.788300000000007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 t="e">
            <v>#DIV/0!</v>
          </cell>
          <cell r="Q279" t="e">
            <v>#DIV/0!</v>
          </cell>
          <cell r="R279" t="e">
            <v>#DIV/0!</v>
          </cell>
          <cell r="S279" t="e">
            <v>#DIV/0!</v>
          </cell>
          <cell r="T279">
            <v>4489.130228333277</v>
          </cell>
          <cell r="U279" t="e">
            <v>#DIV/0!</v>
          </cell>
          <cell r="V279" t="e">
            <v>#DIV/0!</v>
          </cell>
          <cell r="W279" t="e">
            <v>#DIV/0!</v>
          </cell>
          <cell r="X279"/>
          <cell r="Y279"/>
          <cell r="Z279"/>
          <cell r="AA279"/>
          <cell r="AB279">
            <v>1693.8969600000003</v>
          </cell>
          <cell r="AC279"/>
          <cell r="AD279"/>
          <cell r="AE279"/>
          <cell r="AF279">
            <v>1693.8969600000003</v>
          </cell>
          <cell r="AG279">
            <v>0</v>
          </cell>
          <cell r="AH279">
            <v>1693.8969600000003</v>
          </cell>
          <cell r="AI279">
            <v>429.35465909999994</v>
          </cell>
          <cell r="AJ279">
            <v>428.11748570000003</v>
          </cell>
          <cell r="AK279">
            <v>529.52178949999995</v>
          </cell>
          <cell r="AL279">
            <v>528.51230740000017</v>
          </cell>
          <cell r="AM279">
            <v>7.4753393740000007</v>
          </cell>
          <cell r="AN279">
            <v>1635.767114</v>
          </cell>
          <cell r="AO279">
            <v>320.62651040000003</v>
          </cell>
          <cell r="AP279">
            <v>680.47493570000017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19.065767657767676</v>
          </cell>
          <cell r="BD279">
            <v>0</v>
          </cell>
          <cell r="BE279">
            <v>0</v>
          </cell>
          <cell r="BF279">
            <v>0</v>
          </cell>
          <cell r="BG279">
            <v>19.065767657767676</v>
          </cell>
          <cell r="BH279">
            <v>1712.962727657768</v>
          </cell>
          <cell r="BI279">
            <v>4489.130228333277</v>
          </cell>
          <cell r="BJ279">
            <v>0.38158009247456304</v>
          </cell>
          <cell r="BK279">
            <v>0.37733299633610984</v>
          </cell>
          <cell r="BL279">
            <v>4.247096138453174E-3</v>
          </cell>
        </row>
        <row r="280">
          <cell r="A280" t="str">
            <v>ANPARA TPS2</v>
          </cell>
          <cell r="B280" t="str">
            <v>ANPARA TPS</v>
          </cell>
          <cell r="C280">
            <v>210</v>
          </cell>
          <cell r="D280" t="str">
            <v>PITHEAD</v>
          </cell>
          <cell r="E280">
            <v>0.74653061224489792</v>
          </cell>
          <cell r="F280">
            <v>24.203099999999999</v>
          </cell>
          <cell r="G280">
            <v>82.788300000000007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 t="e">
            <v>#DIV/0!</v>
          </cell>
          <cell r="Q280" t="e">
            <v>#DIV/0!</v>
          </cell>
          <cell r="R280" t="e">
            <v>#DIV/0!</v>
          </cell>
          <cell r="S280" t="e">
            <v>#DIV/0!</v>
          </cell>
          <cell r="T280">
            <v>4489.130228333277</v>
          </cell>
          <cell r="U280" t="e">
            <v>#DIV/0!</v>
          </cell>
          <cell r="V280" t="e">
            <v>#DIV/0!</v>
          </cell>
          <cell r="W280" t="e">
            <v>#DIV/0!</v>
          </cell>
          <cell r="X280"/>
          <cell r="Y280"/>
          <cell r="Z280"/>
          <cell r="AA280"/>
          <cell r="AB280">
            <v>1693.8969600000003</v>
          </cell>
          <cell r="AC280"/>
          <cell r="AD280"/>
          <cell r="AE280"/>
          <cell r="AF280">
            <v>1693.8969600000003</v>
          </cell>
          <cell r="AG280">
            <v>0</v>
          </cell>
          <cell r="AH280">
            <v>1693.8969600000003</v>
          </cell>
          <cell r="AI280">
            <v>429.35465909999994</v>
          </cell>
          <cell r="AJ280">
            <v>428.11748570000003</v>
          </cell>
          <cell r="AK280">
            <v>529.52178949999995</v>
          </cell>
          <cell r="AL280">
            <v>528.51230740000017</v>
          </cell>
          <cell r="AM280">
            <v>7.4753393740000007</v>
          </cell>
          <cell r="AN280">
            <v>1635.767114</v>
          </cell>
          <cell r="AO280">
            <v>320.62651040000003</v>
          </cell>
          <cell r="AP280">
            <v>680.47493570000017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19.065767657767676</v>
          </cell>
          <cell r="BD280">
            <v>0</v>
          </cell>
          <cell r="BE280">
            <v>0</v>
          </cell>
          <cell r="BF280">
            <v>0</v>
          </cell>
          <cell r="BG280">
            <v>19.065767657767676</v>
          </cell>
          <cell r="BH280">
            <v>1712.962727657768</v>
          </cell>
          <cell r="BI280">
            <v>4489.130228333277</v>
          </cell>
          <cell r="BJ280">
            <v>0.38158009247456304</v>
          </cell>
          <cell r="BK280">
            <v>0.37733299633610984</v>
          </cell>
          <cell r="BL280">
            <v>4.247096138453174E-3</v>
          </cell>
        </row>
        <row r="281">
          <cell r="A281" t="str">
            <v>ANPARA TPS3</v>
          </cell>
          <cell r="B281" t="str">
            <v>ANPARA TPS</v>
          </cell>
          <cell r="C281">
            <v>210</v>
          </cell>
          <cell r="D281" t="str">
            <v>PITHEAD</v>
          </cell>
          <cell r="E281">
            <v>0.74653061224489792</v>
          </cell>
          <cell r="F281">
            <v>24.203099999999999</v>
          </cell>
          <cell r="G281">
            <v>82.788300000000007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 t="e">
            <v>#DIV/0!</v>
          </cell>
          <cell r="Q281" t="e">
            <v>#DIV/0!</v>
          </cell>
          <cell r="R281" t="e">
            <v>#DIV/0!</v>
          </cell>
          <cell r="S281" t="e">
            <v>#DIV/0!</v>
          </cell>
          <cell r="T281">
            <v>4489.130228333277</v>
          </cell>
          <cell r="U281" t="e">
            <v>#DIV/0!</v>
          </cell>
          <cell r="V281" t="e">
            <v>#DIV/0!</v>
          </cell>
          <cell r="W281" t="e">
            <v>#DIV/0!</v>
          </cell>
          <cell r="X281"/>
          <cell r="Y281"/>
          <cell r="Z281"/>
          <cell r="AA281"/>
          <cell r="AB281">
            <v>1693.8969600000003</v>
          </cell>
          <cell r="AC281"/>
          <cell r="AD281"/>
          <cell r="AE281"/>
          <cell r="AF281">
            <v>1693.8969600000003</v>
          </cell>
          <cell r="AG281">
            <v>0</v>
          </cell>
          <cell r="AH281">
            <v>1693.8969600000003</v>
          </cell>
          <cell r="AI281">
            <v>429.35465909999994</v>
          </cell>
          <cell r="AJ281">
            <v>428.11748570000003</v>
          </cell>
          <cell r="AK281">
            <v>529.52178949999995</v>
          </cell>
          <cell r="AL281">
            <v>528.51230740000017</v>
          </cell>
          <cell r="AM281">
            <v>7.4753393740000007</v>
          </cell>
          <cell r="AN281">
            <v>1635.767114</v>
          </cell>
          <cell r="AO281">
            <v>320.62651040000003</v>
          </cell>
          <cell r="AP281">
            <v>680.47493570000017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19.065767657767676</v>
          </cell>
          <cell r="BD281">
            <v>0</v>
          </cell>
          <cell r="BE281">
            <v>0</v>
          </cell>
          <cell r="BF281">
            <v>0</v>
          </cell>
          <cell r="BG281">
            <v>19.065767657767676</v>
          </cell>
          <cell r="BH281">
            <v>1712.962727657768</v>
          </cell>
          <cell r="BI281">
            <v>4489.130228333277</v>
          </cell>
          <cell r="BJ281">
            <v>0.38158009247456304</v>
          </cell>
          <cell r="BK281">
            <v>0.37733299633610984</v>
          </cell>
          <cell r="BL281">
            <v>4.247096138453174E-3</v>
          </cell>
        </row>
        <row r="282">
          <cell r="A282" t="str">
            <v>BAKRESWAR TPS1</v>
          </cell>
          <cell r="B282" t="str">
            <v>BAKRESWAR TPS</v>
          </cell>
          <cell r="C282">
            <v>210</v>
          </cell>
          <cell r="D282" t="str">
            <v>RAIL</v>
          </cell>
          <cell r="E282">
            <v>0.81198402130492675</v>
          </cell>
          <cell r="F282">
            <v>23.828600000000002</v>
          </cell>
          <cell r="G282">
            <v>87.451700000000002</v>
          </cell>
          <cell r="H282">
            <v>6.2627776839466201E-2</v>
          </cell>
          <cell r="I282">
            <v>2.4024284547264241E-2</v>
          </cell>
          <cell r="J282">
            <v>0.79533774998409967</v>
          </cell>
          <cell r="K282">
            <v>0.11801018862916997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4347.7696209921332</v>
          </cell>
          <cell r="Q282">
            <v>4319.0338890845123</v>
          </cell>
          <cell r="R282">
            <v>6012.3361463522779</v>
          </cell>
          <cell r="S282">
            <v>3387.0448260568078</v>
          </cell>
          <cell r="T282" t="e">
            <v>#DIV/0!</v>
          </cell>
          <cell r="U282" t="e">
            <v>#DIV/0!</v>
          </cell>
          <cell r="V282" t="e">
            <v>#DIV/0!</v>
          </cell>
          <cell r="W282" t="e">
            <v>#DIV/0!</v>
          </cell>
          <cell r="X282">
            <v>106.08500079993023</v>
          </cell>
          <cell r="Y282">
            <v>40.694662560785879</v>
          </cell>
          <cell r="Z282">
            <v>3042.1171691730528</v>
          </cell>
          <cell r="AA282">
            <v>159.37770673080135</v>
          </cell>
          <cell r="AB282"/>
          <cell r="AC282"/>
          <cell r="AD282"/>
          <cell r="AE282"/>
          <cell r="AF282">
            <v>3348.2745392645706</v>
          </cell>
          <cell r="AG282">
            <v>6.7675089959530303E-4</v>
          </cell>
          <cell r="AH282">
            <v>3349.5486754138142</v>
          </cell>
          <cell r="AI282">
            <v>120.56014359999999</v>
          </cell>
          <cell r="AJ282">
            <v>196.09685430000002</v>
          </cell>
          <cell r="AK282">
            <v>79.207897099999997</v>
          </cell>
          <cell r="AL282">
            <v>503.30741720000003</v>
          </cell>
          <cell r="AM282">
            <v>538.4003527000001</v>
          </cell>
          <cell r="AN282">
            <v>1289.9321029999999</v>
          </cell>
          <cell r="AO282">
            <v>595.34519299999999</v>
          </cell>
          <cell r="AP282">
            <v>1052.773103</v>
          </cell>
          <cell r="AQ282">
            <v>37.977233364344947</v>
          </cell>
          <cell r="AR282">
            <v>18.884817402637097</v>
          </cell>
          <cell r="AS282">
            <v>308.32063215883608</v>
          </cell>
          <cell r="AT282">
            <v>196.22498144881123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561.02773123272414</v>
          </cell>
          <cell r="BH282">
            <v>3910.5764066465381</v>
          </cell>
          <cell r="BI282">
            <v>5557.5965462998529</v>
          </cell>
          <cell r="BJ282">
            <v>0.70364524917702587</v>
          </cell>
          <cell r="BK282">
            <v>0.60269734362849403</v>
          </cell>
          <cell r="BL282">
            <v>0.10094790554853181</v>
          </cell>
        </row>
        <row r="283">
          <cell r="A283" t="str">
            <v>BAKRESWAR TPS2</v>
          </cell>
          <cell r="B283" t="str">
            <v>BAKRESWAR TPS</v>
          </cell>
          <cell r="C283">
            <v>210</v>
          </cell>
          <cell r="D283" t="str">
            <v>RAIL</v>
          </cell>
          <cell r="E283">
            <v>0.81198402130492675</v>
          </cell>
          <cell r="F283">
            <v>23.828600000000002</v>
          </cell>
          <cell r="G283">
            <v>87.451700000000002</v>
          </cell>
          <cell r="H283">
            <v>6.2627776839466201E-2</v>
          </cell>
          <cell r="I283">
            <v>2.4024284547264241E-2</v>
          </cell>
          <cell r="J283">
            <v>0.79533774998409967</v>
          </cell>
          <cell r="K283">
            <v>0.11801018862916997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4347.7696209921332</v>
          </cell>
          <cell r="Q283">
            <v>4319.0338890845123</v>
          </cell>
          <cell r="R283">
            <v>6012.3361463522779</v>
          </cell>
          <cell r="S283">
            <v>3387.0448260568078</v>
          </cell>
          <cell r="T283" t="e">
            <v>#DIV/0!</v>
          </cell>
          <cell r="U283" t="e">
            <v>#DIV/0!</v>
          </cell>
          <cell r="V283" t="e">
            <v>#DIV/0!</v>
          </cell>
          <cell r="W283" t="e">
            <v>#DIV/0!</v>
          </cell>
          <cell r="X283">
            <v>106.08500079993023</v>
          </cell>
          <cell r="Y283">
            <v>40.694662560785879</v>
          </cell>
          <cell r="Z283">
            <v>3042.1171691730528</v>
          </cell>
          <cell r="AA283">
            <v>159.37770673080135</v>
          </cell>
          <cell r="AB283"/>
          <cell r="AC283"/>
          <cell r="AD283"/>
          <cell r="AE283"/>
          <cell r="AF283">
            <v>3348.2745392645706</v>
          </cell>
          <cell r="AG283">
            <v>6.7675089959530303E-4</v>
          </cell>
          <cell r="AH283">
            <v>3349.5486754138142</v>
          </cell>
          <cell r="AI283">
            <v>120.56014359999999</v>
          </cell>
          <cell r="AJ283">
            <v>196.09685430000002</v>
          </cell>
          <cell r="AK283">
            <v>79.207897099999997</v>
          </cell>
          <cell r="AL283">
            <v>503.30741720000003</v>
          </cell>
          <cell r="AM283">
            <v>538.4003527000001</v>
          </cell>
          <cell r="AN283">
            <v>1289.9321029999999</v>
          </cell>
          <cell r="AO283">
            <v>595.34519299999999</v>
          </cell>
          <cell r="AP283">
            <v>1052.773103</v>
          </cell>
          <cell r="AQ283">
            <v>37.977233364344947</v>
          </cell>
          <cell r="AR283">
            <v>18.884817402637097</v>
          </cell>
          <cell r="AS283">
            <v>308.32063215883608</v>
          </cell>
          <cell r="AT283">
            <v>196.22498144881123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561.02773123272414</v>
          </cell>
          <cell r="BH283">
            <v>3910.5764066465381</v>
          </cell>
          <cell r="BI283">
            <v>5557.5965462998529</v>
          </cell>
          <cell r="BJ283">
            <v>0.70364524917702587</v>
          </cell>
          <cell r="BK283">
            <v>0.60269734362849403</v>
          </cell>
          <cell r="BL283">
            <v>0.10094790554853181</v>
          </cell>
        </row>
        <row r="284">
          <cell r="A284" t="str">
            <v>BAKRESWAR TPS3</v>
          </cell>
          <cell r="B284" t="str">
            <v>BAKRESWAR TPS</v>
          </cell>
          <cell r="C284">
            <v>210</v>
          </cell>
          <cell r="D284" t="str">
            <v>RAIL</v>
          </cell>
          <cell r="E284">
            <v>0.81198402130492675</v>
          </cell>
          <cell r="F284">
            <v>23.828600000000002</v>
          </cell>
          <cell r="G284">
            <v>87.451700000000002</v>
          </cell>
          <cell r="H284">
            <v>6.2627776839466201E-2</v>
          </cell>
          <cell r="I284">
            <v>2.4024284547264241E-2</v>
          </cell>
          <cell r="J284">
            <v>0.79533774998409967</v>
          </cell>
          <cell r="K284">
            <v>0.11801018862916997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4347.7696209921332</v>
          </cell>
          <cell r="Q284">
            <v>4319.0338890845123</v>
          </cell>
          <cell r="R284">
            <v>6012.3361463522779</v>
          </cell>
          <cell r="S284">
            <v>3387.0448260568078</v>
          </cell>
          <cell r="T284" t="e">
            <v>#DIV/0!</v>
          </cell>
          <cell r="U284" t="e">
            <v>#DIV/0!</v>
          </cell>
          <cell r="V284" t="e">
            <v>#DIV/0!</v>
          </cell>
          <cell r="W284" t="e">
            <v>#DIV/0!</v>
          </cell>
          <cell r="X284">
            <v>106.08500079993023</v>
          </cell>
          <cell r="Y284">
            <v>40.694662560785879</v>
          </cell>
          <cell r="Z284">
            <v>3042.1171691730528</v>
          </cell>
          <cell r="AA284">
            <v>159.37770673080135</v>
          </cell>
          <cell r="AB284"/>
          <cell r="AC284"/>
          <cell r="AD284"/>
          <cell r="AE284"/>
          <cell r="AF284">
            <v>3348.2745392645706</v>
          </cell>
          <cell r="AG284">
            <v>6.7675089959530303E-4</v>
          </cell>
          <cell r="AH284">
            <v>3349.5486754138142</v>
          </cell>
          <cell r="AI284">
            <v>120.56014359999999</v>
          </cell>
          <cell r="AJ284">
            <v>196.09685430000002</v>
          </cell>
          <cell r="AK284">
            <v>79.207897099999997</v>
          </cell>
          <cell r="AL284">
            <v>503.30741720000003</v>
          </cell>
          <cell r="AM284">
            <v>538.4003527000001</v>
          </cell>
          <cell r="AN284">
            <v>1289.9321029999999</v>
          </cell>
          <cell r="AO284">
            <v>595.34519299999999</v>
          </cell>
          <cell r="AP284">
            <v>1052.773103</v>
          </cell>
          <cell r="AQ284">
            <v>37.977233364344947</v>
          </cell>
          <cell r="AR284">
            <v>18.884817402637097</v>
          </cell>
          <cell r="AS284">
            <v>308.32063215883608</v>
          </cell>
          <cell r="AT284">
            <v>196.22498144881123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561.02773123272414</v>
          </cell>
          <cell r="BH284">
            <v>3910.5764066465381</v>
          </cell>
          <cell r="BI284">
            <v>5557.5965462998529</v>
          </cell>
          <cell r="BJ284">
            <v>0.70364524917702587</v>
          </cell>
          <cell r="BK284">
            <v>0.60269734362849403</v>
          </cell>
          <cell r="BL284">
            <v>0.10094790554853181</v>
          </cell>
        </row>
        <row r="285">
          <cell r="A285" t="str">
            <v>BAKRESWAR TPS4</v>
          </cell>
          <cell r="B285" t="str">
            <v>BAKRESWAR TPS</v>
          </cell>
          <cell r="C285">
            <v>210</v>
          </cell>
          <cell r="D285" t="str">
            <v>RAIL</v>
          </cell>
          <cell r="E285">
            <v>0.81198402130492675</v>
          </cell>
          <cell r="F285">
            <v>23.828600000000002</v>
          </cell>
          <cell r="G285">
            <v>87.451700000000002</v>
          </cell>
          <cell r="H285">
            <v>6.2627776839466201E-2</v>
          </cell>
          <cell r="I285">
            <v>2.4024284547264241E-2</v>
          </cell>
          <cell r="J285">
            <v>0.79533774998409967</v>
          </cell>
          <cell r="K285">
            <v>0.11801018862916997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4347.7696209921332</v>
          </cell>
          <cell r="Q285">
            <v>4319.0338890845123</v>
          </cell>
          <cell r="R285">
            <v>6012.3361463522779</v>
          </cell>
          <cell r="S285">
            <v>3387.0448260568078</v>
          </cell>
          <cell r="T285" t="e">
            <v>#DIV/0!</v>
          </cell>
          <cell r="U285" t="e">
            <v>#DIV/0!</v>
          </cell>
          <cell r="V285" t="e">
            <v>#DIV/0!</v>
          </cell>
          <cell r="W285" t="e">
            <v>#DIV/0!</v>
          </cell>
          <cell r="X285">
            <v>106.08500079993023</v>
          </cell>
          <cell r="Y285">
            <v>40.694662560785879</v>
          </cell>
          <cell r="Z285">
            <v>3042.1171691730528</v>
          </cell>
          <cell r="AA285">
            <v>159.37770673080135</v>
          </cell>
          <cell r="AB285"/>
          <cell r="AC285"/>
          <cell r="AD285"/>
          <cell r="AE285"/>
          <cell r="AF285">
            <v>3348.2745392645706</v>
          </cell>
          <cell r="AG285">
            <v>6.7675089959530303E-4</v>
          </cell>
          <cell r="AH285">
            <v>3349.5486754138142</v>
          </cell>
          <cell r="AI285">
            <v>120.56014359999999</v>
          </cell>
          <cell r="AJ285">
            <v>196.09685430000002</v>
          </cell>
          <cell r="AK285">
            <v>79.207897099999997</v>
          </cell>
          <cell r="AL285">
            <v>503.30741720000003</v>
          </cell>
          <cell r="AM285">
            <v>538.4003527000001</v>
          </cell>
          <cell r="AN285">
            <v>1289.9321029999999</v>
          </cell>
          <cell r="AO285">
            <v>595.34519299999999</v>
          </cell>
          <cell r="AP285">
            <v>1052.773103</v>
          </cell>
          <cell r="AQ285">
            <v>37.977233364344947</v>
          </cell>
          <cell r="AR285">
            <v>18.884817402637097</v>
          </cell>
          <cell r="AS285">
            <v>308.32063215883608</v>
          </cell>
          <cell r="AT285">
            <v>196.22498144881123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561.02773123272414</v>
          </cell>
          <cell r="BH285">
            <v>3910.5764066465381</v>
          </cell>
          <cell r="BI285">
            <v>5557.5965462998529</v>
          </cell>
          <cell r="BJ285">
            <v>0.70364524917702587</v>
          </cell>
          <cell r="BK285">
            <v>0.60269734362849403</v>
          </cell>
          <cell r="BL285">
            <v>0.10094790554853181</v>
          </cell>
        </row>
        <row r="286">
          <cell r="A286" t="str">
            <v>BAKRESWAR TPS5</v>
          </cell>
          <cell r="B286" t="str">
            <v>BAKRESWAR TPS</v>
          </cell>
          <cell r="C286">
            <v>210</v>
          </cell>
          <cell r="D286" t="str">
            <v>RAIL</v>
          </cell>
          <cell r="E286">
            <v>0.81198402130492675</v>
          </cell>
          <cell r="F286">
            <v>23.828600000000002</v>
          </cell>
          <cell r="G286">
            <v>87.451700000000002</v>
          </cell>
          <cell r="H286">
            <v>6.2627776839466201E-2</v>
          </cell>
          <cell r="I286">
            <v>2.4024284547264241E-2</v>
          </cell>
          <cell r="J286">
            <v>0.79533774998409967</v>
          </cell>
          <cell r="K286">
            <v>0.11801018862916997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4347.7696209921332</v>
          </cell>
          <cell r="Q286">
            <v>4319.0338890845123</v>
          </cell>
          <cell r="R286">
            <v>6012.3361463522779</v>
          </cell>
          <cell r="S286">
            <v>3387.0448260568078</v>
          </cell>
          <cell r="T286" t="e">
            <v>#DIV/0!</v>
          </cell>
          <cell r="U286" t="e">
            <v>#DIV/0!</v>
          </cell>
          <cell r="V286" t="e">
            <v>#DIV/0!</v>
          </cell>
          <cell r="W286" t="e">
            <v>#DIV/0!</v>
          </cell>
          <cell r="X286">
            <v>106.08500079993023</v>
          </cell>
          <cell r="Y286">
            <v>40.694662560785879</v>
          </cell>
          <cell r="Z286">
            <v>3042.1171691730528</v>
          </cell>
          <cell r="AA286">
            <v>159.37770673080135</v>
          </cell>
          <cell r="AB286"/>
          <cell r="AC286"/>
          <cell r="AD286"/>
          <cell r="AE286"/>
          <cell r="AF286">
            <v>3348.2745392645706</v>
          </cell>
          <cell r="AG286">
            <v>6.7675089959530303E-4</v>
          </cell>
          <cell r="AH286">
            <v>3349.5486754138142</v>
          </cell>
          <cell r="AI286">
            <v>120.56014359999999</v>
          </cell>
          <cell r="AJ286">
            <v>196.09685430000002</v>
          </cell>
          <cell r="AK286">
            <v>79.207897099999997</v>
          </cell>
          <cell r="AL286">
            <v>503.30741720000003</v>
          </cell>
          <cell r="AM286">
            <v>538.4003527000001</v>
          </cell>
          <cell r="AN286">
            <v>1289.9321029999999</v>
          </cell>
          <cell r="AO286">
            <v>595.34519299999999</v>
          </cell>
          <cell r="AP286">
            <v>1052.773103</v>
          </cell>
          <cell r="AQ286">
            <v>37.977233364344947</v>
          </cell>
          <cell r="AR286">
            <v>18.884817402637097</v>
          </cell>
          <cell r="AS286">
            <v>308.32063215883608</v>
          </cell>
          <cell r="AT286">
            <v>196.22498144881123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561.02773123272414</v>
          </cell>
          <cell r="BH286">
            <v>3910.5764066465381</v>
          </cell>
          <cell r="BI286">
            <v>5557.5965462998529</v>
          </cell>
          <cell r="BJ286">
            <v>0.70364524917702587</v>
          </cell>
          <cell r="BK286">
            <v>0.60269734362849403</v>
          </cell>
          <cell r="BL286">
            <v>0.10094790554853181</v>
          </cell>
        </row>
        <row r="287">
          <cell r="A287" t="str">
            <v>BANDEL TPS1</v>
          </cell>
          <cell r="B287" t="str">
            <v>BANDEL TPS</v>
          </cell>
          <cell r="C287">
            <v>60</v>
          </cell>
          <cell r="D287" t="str">
            <v>RAIL</v>
          </cell>
          <cell r="E287">
            <v>0.999722145040289</v>
          </cell>
          <cell r="F287">
            <v>22.9956</v>
          </cell>
          <cell r="G287">
            <v>88.403599999999997</v>
          </cell>
          <cell r="H287">
            <v>0.14164132277316238</v>
          </cell>
          <cell r="I287">
            <v>0</v>
          </cell>
          <cell r="J287">
            <v>0.42213503951201026</v>
          </cell>
          <cell r="K287">
            <v>0.43622363771482725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4192.6525860231322</v>
          </cell>
          <cell r="Q287" t="e">
            <v>#DIV/0!</v>
          </cell>
          <cell r="R287">
            <v>6033.1763488538591</v>
          </cell>
          <cell r="S287">
            <v>3313.6992392047223</v>
          </cell>
          <cell r="T287" t="e">
            <v>#DIV/0!</v>
          </cell>
          <cell r="U287" t="e">
            <v>#DIV/0!</v>
          </cell>
          <cell r="V287" t="e">
            <v>#DIV/0!</v>
          </cell>
          <cell r="W287" t="e">
            <v>#DIV/0!</v>
          </cell>
          <cell r="X287">
            <v>227.76749054423053</v>
          </cell>
          <cell r="Y287"/>
          <cell r="Z287">
            <v>1614.6401342507691</v>
          </cell>
          <cell r="AA287">
            <v>589.13830922876718</v>
          </cell>
          <cell r="AB287"/>
          <cell r="AC287"/>
          <cell r="AD287"/>
          <cell r="AE287"/>
          <cell r="AF287">
            <v>2431.5459340237667</v>
          </cell>
          <cell r="AG287">
            <v>0</v>
          </cell>
          <cell r="AH287">
            <v>2431.5459340237667</v>
          </cell>
          <cell r="AI287">
            <v>237.89135069999998</v>
          </cell>
          <cell r="AJ287">
            <v>313.42806150000001</v>
          </cell>
          <cell r="AK287">
            <v>223.8659135</v>
          </cell>
          <cell r="AL287">
            <v>503.89992050000001</v>
          </cell>
          <cell r="AM287">
            <v>655.73155989999998</v>
          </cell>
          <cell r="AN287">
            <v>1383.6934310000001</v>
          </cell>
          <cell r="AO287">
            <v>702.24579799999992</v>
          </cell>
          <cell r="AP287">
            <v>1097.557374</v>
          </cell>
          <cell r="AQ287">
            <v>136.3793476321394</v>
          </cell>
          <cell r="AR287">
            <v>0</v>
          </cell>
          <cell r="AS287">
            <v>406.45272279413911</v>
          </cell>
          <cell r="AT287">
            <v>725.34394031946044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1268.1760107457389</v>
          </cell>
          <cell r="BH287">
            <v>3699.7219447695056</v>
          </cell>
          <cell r="BI287">
            <v>4586.181931037725</v>
          </cell>
          <cell r="BJ287">
            <v>0.80671068012610692</v>
          </cell>
          <cell r="BK287">
            <v>0.53018959356319639</v>
          </cell>
          <cell r="BL287">
            <v>0.27652108656291052</v>
          </cell>
        </row>
        <row r="288">
          <cell r="A288" t="str">
            <v>BANDEL TPS2</v>
          </cell>
          <cell r="B288" t="str">
            <v>BANDEL TPS</v>
          </cell>
          <cell r="C288">
            <v>60</v>
          </cell>
          <cell r="D288" t="str">
            <v>RAIL</v>
          </cell>
          <cell r="E288">
            <v>0.999722145040289</v>
          </cell>
          <cell r="F288">
            <v>22.9956</v>
          </cell>
          <cell r="G288">
            <v>88.403599999999997</v>
          </cell>
          <cell r="H288">
            <v>0.14164132277316238</v>
          </cell>
          <cell r="I288">
            <v>0</v>
          </cell>
          <cell r="J288">
            <v>0.42213503951201026</v>
          </cell>
          <cell r="K288">
            <v>0.43622363771482725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4192.6525860231322</v>
          </cell>
          <cell r="Q288" t="e">
            <v>#DIV/0!</v>
          </cell>
          <cell r="R288">
            <v>6033.1763488538591</v>
          </cell>
          <cell r="S288">
            <v>3313.6992392047223</v>
          </cell>
          <cell r="T288" t="e">
            <v>#DIV/0!</v>
          </cell>
          <cell r="U288" t="e">
            <v>#DIV/0!</v>
          </cell>
          <cell r="V288" t="e">
            <v>#DIV/0!</v>
          </cell>
          <cell r="W288" t="e">
            <v>#DIV/0!</v>
          </cell>
          <cell r="X288">
            <v>227.76749054423053</v>
          </cell>
          <cell r="Y288"/>
          <cell r="Z288">
            <v>1614.6401342507691</v>
          </cell>
          <cell r="AA288">
            <v>589.13830922876718</v>
          </cell>
          <cell r="AB288"/>
          <cell r="AC288"/>
          <cell r="AD288"/>
          <cell r="AE288"/>
          <cell r="AF288">
            <v>2431.5459340237667</v>
          </cell>
          <cell r="AG288">
            <v>0</v>
          </cell>
          <cell r="AH288">
            <v>2431.5459340237667</v>
          </cell>
          <cell r="AI288">
            <v>237.89135069999998</v>
          </cell>
          <cell r="AJ288">
            <v>313.42806150000001</v>
          </cell>
          <cell r="AK288">
            <v>223.8659135</v>
          </cell>
          <cell r="AL288">
            <v>503.89992050000001</v>
          </cell>
          <cell r="AM288">
            <v>655.73155989999998</v>
          </cell>
          <cell r="AN288">
            <v>1383.6934310000001</v>
          </cell>
          <cell r="AO288">
            <v>702.24579799999992</v>
          </cell>
          <cell r="AP288">
            <v>1097.557374</v>
          </cell>
          <cell r="AQ288">
            <v>136.3793476321394</v>
          </cell>
          <cell r="AR288">
            <v>0</v>
          </cell>
          <cell r="AS288">
            <v>406.45272279413911</v>
          </cell>
          <cell r="AT288">
            <v>725.34394031946044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1268.1760107457389</v>
          </cell>
          <cell r="BH288">
            <v>3699.7219447695056</v>
          </cell>
          <cell r="BI288">
            <v>4586.181931037725</v>
          </cell>
          <cell r="BJ288">
            <v>0.80671068012610692</v>
          </cell>
          <cell r="BK288">
            <v>0.53018959356319639</v>
          </cell>
          <cell r="BL288">
            <v>0.27652108656291052</v>
          </cell>
        </row>
        <row r="289">
          <cell r="A289" t="str">
            <v>BANDEL TPS5</v>
          </cell>
          <cell r="B289" t="str">
            <v>BANDEL TPS</v>
          </cell>
          <cell r="C289">
            <v>210</v>
          </cell>
          <cell r="D289" t="str">
            <v>RAIL</v>
          </cell>
          <cell r="E289">
            <v>0.999722145040289</v>
          </cell>
          <cell r="F289">
            <v>22.9956</v>
          </cell>
          <cell r="G289">
            <v>88.403599999999997</v>
          </cell>
          <cell r="H289">
            <v>0.14164132277316238</v>
          </cell>
          <cell r="I289">
            <v>0</v>
          </cell>
          <cell r="J289">
            <v>0.42213503951201026</v>
          </cell>
          <cell r="K289">
            <v>0.43622363771482725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4192.6525860231322</v>
          </cell>
          <cell r="Q289" t="e">
            <v>#DIV/0!</v>
          </cell>
          <cell r="R289">
            <v>6033.1763488538591</v>
          </cell>
          <cell r="S289">
            <v>3313.6992392047223</v>
          </cell>
          <cell r="T289" t="e">
            <v>#DIV/0!</v>
          </cell>
          <cell r="U289" t="e">
            <v>#DIV/0!</v>
          </cell>
          <cell r="V289" t="e">
            <v>#DIV/0!</v>
          </cell>
          <cell r="W289" t="e">
            <v>#DIV/0!</v>
          </cell>
          <cell r="X289">
            <v>227.76749054423053</v>
          </cell>
          <cell r="Y289"/>
          <cell r="Z289">
            <v>1614.6401342507691</v>
          </cell>
          <cell r="AA289">
            <v>589.13830922876718</v>
          </cell>
          <cell r="AB289"/>
          <cell r="AC289"/>
          <cell r="AD289"/>
          <cell r="AE289"/>
          <cell r="AF289">
            <v>2431.5459340237667</v>
          </cell>
          <cell r="AG289">
            <v>0</v>
          </cell>
          <cell r="AH289">
            <v>2431.5459340237667</v>
          </cell>
          <cell r="AI289">
            <v>237.89135069999998</v>
          </cell>
          <cell r="AJ289">
            <v>313.42806150000001</v>
          </cell>
          <cell r="AK289">
            <v>223.8659135</v>
          </cell>
          <cell r="AL289">
            <v>503.89992050000001</v>
          </cell>
          <cell r="AM289">
            <v>655.73155989999998</v>
          </cell>
          <cell r="AN289">
            <v>1383.6934310000001</v>
          </cell>
          <cell r="AO289">
            <v>702.24579799999992</v>
          </cell>
          <cell r="AP289">
            <v>1097.557374</v>
          </cell>
          <cell r="AQ289">
            <v>136.3793476321394</v>
          </cell>
          <cell r="AR289">
            <v>0</v>
          </cell>
          <cell r="AS289">
            <v>406.45272279413911</v>
          </cell>
          <cell r="AT289">
            <v>725.34394031946044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1268.1760107457389</v>
          </cell>
          <cell r="BH289">
            <v>3699.7219447695056</v>
          </cell>
          <cell r="BI289">
            <v>4586.181931037725</v>
          </cell>
          <cell r="BJ289">
            <v>0.80671068012610692</v>
          </cell>
          <cell r="BK289">
            <v>0.53018959356319639</v>
          </cell>
          <cell r="BL289">
            <v>0.27652108656291052</v>
          </cell>
        </row>
        <row r="290">
          <cell r="A290" t="str">
            <v>BARAUNI TPS7</v>
          </cell>
          <cell r="B290" t="str">
            <v>BARAUNI TPS</v>
          </cell>
          <cell r="C290">
            <v>110</v>
          </cell>
          <cell r="D290"/>
          <cell r="E290">
            <v>0.77728008431512785</v>
          </cell>
          <cell r="F290">
            <v>25.399899999999999</v>
          </cell>
          <cell r="G290">
            <v>86.021199999999993</v>
          </cell>
          <cell r="H290">
            <v>0</v>
          </cell>
          <cell r="I290">
            <v>0</v>
          </cell>
          <cell r="J290">
            <v>1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 t="e">
            <v>#DIV/0!</v>
          </cell>
          <cell r="Q290" t="e">
            <v>#DIV/0!</v>
          </cell>
          <cell r="R290">
            <v>5758.6620017898322</v>
          </cell>
          <cell r="S290" t="e">
            <v>#DIV/0!</v>
          </cell>
          <cell r="T290" t="e">
            <v>#DIV/0!</v>
          </cell>
          <cell r="U290" t="e">
            <v>#DIV/0!</v>
          </cell>
          <cell r="V290" t="e">
            <v>#DIV/0!</v>
          </cell>
          <cell r="W290" t="e">
            <v>#DIV/0!</v>
          </cell>
          <cell r="X290"/>
          <cell r="Y290"/>
          <cell r="Z290">
            <v>3302.4406800000006</v>
          </cell>
          <cell r="AA290"/>
          <cell r="AB290"/>
          <cell r="AC290"/>
          <cell r="AD290"/>
          <cell r="AE290"/>
          <cell r="AF290">
            <v>3302.4406800000006</v>
          </cell>
          <cell r="AG290">
            <v>0</v>
          </cell>
          <cell r="AH290">
            <v>3302.4406800000006</v>
          </cell>
          <cell r="AI290">
            <v>228.95300359999999</v>
          </cell>
          <cell r="AJ290">
            <v>265.48258020000003</v>
          </cell>
          <cell r="AK290">
            <v>211.66032190000001</v>
          </cell>
          <cell r="AL290">
            <v>628.07507029999999</v>
          </cell>
          <cell r="AM290">
            <v>419.47711430000004</v>
          </cell>
          <cell r="AN290">
            <v>1223.6719909999999</v>
          </cell>
          <cell r="AO290">
            <v>589.74050670000008</v>
          </cell>
          <cell r="AP290">
            <v>1013.5221580000001</v>
          </cell>
          <cell r="AQ290">
            <v>0</v>
          </cell>
          <cell r="AR290">
            <v>0</v>
          </cell>
          <cell r="AS290">
            <v>962.85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962.85</v>
          </cell>
          <cell r="BH290">
            <v>4265.290680000001</v>
          </cell>
          <cell r="BI290">
            <v>5758.6620017898322</v>
          </cell>
          <cell r="BJ290">
            <v>0.74067390631266761</v>
          </cell>
          <cell r="BK290">
            <v>0.57347360879551168</v>
          </cell>
          <cell r="BL290">
            <v>0.16720029751715582</v>
          </cell>
        </row>
        <row r="291">
          <cell r="A291" t="str">
            <v>BARKHERA TPS1</v>
          </cell>
          <cell r="B291" t="str">
            <v>BARKHERA TPS</v>
          </cell>
          <cell r="C291">
            <v>45</v>
          </cell>
          <cell r="D291" t="str">
            <v>RAIL</v>
          </cell>
          <cell r="E291" t="str">
            <v/>
          </cell>
          <cell r="F291">
            <v>28.472036500000002</v>
          </cell>
          <cell r="G291">
            <v>79.805338599999999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4503.0962946398622</v>
          </cell>
          <cell r="U291">
            <v>0</v>
          </cell>
          <cell r="V291">
            <v>0</v>
          </cell>
          <cell r="W291">
            <v>0</v>
          </cell>
          <cell r="X291"/>
          <cell r="Y291"/>
          <cell r="Z291"/>
          <cell r="AA291"/>
          <cell r="AB291">
            <v>1693.8969600000003</v>
          </cell>
          <cell r="AC291"/>
          <cell r="AD291"/>
          <cell r="AE291"/>
          <cell r="AF291">
            <v>1693.8969600000003</v>
          </cell>
          <cell r="AG291">
            <v>0</v>
          </cell>
          <cell r="AH291">
            <v>1693.8969600000003</v>
          </cell>
          <cell r="AI291">
            <v>909.66931350000004</v>
          </cell>
          <cell r="AJ291">
            <v>906.25663459999998</v>
          </cell>
          <cell r="AK291">
            <v>1004.851935</v>
          </cell>
          <cell r="AL291">
            <v>1132.5812490000001</v>
          </cell>
          <cell r="AM291">
            <v>662.07700690000001</v>
          </cell>
          <cell r="AN291">
            <v>2035.197105</v>
          </cell>
          <cell r="AO291">
            <v>883.38444889999994</v>
          </cell>
          <cell r="AP291">
            <v>945.57986560000006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1877.8620000000001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1877.8620000000001</v>
          </cell>
          <cell r="BH291">
            <v>3571.7589600000001</v>
          </cell>
          <cell r="BI291">
            <v>4503.0962946398622</v>
          </cell>
          <cell r="BJ291">
            <v>0.79317845462277725</v>
          </cell>
          <cell r="BK291">
            <v>0.37616272208442098</v>
          </cell>
          <cell r="BL291">
            <v>0.41701573253835628</v>
          </cell>
        </row>
        <row r="292">
          <cell r="A292" t="str">
            <v>BARKHERA TPS2</v>
          </cell>
          <cell r="B292" t="str">
            <v>BARKHERA TPS</v>
          </cell>
          <cell r="C292">
            <v>45</v>
          </cell>
          <cell r="D292" t="str">
            <v>RAIL</v>
          </cell>
          <cell r="E292" t="str">
            <v/>
          </cell>
          <cell r="F292">
            <v>28.472036500000002</v>
          </cell>
          <cell r="G292">
            <v>79.805338599999999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4503.0962946398622</v>
          </cell>
          <cell r="U292">
            <v>0</v>
          </cell>
          <cell r="V292">
            <v>0</v>
          </cell>
          <cell r="W292">
            <v>0</v>
          </cell>
          <cell r="X292"/>
          <cell r="Y292"/>
          <cell r="Z292"/>
          <cell r="AA292"/>
          <cell r="AB292">
            <v>1693.8969600000003</v>
          </cell>
          <cell r="AC292"/>
          <cell r="AD292"/>
          <cell r="AE292"/>
          <cell r="AF292">
            <v>1693.8969600000003</v>
          </cell>
          <cell r="AG292">
            <v>0</v>
          </cell>
          <cell r="AH292">
            <v>1693.8969600000003</v>
          </cell>
          <cell r="AI292">
            <v>909.66931350000004</v>
          </cell>
          <cell r="AJ292">
            <v>906.25663459999998</v>
          </cell>
          <cell r="AK292">
            <v>1004.851935</v>
          </cell>
          <cell r="AL292">
            <v>1132.5812490000001</v>
          </cell>
          <cell r="AM292">
            <v>662.07700690000001</v>
          </cell>
          <cell r="AN292">
            <v>2035.197105</v>
          </cell>
          <cell r="AO292">
            <v>883.38444889999994</v>
          </cell>
          <cell r="AP292">
            <v>945.57986560000006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1877.8620000000001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1877.8620000000001</v>
          </cell>
          <cell r="BH292">
            <v>3571.7589600000001</v>
          </cell>
          <cell r="BI292">
            <v>4503.0962946398622</v>
          </cell>
          <cell r="BJ292">
            <v>0.79317845462277725</v>
          </cell>
          <cell r="BK292">
            <v>0.37616272208442098</v>
          </cell>
          <cell r="BL292">
            <v>0.41701573253835628</v>
          </cell>
        </row>
        <row r="293">
          <cell r="A293" t="str">
            <v>BELA TPS1</v>
          </cell>
          <cell r="B293" t="str">
            <v>BELA TPS</v>
          </cell>
          <cell r="C293">
            <v>270</v>
          </cell>
          <cell r="D293"/>
          <cell r="E293" t="str">
            <v/>
          </cell>
          <cell r="F293">
            <v>20.810099999999998</v>
          </cell>
          <cell r="G293">
            <v>79.055599999999998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4279.0292548546358</v>
          </cell>
          <cell r="X293"/>
          <cell r="Y293"/>
          <cell r="Z293"/>
          <cell r="AA293"/>
          <cell r="AB293"/>
          <cell r="AC293"/>
          <cell r="AD293"/>
          <cell r="AE293">
            <v>1608.0582000000002</v>
          </cell>
          <cell r="AF293">
            <v>1608.0582000000002</v>
          </cell>
          <cell r="AG293">
            <v>0.28000000000000003</v>
          </cell>
          <cell r="AH293">
            <v>2622.4819040000002</v>
          </cell>
          <cell r="AI293">
            <v>977.97071829999993</v>
          </cell>
          <cell r="AJ293">
            <v>921.12784109999996</v>
          </cell>
          <cell r="AK293">
            <v>1089.5299809999999</v>
          </cell>
          <cell r="AL293">
            <v>684.30239000000006</v>
          </cell>
          <cell r="AM293">
            <v>698.13216130000001</v>
          </cell>
          <cell r="AN293">
            <v>2276.3055750000003</v>
          </cell>
          <cell r="AO293">
            <v>499.35384099999999</v>
          </cell>
          <cell r="AP293">
            <v>62.927927969999999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387.66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279.11520000000002</v>
          </cell>
          <cell r="BH293">
            <v>2901.5971040000004</v>
          </cell>
          <cell r="BI293">
            <v>4279.0292548546358</v>
          </cell>
          <cell r="BJ293">
            <v>0.67809704752733024</v>
          </cell>
          <cell r="BK293">
            <v>0.61286842127212549</v>
          </cell>
          <cell r="BL293">
            <v>6.5228626255204675E-2</v>
          </cell>
        </row>
        <row r="294">
          <cell r="A294" t="str">
            <v>BHILAI TPS1</v>
          </cell>
          <cell r="B294" t="str">
            <v>BHILAI TPS</v>
          </cell>
          <cell r="C294">
            <v>250</v>
          </cell>
          <cell r="D294" t="str">
            <v>RAIL</v>
          </cell>
          <cell r="E294">
            <v>0.60262116716122649</v>
          </cell>
          <cell r="F294">
            <v>21.183499999999999</v>
          </cell>
          <cell r="G294">
            <v>81.421999999999997</v>
          </cell>
          <cell r="H294">
            <v>0</v>
          </cell>
          <cell r="I294">
            <v>0</v>
          </cell>
          <cell r="J294">
            <v>0.51542524797964073</v>
          </cell>
          <cell r="K294">
            <v>0</v>
          </cell>
          <cell r="L294">
            <v>0</v>
          </cell>
          <cell r="M294">
            <v>0</v>
          </cell>
          <cell r="N294">
            <v>0.48457475202035927</v>
          </cell>
          <cell r="O294">
            <v>0</v>
          </cell>
          <cell r="P294" t="e">
            <v>#DIV/0!</v>
          </cell>
          <cell r="Q294" t="e">
            <v>#DIV/0!</v>
          </cell>
          <cell r="R294">
            <v>6250.0000000000009</v>
          </cell>
          <cell r="S294" t="e">
            <v>#DIV/0!</v>
          </cell>
          <cell r="T294" t="e">
            <v>#DIV/0!</v>
          </cell>
          <cell r="U294" t="e">
            <v>#DIV/0!</v>
          </cell>
          <cell r="V294">
            <v>3597.9266439241765</v>
          </cell>
          <cell r="W294" t="e">
            <v>#DIV/0!</v>
          </cell>
          <cell r="X294"/>
          <cell r="Y294"/>
          <cell r="Z294">
            <v>2140.1074806412257</v>
          </cell>
          <cell r="AA294"/>
          <cell r="AB294"/>
          <cell r="AC294"/>
          <cell r="AD294">
            <v>696.03381181783516</v>
          </cell>
          <cell r="AE294"/>
          <cell r="AF294">
            <v>2836.1412924590609</v>
          </cell>
          <cell r="AG294">
            <v>0</v>
          </cell>
          <cell r="AH294">
            <v>2836.1412924590609</v>
          </cell>
          <cell r="AI294">
            <v>694.95178769999995</v>
          </cell>
          <cell r="AJ294">
            <v>638.10891040000001</v>
          </cell>
          <cell r="AK294">
            <v>806.51105039999993</v>
          </cell>
          <cell r="AL294">
            <v>401.2834593</v>
          </cell>
          <cell r="AM294">
            <v>500.6512707</v>
          </cell>
          <cell r="AN294">
            <v>1993.286644</v>
          </cell>
          <cell r="AO294">
            <v>216.33491039999998</v>
          </cell>
          <cell r="AP294">
            <v>259.76209289999997</v>
          </cell>
          <cell r="AQ294">
            <v>0</v>
          </cell>
          <cell r="AR294">
            <v>0</v>
          </cell>
          <cell r="AS294">
            <v>1089.9914197629614</v>
          </cell>
          <cell r="AT294">
            <v>0</v>
          </cell>
          <cell r="AU294">
            <v>0</v>
          </cell>
          <cell r="AV294">
            <v>0</v>
          </cell>
          <cell r="AW294">
            <v>466.57279998280291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1556.5642197457644</v>
          </cell>
          <cell r="BH294">
            <v>4392.705512204825</v>
          </cell>
          <cell r="BI294">
            <v>4964.8722111397574</v>
          </cell>
          <cell r="BJ294">
            <v>0.88475701395674322</v>
          </cell>
          <cell r="BK294">
            <v>0.5712415489960786</v>
          </cell>
          <cell r="BL294">
            <v>0.31351546496066468</v>
          </cell>
        </row>
        <row r="295">
          <cell r="A295" t="str">
            <v>BHILAI TPS2</v>
          </cell>
          <cell r="B295" t="str">
            <v>BHILAI TPS</v>
          </cell>
          <cell r="C295">
            <v>250</v>
          </cell>
          <cell r="D295" t="str">
            <v>RAIL</v>
          </cell>
          <cell r="E295">
            <v>0.60262116716122649</v>
          </cell>
          <cell r="F295">
            <v>21.183499999999999</v>
          </cell>
          <cell r="G295">
            <v>81.421999999999997</v>
          </cell>
          <cell r="H295">
            <v>0</v>
          </cell>
          <cell r="I295">
            <v>0</v>
          </cell>
          <cell r="J295">
            <v>0.51542524797964073</v>
          </cell>
          <cell r="K295">
            <v>0</v>
          </cell>
          <cell r="L295">
            <v>0</v>
          </cell>
          <cell r="M295">
            <v>0</v>
          </cell>
          <cell r="N295">
            <v>0.48457475202035927</v>
          </cell>
          <cell r="O295">
            <v>0</v>
          </cell>
          <cell r="P295" t="e">
            <v>#DIV/0!</v>
          </cell>
          <cell r="Q295" t="e">
            <v>#DIV/0!</v>
          </cell>
          <cell r="R295">
            <v>6250.0000000000009</v>
          </cell>
          <cell r="S295" t="e">
            <v>#DIV/0!</v>
          </cell>
          <cell r="T295" t="e">
            <v>#DIV/0!</v>
          </cell>
          <cell r="U295" t="e">
            <v>#DIV/0!</v>
          </cell>
          <cell r="V295">
            <v>3597.9266439241765</v>
          </cell>
          <cell r="W295" t="e">
            <v>#DIV/0!</v>
          </cell>
          <cell r="X295"/>
          <cell r="Y295"/>
          <cell r="Z295">
            <v>2140.1074806412257</v>
          </cell>
          <cell r="AA295"/>
          <cell r="AB295"/>
          <cell r="AC295"/>
          <cell r="AD295">
            <v>696.03381181783516</v>
          </cell>
          <cell r="AE295"/>
          <cell r="AF295">
            <v>2836.1412924590609</v>
          </cell>
          <cell r="AG295">
            <v>0</v>
          </cell>
          <cell r="AH295">
            <v>2836.1412924590609</v>
          </cell>
          <cell r="AI295">
            <v>694.95178769999995</v>
          </cell>
          <cell r="AJ295">
            <v>638.10891040000001</v>
          </cell>
          <cell r="AK295">
            <v>806.51105039999993</v>
          </cell>
          <cell r="AL295">
            <v>401.2834593</v>
          </cell>
          <cell r="AM295">
            <v>500.6512707</v>
          </cell>
          <cell r="AN295">
            <v>1993.286644</v>
          </cell>
          <cell r="AO295">
            <v>216.33491039999998</v>
          </cell>
          <cell r="AP295">
            <v>259.76209289999997</v>
          </cell>
          <cell r="AQ295">
            <v>0</v>
          </cell>
          <cell r="AR295">
            <v>0</v>
          </cell>
          <cell r="AS295">
            <v>1089.9914197629614</v>
          </cell>
          <cell r="AT295">
            <v>0</v>
          </cell>
          <cell r="AU295">
            <v>0</v>
          </cell>
          <cell r="AV295">
            <v>0</v>
          </cell>
          <cell r="AW295">
            <v>466.57279998280291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1556.5642197457644</v>
          </cell>
          <cell r="BH295">
            <v>4392.705512204825</v>
          </cell>
          <cell r="BI295">
            <v>4964.8722111397574</v>
          </cell>
          <cell r="BJ295">
            <v>0.88475701395674322</v>
          </cell>
          <cell r="BK295">
            <v>0.5712415489960786</v>
          </cell>
          <cell r="BL295">
            <v>0.31351546496066468</v>
          </cell>
        </row>
        <row r="296">
          <cell r="A296" t="str">
            <v>BHUSAWAL TPS3</v>
          </cell>
          <cell r="B296" t="str">
            <v>BHUSAWAL TPS</v>
          </cell>
          <cell r="C296">
            <v>210</v>
          </cell>
          <cell r="D296" t="str">
            <v>RAIL</v>
          </cell>
          <cell r="E296">
            <v>0.97201672563525254</v>
          </cell>
          <cell r="F296">
            <v>21.049199999999999</v>
          </cell>
          <cell r="G296">
            <v>75.842200000000005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1.8076316553565435E-2</v>
          </cell>
          <cell r="O296">
            <v>0.98192368344643455</v>
          </cell>
          <cell r="P296" t="e">
            <v>#DIV/0!</v>
          </cell>
          <cell r="Q296" t="e">
            <v>#DIV/0!</v>
          </cell>
          <cell r="R296" t="e">
            <v>#DIV/0!</v>
          </cell>
          <cell r="S296" t="e">
            <v>#DIV/0!</v>
          </cell>
          <cell r="T296" t="e">
            <v>#DIV/0!</v>
          </cell>
          <cell r="U296" t="e">
            <v>#DIV/0!</v>
          </cell>
          <cell r="V296">
            <v>4375.6049774125904</v>
          </cell>
          <cell r="W296">
            <v>4321.3704637134497</v>
          </cell>
          <cell r="X296"/>
          <cell r="Y296"/>
          <cell r="Z296"/>
          <cell r="AA296"/>
          <cell r="AB296"/>
          <cell r="AC296"/>
          <cell r="AD296">
            <v>30.619417658082174</v>
          </cell>
          <cell r="AE296">
            <v>1663.277542341918</v>
          </cell>
          <cell r="AF296">
            <v>1693.8969600000003</v>
          </cell>
          <cell r="AG296">
            <v>3.8557742899071587E-2</v>
          </cell>
          <cell r="AH296">
            <v>1830.2796696238449</v>
          </cell>
          <cell r="AI296">
            <v>1320.128009</v>
          </cell>
          <cell r="AJ296">
            <v>1263.285132</v>
          </cell>
          <cell r="AK296">
            <v>1431.6872720000001</v>
          </cell>
          <cell r="AL296">
            <v>1026.459681</v>
          </cell>
          <cell r="AM296">
            <v>933.763463</v>
          </cell>
          <cell r="AN296">
            <v>2523.540477</v>
          </cell>
          <cell r="AO296">
            <v>841.51113199999986</v>
          </cell>
          <cell r="AP296">
            <v>372.18987390000001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39.447547935881666</v>
          </cell>
          <cell r="AX296">
            <v>1259.0814623360252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1248.4606625468568</v>
          </cell>
          <cell r="BH296">
            <v>3078.7403321707015</v>
          </cell>
          <cell r="BI296">
            <v>4322.3508239512021</v>
          </cell>
          <cell r="BJ296">
            <v>0.71228376815473859</v>
          </cell>
          <cell r="BK296">
            <v>0.42344542221834885</v>
          </cell>
          <cell r="BL296">
            <v>0.2888383459363898</v>
          </cell>
        </row>
        <row r="297">
          <cell r="A297" t="str">
            <v>BOKARO B TPS3</v>
          </cell>
          <cell r="B297" t="str">
            <v>BOKARO B TPS</v>
          </cell>
          <cell r="C297">
            <v>210</v>
          </cell>
          <cell r="D297" t="str">
            <v>RAIL</v>
          </cell>
          <cell r="E297">
            <v>0.54036384309266627</v>
          </cell>
          <cell r="F297">
            <v>23.753299999999999</v>
          </cell>
          <cell r="G297">
            <v>85.8703</v>
          </cell>
          <cell r="H297">
            <v>0</v>
          </cell>
          <cell r="I297">
            <v>1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4304.8689461390541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/>
          <cell r="Y297">
            <v>1693.8969600000003</v>
          </cell>
          <cell r="Z297"/>
          <cell r="AA297"/>
          <cell r="AB297"/>
          <cell r="AC297"/>
          <cell r="AD297"/>
          <cell r="AE297"/>
          <cell r="AF297">
            <v>1693.8969600000003</v>
          </cell>
          <cell r="AG297">
            <v>0</v>
          </cell>
          <cell r="AH297">
            <v>1693.8969600000003</v>
          </cell>
          <cell r="AI297">
            <v>66.669671770000008</v>
          </cell>
          <cell r="AJ297">
            <v>21.47557157</v>
          </cell>
          <cell r="AK297">
            <v>177.77970769999999</v>
          </cell>
          <cell r="AL297">
            <v>400.24647720000002</v>
          </cell>
          <cell r="AM297">
            <v>386.90439449999997</v>
          </cell>
          <cell r="AN297">
            <v>1385.607863</v>
          </cell>
          <cell r="AO297">
            <v>442.19854460000005</v>
          </cell>
          <cell r="AP297">
            <v>899.62645479999992</v>
          </cell>
          <cell r="AQ297">
            <v>0</v>
          </cell>
          <cell r="AR297">
            <v>387.66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387.66</v>
          </cell>
          <cell r="BH297">
            <v>2081.5569600000003</v>
          </cell>
          <cell r="BI297">
            <v>4304.8689461390541</v>
          </cell>
          <cell r="BJ297">
            <v>0.4835355003935497</v>
          </cell>
          <cell r="BK297">
            <v>0.39348397853533279</v>
          </cell>
          <cell r="BL297">
            <v>9.0051521858216868E-2</v>
          </cell>
        </row>
        <row r="298">
          <cell r="A298" t="str">
            <v>BUDGE BUDGE TPS1</v>
          </cell>
          <cell r="B298" t="str">
            <v>BUDGE BUDGE TPS</v>
          </cell>
          <cell r="C298">
            <v>250</v>
          </cell>
          <cell r="D298" t="str">
            <v>RAIL</v>
          </cell>
          <cell r="E298">
            <v>0.85057471264367812</v>
          </cell>
          <cell r="F298">
            <v>22.469200000000001</v>
          </cell>
          <cell r="G298">
            <v>88.139700000000005</v>
          </cell>
          <cell r="H298">
            <v>0.28852854250478688</v>
          </cell>
          <cell r="I298">
            <v>0</v>
          </cell>
          <cell r="J298">
            <v>0.70507953551248603</v>
          </cell>
          <cell r="K298">
            <v>6.3919219827270378E-3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4171.0020992329264</v>
          </cell>
          <cell r="Q298" t="e">
            <v>#DIV/0!</v>
          </cell>
          <cell r="R298">
            <v>5671.3270648294074</v>
          </cell>
          <cell r="S298">
            <v>3487.825757322023</v>
          </cell>
          <cell r="T298" t="e">
            <v>#DIV/0!</v>
          </cell>
          <cell r="U298" t="e">
            <v>#DIV/0!</v>
          </cell>
          <cell r="V298" t="e">
            <v>#DIV/0!</v>
          </cell>
          <cell r="W298" t="e">
            <v>#DIV/0!</v>
          </cell>
          <cell r="X298">
            <v>463.97068870887114</v>
          </cell>
          <cell r="Y298"/>
          <cell r="Z298">
            <v>2328.483340711939</v>
          </cell>
          <cell r="AA298">
            <v>9.1812332440564131</v>
          </cell>
          <cell r="AB298"/>
          <cell r="AC298"/>
          <cell r="AD298"/>
          <cell r="AE298"/>
          <cell r="AF298">
            <v>2801.6352626648663</v>
          </cell>
          <cell r="AG298">
            <v>0</v>
          </cell>
          <cell r="AH298">
            <v>2801.6352626648663</v>
          </cell>
          <cell r="AI298">
            <v>286.39036849999997</v>
          </cell>
          <cell r="AJ298">
            <v>360.56705570000008</v>
          </cell>
          <cell r="AK298">
            <v>277.992571</v>
          </cell>
          <cell r="AL298">
            <v>431.20512289999999</v>
          </cell>
          <cell r="AM298">
            <v>671.57894079999994</v>
          </cell>
          <cell r="AN298">
            <v>1457.788239</v>
          </cell>
          <cell r="AO298">
            <v>668.57186510000008</v>
          </cell>
          <cell r="AP298">
            <v>1024.862576</v>
          </cell>
          <cell r="AQ298">
            <v>323.14388880617116</v>
          </cell>
          <cell r="AR298">
            <v>0</v>
          </cell>
          <cell r="AS298">
            <v>789.66933754698994</v>
          </cell>
          <cell r="AT298">
            <v>9.2326327341345547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1122.0458590872956</v>
          </cell>
          <cell r="BH298">
            <v>3923.6811217521617</v>
          </cell>
          <cell r="BI298">
            <v>5224.4837192155401</v>
          </cell>
          <cell r="BJ298">
            <v>0.7510179632335624</v>
          </cell>
          <cell r="BK298">
            <v>0.53625112321826396</v>
          </cell>
          <cell r="BL298">
            <v>0.2147668400152985</v>
          </cell>
        </row>
        <row r="299">
          <cell r="A299" t="str">
            <v>BUDGE BUDGE TPS2</v>
          </cell>
          <cell r="B299" t="str">
            <v>BUDGE BUDGE TPS</v>
          </cell>
          <cell r="C299">
            <v>250</v>
          </cell>
          <cell r="D299" t="str">
            <v>RAIL</v>
          </cell>
          <cell r="E299">
            <v>0.85057471264367812</v>
          </cell>
          <cell r="F299">
            <v>22.469200000000001</v>
          </cell>
          <cell r="G299">
            <v>88.139700000000005</v>
          </cell>
          <cell r="H299">
            <v>0.28852854250478688</v>
          </cell>
          <cell r="I299">
            <v>0</v>
          </cell>
          <cell r="J299">
            <v>0.70507953551248603</v>
          </cell>
          <cell r="K299">
            <v>6.3919219827270378E-3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4171.0020992329264</v>
          </cell>
          <cell r="Q299" t="e">
            <v>#DIV/0!</v>
          </cell>
          <cell r="R299">
            <v>5671.3270648294074</v>
          </cell>
          <cell r="S299">
            <v>3487.825757322023</v>
          </cell>
          <cell r="T299" t="e">
            <v>#DIV/0!</v>
          </cell>
          <cell r="U299" t="e">
            <v>#DIV/0!</v>
          </cell>
          <cell r="V299" t="e">
            <v>#DIV/0!</v>
          </cell>
          <cell r="W299" t="e">
            <v>#DIV/0!</v>
          </cell>
          <cell r="X299">
            <v>463.97068870887114</v>
          </cell>
          <cell r="Y299"/>
          <cell r="Z299">
            <v>2328.483340711939</v>
          </cell>
          <cell r="AA299">
            <v>9.1812332440564131</v>
          </cell>
          <cell r="AB299"/>
          <cell r="AC299"/>
          <cell r="AD299"/>
          <cell r="AE299"/>
          <cell r="AF299">
            <v>2801.6352626648663</v>
          </cell>
          <cell r="AG299">
            <v>0</v>
          </cell>
          <cell r="AH299">
            <v>2801.6352626648663</v>
          </cell>
          <cell r="AI299">
            <v>286.39036849999997</v>
          </cell>
          <cell r="AJ299">
            <v>360.56705570000008</v>
          </cell>
          <cell r="AK299">
            <v>277.992571</v>
          </cell>
          <cell r="AL299">
            <v>431.20512289999999</v>
          </cell>
          <cell r="AM299">
            <v>671.57894079999994</v>
          </cell>
          <cell r="AN299">
            <v>1457.788239</v>
          </cell>
          <cell r="AO299">
            <v>668.57186510000008</v>
          </cell>
          <cell r="AP299">
            <v>1024.862576</v>
          </cell>
          <cell r="AQ299">
            <v>323.14388880617116</v>
          </cell>
          <cell r="AR299">
            <v>0</v>
          </cell>
          <cell r="AS299">
            <v>789.66933754698994</v>
          </cell>
          <cell r="AT299">
            <v>9.2326327341345547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1122.0458590872956</v>
          </cell>
          <cell r="BH299">
            <v>3923.6811217521617</v>
          </cell>
          <cell r="BI299">
            <v>5224.4837192155401</v>
          </cell>
          <cell r="BJ299">
            <v>0.7510179632335624</v>
          </cell>
          <cell r="BK299">
            <v>0.53625112321826396</v>
          </cell>
          <cell r="BL299">
            <v>0.2147668400152985</v>
          </cell>
        </row>
        <row r="300">
          <cell r="A300" t="str">
            <v>BUDGE BUDGE TPS3</v>
          </cell>
          <cell r="B300" t="str">
            <v>BUDGE BUDGE TPS</v>
          </cell>
          <cell r="C300">
            <v>250</v>
          </cell>
          <cell r="D300" t="str">
            <v>RAIL</v>
          </cell>
          <cell r="E300">
            <v>0.85057471264367812</v>
          </cell>
          <cell r="F300">
            <v>22.469200000000001</v>
          </cell>
          <cell r="G300">
            <v>88.139700000000005</v>
          </cell>
          <cell r="H300">
            <v>0.28852854250478688</v>
          </cell>
          <cell r="I300">
            <v>0</v>
          </cell>
          <cell r="J300">
            <v>0.70507953551248603</v>
          </cell>
          <cell r="K300">
            <v>6.3919219827270378E-3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4171.0020992329264</v>
          </cell>
          <cell r="Q300" t="e">
            <v>#DIV/0!</v>
          </cell>
          <cell r="R300">
            <v>5671.3270648294074</v>
          </cell>
          <cell r="S300">
            <v>3487.825757322023</v>
          </cell>
          <cell r="T300" t="e">
            <v>#DIV/0!</v>
          </cell>
          <cell r="U300" t="e">
            <v>#DIV/0!</v>
          </cell>
          <cell r="V300" t="e">
            <v>#DIV/0!</v>
          </cell>
          <cell r="W300" t="e">
            <v>#DIV/0!</v>
          </cell>
          <cell r="X300">
            <v>463.97068870887114</v>
          </cell>
          <cell r="Y300"/>
          <cell r="Z300">
            <v>2328.483340711939</v>
          </cell>
          <cell r="AA300">
            <v>9.1812332440564131</v>
          </cell>
          <cell r="AB300"/>
          <cell r="AC300"/>
          <cell r="AD300"/>
          <cell r="AE300"/>
          <cell r="AF300">
            <v>2801.6352626648663</v>
          </cell>
          <cell r="AG300">
            <v>0</v>
          </cell>
          <cell r="AH300">
            <v>2801.6352626648663</v>
          </cell>
          <cell r="AI300">
            <v>286.39036849999997</v>
          </cell>
          <cell r="AJ300">
            <v>360.56705570000008</v>
          </cell>
          <cell r="AK300">
            <v>277.992571</v>
          </cell>
          <cell r="AL300">
            <v>431.20512289999999</v>
          </cell>
          <cell r="AM300">
            <v>671.57894079999994</v>
          </cell>
          <cell r="AN300">
            <v>1457.788239</v>
          </cell>
          <cell r="AO300">
            <v>668.57186510000008</v>
          </cell>
          <cell r="AP300">
            <v>1024.862576</v>
          </cell>
          <cell r="AQ300">
            <v>323.14388880617116</v>
          </cell>
          <cell r="AR300">
            <v>0</v>
          </cell>
          <cell r="AS300">
            <v>789.66933754698994</v>
          </cell>
          <cell r="AT300">
            <v>9.2326327341345547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1122.0458590872956</v>
          </cell>
          <cell r="BH300">
            <v>3923.6811217521617</v>
          </cell>
          <cell r="BI300">
            <v>5224.4837192155401</v>
          </cell>
          <cell r="BJ300">
            <v>0.7510179632335624</v>
          </cell>
          <cell r="BK300">
            <v>0.53625112321826396</v>
          </cell>
          <cell r="BL300">
            <v>0.2147668400152985</v>
          </cell>
        </row>
        <row r="301">
          <cell r="A301" t="str">
            <v>CHAKABURA TPP2</v>
          </cell>
          <cell r="B301" t="str">
            <v>CHAKABURA TPP</v>
          </cell>
          <cell r="C301">
            <v>30</v>
          </cell>
          <cell r="D301" t="e">
            <v>#N/A</v>
          </cell>
          <cell r="E301" t="str">
            <v/>
          </cell>
          <cell r="F301">
            <v>22.3933</v>
          </cell>
          <cell r="G301">
            <v>82.552999999999997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1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4277.9166493810972</v>
          </cell>
          <cell r="W301">
            <v>0</v>
          </cell>
          <cell r="X301"/>
          <cell r="Y301"/>
          <cell r="Z301"/>
          <cell r="AA301"/>
          <cell r="AB301"/>
          <cell r="AC301"/>
          <cell r="AD301">
            <v>1608.0582000000002</v>
          </cell>
          <cell r="AE301"/>
          <cell r="AF301">
            <v>1608.0582000000002</v>
          </cell>
          <cell r="AG301">
            <v>0.28000000000000003</v>
          </cell>
          <cell r="AH301">
            <v>2622.4819040000002</v>
          </cell>
          <cell r="AI301">
            <v>519.87402069999996</v>
          </cell>
          <cell r="AJ301">
            <v>463.03114340000002</v>
          </cell>
          <cell r="AK301">
            <v>631.43328339999994</v>
          </cell>
          <cell r="AL301">
            <v>342.99247200000002</v>
          </cell>
          <cell r="AM301">
            <v>306.2241702</v>
          </cell>
          <cell r="AN301">
            <v>1798.8595439999999</v>
          </cell>
          <cell r="AO301">
            <v>27.82059915</v>
          </cell>
          <cell r="AP301">
            <v>472.30542469999995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387.66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279.11520000000002</v>
          </cell>
          <cell r="BH301">
            <v>2901.5971040000004</v>
          </cell>
          <cell r="BI301">
            <v>4277.9166493810972</v>
          </cell>
          <cell r="BJ301">
            <v>0.67827340778595713</v>
          </cell>
          <cell r="BK301">
            <v>0.6130278167947486</v>
          </cell>
          <cell r="BL301">
            <v>6.5245590991208469E-2</v>
          </cell>
        </row>
        <row r="302">
          <cell r="A302" t="str">
            <v>CHANDRAPUR STPS3</v>
          </cell>
          <cell r="B302" t="str">
            <v>CHANDRAPUR STPS</v>
          </cell>
          <cell r="C302">
            <v>210</v>
          </cell>
          <cell r="D302" t="str">
            <v>RAIL</v>
          </cell>
          <cell r="E302">
            <v>0.69994058229352352</v>
          </cell>
          <cell r="F302">
            <v>20.0046</v>
          </cell>
          <cell r="G302">
            <v>79.2881</v>
          </cell>
          <cell r="H302">
            <v>0</v>
          </cell>
          <cell r="I302">
            <v>0</v>
          </cell>
          <cell r="J302">
            <v>0</v>
          </cell>
          <cell r="K302">
            <v>1.7806354402605864E-4</v>
          </cell>
          <cell r="L302">
            <v>0</v>
          </cell>
          <cell r="M302">
            <v>0</v>
          </cell>
          <cell r="N302">
            <v>9.875656184697339E-3</v>
          </cell>
          <cell r="O302">
            <v>0.98994628027127662</v>
          </cell>
          <cell r="P302" t="e">
            <v>#DIV/0!</v>
          </cell>
          <cell r="Q302" t="e">
            <v>#DIV/0!</v>
          </cell>
          <cell r="R302" t="e">
            <v>#DIV/0!</v>
          </cell>
          <cell r="S302">
            <v>3550</v>
          </cell>
          <cell r="T302" t="e">
            <v>#DIV/0!</v>
          </cell>
          <cell r="U302" t="e">
            <v>#DIV/0!</v>
          </cell>
          <cell r="V302">
            <v>4418.0665198501893</v>
          </cell>
          <cell r="W302">
            <v>4179.5340119096463</v>
          </cell>
          <cell r="X302"/>
          <cell r="Y302"/>
          <cell r="Z302"/>
          <cell r="AA302">
            <v>0.25576703445136006</v>
          </cell>
          <cell r="AB302"/>
          <cell r="AC302"/>
          <cell r="AD302">
            <v>16.728343989264022</v>
          </cell>
          <cell r="AE302">
            <v>1591.8912335497248</v>
          </cell>
          <cell r="AF302">
            <v>1608.8753445734401</v>
          </cell>
          <cell r="AG302">
            <v>3.3278847509413102E-2</v>
          </cell>
          <cell r="AH302">
            <v>1729.4154786414658</v>
          </cell>
          <cell r="AI302">
            <v>993.51831249999998</v>
          </cell>
          <cell r="AJ302">
            <v>936.67543520000004</v>
          </cell>
          <cell r="AK302">
            <v>1105.077575</v>
          </cell>
          <cell r="AL302">
            <v>697.13640820000012</v>
          </cell>
          <cell r="AM302">
            <v>787.70863150000002</v>
          </cell>
          <cell r="AN302">
            <v>2291.8531690000004</v>
          </cell>
          <cell r="AO302">
            <v>514.90143520000004</v>
          </cell>
          <cell r="AP302">
            <v>152.50439810000003</v>
          </cell>
          <cell r="AQ302">
            <v>0</v>
          </cell>
          <cell r="AR302">
            <v>0</v>
          </cell>
          <cell r="AS302">
            <v>0</v>
          </cell>
          <cell r="AT302">
            <v>0.33437876291186253</v>
          </cell>
          <cell r="AU302">
            <v>0</v>
          </cell>
          <cell r="AV302">
            <v>0</v>
          </cell>
          <cell r="AW302">
            <v>16.42104359079104</v>
          </cell>
          <cell r="AX302">
            <v>723.91009680373418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716.01702428991644</v>
          </cell>
          <cell r="BH302">
            <v>2445.4325029313823</v>
          </cell>
          <cell r="BI302">
            <v>4181.7775798896982</v>
          </cell>
          <cell r="BJ302">
            <v>0.58478301540750166</v>
          </cell>
          <cell r="BK302">
            <v>0.41355989064513615</v>
          </cell>
          <cell r="BL302">
            <v>0.17122312476236545</v>
          </cell>
        </row>
        <row r="303">
          <cell r="A303" t="str">
            <v>CHANDRAPUR STPS4</v>
          </cell>
          <cell r="B303" t="str">
            <v>CHANDRAPUR STPS</v>
          </cell>
          <cell r="C303">
            <v>210</v>
          </cell>
          <cell r="D303" t="str">
            <v>RAIL</v>
          </cell>
          <cell r="E303">
            <v>0.69994058229352352</v>
          </cell>
          <cell r="F303">
            <v>20.0046</v>
          </cell>
          <cell r="G303">
            <v>79.2881</v>
          </cell>
          <cell r="H303">
            <v>0</v>
          </cell>
          <cell r="I303">
            <v>0</v>
          </cell>
          <cell r="J303">
            <v>0</v>
          </cell>
          <cell r="K303">
            <v>1.7806354402605864E-4</v>
          </cell>
          <cell r="L303">
            <v>0</v>
          </cell>
          <cell r="M303">
            <v>0</v>
          </cell>
          <cell r="N303">
            <v>9.875656184697339E-3</v>
          </cell>
          <cell r="O303">
            <v>0.98994628027127662</v>
          </cell>
          <cell r="P303" t="e">
            <v>#DIV/0!</v>
          </cell>
          <cell r="Q303" t="e">
            <v>#DIV/0!</v>
          </cell>
          <cell r="R303" t="e">
            <v>#DIV/0!</v>
          </cell>
          <cell r="S303">
            <v>3550</v>
          </cell>
          <cell r="T303" t="e">
            <v>#DIV/0!</v>
          </cell>
          <cell r="U303" t="e">
            <v>#DIV/0!</v>
          </cell>
          <cell r="V303">
            <v>4418.0665198501893</v>
          </cell>
          <cell r="W303">
            <v>4179.5340119096463</v>
          </cell>
          <cell r="X303"/>
          <cell r="Y303"/>
          <cell r="Z303"/>
          <cell r="AA303">
            <v>0.25576703445136006</v>
          </cell>
          <cell r="AB303"/>
          <cell r="AC303"/>
          <cell r="AD303">
            <v>16.728343989264022</v>
          </cell>
          <cell r="AE303">
            <v>1591.8912335497248</v>
          </cell>
          <cell r="AF303">
            <v>1608.8753445734401</v>
          </cell>
          <cell r="AG303">
            <v>3.3278847509413102E-2</v>
          </cell>
          <cell r="AH303">
            <v>1729.4154786414658</v>
          </cell>
          <cell r="AI303">
            <v>993.51831249999998</v>
          </cell>
          <cell r="AJ303">
            <v>936.67543520000004</v>
          </cell>
          <cell r="AK303">
            <v>1105.077575</v>
          </cell>
          <cell r="AL303">
            <v>697.13640820000012</v>
          </cell>
          <cell r="AM303">
            <v>787.70863150000002</v>
          </cell>
          <cell r="AN303">
            <v>2291.8531690000004</v>
          </cell>
          <cell r="AO303">
            <v>514.90143520000004</v>
          </cell>
          <cell r="AP303">
            <v>152.50439810000003</v>
          </cell>
          <cell r="AQ303">
            <v>0</v>
          </cell>
          <cell r="AR303">
            <v>0</v>
          </cell>
          <cell r="AS303">
            <v>0</v>
          </cell>
          <cell r="AT303">
            <v>0.33437876291186253</v>
          </cell>
          <cell r="AU303">
            <v>0</v>
          </cell>
          <cell r="AV303">
            <v>0</v>
          </cell>
          <cell r="AW303">
            <v>16.42104359079104</v>
          </cell>
          <cell r="AX303">
            <v>723.91009680373418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716.01702428991644</v>
          </cell>
          <cell r="BH303">
            <v>2445.4325029313823</v>
          </cell>
          <cell r="BI303">
            <v>4181.7775798896982</v>
          </cell>
          <cell r="BJ303">
            <v>0.58478301540750166</v>
          </cell>
          <cell r="BK303">
            <v>0.41355989064513615</v>
          </cell>
          <cell r="BL303">
            <v>0.17122312476236545</v>
          </cell>
        </row>
        <row r="304">
          <cell r="A304" t="str">
            <v>CHANDRAPURA(DVC)7</v>
          </cell>
          <cell r="B304" t="str">
            <v>CHANDRAPURA(DVC)</v>
          </cell>
          <cell r="C304">
            <v>250</v>
          </cell>
          <cell r="D304" t="str">
            <v>RAIL</v>
          </cell>
          <cell r="E304">
            <v>0.51855526890255998</v>
          </cell>
          <cell r="F304">
            <v>23.676100000000002</v>
          </cell>
          <cell r="G304">
            <v>86.089500000000001</v>
          </cell>
          <cell r="H304">
            <v>0.26342496185140157</v>
          </cell>
          <cell r="I304">
            <v>0.73657503814859848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4381.2006858939412</v>
          </cell>
          <cell r="Q304">
            <v>4366.9315122155385</v>
          </cell>
          <cell r="R304" t="e">
            <v>#DIV/0!</v>
          </cell>
          <cell r="S304" t="e">
            <v>#DIV/0!</v>
          </cell>
          <cell r="T304" t="e">
            <v>#DIV/0!</v>
          </cell>
          <cell r="U304" t="e">
            <v>#DIV/0!</v>
          </cell>
          <cell r="V304" t="e">
            <v>#DIV/0!</v>
          </cell>
          <cell r="W304" t="e">
            <v>#DIV/0!</v>
          </cell>
          <cell r="X304">
            <v>446.21474206820517</v>
          </cell>
          <cell r="Y304">
            <v>1247.6822179317951</v>
          </cell>
          <cell r="Z304"/>
          <cell r="AA304"/>
          <cell r="AB304"/>
          <cell r="AC304"/>
          <cell r="AD304"/>
          <cell r="AE304"/>
          <cell r="AF304">
            <v>1693.8969600000003</v>
          </cell>
          <cell r="AG304">
            <v>0</v>
          </cell>
          <cell r="AH304">
            <v>1693.8969600000003</v>
          </cell>
          <cell r="AI304">
            <v>53.708597269999999</v>
          </cell>
          <cell r="AJ304">
            <v>88.331032289999996</v>
          </cell>
          <cell r="AK304">
            <v>165.26785999999998</v>
          </cell>
          <cell r="AL304">
            <v>400.2606571</v>
          </cell>
          <cell r="AM304">
            <v>404.32404439999999</v>
          </cell>
          <cell r="AN304">
            <v>1400.9279320000001</v>
          </cell>
          <cell r="AO304">
            <v>442.21272450000004</v>
          </cell>
          <cell r="AP304">
            <v>899.64063470000008</v>
          </cell>
          <cell r="AQ304">
            <v>102.11932071131434</v>
          </cell>
          <cell r="AR304">
            <v>285.54067928868568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387.66</v>
          </cell>
          <cell r="BH304">
            <v>2081.5569600000003</v>
          </cell>
          <cell r="BI304">
            <v>4370.6903687474232</v>
          </cell>
          <cell r="BJ304">
            <v>0.4762535856770253</v>
          </cell>
          <cell r="BK304">
            <v>0.38755821554237591</v>
          </cell>
          <cell r="BL304">
            <v>8.8695370134649412E-2</v>
          </cell>
        </row>
        <row r="305">
          <cell r="A305" t="str">
            <v>CHANDRAPURA(DVC)8</v>
          </cell>
          <cell r="B305" t="str">
            <v>CHANDRAPURA(DVC)</v>
          </cell>
          <cell r="C305">
            <v>250</v>
          </cell>
          <cell r="D305" t="str">
            <v>RAIL</v>
          </cell>
          <cell r="E305">
            <v>0.51855526890255998</v>
          </cell>
          <cell r="F305">
            <v>23.676100000000002</v>
          </cell>
          <cell r="G305">
            <v>86.089500000000001</v>
          </cell>
          <cell r="H305">
            <v>0.26342496185140157</v>
          </cell>
          <cell r="I305">
            <v>0.73657503814859848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4381.2006858939412</v>
          </cell>
          <cell r="Q305">
            <v>4366.9315122155385</v>
          </cell>
          <cell r="R305" t="e">
            <v>#DIV/0!</v>
          </cell>
          <cell r="S305" t="e">
            <v>#DIV/0!</v>
          </cell>
          <cell r="T305" t="e">
            <v>#DIV/0!</v>
          </cell>
          <cell r="U305" t="e">
            <v>#DIV/0!</v>
          </cell>
          <cell r="V305" t="e">
            <v>#DIV/0!</v>
          </cell>
          <cell r="W305" t="e">
            <v>#DIV/0!</v>
          </cell>
          <cell r="X305">
            <v>446.21474206820517</v>
          </cell>
          <cell r="Y305">
            <v>1247.6822179317951</v>
          </cell>
          <cell r="Z305"/>
          <cell r="AA305"/>
          <cell r="AB305"/>
          <cell r="AC305"/>
          <cell r="AD305"/>
          <cell r="AE305"/>
          <cell r="AF305">
            <v>1693.8969600000003</v>
          </cell>
          <cell r="AG305">
            <v>0</v>
          </cell>
          <cell r="AH305">
            <v>1693.8969600000003</v>
          </cell>
          <cell r="AI305">
            <v>53.708597269999999</v>
          </cell>
          <cell r="AJ305">
            <v>88.331032289999996</v>
          </cell>
          <cell r="AK305">
            <v>165.26785999999998</v>
          </cell>
          <cell r="AL305">
            <v>400.2606571</v>
          </cell>
          <cell r="AM305">
            <v>404.32404439999999</v>
          </cell>
          <cell r="AN305">
            <v>1400.9279320000001</v>
          </cell>
          <cell r="AO305">
            <v>442.21272450000004</v>
          </cell>
          <cell r="AP305">
            <v>899.64063470000008</v>
          </cell>
          <cell r="AQ305">
            <v>102.11932071131434</v>
          </cell>
          <cell r="AR305">
            <v>285.54067928868568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387.66</v>
          </cell>
          <cell r="BH305">
            <v>2081.5569600000003</v>
          </cell>
          <cell r="BI305">
            <v>4370.6903687474232</v>
          </cell>
          <cell r="BJ305">
            <v>0.4762535856770253</v>
          </cell>
          <cell r="BK305">
            <v>0.38755821554237591</v>
          </cell>
          <cell r="BL305">
            <v>8.8695370134649412E-2</v>
          </cell>
        </row>
        <row r="306">
          <cell r="A306" t="str">
            <v>CHHABRA TPS1</v>
          </cell>
          <cell r="B306" t="str">
            <v>CHHABRA TPS</v>
          </cell>
          <cell r="C306">
            <v>250</v>
          </cell>
          <cell r="D306" t="str">
            <v>RAIL</v>
          </cell>
          <cell r="E306">
            <v>0.91893830703012913</v>
          </cell>
          <cell r="F306">
            <v>24.621500000000001</v>
          </cell>
          <cell r="G306">
            <v>77.035399999999996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1</v>
          </cell>
          <cell r="O306">
            <v>0</v>
          </cell>
          <cell r="P306" t="e">
            <v>#DIV/0!</v>
          </cell>
          <cell r="Q306" t="e">
            <v>#DIV/0!</v>
          </cell>
          <cell r="R306" t="e">
            <v>#DIV/0!</v>
          </cell>
          <cell r="S306" t="e">
            <v>#DIV/0!</v>
          </cell>
          <cell r="T306" t="e">
            <v>#DIV/0!</v>
          </cell>
          <cell r="U306" t="e">
            <v>#DIV/0!</v>
          </cell>
          <cell r="V306">
            <v>4431.9195703193527</v>
          </cell>
          <cell r="W306" t="e">
            <v>#DIV/0!</v>
          </cell>
          <cell r="X306"/>
          <cell r="Y306"/>
          <cell r="Z306"/>
          <cell r="AA306"/>
          <cell r="AB306"/>
          <cell r="AC306"/>
          <cell r="AD306">
            <v>1693.8969600000003</v>
          </cell>
          <cell r="AE306"/>
          <cell r="AF306">
            <v>1693.8969600000003</v>
          </cell>
          <cell r="AG306">
            <v>0</v>
          </cell>
          <cell r="AH306">
            <v>1693.8969600000003</v>
          </cell>
          <cell r="AI306">
            <v>1097.2493449999999</v>
          </cell>
          <cell r="AJ306">
            <v>1082.8915999999999</v>
          </cell>
          <cell r="AK306">
            <v>1192.431967</v>
          </cell>
          <cell r="AL306">
            <v>1024.6149479999999</v>
          </cell>
          <cell r="AM306">
            <v>714.45789269999989</v>
          </cell>
          <cell r="AN306">
            <v>2244.7031269999998</v>
          </cell>
          <cell r="AO306">
            <v>738.10572640000009</v>
          </cell>
          <cell r="AP306">
            <v>528.62300659999994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1985.3400000000001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1985.3400000000001</v>
          </cell>
          <cell r="BH306">
            <v>3679.2369600000002</v>
          </cell>
          <cell r="BI306">
            <v>4431.9195703193527</v>
          </cell>
          <cell r="BJ306">
            <v>0.83016780914525568</v>
          </cell>
          <cell r="BK306">
            <v>0.38220390355097134</v>
          </cell>
          <cell r="BL306">
            <v>0.44796390559428445</v>
          </cell>
        </row>
        <row r="307">
          <cell r="A307" t="str">
            <v>CHHABRA TPS2</v>
          </cell>
          <cell r="B307" t="str">
            <v>CHHABRA TPS</v>
          </cell>
          <cell r="C307">
            <v>250</v>
          </cell>
          <cell r="D307" t="str">
            <v>RAIL</v>
          </cell>
          <cell r="E307">
            <v>0.91893830703012913</v>
          </cell>
          <cell r="F307">
            <v>24.621500000000001</v>
          </cell>
          <cell r="G307">
            <v>77.035399999999996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1</v>
          </cell>
          <cell r="O307">
            <v>0</v>
          </cell>
          <cell r="P307" t="e">
            <v>#DIV/0!</v>
          </cell>
          <cell r="Q307" t="e">
            <v>#DIV/0!</v>
          </cell>
          <cell r="R307" t="e">
            <v>#DIV/0!</v>
          </cell>
          <cell r="S307" t="e">
            <v>#DIV/0!</v>
          </cell>
          <cell r="T307" t="e">
            <v>#DIV/0!</v>
          </cell>
          <cell r="U307" t="e">
            <v>#DIV/0!</v>
          </cell>
          <cell r="V307">
            <v>4431.9195703193527</v>
          </cell>
          <cell r="W307" t="e">
            <v>#DIV/0!</v>
          </cell>
          <cell r="X307"/>
          <cell r="Y307"/>
          <cell r="Z307"/>
          <cell r="AA307"/>
          <cell r="AB307"/>
          <cell r="AC307"/>
          <cell r="AD307">
            <v>1693.8969600000003</v>
          </cell>
          <cell r="AE307"/>
          <cell r="AF307">
            <v>1693.8969600000003</v>
          </cell>
          <cell r="AG307">
            <v>0</v>
          </cell>
          <cell r="AH307">
            <v>1693.8969600000003</v>
          </cell>
          <cell r="AI307">
            <v>1097.2493449999999</v>
          </cell>
          <cell r="AJ307">
            <v>1082.8915999999999</v>
          </cell>
          <cell r="AK307">
            <v>1192.431967</v>
          </cell>
          <cell r="AL307">
            <v>1024.6149479999999</v>
          </cell>
          <cell r="AM307">
            <v>714.45789269999989</v>
          </cell>
          <cell r="AN307">
            <v>2244.7031269999998</v>
          </cell>
          <cell r="AO307">
            <v>738.10572640000009</v>
          </cell>
          <cell r="AP307">
            <v>528.62300659999994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1985.3400000000001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1985.3400000000001</v>
          </cell>
          <cell r="BH307">
            <v>3679.2369600000002</v>
          </cell>
          <cell r="BI307">
            <v>4431.9195703193527</v>
          </cell>
          <cell r="BJ307">
            <v>0.83016780914525568</v>
          </cell>
          <cell r="BK307">
            <v>0.38220390355097134</v>
          </cell>
          <cell r="BL307">
            <v>0.44796390559428445</v>
          </cell>
        </row>
        <row r="308">
          <cell r="A308" t="str">
            <v>DADRI (NCTPP)1</v>
          </cell>
          <cell r="B308" t="str">
            <v>DADRI (NCTPP)</v>
          </cell>
          <cell r="C308">
            <v>210</v>
          </cell>
          <cell r="D308" t="str">
            <v>RAIL</v>
          </cell>
          <cell r="E308"/>
          <cell r="F308">
            <v>28.601099999999999</v>
          </cell>
          <cell r="G308">
            <v>77.606899999999996</v>
          </cell>
          <cell r="H308">
            <v>0.21365050531978347</v>
          </cell>
          <cell r="I308">
            <v>0.47487256444451786</v>
          </cell>
          <cell r="J308">
            <v>0.29554755224554441</v>
          </cell>
          <cell r="K308">
            <v>0</v>
          </cell>
          <cell r="L308">
            <v>1.5929377990154366E-2</v>
          </cell>
          <cell r="M308">
            <v>0</v>
          </cell>
          <cell r="N308">
            <v>0</v>
          </cell>
          <cell r="O308">
            <v>0</v>
          </cell>
          <cell r="P308">
            <v>4282.0535084030671</v>
          </cell>
          <cell r="Q308">
            <v>4161.9976698589226</v>
          </cell>
          <cell r="R308">
            <v>5945.7651798195066</v>
          </cell>
          <cell r="S308" t="e">
            <v>#DIV/0!</v>
          </cell>
          <cell r="T308">
            <v>4497.1367089912119</v>
          </cell>
          <cell r="U308" t="e">
            <v>#DIV/0!</v>
          </cell>
          <cell r="V308" t="e">
            <v>#DIV/0!</v>
          </cell>
          <cell r="W308" t="e">
            <v>#DIV/0!</v>
          </cell>
          <cell r="X308">
            <v>343.56244701362147</v>
          </cell>
          <cell r="Y308">
            <v>763.62272121003548</v>
          </cell>
          <cell r="Z308">
            <v>1130.4509097062412</v>
          </cell>
          <cell r="AA308"/>
          <cell r="AB308">
            <v>26.982724952213395</v>
          </cell>
          <cell r="AC308"/>
          <cell r="AD308"/>
          <cell r="AE308"/>
          <cell r="AF308">
            <v>2264.6188028821116</v>
          </cell>
          <cell r="AG308">
            <v>2.2633605042873307E-2</v>
          </cell>
          <cell r="AH308">
            <v>2331.7587033042837</v>
          </cell>
          <cell r="AI308">
            <v>1112.416138</v>
          </cell>
          <cell r="AJ308">
            <v>1109.003459</v>
          </cell>
          <cell r="AK308">
            <v>1207.5987589999997</v>
          </cell>
          <cell r="AL308">
            <v>1297.7536740000003</v>
          </cell>
          <cell r="AM308">
            <v>827.24943229999997</v>
          </cell>
          <cell r="AN308">
            <v>2242.82249</v>
          </cell>
          <cell r="AO308">
            <v>1008.1686940000001</v>
          </cell>
          <cell r="AP308">
            <v>963.37911259999998</v>
          </cell>
          <cell r="AQ308">
            <v>587.30387407355283</v>
          </cell>
          <cell r="AR308">
            <v>1305.3771924015352</v>
          </cell>
          <cell r="AS308">
            <v>875.5135181092752</v>
          </cell>
          <cell r="AT308">
            <v>0</v>
          </cell>
          <cell r="AU308">
            <v>34.762331141598089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2739.5158959432301</v>
          </cell>
          <cell r="BH308">
            <v>5071.2745992475138</v>
          </cell>
          <cell r="BI308">
            <v>4720.1743382080467</v>
          </cell>
          <cell r="BJ308">
            <v>1.0743829011139359</v>
          </cell>
          <cell r="BK308">
            <v>0.49399842807278721</v>
          </cell>
          <cell r="BL308">
            <v>0.58038447304114871</v>
          </cell>
        </row>
        <row r="309">
          <cell r="A309" t="str">
            <v>DADRI (NCTPP)2</v>
          </cell>
          <cell r="B309" t="str">
            <v>DADRI (NCTPP)</v>
          </cell>
          <cell r="C309">
            <v>210</v>
          </cell>
          <cell r="D309" t="str">
            <v>RAIL</v>
          </cell>
          <cell r="E309"/>
          <cell r="F309">
            <v>28.601099999999999</v>
          </cell>
          <cell r="G309">
            <v>77.606899999999996</v>
          </cell>
          <cell r="H309">
            <v>0.21365050531978347</v>
          </cell>
          <cell r="I309">
            <v>0.47487256444451786</v>
          </cell>
          <cell r="J309">
            <v>0.29554755224554441</v>
          </cell>
          <cell r="K309">
            <v>0</v>
          </cell>
          <cell r="L309">
            <v>1.5929377990154366E-2</v>
          </cell>
          <cell r="M309">
            <v>0</v>
          </cell>
          <cell r="N309">
            <v>0</v>
          </cell>
          <cell r="O309">
            <v>0</v>
          </cell>
          <cell r="P309">
            <v>4282.0535084030671</v>
          </cell>
          <cell r="Q309">
            <v>4161.9976698589226</v>
          </cell>
          <cell r="R309">
            <v>5945.7651798195066</v>
          </cell>
          <cell r="S309" t="e">
            <v>#DIV/0!</v>
          </cell>
          <cell r="T309">
            <v>4497.1367089912119</v>
          </cell>
          <cell r="U309" t="e">
            <v>#DIV/0!</v>
          </cell>
          <cell r="V309" t="e">
            <v>#DIV/0!</v>
          </cell>
          <cell r="W309" t="e">
            <v>#DIV/0!</v>
          </cell>
          <cell r="X309">
            <v>343.56244701362147</v>
          </cell>
          <cell r="Y309">
            <v>763.62272121003548</v>
          </cell>
          <cell r="Z309">
            <v>1130.4509097062412</v>
          </cell>
          <cell r="AA309"/>
          <cell r="AB309">
            <v>26.982724952213395</v>
          </cell>
          <cell r="AC309"/>
          <cell r="AD309"/>
          <cell r="AE309"/>
          <cell r="AF309">
            <v>2264.6188028821116</v>
          </cell>
          <cell r="AG309">
            <v>2.2633605042873307E-2</v>
          </cell>
          <cell r="AH309">
            <v>2331.7587033042837</v>
          </cell>
          <cell r="AI309">
            <v>1112.416138</v>
          </cell>
          <cell r="AJ309">
            <v>1109.003459</v>
          </cell>
          <cell r="AK309">
            <v>1207.5987589999997</v>
          </cell>
          <cell r="AL309">
            <v>1297.7536740000003</v>
          </cell>
          <cell r="AM309">
            <v>827.24943229999997</v>
          </cell>
          <cell r="AN309">
            <v>2242.82249</v>
          </cell>
          <cell r="AO309">
            <v>1008.1686940000001</v>
          </cell>
          <cell r="AP309">
            <v>963.37911259999998</v>
          </cell>
          <cell r="AQ309">
            <v>587.30387407355283</v>
          </cell>
          <cell r="AR309">
            <v>1305.3771924015352</v>
          </cell>
          <cell r="AS309">
            <v>875.5135181092752</v>
          </cell>
          <cell r="AT309">
            <v>0</v>
          </cell>
          <cell r="AU309">
            <v>34.762331141598089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2739.5158959432301</v>
          </cell>
          <cell r="BH309">
            <v>5071.2745992475138</v>
          </cell>
          <cell r="BI309">
            <v>4720.1743382080467</v>
          </cell>
          <cell r="BJ309">
            <v>1.0743829011139359</v>
          </cell>
          <cell r="BK309">
            <v>0.49399842807278721</v>
          </cell>
          <cell r="BL309">
            <v>0.58038447304114871</v>
          </cell>
        </row>
        <row r="310">
          <cell r="A310" t="str">
            <v>DADRI (NCTPP)3</v>
          </cell>
          <cell r="B310" t="str">
            <v>DADRI (NCTPP)</v>
          </cell>
          <cell r="C310">
            <v>210</v>
          </cell>
          <cell r="D310" t="str">
            <v>RAIL</v>
          </cell>
          <cell r="E310"/>
          <cell r="F310">
            <v>28.601099999999999</v>
          </cell>
          <cell r="G310">
            <v>77.606899999999996</v>
          </cell>
          <cell r="H310">
            <v>0.21365050531978347</v>
          </cell>
          <cell r="I310">
            <v>0.47487256444451786</v>
          </cell>
          <cell r="J310">
            <v>0.29554755224554441</v>
          </cell>
          <cell r="K310">
            <v>0</v>
          </cell>
          <cell r="L310">
            <v>1.5929377990154366E-2</v>
          </cell>
          <cell r="M310">
            <v>0</v>
          </cell>
          <cell r="N310">
            <v>0</v>
          </cell>
          <cell r="O310">
            <v>0</v>
          </cell>
          <cell r="P310">
            <v>4282.0535084030671</v>
          </cell>
          <cell r="Q310">
            <v>4161.9976698589226</v>
          </cell>
          <cell r="R310">
            <v>5945.7651798195066</v>
          </cell>
          <cell r="S310" t="e">
            <v>#DIV/0!</v>
          </cell>
          <cell r="T310">
            <v>4497.1367089912119</v>
          </cell>
          <cell r="U310" t="e">
            <v>#DIV/0!</v>
          </cell>
          <cell r="V310" t="e">
            <v>#DIV/0!</v>
          </cell>
          <cell r="W310" t="e">
            <v>#DIV/0!</v>
          </cell>
          <cell r="X310">
            <v>343.56244701362147</v>
          </cell>
          <cell r="Y310">
            <v>763.62272121003548</v>
          </cell>
          <cell r="Z310">
            <v>1130.4509097062412</v>
          </cell>
          <cell r="AA310"/>
          <cell r="AB310">
            <v>26.982724952213395</v>
          </cell>
          <cell r="AC310"/>
          <cell r="AD310"/>
          <cell r="AE310"/>
          <cell r="AF310">
            <v>2264.6188028821116</v>
          </cell>
          <cell r="AG310">
            <v>2.2633605042873307E-2</v>
          </cell>
          <cell r="AH310">
            <v>2331.7587033042837</v>
          </cell>
          <cell r="AI310">
            <v>1112.416138</v>
          </cell>
          <cell r="AJ310">
            <v>1109.003459</v>
          </cell>
          <cell r="AK310">
            <v>1207.5987589999997</v>
          </cell>
          <cell r="AL310">
            <v>1297.7536740000003</v>
          </cell>
          <cell r="AM310">
            <v>827.24943229999997</v>
          </cell>
          <cell r="AN310">
            <v>2242.82249</v>
          </cell>
          <cell r="AO310">
            <v>1008.1686940000001</v>
          </cell>
          <cell r="AP310">
            <v>963.37911259999998</v>
          </cell>
          <cell r="AQ310">
            <v>587.30387407355283</v>
          </cell>
          <cell r="AR310">
            <v>1305.3771924015352</v>
          </cell>
          <cell r="AS310">
            <v>875.5135181092752</v>
          </cell>
          <cell r="AT310">
            <v>0</v>
          </cell>
          <cell r="AU310">
            <v>34.762331141598089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2739.5158959432301</v>
          </cell>
          <cell r="BH310">
            <v>5071.2745992475138</v>
          </cell>
          <cell r="BI310">
            <v>4720.1743382080467</v>
          </cell>
          <cell r="BJ310">
            <v>1.0743829011139359</v>
          </cell>
          <cell r="BK310">
            <v>0.49399842807278721</v>
          </cell>
          <cell r="BL310">
            <v>0.58038447304114871</v>
          </cell>
        </row>
        <row r="311">
          <cell r="A311" t="str">
            <v>DADRI (NCTPP)4</v>
          </cell>
          <cell r="B311" t="str">
            <v>DADRI (NCTPP)</v>
          </cell>
          <cell r="C311">
            <v>210</v>
          </cell>
          <cell r="D311" t="str">
            <v>RAIL</v>
          </cell>
          <cell r="E311"/>
          <cell r="F311">
            <v>28.601099999999999</v>
          </cell>
          <cell r="G311">
            <v>77.606899999999996</v>
          </cell>
          <cell r="H311">
            <v>0.21365050531978347</v>
          </cell>
          <cell r="I311">
            <v>0.47487256444451786</v>
          </cell>
          <cell r="J311">
            <v>0.29554755224554441</v>
          </cell>
          <cell r="K311">
            <v>0</v>
          </cell>
          <cell r="L311">
            <v>1.5929377990154366E-2</v>
          </cell>
          <cell r="M311">
            <v>0</v>
          </cell>
          <cell r="N311">
            <v>0</v>
          </cell>
          <cell r="O311">
            <v>0</v>
          </cell>
          <cell r="P311">
            <v>4282.0535084030671</v>
          </cell>
          <cell r="Q311">
            <v>4161.9976698589226</v>
          </cell>
          <cell r="R311">
            <v>5945.7651798195066</v>
          </cell>
          <cell r="S311" t="e">
            <v>#DIV/0!</v>
          </cell>
          <cell r="T311">
            <v>4497.1367089912119</v>
          </cell>
          <cell r="U311" t="e">
            <v>#DIV/0!</v>
          </cell>
          <cell r="V311" t="e">
            <v>#DIV/0!</v>
          </cell>
          <cell r="W311" t="e">
            <v>#DIV/0!</v>
          </cell>
          <cell r="X311">
            <v>343.56244701362147</v>
          </cell>
          <cell r="Y311">
            <v>763.62272121003548</v>
          </cell>
          <cell r="Z311">
            <v>1130.4509097062412</v>
          </cell>
          <cell r="AA311"/>
          <cell r="AB311">
            <v>26.982724952213395</v>
          </cell>
          <cell r="AC311"/>
          <cell r="AD311"/>
          <cell r="AE311"/>
          <cell r="AF311">
            <v>2264.6188028821116</v>
          </cell>
          <cell r="AG311">
            <v>2.2633605042873307E-2</v>
          </cell>
          <cell r="AH311">
            <v>2331.7587033042837</v>
          </cell>
          <cell r="AI311">
            <v>1112.416138</v>
          </cell>
          <cell r="AJ311">
            <v>1109.003459</v>
          </cell>
          <cell r="AK311">
            <v>1207.5987589999997</v>
          </cell>
          <cell r="AL311">
            <v>1297.7536740000003</v>
          </cell>
          <cell r="AM311">
            <v>827.24943229999997</v>
          </cell>
          <cell r="AN311">
            <v>2242.82249</v>
          </cell>
          <cell r="AO311">
            <v>1008.1686940000001</v>
          </cell>
          <cell r="AP311">
            <v>963.37911259999998</v>
          </cell>
          <cell r="AQ311">
            <v>587.30387407355283</v>
          </cell>
          <cell r="AR311">
            <v>1305.3771924015352</v>
          </cell>
          <cell r="AS311">
            <v>875.5135181092752</v>
          </cell>
          <cell r="AT311">
            <v>0</v>
          </cell>
          <cell r="AU311">
            <v>34.762331141598089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2739.5158959432301</v>
          </cell>
          <cell r="BH311">
            <v>5071.2745992475138</v>
          </cell>
          <cell r="BI311">
            <v>4720.1743382080467</v>
          </cell>
          <cell r="BJ311">
            <v>1.0743829011139359</v>
          </cell>
          <cell r="BK311">
            <v>0.49399842807278721</v>
          </cell>
          <cell r="BL311">
            <v>0.58038447304114871</v>
          </cell>
        </row>
        <row r="312">
          <cell r="A312" t="str">
            <v>DAHANU TPS1</v>
          </cell>
          <cell r="B312" t="str">
            <v>DAHANU TPS</v>
          </cell>
          <cell r="C312">
            <v>250</v>
          </cell>
          <cell r="D312" t="str">
            <v>RAIL</v>
          </cell>
          <cell r="E312">
            <v>1.238956342030483</v>
          </cell>
          <cell r="F312">
            <v>19.953299999999999</v>
          </cell>
          <cell r="G312">
            <v>72.7483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1</v>
          </cell>
          <cell r="O312">
            <v>0</v>
          </cell>
          <cell r="P312" t="e">
            <v>#DIV/0!</v>
          </cell>
          <cell r="Q312" t="e">
            <v>#DIV/0!</v>
          </cell>
          <cell r="R312" t="e">
            <v>#DIV/0!</v>
          </cell>
          <cell r="S312" t="e">
            <v>#DIV/0!</v>
          </cell>
          <cell r="T312" t="e">
            <v>#DIV/0!</v>
          </cell>
          <cell r="U312" t="e">
            <v>#DIV/0!</v>
          </cell>
          <cell r="V312">
            <v>4174.1482421463261</v>
          </cell>
          <cell r="W312" t="e">
            <v>#DIV/0!</v>
          </cell>
          <cell r="X312"/>
          <cell r="Y312"/>
          <cell r="Z312"/>
          <cell r="AA312"/>
          <cell r="AB312"/>
          <cell r="AC312"/>
          <cell r="AD312">
            <v>1608.0582000000002</v>
          </cell>
          <cell r="AE312"/>
          <cell r="AF312">
            <v>1608.0582000000002</v>
          </cell>
          <cell r="AG312">
            <v>0.28270000411050533</v>
          </cell>
          <cell r="AH312">
            <v>2632.2638617521216</v>
          </cell>
          <cell r="AI312">
            <v>1713.268194</v>
          </cell>
          <cell r="AJ312">
            <v>1656.4253160000001</v>
          </cell>
          <cell r="AK312">
            <v>1824.827456</v>
          </cell>
          <cell r="AL312">
            <v>1419.5998649999999</v>
          </cell>
          <cell r="AM312">
            <v>1338.673284</v>
          </cell>
          <cell r="AN312">
            <v>2917.1143080000002</v>
          </cell>
          <cell r="AO312">
            <v>1234.6513160000002</v>
          </cell>
          <cell r="AP312">
            <v>765.33005830000002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3006.4440000000004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2156.5222688419963</v>
          </cell>
          <cell r="BH312">
            <v>4788.7861305941178</v>
          </cell>
          <cell r="BI312">
            <v>4174.1482421463261</v>
          </cell>
          <cell r="BJ312">
            <v>1.1472486966902133</v>
          </cell>
          <cell r="BK312">
            <v>0.6306110154819573</v>
          </cell>
          <cell r="BL312">
            <v>0.51663768120825615</v>
          </cell>
        </row>
        <row r="313">
          <cell r="A313" t="str">
            <v>DAHANU TPS2</v>
          </cell>
          <cell r="B313" t="str">
            <v>DAHANU TPS</v>
          </cell>
          <cell r="C313">
            <v>250</v>
          </cell>
          <cell r="D313" t="str">
            <v>RAIL</v>
          </cell>
          <cell r="E313">
            <v>1.238956342030483</v>
          </cell>
          <cell r="F313">
            <v>19.953299999999999</v>
          </cell>
          <cell r="G313">
            <v>72.7483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1</v>
          </cell>
          <cell r="O313">
            <v>0</v>
          </cell>
          <cell r="P313" t="e">
            <v>#DIV/0!</v>
          </cell>
          <cell r="Q313" t="e">
            <v>#DIV/0!</v>
          </cell>
          <cell r="R313" t="e">
            <v>#DIV/0!</v>
          </cell>
          <cell r="S313" t="e">
            <v>#DIV/0!</v>
          </cell>
          <cell r="T313" t="e">
            <v>#DIV/0!</v>
          </cell>
          <cell r="U313" t="e">
            <v>#DIV/0!</v>
          </cell>
          <cell r="V313">
            <v>4174.1482421463261</v>
          </cell>
          <cell r="W313" t="e">
            <v>#DIV/0!</v>
          </cell>
          <cell r="X313"/>
          <cell r="Y313"/>
          <cell r="Z313"/>
          <cell r="AA313"/>
          <cell r="AB313"/>
          <cell r="AC313"/>
          <cell r="AD313">
            <v>1608.0582000000002</v>
          </cell>
          <cell r="AE313"/>
          <cell r="AF313">
            <v>1608.0582000000002</v>
          </cell>
          <cell r="AG313">
            <v>0.28270000411050533</v>
          </cell>
          <cell r="AH313">
            <v>2632.2638617521216</v>
          </cell>
          <cell r="AI313">
            <v>1713.268194</v>
          </cell>
          <cell r="AJ313">
            <v>1656.4253160000001</v>
          </cell>
          <cell r="AK313">
            <v>1824.827456</v>
          </cell>
          <cell r="AL313">
            <v>1419.5998649999999</v>
          </cell>
          <cell r="AM313">
            <v>1338.673284</v>
          </cell>
          <cell r="AN313">
            <v>2917.1143080000002</v>
          </cell>
          <cell r="AO313">
            <v>1234.6513160000002</v>
          </cell>
          <cell r="AP313">
            <v>765.33005830000002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3006.4440000000004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2156.5222688419963</v>
          </cell>
          <cell r="BH313">
            <v>4788.7861305941178</v>
          </cell>
          <cell r="BI313">
            <v>4174.1482421463261</v>
          </cell>
          <cell r="BJ313">
            <v>1.1472486966902133</v>
          </cell>
          <cell r="BK313">
            <v>0.6306110154819573</v>
          </cell>
          <cell r="BL313">
            <v>0.51663768120825615</v>
          </cell>
        </row>
        <row r="314">
          <cell r="A314" t="str">
            <v>DR. N TATA RAO TPS1</v>
          </cell>
          <cell r="B314" t="str">
            <v>DR. N TATA RAO TPS</v>
          </cell>
          <cell r="C314">
            <v>210</v>
          </cell>
          <cell r="D314" t="str">
            <v>RAIL</v>
          </cell>
          <cell r="E314">
            <v>1.0087719298245614</v>
          </cell>
          <cell r="F314">
            <v>16.599399999999999</v>
          </cell>
          <cell r="G314">
            <v>80.536699999999996</v>
          </cell>
          <cell r="H314">
            <v>0</v>
          </cell>
          <cell r="I314">
            <v>0</v>
          </cell>
          <cell r="J314">
            <v>0</v>
          </cell>
          <cell r="K314">
            <v>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 t="e">
            <v>#DIV/0!</v>
          </cell>
          <cell r="Q314" t="e">
            <v>#DIV/0!</v>
          </cell>
          <cell r="R314" t="e">
            <v>#DIV/0!</v>
          </cell>
          <cell r="S314">
            <v>3570.8193390001843</v>
          </cell>
          <cell r="T314" t="e">
            <v>#DIV/0!</v>
          </cell>
          <cell r="U314" t="e">
            <v>#DIV/0!</v>
          </cell>
          <cell r="V314" t="e">
            <v>#DIV/0!</v>
          </cell>
          <cell r="W314" t="e">
            <v>#DIV/0!</v>
          </cell>
          <cell r="X314"/>
          <cell r="Y314"/>
          <cell r="Z314"/>
          <cell r="AA314">
            <v>1436.3806800000002</v>
          </cell>
          <cell r="AB314"/>
          <cell r="AC314"/>
          <cell r="AD314"/>
          <cell r="AE314"/>
          <cell r="AF314">
            <v>1436.3806800000002</v>
          </cell>
          <cell r="AG314">
            <v>0</v>
          </cell>
          <cell r="AH314">
            <v>1436.3806800000002</v>
          </cell>
          <cell r="AI314">
            <v>1227.5762779999998</v>
          </cell>
          <cell r="AJ314">
            <v>1170.7334000000001</v>
          </cell>
          <cell r="AK314">
            <v>1329.2215700000002</v>
          </cell>
          <cell r="AL314">
            <v>892.02246769999999</v>
          </cell>
          <cell r="AM314">
            <v>1143.8366679999999</v>
          </cell>
          <cell r="AN314">
            <v>2538.901351</v>
          </cell>
          <cell r="AO314">
            <v>844.52615909999997</v>
          </cell>
          <cell r="AP314">
            <v>598.64390430000003</v>
          </cell>
          <cell r="AQ314">
            <v>0</v>
          </cell>
          <cell r="AR314">
            <v>0</v>
          </cell>
          <cell r="AS314">
            <v>0</v>
          </cell>
          <cell r="AT314">
            <v>2304.1200000000003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2304.1200000000003</v>
          </cell>
          <cell r="BH314">
            <v>3740.5006800000006</v>
          </cell>
          <cell r="BI314">
            <v>3570.8193390001843</v>
          </cell>
          <cell r="BJ314">
            <v>1.047518881492147</v>
          </cell>
          <cell r="BK314">
            <v>0.40225520913701035</v>
          </cell>
          <cell r="BL314">
            <v>0.6452636723551366</v>
          </cell>
        </row>
        <row r="315">
          <cell r="A315" t="str">
            <v>DR. N TATA RAO TPS2</v>
          </cell>
          <cell r="B315" t="str">
            <v>DR. N TATA RAO TPS</v>
          </cell>
          <cell r="C315">
            <v>210</v>
          </cell>
          <cell r="D315" t="str">
            <v>RAIL</v>
          </cell>
          <cell r="E315">
            <v>1.0087719298245614</v>
          </cell>
          <cell r="F315">
            <v>16.599399999999999</v>
          </cell>
          <cell r="G315">
            <v>80.536699999999996</v>
          </cell>
          <cell r="H315">
            <v>0</v>
          </cell>
          <cell r="I315">
            <v>0</v>
          </cell>
          <cell r="J315">
            <v>0</v>
          </cell>
          <cell r="K315">
            <v>1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 t="e">
            <v>#DIV/0!</v>
          </cell>
          <cell r="Q315" t="e">
            <v>#DIV/0!</v>
          </cell>
          <cell r="R315" t="e">
            <v>#DIV/0!</v>
          </cell>
          <cell r="S315">
            <v>3570.8193390001843</v>
          </cell>
          <cell r="T315" t="e">
            <v>#DIV/0!</v>
          </cell>
          <cell r="U315" t="e">
            <v>#DIV/0!</v>
          </cell>
          <cell r="V315" t="e">
            <v>#DIV/0!</v>
          </cell>
          <cell r="W315" t="e">
            <v>#DIV/0!</v>
          </cell>
          <cell r="X315"/>
          <cell r="Y315"/>
          <cell r="Z315"/>
          <cell r="AA315">
            <v>1436.3806800000002</v>
          </cell>
          <cell r="AB315"/>
          <cell r="AC315"/>
          <cell r="AD315"/>
          <cell r="AE315"/>
          <cell r="AF315">
            <v>1436.3806800000002</v>
          </cell>
          <cell r="AG315">
            <v>0</v>
          </cell>
          <cell r="AH315">
            <v>1436.3806800000002</v>
          </cell>
          <cell r="AI315">
            <v>1227.5762779999998</v>
          </cell>
          <cell r="AJ315">
            <v>1170.7334000000001</v>
          </cell>
          <cell r="AK315">
            <v>1329.2215700000002</v>
          </cell>
          <cell r="AL315">
            <v>892.02246769999999</v>
          </cell>
          <cell r="AM315">
            <v>1143.8366679999999</v>
          </cell>
          <cell r="AN315">
            <v>2538.901351</v>
          </cell>
          <cell r="AO315">
            <v>844.52615909999997</v>
          </cell>
          <cell r="AP315">
            <v>598.64390430000003</v>
          </cell>
          <cell r="AQ315">
            <v>0</v>
          </cell>
          <cell r="AR315">
            <v>0</v>
          </cell>
          <cell r="AS315">
            <v>0</v>
          </cell>
          <cell r="AT315">
            <v>2304.1200000000003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2304.1200000000003</v>
          </cell>
          <cell r="BH315">
            <v>3740.5006800000006</v>
          </cell>
          <cell r="BI315">
            <v>3570.8193390001843</v>
          </cell>
          <cell r="BJ315">
            <v>1.047518881492147</v>
          </cell>
          <cell r="BK315">
            <v>0.40225520913701035</v>
          </cell>
          <cell r="BL315">
            <v>0.6452636723551366</v>
          </cell>
        </row>
        <row r="316">
          <cell r="A316" t="str">
            <v>DR. N TATA RAO TPS3</v>
          </cell>
          <cell r="B316" t="str">
            <v>DR. N TATA RAO TPS</v>
          </cell>
          <cell r="C316">
            <v>210</v>
          </cell>
          <cell r="D316" t="str">
            <v>RAIL</v>
          </cell>
          <cell r="E316">
            <v>1.0087719298245614</v>
          </cell>
          <cell r="F316">
            <v>16.599399999999999</v>
          </cell>
          <cell r="G316">
            <v>80.536699999999996</v>
          </cell>
          <cell r="H316">
            <v>0</v>
          </cell>
          <cell r="I316">
            <v>0</v>
          </cell>
          <cell r="J316">
            <v>0</v>
          </cell>
          <cell r="K316">
            <v>1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 t="e">
            <v>#DIV/0!</v>
          </cell>
          <cell r="Q316" t="e">
            <v>#DIV/0!</v>
          </cell>
          <cell r="R316" t="e">
            <v>#DIV/0!</v>
          </cell>
          <cell r="S316">
            <v>3570.8193390001843</v>
          </cell>
          <cell r="T316" t="e">
            <v>#DIV/0!</v>
          </cell>
          <cell r="U316" t="e">
            <v>#DIV/0!</v>
          </cell>
          <cell r="V316" t="e">
            <v>#DIV/0!</v>
          </cell>
          <cell r="W316" t="e">
            <v>#DIV/0!</v>
          </cell>
          <cell r="X316"/>
          <cell r="Y316"/>
          <cell r="Z316"/>
          <cell r="AA316">
            <v>1436.3806800000002</v>
          </cell>
          <cell r="AB316"/>
          <cell r="AC316"/>
          <cell r="AD316"/>
          <cell r="AE316"/>
          <cell r="AF316">
            <v>1436.3806800000002</v>
          </cell>
          <cell r="AG316">
            <v>0</v>
          </cell>
          <cell r="AH316">
            <v>1436.3806800000002</v>
          </cell>
          <cell r="AI316">
            <v>1227.5762779999998</v>
          </cell>
          <cell r="AJ316">
            <v>1170.7334000000001</v>
          </cell>
          <cell r="AK316">
            <v>1329.2215700000002</v>
          </cell>
          <cell r="AL316">
            <v>892.02246769999999</v>
          </cell>
          <cell r="AM316">
            <v>1143.8366679999999</v>
          </cell>
          <cell r="AN316">
            <v>2538.901351</v>
          </cell>
          <cell r="AO316">
            <v>844.52615909999997</v>
          </cell>
          <cell r="AP316">
            <v>598.64390430000003</v>
          </cell>
          <cell r="AQ316">
            <v>0</v>
          </cell>
          <cell r="AR316">
            <v>0</v>
          </cell>
          <cell r="AS316">
            <v>0</v>
          </cell>
          <cell r="AT316">
            <v>2304.1200000000003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2304.1200000000003</v>
          </cell>
          <cell r="BH316">
            <v>3740.5006800000006</v>
          </cell>
          <cell r="BI316">
            <v>3570.8193390001843</v>
          </cell>
          <cell r="BJ316">
            <v>1.047518881492147</v>
          </cell>
          <cell r="BK316">
            <v>0.40225520913701035</v>
          </cell>
          <cell r="BL316">
            <v>0.6452636723551366</v>
          </cell>
        </row>
        <row r="317">
          <cell r="A317" t="str">
            <v>DR. N TATA RAO TPS4</v>
          </cell>
          <cell r="B317" t="str">
            <v>DR. N TATA RAO TPS</v>
          </cell>
          <cell r="C317">
            <v>210</v>
          </cell>
          <cell r="D317" t="str">
            <v>RAIL</v>
          </cell>
          <cell r="E317">
            <v>1.0087719298245614</v>
          </cell>
          <cell r="F317">
            <v>16.599399999999999</v>
          </cell>
          <cell r="G317">
            <v>80.536699999999996</v>
          </cell>
          <cell r="H317">
            <v>0</v>
          </cell>
          <cell r="I317">
            <v>0</v>
          </cell>
          <cell r="J317">
            <v>0</v>
          </cell>
          <cell r="K317">
            <v>1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 t="e">
            <v>#DIV/0!</v>
          </cell>
          <cell r="Q317" t="e">
            <v>#DIV/0!</v>
          </cell>
          <cell r="R317" t="e">
            <v>#DIV/0!</v>
          </cell>
          <cell r="S317">
            <v>3570.8193390001843</v>
          </cell>
          <cell r="T317" t="e">
            <v>#DIV/0!</v>
          </cell>
          <cell r="U317" t="e">
            <v>#DIV/0!</v>
          </cell>
          <cell r="V317" t="e">
            <v>#DIV/0!</v>
          </cell>
          <cell r="W317" t="e">
            <v>#DIV/0!</v>
          </cell>
          <cell r="X317"/>
          <cell r="Y317"/>
          <cell r="Z317"/>
          <cell r="AA317">
            <v>1436.3806800000002</v>
          </cell>
          <cell r="AB317"/>
          <cell r="AC317"/>
          <cell r="AD317"/>
          <cell r="AE317"/>
          <cell r="AF317">
            <v>1436.3806800000002</v>
          </cell>
          <cell r="AG317">
            <v>0</v>
          </cell>
          <cell r="AH317">
            <v>1436.3806800000002</v>
          </cell>
          <cell r="AI317">
            <v>1227.5762779999998</v>
          </cell>
          <cell r="AJ317">
            <v>1170.7334000000001</v>
          </cell>
          <cell r="AK317">
            <v>1329.2215700000002</v>
          </cell>
          <cell r="AL317">
            <v>892.02246769999999</v>
          </cell>
          <cell r="AM317">
            <v>1143.8366679999999</v>
          </cell>
          <cell r="AN317">
            <v>2538.901351</v>
          </cell>
          <cell r="AO317">
            <v>844.52615909999997</v>
          </cell>
          <cell r="AP317">
            <v>598.64390430000003</v>
          </cell>
          <cell r="AQ317">
            <v>0</v>
          </cell>
          <cell r="AR317">
            <v>0</v>
          </cell>
          <cell r="AS317">
            <v>0</v>
          </cell>
          <cell r="AT317">
            <v>2304.1200000000003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2304.1200000000003</v>
          </cell>
          <cell r="BH317">
            <v>3740.5006800000006</v>
          </cell>
          <cell r="BI317">
            <v>3570.8193390001843</v>
          </cell>
          <cell r="BJ317">
            <v>1.047518881492147</v>
          </cell>
          <cell r="BK317">
            <v>0.40225520913701035</v>
          </cell>
          <cell r="BL317">
            <v>0.6452636723551366</v>
          </cell>
        </row>
        <row r="318">
          <cell r="A318" t="str">
            <v>DR. N TATA RAO TPS5</v>
          </cell>
          <cell r="B318" t="str">
            <v>DR. N TATA RAO TPS</v>
          </cell>
          <cell r="C318">
            <v>210</v>
          </cell>
          <cell r="D318" t="str">
            <v>RAIL</v>
          </cell>
          <cell r="E318">
            <v>1.0087719298245614</v>
          </cell>
          <cell r="F318">
            <v>16.599399999999999</v>
          </cell>
          <cell r="G318">
            <v>80.536699999999996</v>
          </cell>
          <cell r="H318">
            <v>0</v>
          </cell>
          <cell r="I318">
            <v>0</v>
          </cell>
          <cell r="J318">
            <v>0</v>
          </cell>
          <cell r="K318">
            <v>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 t="e">
            <v>#DIV/0!</v>
          </cell>
          <cell r="Q318" t="e">
            <v>#DIV/0!</v>
          </cell>
          <cell r="R318" t="e">
            <v>#DIV/0!</v>
          </cell>
          <cell r="S318">
            <v>3570.8193390001843</v>
          </cell>
          <cell r="T318" t="e">
            <v>#DIV/0!</v>
          </cell>
          <cell r="U318" t="e">
            <v>#DIV/0!</v>
          </cell>
          <cell r="V318" t="e">
            <v>#DIV/0!</v>
          </cell>
          <cell r="W318" t="e">
            <v>#DIV/0!</v>
          </cell>
          <cell r="X318"/>
          <cell r="Y318"/>
          <cell r="Z318"/>
          <cell r="AA318">
            <v>1436.3806800000002</v>
          </cell>
          <cell r="AB318"/>
          <cell r="AC318"/>
          <cell r="AD318"/>
          <cell r="AE318"/>
          <cell r="AF318">
            <v>1436.3806800000002</v>
          </cell>
          <cell r="AG318">
            <v>0</v>
          </cell>
          <cell r="AH318">
            <v>1436.3806800000002</v>
          </cell>
          <cell r="AI318">
            <v>1227.5762779999998</v>
          </cell>
          <cell r="AJ318">
            <v>1170.7334000000001</v>
          </cell>
          <cell r="AK318">
            <v>1329.2215700000002</v>
          </cell>
          <cell r="AL318">
            <v>892.02246769999999</v>
          </cell>
          <cell r="AM318">
            <v>1143.8366679999999</v>
          </cell>
          <cell r="AN318">
            <v>2538.901351</v>
          </cell>
          <cell r="AO318">
            <v>844.52615909999997</v>
          </cell>
          <cell r="AP318">
            <v>598.64390430000003</v>
          </cell>
          <cell r="AQ318">
            <v>0</v>
          </cell>
          <cell r="AR318">
            <v>0</v>
          </cell>
          <cell r="AS318">
            <v>0</v>
          </cell>
          <cell r="AT318">
            <v>2304.1200000000003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2304.1200000000003</v>
          </cell>
          <cell r="BH318">
            <v>3740.5006800000006</v>
          </cell>
          <cell r="BI318">
            <v>3570.8193390001843</v>
          </cell>
          <cell r="BJ318">
            <v>1.047518881492147</v>
          </cell>
          <cell r="BK318">
            <v>0.40225520913701035</v>
          </cell>
          <cell r="BL318">
            <v>0.6452636723551366</v>
          </cell>
        </row>
        <row r="319">
          <cell r="A319" t="str">
            <v>DR. N TATA RAO TPS6</v>
          </cell>
          <cell r="B319" t="str">
            <v>DR. N TATA RAO TPS</v>
          </cell>
          <cell r="C319">
            <v>210</v>
          </cell>
          <cell r="D319" t="str">
            <v>RAIL</v>
          </cell>
          <cell r="E319">
            <v>1.0087719298245614</v>
          </cell>
          <cell r="F319">
            <v>16.599399999999999</v>
          </cell>
          <cell r="G319">
            <v>80.536699999999996</v>
          </cell>
          <cell r="H319">
            <v>0</v>
          </cell>
          <cell r="I319">
            <v>0</v>
          </cell>
          <cell r="J319">
            <v>0</v>
          </cell>
          <cell r="K319">
            <v>1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 t="e">
            <v>#DIV/0!</v>
          </cell>
          <cell r="Q319" t="e">
            <v>#DIV/0!</v>
          </cell>
          <cell r="R319" t="e">
            <v>#DIV/0!</v>
          </cell>
          <cell r="S319">
            <v>3570.8193390001843</v>
          </cell>
          <cell r="T319" t="e">
            <v>#DIV/0!</v>
          </cell>
          <cell r="U319" t="e">
            <v>#DIV/0!</v>
          </cell>
          <cell r="V319" t="e">
            <v>#DIV/0!</v>
          </cell>
          <cell r="W319" t="e">
            <v>#DIV/0!</v>
          </cell>
          <cell r="X319"/>
          <cell r="Y319"/>
          <cell r="Z319"/>
          <cell r="AA319">
            <v>1436.3806800000002</v>
          </cell>
          <cell r="AB319"/>
          <cell r="AC319"/>
          <cell r="AD319"/>
          <cell r="AE319"/>
          <cell r="AF319">
            <v>1436.3806800000002</v>
          </cell>
          <cell r="AG319">
            <v>0</v>
          </cell>
          <cell r="AH319">
            <v>1436.3806800000002</v>
          </cell>
          <cell r="AI319">
            <v>1227.5762779999998</v>
          </cell>
          <cell r="AJ319">
            <v>1170.7334000000001</v>
          </cell>
          <cell r="AK319">
            <v>1329.2215700000002</v>
          </cell>
          <cell r="AL319">
            <v>892.02246769999999</v>
          </cell>
          <cell r="AM319">
            <v>1143.8366679999999</v>
          </cell>
          <cell r="AN319">
            <v>2538.901351</v>
          </cell>
          <cell r="AO319">
            <v>844.52615909999997</v>
          </cell>
          <cell r="AP319">
            <v>598.64390430000003</v>
          </cell>
          <cell r="AQ319">
            <v>0</v>
          </cell>
          <cell r="AR319">
            <v>0</v>
          </cell>
          <cell r="AS319">
            <v>0</v>
          </cell>
          <cell r="AT319">
            <v>2304.1200000000003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2304.1200000000003</v>
          </cell>
          <cell r="BH319">
            <v>3740.5006800000006</v>
          </cell>
          <cell r="BI319">
            <v>3570.8193390001843</v>
          </cell>
          <cell r="BJ319">
            <v>1.047518881492147</v>
          </cell>
          <cell r="BK319">
            <v>0.40225520913701035</v>
          </cell>
          <cell r="BL319">
            <v>0.6452636723551366</v>
          </cell>
        </row>
        <row r="320">
          <cell r="A320" t="str">
            <v>DSPM TPS1</v>
          </cell>
          <cell r="B320" t="str">
            <v>DSPM TPS</v>
          </cell>
          <cell r="C320">
            <v>250</v>
          </cell>
          <cell r="D320" t="str">
            <v>RAIL</v>
          </cell>
          <cell r="E320">
            <v>0.50777604976671853</v>
          </cell>
          <cell r="F320">
            <v>22.368200000000002</v>
          </cell>
          <cell r="G320">
            <v>82.721900000000005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1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4277.9166493810972</v>
          </cell>
          <cell r="W320">
            <v>0</v>
          </cell>
          <cell r="X320"/>
          <cell r="Y320"/>
          <cell r="Z320"/>
          <cell r="AA320"/>
          <cell r="AB320"/>
          <cell r="AC320"/>
          <cell r="AD320">
            <v>1608.0582000000002</v>
          </cell>
          <cell r="AE320"/>
          <cell r="AF320">
            <v>1608.0582000000002</v>
          </cell>
          <cell r="AG320">
            <v>0</v>
          </cell>
          <cell r="AH320">
            <v>1608.0582000000002</v>
          </cell>
          <cell r="AI320">
            <v>489.76361550000001</v>
          </cell>
          <cell r="AJ320">
            <v>432.92073830000004</v>
          </cell>
          <cell r="AK320">
            <v>601.32287819999999</v>
          </cell>
          <cell r="AL320">
            <v>314.03499900000003</v>
          </cell>
          <cell r="AM320">
            <v>320.72765659999999</v>
          </cell>
          <cell r="AN320">
            <v>1813.36303</v>
          </cell>
          <cell r="AO320">
            <v>7.3542954780000001</v>
          </cell>
          <cell r="AP320">
            <v>478.21874989999998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387.66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387.66</v>
          </cell>
          <cell r="BH320">
            <v>1995.7182000000003</v>
          </cell>
          <cell r="BI320">
            <v>4277.9166493810972</v>
          </cell>
          <cell r="BJ320">
            <v>0.46651638252202238</v>
          </cell>
          <cell r="BK320">
            <v>0.37589750614534395</v>
          </cell>
          <cell r="BL320">
            <v>9.0618876376678426E-2</v>
          </cell>
        </row>
        <row r="321">
          <cell r="A321" t="str">
            <v>DSPM TPS2</v>
          </cell>
          <cell r="B321" t="str">
            <v>DSPM TPS</v>
          </cell>
          <cell r="C321">
            <v>250</v>
          </cell>
          <cell r="D321" t="str">
            <v>RAIL</v>
          </cell>
          <cell r="E321">
            <v>0.50777604976671853</v>
          </cell>
          <cell r="F321">
            <v>22.368200000000002</v>
          </cell>
          <cell r="G321">
            <v>82.721900000000005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1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4277.9166493810972</v>
          </cell>
          <cell r="W321">
            <v>0</v>
          </cell>
          <cell r="X321"/>
          <cell r="Y321"/>
          <cell r="Z321"/>
          <cell r="AA321"/>
          <cell r="AB321"/>
          <cell r="AC321"/>
          <cell r="AD321">
            <v>1608.0582000000002</v>
          </cell>
          <cell r="AE321"/>
          <cell r="AF321">
            <v>1608.0582000000002</v>
          </cell>
          <cell r="AG321">
            <v>0</v>
          </cell>
          <cell r="AH321">
            <v>1608.0582000000002</v>
          </cell>
          <cell r="AI321">
            <v>489.76361550000001</v>
          </cell>
          <cell r="AJ321">
            <v>432.92073830000004</v>
          </cell>
          <cell r="AK321">
            <v>601.32287819999999</v>
          </cell>
          <cell r="AL321">
            <v>314.03499900000003</v>
          </cell>
          <cell r="AM321">
            <v>320.72765659999999</v>
          </cell>
          <cell r="AN321">
            <v>1813.36303</v>
          </cell>
          <cell r="AO321">
            <v>7.3542954780000001</v>
          </cell>
          <cell r="AP321">
            <v>478.21874989999998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387.66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387.66</v>
          </cell>
          <cell r="BH321">
            <v>1995.7182000000003</v>
          </cell>
          <cell r="BI321">
            <v>4277.9166493810972</v>
          </cell>
          <cell r="BJ321">
            <v>0.46651638252202238</v>
          </cell>
          <cell r="BK321">
            <v>0.37589750614534395</v>
          </cell>
          <cell r="BL321">
            <v>9.0618876376678426E-2</v>
          </cell>
        </row>
        <row r="322">
          <cell r="A322" t="str">
            <v>DURGAPUR TPS4</v>
          </cell>
          <cell r="B322" t="str">
            <v>DURGAPUR TPS</v>
          </cell>
          <cell r="C322">
            <v>220</v>
          </cell>
          <cell r="D322" t="str">
            <v>RAIL</v>
          </cell>
          <cell r="E322" t="str">
            <v/>
          </cell>
          <cell r="F322">
            <v>23.519200000000001</v>
          </cell>
          <cell r="G322">
            <v>87.301400000000001</v>
          </cell>
          <cell r="H322">
            <v>0.16055926807518883</v>
          </cell>
          <cell r="I322">
            <v>0.15034834289566268</v>
          </cell>
          <cell r="J322">
            <v>0.67333736463633931</v>
          </cell>
          <cell r="K322">
            <v>1.5755024392809125E-2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4434.1388104203779</v>
          </cell>
          <cell r="Q322">
            <v>4717.583609264354</v>
          </cell>
          <cell r="R322">
            <v>5951.4125981302914</v>
          </cell>
          <cell r="S322">
            <v>3425.7378727380615</v>
          </cell>
          <cell r="T322" t="e">
            <v>#DIV/0!</v>
          </cell>
          <cell r="U322" t="e">
            <v>#DIV/0!</v>
          </cell>
          <cell r="V322" t="e">
            <v>#DIV/0!</v>
          </cell>
          <cell r="W322" t="e">
            <v>#DIV/0!</v>
          </cell>
          <cell r="X322">
            <v>271.97085609238746</v>
          </cell>
          <cell r="Y322">
            <v>276.37116586152734</v>
          </cell>
          <cell r="Z322">
            <v>2575.4733226819612</v>
          </cell>
          <cell r="AA322">
            <v>22.630212650759763</v>
          </cell>
          <cell r="AB322"/>
          <cell r="AC322"/>
          <cell r="AD322"/>
          <cell r="AE322"/>
          <cell r="AF322">
            <v>3146.4455572866359</v>
          </cell>
          <cell r="AG322">
            <v>0</v>
          </cell>
          <cell r="AH322">
            <v>3146.4455572866359</v>
          </cell>
          <cell r="AI322">
            <v>101.548022</v>
          </cell>
          <cell r="AJ322">
            <v>177.08473280000001</v>
          </cell>
          <cell r="AK322">
            <v>117.36759979999999</v>
          </cell>
          <cell r="AL322">
            <v>456.71296269999999</v>
          </cell>
          <cell r="AM322">
            <v>519.38823109999998</v>
          </cell>
          <cell r="AN322">
            <v>1344.2825560000001</v>
          </cell>
          <cell r="AO322">
            <v>571.17912739999997</v>
          </cell>
          <cell r="AP322">
            <v>1024.275408</v>
          </cell>
          <cell r="AQ322">
            <v>97.362497923722202</v>
          </cell>
          <cell r="AR322">
            <v>118.18462259667935</v>
          </cell>
          <cell r="AS322">
            <v>408.30908456601759</v>
          </cell>
          <cell r="AT322">
            <v>22.756903843510145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646.61310892992924</v>
          </cell>
          <cell r="BH322">
            <v>3793.0586662165651</v>
          </cell>
          <cell r="BI322">
            <v>5482.5040185064399</v>
          </cell>
          <cell r="BJ322">
            <v>0.69184785882744892</v>
          </cell>
          <cell r="BK322">
            <v>0.57390665773625826</v>
          </cell>
          <cell r="BL322">
            <v>0.11794120109119072</v>
          </cell>
        </row>
        <row r="323">
          <cell r="A323" t="str">
            <v>FARAKKA STPS1</v>
          </cell>
          <cell r="B323" t="str">
            <v>FARAKKA STPS</v>
          </cell>
          <cell r="C323">
            <v>200</v>
          </cell>
          <cell r="D323" t="str">
            <v>PITHEAD</v>
          </cell>
          <cell r="E323">
            <v>0.77032640949554898</v>
          </cell>
          <cell r="F323">
            <v>24.773099999999999</v>
          </cell>
          <cell r="G323">
            <v>87.895300000000006</v>
          </cell>
          <cell r="H323">
            <v>3.8074300007135228E-2</v>
          </cell>
          <cell r="I323">
            <v>0</v>
          </cell>
          <cell r="J323">
            <v>0.94316221348512674</v>
          </cell>
          <cell r="K323">
            <v>4.4978003528069849E-4</v>
          </cell>
          <cell r="L323">
            <v>0</v>
          </cell>
          <cell r="M323">
            <v>1.8313706472457301E-2</v>
          </cell>
          <cell r="N323">
            <v>0</v>
          </cell>
          <cell r="O323">
            <v>0</v>
          </cell>
          <cell r="P323">
            <v>4492.0920629703523</v>
          </cell>
          <cell r="Q323" t="e">
            <v>#DIV/0!</v>
          </cell>
          <cell r="R323">
            <v>4832.9606505856791</v>
          </cell>
          <cell r="S323">
            <v>3457.925275020124</v>
          </cell>
          <cell r="T323" t="e">
            <v>#DIV/0!</v>
          </cell>
          <cell r="U323">
            <v>6564.0313499722834</v>
          </cell>
          <cell r="V323" t="e">
            <v>#DIV/0!</v>
          </cell>
          <cell r="W323" t="e">
            <v>#DIV/0!</v>
          </cell>
          <cell r="X323">
            <v>64.493941036214352</v>
          </cell>
          <cell r="Y323"/>
          <cell r="Z323">
            <v>1733.7260625367555</v>
          </cell>
          <cell r="AA323">
            <v>0.64605535292691374</v>
          </cell>
          <cell r="AB323"/>
          <cell r="AC323">
            <v>79.321456528018828</v>
          </cell>
          <cell r="AD323"/>
          <cell r="AE323"/>
          <cell r="AF323">
            <v>1878.1875154539157</v>
          </cell>
          <cell r="AG323">
            <v>1.1012599888399872E-2</v>
          </cell>
          <cell r="AH323">
            <v>1915.1106978470536</v>
          </cell>
          <cell r="AI323">
            <v>247.97580960000002</v>
          </cell>
          <cell r="AJ323">
            <v>342.6369057</v>
          </cell>
          <cell r="AK323">
            <v>142.25691620000001</v>
          </cell>
          <cell r="AL323">
            <v>648.38083930000005</v>
          </cell>
          <cell r="AM323">
            <v>665.23966989999997</v>
          </cell>
          <cell r="AN323">
            <v>1152.9455590000002</v>
          </cell>
          <cell r="AO323">
            <v>733.39471700000001</v>
          </cell>
          <cell r="AP323">
            <v>1207.4909539999999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13.312522570603928</v>
          </cell>
          <cell r="AZ323">
            <v>0</v>
          </cell>
          <cell r="BA323">
            <v>342.20248990447368</v>
          </cell>
          <cell r="BB323">
            <v>0.74379581191290167</v>
          </cell>
          <cell r="BC323">
            <v>0</v>
          </cell>
          <cell r="BD323">
            <v>53.852817782816224</v>
          </cell>
          <cell r="BE323">
            <v>0</v>
          </cell>
          <cell r="BF323">
            <v>0</v>
          </cell>
          <cell r="BG323">
            <v>405.59523082231885</v>
          </cell>
          <cell r="BH323">
            <v>2320.7059286693725</v>
          </cell>
          <cell r="BI323">
            <v>4851.0661749297096</v>
          </cell>
          <cell r="BJ323">
            <v>0.47839090315089317</v>
          </cell>
          <cell r="BK323">
            <v>0.39478140037428017</v>
          </cell>
          <cell r="BL323">
            <v>8.3609502776612984E-2</v>
          </cell>
        </row>
        <row r="324">
          <cell r="A324" t="str">
            <v>FARAKKA STPS2</v>
          </cell>
          <cell r="B324" t="str">
            <v>FARAKKA STPS</v>
          </cell>
          <cell r="C324">
            <v>200</v>
          </cell>
          <cell r="D324" t="str">
            <v>PITHEAD</v>
          </cell>
          <cell r="E324">
            <v>0.77032640949554898</v>
          </cell>
          <cell r="F324">
            <v>24.773099999999999</v>
          </cell>
          <cell r="G324">
            <v>87.895300000000006</v>
          </cell>
          <cell r="H324">
            <v>3.8074300007135228E-2</v>
          </cell>
          <cell r="I324">
            <v>0</v>
          </cell>
          <cell r="J324">
            <v>0.94316221348512674</v>
          </cell>
          <cell r="K324">
            <v>4.4978003528069849E-4</v>
          </cell>
          <cell r="L324">
            <v>0</v>
          </cell>
          <cell r="M324">
            <v>1.8313706472457301E-2</v>
          </cell>
          <cell r="N324">
            <v>0</v>
          </cell>
          <cell r="O324">
            <v>0</v>
          </cell>
          <cell r="P324">
            <v>4492.0920629703523</v>
          </cell>
          <cell r="Q324" t="e">
            <v>#DIV/0!</v>
          </cell>
          <cell r="R324">
            <v>4832.9606505856791</v>
          </cell>
          <cell r="S324">
            <v>3457.925275020124</v>
          </cell>
          <cell r="T324" t="e">
            <v>#DIV/0!</v>
          </cell>
          <cell r="U324">
            <v>6564.0313499722834</v>
          </cell>
          <cell r="V324" t="e">
            <v>#DIV/0!</v>
          </cell>
          <cell r="W324" t="e">
            <v>#DIV/0!</v>
          </cell>
          <cell r="X324">
            <v>64.493941036214352</v>
          </cell>
          <cell r="Y324"/>
          <cell r="Z324">
            <v>1733.7260625367555</v>
          </cell>
          <cell r="AA324">
            <v>0.64605535292691374</v>
          </cell>
          <cell r="AB324"/>
          <cell r="AC324">
            <v>79.321456528018828</v>
          </cell>
          <cell r="AD324"/>
          <cell r="AE324"/>
          <cell r="AF324">
            <v>1878.1875154539157</v>
          </cell>
          <cell r="AG324">
            <v>1.1012599888399872E-2</v>
          </cell>
          <cell r="AH324">
            <v>1915.1106978470536</v>
          </cell>
          <cell r="AI324">
            <v>247.97580960000002</v>
          </cell>
          <cell r="AJ324">
            <v>342.6369057</v>
          </cell>
          <cell r="AK324">
            <v>142.25691620000001</v>
          </cell>
          <cell r="AL324">
            <v>648.38083930000005</v>
          </cell>
          <cell r="AM324">
            <v>665.23966989999997</v>
          </cell>
          <cell r="AN324">
            <v>1152.9455590000002</v>
          </cell>
          <cell r="AO324">
            <v>733.39471700000001</v>
          </cell>
          <cell r="AP324">
            <v>1207.4909539999999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13.312522570603928</v>
          </cell>
          <cell r="AZ324">
            <v>0</v>
          </cell>
          <cell r="BA324">
            <v>342.20248990447368</v>
          </cell>
          <cell r="BB324">
            <v>0.74379581191290167</v>
          </cell>
          <cell r="BC324">
            <v>0</v>
          </cell>
          <cell r="BD324">
            <v>53.852817782816224</v>
          </cell>
          <cell r="BE324">
            <v>0</v>
          </cell>
          <cell r="BF324">
            <v>0</v>
          </cell>
          <cell r="BG324">
            <v>405.59523082231885</v>
          </cell>
          <cell r="BH324">
            <v>2320.7059286693725</v>
          </cell>
          <cell r="BI324">
            <v>4851.0661749297096</v>
          </cell>
          <cell r="BJ324">
            <v>0.47839090315089317</v>
          </cell>
          <cell r="BK324">
            <v>0.39478140037428017</v>
          </cell>
          <cell r="BL324">
            <v>8.3609502776612984E-2</v>
          </cell>
        </row>
        <row r="325">
          <cell r="A325" t="str">
            <v>FARAKKA STPS3</v>
          </cell>
          <cell r="B325" t="str">
            <v>FARAKKA STPS</v>
          </cell>
          <cell r="C325">
            <v>200</v>
          </cell>
          <cell r="D325" t="str">
            <v>PITHEAD</v>
          </cell>
          <cell r="E325">
            <v>0.77032640949554898</v>
          </cell>
          <cell r="F325">
            <v>24.773099999999999</v>
          </cell>
          <cell r="G325">
            <v>87.895300000000006</v>
          </cell>
          <cell r="H325">
            <v>3.8074300007135228E-2</v>
          </cell>
          <cell r="I325">
            <v>0</v>
          </cell>
          <cell r="J325">
            <v>0.94316221348512674</v>
          </cell>
          <cell r="K325">
            <v>4.4978003528069849E-4</v>
          </cell>
          <cell r="L325">
            <v>0</v>
          </cell>
          <cell r="M325">
            <v>1.8313706472457301E-2</v>
          </cell>
          <cell r="N325">
            <v>0</v>
          </cell>
          <cell r="O325">
            <v>0</v>
          </cell>
          <cell r="P325">
            <v>4492.0920629703523</v>
          </cell>
          <cell r="Q325" t="e">
            <v>#DIV/0!</v>
          </cell>
          <cell r="R325">
            <v>4832.9606505856791</v>
          </cell>
          <cell r="S325">
            <v>3457.925275020124</v>
          </cell>
          <cell r="T325" t="e">
            <v>#DIV/0!</v>
          </cell>
          <cell r="U325">
            <v>6564.0313499722834</v>
          </cell>
          <cell r="V325" t="e">
            <v>#DIV/0!</v>
          </cell>
          <cell r="W325" t="e">
            <v>#DIV/0!</v>
          </cell>
          <cell r="X325">
            <v>64.493941036214352</v>
          </cell>
          <cell r="Y325"/>
          <cell r="Z325">
            <v>1733.7260625367555</v>
          </cell>
          <cell r="AA325">
            <v>0.64605535292691374</v>
          </cell>
          <cell r="AB325"/>
          <cell r="AC325">
            <v>79.321456528018828</v>
          </cell>
          <cell r="AD325"/>
          <cell r="AE325"/>
          <cell r="AF325">
            <v>1878.1875154539157</v>
          </cell>
          <cell r="AG325">
            <v>1.1012599888399872E-2</v>
          </cell>
          <cell r="AH325">
            <v>1915.1106978470536</v>
          </cell>
          <cell r="AI325">
            <v>247.97580960000002</v>
          </cell>
          <cell r="AJ325">
            <v>342.6369057</v>
          </cell>
          <cell r="AK325">
            <v>142.25691620000001</v>
          </cell>
          <cell r="AL325">
            <v>648.38083930000005</v>
          </cell>
          <cell r="AM325">
            <v>665.23966989999997</v>
          </cell>
          <cell r="AN325">
            <v>1152.9455590000002</v>
          </cell>
          <cell r="AO325">
            <v>733.39471700000001</v>
          </cell>
          <cell r="AP325">
            <v>1207.4909539999999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13.312522570603928</v>
          </cell>
          <cell r="AZ325">
            <v>0</v>
          </cell>
          <cell r="BA325">
            <v>342.20248990447368</v>
          </cell>
          <cell r="BB325">
            <v>0.74379581191290167</v>
          </cell>
          <cell r="BC325">
            <v>0</v>
          </cell>
          <cell r="BD325">
            <v>53.852817782816224</v>
          </cell>
          <cell r="BE325">
            <v>0</v>
          </cell>
          <cell r="BF325">
            <v>0</v>
          </cell>
          <cell r="BG325">
            <v>405.59523082231885</v>
          </cell>
          <cell r="BH325">
            <v>2320.7059286693725</v>
          </cell>
          <cell r="BI325">
            <v>4851.0661749297096</v>
          </cell>
          <cell r="BJ325">
            <v>0.47839090315089317</v>
          </cell>
          <cell r="BK325">
            <v>0.39478140037428017</v>
          </cell>
          <cell r="BL325">
            <v>8.3609502776612984E-2</v>
          </cell>
        </row>
        <row r="326">
          <cell r="A326" t="str">
            <v>GANDHI NAGAR TPS3</v>
          </cell>
          <cell r="B326" t="str">
            <v>GANDHI NAGAR TPS</v>
          </cell>
          <cell r="C326">
            <v>210</v>
          </cell>
          <cell r="D326" t="str">
            <v>RAIL</v>
          </cell>
          <cell r="E326"/>
          <cell r="F326">
            <v>23.249700000000001</v>
          </cell>
          <cell r="G326">
            <v>72.673900000000003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0.83104037253081509</v>
          </cell>
          <cell r="O326">
            <v>0.16895962746918494</v>
          </cell>
          <cell r="P326" t="e">
            <v>#DIV/0!</v>
          </cell>
          <cell r="Q326" t="e">
            <v>#DIV/0!</v>
          </cell>
          <cell r="R326" t="e">
            <v>#DIV/0!</v>
          </cell>
          <cell r="S326" t="e">
            <v>#DIV/0!</v>
          </cell>
          <cell r="T326" t="e">
            <v>#DIV/0!</v>
          </cell>
          <cell r="U326" t="e">
            <v>#DIV/0!</v>
          </cell>
          <cell r="V326">
            <v>4316.3331669660274</v>
          </cell>
          <cell r="W326">
            <v>4433.8858724326328</v>
          </cell>
          <cell r="X326"/>
          <cell r="Y326"/>
          <cell r="Z326"/>
          <cell r="AA326"/>
          <cell r="AB326"/>
          <cell r="AC326"/>
          <cell r="AD326">
            <v>1407.6967606672154</v>
          </cell>
          <cell r="AE326">
            <v>286.2001993327849</v>
          </cell>
          <cell r="AF326">
            <v>1693.8969600000003</v>
          </cell>
          <cell r="AG326">
            <v>9.9616913774538227E-2</v>
          </cell>
          <cell r="AH326">
            <v>2046.2522485473373</v>
          </cell>
          <cell r="AI326">
            <v>1633.7613040000003</v>
          </cell>
          <cell r="AJ326">
            <v>1586.538511</v>
          </cell>
          <cell r="AK326">
            <v>1728.943925</v>
          </cell>
          <cell r="AL326">
            <v>1515.300553</v>
          </cell>
          <cell r="AM326">
            <v>1218.1048040000001</v>
          </cell>
          <cell r="AN326">
            <v>2785.6193240000002</v>
          </cell>
          <cell r="AO326">
            <v>1228.791332</v>
          </cell>
          <cell r="AP326">
            <v>872.69752119999998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2498.4763417530344</v>
          </cell>
          <cell r="AX326">
            <v>378.99942292271766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2590.8305095377245</v>
          </cell>
          <cell r="BH326">
            <v>4637.0827580850619</v>
          </cell>
          <cell r="BI326">
            <v>4336.1948282896601</v>
          </cell>
          <cell r="BJ326">
            <v>1.0693898548636207</v>
          </cell>
          <cell r="BK326">
            <v>0.47190044026560668</v>
          </cell>
          <cell r="BL326">
            <v>0.59748941459801397</v>
          </cell>
        </row>
        <row r="327">
          <cell r="A327" t="str">
            <v>GANDHI NAGAR TPS4</v>
          </cell>
          <cell r="B327" t="str">
            <v>GANDHI NAGAR TPS</v>
          </cell>
          <cell r="C327">
            <v>210</v>
          </cell>
          <cell r="D327" t="str">
            <v>RAIL</v>
          </cell>
          <cell r="E327"/>
          <cell r="F327">
            <v>23.249700000000001</v>
          </cell>
          <cell r="G327">
            <v>72.673900000000003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0.83104037253081509</v>
          </cell>
          <cell r="O327">
            <v>0.16895962746918494</v>
          </cell>
          <cell r="P327" t="e">
            <v>#DIV/0!</v>
          </cell>
          <cell r="Q327" t="e">
            <v>#DIV/0!</v>
          </cell>
          <cell r="R327" t="e">
            <v>#DIV/0!</v>
          </cell>
          <cell r="S327" t="e">
            <v>#DIV/0!</v>
          </cell>
          <cell r="T327" t="e">
            <v>#DIV/0!</v>
          </cell>
          <cell r="U327" t="e">
            <v>#DIV/0!</v>
          </cell>
          <cell r="V327">
            <v>4316.3331669660274</v>
          </cell>
          <cell r="W327">
            <v>4433.8858724326328</v>
          </cell>
          <cell r="X327"/>
          <cell r="Y327"/>
          <cell r="Z327"/>
          <cell r="AA327"/>
          <cell r="AB327"/>
          <cell r="AC327"/>
          <cell r="AD327">
            <v>1407.6967606672154</v>
          </cell>
          <cell r="AE327">
            <v>286.2001993327849</v>
          </cell>
          <cell r="AF327">
            <v>1693.8969600000003</v>
          </cell>
          <cell r="AG327">
            <v>9.9616913774538227E-2</v>
          </cell>
          <cell r="AH327">
            <v>2046.2522485473373</v>
          </cell>
          <cell r="AI327">
            <v>1633.7613040000003</v>
          </cell>
          <cell r="AJ327">
            <v>1586.538511</v>
          </cell>
          <cell r="AK327">
            <v>1728.943925</v>
          </cell>
          <cell r="AL327">
            <v>1515.300553</v>
          </cell>
          <cell r="AM327">
            <v>1218.1048040000001</v>
          </cell>
          <cell r="AN327">
            <v>2785.6193240000002</v>
          </cell>
          <cell r="AO327">
            <v>1228.791332</v>
          </cell>
          <cell r="AP327">
            <v>872.69752119999998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2498.4763417530344</v>
          </cell>
          <cell r="AX327">
            <v>378.99942292271766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2590.8305095377245</v>
          </cell>
          <cell r="BH327">
            <v>4637.0827580850619</v>
          </cell>
          <cell r="BI327">
            <v>4336.1948282896601</v>
          </cell>
          <cell r="BJ327">
            <v>1.0693898548636207</v>
          </cell>
          <cell r="BK327">
            <v>0.47190044026560668</v>
          </cell>
          <cell r="BL327">
            <v>0.59748941459801397</v>
          </cell>
        </row>
        <row r="328">
          <cell r="A328" t="str">
            <v>GANDHI NAGAR TPS5</v>
          </cell>
          <cell r="B328" t="str">
            <v>GANDHI NAGAR TPS</v>
          </cell>
          <cell r="C328">
            <v>210</v>
          </cell>
          <cell r="D328" t="str">
            <v>RAIL</v>
          </cell>
          <cell r="E328"/>
          <cell r="F328">
            <v>23.249700000000001</v>
          </cell>
          <cell r="G328">
            <v>72.673900000000003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0.83104037253081509</v>
          </cell>
          <cell r="O328">
            <v>0.16895962746918494</v>
          </cell>
          <cell r="P328" t="e">
            <v>#DIV/0!</v>
          </cell>
          <cell r="Q328" t="e">
            <v>#DIV/0!</v>
          </cell>
          <cell r="R328" t="e">
            <v>#DIV/0!</v>
          </cell>
          <cell r="S328" t="e">
            <v>#DIV/0!</v>
          </cell>
          <cell r="T328" t="e">
            <v>#DIV/0!</v>
          </cell>
          <cell r="U328" t="e">
            <v>#DIV/0!</v>
          </cell>
          <cell r="V328">
            <v>4316.3331669660274</v>
          </cell>
          <cell r="W328">
            <v>4433.8858724326328</v>
          </cell>
          <cell r="X328"/>
          <cell r="Y328"/>
          <cell r="Z328"/>
          <cell r="AA328"/>
          <cell r="AB328"/>
          <cell r="AC328"/>
          <cell r="AD328">
            <v>1407.6967606672154</v>
          </cell>
          <cell r="AE328">
            <v>286.2001993327849</v>
          </cell>
          <cell r="AF328">
            <v>1693.8969600000003</v>
          </cell>
          <cell r="AG328">
            <v>9.9616913774538227E-2</v>
          </cell>
          <cell r="AH328">
            <v>2046.2522485473373</v>
          </cell>
          <cell r="AI328">
            <v>1633.7613040000003</v>
          </cell>
          <cell r="AJ328">
            <v>1586.538511</v>
          </cell>
          <cell r="AK328">
            <v>1728.943925</v>
          </cell>
          <cell r="AL328">
            <v>1515.300553</v>
          </cell>
          <cell r="AM328">
            <v>1218.1048040000001</v>
          </cell>
          <cell r="AN328">
            <v>2785.6193240000002</v>
          </cell>
          <cell r="AO328">
            <v>1228.791332</v>
          </cell>
          <cell r="AP328">
            <v>872.69752119999998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2498.4763417530344</v>
          </cell>
          <cell r="AX328">
            <v>378.99942292271766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2590.8305095377245</v>
          </cell>
          <cell r="BH328">
            <v>4637.0827580850619</v>
          </cell>
          <cell r="BI328">
            <v>4336.1948282896601</v>
          </cell>
          <cell r="BJ328">
            <v>1.0693898548636207</v>
          </cell>
          <cell r="BK328">
            <v>0.47190044026560668</v>
          </cell>
          <cell r="BL328">
            <v>0.59748941459801397</v>
          </cell>
        </row>
        <row r="329">
          <cell r="A329" t="str">
            <v>GH TPS (LEH.MOH.)1</v>
          </cell>
          <cell r="B329" t="str">
            <v>GH TPS (LEH.MOH.)</v>
          </cell>
          <cell r="C329">
            <v>210</v>
          </cell>
          <cell r="D329" t="str">
            <v>RAIL</v>
          </cell>
          <cell r="E329">
            <v>1.264992686494393</v>
          </cell>
          <cell r="F329">
            <v>30.267800000000001</v>
          </cell>
          <cell r="G329">
            <v>75.164699999999996</v>
          </cell>
          <cell r="H329">
            <v>0.12142463762693334</v>
          </cell>
          <cell r="I329">
            <v>0.87857536237306666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4370.4176309811701</v>
          </cell>
          <cell r="Q329">
            <v>4107.2822793026908</v>
          </cell>
          <cell r="R329" t="e">
            <v>#DIV/0!</v>
          </cell>
          <cell r="S329" t="e">
            <v>#DIV/0!</v>
          </cell>
          <cell r="T329" t="e">
            <v>#DIV/0!</v>
          </cell>
          <cell r="U329" t="e">
            <v>#DIV/0!</v>
          </cell>
          <cell r="V329" t="e">
            <v>#DIV/0!</v>
          </cell>
          <cell r="W329" t="e">
            <v>#DIV/0!</v>
          </cell>
          <cell r="X329">
            <v>205.68082454536403</v>
          </cell>
          <cell r="Y329">
            <v>1412.8003157819815</v>
          </cell>
          <cell r="Z329"/>
          <cell r="AA329"/>
          <cell r="AB329"/>
          <cell r="AC329"/>
          <cell r="AD329"/>
          <cell r="AE329"/>
          <cell r="AF329">
            <v>1618.4811403273454</v>
          </cell>
          <cell r="AG329">
            <v>0</v>
          </cell>
          <cell r="AH329">
            <v>1618.4811403273454</v>
          </cell>
          <cell r="AI329">
            <v>1434.916506</v>
          </cell>
          <cell r="AJ329">
            <v>1431.503827</v>
          </cell>
          <cell r="AK329">
            <v>1530.0991270000002</v>
          </cell>
          <cell r="AL329">
            <v>1624.3751950000001</v>
          </cell>
          <cell r="AM329">
            <v>1153.8709529999999</v>
          </cell>
          <cell r="AN329">
            <v>2560.4442979999999</v>
          </cell>
          <cell r="AO329">
            <v>1334.7902139999999</v>
          </cell>
          <cell r="AP329">
            <v>1264.178872</v>
          </cell>
          <cell r="AQ329">
            <v>416.53920535311147</v>
          </cell>
          <cell r="AR329">
            <v>3013.8947946468888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3430.4340000000002</v>
          </cell>
          <cell r="BH329">
            <v>5048.9151403273454</v>
          </cell>
          <cell r="BI329">
            <v>4139.2333940270883</v>
          </cell>
          <cell r="BJ329">
            <v>1.2197705854453453</v>
          </cell>
          <cell r="BK329">
            <v>0.3910098770131718</v>
          </cell>
          <cell r="BL329">
            <v>0.82876070843217364</v>
          </cell>
        </row>
        <row r="330">
          <cell r="A330" t="str">
            <v>GH TPS (LEH.MOH.)2</v>
          </cell>
          <cell r="B330" t="str">
            <v>GH TPS (LEH.MOH.)</v>
          </cell>
          <cell r="C330">
            <v>210</v>
          </cell>
          <cell r="D330" t="str">
            <v>RAIL</v>
          </cell>
          <cell r="E330">
            <v>1.264992686494393</v>
          </cell>
          <cell r="F330">
            <v>30.267800000000001</v>
          </cell>
          <cell r="G330">
            <v>75.164699999999996</v>
          </cell>
          <cell r="H330">
            <v>0.12142463762693334</v>
          </cell>
          <cell r="I330">
            <v>0.87857536237306666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4370.4176309811701</v>
          </cell>
          <cell r="Q330">
            <v>4107.2822793026908</v>
          </cell>
          <cell r="R330" t="e">
            <v>#DIV/0!</v>
          </cell>
          <cell r="S330" t="e">
            <v>#DIV/0!</v>
          </cell>
          <cell r="T330" t="e">
            <v>#DIV/0!</v>
          </cell>
          <cell r="U330" t="e">
            <v>#DIV/0!</v>
          </cell>
          <cell r="V330" t="e">
            <v>#DIV/0!</v>
          </cell>
          <cell r="W330" t="e">
            <v>#DIV/0!</v>
          </cell>
          <cell r="X330">
            <v>205.68082454536403</v>
          </cell>
          <cell r="Y330">
            <v>1412.8003157819815</v>
          </cell>
          <cell r="Z330"/>
          <cell r="AA330"/>
          <cell r="AB330"/>
          <cell r="AC330"/>
          <cell r="AD330"/>
          <cell r="AE330"/>
          <cell r="AF330">
            <v>1618.4811403273454</v>
          </cell>
          <cell r="AG330">
            <v>0</v>
          </cell>
          <cell r="AH330">
            <v>1618.4811403273454</v>
          </cell>
          <cell r="AI330">
            <v>1434.916506</v>
          </cell>
          <cell r="AJ330">
            <v>1431.503827</v>
          </cell>
          <cell r="AK330">
            <v>1530.0991270000002</v>
          </cell>
          <cell r="AL330">
            <v>1624.3751950000001</v>
          </cell>
          <cell r="AM330">
            <v>1153.8709529999999</v>
          </cell>
          <cell r="AN330">
            <v>2560.4442979999999</v>
          </cell>
          <cell r="AO330">
            <v>1334.7902139999999</v>
          </cell>
          <cell r="AP330">
            <v>1264.178872</v>
          </cell>
          <cell r="AQ330">
            <v>416.53920535311147</v>
          </cell>
          <cell r="AR330">
            <v>3013.8947946468888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3430.4340000000002</v>
          </cell>
          <cell r="BH330">
            <v>5048.9151403273454</v>
          </cell>
          <cell r="BI330">
            <v>4139.2333940270883</v>
          </cell>
          <cell r="BJ330">
            <v>1.2197705854453453</v>
          </cell>
          <cell r="BK330">
            <v>0.3910098770131718</v>
          </cell>
          <cell r="BL330">
            <v>0.82876070843217364</v>
          </cell>
        </row>
        <row r="331">
          <cell r="A331" t="str">
            <v>GH TPS (LEH.MOH.)3</v>
          </cell>
          <cell r="B331" t="str">
            <v>GH TPS (LEH.MOH.)</v>
          </cell>
          <cell r="C331">
            <v>250</v>
          </cell>
          <cell r="D331" t="str">
            <v>RAIL</v>
          </cell>
          <cell r="E331">
            <v>1.264992686494393</v>
          </cell>
          <cell r="F331">
            <v>30.267800000000001</v>
          </cell>
          <cell r="G331">
            <v>75.164699999999996</v>
          </cell>
          <cell r="H331">
            <v>0.12142463762693334</v>
          </cell>
          <cell r="I331">
            <v>0.87857536237306666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4370.4176309811701</v>
          </cell>
          <cell r="Q331">
            <v>4107.2822793026908</v>
          </cell>
          <cell r="R331" t="e">
            <v>#DIV/0!</v>
          </cell>
          <cell r="S331" t="e">
            <v>#DIV/0!</v>
          </cell>
          <cell r="T331" t="e">
            <v>#DIV/0!</v>
          </cell>
          <cell r="U331" t="e">
            <v>#DIV/0!</v>
          </cell>
          <cell r="V331" t="e">
            <v>#DIV/0!</v>
          </cell>
          <cell r="W331" t="e">
            <v>#DIV/0!</v>
          </cell>
          <cell r="X331">
            <v>205.68082454536403</v>
          </cell>
          <cell r="Y331">
            <v>1412.8003157819815</v>
          </cell>
          <cell r="Z331"/>
          <cell r="AA331"/>
          <cell r="AB331"/>
          <cell r="AC331"/>
          <cell r="AD331"/>
          <cell r="AE331"/>
          <cell r="AF331">
            <v>1618.4811403273454</v>
          </cell>
          <cell r="AG331">
            <v>0</v>
          </cell>
          <cell r="AH331">
            <v>1618.4811403273454</v>
          </cell>
          <cell r="AI331">
            <v>1434.916506</v>
          </cell>
          <cell r="AJ331">
            <v>1431.503827</v>
          </cell>
          <cell r="AK331">
            <v>1530.0991270000002</v>
          </cell>
          <cell r="AL331">
            <v>1624.3751950000001</v>
          </cell>
          <cell r="AM331">
            <v>1153.8709529999999</v>
          </cell>
          <cell r="AN331">
            <v>2560.4442979999999</v>
          </cell>
          <cell r="AO331">
            <v>1334.7902139999999</v>
          </cell>
          <cell r="AP331">
            <v>1264.178872</v>
          </cell>
          <cell r="AQ331">
            <v>416.53920535311147</v>
          </cell>
          <cell r="AR331">
            <v>3013.8947946468888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3430.4340000000002</v>
          </cell>
          <cell r="BH331">
            <v>5048.9151403273454</v>
          </cell>
          <cell r="BI331">
            <v>4139.2333940270883</v>
          </cell>
          <cell r="BJ331">
            <v>1.2197705854453453</v>
          </cell>
          <cell r="BK331">
            <v>0.3910098770131718</v>
          </cell>
          <cell r="BL331">
            <v>0.82876070843217364</v>
          </cell>
        </row>
        <row r="332">
          <cell r="A332" t="str">
            <v>GH TPS (LEH.MOH.)4</v>
          </cell>
          <cell r="B332" t="str">
            <v>GH TPS (LEH.MOH.)</v>
          </cell>
          <cell r="C332">
            <v>250</v>
          </cell>
          <cell r="D332" t="str">
            <v>RAIL</v>
          </cell>
          <cell r="E332">
            <v>1.264992686494393</v>
          </cell>
          <cell r="F332">
            <v>30.267800000000001</v>
          </cell>
          <cell r="G332">
            <v>75.164699999999996</v>
          </cell>
          <cell r="H332">
            <v>0.12142463762693334</v>
          </cell>
          <cell r="I332">
            <v>0.87857536237306666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4370.4176309811701</v>
          </cell>
          <cell r="Q332">
            <v>4107.2822793026908</v>
          </cell>
          <cell r="R332" t="e">
            <v>#DIV/0!</v>
          </cell>
          <cell r="S332" t="e">
            <v>#DIV/0!</v>
          </cell>
          <cell r="T332" t="e">
            <v>#DIV/0!</v>
          </cell>
          <cell r="U332" t="e">
            <v>#DIV/0!</v>
          </cell>
          <cell r="V332" t="e">
            <v>#DIV/0!</v>
          </cell>
          <cell r="W332" t="e">
            <v>#DIV/0!</v>
          </cell>
          <cell r="X332">
            <v>205.68082454536403</v>
          </cell>
          <cell r="Y332">
            <v>1412.8003157819815</v>
          </cell>
          <cell r="Z332"/>
          <cell r="AA332"/>
          <cell r="AB332"/>
          <cell r="AC332"/>
          <cell r="AD332"/>
          <cell r="AE332"/>
          <cell r="AF332">
            <v>1618.4811403273454</v>
          </cell>
          <cell r="AG332">
            <v>0</v>
          </cell>
          <cell r="AH332">
            <v>1618.4811403273454</v>
          </cell>
          <cell r="AI332">
            <v>1434.916506</v>
          </cell>
          <cell r="AJ332">
            <v>1431.503827</v>
          </cell>
          <cell r="AK332">
            <v>1530.0991270000002</v>
          </cell>
          <cell r="AL332">
            <v>1624.3751950000001</v>
          </cell>
          <cell r="AM332">
            <v>1153.8709529999999</v>
          </cell>
          <cell r="AN332">
            <v>2560.4442979999999</v>
          </cell>
          <cell r="AO332">
            <v>1334.7902139999999</v>
          </cell>
          <cell r="AP332">
            <v>1264.178872</v>
          </cell>
          <cell r="AQ332">
            <v>416.53920535311147</v>
          </cell>
          <cell r="AR332">
            <v>3013.8947946468888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3430.4340000000002</v>
          </cell>
          <cell r="BH332">
            <v>5048.9151403273454</v>
          </cell>
          <cell r="BI332">
            <v>4139.2333940270883</v>
          </cell>
          <cell r="BJ332">
            <v>1.2197705854453453</v>
          </cell>
          <cell r="BK332">
            <v>0.3910098770131718</v>
          </cell>
          <cell r="BL332">
            <v>0.82876070843217364</v>
          </cell>
        </row>
        <row r="333">
          <cell r="A333" t="str">
            <v>HARDUAGANJ TPS7</v>
          </cell>
          <cell r="B333" t="str">
            <v>HARDUAGANJ TPS</v>
          </cell>
          <cell r="C333">
            <v>105</v>
          </cell>
          <cell r="D333" t="str">
            <v>RAIL</v>
          </cell>
          <cell r="E333">
            <v>1.0727314181486549</v>
          </cell>
          <cell r="F333">
            <v>28.0167</v>
          </cell>
          <cell r="G333">
            <v>78.130600000000001</v>
          </cell>
          <cell r="H333">
            <v>0.20158844436636</v>
          </cell>
          <cell r="I333">
            <v>0.79680042406276064</v>
          </cell>
          <cell r="J333">
            <v>0</v>
          </cell>
          <cell r="K333">
            <v>0</v>
          </cell>
          <cell r="L333">
            <v>1.6111315708793688E-3</v>
          </cell>
          <cell r="M333">
            <v>0</v>
          </cell>
          <cell r="N333">
            <v>0</v>
          </cell>
          <cell r="O333">
            <v>0</v>
          </cell>
          <cell r="P333">
            <v>4225.8041585069204</v>
          </cell>
          <cell r="Q333">
            <v>4434.764231472077</v>
          </cell>
          <cell r="R333" t="e">
            <v>#DIV/0!</v>
          </cell>
          <cell r="S333" t="e">
            <v>#DIV/0!</v>
          </cell>
          <cell r="T333">
            <v>4232.4020863445958</v>
          </cell>
          <cell r="U333" t="e">
            <v>#DIV/0!</v>
          </cell>
          <cell r="V333" t="e">
            <v>#DIV/0!</v>
          </cell>
          <cell r="W333" t="e">
            <v>#DIV/0!</v>
          </cell>
          <cell r="X333">
            <v>324.16595098856902</v>
          </cell>
          <cell r="Y333">
            <v>1349.6978160466213</v>
          </cell>
          <cell r="Z333"/>
          <cell r="AA333"/>
          <cell r="AB333">
            <v>2.5907933338314506</v>
          </cell>
          <cell r="AC333"/>
          <cell r="AD333"/>
          <cell r="AE333"/>
          <cell r="AF333">
            <v>1676.4545603690217</v>
          </cell>
          <cell r="AG333">
            <v>0</v>
          </cell>
          <cell r="AH333">
            <v>1676.4545603690217</v>
          </cell>
          <cell r="AI333">
            <v>1028.138252</v>
          </cell>
          <cell r="AJ333">
            <v>1024.7255729999999</v>
          </cell>
          <cell r="AK333">
            <v>1123.3208729999999</v>
          </cell>
          <cell r="AL333">
            <v>1213.4757890000001</v>
          </cell>
          <cell r="AM333">
            <v>742.97154680000006</v>
          </cell>
          <cell r="AN333">
            <v>2172.1467349999998</v>
          </cell>
          <cell r="AO333">
            <v>923.89080839999997</v>
          </cell>
          <cell r="AP333">
            <v>879.19072540000002</v>
          </cell>
          <cell r="AQ333">
            <v>519.9070806199494</v>
          </cell>
          <cell r="AR333">
            <v>2054.9897272799108</v>
          </cell>
          <cell r="AS333">
            <v>0</v>
          </cell>
          <cell r="AT333">
            <v>0</v>
          </cell>
          <cell r="AU333">
            <v>3.198643952929646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2578.0954518527897</v>
          </cell>
          <cell r="BH333">
            <v>4254.5500122218109</v>
          </cell>
          <cell r="BI333">
            <v>4392.3142633875859</v>
          </cell>
          <cell r="BJ333">
            <v>0.96863515611482587</v>
          </cell>
          <cell r="BK333">
            <v>0.3816791012298949</v>
          </cell>
          <cell r="BL333">
            <v>0.58695605488493108</v>
          </cell>
        </row>
        <row r="334">
          <cell r="A334" t="str">
            <v>IB VALLEY TPS1</v>
          </cell>
          <cell r="B334" t="str">
            <v>IB VALLEY TPS</v>
          </cell>
          <cell r="C334">
            <v>210</v>
          </cell>
          <cell r="D334" t="str">
            <v>PITHEAD</v>
          </cell>
          <cell r="E334">
            <v>0.48096774193548386</v>
          </cell>
          <cell r="F334">
            <v>21.691299999999998</v>
          </cell>
          <cell r="G334">
            <v>83.860500000000002</v>
          </cell>
          <cell r="H334">
            <v>0</v>
          </cell>
          <cell r="I334">
            <v>0</v>
          </cell>
          <cell r="J334">
            <v>0</v>
          </cell>
          <cell r="K334">
            <v>1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 t="e">
            <v>#DIV/0!</v>
          </cell>
          <cell r="Q334" t="e">
            <v>#DIV/0!</v>
          </cell>
          <cell r="R334" t="e">
            <v>#DIV/0!</v>
          </cell>
          <cell r="S334">
            <v>3249.9999999999991</v>
          </cell>
          <cell r="T334" t="e">
            <v>#DIV/0!</v>
          </cell>
          <cell r="U334" t="e">
            <v>#DIV/0!</v>
          </cell>
          <cell r="V334" t="e">
            <v>#DIV/0!</v>
          </cell>
          <cell r="W334" t="e">
            <v>#DIV/0!</v>
          </cell>
          <cell r="X334"/>
          <cell r="Y334"/>
          <cell r="Z334"/>
          <cell r="AA334">
            <v>1350.5419199999999</v>
          </cell>
          <cell r="AB334"/>
          <cell r="AC334"/>
          <cell r="AD334"/>
          <cell r="AE334"/>
          <cell r="AF334">
            <v>1350.5419199999999</v>
          </cell>
          <cell r="AG334">
            <v>0</v>
          </cell>
          <cell r="AH334">
            <v>1350.5419199999999</v>
          </cell>
          <cell r="AI334">
            <v>461.68784250000004</v>
          </cell>
          <cell r="AJ334">
            <v>530.4920699999999</v>
          </cell>
          <cell r="AK334">
            <v>573.22446190000005</v>
          </cell>
          <cell r="AL334">
            <v>188.23999280000001</v>
          </cell>
          <cell r="AM334">
            <v>468.83054320000002</v>
          </cell>
          <cell r="AN334">
            <v>1782.2291499999999</v>
          </cell>
          <cell r="AO334">
            <v>265.93687349999999</v>
          </cell>
          <cell r="AP334">
            <v>661.20881450000002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480.10395074601735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480.10395074601735</v>
          </cell>
          <cell r="BH334">
            <v>1830.6458707460172</v>
          </cell>
          <cell r="BI334">
            <v>3249.9999999999991</v>
          </cell>
          <cell r="BJ334">
            <v>0.56327565253723622</v>
          </cell>
          <cell r="BK334">
            <v>0.41555136000000009</v>
          </cell>
          <cell r="BL334">
            <v>0.14772429253723615</v>
          </cell>
        </row>
        <row r="335">
          <cell r="A335" t="str">
            <v>IB VALLEY TPS2</v>
          </cell>
          <cell r="B335" t="str">
            <v>IB VALLEY TPS</v>
          </cell>
          <cell r="C335">
            <v>210</v>
          </cell>
          <cell r="D335" t="str">
            <v>PITHEAD</v>
          </cell>
          <cell r="E335">
            <v>0.48096774193548386</v>
          </cell>
          <cell r="F335">
            <v>21.691299999999998</v>
          </cell>
          <cell r="G335">
            <v>83.860500000000002</v>
          </cell>
          <cell r="H335">
            <v>0</v>
          </cell>
          <cell r="I335">
            <v>0</v>
          </cell>
          <cell r="J335">
            <v>0</v>
          </cell>
          <cell r="K335">
            <v>1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 t="e">
            <v>#DIV/0!</v>
          </cell>
          <cell r="Q335" t="e">
            <v>#DIV/0!</v>
          </cell>
          <cell r="R335" t="e">
            <v>#DIV/0!</v>
          </cell>
          <cell r="S335">
            <v>3249.9999999999991</v>
          </cell>
          <cell r="T335" t="e">
            <v>#DIV/0!</v>
          </cell>
          <cell r="U335" t="e">
            <v>#DIV/0!</v>
          </cell>
          <cell r="V335" t="e">
            <v>#DIV/0!</v>
          </cell>
          <cell r="W335" t="e">
            <v>#DIV/0!</v>
          </cell>
          <cell r="X335"/>
          <cell r="Y335"/>
          <cell r="Z335"/>
          <cell r="AA335">
            <v>1350.5419199999999</v>
          </cell>
          <cell r="AB335"/>
          <cell r="AC335"/>
          <cell r="AD335"/>
          <cell r="AE335"/>
          <cell r="AF335">
            <v>1350.5419199999999</v>
          </cell>
          <cell r="AG335">
            <v>0</v>
          </cell>
          <cell r="AH335">
            <v>1350.5419199999999</v>
          </cell>
          <cell r="AI335">
            <v>461.68784250000004</v>
          </cell>
          <cell r="AJ335">
            <v>530.4920699999999</v>
          </cell>
          <cell r="AK335">
            <v>573.22446190000005</v>
          </cell>
          <cell r="AL335">
            <v>188.23999280000001</v>
          </cell>
          <cell r="AM335">
            <v>468.83054320000002</v>
          </cell>
          <cell r="AN335">
            <v>1782.2291499999999</v>
          </cell>
          <cell r="AO335">
            <v>265.93687349999999</v>
          </cell>
          <cell r="AP335">
            <v>661.20881450000002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480.10395074601735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480.10395074601735</v>
          </cell>
          <cell r="BH335">
            <v>1830.6458707460172</v>
          </cell>
          <cell r="BI335">
            <v>3249.9999999999991</v>
          </cell>
          <cell r="BJ335">
            <v>0.56327565253723622</v>
          </cell>
          <cell r="BK335">
            <v>0.41555136000000009</v>
          </cell>
          <cell r="BL335">
            <v>0.14772429253723615</v>
          </cell>
        </row>
        <row r="336">
          <cell r="A336" t="str">
            <v>JOJOBERA TPS2</v>
          </cell>
          <cell r="B336" t="str">
            <v>JOJOBERA TPS</v>
          </cell>
          <cell r="C336">
            <v>120</v>
          </cell>
          <cell r="D336"/>
          <cell r="E336">
            <v>1.1008606777837546</v>
          </cell>
          <cell r="F336">
            <v>22.755800000000001</v>
          </cell>
          <cell r="G336">
            <v>86.249200000000002</v>
          </cell>
          <cell r="H336">
            <v>0.66205376722513443</v>
          </cell>
          <cell r="I336">
            <v>0.13680615717899172</v>
          </cell>
          <cell r="J336">
            <v>0.2011400755958738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4814.4852323203331</v>
          </cell>
          <cell r="Q336">
            <v>4018.2421736021447</v>
          </cell>
          <cell r="R336">
            <v>6250.0000000000009</v>
          </cell>
          <cell r="S336" t="e">
            <v>#DIV/0!</v>
          </cell>
          <cell r="T336" t="e">
            <v>#DIV/0!</v>
          </cell>
          <cell r="U336" t="e">
            <v>#DIV/0!</v>
          </cell>
          <cell r="V336" t="e">
            <v>#DIV/0!</v>
          </cell>
          <cell r="W336" t="e">
            <v>#DIV/0!</v>
          </cell>
          <cell r="X336">
            <v>1216.9909424143386</v>
          </cell>
          <cell r="Y336">
            <v>219.99226286216654</v>
          </cell>
          <cell r="Z336">
            <v>835.15773068313945</v>
          </cell>
          <cell r="AA336"/>
          <cell r="AB336"/>
          <cell r="AC336"/>
          <cell r="AD336"/>
          <cell r="AE336"/>
          <cell r="AF336">
            <v>2272.1409359596446</v>
          </cell>
          <cell r="AG336">
            <v>5.782718268310312E-2</v>
          </cell>
          <cell r="AH336">
            <v>2443.2434195894616</v>
          </cell>
          <cell r="AI336">
            <v>171.64639410000001</v>
          </cell>
          <cell r="AJ336">
            <v>195.2707996</v>
          </cell>
          <cell r="AK336">
            <v>261.31599799999998</v>
          </cell>
          <cell r="AL336">
            <v>301.82510029999997</v>
          </cell>
          <cell r="AM336">
            <v>457.43075300000004</v>
          </cell>
          <cell r="AN336">
            <v>1507.1249680000001</v>
          </cell>
          <cell r="AO336">
            <v>466.39994999999999</v>
          </cell>
          <cell r="AP336">
            <v>866.49746479999999</v>
          </cell>
          <cell r="AQ336">
            <v>484.13476192858622</v>
          </cell>
          <cell r="AR336">
            <v>107.53948958600438</v>
          </cell>
          <cell r="AS336">
            <v>193.6677217874871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739.92785954322983</v>
          </cell>
          <cell r="BH336">
            <v>3183.1712791326913</v>
          </cell>
          <cell r="BI336">
            <v>4994.293828166733</v>
          </cell>
          <cell r="BJ336">
            <v>0.63736163482819064</v>
          </cell>
          <cell r="BK336">
            <v>0.48920698374014343</v>
          </cell>
          <cell r="BL336">
            <v>0.14815465108804718</v>
          </cell>
        </row>
        <row r="337">
          <cell r="A337" t="str">
            <v>JOJOBERA TPS3</v>
          </cell>
          <cell r="B337" t="str">
            <v>JOJOBERA TPS</v>
          </cell>
          <cell r="C337">
            <v>120</v>
          </cell>
          <cell r="D337"/>
          <cell r="E337">
            <v>1.1183144246353323</v>
          </cell>
          <cell r="F337">
            <v>22.755800000000001</v>
          </cell>
          <cell r="G337">
            <v>86.249200000000002</v>
          </cell>
          <cell r="H337">
            <v>0.66205376722513443</v>
          </cell>
          <cell r="I337">
            <v>0.13680615717899172</v>
          </cell>
          <cell r="J337">
            <v>0.2011400755958738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4814.4852323203331</v>
          </cell>
          <cell r="Q337">
            <v>4018.2421736021447</v>
          </cell>
          <cell r="R337">
            <v>6250.0000000000009</v>
          </cell>
          <cell r="S337" t="e">
            <v>#DIV/0!</v>
          </cell>
          <cell r="T337" t="e">
            <v>#DIV/0!</v>
          </cell>
          <cell r="U337" t="e">
            <v>#DIV/0!</v>
          </cell>
          <cell r="V337" t="e">
            <v>#DIV/0!</v>
          </cell>
          <cell r="W337" t="e">
            <v>#DIV/0!</v>
          </cell>
          <cell r="X337">
            <v>1216.9909424143386</v>
          </cell>
          <cell r="Y337">
            <v>219.99226286216654</v>
          </cell>
          <cell r="Z337">
            <v>835.15773068313945</v>
          </cell>
          <cell r="AA337"/>
          <cell r="AB337"/>
          <cell r="AC337"/>
          <cell r="AD337"/>
          <cell r="AE337"/>
          <cell r="AF337">
            <v>2272.1409359596446</v>
          </cell>
          <cell r="AG337">
            <v>5.782718268310312E-2</v>
          </cell>
          <cell r="AH337">
            <v>2443.2434195894616</v>
          </cell>
          <cell r="AI337">
            <v>171.64639410000001</v>
          </cell>
          <cell r="AJ337">
            <v>195.2707996</v>
          </cell>
          <cell r="AK337">
            <v>261.31599799999998</v>
          </cell>
          <cell r="AL337">
            <v>301.82510029999997</v>
          </cell>
          <cell r="AM337">
            <v>457.43075300000004</v>
          </cell>
          <cell r="AN337">
            <v>1507.1249680000001</v>
          </cell>
          <cell r="AO337">
            <v>466.39994999999999</v>
          </cell>
          <cell r="AP337">
            <v>866.49746479999999</v>
          </cell>
          <cell r="AQ337">
            <v>484.13476192858622</v>
          </cell>
          <cell r="AR337">
            <v>107.53948958600438</v>
          </cell>
          <cell r="AS337">
            <v>193.6677217874871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739.92785954322983</v>
          </cell>
          <cell r="BH337">
            <v>3183.1712791326913</v>
          </cell>
          <cell r="BI337">
            <v>4994.293828166733</v>
          </cell>
          <cell r="BJ337">
            <v>0.63736163482819064</v>
          </cell>
          <cell r="BK337">
            <v>0.48920698374014343</v>
          </cell>
          <cell r="BL337">
            <v>0.14815465108804718</v>
          </cell>
        </row>
        <row r="338">
          <cell r="A338" t="str">
            <v>JSW RATNAGIRI TPP1</v>
          </cell>
          <cell r="B338" t="str">
            <v>JSW RATNAGIRI TPP</v>
          </cell>
          <cell r="C338">
            <v>300</v>
          </cell>
          <cell r="D338"/>
          <cell r="E338" t="str">
            <v/>
          </cell>
          <cell r="F338">
            <v>17.296199999999999</v>
          </cell>
          <cell r="G338">
            <v>73.212800000000001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1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4279.0292548546358</v>
          </cell>
          <cell r="X338"/>
          <cell r="Y338"/>
          <cell r="Z338"/>
          <cell r="AA338"/>
          <cell r="AB338"/>
          <cell r="AC338"/>
          <cell r="AD338"/>
          <cell r="AE338">
            <v>1608.0582000000002</v>
          </cell>
          <cell r="AF338">
            <v>1608.0582000000002</v>
          </cell>
          <cell r="AG338">
            <v>1</v>
          </cell>
          <cell r="AH338">
            <v>5231</v>
          </cell>
          <cell r="AI338">
            <v>1888.563733</v>
          </cell>
          <cell r="AJ338">
            <v>1831.7208559999999</v>
          </cell>
          <cell r="AK338">
            <v>2000.1229960000001</v>
          </cell>
          <cell r="AL338">
            <v>1592.1818289999999</v>
          </cell>
          <cell r="AM338">
            <v>1583.014709</v>
          </cell>
          <cell r="AN338">
            <v>3172.7917239999997</v>
          </cell>
          <cell r="AO338">
            <v>1409.946856</v>
          </cell>
          <cell r="AP338">
            <v>959.53350720000003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2432.136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5231</v>
          </cell>
          <cell r="BI338">
            <v>4279.0292548546358</v>
          </cell>
          <cell r="BJ338">
            <v>1.2224735304310752</v>
          </cell>
          <cell r="BK338">
            <v>1.2224735304310752</v>
          </cell>
          <cell r="BL338">
            <v>0</v>
          </cell>
        </row>
        <row r="339">
          <cell r="A339" t="str">
            <v>JSW RATNAGIRI TPP2</v>
          </cell>
          <cell r="B339" t="str">
            <v>JSW RATNAGIRI TPP</v>
          </cell>
          <cell r="C339">
            <v>300</v>
          </cell>
          <cell r="D339"/>
          <cell r="E339" t="str">
            <v/>
          </cell>
          <cell r="F339">
            <v>17.296199999999999</v>
          </cell>
          <cell r="G339">
            <v>73.212800000000001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4279.0292548546358</v>
          </cell>
          <cell r="X339"/>
          <cell r="Y339"/>
          <cell r="Z339"/>
          <cell r="AA339"/>
          <cell r="AB339"/>
          <cell r="AC339"/>
          <cell r="AD339"/>
          <cell r="AE339">
            <v>1608.0582000000002</v>
          </cell>
          <cell r="AF339">
            <v>1608.0582000000002</v>
          </cell>
          <cell r="AG339">
            <v>1</v>
          </cell>
          <cell r="AH339">
            <v>5231</v>
          </cell>
          <cell r="AI339">
            <v>1888.563733</v>
          </cell>
          <cell r="AJ339">
            <v>1831.7208559999999</v>
          </cell>
          <cell r="AK339">
            <v>2000.1229960000001</v>
          </cell>
          <cell r="AL339">
            <v>1592.1818289999999</v>
          </cell>
          <cell r="AM339">
            <v>1583.014709</v>
          </cell>
          <cell r="AN339">
            <v>3172.7917239999997</v>
          </cell>
          <cell r="AO339">
            <v>1409.946856</v>
          </cell>
          <cell r="AP339">
            <v>959.53350720000003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2432.136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5231</v>
          </cell>
          <cell r="BI339">
            <v>4279.0292548546358</v>
          </cell>
          <cell r="BJ339">
            <v>1.2224735304310752</v>
          </cell>
          <cell r="BK339">
            <v>1.2224735304310752</v>
          </cell>
          <cell r="BL339">
            <v>0</v>
          </cell>
        </row>
        <row r="340">
          <cell r="A340" t="str">
            <v>JSW RATNAGIRI TPP3</v>
          </cell>
          <cell r="B340" t="str">
            <v>JSW RATNAGIRI TPP</v>
          </cell>
          <cell r="C340">
            <v>300</v>
          </cell>
          <cell r="D340"/>
          <cell r="E340" t="str">
            <v/>
          </cell>
          <cell r="F340">
            <v>17.296199999999999</v>
          </cell>
          <cell r="G340">
            <v>73.212800000000001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1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4279.0292548546358</v>
          </cell>
          <cell r="X340"/>
          <cell r="Y340"/>
          <cell r="Z340"/>
          <cell r="AA340"/>
          <cell r="AB340"/>
          <cell r="AC340"/>
          <cell r="AD340"/>
          <cell r="AE340">
            <v>1608.0582000000002</v>
          </cell>
          <cell r="AF340">
            <v>1608.0582000000002</v>
          </cell>
          <cell r="AG340">
            <v>1</v>
          </cell>
          <cell r="AH340">
            <v>5231</v>
          </cell>
          <cell r="AI340">
            <v>1888.563733</v>
          </cell>
          <cell r="AJ340">
            <v>1831.7208559999999</v>
          </cell>
          <cell r="AK340">
            <v>2000.1229960000001</v>
          </cell>
          <cell r="AL340">
            <v>1592.1818289999999</v>
          </cell>
          <cell r="AM340">
            <v>1583.014709</v>
          </cell>
          <cell r="AN340">
            <v>3172.7917239999997</v>
          </cell>
          <cell r="AO340">
            <v>1409.946856</v>
          </cell>
          <cell r="AP340">
            <v>959.53350720000003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2432.136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5231</v>
          </cell>
          <cell r="BI340">
            <v>4279.0292548546358</v>
          </cell>
          <cell r="BJ340">
            <v>1.2224735304310752</v>
          </cell>
          <cell r="BK340">
            <v>1.2224735304310752</v>
          </cell>
          <cell r="BL340">
            <v>0</v>
          </cell>
        </row>
        <row r="341">
          <cell r="A341" t="str">
            <v>JSW RATNAGIRI TPP4</v>
          </cell>
          <cell r="B341" t="str">
            <v>JSW RATNAGIRI TPP</v>
          </cell>
          <cell r="C341">
            <v>300</v>
          </cell>
          <cell r="D341"/>
          <cell r="E341" t="str">
            <v/>
          </cell>
          <cell r="F341">
            <v>17.296199999999999</v>
          </cell>
          <cell r="G341">
            <v>73.212800000000001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4279.0292548546358</v>
          </cell>
          <cell r="X341"/>
          <cell r="Y341"/>
          <cell r="Z341"/>
          <cell r="AA341"/>
          <cell r="AB341"/>
          <cell r="AC341"/>
          <cell r="AD341"/>
          <cell r="AE341">
            <v>1608.0582000000002</v>
          </cell>
          <cell r="AF341">
            <v>1608.0582000000002</v>
          </cell>
          <cell r="AG341">
            <v>1</v>
          </cell>
          <cell r="AH341">
            <v>5231</v>
          </cell>
          <cell r="AI341">
            <v>1888.563733</v>
          </cell>
          <cell r="AJ341">
            <v>1831.7208559999999</v>
          </cell>
          <cell r="AK341">
            <v>2000.1229960000001</v>
          </cell>
          <cell r="AL341">
            <v>1592.1818289999999</v>
          </cell>
          <cell r="AM341">
            <v>1583.014709</v>
          </cell>
          <cell r="AN341">
            <v>3172.7917239999997</v>
          </cell>
          <cell r="AO341">
            <v>1409.946856</v>
          </cell>
          <cell r="AP341">
            <v>959.53350720000003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2432.136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5231</v>
          </cell>
          <cell r="BI341">
            <v>4279.0292548546358</v>
          </cell>
          <cell r="BJ341">
            <v>1.2224735304310752</v>
          </cell>
          <cell r="BK341">
            <v>1.2224735304310752</v>
          </cell>
          <cell r="BL341">
            <v>0</v>
          </cell>
        </row>
        <row r="342">
          <cell r="A342" t="str">
            <v>KAHALGAON TPS1</v>
          </cell>
          <cell r="B342" t="str">
            <v>KAHALGAON TPS</v>
          </cell>
          <cell r="C342">
            <v>210</v>
          </cell>
          <cell r="D342" t="str">
            <v>PITHEAD</v>
          </cell>
          <cell r="E342">
            <v>0.73061013443640122</v>
          </cell>
          <cell r="F342">
            <v>25.238299999999999</v>
          </cell>
          <cell r="G342">
            <v>87.264899999999997</v>
          </cell>
          <cell r="H342">
            <v>0</v>
          </cell>
          <cell r="I342">
            <v>0</v>
          </cell>
          <cell r="J342">
            <v>1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 t="e">
            <v>#DIV/0!</v>
          </cell>
          <cell r="Q342" t="e">
            <v>#DIV/0!</v>
          </cell>
          <cell r="R342">
            <v>3765.3709320470821</v>
          </cell>
          <cell r="S342" t="e">
            <v>#DIV/0!</v>
          </cell>
          <cell r="T342" t="e">
            <v>#DIV/0!</v>
          </cell>
          <cell r="U342" t="e">
            <v>#DIV/0!</v>
          </cell>
          <cell r="V342" t="e">
            <v>#DIV/0!</v>
          </cell>
          <cell r="W342" t="e">
            <v>#DIV/0!</v>
          </cell>
          <cell r="X342"/>
          <cell r="Y342"/>
          <cell r="Z342">
            <v>1522.2194400000001</v>
          </cell>
          <cell r="AA342"/>
          <cell r="AB342"/>
          <cell r="AC342"/>
          <cell r="AD342"/>
          <cell r="AE342"/>
          <cell r="AF342">
            <v>1522.2194400000001</v>
          </cell>
          <cell r="AG342">
            <v>0</v>
          </cell>
          <cell r="AH342">
            <v>1522.2194400000001</v>
          </cell>
          <cell r="AI342">
            <v>241.28031670000001</v>
          </cell>
          <cell r="AJ342">
            <v>300.75341619999995</v>
          </cell>
          <cell r="AK342">
            <v>145.2733743</v>
          </cell>
          <cell r="AL342">
            <v>692.55382420000001</v>
          </cell>
          <cell r="AM342">
            <v>554.13204540000004</v>
          </cell>
          <cell r="AN342">
            <v>1169.1650020000002</v>
          </cell>
          <cell r="AO342">
            <v>715.30404129999988</v>
          </cell>
          <cell r="AP342">
            <v>1156.1512300000002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370.51808121209694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370.51808121209694</v>
          </cell>
          <cell r="BH342">
            <v>1892.7375212120969</v>
          </cell>
          <cell r="BI342">
            <v>3765.3709320470821</v>
          </cell>
          <cell r="BJ342">
            <v>0.5026696055634261</v>
          </cell>
          <cell r="BK342">
            <v>0.40426812323970168</v>
          </cell>
          <cell r="BL342">
            <v>9.840148232372449E-2</v>
          </cell>
        </row>
        <row r="343">
          <cell r="A343" t="str">
            <v>KAHALGAON TPS2</v>
          </cell>
          <cell r="B343" t="str">
            <v>KAHALGAON TPS</v>
          </cell>
          <cell r="C343">
            <v>210</v>
          </cell>
          <cell r="D343" t="str">
            <v>PITHEAD</v>
          </cell>
          <cell r="E343">
            <v>0.73061013443640122</v>
          </cell>
          <cell r="F343">
            <v>25.238299999999999</v>
          </cell>
          <cell r="G343">
            <v>87.264899999999997</v>
          </cell>
          <cell r="H343">
            <v>0</v>
          </cell>
          <cell r="I343">
            <v>0</v>
          </cell>
          <cell r="J343">
            <v>1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 t="e">
            <v>#DIV/0!</v>
          </cell>
          <cell r="Q343" t="e">
            <v>#DIV/0!</v>
          </cell>
          <cell r="R343">
            <v>3765.3709320470821</v>
          </cell>
          <cell r="S343" t="e">
            <v>#DIV/0!</v>
          </cell>
          <cell r="T343" t="e">
            <v>#DIV/0!</v>
          </cell>
          <cell r="U343" t="e">
            <v>#DIV/0!</v>
          </cell>
          <cell r="V343" t="e">
            <v>#DIV/0!</v>
          </cell>
          <cell r="W343" t="e">
            <v>#DIV/0!</v>
          </cell>
          <cell r="X343"/>
          <cell r="Y343"/>
          <cell r="Z343">
            <v>1522.2194400000001</v>
          </cell>
          <cell r="AA343"/>
          <cell r="AB343"/>
          <cell r="AC343"/>
          <cell r="AD343"/>
          <cell r="AE343"/>
          <cell r="AF343">
            <v>1522.2194400000001</v>
          </cell>
          <cell r="AG343">
            <v>0</v>
          </cell>
          <cell r="AH343">
            <v>1522.2194400000001</v>
          </cell>
          <cell r="AI343">
            <v>241.28031670000001</v>
          </cell>
          <cell r="AJ343">
            <v>300.75341619999995</v>
          </cell>
          <cell r="AK343">
            <v>145.2733743</v>
          </cell>
          <cell r="AL343">
            <v>692.55382420000001</v>
          </cell>
          <cell r="AM343">
            <v>554.13204540000004</v>
          </cell>
          <cell r="AN343">
            <v>1169.1650020000002</v>
          </cell>
          <cell r="AO343">
            <v>715.30404129999988</v>
          </cell>
          <cell r="AP343">
            <v>1156.1512300000002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370.51808121209694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370.51808121209694</v>
          </cell>
          <cell r="BH343">
            <v>1892.7375212120969</v>
          </cell>
          <cell r="BI343">
            <v>3765.3709320470821</v>
          </cell>
          <cell r="BJ343">
            <v>0.5026696055634261</v>
          </cell>
          <cell r="BK343">
            <v>0.40426812323970168</v>
          </cell>
          <cell r="BL343">
            <v>9.840148232372449E-2</v>
          </cell>
        </row>
        <row r="344">
          <cell r="A344" t="str">
            <v>KAHALGAON TPS3</v>
          </cell>
          <cell r="B344" t="str">
            <v>KAHALGAON TPS</v>
          </cell>
          <cell r="C344">
            <v>210</v>
          </cell>
          <cell r="D344" t="str">
            <v>PITHEAD</v>
          </cell>
          <cell r="E344">
            <v>0.73061013443640122</v>
          </cell>
          <cell r="F344">
            <v>25.238299999999999</v>
          </cell>
          <cell r="G344">
            <v>87.264899999999997</v>
          </cell>
          <cell r="H344">
            <v>0</v>
          </cell>
          <cell r="I344">
            <v>0</v>
          </cell>
          <cell r="J344">
            <v>1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 t="e">
            <v>#DIV/0!</v>
          </cell>
          <cell r="Q344" t="e">
            <v>#DIV/0!</v>
          </cell>
          <cell r="R344">
            <v>3765.3709320470821</v>
          </cell>
          <cell r="S344" t="e">
            <v>#DIV/0!</v>
          </cell>
          <cell r="T344" t="e">
            <v>#DIV/0!</v>
          </cell>
          <cell r="U344" t="e">
            <v>#DIV/0!</v>
          </cell>
          <cell r="V344" t="e">
            <v>#DIV/0!</v>
          </cell>
          <cell r="W344" t="e">
            <v>#DIV/0!</v>
          </cell>
          <cell r="X344"/>
          <cell r="Y344"/>
          <cell r="Z344">
            <v>1522.2194400000001</v>
          </cell>
          <cell r="AA344"/>
          <cell r="AB344"/>
          <cell r="AC344"/>
          <cell r="AD344"/>
          <cell r="AE344"/>
          <cell r="AF344">
            <v>1522.2194400000001</v>
          </cell>
          <cell r="AG344">
            <v>0</v>
          </cell>
          <cell r="AH344">
            <v>1522.2194400000001</v>
          </cell>
          <cell r="AI344">
            <v>241.28031670000001</v>
          </cell>
          <cell r="AJ344">
            <v>300.75341619999995</v>
          </cell>
          <cell r="AK344">
            <v>145.2733743</v>
          </cell>
          <cell r="AL344">
            <v>692.55382420000001</v>
          </cell>
          <cell r="AM344">
            <v>554.13204540000004</v>
          </cell>
          <cell r="AN344">
            <v>1169.1650020000002</v>
          </cell>
          <cell r="AO344">
            <v>715.30404129999988</v>
          </cell>
          <cell r="AP344">
            <v>1156.1512300000002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370.51808121209694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370.51808121209694</v>
          </cell>
          <cell r="BH344">
            <v>1892.7375212120969</v>
          </cell>
          <cell r="BI344">
            <v>3765.3709320470821</v>
          </cell>
          <cell r="BJ344">
            <v>0.5026696055634261</v>
          </cell>
          <cell r="BK344">
            <v>0.40426812323970168</v>
          </cell>
          <cell r="BL344">
            <v>9.840148232372449E-2</v>
          </cell>
        </row>
        <row r="345">
          <cell r="A345" t="str">
            <v>KAHALGAON TPS4</v>
          </cell>
          <cell r="B345" t="str">
            <v>KAHALGAON TPS</v>
          </cell>
          <cell r="C345">
            <v>210</v>
          </cell>
          <cell r="D345" t="str">
            <v>PITHEAD</v>
          </cell>
          <cell r="E345">
            <v>0.73061013443640122</v>
          </cell>
          <cell r="F345">
            <v>25.238299999999999</v>
          </cell>
          <cell r="G345">
            <v>87.264899999999997</v>
          </cell>
          <cell r="H345">
            <v>0</v>
          </cell>
          <cell r="I345">
            <v>0</v>
          </cell>
          <cell r="J345">
            <v>1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 t="e">
            <v>#DIV/0!</v>
          </cell>
          <cell r="Q345" t="e">
            <v>#DIV/0!</v>
          </cell>
          <cell r="R345">
            <v>3765.3709320470821</v>
          </cell>
          <cell r="S345" t="e">
            <v>#DIV/0!</v>
          </cell>
          <cell r="T345" t="e">
            <v>#DIV/0!</v>
          </cell>
          <cell r="U345" t="e">
            <v>#DIV/0!</v>
          </cell>
          <cell r="V345" t="e">
            <v>#DIV/0!</v>
          </cell>
          <cell r="W345" t="e">
            <v>#DIV/0!</v>
          </cell>
          <cell r="X345"/>
          <cell r="Y345"/>
          <cell r="Z345">
            <v>1522.2194400000001</v>
          </cell>
          <cell r="AA345"/>
          <cell r="AB345"/>
          <cell r="AC345"/>
          <cell r="AD345"/>
          <cell r="AE345"/>
          <cell r="AF345">
            <v>1522.2194400000001</v>
          </cell>
          <cell r="AG345">
            <v>0</v>
          </cell>
          <cell r="AH345">
            <v>1522.2194400000001</v>
          </cell>
          <cell r="AI345">
            <v>241.28031670000001</v>
          </cell>
          <cell r="AJ345">
            <v>300.75341619999995</v>
          </cell>
          <cell r="AK345">
            <v>145.2733743</v>
          </cell>
          <cell r="AL345">
            <v>692.55382420000001</v>
          </cell>
          <cell r="AM345">
            <v>554.13204540000004</v>
          </cell>
          <cell r="AN345">
            <v>1169.1650020000002</v>
          </cell>
          <cell r="AO345">
            <v>715.30404129999988</v>
          </cell>
          <cell r="AP345">
            <v>1156.1512300000002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370.51808121209694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370.51808121209694</v>
          </cell>
          <cell r="BH345">
            <v>1892.7375212120969</v>
          </cell>
          <cell r="BI345">
            <v>3765.3709320470821</v>
          </cell>
          <cell r="BJ345">
            <v>0.5026696055634261</v>
          </cell>
          <cell r="BK345">
            <v>0.40426812323970168</v>
          </cell>
          <cell r="BL345">
            <v>9.840148232372449E-2</v>
          </cell>
        </row>
        <row r="346">
          <cell r="A346" t="str">
            <v>KASAIPALLI TPP1</v>
          </cell>
          <cell r="B346" t="str">
            <v>KASAIPALLI TPP</v>
          </cell>
          <cell r="C346">
            <v>135</v>
          </cell>
          <cell r="D346" t="e">
            <v>#N/A</v>
          </cell>
          <cell r="E346" t="str">
            <v/>
          </cell>
          <cell r="F346">
            <v>22.388999999999999</v>
          </cell>
          <cell r="G346">
            <v>82.554699999999997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1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4277.9166493810972</v>
          </cell>
          <cell r="W346">
            <v>0</v>
          </cell>
          <cell r="X346"/>
          <cell r="Y346"/>
          <cell r="Z346"/>
          <cell r="AA346"/>
          <cell r="AB346"/>
          <cell r="AC346"/>
          <cell r="AD346">
            <v>1608.0582000000002</v>
          </cell>
          <cell r="AE346"/>
          <cell r="AF346">
            <v>1608.0582000000002</v>
          </cell>
          <cell r="AG346">
            <v>0.28000000000000003</v>
          </cell>
          <cell r="AH346">
            <v>2622.4819040000002</v>
          </cell>
          <cell r="AI346">
            <v>520.38134289999994</v>
          </cell>
          <cell r="AJ346">
            <v>463.53846570000002</v>
          </cell>
          <cell r="AK346">
            <v>631.94060560000003</v>
          </cell>
          <cell r="AL346">
            <v>343.49979430000002</v>
          </cell>
          <cell r="AM346">
            <v>306.73149239999998</v>
          </cell>
          <cell r="AN346">
            <v>1799.3668659999998</v>
          </cell>
          <cell r="AO346">
            <v>28.327921409999998</v>
          </cell>
          <cell r="AP346">
            <v>472.812747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387.66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279.11520000000002</v>
          </cell>
          <cell r="BH346">
            <v>2901.5971040000004</v>
          </cell>
          <cell r="BI346">
            <v>4277.9166493810972</v>
          </cell>
          <cell r="BJ346">
            <v>0.67827340778595713</v>
          </cell>
          <cell r="BK346">
            <v>0.6130278167947486</v>
          </cell>
          <cell r="BL346">
            <v>6.5245590991208469E-2</v>
          </cell>
        </row>
        <row r="347">
          <cell r="A347" t="str">
            <v>KASAIPALLI TPP2</v>
          </cell>
          <cell r="B347" t="str">
            <v>KASAIPALLI TPP</v>
          </cell>
          <cell r="C347">
            <v>135</v>
          </cell>
          <cell r="D347" t="e">
            <v>#N/A</v>
          </cell>
          <cell r="E347" t="str">
            <v/>
          </cell>
          <cell r="F347">
            <v>22.388999999999999</v>
          </cell>
          <cell r="G347">
            <v>82.554699999999997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1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4277.9166493810972</v>
          </cell>
          <cell r="W347">
            <v>0</v>
          </cell>
          <cell r="X347"/>
          <cell r="Y347"/>
          <cell r="Z347"/>
          <cell r="AA347"/>
          <cell r="AB347"/>
          <cell r="AC347"/>
          <cell r="AD347">
            <v>1608.0582000000002</v>
          </cell>
          <cell r="AE347"/>
          <cell r="AF347">
            <v>1608.0582000000002</v>
          </cell>
          <cell r="AG347">
            <v>0.28000000000000003</v>
          </cell>
          <cell r="AH347">
            <v>2622.4819040000002</v>
          </cell>
          <cell r="AI347">
            <v>520.38134289999994</v>
          </cell>
          <cell r="AJ347">
            <v>463.53846570000002</v>
          </cell>
          <cell r="AK347">
            <v>631.94060560000003</v>
          </cell>
          <cell r="AL347">
            <v>343.49979430000002</v>
          </cell>
          <cell r="AM347">
            <v>306.73149239999998</v>
          </cell>
          <cell r="AN347">
            <v>1799.3668659999998</v>
          </cell>
          <cell r="AO347">
            <v>28.327921409999998</v>
          </cell>
          <cell r="AP347">
            <v>472.812747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387.66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279.11520000000002</v>
          </cell>
          <cell r="BH347">
            <v>2901.5971040000004</v>
          </cell>
          <cell r="BI347">
            <v>4277.9166493810972</v>
          </cell>
          <cell r="BJ347">
            <v>0.67827340778595713</v>
          </cell>
          <cell r="BK347">
            <v>0.6130278167947486</v>
          </cell>
          <cell r="BL347">
            <v>6.5245590991208469E-2</v>
          </cell>
        </row>
        <row r="348">
          <cell r="A348" t="str">
            <v>KHAMBARKHERA TPS1</v>
          </cell>
          <cell r="B348" t="str">
            <v>KHAMBARKHERA TPS</v>
          </cell>
          <cell r="C348">
            <v>45</v>
          </cell>
          <cell r="D348" t="str">
            <v>RAIL</v>
          </cell>
          <cell r="E348" t="str">
            <v/>
          </cell>
          <cell r="F348">
            <v>27.997073400000001</v>
          </cell>
          <cell r="G348">
            <v>80.818313700000004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4503.0962946398622</v>
          </cell>
          <cell r="U348">
            <v>0</v>
          </cell>
          <cell r="V348">
            <v>0</v>
          </cell>
          <cell r="W348">
            <v>0</v>
          </cell>
          <cell r="X348"/>
          <cell r="Y348"/>
          <cell r="Z348"/>
          <cell r="AA348"/>
          <cell r="AB348">
            <v>1693.8969600000003</v>
          </cell>
          <cell r="AC348"/>
          <cell r="AD348"/>
          <cell r="AE348"/>
          <cell r="AF348">
            <v>1693.8969600000003</v>
          </cell>
          <cell r="AG348">
            <v>0</v>
          </cell>
          <cell r="AH348">
            <v>1693.8969600000003</v>
          </cell>
          <cell r="AI348">
            <v>814.80827850000003</v>
          </cell>
          <cell r="AJ348">
            <v>811.39559959999997</v>
          </cell>
          <cell r="AK348">
            <v>908.04729909999992</v>
          </cell>
          <cell r="AL348">
            <v>1037.7202139999999</v>
          </cell>
          <cell r="AM348">
            <v>567.2159719</v>
          </cell>
          <cell r="AN348">
            <v>1926.2309639999999</v>
          </cell>
          <cell r="AO348">
            <v>805.96192480000002</v>
          </cell>
          <cell r="AP348">
            <v>882.18376239999998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1662.78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1662.78</v>
          </cell>
          <cell r="BH348">
            <v>3356.6769600000002</v>
          </cell>
          <cell r="BI348">
            <v>4503.0962946398622</v>
          </cell>
          <cell r="BJ348">
            <v>0.7454153187875483</v>
          </cell>
          <cell r="BK348">
            <v>0.37616272208442098</v>
          </cell>
          <cell r="BL348">
            <v>0.36925259670312732</v>
          </cell>
        </row>
        <row r="349">
          <cell r="A349" t="str">
            <v>KHAMBARKHERA TPS2</v>
          </cell>
          <cell r="B349" t="str">
            <v>KHAMBARKHERA TPS</v>
          </cell>
          <cell r="C349">
            <v>45</v>
          </cell>
          <cell r="D349" t="str">
            <v>RAIL</v>
          </cell>
          <cell r="E349" t="str">
            <v/>
          </cell>
          <cell r="F349">
            <v>27.997073400000001</v>
          </cell>
          <cell r="G349">
            <v>80.818313700000004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4503.0962946398622</v>
          </cell>
          <cell r="U349">
            <v>0</v>
          </cell>
          <cell r="V349">
            <v>0</v>
          </cell>
          <cell r="W349">
            <v>0</v>
          </cell>
          <cell r="X349"/>
          <cell r="Y349"/>
          <cell r="Z349"/>
          <cell r="AA349"/>
          <cell r="AB349">
            <v>1693.8969600000003</v>
          </cell>
          <cell r="AC349"/>
          <cell r="AD349"/>
          <cell r="AE349"/>
          <cell r="AF349">
            <v>1693.8969600000003</v>
          </cell>
          <cell r="AG349">
            <v>0</v>
          </cell>
          <cell r="AH349">
            <v>1693.8969600000003</v>
          </cell>
          <cell r="AI349">
            <v>814.80827850000003</v>
          </cell>
          <cell r="AJ349">
            <v>811.39559959999997</v>
          </cell>
          <cell r="AK349">
            <v>908.04729909999992</v>
          </cell>
          <cell r="AL349">
            <v>1037.7202139999999</v>
          </cell>
          <cell r="AM349">
            <v>567.2159719</v>
          </cell>
          <cell r="AN349">
            <v>1926.2309639999999</v>
          </cell>
          <cell r="AO349">
            <v>805.96192480000002</v>
          </cell>
          <cell r="AP349">
            <v>882.18376239999998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1662.78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1662.78</v>
          </cell>
          <cell r="BH349">
            <v>3356.6769600000002</v>
          </cell>
          <cell r="BI349">
            <v>4503.0962946398622</v>
          </cell>
          <cell r="BJ349">
            <v>0.7454153187875483</v>
          </cell>
          <cell r="BK349">
            <v>0.37616272208442098</v>
          </cell>
          <cell r="BL349">
            <v>0.36925259670312732</v>
          </cell>
        </row>
        <row r="350">
          <cell r="A350" t="str">
            <v>KHAPARKHEDA TPS1</v>
          </cell>
          <cell r="B350" t="str">
            <v>KHAPARKHEDA TPS</v>
          </cell>
          <cell r="C350">
            <v>210</v>
          </cell>
          <cell r="D350" t="str">
            <v>RAIL</v>
          </cell>
          <cell r="E350">
            <v>0.88448509485094851</v>
          </cell>
          <cell r="F350">
            <v>21.2819</v>
          </cell>
          <cell r="G350">
            <v>79.114999999999995</v>
          </cell>
          <cell r="H350">
            <v>0</v>
          </cell>
          <cell r="I350">
            <v>0</v>
          </cell>
          <cell r="J350">
            <v>0</v>
          </cell>
          <cell r="K350">
            <v>0.30442032129447166</v>
          </cell>
          <cell r="L350">
            <v>0</v>
          </cell>
          <cell r="M350">
            <v>0</v>
          </cell>
          <cell r="N350">
            <v>5.0072063550897071E-2</v>
          </cell>
          <cell r="O350">
            <v>0.6455076151546314</v>
          </cell>
          <cell r="P350" t="e">
            <v>#DIV/0!</v>
          </cell>
          <cell r="Q350" t="e">
            <v>#DIV/0!</v>
          </cell>
          <cell r="R350" t="e">
            <v>#DIV/0!</v>
          </cell>
          <cell r="S350">
            <v>3429.463834178086</v>
          </cell>
          <cell r="T350" t="e">
            <v>#DIV/0!</v>
          </cell>
          <cell r="U350" t="e">
            <v>#DIV/0!</v>
          </cell>
          <cell r="V350">
            <v>3984.9242838900609</v>
          </cell>
          <cell r="W350">
            <v>4049.8485459362923</v>
          </cell>
          <cell r="X350"/>
          <cell r="Y350"/>
          <cell r="Z350"/>
          <cell r="AA350">
            <v>437.26346810677177</v>
          </cell>
          <cell r="AB350"/>
          <cell r="AC350"/>
          <cell r="AD350">
            <v>76.220668538090962</v>
          </cell>
          <cell r="AE350">
            <v>1038.0138137118495</v>
          </cell>
          <cell r="AF350">
            <v>1551.4979503567122</v>
          </cell>
          <cell r="AG350">
            <v>2.4285213526101211E-2</v>
          </cell>
          <cell r="AH350">
            <v>1640.8554433020265</v>
          </cell>
          <cell r="AI350">
            <v>954.71962840000003</v>
          </cell>
          <cell r="AJ350">
            <v>897.87675120000006</v>
          </cell>
          <cell r="AK350">
            <v>1066.2788910000002</v>
          </cell>
          <cell r="AL350">
            <v>661.05130010000005</v>
          </cell>
          <cell r="AM350">
            <v>632.60659640000006</v>
          </cell>
          <cell r="AN350">
            <v>2222.3836110000002</v>
          </cell>
          <cell r="AO350">
            <v>476.1027512</v>
          </cell>
          <cell r="AP350">
            <v>22.028815050000002</v>
          </cell>
          <cell r="AQ350">
            <v>0</v>
          </cell>
          <cell r="AR350">
            <v>0</v>
          </cell>
          <cell r="AS350">
            <v>0</v>
          </cell>
          <cell r="AT350">
            <v>571.65935338667919</v>
          </cell>
          <cell r="AU350">
            <v>0</v>
          </cell>
          <cell r="AV350">
            <v>0</v>
          </cell>
          <cell r="AW350">
            <v>72.325190178313861</v>
          </cell>
          <cell r="AX350">
            <v>250.23748209084442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872.50565282304262</v>
          </cell>
          <cell r="BH350">
            <v>2513.3610961250693</v>
          </cell>
          <cell r="BI350">
            <v>3857.7399408815058</v>
          </cell>
          <cell r="BJ350">
            <v>0.65151128241961231</v>
          </cell>
          <cell r="BK350">
            <v>0.42534112419384235</v>
          </cell>
          <cell r="BL350">
            <v>0.22617015822576997</v>
          </cell>
        </row>
        <row r="351">
          <cell r="A351" t="str">
            <v>KHAPARKHEDA TPS2</v>
          </cell>
          <cell r="B351" t="str">
            <v>KHAPARKHEDA TPS</v>
          </cell>
          <cell r="C351">
            <v>210</v>
          </cell>
          <cell r="D351" t="str">
            <v>RAIL</v>
          </cell>
          <cell r="E351">
            <v>0.88448509485094851</v>
          </cell>
          <cell r="F351">
            <v>21.2819</v>
          </cell>
          <cell r="G351">
            <v>79.114999999999995</v>
          </cell>
          <cell r="H351">
            <v>0</v>
          </cell>
          <cell r="I351">
            <v>0</v>
          </cell>
          <cell r="J351">
            <v>0</v>
          </cell>
          <cell r="K351">
            <v>0.30442032129447166</v>
          </cell>
          <cell r="L351">
            <v>0</v>
          </cell>
          <cell r="M351">
            <v>0</v>
          </cell>
          <cell r="N351">
            <v>5.0072063550897071E-2</v>
          </cell>
          <cell r="O351">
            <v>0.6455076151546314</v>
          </cell>
          <cell r="P351" t="e">
            <v>#DIV/0!</v>
          </cell>
          <cell r="Q351" t="e">
            <v>#DIV/0!</v>
          </cell>
          <cell r="R351" t="e">
            <v>#DIV/0!</v>
          </cell>
          <cell r="S351">
            <v>3429.463834178086</v>
          </cell>
          <cell r="T351" t="e">
            <v>#DIV/0!</v>
          </cell>
          <cell r="U351" t="e">
            <v>#DIV/0!</v>
          </cell>
          <cell r="V351">
            <v>3984.9242838900609</v>
          </cell>
          <cell r="W351">
            <v>4049.8485459362923</v>
          </cell>
          <cell r="X351"/>
          <cell r="Y351"/>
          <cell r="Z351"/>
          <cell r="AA351">
            <v>437.26346810677177</v>
          </cell>
          <cell r="AB351"/>
          <cell r="AC351"/>
          <cell r="AD351">
            <v>76.220668538090962</v>
          </cell>
          <cell r="AE351">
            <v>1038.0138137118495</v>
          </cell>
          <cell r="AF351">
            <v>1551.4979503567122</v>
          </cell>
          <cell r="AG351">
            <v>2.4285213526101211E-2</v>
          </cell>
          <cell r="AH351">
            <v>1640.8554433020265</v>
          </cell>
          <cell r="AI351">
            <v>954.71962840000003</v>
          </cell>
          <cell r="AJ351">
            <v>897.87675120000006</v>
          </cell>
          <cell r="AK351">
            <v>1066.2788910000002</v>
          </cell>
          <cell r="AL351">
            <v>661.05130010000005</v>
          </cell>
          <cell r="AM351">
            <v>632.60659640000006</v>
          </cell>
          <cell r="AN351">
            <v>2222.3836110000002</v>
          </cell>
          <cell r="AO351">
            <v>476.1027512</v>
          </cell>
          <cell r="AP351">
            <v>22.028815050000002</v>
          </cell>
          <cell r="AQ351">
            <v>0</v>
          </cell>
          <cell r="AR351">
            <v>0</v>
          </cell>
          <cell r="AS351">
            <v>0</v>
          </cell>
          <cell r="AT351">
            <v>571.65935338667919</v>
          </cell>
          <cell r="AU351">
            <v>0</v>
          </cell>
          <cell r="AV351">
            <v>0</v>
          </cell>
          <cell r="AW351">
            <v>72.325190178313861</v>
          </cell>
          <cell r="AX351">
            <v>250.23748209084442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872.50565282304262</v>
          </cell>
          <cell r="BH351">
            <v>2513.3610961250693</v>
          </cell>
          <cell r="BI351">
            <v>3857.7399408815058</v>
          </cell>
          <cell r="BJ351">
            <v>0.65151128241961231</v>
          </cell>
          <cell r="BK351">
            <v>0.42534112419384235</v>
          </cell>
          <cell r="BL351">
            <v>0.22617015822576997</v>
          </cell>
        </row>
        <row r="352">
          <cell r="A352" t="str">
            <v>KHAPARKHEDA TPS3</v>
          </cell>
          <cell r="B352" t="str">
            <v>KHAPARKHEDA TPS</v>
          </cell>
          <cell r="C352">
            <v>210</v>
          </cell>
          <cell r="D352" t="str">
            <v>RAIL</v>
          </cell>
          <cell r="E352">
            <v>0.88448509485094851</v>
          </cell>
          <cell r="F352">
            <v>21.2819</v>
          </cell>
          <cell r="G352">
            <v>79.114999999999995</v>
          </cell>
          <cell r="H352">
            <v>0</v>
          </cell>
          <cell r="I352">
            <v>0</v>
          </cell>
          <cell r="J352">
            <v>0</v>
          </cell>
          <cell r="K352">
            <v>0.30442032129447166</v>
          </cell>
          <cell r="L352">
            <v>0</v>
          </cell>
          <cell r="M352">
            <v>0</v>
          </cell>
          <cell r="N352">
            <v>5.0072063550897071E-2</v>
          </cell>
          <cell r="O352">
            <v>0.6455076151546314</v>
          </cell>
          <cell r="P352" t="e">
            <v>#DIV/0!</v>
          </cell>
          <cell r="Q352" t="e">
            <v>#DIV/0!</v>
          </cell>
          <cell r="R352" t="e">
            <v>#DIV/0!</v>
          </cell>
          <cell r="S352">
            <v>3429.463834178086</v>
          </cell>
          <cell r="T352" t="e">
            <v>#DIV/0!</v>
          </cell>
          <cell r="U352" t="e">
            <v>#DIV/0!</v>
          </cell>
          <cell r="V352">
            <v>3984.9242838900609</v>
          </cell>
          <cell r="W352">
            <v>4049.8485459362923</v>
          </cell>
          <cell r="X352"/>
          <cell r="Y352"/>
          <cell r="Z352"/>
          <cell r="AA352">
            <v>437.26346810677177</v>
          </cell>
          <cell r="AB352"/>
          <cell r="AC352"/>
          <cell r="AD352">
            <v>76.220668538090962</v>
          </cell>
          <cell r="AE352">
            <v>1038.0138137118495</v>
          </cell>
          <cell r="AF352">
            <v>1551.4979503567122</v>
          </cell>
          <cell r="AG352">
            <v>2.4285213526101211E-2</v>
          </cell>
          <cell r="AH352">
            <v>1640.8554433020265</v>
          </cell>
          <cell r="AI352">
            <v>954.71962840000003</v>
          </cell>
          <cell r="AJ352">
            <v>897.87675120000006</v>
          </cell>
          <cell r="AK352">
            <v>1066.2788910000002</v>
          </cell>
          <cell r="AL352">
            <v>661.05130010000005</v>
          </cell>
          <cell r="AM352">
            <v>632.60659640000006</v>
          </cell>
          <cell r="AN352">
            <v>2222.3836110000002</v>
          </cell>
          <cell r="AO352">
            <v>476.1027512</v>
          </cell>
          <cell r="AP352">
            <v>22.028815050000002</v>
          </cell>
          <cell r="AQ352">
            <v>0</v>
          </cell>
          <cell r="AR352">
            <v>0</v>
          </cell>
          <cell r="AS352">
            <v>0</v>
          </cell>
          <cell r="AT352">
            <v>571.65935338667919</v>
          </cell>
          <cell r="AU352">
            <v>0</v>
          </cell>
          <cell r="AV352">
            <v>0</v>
          </cell>
          <cell r="AW352">
            <v>72.325190178313861</v>
          </cell>
          <cell r="AX352">
            <v>250.23748209084442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872.50565282304262</v>
          </cell>
          <cell r="BH352">
            <v>2513.3610961250693</v>
          </cell>
          <cell r="BI352">
            <v>3857.7399408815058</v>
          </cell>
          <cell r="BJ352">
            <v>0.65151128241961231</v>
          </cell>
          <cell r="BK352">
            <v>0.42534112419384235</v>
          </cell>
          <cell r="BL352">
            <v>0.22617015822576997</v>
          </cell>
        </row>
        <row r="353">
          <cell r="A353" t="str">
            <v>KHAPARKHEDA TPS4</v>
          </cell>
          <cell r="B353" t="str">
            <v>KHAPARKHEDA TPS</v>
          </cell>
          <cell r="C353">
            <v>210</v>
          </cell>
          <cell r="D353" t="str">
            <v>RAIL</v>
          </cell>
          <cell r="E353">
            <v>0.88448509485094851</v>
          </cell>
          <cell r="F353">
            <v>21.2819</v>
          </cell>
          <cell r="G353">
            <v>79.114999999999995</v>
          </cell>
          <cell r="H353">
            <v>0</v>
          </cell>
          <cell r="I353">
            <v>0</v>
          </cell>
          <cell r="J353">
            <v>0</v>
          </cell>
          <cell r="K353">
            <v>0.30442032129447166</v>
          </cell>
          <cell r="L353">
            <v>0</v>
          </cell>
          <cell r="M353">
            <v>0</v>
          </cell>
          <cell r="N353">
            <v>5.0072063550897071E-2</v>
          </cell>
          <cell r="O353">
            <v>0.6455076151546314</v>
          </cell>
          <cell r="P353" t="e">
            <v>#DIV/0!</v>
          </cell>
          <cell r="Q353" t="e">
            <v>#DIV/0!</v>
          </cell>
          <cell r="R353" t="e">
            <v>#DIV/0!</v>
          </cell>
          <cell r="S353">
            <v>3429.463834178086</v>
          </cell>
          <cell r="T353" t="e">
            <v>#DIV/0!</v>
          </cell>
          <cell r="U353" t="e">
            <v>#DIV/0!</v>
          </cell>
          <cell r="V353">
            <v>3984.9242838900609</v>
          </cell>
          <cell r="W353">
            <v>4049.8485459362923</v>
          </cell>
          <cell r="X353"/>
          <cell r="Y353"/>
          <cell r="Z353"/>
          <cell r="AA353">
            <v>437.26346810677177</v>
          </cell>
          <cell r="AB353"/>
          <cell r="AC353"/>
          <cell r="AD353">
            <v>76.220668538090962</v>
          </cell>
          <cell r="AE353">
            <v>1038.0138137118495</v>
          </cell>
          <cell r="AF353">
            <v>1551.4979503567122</v>
          </cell>
          <cell r="AG353">
            <v>2.4285213526101211E-2</v>
          </cell>
          <cell r="AH353">
            <v>1640.8554433020265</v>
          </cell>
          <cell r="AI353">
            <v>954.71962840000003</v>
          </cell>
          <cell r="AJ353">
            <v>897.87675120000006</v>
          </cell>
          <cell r="AK353">
            <v>1066.2788910000002</v>
          </cell>
          <cell r="AL353">
            <v>661.05130010000005</v>
          </cell>
          <cell r="AM353">
            <v>632.60659640000006</v>
          </cell>
          <cell r="AN353">
            <v>2222.3836110000002</v>
          </cell>
          <cell r="AO353">
            <v>476.1027512</v>
          </cell>
          <cell r="AP353">
            <v>22.028815050000002</v>
          </cell>
          <cell r="AQ353">
            <v>0</v>
          </cell>
          <cell r="AR353">
            <v>0</v>
          </cell>
          <cell r="AS353">
            <v>0</v>
          </cell>
          <cell r="AT353">
            <v>571.65935338667919</v>
          </cell>
          <cell r="AU353">
            <v>0</v>
          </cell>
          <cell r="AV353">
            <v>0</v>
          </cell>
          <cell r="AW353">
            <v>72.325190178313861</v>
          </cell>
          <cell r="AX353">
            <v>250.23748209084442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872.50565282304262</v>
          </cell>
          <cell r="BH353">
            <v>2513.3610961250693</v>
          </cell>
          <cell r="BI353">
            <v>3857.7399408815058</v>
          </cell>
          <cell r="BJ353">
            <v>0.65151128241961231</v>
          </cell>
          <cell r="BK353">
            <v>0.42534112419384235</v>
          </cell>
          <cell r="BL353">
            <v>0.22617015822576997</v>
          </cell>
        </row>
        <row r="354">
          <cell r="A354" t="str">
            <v>KOLAGHAT TPS1</v>
          </cell>
          <cell r="B354" t="str">
            <v>KOLAGHAT TPS</v>
          </cell>
          <cell r="C354">
            <v>210</v>
          </cell>
          <cell r="D354" t="str">
            <v>RAIL</v>
          </cell>
          <cell r="E354">
            <v>0.89778434268833085</v>
          </cell>
          <cell r="F354">
            <v>22.416699999999999</v>
          </cell>
          <cell r="G354">
            <v>87.870800000000003</v>
          </cell>
          <cell r="H354">
            <v>0.27825056047639407</v>
          </cell>
          <cell r="I354">
            <v>0.11088694562141756</v>
          </cell>
          <cell r="J354">
            <v>0.20937365508061953</v>
          </cell>
          <cell r="K354">
            <v>0.40148883882156877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4304.8094130590671</v>
          </cell>
          <cell r="Q354">
            <v>4275.1194233814876</v>
          </cell>
          <cell r="R354">
            <v>5848.0493643750506</v>
          </cell>
          <cell r="S354">
            <v>3345.8797062812851</v>
          </cell>
          <cell r="T354" t="e">
            <v>#DIV/0!</v>
          </cell>
          <cell r="U354" t="e">
            <v>#DIV/0!</v>
          </cell>
          <cell r="V354" t="e">
            <v>#DIV/0!</v>
          </cell>
          <cell r="W354" t="e">
            <v>#DIV/0!</v>
          </cell>
          <cell r="X354">
            <v>471.32777850926016</v>
          </cell>
          <cell r="Y354">
            <v>178.31266217947461</v>
          </cell>
          <cell r="Z354">
            <v>800.84114064245421</v>
          </cell>
          <cell r="AA354">
            <v>542.22750724065202</v>
          </cell>
          <cell r="AB354"/>
          <cell r="AC354"/>
          <cell r="AD354"/>
          <cell r="AE354"/>
          <cell r="AF354">
            <v>1992.7090885718408</v>
          </cell>
          <cell r="AG354">
            <v>1.3520920441206432E-3</v>
          </cell>
          <cell r="AH354">
            <v>1997.0875559497308</v>
          </cell>
          <cell r="AI354">
            <v>257.31243820000003</v>
          </cell>
          <cell r="AJ354">
            <v>331.48912540000003</v>
          </cell>
          <cell r="AK354">
            <v>295.79006650000002</v>
          </cell>
          <cell r="AL354">
            <v>401.09274019999992</v>
          </cell>
          <cell r="AM354">
            <v>642.50101050000001</v>
          </cell>
          <cell r="AN354">
            <v>1482.1851780000002</v>
          </cell>
          <cell r="AO354">
            <v>639.49393480000003</v>
          </cell>
          <cell r="AP354">
            <v>994.75019369999984</v>
          </cell>
          <cell r="AQ354">
            <v>267.91355215469605</v>
          </cell>
          <cell r="AR354">
            <v>124.19027426151027</v>
          </cell>
          <cell r="AS354">
            <v>234.49263122795162</v>
          </cell>
          <cell r="AT354">
            <v>514.81307846734478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1139.866245358643</v>
          </cell>
          <cell r="BH354">
            <v>3136.9538013083738</v>
          </cell>
          <cell r="BI354">
            <v>4239.6313955759369</v>
          </cell>
          <cell r="BJ354">
            <v>0.73991191889506969</v>
          </cell>
          <cell r="BK354">
            <v>0.47105216694868696</v>
          </cell>
          <cell r="BL354">
            <v>0.26885975194638279</v>
          </cell>
        </row>
        <row r="355">
          <cell r="A355" t="str">
            <v>KOLAGHAT TPS2</v>
          </cell>
          <cell r="B355" t="str">
            <v>KOLAGHAT TPS</v>
          </cell>
          <cell r="C355">
            <v>210</v>
          </cell>
          <cell r="D355" t="str">
            <v>RAIL</v>
          </cell>
          <cell r="E355">
            <v>0.89778434268833085</v>
          </cell>
          <cell r="F355">
            <v>22.416699999999999</v>
          </cell>
          <cell r="G355">
            <v>87.870800000000003</v>
          </cell>
          <cell r="H355">
            <v>0.27825056047639407</v>
          </cell>
          <cell r="I355">
            <v>0.11088694562141756</v>
          </cell>
          <cell r="J355">
            <v>0.20937365508061953</v>
          </cell>
          <cell r="K355">
            <v>0.40148883882156877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4304.8094130590671</v>
          </cell>
          <cell r="Q355">
            <v>4275.1194233814876</v>
          </cell>
          <cell r="R355">
            <v>5848.0493643750506</v>
          </cell>
          <cell r="S355">
            <v>3345.8797062812851</v>
          </cell>
          <cell r="T355" t="e">
            <v>#DIV/0!</v>
          </cell>
          <cell r="U355" t="e">
            <v>#DIV/0!</v>
          </cell>
          <cell r="V355" t="e">
            <v>#DIV/0!</v>
          </cell>
          <cell r="W355" t="e">
            <v>#DIV/0!</v>
          </cell>
          <cell r="X355">
            <v>471.32777850926016</v>
          </cell>
          <cell r="Y355">
            <v>178.31266217947461</v>
          </cell>
          <cell r="Z355">
            <v>800.84114064245421</v>
          </cell>
          <cell r="AA355">
            <v>542.22750724065202</v>
          </cell>
          <cell r="AB355"/>
          <cell r="AC355"/>
          <cell r="AD355"/>
          <cell r="AE355"/>
          <cell r="AF355">
            <v>1992.7090885718408</v>
          </cell>
          <cell r="AG355">
            <v>1.3520920441206432E-3</v>
          </cell>
          <cell r="AH355">
            <v>1997.0875559497308</v>
          </cell>
          <cell r="AI355">
            <v>257.31243820000003</v>
          </cell>
          <cell r="AJ355">
            <v>331.48912540000003</v>
          </cell>
          <cell r="AK355">
            <v>295.79006650000002</v>
          </cell>
          <cell r="AL355">
            <v>401.09274019999992</v>
          </cell>
          <cell r="AM355">
            <v>642.50101050000001</v>
          </cell>
          <cell r="AN355">
            <v>1482.1851780000002</v>
          </cell>
          <cell r="AO355">
            <v>639.49393480000003</v>
          </cell>
          <cell r="AP355">
            <v>994.75019369999984</v>
          </cell>
          <cell r="AQ355">
            <v>267.91355215469605</v>
          </cell>
          <cell r="AR355">
            <v>124.19027426151027</v>
          </cell>
          <cell r="AS355">
            <v>234.49263122795162</v>
          </cell>
          <cell r="AT355">
            <v>514.81307846734478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1139.866245358643</v>
          </cell>
          <cell r="BH355">
            <v>3136.9538013083738</v>
          </cell>
          <cell r="BI355">
            <v>4239.6313955759369</v>
          </cell>
          <cell r="BJ355">
            <v>0.73991191889506969</v>
          </cell>
          <cell r="BK355">
            <v>0.47105216694868696</v>
          </cell>
          <cell r="BL355">
            <v>0.26885975194638279</v>
          </cell>
        </row>
        <row r="356">
          <cell r="A356" t="str">
            <v>KOLAGHAT TPS3</v>
          </cell>
          <cell r="B356" t="str">
            <v>KOLAGHAT TPS</v>
          </cell>
          <cell r="C356">
            <v>210</v>
          </cell>
          <cell r="D356" t="str">
            <v>RAIL</v>
          </cell>
          <cell r="E356">
            <v>0.89778434268833085</v>
          </cell>
          <cell r="F356">
            <v>22.416699999999999</v>
          </cell>
          <cell r="G356">
            <v>87.870800000000003</v>
          </cell>
          <cell r="H356">
            <v>0.27825056047639407</v>
          </cell>
          <cell r="I356">
            <v>0.11088694562141756</v>
          </cell>
          <cell r="J356">
            <v>0.20937365508061953</v>
          </cell>
          <cell r="K356">
            <v>0.40148883882156877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4304.8094130590671</v>
          </cell>
          <cell r="Q356">
            <v>4275.1194233814876</v>
          </cell>
          <cell r="R356">
            <v>5848.0493643750506</v>
          </cell>
          <cell r="S356">
            <v>3345.8797062812851</v>
          </cell>
          <cell r="T356" t="e">
            <v>#DIV/0!</v>
          </cell>
          <cell r="U356" t="e">
            <v>#DIV/0!</v>
          </cell>
          <cell r="V356" t="e">
            <v>#DIV/0!</v>
          </cell>
          <cell r="W356" t="e">
            <v>#DIV/0!</v>
          </cell>
          <cell r="X356">
            <v>471.32777850926016</v>
          </cell>
          <cell r="Y356">
            <v>178.31266217947461</v>
          </cell>
          <cell r="Z356">
            <v>800.84114064245421</v>
          </cell>
          <cell r="AA356">
            <v>542.22750724065202</v>
          </cell>
          <cell r="AB356"/>
          <cell r="AC356"/>
          <cell r="AD356"/>
          <cell r="AE356"/>
          <cell r="AF356">
            <v>1992.7090885718408</v>
          </cell>
          <cell r="AG356">
            <v>1.3520920441206432E-3</v>
          </cell>
          <cell r="AH356">
            <v>1997.0875559497308</v>
          </cell>
          <cell r="AI356">
            <v>257.31243820000003</v>
          </cell>
          <cell r="AJ356">
            <v>331.48912540000003</v>
          </cell>
          <cell r="AK356">
            <v>295.79006650000002</v>
          </cell>
          <cell r="AL356">
            <v>401.09274019999992</v>
          </cell>
          <cell r="AM356">
            <v>642.50101050000001</v>
          </cell>
          <cell r="AN356">
            <v>1482.1851780000002</v>
          </cell>
          <cell r="AO356">
            <v>639.49393480000003</v>
          </cell>
          <cell r="AP356">
            <v>994.75019369999984</v>
          </cell>
          <cell r="AQ356">
            <v>267.91355215469605</v>
          </cell>
          <cell r="AR356">
            <v>124.19027426151027</v>
          </cell>
          <cell r="AS356">
            <v>234.49263122795162</v>
          </cell>
          <cell r="AT356">
            <v>514.81307846734478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1139.866245358643</v>
          </cell>
          <cell r="BH356">
            <v>3136.9538013083738</v>
          </cell>
          <cell r="BI356">
            <v>4239.6313955759369</v>
          </cell>
          <cell r="BJ356">
            <v>0.73991191889506969</v>
          </cell>
          <cell r="BK356">
            <v>0.47105216694868696</v>
          </cell>
          <cell r="BL356">
            <v>0.26885975194638279</v>
          </cell>
        </row>
        <row r="357">
          <cell r="A357" t="str">
            <v>KOLAGHAT TPS4</v>
          </cell>
          <cell r="B357" t="str">
            <v>KOLAGHAT TPS</v>
          </cell>
          <cell r="C357">
            <v>210</v>
          </cell>
          <cell r="D357" t="str">
            <v>RAIL</v>
          </cell>
          <cell r="E357">
            <v>0.89778434268833085</v>
          </cell>
          <cell r="F357">
            <v>22.416699999999999</v>
          </cell>
          <cell r="G357">
            <v>87.870800000000003</v>
          </cell>
          <cell r="H357">
            <v>0.27825056047639407</v>
          </cell>
          <cell r="I357">
            <v>0.11088694562141756</v>
          </cell>
          <cell r="J357">
            <v>0.20937365508061953</v>
          </cell>
          <cell r="K357">
            <v>0.40148883882156877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4304.8094130590671</v>
          </cell>
          <cell r="Q357">
            <v>4275.1194233814876</v>
          </cell>
          <cell r="R357">
            <v>5848.0493643750506</v>
          </cell>
          <cell r="S357">
            <v>3345.8797062812851</v>
          </cell>
          <cell r="T357" t="e">
            <v>#DIV/0!</v>
          </cell>
          <cell r="U357" t="e">
            <v>#DIV/0!</v>
          </cell>
          <cell r="V357" t="e">
            <v>#DIV/0!</v>
          </cell>
          <cell r="W357" t="e">
            <v>#DIV/0!</v>
          </cell>
          <cell r="X357">
            <v>471.32777850926016</v>
          </cell>
          <cell r="Y357">
            <v>178.31266217947461</v>
          </cell>
          <cell r="Z357">
            <v>800.84114064245421</v>
          </cell>
          <cell r="AA357">
            <v>542.22750724065202</v>
          </cell>
          <cell r="AB357"/>
          <cell r="AC357"/>
          <cell r="AD357"/>
          <cell r="AE357"/>
          <cell r="AF357">
            <v>1992.7090885718408</v>
          </cell>
          <cell r="AG357">
            <v>1.3520920441206432E-3</v>
          </cell>
          <cell r="AH357">
            <v>1997.0875559497308</v>
          </cell>
          <cell r="AI357">
            <v>257.31243820000003</v>
          </cell>
          <cell r="AJ357">
            <v>331.48912540000003</v>
          </cell>
          <cell r="AK357">
            <v>295.79006650000002</v>
          </cell>
          <cell r="AL357">
            <v>401.09274019999992</v>
          </cell>
          <cell r="AM357">
            <v>642.50101050000001</v>
          </cell>
          <cell r="AN357">
            <v>1482.1851780000002</v>
          </cell>
          <cell r="AO357">
            <v>639.49393480000003</v>
          </cell>
          <cell r="AP357">
            <v>994.75019369999984</v>
          </cell>
          <cell r="AQ357">
            <v>267.91355215469605</v>
          </cell>
          <cell r="AR357">
            <v>124.19027426151027</v>
          </cell>
          <cell r="AS357">
            <v>234.49263122795162</v>
          </cell>
          <cell r="AT357">
            <v>514.81307846734478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1139.866245358643</v>
          </cell>
          <cell r="BH357">
            <v>3136.9538013083738</v>
          </cell>
          <cell r="BI357">
            <v>4239.6313955759369</v>
          </cell>
          <cell r="BJ357">
            <v>0.73991191889506969</v>
          </cell>
          <cell r="BK357">
            <v>0.47105216694868696</v>
          </cell>
          <cell r="BL357">
            <v>0.26885975194638279</v>
          </cell>
        </row>
        <row r="358">
          <cell r="A358" t="str">
            <v>KOLAGHAT TPS5</v>
          </cell>
          <cell r="B358" t="str">
            <v>KOLAGHAT TPS</v>
          </cell>
          <cell r="C358">
            <v>210</v>
          </cell>
          <cell r="D358" t="str">
            <v>RAIL</v>
          </cell>
          <cell r="E358">
            <v>0.89778434268833085</v>
          </cell>
          <cell r="F358">
            <v>22.416699999999999</v>
          </cell>
          <cell r="G358">
            <v>87.870800000000003</v>
          </cell>
          <cell r="H358">
            <v>0.27825056047639407</v>
          </cell>
          <cell r="I358">
            <v>0.11088694562141756</v>
          </cell>
          <cell r="J358">
            <v>0.20937365508061953</v>
          </cell>
          <cell r="K358">
            <v>0.40148883882156877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4304.8094130590671</v>
          </cell>
          <cell r="Q358">
            <v>4275.1194233814876</v>
          </cell>
          <cell r="R358">
            <v>5848.0493643750506</v>
          </cell>
          <cell r="S358">
            <v>3345.8797062812851</v>
          </cell>
          <cell r="T358" t="e">
            <v>#DIV/0!</v>
          </cell>
          <cell r="U358" t="e">
            <v>#DIV/0!</v>
          </cell>
          <cell r="V358" t="e">
            <v>#DIV/0!</v>
          </cell>
          <cell r="W358" t="e">
            <v>#DIV/0!</v>
          </cell>
          <cell r="X358">
            <v>471.32777850926016</v>
          </cell>
          <cell r="Y358">
            <v>178.31266217947461</v>
          </cell>
          <cell r="Z358">
            <v>800.84114064245421</v>
          </cell>
          <cell r="AA358">
            <v>542.22750724065202</v>
          </cell>
          <cell r="AB358"/>
          <cell r="AC358"/>
          <cell r="AD358"/>
          <cell r="AE358"/>
          <cell r="AF358">
            <v>1992.7090885718408</v>
          </cell>
          <cell r="AG358">
            <v>1.3520920441206432E-3</v>
          </cell>
          <cell r="AH358">
            <v>1997.0875559497308</v>
          </cell>
          <cell r="AI358">
            <v>257.31243820000003</v>
          </cell>
          <cell r="AJ358">
            <v>331.48912540000003</v>
          </cell>
          <cell r="AK358">
            <v>295.79006650000002</v>
          </cell>
          <cell r="AL358">
            <v>401.09274019999992</v>
          </cell>
          <cell r="AM358">
            <v>642.50101050000001</v>
          </cell>
          <cell r="AN358">
            <v>1482.1851780000002</v>
          </cell>
          <cell r="AO358">
            <v>639.49393480000003</v>
          </cell>
          <cell r="AP358">
            <v>994.75019369999984</v>
          </cell>
          <cell r="AQ358">
            <v>267.91355215469605</v>
          </cell>
          <cell r="AR358">
            <v>124.19027426151027</v>
          </cell>
          <cell r="AS358">
            <v>234.49263122795162</v>
          </cell>
          <cell r="AT358">
            <v>514.81307846734478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1139.866245358643</v>
          </cell>
          <cell r="BH358">
            <v>3136.9538013083738</v>
          </cell>
          <cell r="BI358">
            <v>4239.6313955759369</v>
          </cell>
          <cell r="BJ358">
            <v>0.73991191889506969</v>
          </cell>
          <cell r="BK358">
            <v>0.47105216694868696</v>
          </cell>
          <cell r="BL358">
            <v>0.26885975194638279</v>
          </cell>
        </row>
        <row r="359">
          <cell r="A359" t="str">
            <v>KOLAGHAT TPS6</v>
          </cell>
          <cell r="B359" t="str">
            <v>KOLAGHAT TPS</v>
          </cell>
          <cell r="C359">
            <v>210</v>
          </cell>
          <cell r="D359" t="str">
            <v>RAIL</v>
          </cell>
          <cell r="E359">
            <v>0.89778434268833085</v>
          </cell>
          <cell r="F359">
            <v>22.416699999999999</v>
          </cell>
          <cell r="G359">
            <v>87.870800000000003</v>
          </cell>
          <cell r="H359">
            <v>0.27825056047639407</v>
          </cell>
          <cell r="I359">
            <v>0.11088694562141756</v>
          </cell>
          <cell r="J359">
            <v>0.20937365508061953</v>
          </cell>
          <cell r="K359">
            <v>0.40148883882156877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4304.8094130590671</v>
          </cell>
          <cell r="Q359">
            <v>4275.1194233814876</v>
          </cell>
          <cell r="R359">
            <v>5848.0493643750506</v>
          </cell>
          <cell r="S359">
            <v>3345.8797062812851</v>
          </cell>
          <cell r="T359" t="e">
            <v>#DIV/0!</v>
          </cell>
          <cell r="U359" t="e">
            <v>#DIV/0!</v>
          </cell>
          <cell r="V359" t="e">
            <v>#DIV/0!</v>
          </cell>
          <cell r="W359" t="e">
            <v>#DIV/0!</v>
          </cell>
          <cell r="X359">
            <v>471.32777850926016</v>
          </cell>
          <cell r="Y359">
            <v>178.31266217947461</v>
          </cell>
          <cell r="Z359">
            <v>800.84114064245421</v>
          </cell>
          <cell r="AA359">
            <v>542.22750724065202</v>
          </cell>
          <cell r="AB359"/>
          <cell r="AC359"/>
          <cell r="AD359"/>
          <cell r="AE359"/>
          <cell r="AF359">
            <v>1992.7090885718408</v>
          </cell>
          <cell r="AG359">
            <v>1.3520920441206432E-3</v>
          </cell>
          <cell r="AH359">
            <v>1997.0875559497308</v>
          </cell>
          <cell r="AI359">
            <v>257.31243820000003</v>
          </cell>
          <cell r="AJ359">
            <v>331.48912540000003</v>
          </cell>
          <cell r="AK359">
            <v>295.79006650000002</v>
          </cell>
          <cell r="AL359">
            <v>401.09274019999992</v>
          </cell>
          <cell r="AM359">
            <v>642.50101050000001</v>
          </cell>
          <cell r="AN359">
            <v>1482.1851780000002</v>
          </cell>
          <cell r="AO359">
            <v>639.49393480000003</v>
          </cell>
          <cell r="AP359">
            <v>994.75019369999984</v>
          </cell>
          <cell r="AQ359">
            <v>267.91355215469605</v>
          </cell>
          <cell r="AR359">
            <v>124.19027426151027</v>
          </cell>
          <cell r="AS359">
            <v>234.49263122795162</v>
          </cell>
          <cell r="AT359">
            <v>514.81307846734478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1139.866245358643</v>
          </cell>
          <cell r="BH359">
            <v>3136.9538013083738</v>
          </cell>
          <cell r="BI359">
            <v>4239.6313955759369</v>
          </cell>
          <cell r="BJ359">
            <v>0.73991191889506969</v>
          </cell>
          <cell r="BK359">
            <v>0.47105216694868696</v>
          </cell>
          <cell r="BL359">
            <v>0.26885975194638279</v>
          </cell>
        </row>
        <row r="360">
          <cell r="A360" t="str">
            <v>KORADI TPS6</v>
          </cell>
          <cell r="B360" t="str">
            <v>KORADI TPS</v>
          </cell>
          <cell r="C360">
            <v>210</v>
          </cell>
          <cell r="D360" t="str">
            <v>RAIL</v>
          </cell>
          <cell r="E360">
            <v>0.82209847596717467</v>
          </cell>
          <cell r="F360">
            <v>21.247800000000002</v>
          </cell>
          <cell r="G360">
            <v>79.098100000000002</v>
          </cell>
          <cell r="H360">
            <v>0</v>
          </cell>
          <cell r="I360">
            <v>0</v>
          </cell>
          <cell r="J360">
            <v>0</v>
          </cell>
          <cell r="K360">
            <v>0.1584515642412013</v>
          </cell>
          <cell r="L360">
            <v>0</v>
          </cell>
          <cell r="M360">
            <v>0</v>
          </cell>
          <cell r="N360">
            <v>0.22940742277694773</v>
          </cell>
          <cell r="O360">
            <v>0.61214101298185097</v>
          </cell>
          <cell r="P360" t="e">
            <v>#DIV/0!</v>
          </cell>
          <cell r="Q360" t="e">
            <v>#DIV/0!</v>
          </cell>
          <cell r="R360" t="e">
            <v>#DIV/0!</v>
          </cell>
          <cell r="S360">
            <v>3453.3050039655473</v>
          </cell>
          <cell r="T360" t="e">
            <v>#DIV/0!</v>
          </cell>
          <cell r="U360" t="e">
            <v>#DIV/0!</v>
          </cell>
          <cell r="V360">
            <v>4557.7475218895052</v>
          </cell>
          <cell r="W360">
            <v>4054.4110705340545</v>
          </cell>
          <cell r="X360"/>
          <cell r="Y360"/>
          <cell r="Z360"/>
          <cell r="AA360">
            <v>227.59676559184044</v>
          </cell>
          <cell r="AB360"/>
          <cell r="AC360"/>
          <cell r="AD360">
            <v>388.59253604330655</v>
          </cell>
          <cell r="AE360">
            <v>984.35837548177199</v>
          </cell>
          <cell r="AF360">
            <v>1600.547677116919</v>
          </cell>
          <cell r="AG360">
            <v>7.1458891059498833E-2</v>
          </cell>
          <cell r="AH360">
            <v>1859.9757741545254</v>
          </cell>
          <cell r="AI360">
            <v>955.46189059999995</v>
          </cell>
          <cell r="AJ360">
            <v>898.61901339999997</v>
          </cell>
          <cell r="AK360">
            <v>1067.0211529999999</v>
          </cell>
          <cell r="AL360">
            <v>661.79356229999996</v>
          </cell>
          <cell r="AM360">
            <v>640.44355590000009</v>
          </cell>
          <cell r="AN360">
            <v>2230.22057</v>
          </cell>
          <cell r="AO360">
            <v>476.84501329999995</v>
          </cell>
          <cell r="AP360">
            <v>15.483282509999999</v>
          </cell>
          <cell r="AQ360">
            <v>0</v>
          </cell>
          <cell r="AR360">
            <v>0</v>
          </cell>
          <cell r="AS360">
            <v>0</v>
          </cell>
          <cell r="AT360">
            <v>297.55017132911075</v>
          </cell>
          <cell r="AU360">
            <v>0</v>
          </cell>
          <cell r="AV360">
            <v>0</v>
          </cell>
          <cell r="AW360">
            <v>331.36112842232444</v>
          </cell>
          <cell r="AX360">
            <v>237.30258509254438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804.31520121268841</v>
          </cell>
          <cell r="BH360">
            <v>2664.2909753672138</v>
          </cell>
          <cell r="BI360">
            <v>4074.6339921065437</v>
          </cell>
          <cell r="BJ360">
            <v>0.653872465730303</v>
          </cell>
          <cell r="BK360">
            <v>0.45647677257827446</v>
          </cell>
          <cell r="BL360">
            <v>0.19739569315202854</v>
          </cell>
        </row>
        <row r="361">
          <cell r="A361" t="str">
            <v>KORADI TPS7</v>
          </cell>
          <cell r="B361" t="str">
            <v>KORADI TPS</v>
          </cell>
          <cell r="C361">
            <v>210</v>
          </cell>
          <cell r="D361" t="str">
            <v>RAIL</v>
          </cell>
          <cell r="E361">
            <v>0.82209847596717467</v>
          </cell>
          <cell r="F361">
            <v>21.247800000000002</v>
          </cell>
          <cell r="G361">
            <v>79.098100000000002</v>
          </cell>
          <cell r="H361">
            <v>0</v>
          </cell>
          <cell r="I361">
            <v>0</v>
          </cell>
          <cell r="J361">
            <v>0</v>
          </cell>
          <cell r="K361">
            <v>0.1584515642412013</v>
          </cell>
          <cell r="L361">
            <v>0</v>
          </cell>
          <cell r="M361">
            <v>0</v>
          </cell>
          <cell r="N361">
            <v>0.22940742277694773</v>
          </cell>
          <cell r="O361">
            <v>0.61214101298185097</v>
          </cell>
          <cell r="P361" t="e">
            <v>#DIV/0!</v>
          </cell>
          <cell r="Q361" t="e">
            <v>#DIV/0!</v>
          </cell>
          <cell r="R361" t="e">
            <v>#DIV/0!</v>
          </cell>
          <cell r="S361">
            <v>3453.3050039655473</v>
          </cell>
          <cell r="T361" t="e">
            <v>#DIV/0!</v>
          </cell>
          <cell r="U361" t="e">
            <v>#DIV/0!</v>
          </cell>
          <cell r="V361">
            <v>4557.7475218895052</v>
          </cell>
          <cell r="W361">
            <v>4054.4110705340545</v>
          </cell>
          <cell r="X361"/>
          <cell r="Y361"/>
          <cell r="Z361"/>
          <cell r="AA361">
            <v>227.59676559184044</v>
          </cell>
          <cell r="AB361"/>
          <cell r="AC361"/>
          <cell r="AD361">
            <v>388.59253604330655</v>
          </cell>
          <cell r="AE361">
            <v>984.35837548177199</v>
          </cell>
          <cell r="AF361">
            <v>1600.547677116919</v>
          </cell>
          <cell r="AG361">
            <v>7.1458891059498833E-2</v>
          </cell>
          <cell r="AH361">
            <v>1859.9757741545254</v>
          </cell>
          <cell r="AI361">
            <v>955.46189059999995</v>
          </cell>
          <cell r="AJ361">
            <v>898.61901339999997</v>
          </cell>
          <cell r="AK361">
            <v>1067.0211529999999</v>
          </cell>
          <cell r="AL361">
            <v>661.79356229999996</v>
          </cell>
          <cell r="AM361">
            <v>640.44355590000009</v>
          </cell>
          <cell r="AN361">
            <v>2230.22057</v>
          </cell>
          <cell r="AO361">
            <v>476.84501329999995</v>
          </cell>
          <cell r="AP361">
            <v>15.483282509999999</v>
          </cell>
          <cell r="AQ361">
            <v>0</v>
          </cell>
          <cell r="AR361">
            <v>0</v>
          </cell>
          <cell r="AS361">
            <v>0</v>
          </cell>
          <cell r="AT361">
            <v>297.55017132911075</v>
          </cell>
          <cell r="AU361">
            <v>0</v>
          </cell>
          <cell r="AV361">
            <v>0</v>
          </cell>
          <cell r="AW361">
            <v>331.36112842232444</v>
          </cell>
          <cell r="AX361">
            <v>237.30258509254438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804.31520121268841</v>
          </cell>
          <cell r="BH361">
            <v>2664.2909753672138</v>
          </cell>
          <cell r="BI361">
            <v>4074.6339921065437</v>
          </cell>
          <cell r="BJ361">
            <v>0.653872465730303</v>
          </cell>
          <cell r="BK361">
            <v>0.45647677257827446</v>
          </cell>
          <cell r="BL361">
            <v>0.19739569315202854</v>
          </cell>
        </row>
        <row r="362">
          <cell r="A362" t="str">
            <v>KORBA STPS1</v>
          </cell>
          <cell r="B362" t="str">
            <v>KORBA STPS</v>
          </cell>
          <cell r="C362">
            <v>200</v>
          </cell>
          <cell r="D362" t="str">
            <v>PITHEAD</v>
          </cell>
          <cell r="E362">
            <v>0.27277108433734942</v>
          </cell>
          <cell r="F362">
            <v>22.386399999999998</v>
          </cell>
          <cell r="G362">
            <v>82.6828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1</v>
          </cell>
          <cell r="O362">
            <v>0</v>
          </cell>
          <cell r="P362" t="e">
            <v>#DIV/0!</v>
          </cell>
          <cell r="Q362" t="e">
            <v>#DIV/0!</v>
          </cell>
          <cell r="R362" t="e">
            <v>#DIV/0!</v>
          </cell>
          <cell r="S362" t="e">
            <v>#DIV/0!</v>
          </cell>
          <cell r="T362" t="e">
            <v>#DIV/0!</v>
          </cell>
          <cell r="U362" t="e">
            <v>#DIV/0!</v>
          </cell>
          <cell r="V362">
            <v>4155.9961352898499</v>
          </cell>
          <cell r="W362" t="e">
            <v>#DIV/0!</v>
          </cell>
          <cell r="X362"/>
          <cell r="Y362"/>
          <cell r="Z362"/>
          <cell r="AA362"/>
          <cell r="AB362"/>
          <cell r="AC362"/>
          <cell r="AD362">
            <v>1608.0582000000002</v>
          </cell>
          <cell r="AE362"/>
          <cell r="AF362">
            <v>1608.0582000000002</v>
          </cell>
          <cell r="AG362">
            <v>0</v>
          </cell>
          <cell r="AH362">
            <v>1608.0582000000002</v>
          </cell>
          <cell r="AI362">
            <v>495.10191369999995</v>
          </cell>
          <cell r="AJ362">
            <v>563.90614130000017</v>
          </cell>
          <cell r="AK362">
            <v>606.6385332000001</v>
          </cell>
          <cell r="AL362">
            <v>347.38862719999997</v>
          </cell>
          <cell r="AM362">
            <v>319.03380940000011</v>
          </cell>
          <cell r="AN362">
            <v>1805.744819</v>
          </cell>
          <cell r="AO362">
            <v>10.53226969</v>
          </cell>
          <cell r="AP362">
            <v>491.35260039999991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26.862433499261858</v>
          </cell>
          <cell r="BF362">
            <v>0</v>
          </cell>
          <cell r="BG362">
            <v>26.862433499261858</v>
          </cell>
          <cell r="BH362">
            <v>1634.9206334992621</v>
          </cell>
          <cell r="BI362">
            <v>4155.9961352898499</v>
          </cell>
          <cell r="BJ362">
            <v>0.3933883912010035</v>
          </cell>
          <cell r="BK362">
            <v>0.3869248545121301</v>
          </cell>
          <cell r="BL362">
            <v>6.4635366888733652E-3</v>
          </cell>
        </row>
        <row r="363">
          <cell r="A363" t="str">
            <v>KORBA STPS2</v>
          </cell>
          <cell r="B363" t="str">
            <v>KORBA STPS</v>
          </cell>
          <cell r="C363">
            <v>200</v>
          </cell>
          <cell r="D363" t="str">
            <v>PITHEAD</v>
          </cell>
          <cell r="E363">
            <v>0.27277108433734942</v>
          </cell>
          <cell r="F363">
            <v>22.386399999999998</v>
          </cell>
          <cell r="G363">
            <v>82.6828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1</v>
          </cell>
          <cell r="O363">
            <v>0</v>
          </cell>
          <cell r="P363" t="e">
            <v>#DIV/0!</v>
          </cell>
          <cell r="Q363" t="e">
            <v>#DIV/0!</v>
          </cell>
          <cell r="R363" t="e">
            <v>#DIV/0!</v>
          </cell>
          <cell r="S363" t="e">
            <v>#DIV/0!</v>
          </cell>
          <cell r="T363" t="e">
            <v>#DIV/0!</v>
          </cell>
          <cell r="U363" t="e">
            <v>#DIV/0!</v>
          </cell>
          <cell r="V363">
            <v>4155.9961352898499</v>
          </cell>
          <cell r="W363" t="e">
            <v>#DIV/0!</v>
          </cell>
          <cell r="X363"/>
          <cell r="Y363"/>
          <cell r="Z363"/>
          <cell r="AA363"/>
          <cell r="AB363"/>
          <cell r="AC363"/>
          <cell r="AD363">
            <v>1608.0582000000002</v>
          </cell>
          <cell r="AE363"/>
          <cell r="AF363">
            <v>1608.0582000000002</v>
          </cell>
          <cell r="AG363">
            <v>0</v>
          </cell>
          <cell r="AH363">
            <v>1608.0582000000002</v>
          </cell>
          <cell r="AI363">
            <v>495.10191369999995</v>
          </cell>
          <cell r="AJ363">
            <v>563.90614130000017</v>
          </cell>
          <cell r="AK363">
            <v>606.6385332000001</v>
          </cell>
          <cell r="AL363">
            <v>347.38862719999997</v>
          </cell>
          <cell r="AM363">
            <v>319.03380940000011</v>
          </cell>
          <cell r="AN363">
            <v>1805.744819</v>
          </cell>
          <cell r="AO363">
            <v>10.53226969</v>
          </cell>
          <cell r="AP363">
            <v>491.35260039999991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26.862433499261858</v>
          </cell>
          <cell r="BF363">
            <v>0</v>
          </cell>
          <cell r="BG363">
            <v>26.862433499261858</v>
          </cell>
          <cell r="BH363">
            <v>1634.9206334992621</v>
          </cell>
          <cell r="BI363">
            <v>4155.9961352898499</v>
          </cell>
          <cell r="BJ363">
            <v>0.3933883912010035</v>
          </cell>
          <cell r="BK363">
            <v>0.3869248545121301</v>
          </cell>
          <cell r="BL363">
            <v>6.4635366888733652E-3</v>
          </cell>
        </row>
        <row r="364">
          <cell r="A364" t="str">
            <v>KORBA STPS3</v>
          </cell>
          <cell r="B364" t="str">
            <v>KORBA STPS</v>
          </cell>
          <cell r="C364">
            <v>200</v>
          </cell>
          <cell r="D364" t="str">
            <v>PITHEAD</v>
          </cell>
          <cell r="E364">
            <v>0.27277108433734942</v>
          </cell>
          <cell r="F364">
            <v>22.386399999999998</v>
          </cell>
          <cell r="G364">
            <v>82.6828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1</v>
          </cell>
          <cell r="O364">
            <v>0</v>
          </cell>
          <cell r="P364" t="e">
            <v>#DIV/0!</v>
          </cell>
          <cell r="Q364" t="e">
            <v>#DIV/0!</v>
          </cell>
          <cell r="R364" t="e">
            <v>#DIV/0!</v>
          </cell>
          <cell r="S364" t="e">
            <v>#DIV/0!</v>
          </cell>
          <cell r="T364" t="e">
            <v>#DIV/0!</v>
          </cell>
          <cell r="U364" t="e">
            <v>#DIV/0!</v>
          </cell>
          <cell r="V364">
            <v>4155.9961352898499</v>
          </cell>
          <cell r="W364" t="e">
            <v>#DIV/0!</v>
          </cell>
          <cell r="X364"/>
          <cell r="Y364"/>
          <cell r="Z364"/>
          <cell r="AA364"/>
          <cell r="AB364"/>
          <cell r="AC364"/>
          <cell r="AD364">
            <v>1608.0582000000002</v>
          </cell>
          <cell r="AE364"/>
          <cell r="AF364">
            <v>1608.0582000000002</v>
          </cell>
          <cell r="AG364">
            <v>0</v>
          </cell>
          <cell r="AH364">
            <v>1608.0582000000002</v>
          </cell>
          <cell r="AI364">
            <v>495.10191369999995</v>
          </cell>
          <cell r="AJ364">
            <v>563.90614130000017</v>
          </cell>
          <cell r="AK364">
            <v>606.6385332000001</v>
          </cell>
          <cell r="AL364">
            <v>347.38862719999997</v>
          </cell>
          <cell r="AM364">
            <v>319.03380940000011</v>
          </cell>
          <cell r="AN364">
            <v>1805.744819</v>
          </cell>
          <cell r="AO364">
            <v>10.53226969</v>
          </cell>
          <cell r="AP364">
            <v>491.35260039999991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26.862433499261858</v>
          </cell>
          <cell r="BF364">
            <v>0</v>
          </cell>
          <cell r="BG364">
            <v>26.862433499261858</v>
          </cell>
          <cell r="BH364">
            <v>1634.9206334992621</v>
          </cell>
          <cell r="BI364">
            <v>4155.9961352898499</v>
          </cell>
          <cell r="BJ364">
            <v>0.3933883912010035</v>
          </cell>
          <cell r="BK364">
            <v>0.3869248545121301</v>
          </cell>
          <cell r="BL364">
            <v>6.4635366888733652E-3</v>
          </cell>
        </row>
        <row r="365">
          <cell r="A365" t="str">
            <v>KORBA-II2</v>
          </cell>
          <cell r="B365" t="str">
            <v>KORBA-II</v>
          </cell>
          <cell r="C365">
            <v>50</v>
          </cell>
          <cell r="D365" t="str">
            <v>PITHEAD</v>
          </cell>
          <cell r="E365" t="str">
            <v/>
          </cell>
          <cell r="F365">
            <v>22.37</v>
          </cell>
          <cell r="G365">
            <v>82.721100000000007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1</v>
          </cell>
          <cell r="O365">
            <v>0</v>
          </cell>
          <cell r="P365" t="e">
            <v>#DIV/0!</v>
          </cell>
          <cell r="Q365" t="e">
            <v>#DIV/0!</v>
          </cell>
          <cell r="R365" t="e">
            <v>#DIV/0!</v>
          </cell>
          <cell r="S365" t="e">
            <v>#DIV/0!</v>
          </cell>
          <cell r="T365" t="e">
            <v>#DIV/0!</v>
          </cell>
          <cell r="U365" t="e">
            <v>#DIV/0!</v>
          </cell>
          <cell r="V365">
            <v>3547.3256431276363</v>
          </cell>
          <cell r="W365" t="e">
            <v>#DIV/0!</v>
          </cell>
          <cell r="X365"/>
          <cell r="Y365"/>
          <cell r="Z365"/>
          <cell r="AA365"/>
          <cell r="AB365"/>
          <cell r="AC365"/>
          <cell r="AD365">
            <v>1436.3806800000002</v>
          </cell>
          <cell r="AE365"/>
          <cell r="AF365">
            <v>1436.3806800000002</v>
          </cell>
          <cell r="AG365">
            <v>0</v>
          </cell>
          <cell r="AH365">
            <v>1436.3806800000002</v>
          </cell>
          <cell r="AI365">
            <v>494.21923220000002</v>
          </cell>
          <cell r="AJ365">
            <v>563.02345979999996</v>
          </cell>
          <cell r="AK365">
            <v>605.75585169999999</v>
          </cell>
          <cell r="AL365">
            <v>346.50594569999998</v>
          </cell>
          <cell r="AM365">
            <v>323.65259000000003</v>
          </cell>
          <cell r="AN365">
            <v>1813.5268270000004</v>
          </cell>
          <cell r="AO365">
            <v>9.649588176</v>
          </cell>
          <cell r="AP365">
            <v>491.33575450000001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24.611164383606241</v>
          </cell>
          <cell r="BF365">
            <v>0</v>
          </cell>
          <cell r="BG365">
            <v>24.611164383606241</v>
          </cell>
          <cell r="BH365">
            <v>1460.9918443836063</v>
          </cell>
          <cell r="BI365">
            <v>3547.3256431276363</v>
          </cell>
          <cell r="BJ365">
            <v>0.41185726695659847</v>
          </cell>
          <cell r="BK365">
            <v>0.40491931796077224</v>
          </cell>
          <cell r="BL365">
            <v>6.9379489958262923E-3</v>
          </cell>
        </row>
        <row r="366">
          <cell r="A366" t="str">
            <v>KORBA-II3</v>
          </cell>
          <cell r="B366" t="str">
            <v>KORBA-II</v>
          </cell>
          <cell r="C366">
            <v>50</v>
          </cell>
          <cell r="D366" t="str">
            <v>PITHEAD</v>
          </cell>
          <cell r="E366" t="str">
            <v/>
          </cell>
          <cell r="F366">
            <v>22.37</v>
          </cell>
          <cell r="G366">
            <v>82.721100000000007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1</v>
          </cell>
          <cell r="O366">
            <v>0</v>
          </cell>
          <cell r="P366" t="e">
            <v>#DIV/0!</v>
          </cell>
          <cell r="Q366" t="e">
            <v>#DIV/0!</v>
          </cell>
          <cell r="R366" t="e">
            <v>#DIV/0!</v>
          </cell>
          <cell r="S366" t="e">
            <v>#DIV/0!</v>
          </cell>
          <cell r="T366" t="e">
            <v>#DIV/0!</v>
          </cell>
          <cell r="U366" t="e">
            <v>#DIV/0!</v>
          </cell>
          <cell r="V366">
            <v>3547.3256431276363</v>
          </cell>
          <cell r="W366" t="e">
            <v>#DIV/0!</v>
          </cell>
          <cell r="X366"/>
          <cell r="Y366"/>
          <cell r="Z366"/>
          <cell r="AA366"/>
          <cell r="AB366"/>
          <cell r="AC366"/>
          <cell r="AD366">
            <v>1436.3806800000002</v>
          </cell>
          <cell r="AE366"/>
          <cell r="AF366">
            <v>1436.3806800000002</v>
          </cell>
          <cell r="AG366">
            <v>0</v>
          </cell>
          <cell r="AH366">
            <v>1436.3806800000002</v>
          </cell>
          <cell r="AI366">
            <v>494.21923220000002</v>
          </cell>
          <cell r="AJ366">
            <v>563.02345979999996</v>
          </cell>
          <cell r="AK366">
            <v>605.75585169999999</v>
          </cell>
          <cell r="AL366">
            <v>346.50594569999998</v>
          </cell>
          <cell r="AM366">
            <v>323.65259000000003</v>
          </cell>
          <cell r="AN366">
            <v>1813.5268270000004</v>
          </cell>
          <cell r="AO366">
            <v>9.649588176</v>
          </cell>
          <cell r="AP366">
            <v>491.33575450000001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24.611164383606241</v>
          </cell>
          <cell r="BF366">
            <v>0</v>
          </cell>
          <cell r="BG366">
            <v>24.611164383606241</v>
          </cell>
          <cell r="BH366">
            <v>1460.9918443836063</v>
          </cell>
          <cell r="BI366">
            <v>3547.3256431276363</v>
          </cell>
          <cell r="BJ366">
            <v>0.41185726695659847</v>
          </cell>
          <cell r="BK366">
            <v>0.40491931796077224</v>
          </cell>
          <cell r="BL366">
            <v>6.9379489958262923E-3</v>
          </cell>
        </row>
        <row r="367">
          <cell r="A367" t="str">
            <v>KORBA-II4</v>
          </cell>
          <cell r="B367" t="str">
            <v>KORBA-II</v>
          </cell>
          <cell r="C367">
            <v>50</v>
          </cell>
          <cell r="D367" t="str">
            <v>PITHEAD</v>
          </cell>
          <cell r="E367" t="str">
            <v/>
          </cell>
          <cell r="F367">
            <v>22.37</v>
          </cell>
          <cell r="G367">
            <v>82.721100000000007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</v>
          </cell>
          <cell r="O367">
            <v>0</v>
          </cell>
          <cell r="P367" t="e">
            <v>#DIV/0!</v>
          </cell>
          <cell r="Q367" t="e">
            <v>#DIV/0!</v>
          </cell>
          <cell r="R367" t="e">
            <v>#DIV/0!</v>
          </cell>
          <cell r="S367" t="e">
            <v>#DIV/0!</v>
          </cell>
          <cell r="T367" t="e">
            <v>#DIV/0!</v>
          </cell>
          <cell r="U367" t="e">
            <v>#DIV/0!</v>
          </cell>
          <cell r="V367">
            <v>3547.3256431276363</v>
          </cell>
          <cell r="W367" t="e">
            <v>#DIV/0!</v>
          </cell>
          <cell r="X367"/>
          <cell r="Y367"/>
          <cell r="Z367"/>
          <cell r="AA367"/>
          <cell r="AB367"/>
          <cell r="AC367"/>
          <cell r="AD367">
            <v>1436.3806800000002</v>
          </cell>
          <cell r="AE367"/>
          <cell r="AF367">
            <v>1436.3806800000002</v>
          </cell>
          <cell r="AG367">
            <v>0</v>
          </cell>
          <cell r="AH367">
            <v>1436.3806800000002</v>
          </cell>
          <cell r="AI367">
            <v>494.21923220000002</v>
          </cell>
          <cell r="AJ367">
            <v>563.02345979999996</v>
          </cell>
          <cell r="AK367">
            <v>605.75585169999999</v>
          </cell>
          <cell r="AL367">
            <v>346.50594569999998</v>
          </cell>
          <cell r="AM367">
            <v>323.65259000000003</v>
          </cell>
          <cell r="AN367">
            <v>1813.5268270000004</v>
          </cell>
          <cell r="AO367">
            <v>9.649588176</v>
          </cell>
          <cell r="AP367">
            <v>491.33575450000001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24.611164383606241</v>
          </cell>
          <cell r="BF367">
            <v>0</v>
          </cell>
          <cell r="BG367">
            <v>24.611164383606241</v>
          </cell>
          <cell r="BH367">
            <v>1460.9918443836063</v>
          </cell>
          <cell r="BI367">
            <v>3547.3256431276363</v>
          </cell>
          <cell r="BJ367">
            <v>0.41185726695659847</v>
          </cell>
          <cell r="BK367">
            <v>0.40491931796077224</v>
          </cell>
          <cell r="BL367">
            <v>6.9379489958262923E-3</v>
          </cell>
        </row>
        <row r="368">
          <cell r="A368" t="str">
            <v>KORBA-III1</v>
          </cell>
          <cell r="B368" t="str">
            <v>KORBA-III</v>
          </cell>
          <cell r="C368">
            <v>120</v>
          </cell>
          <cell r="D368" t="str">
            <v>PITHEAD</v>
          </cell>
          <cell r="E368" t="str">
            <v/>
          </cell>
          <cell r="F368">
            <v>22.37</v>
          </cell>
          <cell r="G368">
            <v>82.721100000000007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</v>
          </cell>
          <cell r="O368">
            <v>0</v>
          </cell>
          <cell r="P368" t="e">
            <v>#DIV/0!</v>
          </cell>
          <cell r="Q368" t="e">
            <v>#DIV/0!</v>
          </cell>
          <cell r="R368" t="e">
            <v>#DIV/0!</v>
          </cell>
          <cell r="S368" t="e">
            <v>#DIV/0!</v>
          </cell>
          <cell r="T368" t="e">
            <v>#DIV/0!</v>
          </cell>
          <cell r="U368" t="e">
            <v>#DIV/0!</v>
          </cell>
          <cell r="V368">
            <v>4166.4599943700105</v>
          </cell>
          <cell r="W368" t="e">
            <v>#DIV/0!</v>
          </cell>
          <cell r="X368"/>
          <cell r="Y368"/>
          <cell r="Z368"/>
          <cell r="AA368"/>
          <cell r="AB368"/>
          <cell r="AC368"/>
          <cell r="AD368">
            <v>1608.0582000000002</v>
          </cell>
          <cell r="AE368"/>
          <cell r="AF368">
            <v>1608.0582000000002</v>
          </cell>
          <cell r="AG368">
            <v>0</v>
          </cell>
          <cell r="AH368">
            <v>1608.0582000000002</v>
          </cell>
          <cell r="AI368">
            <v>494.21923220000002</v>
          </cell>
          <cell r="AJ368">
            <v>563.02345979999996</v>
          </cell>
          <cell r="AK368">
            <v>605.75585169999999</v>
          </cell>
          <cell r="AL368">
            <v>346.50594569999998</v>
          </cell>
          <cell r="AM368">
            <v>323.65259000000003</v>
          </cell>
          <cell r="AN368">
            <v>1813.5268270000001</v>
          </cell>
          <cell r="AO368">
            <v>9.649588176</v>
          </cell>
          <cell r="AP368">
            <v>491.33575450000001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24.611164383606241</v>
          </cell>
          <cell r="BF368">
            <v>0</v>
          </cell>
          <cell r="BG368">
            <v>24.611164383606241</v>
          </cell>
          <cell r="BH368">
            <v>1632.6693643836063</v>
          </cell>
          <cell r="BI368">
            <v>4166.4599943700105</v>
          </cell>
          <cell r="BJ368">
            <v>0.39186008424172425</v>
          </cell>
          <cell r="BK368">
            <v>0.38595311179584402</v>
          </cell>
          <cell r="BL368">
            <v>5.9069724458802996E-3</v>
          </cell>
        </row>
        <row r="369">
          <cell r="A369" t="str">
            <v>KORBA-III2</v>
          </cell>
          <cell r="B369" t="str">
            <v>KORBA-III</v>
          </cell>
          <cell r="C369">
            <v>120</v>
          </cell>
          <cell r="D369" t="str">
            <v>PITHEAD</v>
          </cell>
          <cell r="E369" t="str">
            <v/>
          </cell>
          <cell r="F369">
            <v>22.37</v>
          </cell>
          <cell r="G369">
            <v>82.721100000000007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</v>
          </cell>
          <cell r="O369">
            <v>0</v>
          </cell>
          <cell r="P369" t="e">
            <v>#DIV/0!</v>
          </cell>
          <cell r="Q369" t="e">
            <v>#DIV/0!</v>
          </cell>
          <cell r="R369" t="e">
            <v>#DIV/0!</v>
          </cell>
          <cell r="S369" t="e">
            <v>#DIV/0!</v>
          </cell>
          <cell r="T369" t="e">
            <v>#DIV/0!</v>
          </cell>
          <cell r="U369" t="e">
            <v>#DIV/0!</v>
          </cell>
          <cell r="V369">
            <v>4166.4599943700105</v>
          </cell>
          <cell r="W369" t="e">
            <v>#DIV/0!</v>
          </cell>
          <cell r="X369"/>
          <cell r="Y369"/>
          <cell r="Z369"/>
          <cell r="AA369"/>
          <cell r="AB369"/>
          <cell r="AC369"/>
          <cell r="AD369">
            <v>1608.0582000000002</v>
          </cell>
          <cell r="AE369"/>
          <cell r="AF369">
            <v>1608.0582000000002</v>
          </cell>
          <cell r="AG369">
            <v>0</v>
          </cell>
          <cell r="AH369">
            <v>1608.0582000000002</v>
          </cell>
          <cell r="AI369">
            <v>494.21923220000002</v>
          </cell>
          <cell r="AJ369">
            <v>563.02345979999996</v>
          </cell>
          <cell r="AK369">
            <v>605.75585169999999</v>
          </cell>
          <cell r="AL369">
            <v>346.50594569999998</v>
          </cell>
          <cell r="AM369">
            <v>323.65259000000003</v>
          </cell>
          <cell r="AN369">
            <v>1813.5268270000001</v>
          </cell>
          <cell r="AO369">
            <v>9.649588176</v>
          </cell>
          <cell r="AP369">
            <v>491.33575450000001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24.611164383606241</v>
          </cell>
          <cell r="BF369">
            <v>0</v>
          </cell>
          <cell r="BG369">
            <v>24.611164383606241</v>
          </cell>
          <cell r="BH369">
            <v>1632.6693643836063</v>
          </cell>
          <cell r="BI369">
            <v>4166.4599943700105</v>
          </cell>
          <cell r="BJ369">
            <v>0.39186008424172425</v>
          </cell>
          <cell r="BK369">
            <v>0.38595311179584402</v>
          </cell>
          <cell r="BL369">
            <v>5.9069724458802996E-3</v>
          </cell>
        </row>
        <row r="370">
          <cell r="A370" t="str">
            <v>KORBA-WEST TPS1</v>
          </cell>
          <cell r="B370" t="str">
            <v>KORBA-WEST TPS</v>
          </cell>
          <cell r="C370">
            <v>210</v>
          </cell>
          <cell r="D370" t="str">
            <v>PITHEAD</v>
          </cell>
          <cell r="E370" t="str">
            <v/>
          </cell>
          <cell r="F370">
            <v>22.412500000000001</v>
          </cell>
          <cell r="G370">
            <v>82.688599999999994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</v>
          </cell>
          <cell r="O370">
            <v>0</v>
          </cell>
          <cell r="P370" t="e">
            <v>#DIV/0!</v>
          </cell>
          <cell r="Q370" t="e">
            <v>#DIV/0!</v>
          </cell>
          <cell r="R370" t="e">
            <v>#DIV/0!</v>
          </cell>
          <cell r="S370" t="e">
            <v>#DIV/0!</v>
          </cell>
          <cell r="T370" t="e">
            <v>#DIV/0!</v>
          </cell>
          <cell r="U370" t="e">
            <v>#DIV/0!</v>
          </cell>
          <cell r="V370">
            <v>4151.0935953175876</v>
          </cell>
          <cell r="W370" t="e">
            <v>#DIV/0!</v>
          </cell>
          <cell r="X370"/>
          <cell r="Y370"/>
          <cell r="Z370"/>
          <cell r="AA370"/>
          <cell r="AB370"/>
          <cell r="AC370"/>
          <cell r="AD370">
            <v>1608.0582000000002</v>
          </cell>
          <cell r="AE370"/>
          <cell r="AF370">
            <v>1608.0582000000002</v>
          </cell>
          <cell r="AG370">
            <v>0</v>
          </cell>
          <cell r="AH370">
            <v>1608.0582000000002</v>
          </cell>
          <cell r="AI370">
            <v>497.3291804000001</v>
          </cell>
          <cell r="AJ370">
            <v>566.13340789999995</v>
          </cell>
          <cell r="AK370">
            <v>608.86579989999996</v>
          </cell>
          <cell r="AL370">
            <v>349.61589380000004</v>
          </cell>
          <cell r="AM370">
            <v>316.78310119999998</v>
          </cell>
          <cell r="AN370">
            <v>1803.494111</v>
          </cell>
          <cell r="AO370">
            <v>12.759536350000001</v>
          </cell>
          <cell r="AP370">
            <v>489.10189220000001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32.543051666130424</v>
          </cell>
          <cell r="BF370">
            <v>0</v>
          </cell>
          <cell r="BG370">
            <v>32.543051666130424</v>
          </cell>
          <cell r="BH370">
            <v>1640.6012516661306</v>
          </cell>
          <cell r="BI370">
            <v>4151.0935953175876</v>
          </cell>
          <cell r="BJ370">
            <v>0.39522145526102337</v>
          </cell>
          <cell r="BK370">
            <v>0.38738182194058007</v>
          </cell>
          <cell r="BL370">
            <v>7.839633320443273E-3</v>
          </cell>
        </row>
        <row r="371">
          <cell r="A371" t="str">
            <v>KORBA-WEST TPS2</v>
          </cell>
          <cell r="B371" t="str">
            <v>KORBA-WEST TPS</v>
          </cell>
          <cell r="C371">
            <v>210</v>
          </cell>
          <cell r="D371" t="str">
            <v>PITHEAD</v>
          </cell>
          <cell r="E371" t="str">
            <v/>
          </cell>
          <cell r="F371">
            <v>22.412500000000001</v>
          </cell>
          <cell r="G371">
            <v>82.688599999999994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</v>
          </cell>
          <cell r="O371">
            <v>0</v>
          </cell>
          <cell r="P371" t="e">
            <v>#DIV/0!</v>
          </cell>
          <cell r="Q371" t="e">
            <v>#DIV/0!</v>
          </cell>
          <cell r="R371" t="e">
            <v>#DIV/0!</v>
          </cell>
          <cell r="S371" t="e">
            <v>#DIV/0!</v>
          </cell>
          <cell r="T371" t="e">
            <v>#DIV/0!</v>
          </cell>
          <cell r="U371" t="e">
            <v>#DIV/0!</v>
          </cell>
          <cell r="V371">
            <v>4151.0935953175876</v>
          </cell>
          <cell r="W371" t="e">
            <v>#DIV/0!</v>
          </cell>
          <cell r="X371"/>
          <cell r="Y371"/>
          <cell r="Z371"/>
          <cell r="AA371"/>
          <cell r="AB371"/>
          <cell r="AC371"/>
          <cell r="AD371">
            <v>1608.0582000000002</v>
          </cell>
          <cell r="AE371"/>
          <cell r="AF371">
            <v>1608.0582000000002</v>
          </cell>
          <cell r="AG371">
            <v>0</v>
          </cell>
          <cell r="AH371">
            <v>1608.0582000000002</v>
          </cell>
          <cell r="AI371">
            <v>497.3291804000001</v>
          </cell>
          <cell r="AJ371">
            <v>566.13340789999995</v>
          </cell>
          <cell r="AK371">
            <v>608.86579989999996</v>
          </cell>
          <cell r="AL371">
            <v>349.61589380000004</v>
          </cell>
          <cell r="AM371">
            <v>316.78310119999998</v>
          </cell>
          <cell r="AN371">
            <v>1803.494111</v>
          </cell>
          <cell r="AO371">
            <v>12.759536350000001</v>
          </cell>
          <cell r="AP371">
            <v>489.10189220000001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32.543051666130424</v>
          </cell>
          <cell r="BF371">
            <v>0</v>
          </cell>
          <cell r="BG371">
            <v>32.543051666130424</v>
          </cell>
          <cell r="BH371">
            <v>1640.6012516661306</v>
          </cell>
          <cell r="BI371">
            <v>4151.0935953175876</v>
          </cell>
          <cell r="BJ371">
            <v>0.39522145526102337</v>
          </cell>
          <cell r="BK371">
            <v>0.38738182194058007</v>
          </cell>
          <cell r="BL371">
            <v>7.839633320443273E-3</v>
          </cell>
        </row>
        <row r="372">
          <cell r="A372" t="str">
            <v>KORBA-WEST TPS3</v>
          </cell>
          <cell r="B372" t="str">
            <v>KORBA-WEST TPS</v>
          </cell>
          <cell r="C372">
            <v>210</v>
          </cell>
          <cell r="D372" t="str">
            <v>PITHEAD</v>
          </cell>
          <cell r="E372" t="str">
            <v/>
          </cell>
          <cell r="F372">
            <v>22.412500000000001</v>
          </cell>
          <cell r="G372">
            <v>82.688599999999994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</v>
          </cell>
          <cell r="O372">
            <v>0</v>
          </cell>
          <cell r="P372" t="e">
            <v>#DIV/0!</v>
          </cell>
          <cell r="Q372" t="e">
            <v>#DIV/0!</v>
          </cell>
          <cell r="R372" t="e">
            <v>#DIV/0!</v>
          </cell>
          <cell r="S372" t="e">
            <v>#DIV/0!</v>
          </cell>
          <cell r="T372" t="e">
            <v>#DIV/0!</v>
          </cell>
          <cell r="U372" t="e">
            <v>#DIV/0!</v>
          </cell>
          <cell r="V372">
            <v>4151.0935953175876</v>
          </cell>
          <cell r="W372" t="e">
            <v>#DIV/0!</v>
          </cell>
          <cell r="X372"/>
          <cell r="Y372"/>
          <cell r="Z372"/>
          <cell r="AA372"/>
          <cell r="AB372"/>
          <cell r="AC372"/>
          <cell r="AD372">
            <v>1608.0582000000002</v>
          </cell>
          <cell r="AE372"/>
          <cell r="AF372">
            <v>1608.0582000000002</v>
          </cell>
          <cell r="AG372">
            <v>0</v>
          </cell>
          <cell r="AH372">
            <v>1608.0582000000002</v>
          </cell>
          <cell r="AI372">
            <v>497.3291804000001</v>
          </cell>
          <cell r="AJ372">
            <v>566.13340789999995</v>
          </cell>
          <cell r="AK372">
            <v>608.86579989999996</v>
          </cell>
          <cell r="AL372">
            <v>349.61589380000004</v>
          </cell>
          <cell r="AM372">
            <v>316.78310119999998</v>
          </cell>
          <cell r="AN372">
            <v>1803.494111</v>
          </cell>
          <cell r="AO372">
            <v>12.759536350000001</v>
          </cell>
          <cell r="AP372">
            <v>489.10189220000001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32.543051666130424</v>
          </cell>
          <cell r="BF372">
            <v>0</v>
          </cell>
          <cell r="BG372">
            <v>32.543051666130424</v>
          </cell>
          <cell r="BH372">
            <v>1640.6012516661306</v>
          </cell>
          <cell r="BI372">
            <v>4151.0935953175876</v>
          </cell>
          <cell r="BJ372">
            <v>0.39522145526102337</v>
          </cell>
          <cell r="BK372">
            <v>0.38738182194058007</v>
          </cell>
          <cell r="BL372">
            <v>7.839633320443273E-3</v>
          </cell>
        </row>
        <row r="373">
          <cell r="A373" t="str">
            <v>KORBA-WEST TPS4</v>
          </cell>
          <cell r="B373" t="str">
            <v>KORBA-WEST TPS</v>
          </cell>
          <cell r="C373">
            <v>210</v>
          </cell>
          <cell r="D373" t="str">
            <v>PITHEAD</v>
          </cell>
          <cell r="E373" t="str">
            <v/>
          </cell>
          <cell r="F373">
            <v>22.412500000000001</v>
          </cell>
          <cell r="G373">
            <v>82.688599999999994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</v>
          </cell>
          <cell r="O373">
            <v>0</v>
          </cell>
          <cell r="P373" t="e">
            <v>#DIV/0!</v>
          </cell>
          <cell r="Q373" t="e">
            <v>#DIV/0!</v>
          </cell>
          <cell r="R373" t="e">
            <v>#DIV/0!</v>
          </cell>
          <cell r="S373" t="e">
            <v>#DIV/0!</v>
          </cell>
          <cell r="T373" t="e">
            <v>#DIV/0!</v>
          </cell>
          <cell r="U373" t="e">
            <v>#DIV/0!</v>
          </cell>
          <cell r="V373">
            <v>4151.0935953175876</v>
          </cell>
          <cell r="W373" t="e">
            <v>#DIV/0!</v>
          </cell>
          <cell r="X373"/>
          <cell r="Y373"/>
          <cell r="Z373"/>
          <cell r="AA373"/>
          <cell r="AB373"/>
          <cell r="AC373"/>
          <cell r="AD373">
            <v>1608.0582000000002</v>
          </cell>
          <cell r="AE373"/>
          <cell r="AF373">
            <v>1608.0582000000002</v>
          </cell>
          <cell r="AG373">
            <v>0</v>
          </cell>
          <cell r="AH373">
            <v>1608.0582000000002</v>
          </cell>
          <cell r="AI373">
            <v>497.3291804000001</v>
          </cell>
          <cell r="AJ373">
            <v>566.13340789999995</v>
          </cell>
          <cell r="AK373">
            <v>608.86579989999996</v>
          </cell>
          <cell r="AL373">
            <v>349.61589380000004</v>
          </cell>
          <cell r="AM373">
            <v>316.78310119999998</v>
          </cell>
          <cell r="AN373">
            <v>1803.494111</v>
          </cell>
          <cell r="AO373">
            <v>12.759536350000001</v>
          </cell>
          <cell r="AP373">
            <v>489.10189220000001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32.543051666130424</v>
          </cell>
          <cell r="BF373">
            <v>0</v>
          </cell>
          <cell r="BG373">
            <v>32.543051666130424</v>
          </cell>
          <cell r="BH373">
            <v>1640.6012516661306</v>
          </cell>
          <cell r="BI373">
            <v>4151.0935953175876</v>
          </cell>
          <cell r="BJ373">
            <v>0.39522145526102337</v>
          </cell>
          <cell r="BK373">
            <v>0.38738182194058007</v>
          </cell>
          <cell r="BL373">
            <v>7.839633320443273E-3</v>
          </cell>
        </row>
        <row r="374">
          <cell r="A374" t="str">
            <v>KOTA TPS1</v>
          </cell>
          <cell r="B374" t="str">
            <v>KOTA TPS</v>
          </cell>
          <cell r="C374">
            <v>110</v>
          </cell>
          <cell r="D374" t="str">
            <v>RAIL</v>
          </cell>
          <cell r="E374">
            <v>1.0100827300930713</v>
          </cell>
          <cell r="F374">
            <v>25.171399999999998</v>
          </cell>
          <cell r="G374">
            <v>75.814999999999998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0.46599892859421221</v>
          </cell>
          <cell r="M374">
            <v>0</v>
          </cell>
          <cell r="N374">
            <v>0.53400107140578779</v>
          </cell>
          <cell r="O374">
            <v>0</v>
          </cell>
          <cell r="P374" t="e">
            <v>#DIV/0!</v>
          </cell>
          <cell r="Q374" t="e">
            <v>#DIV/0!</v>
          </cell>
          <cell r="R374" t="e">
            <v>#DIV/0!</v>
          </cell>
          <cell r="S374" t="e">
            <v>#DIV/0!</v>
          </cell>
          <cell r="T374">
            <v>4578.6210154325463</v>
          </cell>
          <cell r="U374" t="e">
            <v>#DIV/0!</v>
          </cell>
          <cell r="V374">
            <v>4407.315776472512</v>
          </cell>
          <cell r="W374" t="e">
            <v>#DIV/0!</v>
          </cell>
          <cell r="X374"/>
          <cell r="Y374"/>
          <cell r="Z374"/>
          <cell r="AA374"/>
          <cell r="AB374">
            <v>789.35416850899321</v>
          </cell>
          <cell r="AC374"/>
          <cell r="AD374">
            <v>904.54279149100705</v>
          </cell>
          <cell r="AE374"/>
          <cell r="AF374">
            <v>1693.8969600000003</v>
          </cell>
          <cell r="AG374">
            <v>0</v>
          </cell>
          <cell r="AH374">
            <v>1693.8969600000003</v>
          </cell>
          <cell r="AI374">
            <v>1227.715295</v>
          </cell>
          <cell r="AJ374">
            <v>1224.3026160000002</v>
          </cell>
          <cell r="AK374">
            <v>1322.8979159999999</v>
          </cell>
          <cell r="AL374">
            <v>1178.7135989999997</v>
          </cell>
          <cell r="AM374">
            <v>868.55654409999977</v>
          </cell>
          <cell r="AN374">
            <v>2375.169077</v>
          </cell>
          <cell r="AO374">
            <v>892.20437779999997</v>
          </cell>
          <cell r="AP374">
            <v>664.51576450000016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1045.2989726911069</v>
          </cell>
          <cell r="AV374">
            <v>0</v>
          </cell>
          <cell r="AW374">
            <v>1230.4025486475039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2275.7015213386107</v>
          </cell>
          <cell r="BH374">
            <v>3969.5984813386112</v>
          </cell>
          <cell r="BI374">
            <v>4487.1438342904594</v>
          </cell>
          <cell r="BJ374">
            <v>0.88466040491129339</v>
          </cell>
          <cell r="BK374">
            <v>0.37750003622690909</v>
          </cell>
          <cell r="BL374">
            <v>0.50716036868438419</v>
          </cell>
        </row>
        <row r="375">
          <cell r="A375" t="str">
            <v>KOTA TPS2</v>
          </cell>
          <cell r="B375" t="str">
            <v>KOTA TPS</v>
          </cell>
          <cell r="C375">
            <v>110</v>
          </cell>
          <cell r="D375" t="str">
            <v>RAIL</v>
          </cell>
          <cell r="E375">
            <v>1.0100827300930713</v>
          </cell>
          <cell r="F375">
            <v>25.171399999999998</v>
          </cell>
          <cell r="G375">
            <v>75.814999999999998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0.46599892859421221</v>
          </cell>
          <cell r="M375">
            <v>0</v>
          </cell>
          <cell r="N375">
            <v>0.53400107140578779</v>
          </cell>
          <cell r="O375">
            <v>0</v>
          </cell>
          <cell r="P375" t="e">
            <v>#DIV/0!</v>
          </cell>
          <cell r="Q375" t="e">
            <v>#DIV/0!</v>
          </cell>
          <cell r="R375" t="e">
            <v>#DIV/0!</v>
          </cell>
          <cell r="S375" t="e">
            <v>#DIV/0!</v>
          </cell>
          <cell r="T375">
            <v>4578.6210154325463</v>
          </cell>
          <cell r="U375" t="e">
            <v>#DIV/0!</v>
          </cell>
          <cell r="V375">
            <v>4407.315776472512</v>
          </cell>
          <cell r="W375" t="e">
            <v>#DIV/0!</v>
          </cell>
          <cell r="X375"/>
          <cell r="Y375"/>
          <cell r="Z375"/>
          <cell r="AA375"/>
          <cell r="AB375">
            <v>789.35416850899321</v>
          </cell>
          <cell r="AC375"/>
          <cell r="AD375">
            <v>904.54279149100705</v>
          </cell>
          <cell r="AE375"/>
          <cell r="AF375">
            <v>1693.8969600000003</v>
          </cell>
          <cell r="AG375">
            <v>0</v>
          </cell>
          <cell r="AH375">
            <v>1693.8969600000003</v>
          </cell>
          <cell r="AI375">
            <v>1227.715295</v>
          </cell>
          <cell r="AJ375">
            <v>1224.3026160000002</v>
          </cell>
          <cell r="AK375">
            <v>1322.8979159999999</v>
          </cell>
          <cell r="AL375">
            <v>1178.7135989999997</v>
          </cell>
          <cell r="AM375">
            <v>868.55654409999977</v>
          </cell>
          <cell r="AN375">
            <v>2375.169077</v>
          </cell>
          <cell r="AO375">
            <v>892.20437779999997</v>
          </cell>
          <cell r="AP375">
            <v>664.51576450000016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1045.2989726911069</v>
          </cell>
          <cell r="AV375">
            <v>0</v>
          </cell>
          <cell r="AW375">
            <v>1230.4025486475039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2275.7015213386107</v>
          </cell>
          <cell r="BH375">
            <v>3969.5984813386112</v>
          </cell>
          <cell r="BI375">
            <v>4487.1438342904594</v>
          </cell>
          <cell r="BJ375">
            <v>0.88466040491129339</v>
          </cell>
          <cell r="BK375">
            <v>0.37750003622690909</v>
          </cell>
          <cell r="BL375">
            <v>0.50716036868438419</v>
          </cell>
        </row>
        <row r="376">
          <cell r="A376" t="str">
            <v>KOTA TPS3</v>
          </cell>
          <cell r="B376" t="str">
            <v>KOTA TPS</v>
          </cell>
          <cell r="C376">
            <v>210</v>
          </cell>
          <cell r="D376" t="str">
            <v>RAIL</v>
          </cell>
          <cell r="E376">
            <v>1.0100827300930713</v>
          </cell>
          <cell r="F376">
            <v>25.171399999999998</v>
          </cell>
          <cell r="G376">
            <v>75.814999999999998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0.46599892859421221</v>
          </cell>
          <cell r="M376">
            <v>0</v>
          </cell>
          <cell r="N376">
            <v>0.53400107140578779</v>
          </cell>
          <cell r="O376">
            <v>0</v>
          </cell>
          <cell r="P376" t="e">
            <v>#DIV/0!</v>
          </cell>
          <cell r="Q376" t="e">
            <v>#DIV/0!</v>
          </cell>
          <cell r="R376" t="e">
            <v>#DIV/0!</v>
          </cell>
          <cell r="S376" t="e">
            <v>#DIV/0!</v>
          </cell>
          <cell r="T376">
            <v>4578.6210154325463</v>
          </cell>
          <cell r="U376" t="e">
            <v>#DIV/0!</v>
          </cell>
          <cell r="V376">
            <v>4407.315776472512</v>
          </cell>
          <cell r="W376" t="e">
            <v>#DIV/0!</v>
          </cell>
          <cell r="X376"/>
          <cell r="Y376"/>
          <cell r="Z376"/>
          <cell r="AA376"/>
          <cell r="AB376">
            <v>789.35416850899321</v>
          </cell>
          <cell r="AC376"/>
          <cell r="AD376">
            <v>904.54279149100705</v>
          </cell>
          <cell r="AE376"/>
          <cell r="AF376">
            <v>1693.8969600000003</v>
          </cell>
          <cell r="AG376">
            <v>0</v>
          </cell>
          <cell r="AH376">
            <v>1693.8969600000003</v>
          </cell>
          <cell r="AI376">
            <v>1227.715295</v>
          </cell>
          <cell r="AJ376">
            <v>1224.3026160000002</v>
          </cell>
          <cell r="AK376">
            <v>1322.8979159999999</v>
          </cell>
          <cell r="AL376">
            <v>1178.7135989999997</v>
          </cell>
          <cell r="AM376">
            <v>868.55654409999977</v>
          </cell>
          <cell r="AN376">
            <v>2375.169077</v>
          </cell>
          <cell r="AO376">
            <v>892.20437779999997</v>
          </cell>
          <cell r="AP376">
            <v>664.51576450000016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1045.2989726911069</v>
          </cell>
          <cell r="AV376">
            <v>0</v>
          </cell>
          <cell r="AW376">
            <v>1230.4025486475039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2275.7015213386107</v>
          </cell>
          <cell r="BH376">
            <v>3969.5984813386112</v>
          </cell>
          <cell r="BI376">
            <v>4487.1438342904594</v>
          </cell>
          <cell r="BJ376">
            <v>0.88466040491129339</v>
          </cell>
          <cell r="BK376">
            <v>0.37750003622690909</v>
          </cell>
          <cell r="BL376">
            <v>0.50716036868438419</v>
          </cell>
        </row>
        <row r="377">
          <cell r="A377" t="str">
            <v>KOTA TPS4</v>
          </cell>
          <cell r="B377" t="str">
            <v>KOTA TPS</v>
          </cell>
          <cell r="C377">
            <v>210</v>
          </cell>
          <cell r="D377" t="str">
            <v>RAIL</v>
          </cell>
          <cell r="E377">
            <v>1.0100827300930713</v>
          </cell>
          <cell r="F377">
            <v>25.171399999999998</v>
          </cell>
          <cell r="G377">
            <v>75.814999999999998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0.46599892859421221</v>
          </cell>
          <cell r="M377">
            <v>0</v>
          </cell>
          <cell r="N377">
            <v>0.53400107140578779</v>
          </cell>
          <cell r="O377">
            <v>0</v>
          </cell>
          <cell r="P377" t="e">
            <v>#DIV/0!</v>
          </cell>
          <cell r="Q377" t="e">
            <v>#DIV/0!</v>
          </cell>
          <cell r="R377" t="e">
            <v>#DIV/0!</v>
          </cell>
          <cell r="S377" t="e">
            <v>#DIV/0!</v>
          </cell>
          <cell r="T377">
            <v>4578.6210154325463</v>
          </cell>
          <cell r="U377" t="e">
            <v>#DIV/0!</v>
          </cell>
          <cell r="V377">
            <v>4407.315776472512</v>
          </cell>
          <cell r="W377" t="e">
            <v>#DIV/0!</v>
          </cell>
          <cell r="X377"/>
          <cell r="Y377"/>
          <cell r="Z377"/>
          <cell r="AA377"/>
          <cell r="AB377">
            <v>789.35416850899321</v>
          </cell>
          <cell r="AC377"/>
          <cell r="AD377">
            <v>904.54279149100705</v>
          </cell>
          <cell r="AE377"/>
          <cell r="AF377">
            <v>1693.8969600000003</v>
          </cell>
          <cell r="AG377">
            <v>0</v>
          </cell>
          <cell r="AH377">
            <v>1693.8969600000003</v>
          </cell>
          <cell r="AI377">
            <v>1227.715295</v>
          </cell>
          <cell r="AJ377">
            <v>1224.3026160000002</v>
          </cell>
          <cell r="AK377">
            <v>1322.8979159999999</v>
          </cell>
          <cell r="AL377">
            <v>1178.7135989999997</v>
          </cell>
          <cell r="AM377">
            <v>868.55654409999977</v>
          </cell>
          <cell r="AN377">
            <v>2375.169077</v>
          </cell>
          <cell r="AO377">
            <v>892.20437779999997</v>
          </cell>
          <cell r="AP377">
            <v>664.51576450000016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1045.2989726911069</v>
          </cell>
          <cell r="AV377">
            <v>0</v>
          </cell>
          <cell r="AW377">
            <v>1230.4025486475039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2275.7015213386107</v>
          </cell>
          <cell r="BH377">
            <v>3969.5984813386112</v>
          </cell>
          <cell r="BI377">
            <v>4487.1438342904594</v>
          </cell>
          <cell r="BJ377">
            <v>0.88466040491129339</v>
          </cell>
          <cell r="BK377">
            <v>0.37750003622690909</v>
          </cell>
          <cell r="BL377">
            <v>0.50716036868438419</v>
          </cell>
        </row>
        <row r="378">
          <cell r="A378" t="str">
            <v>KOTA TPS5</v>
          </cell>
          <cell r="B378" t="str">
            <v>KOTA TPS</v>
          </cell>
          <cell r="C378">
            <v>210</v>
          </cell>
          <cell r="D378" t="str">
            <v>RAIL</v>
          </cell>
          <cell r="E378">
            <v>1.0100827300930713</v>
          </cell>
          <cell r="F378">
            <v>25.171399999999998</v>
          </cell>
          <cell r="G378">
            <v>75.814999999999998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0.46599892859421221</v>
          </cell>
          <cell r="M378">
            <v>0</v>
          </cell>
          <cell r="N378">
            <v>0.53400107140578779</v>
          </cell>
          <cell r="O378">
            <v>0</v>
          </cell>
          <cell r="P378" t="e">
            <v>#DIV/0!</v>
          </cell>
          <cell r="Q378" t="e">
            <v>#DIV/0!</v>
          </cell>
          <cell r="R378" t="e">
            <v>#DIV/0!</v>
          </cell>
          <cell r="S378" t="e">
            <v>#DIV/0!</v>
          </cell>
          <cell r="T378">
            <v>4578.6210154325463</v>
          </cell>
          <cell r="U378" t="e">
            <v>#DIV/0!</v>
          </cell>
          <cell r="V378">
            <v>4407.315776472512</v>
          </cell>
          <cell r="W378" t="e">
            <v>#DIV/0!</v>
          </cell>
          <cell r="X378"/>
          <cell r="Y378"/>
          <cell r="Z378"/>
          <cell r="AA378"/>
          <cell r="AB378">
            <v>789.35416850899321</v>
          </cell>
          <cell r="AC378"/>
          <cell r="AD378">
            <v>904.54279149100705</v>
          </cell>
          <cell r="AE378"/>
          <cell r="AF378">
            <v>1693.8969600000003</v>
          </cell>
          <cell r="AG378">
            <v>0</v>
          </cell>
          <cell r="AH378">
            <v>1693.8969600000003</v>
          </cell>
          <cell r="AI378">
            <v>1227.715295</v>
          </cell>
          <cell r="AJ378">
            <v>1224.3026160000002</v>
          </cell>
          <cell r="AK378">
            <v>1322.8979159999999</v>
          </cell>
          <cell r="AL378">
            <v>1178.7135989999997</v>
          </cell>
          <cell r="AM378">
            <v>868.55654409999977</v>
          </cell>
          <cell r="AN378">
            <v>2375.169077</v>
          </cell>
          <cell r="AO378">
            <v>892.20437779999997</v>
          </cell>
          <cell r="AP378">
            <v>664.51576450000016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1045.2989726911069</v>
          </cell>
          <cell r="AV378">
            <v>0</v>
          </cell>
          <cell r="AW378">
            <v>1230.4025486475039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2275.7015213386107</v>
          </cell>
          <cell r="BH378">
            <v>3969.5984813386112</v>
          </cell>
          <cell r="BI378">
            <v>4487.1438342904594</v>
          </cell>
          <cell r="BJ378">
            <v>0.88466040491129339</v>
          </cell>
          <cell r="BK378">
            <v>0.37750003622690909</v>
          </cell>
          <cell r="BL378">
            <v>0.50716036868438419</v>
          </cell>
        </row>
        <row r="379">
          <cell r="A379" t="str">
            <v>KOTA TPS6</v>
          </cell>
          <cell r="B379" t="str">
            <v>KOTA TPS</v>
          </cell>
          <cell r="C379">
            <v>195</v>
          </cell>
          <cell r="D379" t="str">
            <v>RAIL</v>
          </cell>
          <cell r="E379">
            <v>1.0100827300930713</v>
          </cell>
          <cell r="F379">
            <v>25.171399999999998</v>
          </cell>
          <cell r="G379">
            <v>75.814999999999998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0.46599892859421221</v>
          </cell>
          <cell r="M379">
            <v>0</v>
          </cell>
          <cell r="N379">
            <v>0.53400107140578779</v>
          </cell>
          <cell r="O379">
            <v>0</v>
          </cell>
          <cell r="P379" t="e">
            <v>#DIV/0!</v>
          </cell>
          <cell r="Q379" t="e">
            <v>#DIV/0!</v>
          </cell>
          <cell r="R379" t="e">
            <v>#DIV/0!</v>
          </cell>
          <cell r="S379" t="e">
            <v>#DIV/0!</v>
          </cell>
          <cell r="T379">
            <v>4578.6210154325463</v>
          </cell>
          <cell r="U379" t="e">
            <v>#DIV/0!</v>
          </cell>
          <cell r="V379">
            <v>4407.315776472512</v>
          </cell>
          <cell r="W379" t="e">
            <v>#DIV/0!</v>
          </cell>
          <cell r="X379"/>
          <cell r="Y379"/>
          <cell r="Z379"/>
          <cell r="AA379"/>
          <cell r="AB379">
            <v>789.35416850899321</v>
          </cell>
          <cell r="AC379"/>
          <cell r="AD379">
            <v>904.54279149100705</v>
          </cell>
          <cell r="AE379"/>
          <cell r="AF379">
            <v>1693.8969600000003</v>
          </cell>
          <cell r="AG379">
            <v>0</v>
          </cell>
          <cell r="AH379">
            <v>1693.8969600000003</v>
          </cell>
          <cell r="AI379">
            <v>1227.715295</v>
          </cell>
          <cell r="AJ379">
            <v>1224.3026160000002</v>
          </cell>
          <cell r="AK379">
            <v>1322.8979159999999</v>
          </cell>
          <cell r="AL379">
            <v>1178.7135989999997</v>
          </cell>
          <cell r="AM379">
            <v>868.55654409999977</v>
          </cell>
          <cell r="AN379">
            <v>2375.169077</v>
          </cell>
          <cell r="AO379">
            <v>892.20437779999997</v>
          </cell>
          <cell r="AP379">
            <v>664.51576450000016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1045.2989726911069</v>
          </cell>
          <cell r="AV379">
            <v>0</v>
          </cell>
          <cell r="AW379">
            <v>1230.4025486475039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2275.7015213386107</v>
          </cell>
          <cell r="BH379">
            <v>3969.5984813386112</v>
          </cell>
          <cell r="BI379">
            <v>4487.1438342904594</v>
          </cell>
          <cell r="BJ379">
            <v>0.88466040491129339</v>
          </cell>
          <cell r="BK379">
            <v>0.37750003622690909</v>
          </cell>
          <cell r="BL379">
            <v>0.50716036868438419</v>
          </cell>
        </row>
        <row r="380">
          <cell r="A380" t="str">
            <v>KOTA TPS7</v>
          </cell>
          <cell r="B380" t="str">
            <v>KOTA TPS</v>
          </cell>
          <cell r="C380">
            <v>195</v>
          </cell>
          <cell r="D380" t="str">
            <v>RAIL</v>
          </cell>
          <cell r="E380">
            <v>1.0100827300930713</v>
          </cell>
          <cell r="F380">
            <v>25.171399999999998</v>
          </cell>
          <cell r="G380">
            <v>75.814999999999998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0.46599892859421221</v>
          </cell>
          <cell r="M380">
            <v>0</v>
          </cell>
          <cell r="N380">
            <v>0.53400107140578779</v>
          </cell>
          <cell r="O380">
            <v>0</v>
          </cell>
          <cell r="P380" t="e">
            <v>#DIV/0!</v>
          </cell>
          <cell r="Q380" t="e">
            <v>#DIV/0!</v>
          </cell>
          <cell r="R380" t="e">
            <v>#DIV/0!</v>
          </cell>
          <cell r="S380" t="e">
            <v>#DIV/0!</v>
          </cell>
          <cell r="T380">
            <v>4578.6210154325463</v>
          </cell>
          <cell r="U380" t="e">
            <v>#DIV/0!</v>
          </cell>
          <cell r="V380">
            <v>4407.315776472512</v>
          </cell>
          <cell r="W380" t="e">
            <v>#DIV/0!</v>
          </cell>
          <cell r="X380"/>
          <cell r="Y380"/>
          <cell r="Z380"/>
          <cell r="AA380"/>
          <cell r="AB380">
            <v>789.35416850899321</v>
          </cell>
          <cell r="AC380"/>
          <cell r="AD380">
            <v>904.54279149100705</v>
          </cell>
          <cell r="AE380"/>
          <cell r="AF380">
            <v>1693.8969600000003</v>
          </cell>
          <cell r="AG380">
            <v>0</v>
          </cell>
          <cell r="AH380">
            <v>1693.8969600000003</v>
          </cell>
          <cell r="AI380">
            <v>1227.715295</v>
          </cell>
          <cell r="AJ380">
            <v>1224.3026160000002</v>
          </cell>
          <cell r="AK380">
            <v>1322.8979159999999</v>
          </cell>
          <cell r="AL380">
            <v>1178.7135989999997</v>
          </cell>
          <cell r="AM380">
            <v>868.55654409999977</v>
          </cell>
          <cell r="AN380">
            <v>2375.169077</v>
          </cell>
          <cell r="AO380">
            <v>892.20437779999997</v>
          </cell>
          <cell r="AP380">
            <v>664.51576450000016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1045.2989726911069</v>
          </cell>
          <cell r="AV380">
            <v>0</v>
          </cell>
          <cell r="AW380">
            <v>1230.4025486475039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2275.7015213386107</v>
          </cell>
          <cell r="BH380">
            <v>3969.5984813386112</v>
          </cell>
          <cell r="BI380">
            <v>4487.1438342904594</v>
          </cell>
          <cell r="BJ380">
            <v>0.88466040491129339</v>
          </cell>
          <cell r="BK380">
            <v>0.37750003622690909</v>
          </cell>
          <cell r="BL380">
            <v>0.50716036868438419</v>
          </cell>
        </row>
        <row r="381">
          <cell r="A381" t="str">
            <v>KOTHAGUDEM NEW TPS10</v>
          </cell>
          <cell r="B381" t="str">
            <v>KOTHAGUDEM NEW TPS</v>
          </cell>
          <cell r="C381">
            <v>250</v>
          </cell>
          <cell r="D381" t="str">
            <v>RAIL</v>
          </cell>
          <cell r="E381" t="str">
            <v/>
          </cell>
          <cell r="F381">
            <v>17.617899999999999</v>
          </cell>
          <cell r="G381">
            <v>80.694800000000001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4279.0292548546358</v>
          </cell>
          <cell r="X381"/>
          <cell r="Y381"/>
          <cell r="Z381"/>
          <cell r="AA381"/>
          <cell r="AB381"/>
          <cell r="AC381"/>
          <cell r="AD381"/>
          <cell r="AE381">
            <v>1608.0582000000002</v>
          </cell>
          <cell r="AF381">
            <v>1608.0582000000002</v>
          </cell>
          <cell r="AG381">
            <v>0</v>
          </cell>
          <cell r="AH381">
            <v>1608.0582000000002</v>
          </cell>
          <cell r="AI381">
            <v>1189.132646</v>
          </cell>
          <cell r="AJ381">
            <v>1132.289769</v>
          </cell>
          <cell r="AK381">
            <v>1300.6919089999999</v>
          </cell>
          <cell r="AL381">
            <v>853.57883600000002</v>
          </cell>
          <cell r="AM381">
            <v>1025.9740509999999</v>
          </cell>
          <cell r="AN381">
            <v>2518.6094249999996</v>
          </cell>
          <cell r="AO381">
            <v>741.65769110000008</v>
          </cell>
          <cell r="AP381">
            <v>523.51993259999995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1662.78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1662.78</v>
          </cell>
          <cell r="BH381">
            <v>3270.8382000000001</v>
          </cell>
          <cell r="BI381">
            <v>4279.0292548546358</v>
          </cell>
          <cell r="BJ381">
            <v>0.76438790323510297</v>
          </cell>
          <cell r="BK381">
            <v>0.37579976771031165</v>
          </cell>
          <cell r="BL381">
            <v>0.38858813552479132</v>
          </cell>
        </row>
        <row r="382">
          <cell r="A382" t="str">
            <v>KOTHAGUDEM NEW TPS9</v>
          </cell>
          <cell r="B382" t="str">
            <v>KOTHAGUDEM NEW TPS</v>
          </cell>
          <cell r="C382">
            <v>250</v>
          </cell>
          <cell r="D382" t="str">
            <v>RAIL</v>
          </cell>
          <cell r="E382" t="str">
            <v/>
          </cell>
          <cell r="F382">
            <v>17.617899999999999</v>
          </cell>
          <cell r="G382">
            <v>80.694800000000001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4279.0292548546358</v>
          </cell>
          <cell r="X382"/>
          <cell r="Y382"/>
          <cell r="Z382"/>
          <cell r="AA382"/>
          <cell r="AB382"/>
          <cell r="AC382"/>
          <cell r="AD382"/>
          <cell r="AE382">
            <v>1608.0582000000002</v>
          </cell>
          <cell r="AF382">
            <v>1608.0582000000002</v>
          </cell>
          <cell r="AG382">
            <v>0</v>
          </cell>
          <cell r="AH382">
            <v>1608.0582000000002</v>
          </cell>
          <cell r="AI382">
            <v>1189.132646</v>
          </cell>
          <cell r="AJ382">
            <v>1132.289769</v>
          </cell>
          <cell r="AK382">
            <v>1300.6919089999999</v>
          </cell>
          <cell r="AL382">
            <v>853.57883600000002</v>
          </cell>
          <cell r="AM382">
            <v>1025.9740509999999</v>
          </cell>
          <cell r="AN382">
            <v>2518.6094249999996</v>
          </cell>
          <cell r="AO382">
            <v>741.65769110000008</v>
          </cell>
          <cell r="AP382">
            <v>523.51993259999995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1662.78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1662.78</v>
          </cell>
          <cell r="BH382">
            <v>3270.8382000000001</v>
          </cell>
          <cell r="BI382">
            <v>4279.0292548546358</v>
          </cell>
          <cell r="BJ382">
            <v>0.76438790323510297</v>
          </cell>
          <cell r="BK382">
            <v>0.37579976771031165</v>
          </cell>
          <cell r="BL382">
            <v>0.38858813552479132</v>
          </cell>
        </row>
        <row r="383">
          <cell r="A383" t="str">
            <v>KOTHAGUDEM TPS1</v>
          </cell>
          <cell r="B383" t="str">
            <v>KOTHAGUDEM TPS</v>
          </cell>
          <cell r="C383">
            <v>60</v>
          </cell>
          <cell r="D383" t="str">
            <v>RAIL</v>
          </cell>
          <cell r="E383" t="str">
            <v/>
          </cell>
          <cell r="F383">
            <v>17.617899999999999</v>
          </cell>
          <cell r="G383">
            <v>80.694800000000001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4279.0292548546358</v>
          </cell>
          <cell r="X383"/>
          <cell r="Y383"/>
          <cell r="Z383"/>
          <cell r="AA383"/>
          <cell r="AB383"/>
          <cell r="AC383"/>
          <cell r="AD383"/>
          <cell r="AE383">
            <v>1608.0582000000002</v>
          </cell>
          <cell r="AF383">
            <v>1608.0582000000002</v>
          </cell>
          <cell r="AG383">
            <v>0</v>
          </cell>
          <cell r="AH383">
            <v>1608.0582000000002</v>
          </cell>
          <cell r="AI383">
            <v>1189.132646</v>
          </cell>
          <cell r="AJ383">
            <v>1132.289769</v>
          </cell>
          <cell r="AK383">
            <v>1300.6919089999999</v>
          </cell>
          <cell r="AL383">
            <v>853.57883600000002</v>
          </cell>
          <cell r="AM383">
            <v>1025.9740509999999</v>
          </cell>
          <cell r="AN383">
            <v>2518.6094250000001</v>
          </cell>
          <cell r="AO383">
            <v>741.65769110000019</v>
          </cell>
          <cell r="AP383">
            <v>523.51993259999995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1662.78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1662.78</v>
          </cell>
          <cell r="BH383">
            <v>3270.8382000000001</v>
          </cell>
          <cell r="BI383">
            <v>4279.0292548546358</v>
          </cell>
          <cell r="BJ383">
            <v>0.76438790323510297</v>
          </cell>
          <cell r="BK383">
            <v>0.37579976771031165</v>
          </cell>
          <cell r="BL383">
            <v>0.38858813552479132</v>
          </cell>
        </row>
        <row r="384">
          <cell r="A384" t="str">
            <v>KOTHAGUDEM TPS2</v>
          </cell>
          <cell r="B384" t="str">
            <v>KOTHAGUDEM TPS</v>
          </cell>
          <cell r="C384">
            <v>60</v>
          </cell>
          <cell r="D384" t="str">
            <v>RAIL</v>
          </cell>
          <cell r="E384" t="str">
            <v/>
          </cell>
          <cell r="F384">
            <v>17.617899999999999</v>
          </cell>
          <cell r="G384">
            <v>80.694800000000001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4279.0292548546358</v>
          </cell>
          <cell r="X384"/>
          <cell r="Y384"/>
          <cell r="Z384"/>
          <cell r="AA384"/>
          <cell r="AB384"/>
          <cell r="AC384"/>
          <cell r="AD384"/>
          <cell r="AE384">
            <v>1608.0582000000002</v>
          </cell>
          <cell r="AF384">
            <v>1608.0582000000002</v>
          </cell>
          <cell r="AG384">
            <v>0</v>
          </cell>
          <cell r="AH384">
            <v>1608.0582000000002</v>
          </cell>
          <cell r="AI384">
            <v>1189.132646</v>
          </cell>
          <cell r="AJ384">
            <v>1132.289769</v>
          </cell>
          <cell r="AK384">
            <v>1300.6919089999999</v>
          </cell>
          <cell r="AL384">
            <v>853.57883600000002</v>
          </cell>
          <cell r="AM384">
            <v>1025.9740509999999</v>
          </cell>
          <cell r="AN384">
            <v>2518.6094250000001</v>
          </cell>
          <cell r="AO384">
            <v>741.65769110000019</v>
          </cell>
          <cell r="AP384">
            <v>523.51993259999995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1662.78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1662.78</v>
          </cell>
          <cell r="BH384">
            <v>3270.8382000000001</v>
          </cell>
          <cell r="BI384">
            <v>4279.0292548546358</v>
          </cell>
          <cell r="BJ384">
            <v>0.76438790323510297</v>
          </cell>
          <cell r="BK384">
            <v>0.37579976771031165</v>
          </cell>
          <cell r="BL384">
            <v>0.38858813552479132</v>
          </cell>
        </row>
        <row r="385">
          <cell r="A385" t="str">
            <v>KOTHAGUDEM TPS4</v>
          </cell>
          <cell r="B385" t="str">
            <v>KOTHAGUDEM TPS</v>
          </cell>
          <cell r="C385">
            <v>60</v>
          </cell>
          <cell r="D385" t="str">
            <v>RAIL</v>
          </cell>
          <cell r="E385" t="str">
            <v/>
          </cell>
          <cell r="F385">
            <v>17.617899999999999</v>
          </cell>
          <cell r="G385">
            <v>80.694800000000001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4279.0292548546358</v>
          </cell>
          <cell r="X385"/>
          <cell r="Y385"/>
          <cell r="Z385"/>
          <cell r="AA385"/>
          <cell r="AB385"/>
          <cell r="AC385"/>
          <cell r="AD385"/>
          <cell r="AE385">
            <v>1608.0582000000002</v>
          </cell>
          <cell r="AF385">
            <v>1608.0582000000002</v>
          </cell>
          <cell r="AG385">
            <v>0</v>
          </cell>
          <cell r="AH385">
            <v>1608.0582000000002</v>
          </cell>
          <cell r="AI385">
            <v>1189.132646</v>
          </cell>
          <cell r="AJ385">
            <v>1132.289769</v>
          </cell>
          <cell r="AK385">
            <v>1300.6919089999999</v>
          </cell>
          <cell r="AL385">
            <v>853.57883600000002</v>
          </cell>
          <cell r="AM385">
            <v>1025.9740509999999</v>
          </cell>
          <cell r="AN385">
            <v>2518.6094250000001</v>
          </cell>
          <cell r="AO385">
            <v>741.65769110000019</v>
          </cell>
          <cell r="AP385">
            <v>523.51993259999995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1662.78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1662.78</v>
          </cell>
          <cell r="BH385">
            <v>3270.8382000000001</v>
          </cell>
          <cell r="BI385">
            <v>4279.0292548546358</v>
          </cell>
          <cell r="BJ385">
            <v>0.76438790323510297</v>
          </cell>
          <cell r="BK385">
            <v>0.37579976771031165</v>
          </cell>
          <cell r="BL385">
            <v>0.38858813552479132</v>
          </cell>
        </row>
        <row r="386">
          <cell r="A386" t="str">
            <v>KOTHAGUDEM TPS5</v>
          </cell>
          <cell r="B386" t="str">
            <v>KOTHAGUDEM TPS</v>
          </cell>
          <cell r="C386">
            <v>120</v>
          </cell>
          <cell r="D386" t="str">
            <v>RAIL</v>
          </cell>
          <cell r="E386" t="str">
            <v/>
          </cell>
          <cell r="F386">
            <v>17.617899999999999</v>
          </cell>
          <cell r="G386">
            <v>80.694800000000001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4279.0292548546358</v>
          </cell>
          <cell r="X386"/>
          <cell r="Y386"/>
          <cell r="Z386"/>
          <cell r="AA386"/>
          <cell r="AB386"/>
          <cell r="AC386"/>
          <cell r="AD386"/>
          <cell r="AE386">
            <v>1608.0582000000002</v>
          </cell>
          <cell r="AF386">
            <v>1608.0582000000002</v>
          </cell>
          <cell r="AG386">
            <v>0</v>
          </cell>
          <cell r="AH386">
            <v>1608.0582000000002</v>
          </cell>
          <cell r="AI386">
            <v>1189.132646</v>
          </cell>
          <cell r="AJ386">
            <v>1132.289769</v>
          </cell>
          <cell r="AK386">
            <v>1300.6919089999999</v>
          </cell>
          <cell r="AL386">
            <v>853.57883600000002</v>
          </cell>
          <cell r="AM386">
            <v>1025.9740509999999</v>
          </cell>
          <cell r="AN386">
            <v>2518.6094250000001</v>
          </cell>
          <cell r="AO386">
            <v>741.65769110000019</v>
          </cell>
          <cell r="AP386">
            <v>523.51993259999995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1662.78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1662.78</v>
          </cell>
          <cell r="BH386">
            <v>3270.8382000000001</v>
          </cell>
          <cell r="BI386">
            <v>4279.0292548546358</v>
          </cell>
          <cell r="BJ386">
            <v>0.76438790323510297</v>
          </cell>
          <cell r="BK386">
            <v>0.37579976771031165</v>
          </cell>
          <cell r="BL386">
            <v>0.38858813552479132</v>
          </cell>
        </row>
        <row r="387">
          <cell r="A387" t="str">
            <v>KOTHAGUDEM TPS6</v>
          </cell>
          <cell r="B387" t="str">
            <v>KOTHAGUDEM TPS</v>
          </cell>
          <cell r="C387">
            <v>120</v>
          </cell>
          <cell r="D387" t="str">
            <v>RAIL</v>
          </cell>
          <cell r="E387" t="str">
            <v/>
          </cell>
          <cell r="F387">
            <v>17.617899999999999</v>
          </cell>
          <cell r="G387">
            <v>80.694800000000001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4279.0292548546358</v>
          </cell>
          <cell r="X387"/>
          <cell r="Y387"/>
          <cell r="Z387"/>
          <cell r="AA387"/>
          <cell r="AB387"/>
          <cell r="AC387"/>
          <cell r="AD387"/>
          <cell r="AE387">
            <v>1608.0582000000002</v>
          </cell>
          <cell r="AF387">
            <v>1608.0582000000002</v>
          </cell>
          <cell r="AG387">
            <v>0</v>
          </cell>
          <cell r="AH387">
            <v>1608.0582000000002</v>
          </cell>
          <cell r="AI387">
            <v>1189.132646</v>
          </cell>
          <cell r="AJ387">
            <v>1132.289769</v>
          </cell>
          <cell r="AK387">
            <v>1300.6919089999999</v>
          </cell>
          <cell r="AL387">
            <v>853.57883600000002</v>
          </cell>
          <cell r="AM387">
            <v>1025.9740509999999</v>
          </cell>
          <cell r="AN387">
            <v>2518.6094250000001</v>
          </cell>
          <cell r="AO387">
            <v>741.65769110000019</v>
          </cell>
          <cell r="AP387">
            <v>523.51993259999995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1662.78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1662.78</v>
          </cell>
          <cell r="BH387">
            <v>3270.8382000000001</v>
          </cell>
          <cell r="BI387">
            <v>4279.0292548546358</v>
          </cell>
          <cell r="BJ387">
            <v>0.76438790323510297</v>
          </cell>
          <cell r="BK387">
            <v>0.37579976771031165</v>
          </cell>
          <cell r="BL387">
            <v>0.38858813552479132</v>
          </cell>
        </row>
        <row r="388">
          <cell r="A388" t="str">
            <v>KOTHAGUDEM TPS7</v>
          </cell>
          <cell r="B388" t="str">
            <v>KOTHAGUDEM TPS</v>
          </cell>
          <cell r="C388">
            <v>120</v>
          </cell>
          <cell r="D388" t="str">
            <v>RAIL</v>
          </cell>
          <cell r="E388" t="str">
            <v/>
          </cell>
          <cell r="F388">
            <v>17.617899999999999</v>
          </cell>
          <cell r="G388">
            <v>80.694800000000001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4279.0292548546358</v>
          </cell>
          <cell r="X388"/>
          <cell r="Y388"/>
          <cell r="Z388"/>
          <cell r="AA388"/>
          <cell r="AB388"/>
          <cell r="AC388"/>
          <cell r="AD388"/>
          <cell r="AE388">
            <v>1608.0582000000002</v>
          </cell>
          <cell r="AF388">
            <v>1608.0582000000002</v>
          </cell>
          <cell r="AG388">
            <v>0</v>
          </cell>
          <cell r="AH388">
            <v>1608.0582000000002</v>
          </cell>
          <cell r="AI388">
            <v>1189.132646</v>
          </cell>
          <cell r="AJ388">
            <v>1132.289769</v>
          </cell>
          <cell r="AK388">
            <v>1300.6919089999999</v>
          </cell>
          <cell r="AL388">
            <v>853.57883600000002</v>
          </cell>
          <cell r="AM388">
            <v>1025.9740509999999</v>
          </cell>
          <cell r="AN388">
            <v>2518.6094250000001</v>
          </cell>
          <cell r="AO388">
            <v>741.65769110000019</v>
          </cell>
          <cell r="AP388">
            <v>523.51993259999995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1662.78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1662.78</v>
          </cell>
          <cell r="BH388">
            <v>3270.8382000000001</v>
          </cell>
          <cell r="BI388">
            <v>4279.0292548546358</v>
          </cell>
          <cell r="BJ388">
            <v>0.76438790323510297</v>
          </cell>
          <cell r="BK388">
            <v>0.37579976771031165</v>
          </cell>
          <cell r="BL388">
            <v>0.38858813552479132</v>
          </cell>
        </row>
        <row r="389">
          <cell r="A389" t="str">
            <v>KOTHAGUDEM TPS8</v>
          </cell>
          <cell r="B389" t="str">
            <v>KOTHAGUDEM TPS</v>
          </cell>
          <cell r="C389">
            <v>120</v>
          </cell>
          <cell r="D389" t="str">
            <v>RAIL</v>
          </cell>
          <cell r="E389" t="str">
            <v/>
          </cell>
          <cell r="F389">
            <v>17.617899999999999</v>
          </cell>
          <cell r="G389">
            <v>80.694800000000001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4279.0292548546358</v>
          </cell>
          <cell r="X389"/>
          <cell r="Y389"/>
          <cell r="Z389"/>
          <cell r="AA389"/>
          <cell r="AB389"/>
          <cell r="AC389"/>
          <cell r="AD389"/>
          <cell r="AE389">
            <v>1608.0582000000002</v>
          </cell>
          <cell r="AF389">
            <v>1608.0582000000002</v>
          </cell>
          <cell r="AG389">
            <v>0</v>
          </cell>
          <cell r="AH389">
            <v>1608.0582000000002</v>
          </cell>
          <cell r="AI389">
            <v>1189.132646</v>
          </cell>
          <cell r="AJ389">
            <v>1132.289769</v>
          </cell>
          <cell r="AK389">
            <v>1300.6919089999999</v>
          </cell>
          <cell r="AL389">
            <v>853.57883600000002</v>
          </cell>
          <cell r="AM389">
            <v>1025.9740509999999</v>
          </cell>
          <cell r="AN389">
            <v>2518.6094250000001</v>
          </cell>
          <cell r="AO389">
            <v>741.65769110000019</v>
          </cell>
          <cell r="AP389">
            <v>523.51993259999995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1662.78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1662.78</v>
          </cell>
          <cell r="BH389">
            <v>3270.8382000000001</v>
          </cell>
          <cell r="BI389">
            <v>4279.0292548546358</v>
          </cell>
          <cell r="BJ389">
            <v>0.76438790323510297</v>
          </cell>
          <cell r="BK389">
            <v>0.37579976771031165</v>
          </cell>
          <cell r="BL389">
            <v>0.38858813552479132</v>
          </cell>
        </row>
        <row r="390">
          <cell r="A390" t="str">
            <v>KUNDARKI TPS1</v>
          </cell>
          <cell r="B390" t="str">
            <v>KUNDARKI TPS</v>
          </cell>
          <cell r="C390">
            <v>45</v>
          </cell>
          <cell r="D390" t="str">
            <v>RAIL</v>
          </cell>
          <cell r="E390" t="str">
            <v/>
          </cell>
          <cell r="F390">
            <v>27.078890999999999</v>
          </cell>
          <cell r="G390">
            <v>82.083242499999997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4503.0962946398622</v>
          </cell>
          <cell r="U390">
            <v>0</v>
          </cell>
          <cell r="V390">
            <v>0</v>
          </cell>
          <cell r="W390">
            <v>0</v>
          </cell>
          <cell r="X390"/>
          <cell r="Y390"/>
          <cell r="Z390"/>
          <cell r="AA390"/>
          <cell r="AB390">
            <v>1693.8969600000003</v>
          </cell>
          <cell r="AC390"/>
          <cell r="AD390"/>
          <cell r="AE390"/>
          <cell r="AF390">
            <v>1693.8969600000003</v>
          </cell>
          <cell r="AG390">
            <v>0</v>
          </cell>
          <cell r="AH390">
            <v>1693.8969600000003</v>
          </cell>
          <cell r="AI390">
            <v>651.10173970000005</v>
          </cell>
          <cell r="AJ390">
            <v>647.68906090000007</v>
          </cell>
          <cell r="AK390">
            <v>704.39935990000004</v>
          </cell>
          <cell r="AL390">
            <v>874.0136753999999</v>
          </cell>
          <cell r="AM390">
            <v>403.50943320000005</v>
          </cell>
          <cell r="AN390">
            <v>1722.5830249999999</v>
          </cell>
          <cell r="AO390">
            <v>664.82086389999995</v>
          </cell>
          <cell r="AP390">
            <v>821.69443769999998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1282.26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1282.26</v>
          </cell>
          <cell r="BH390">
            <v>2976.1569600000003</v>
          </cell>
          <cell r="BI390">
            <v>4503.0962946398622</v>
          </cell>
          <cell r="BJ390">
            <v>0.66091346159809805</v>
          </cell>
          <cell r="BK390">
            <v>0.37616272208442098</v>
          </cell>
          <cell r="BL390">
            <v>0.28475073951367713</v>
          </cell>
        </row>
        <row r="391">
          <cell r="A391" t="str">
            <v>KUNDARKI TPS2</v>
          </cell>
          <cell r="B391" t="str">
            <v>KUNDARKI TPS</v>
          </cell>
          <cell r="C391">
            <v>45</v>
          </cell>
          <cell r="D391" t="str">
            <v>RAIL</v>
          </cell>
          <cell r="E391" t="str">
            <v/>
          </cell>
          <cell r="F391">
            <v>27.078890999999999</v>
          </cell>
          <cell r="G391">
            <v>82.083242499999997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4503.0962946398622</v>
          </cell>
          <cell r="U391">
            <v>0</v>
          </cell>
          <cell r="V391">
            <v>0</v>
          </cell>
          <cell r="W391">
            <v>0</v>
          </cell>
          <cell r="X391"/>
          <cell r="Y391"/>
          <cell r="Z391"/>
          <cell r="AA391"/>
          <cell r="AB391">
            <v>1693.8969600000003</v>
          </cell>
          <cell r="AC391"/>
          <cell r="AD391"/>
          <cell r="AE391"/>
          <cell r="AF391">
            <v>1693.8969600000003</v>
          </cell>
          <cell r="AG391">
            <v>0</v>
          </cell>
          <cell r="AH391">
            <v>1693.8969600000003</v>
          </cell>
          <cell r="AI391">
            <v>651.10173970000005</v>
          </cell>
          <cell r="AJ391">
            <v>647.68906090000007</v>
          </cell>
          <cell r="AK391">
            <v>704.39935990000004</v>
          </cell>
          <cell r="AL391">
            <v>874.0136753999999</v>
          </cell>
          <cell r="AM391">
            <v>403.50943320000005</v>
          </cell>
          <cell r="AN391">
            <v>1722.5830249999999</v>
          </cell>
          <cell r="AO391">
            <v>664.82086389999995</v>
          </cell>
          <cell r="AP391">
            <v>821.69443769999998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1282.26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1282.26</v>
          </cell>
          <cell r="BH391">
            <v>2976.1569600000003</v>
          </cell>
          <cell r="BI391">
            <v>4503.0962946398622</v>
          </cell>
          <cell r="BJ391">
            <v>0.66091346159809805</v>
          </cell>
          <cell r="BK391">
            <v>0.37616272208442098</v>
          </cell>
          <cell r="BL391">
            <v>0.28475073951367713</v>
          </cell>
        </row>
        <row r="392">
          <cell r="A392" t="str">
            <v>MAQSOODPUR TPS1</v>
          </cell>
          <cell r="B392" t="str">
            <v>MAQSOODPUR TPS</v>
          </cell>
          <cell r="C392">
            <v>45</v>
          </cell>
          <cell r="D392" t="str">
            <v>RAIL</v>
          </cell>
          <cell r="E392" t="str">
            <v/>
          </cell>
          <cell r="F392">
            <v>27.883333</v>
          </cell>
          <cell r="G392">
            <v>79.916667000000004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4503.0962946398622</v>
          </cell>
          <cell r="U392">
            <v>0</v>
          </cell>
          <cell r="V392">
            <v>0</v>
          </cell>
          <cell r="W392">
            <v>0</v>
          </cell>
          <cell r="X392"/>
          <cell r="Y392"/>
          <cell r="Z392"/>
          <cell r="AA392"/>
          <cell r="AB392">
            <v>1693.8969600000003</v>
          </cell>
          <cell r="AC392"/>
          <cell r="AD392"/>
          <cell r="AE392"/>
          <cell r="AF392">
            <v>1693.8969600000003</v>
          </cell>
          <cell r="AG392">
            <v>0</v>
          </cell>
          <cell r="AH392">
            <v>1693.8969600000003</v>
          </cell>
          <cell r="AI392">
            <v>843.46286860000009</v>
          </cell>
          <cell r="AJ392">
            <v>840.0501898</v>
          </cell>
          <cell r="AK392">
            <v>938.64548969999998</v>
          </cell>
          <cell r="AL392">
            <v>1066.374804</v>
          </cell>
          <cell r="AM392">
            <v>595.87056210000003</v>
          </cell>
          <cell r="AN392">
            <v>1968.9906599999999</v>
          </cell>
          <cell r="AO392">
            <v>816.57874769999989</v>
          </cell>
          <cell r="AP392">
            <v>878.77416449999998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1662.78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1662.78</v>
          </cell>
          <cell r="BH392">
            <v>3356.6769600000002</v>
          </cell>
          <cell r="BI392">
            <v>4503.0962946398622</v>
          </cell>
          <cell r="BJ392">
            <v>0.7454153187875483</v>
          </cell>
          <cell r="BK392">
            <v>0.37616272208442098</v>
          </cell>
          <cell r="BL392">
            <v>0.36925259670312732</v>
          </cell>
        </row>
        <row r="393">
          <cell r="A393" t="str">
            <v>MAQSOODPUR TPS2</v>
          </cell>
          <cell r="B393" t="str">
            <v>MAQSOODPUR TPS</v>
          </cell>
          <cell r="C393">
            <v>45</v>
          </cell>
          <cell r="D393" t="str">
            <v>RAIL</v>
          </cell>
          <cell r="E393" t="str">
            <v/>
          </cell>
          <cell r="F393">
            <v>27.883333</v>
          </cell>
          <cell r="G393">
            <v>79.916667000000004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4503.0962946398622</v>
          </cell>
          <cell r="U393">
            <v>0</v>
          </cell>
          <cell r="V393">
            <v>0</v>
          </cell>
          <cell r="W393">
            <v>0</v>
          </cell>
          <cell r="X393"/>
          <cell r="Y393"/>
          <cell r="Z393"/>
          <cell r="AA393"/>
          <cell r="AB393">
            <v>1693.8969600000003</v>
          </cell>
          <cell r="AC393"/>
          <cell r="AD393"/>
          <cell r="AE393"/>
          <cell r="AF393">
            <v>1693.8969600000003</v>
          </cell>
          <cell r="AG393">
            <v>0</v>
          </cell>
          <cell r="AH393">
            <v>1693.8969600000003</v>
          </cell>
          <cell r="AI393">
            <v>843.46286860000009</v>
          </cell>
          <cell r="AJ393">
            <v>840.0501898</v>
          </cell>
          <cell r="AK393">
            <v>938.64548969999998</v>
          </cell>
          <cell r="AL393">
            <v>1066.374804</v>
          </cell>
          <cell r="AM393">
            <v>595.87056210000003</v>
          </cell>
          <cell r="AN393">
            <v>1968.9906599999999</v>
          </cell>
          <cell r="AO393">
            <v>816.57874769999989</v>
          </cell>
          <cell r="AP393">
            <v>878.77416449999998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1662.78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1662.78</v>
          </cell>
          <cell r="BH393">
            <v>3356.6769600000002</v>
          </cell>
          <cell r="BI393">
            <v>4503.0962946398622</v>
          </cell>
          <cell r="BJ393">
            <v>0.7454153187875483</v>
          </cell>
          <cell r="BK393">
            <v>0.37616272208442098</v>
          </cell>
          <cell r="BL393">
            <v>0.36925259670312732</v>
          </cell>
        </row>
        <row r="394">
          <cell r="A394" t="str">
            <v>MEJIA TPS1</v>
          </cell>
          <cell r="B394" t="str">
            <v>MEJIA TPS</v>
          </cell>
          <cell r="C394">
            <v>210</v>
          </cell>
          <cell r="D394" t="str">
            <v>RAIL</v>
          </cell>
          <cell r="E394">
            <v>0.94851363775666564</v>
          </cell>
          <cell r="F394">
            <v>23.463100000000001</v>
          </cell>
          <cell r="G394">
            <v>87.130799999999994</v>
          </cell>
          <cell r="H394">
            <v>0.62570403654386431</v>
          </cell>
          <cell r="I394">
            <v>1.4721365893105742E-2</v>
          </cell>
          <cell r="J394">
            <v>0.31011315523441657</v>
          </cell>
          <cell r="K394">
            <v>4.9461442328613443E-2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4249.9402187184578</v>
          </cell>
          <cell r="Q394">
            <v>4510.7264263643883</v>
          </cell>
          <cell r="R394">
            <v>5472.1287197953916</v>
          </cell>
          <cell r="S394">
            <v>3454.6554881081602</v>
          </cell>
          <cell r="T394" t="e">
            <v>#DIV/0!</v>
          </cell>
          <cell r="U394" t="e">
            <v>#DIV/0!</v>
          </cell>
          <cell r="V394" t="e">
            <v>#DIV/0!</v>
          </cell>
          <cell r="W394" t="e">
            <v>#DIV/0!</v>
          </cell>
          <cell r="X394">
            <v>1006.1685067374608</v>
          </cell>
          <cell r="Y394">
            <v>24.936476933379506</v>
          </cell>
          <cell r="Z394">
            <v>873.2851699209034</v>
          </cell>
          <cell r="AA394">
            <v>71.045460165754577</v>
          </cell>
          <cell r="AB394"/>
          <cell r="AC394"/>
          <cell r="AD394"/>
          <cell r="AE394"/>
          <cell r="AF394">
            <v>1975.4356137574982</v>
          </cell>
          <cell r="AG394">
            <v>0</v>
          </cell>
          <cell r="AH394">
            <v>1975.4356137574982</v>
          </cell>
          <cell r="AI394">
            <v>99.595660539999983</v>
          </cell>
          <cell r="AJ394">
            <v>174.29695009999998</v>
          </cell>
          <cell r="AK394">
            <v>125.96852500000001</v>
          </cell>
          <cell r="AL394">
            <v>438.83783300000005</v>
          </cell>
          <cell r="AM394">
            <v>517.43586959999993</v>
          </cell>
          <cell r="AN394">
            <v>1354.2585539999998</v>
          </cell>
          <cell r="AO394">
            <v>557.38636359999987</v>
          </cell>
          <cell r="AP394">
            <v>1006.400279</v>
          </cell>
          <cell r="AQ394">
            <v>242.56042680659445</v>
          </cell>
          <cell r="AR394">
            <v>10.76517546572429</v>
          </cell>
          <cell r="AS394">
            <v>188.05137688152925</v>
          </cell>
          <cell r="AT394">
            <v>71.4431954511805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512.82017460502846</v>
          </cell>
          <cell r="BH394">
            <v>2488.2557883625268</v>
          </cell>
          <cell r="BI394">
            <v>4593.4601504233742</v>
          </cell>
          <cell r="BJ394">
            <v>0.54169530307848368</v>
          </cell>
          <cell r="BK394">
            <v>0.43005393517464702</v>
          </cell>
          <cell r="BL394">
            <v>0.11164136790383658</v>
          </cell>
        </row>
        <row r="395">
          <cell r="A395" t="str">
            <v>MEJIA TPS2</v>
          </cell>
          <cell r="B395" t="str">
            <v>MEJIA TPS</v>
          </cell>
          <cell r="C395">
            <v>210</v>
          </cell>
          <cell r="D395" t="str">
            <v>RAIL</v>
          </cell>
          <cell r="E395">
            <v>0.94851363775666564</v>
          </cell>
          <cell r="F395">
            <v>23.463100000000001</v>
          </cell>
          <cell r="G395">
            <v>87.130799999999994</v>
          </cell>
          <cell r="H395">
            <v>0.62570403654386431</v>
          </cell>
          <cell r="I395">
            <v>1.4721365893105742E-2</v>
          </cell>
          <cell r="J395">
            <v>0.31011315523441657</v>
          </cell>
          <cell r="K395">
            <v>4.9461442328613443E-2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4249.9402187184578</v>
          </cell>
          <cell r="Q395">
            <v>4510.7264263643883</v>
          </cell>
          <cell r="R395">
            <v>5472.1287197953916</v>
          </cell>
          <cell r="S395">
            <v>3454.6554881081602</v>
          </cell>
          <cell r="T395" t="e">
            <v>#DIV/0!</v>
          </cell>
          <cell r="U395" t="e">
            <v>#DIV/0!</v>
          </cell>
          <cell r="V395" t="e">
            <v>#DIV/0!</v>
          </cell>
          <cell r="W395" t="e">
            <v>#DIV/0!</v>
          </cell>
          <cell r="X395">
            <v>1006.1685067374608</v>
          </cell>
          <cell r="Y395">
            <v>24.936476933379506</v>
          </cell>
          <cell r="Z395">
            <v>873.2851699209034</v>
          </cell>
          <cell r="AA395">
            <v>71.045460165754577</v>
          </cell>
          <cell r="AB395"/>
          <cell r="AC395"/>
          <cell r="AD395"/>
          <cell r="AE395"/>
          <cell r="AF395">
            <v>1975.4356137574982</v>
          </cell>
          <cell r="AG395">
            <v>0</v>
          </cell>
          <cell r="AH395">
            <v>1975.4356137574982</v>
          </cell>
          <cell r="AI395">
            <v>99.595660539999983</v>
          </cell>
          <cell r="AJ395">
            <v>174.29695009999998</v>
          </cell>
          <cell r="AK395">
            <v>125.96852500000001</v>
          </cell>
          <cell r="AL395">
            <v>438.83783300000005</v>
          </cell>
          <cell r="AM395">
            <v>517.43586959999993</v>
          </cell>
          <cell r="AN395">
            <v>1354.2585539999998</v>
          </cell>
          <cell r="AO395">
            <v>557.38636359999987</v>
          </cell>
          <cell r="AP395">
            <v>1006.400279</v>
          </cell>
          <cell r="AQ395">
            <v>242.56042680659445</v>
          </cell>
          <cell r="AR395">
            <v>10.76517546572429</v>
          </cell>
          <cell r="AS395">
            <v>188.05137688152925</v>
          </cell>
          <cell r="AT395">
            <v>71.4431954511805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512.82017460502846</v>
          </cell>
          <cell r="BH395">
            <v>2488.2557883625268</v>
          </cell>
          <cell r="BI395">
            <v>4593.4601504233742</v>
          </cell>
          <cell r="BJ395">
            <v>0.54169530307848368</v>
          </cell>
          <cell r="BK395">
            <v>0.43005393517464702</v>
          </cell>
          <cell r="BL395">
            <v>0.11164136790383658</v>
          </cell>
        </row>
        <row r="396">
          <cell r="A396" t="str">
            <v>MEJIA TPS3</v>
          </cell>
          <cell r="B396" t="str">
            <v>MEJIA TPS</v>
          </cell>
          <cell r="C396">
            <v>210</v>
          </cell>
          <cell r="D396" t="str">
            <v>RAIL</v>
          </cell>
          <cell r="E396">
            <v>0.94851363775666564</v>
          </cell>
          <cell r="F396">
            <v>23.463100000000001</v>
          </cell>
          <cell r="G396">
            <v>87.130799999999994</v>
          </cell>
          <cell r="H396">
            <v>0.62570403654386431</v>
          </cell>
          <cell r="I396">
            <v>1.4721365893105742E-2</v>
          </cell>
          <cell r="J396">
            <v>0.31011315523441657</v>
          </cell>
          <cell r="K396">
            <v>4.9461442328613443E-2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4249.9402187184578</v>
          </cell>
          <cell r="Q396">
            <v>4510.7264263643883</v>
          </cell>
          <cell r="R396">
            <v>5472.1287197953916</v>
          </cell>
          <cell r="S396">
            <v>3454.6554881081602</v>
          </cell>
          <cell r="T396" t="e">
            <v>#DIV/0!</v>
          </cell>
          <cell r="U396" t="e">
            <v>#DIV/0!</v>
          </cell>
          <cell r="V396" t="e">
            <v>#DIV/0!</v>
          </cell>
          <cell r="W396" t="e">
            <v>#DIV/0!</v>
          </cell>
          <cell r="X396">
            <v>1006.1685067374608</v>
          </cell>
          <cell r="Y396">
            <v>24.936476933379506</v>
          </cell>
          <cell r="Z396">
            <v>873.2851699209034</v>
          </cell>
          <cell r="AA396">
            <v>71.045460165754577</v>
          </cell>
          <cell r="AB396"/>
          <cell r="AC396"/>
          <cell r="AD396"/>
          <cell r="AE396"/>
          <cell r="AF396">
            <v>1975.4356137574982</v>
          </cell>
          <cell r="AG396">
            <v>0</v>
          </cell>
          <cell r="AH396">
            <v>1975.4356137574982</v>
          </cell>
          <cell r="AI396">
            <v>99.595660539999983</v>
          </cell>
          <cell r="AJ396">
            <v>174.29695009999998</v>
          </cell>
          <cell r="AK396">
            <v>125.96852500000001</v>
          </cell>
          <cell r="AL396">
            <v>438.83783300000005</v>
          </cell>
          <cell r="AM396">
            <v>517.43586959999993</v>
          </cell>
          <cell r="AN396">
            <v>1354.2585539999998</v>
          </cell>
          <cell r="AO396">
            <v>557.38636359999987</v>
          </cell>
          <cell r="AP396">
            <v>1006.400279</v>
          </cell>
          <cell r="AQ396">
            <v>242.56042680659445</v>
          </cell>
          <cell r="AR396">
            <v>10.76517546572429</v>
          </cell>
          <cell r="AS396">
            <v>188.05137688152925</v>
          </cell>
          <cell r="AT396">
            <v>71.4431954511805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512.82017460502846</v>
          </cell>
          <cell r="BH396">
            <v>2488.2557883625268</v>
          </cell>
          <cell r="BI396">
            <v>4593.4601504233742</v>
          </cell>
          <cell r="BJ396">
            <v>0.54169530307848368</v>
          </cell>
          <cell r="BK396">
            <v>0.43005393517464702</v>
          </cell>
          <cell r="BL396">
            <v>0.11164136790383658</v>
          </cell>
        </row>
        <row r="397">
          <cell r="A397" t="str">
            <v>MEJIA TPS4</v>
          </cell>
          <cell r="B397" t="str">
            <v>MEJIA TPS</v>
          </cell>
          <cell r="C397">
            <v>210</v>
          </cell>
          <cell r="D397" t="str">
            <v>RAIL</v>
          </cell>
          <cell r="E397">
            <v>0.94851363775666564</v>
          </cell>
          <cell r="F397">
            <v>23.463100000000001</v>
          </cell>
          <cell r="G397">
            <v>87.130799999999994</v>
          </cell>
          <cell r="H397">
            <v>0.62570403654386431</v>
          </cell>
          <cell r="I397">
            <v>1.4721365893105742E-2</v>
          </cell>
          <cell r="J397">
            <v>0.31011315523441657</v>
          </cell>
          <cell r="K397">
            <v>4.9461442328613443E-2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4249.9402187184578</v>
          </cell>
          <cell r="Q397">
            <v>4510.7264263643883</v>
          </cell>
          <cell r="R397">
            <v>5472.1287197953916</v>
          </cell>
          <cell r="S397">
            <v>3454.6554881081602</v>
          </cell>
          <cell r="T397" t="e">
            <v>#DIV/0!</v>
          </cell>
          <cell r="U397" t="e">
            <v>#DIV/0!</v>
          </cell>
          <cell r="V397" t="e">
            <v>#DIV/0!</v>
          </cell>
          <cell r="W397" t="e">
            <v>#DIV/0!</v>
          </cell>
          <cell r="X397">
            <v>1006.1685067374608</v>
          </cell>
          <cell r="Y397">
            <v>24.936476933379506</v>
          </cell>
          <cell r="Z397">
            <v>873.2851699209034</v>
          </cell>
          <cell r="AA397">
            <v>71.045460165754577</v>
          </cell>
          <cell r="AB397"/>
          <cell r="AC397"/>
          <cell r="AD397"/>
          <cell r="AE397"/>
          <cell r="AF397">
            <v>1975.4356137574982</v>
          </cell>
          <cell r="AG397">
            <v>0</v>
          </cell>
          <cell r="AH397">
            <v>1975.4356137574982</v>
          </cell>
          <cell r="AI397">
            <v>99.595660539999983</v>
          </cell>
          <cell r="AJ397">
            <v>174.29695009999998</v>
          </cell>
          <cell r="AK397">
            <v>125.96852500000001</v>
          </cell>
          <cell r="AL397">
            <v>438.83783300000005</v>
          </cell>
          <cell r="AM397">
            <v>517.43586959999993</v>
          </cell>
          <cell r="AN397">
            <v>1354.2585539999998</v>
          </cell>
          <cell r="AO397">
            <v>557.38636359999987</v>
          </cell>
          <cell r="AP397">
            <v>1006.400279</v>
          </cell>
          <cell r="AQ397">
            <v>242.56042680659445</v>
          </cell>
          <cell r="AR397">
            <v>10.76517546572429</v>
          </cell>
          <cell r="AS397">
            <v>188.05137688152925</v>
          </cell>
          <cell r="AT397">
            <v>71.4431954511805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512.82017460502846</v>
          </cell>
          <cell r="BH397">
            <v>2488.2557883625268</v>
          </cell>
          <cell r="BI397">
            <v>4593.4601504233742</v>
          </cell>
          <cell r="BJ397">
            <v>0.54169530307848368</v>
          </cell>
          <cell r="BK397">
            <v>0.43005393517464702</v>
          </cell>
          <cell r="BL397">
            <v>0.11164136790383658</v>
          </cell>
        </row>
        <row r="398">
          <cell r="A398" t="str">
            <v>MEJIA TPS5</v>
          </cell>
          <cell r="B398" t="str">
            <v>MEJIA TPS</v>
          </cell>
          <cell r="C398">
            <v>250</v>
          </cell>
          <cell r="D398" t="str">
            <v>RAIL</v>
          </cell>
          <cell r="E398"/>
          <cell r="F398">
            <v>23.463100000000001</v>
          </cell>
          <cell r="G398">
            <v>87.130799999999994</v>
          </cell>
          <cell r="H398">
            <v>0.62570403654386431</v>
          </cell>
          <cell r="I398">
            <v>1.4721365893105742E-2</v>
          </cell>
          <cell r="J398">
            <v>0.31011315523441657</v>
          </cell>
          <cell r="K398">
            <v>4.9461442328613443E-2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4249.9402187184578</v>
          </cell>
          <cell r="Q398">
            <v>4510.7264263643883</v>
          </cell>
          <cell r="R398">
            <v>5472.1287197953916</v>
          </cell>
          <cell r="S398">
            <v>3454.6554881081602</v>
          </cell>
          <cell r="T398" t="e">
            <v>#DIV/0!</v>
          </cell>
          <cell r="U398" t="e">
            <v>#DIV/0!</v>
          </cell>
          <cell r="V398" t="e">
            <v>#DIV/0!</v>
          </cell>
          <cell r="W398" t="e">
            <v>#DIV/0!</v>
          </cell>
          <cell r="X398">
            <v>1006.1685067374608</v>
          </cell>
          <cell r="Y398">
            <v>24.936476933379506</v>
          </cell>
          <cell r="Z398">
            <v>873.2851699209034</v>
          </cell>
          <cell r="AA398">
            <v>71.045460165754577</v>
          </cell>
          <cell r="AB398"/>
          <cell r="AC398"/>
          <cell r="AD398"/>
          <cell r="AE398"/>
          <cell r="AF398">
            <v>1975.4356137574982</v>
          </cell>
          <cell r="AG398">
            <v>0</v>
          </cell>
          <cell r="AH398">
            <v>1975.4356137574982</v>
          </cell>
          <cell r="AI398">
            <v>99.595660539999983</v>
          </cell>
          <cell r="AJ398">
            <v>174.29695009999998</v>
          </cell>
          <cell r="AK398">
            <v>125.96852500000001</v>
          </cell>
          <cell r="AL398">
            <v>438.83783300000005</v>
          </cell>
          <cell r="AM398">
            <v>517.43586959999993</v>
          </cell>
          <cell r="AN398">
            <v>1354.2585539999998</v>
          </cell>
          <cell r="AO398">
            <v>557.38636359999987</v>
          </cell>
          <cell r="AP398">
            <v>1006.400279</v>
          </cell>
          <cell r="AQ398">
            <v>242.56042680659445</v>
          </cell>
          <cell r="AR398">
            <v>10.76517546572429</v>
          </cell>
          <cell r="AS398">
            <v>188.05137688152925</v>
          </cell>
          <cell r="AT398">
            <v>71.4431954511805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512.82017460502846</v>
          </cell>
          <cell r="BH398">
            <v>2488.2557883625268</v>
          </cell>
          <cell r="BI398">
            <v>4593.4601504233742</v>
          </cell>
          <cell r="BJ398">
            <v>0.54169530307848368</v>
          </cell>
          <cell r="BK398">
            <v>0.43005393517464702</v>
          </cell>
          <cell r="BL398">
            <v>0.11164136790383658</v>
          </cell>
        </row>
        <row r="399">
          <cell r="A399" t="str">
            <v>MEJIA TPS6</v>
          </cell>
          <cell r="B399" t="str">
            <v>MEJIA TPS</v>
          </cell>
          <cell r="C399">
            <v>250</v>
          </cell>
          <cell r="D399" t="str">
            <v>RAIL</v>
          </cell>
          <cell r="E399"/>
          <cell r="F399">
            <v>23.463100000000001</v>
          </cell>
          <cell r="G399">
            <v>87.130799999999994</v>
          </cell>
          <cell r="H399">
            <v>0.62570403654386431</v>
          </cell>
          <cell r="I399">
            <v>1.4721365893105742E-2</v>
          </cell>
          <cell r="J399">
            <v>0.31011315523441657</v>
          </cell>
          <cell r="K399">
            <v>4.9461442328613443E-2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4249.9402187184578</v>
          </cell>
          <cell r="Q399">
            <v>4510.7264263643883</v>
          </cell>
          <cell r="R399">
            <v>5472.1287197953916</v>
          </cell>
          <cell r="S399">
            <v>3454.6554881081602</v>
          </cell>
          <cell r="T399" t="e">
            <v>#DIV/0!</v>
          </cell>
          <cell r="U399" t="e">
            <v>#DIV/0!</v>
          </cell>
          <cell r="V399" t="e">
            <v>#DIV/0!</v>
          </cell>
          <cell r="W399" t="e">
            <v>#DIV/0!</v>
          </cell>
          <cell r="X399">
            <v>1006.1685067374608</v>
          </cell>
          <cell r="Y399">
            <v>24.936476933379506</v>
          </cell>
          <cell r="Z399">
            <v>873.2851699209034</v>
          </cell>
          <cell r="AA399">
            <v>71.045460165754577</v>
          </cell>
          <cell r="AB399"/>
          <cell r="AC399"/>
          <cell r="AD399"/>
          <cell r="AE399"/>
          <cell r="AF399">
            <v>1975.4356137574982</v>
          </cell>
          <cell r="AG399">
            <v>0</v>
          </cell>
          <cell r="AH399">
            <v>1975.4356137574982</v>
          </cell>
          <cell r="AI399">
            <v>99.595660539999983</v>
          </cell>
          <cell r="AJ399">
            <v>174.29695009999998</v>
          </cell>
          <cell r="AK399">
            <v>125.96852500000001</v>
          </cell>
          <cell r="AL399">
            <v>438.83783300000005</v>
          </cell>
          <cell r="AM399">
            <v>517.43586959999993</v>
          </cell>
          <cell r="AN399">
            <v>1354.2585539999998</v>
          </cell>
          <cell r="AO399">
            <v>557.38636359999987</v>
          </cell>
          <cell r="AP399">
            <v>1006.400279</v>
          </cell>
          <cell r="AQ399">
            <v>242.56042680659445</v>
          </cell>
          <cell r="AR399">
            <v>10.76517546572429</v>
          </cell>
          <cell r="AS399">
            <v>188.05137688152925</v>
          </cell>
          <cell r="AT399">
            <v>71.4431954511805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512.82017460502846</v>
          </cell>
          <cell r="BH399">
            <v>2488.2557883625268</v>
          </cell>
          <cell r="BI399">
            <v>4593.4601504233742</v>
          </cell>
          <cell r="BJ399">
            <v>0.54169530307848368</v>
          </cell>
          <cell r="BK399">
            <v>0.43005393517464702</v>
          </cell>
          <cell r="BL399">
            <v>0.11164136790383658</v>
          </cell>
        </row>
        <row r="400">
          <cell r="A400" t="str">
            <v>METTUR TPS1</v>
          </cell>
          <cell r="B400" t="str">
            <v>METTUR TPS</v>
          </cell>
          <cell r="C400">
            <v>210</v>
          </cell>
          <cell r="D400" t="str">
            <v>INTER MODAL</v>
          </cell>
          <cell r="E400">
            <v>1.0678995307756003</v>
          </cell>
          <cell r="F400">
            <v>11.7719</v>
          </cell>
          <cell r="G400">
            <v>77.813599999999994</v>
          </cell>
          <cell r="H400">
            <v>0</v>
          </cell>
          <cell r="I400">
            <v>0</v>
          </cell>
          <cell r="J400">
            <v>0</v>
          </cell>
          <cell r="K400">
            <v>0.99875650603637378</v>
          </cell>
          <cell r="L400">
            <v>0</v>
          </cell>
          <cell r="M400">
            <v>0</v>
          </cell>
          <cell r="N400">
            <v>0</v>
          </cell>
          <cell r="O400">
            <v>1.243493963626219E-3</v>
          </cell>
          <cell r="P400" t="e">
            <v>#DIV/0!</v>
          </cell>
          <cell r="Q400" t="e">
            <v>#DIV/0!</v>
          </cell>
          <cell r="R400" t="e">
            <v>#DIV/0!</v>
          </cell>
          <cell r="S400">
            <v>3766.7266701417361</v>
          </cell>
          <cell r="T400" t="e">
            <v>#DIV/0!</v>
          </cell>
          <cell r="U400" t="e">
            <v>#DIV/0!</v>
          </cell>
          <cell r="V400" t="e">
            <v>#DIV/0!</v>
          </cell>
          <cell r="W400">
            <v>4351.2115792472541</v>
          </cell>
          <cell r="X400"/>
          <cell r="Y400"/>
          <cell r="Z400"/>
          <cell r="AA400">
            <v>1520.3265693150456</v>
          </cell>
          <cell r="AB400"/>
          <cell r="AC400"/>
          <cell r="AD400"/>
          <cell r="AE400">
            <v>2.1063506447648033</v>
          </cell>
          <cell r="AF400">
            <v>1522.4329199598105</v>
          </cell>
          <cell r="AG400">
            <v>0.20637747185706132</v>
          </cell>
          <cell r="AH400">
            <v>2287.7976181508288</v>
          </cell>
          <cell r="AI400">
            <v>1896.7804329999999</v>
          </cell>
          <cell r="AJ400">
            <v>1839.937555</v>
          </cell>
          <cell r="AK400">
            <v>1992.1484419999999</v>
          </cell>
          <cell r="AL400">
            <v>1561.2266219999999</v>
          </cell>
          <cell r="AM400">
            <v>1828.7329869999999</v>
          </cell>
          <cell r="AN400">
            <v>3201.8282220000001</v>
          </cell>
          <cell r="AO400">
            <v>1529.422478</v>
          </cell>
          <cell r="AP400">
            <v>1196.0708030000001</v>
          </cell>
          <cell r="AQ400">
            <v>0</v>
          </cell>
          <cell r="AR400">
            <v>0</v>
          </cell>
          <cell r="AS400">
            <v>0</v>
          </cell>
          <cell r="AT400">
            <v>3582.4656791710258</v>
          </cell>
          <cell r="AU400">
            <v>0</v>
          </cell>
          <cell r="AV400">
            <v>0</v>
          </cell>
          <cell r="AW400">
            <v>0</v>
          </cell>
          <cell r="AX400">
            <v>3.6386896534716966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2846.0132153709351</v>
          </cell>
          <cell r="BH400">
            <v>5133.8108335217639</v>
          </cell>
          <cell r="BI400">
            <v>3767.4534735980392</v>
          </cell>
          <cell r="BJ400">
            <v>1.3626739837662307</v>
          </cell>
          <cell r="BK400">
            <v>0.60725305147986564</v>
          </cell>
          <cell r="BL400">
            <v>0.75542093228636498</v>
          </cell>
        </row>
        <row r="401">
          <cell r="A401" t="str">
            <v>METTUR TPS2</v>
          </cell>
          <cell r="B401" t="str">
            <v>METTUR TPS</v>
          </cell>
          <cell r="C401">
            <v>210</v>
          </cell>
          <cell r="D401" t="str">
            <v>INTER MODAL</v>
          </cell>
          <cell r="E401">
            <v>1.0678995307756003</v>
          </cell>
          <cell r="F401">
            <v>11.7719</v>
          </cell>
          <cell r="G401">
            <v>77.813599999999994</v>
          </cell>
          <cell r="H401">
            <v>0</v>
          </cell>
          <cell r="I401">
            <v>0</v>
          </cell>
          <cell r="J401">
            <v>0</v>
          </cell>
          <cell r="K401">
            <v>0.99875650603637378</v>
          </cell>
          <cell r="L401">
            <v>0</v>
          </cell>
          <cell r="M401">
            <v>0</v>
          </cell>
          <cell r="N401">
            <v>0</v>
          </cell>
          <cell r="O401">
            <v>1.243493963626219E-3</v>
          </cell>
          <cell r="P401" t="e">
            <v>#DIV/0!</v>
          </cell>
          <cell r="Q401" t="e">
            <v>#DIV/0!</v>
          </cell>
          <cell r="R401" t="e">
            <v>#DIV/0!</v>
          </cell>
          <cell r="S401">
            <v>3766.7266701417361</v>
          </cell>
          <cell r="T401" t="e">
            <v>#DIV/0!</v>
          </cell>
          <cell r="U401" t="e">
            <v>#DIV/0!</v>
          </cell>
          <cell r="V401" t="e">
            <v>#DIV/0!</v>
          </cell>
          <cell r="W401">
            <v>4351.2115792472541</v>
          </cell>
          <cell r="X401"/>
          <cell r="Y401"/>
          <cell r="Z401"/>
          <cell r="AA401">
            <v>1520.3265693150456</v>
          </cell>
          <cell r="AB401"/>
          <cell r="AC401"/>
          <cell r="AD401"/>
          <cell r="AE401">
            <v>2.1063506447648033</v>
          </cell>
          <cell r="AF401">
            <v>1522.4329199598105</v>
          </cell>
          <cell r="AG401">
            <v>0.20637747185706132</v>
          </cell>
          <cell r="AH401">
            <v>2287.7976181508288</v>
          </cell>
          <cell r="AI401">
            <v>1896.7804329999999</v>
          </cell>
          <cell r="AJ401">
            <v>1839.937555</v>
          </cell>
          <cell r="AK401">
            <v>1992.1484419999999</v>
          </cell>
          <cell r="AL401">
            <v>1561.2266219999999</v>
          </cell>
          <cell r="AM401">
            <v>1828.7329869999999</v>
          </cell>
          <cell r="AN401">
            <v>3201.8282220000001</v>
          </cell>
          <cell r="AO401">
            <v>1529.422478</v>
          </cell>
          <cell r="AP401">
            <v>1196.0708030000001</v>
          </cell>
          <cell r="AQ401">
            <v>0</v>
          </cell>
          <cell r="AR401">
            <v>0</v>
          </cell>
          <cell r="AS401">
            <v>0</v>
          </cell>
          <cell r="AT401">
            <v>3582.4656791710258</v>
          </cell>
          <cell r="AU401">
            <v>0</v>
          </cell>
          <cell r="AV401">
            <v>0</v>
          </cell>
          <cell r="AW401">
            <v>0</v>
          </cell>
          <cell r="AX401">
            <v>3.6386896534716966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2846.0132153709351</v>
          </cell>
          <cell r="BH401">
            <v>5133.8108335217639</v>
          </cell>
          <cell r="BI401">
            <v>3767.4534735980392</v>
          </cell>
          <cell r="BJ401">
            <v>1.3626739837662307</v>
          </cell>
          <cell r="BK401">
            <v>0.60725305147986564</v>
          </cell>
          <cell r="BL401">
            <v>0.75542093228636498</v>
          </cell>
        </row>
        <row r="402">
          <cell r="A402" t="str">
            <v>METTUR TPS3</v>
          </cell>
          <cell r="B402" t="str">
            <v>METTUR TPS</v>
          </cell>
          <cell r="C402">
            <v>210</v>
          </cell>
          <cell r="D402" t="str">
            <v>INTER MODAL</v>
          </cell>
          <cell r="E402">
            <v>1.0678995307756003</v>
          </cell>
          <cell r="F402">
            <v>11.7719</v>
          </cell>
          <cell r="G402">
            <v>77.813599999999994</v>
          </cell>
          <cell r="H402">
            <v>0</v>
          </cell>
          <cell r="I402">
            <v>0</v>
          </cell>
          <cell r="J402">
            <v>0</v>
          </cell>
          <cell r="K402">
            <v>0.99875650603637378</v>
          </cell>
          <cell r="L402">
            <v>0</v>
          </cell>
          <cell r="M402">
            <v>0</v>
          </cell>
          <cell r="N402">
            <v>0</v>
          </cell>
          <cell r="O402">
            <v>1.243493963626219E-3</v>
          </cell>
          <cell r="P402" t="e">
            <v>#DIV/0!</v>
          </cell>
          <cell r="Q402" t="e">
            <v>#DIV/0!</v>
          </cell>
          <cell r="R402" t="e">
            <v>#DIV/0!</v>
          </cell>
          <cell r="S402">
            <v>3766.7266701417361</v>
          </cell>
          <cell r="T402" t="e">
            <v>#DIV/0!</v>
          </cell>
          <cell r="U402" t="e">
            <v>#DIV/0!</v>
          </cell>
          <cell r="V402" t="e">
            <v>#DIV/0!</v>
          </cell>
          <cell r="W402">
            <v>4351.2115792472541</v>
          </cell>
          <cell r="X402"/>
          <cell r="Y402"/>
          <cell r="Z402"/>
          <cell r="AA402">
            <v>1520.3265693150456</v>
          </cell>
          <cell r="AB402"/>
          <cell r="AC402"/>
          <cell r="AD402"/>
          <cell r="AE402">
            <v>2.1063506447648033</v>
          </cell>
          <cell r="AF402">
            <v>1522.4329199598105</v>
          </cell>
          <cell r="AG402">
            <v>0.20637747185706132</v>
          </cell>
          <cell r="AH402">
            <v>2287.7976181508288</v>
          </cell>
          <cell r="AI402">
            <v>1896.7804329999999</v>
          </cell>
          <cell r="AJ402">
            <v>1839.937555</v>
          </cell>
          <cell r="AK402">
            <v>1992.1484419999999</v>
          </cell>
          <cell r="AL402">
            <v>1561.2266219999999</v>
          </cell>
          <cell r="AM402">
            <v>1828.7329869999999</v>
          </cell>
          <cell r="AN402">
            <v>3201.8282220000001</v>
          </cell>
          <cell r="AO402">
            <v>1529.422478</v>
          </cell>
          <cell r="AP402">
            <v>1196.0708030000001</v>
          </cell>
          <cell r="AQ402">
            <v>0</v>
          </cell>
          <cell r="AR402">
            <v>0</v>
          </cell>
          <cell r="AS402">
            <v>0</v>
          </cell>
          <cell r="AT402">
            <v>3582.4656791710258</v>
          </cell>
          <cell r="AU402">
            <v>0</v>
          </cell>
          <cell r="AV402">
            <v>0</v>
          </cell>
          <cell r="AW402">
            <v>0</v>
          </cell>
          <cell r="AX402">
            <v>3.6386896534716966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2846.0132153709351</v>
          </cell>
          <cell r="BH402">
            <v>5133.8108335217639</v>
          </cell>
          <cell r="BI402">
            <v>3767.4534735980392</v>
          </cell>
          <cell r="BJ402">
            <v>1.3626739837662307</v>
          </cell>
          <cell r="BK402">
            <v>0.60725305147986564</v>
          </cell>
          <cell r="BL402">
            <v>0.75542093228636498</v>
          </cell>
        </row>
        <row r="403">
          <cell r="A403" t="str">
            <v>METTUR TPS4</v>
          </cell>
          <cell r="B403" t="str">
            <v>METTUR TPS</v>
          </cell>
          <cell r="C403">
            <v>210</v>
          </cell>
          <cell r="D403" t="str">
            <v>INTER MODAL</v>
          </cell>
          <cell r="E403">
            <v>1.0678995307756003</v>
          </cell>
          <cell r="F403">
            <v>11.7719</v>
          </cell>
          <cell r="G403">
            <v>77.813599999999994</v>
          </cell>
          <cell r="H403">
            <v>0</v>
          </cell>
          <cell r="I403">
            <v>0</v>
          </cell>
          <cell r="J403">
            <v>0</v>
          </cell>
          <cell r="K403">
            <v>0.99875650603637378</v>
          </cell>
          <cell r="L403">
            <v>0</v>
          </cell>
          <cell r="M403">
            <v>0</v>
          </cell>
          <cell r="N403">
            <v>0</v>
          </cell>
          <cell r="O403">
            <v>1.243493963626219E-3</v>
          </cell>
          <cell r="P403" t="e">
            <v>#DIV/0!</v>
          </cell>
          <cell r="Q403" t="e">
            <v>#DIV/0!</v>
          </cell>
          <cell r="R403" t="e">
            <v>#DIV/0!</v>
          </cell>
          <cell r="S403">
            <v>3766.7266701417361</v>
          </cell>
          <cell r="T403" t="e">
            <v>#DIV/0!</v>
          </cell>
          <cell r="U403" t="e">
            <v>#DIV/0!</v>
          </cell>
          <cell r="V403" t="e">
            <v>#DIV/0!</v>
          </cell>
          <cell r="W403">
            <v>4351.2115792472541</v>
          </cell>
          <cell r="X403"/>
          <cell r="Y403"/>
          <cell r="Z403"/>
          <cell r="AA403">
            <v>1520.3265693150456</v>
          </cell>
          <cell r="AB403"/>
          <cell r="AC403"/>
          <cell r="AD403"/>
          <cell r="AE403">
            <v>2.1063506447648033</v>
          </cell>
          <cell r="AF403">
            <v>1522.4329199598105</v>
          </cell>
          <cell r="AG403">
            <v>0.20637747185706132</v>
          </cell>
          <cell r="AH403">
            <v>2287.7976181508288</v>
          </cell>
          <cell r="AI403">
            <v>1896.7804329999999</v>
          </cell>
          <cell r="AJ403">
            <v>1839.937555</v>
          </cell>
          <cell r="AK403">
            <v>1992.1484419999999</v>
          </cell>
          <cell r="AL403">
            <v>1561.2266219999999</v>
          </cell>
          <cell r="AM403">
            <v>1828.7329869999999</v>
          </cell>
          <cell r="AN403">
            <v>3201.8282220000001</v>
          </cell>
          <cell r="AO403">
            <v>1529.422478</v>
          </cell>
          <cell r="AP403">
            <v>1196.0708030000001</v>
          </cell>
          <cell r="AQ403">
            <v>0</v>
          </cell>
          <cell r="AR403">
            <v>0</v>
          </cell>
          <cell r="AS403">
            <v>0</v>
          </cell>
          <cell r="AT403">
            <v>3582.4656791710258</v>
          </cell>
          <cell r="AU403">
            <v>0</v>
          </cell>
          <cell r="AV403">
            <v>0</v>
          </cell>
          <cell r="AW403">
            <v>0</v>
          </cell>
          <cell r="AX403">
            <v>3.6386896534716966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2846.0132153709351</v>
          </cell>
          <cell r="BH403">
            <v>5133.8108335217639</v>
          </cell>
          <cell r="BI403">
            <v>3767.4534735980392</v>
          </cell>
          <cell r="BJ403">
            <v>1.3626739837662307</v>
          </cell>
          <cell r="BK403">
            <v>0.60725305147986564</v>
          </cell>
          <cell r="BL403">
            <v>0.75542093228636498</v>
          </cell>
        </row>
        <row r="404">
          <cell r="A404" t="str">
            <v>MUNDRA TPS1</v>
          </cell>
          <cell r="B404" t="str">
            <v>MUNDRA TPS</v>
          </cell>
          <cell r="C404">
            <v>330</v>
          </cell>
          <cell r="D404"/>
          <cell r="E404" t="str">
            <v/>
          </cell>
          <cell r="F404">
            <v>22.822777777777777</v>
          </cell>
          <cell r="G404">
            <v>69.552777777777777</v>
          </cell>
          <cell r="H404">
            <v>0</v>
          </cell>
          <cell r="I404">
            <v>0</v>
          </cell>
          <cell r="J404">
            <v>0</v>
          </cell>
          <cell r="K404">
            <v>0.98977898287024912</v>
          </cell>
          <cell r="L404">
            <v>0</v>
          </cell>
          <cell r="M404">
            <v>0</v>
          </cell>
          <cell r="N404">
            <v>1.0221017129750834E-2</v>
          </cell>
          <cell r="O404">
            <v>0</v>
          </cell>
          <cell r="P404" t="e">
            <v>#DIV/0!</v>
          </cell>
          <cell r="Q404" t="e">
            <v>#DIV/0!</v>
          </cell>
          <cell r="R404" t="e">
            <v>#DIV/0!</v>
          </cell>
          <cell r="S404">
            <v>3265.1177795710737</v>
          </cell>
          <cell r="T404" t="e">
            <v>#DIV/0!</v>
          </cell>
          <cell r="U404" t="e">
            <v>#DIV/0!</v>
          </cell>
          <cell r="V404">
            <v>4150</v>
          </cell>
          <cell r="W404" t="e">
            <v>#DIV/0!</v>
          </cell>
          <cell r="X404"/>
          <cell r="Y404"/>
          <cell r="Z404"/>
          <cell r="AA404">
            <v>1336.7380079012332</v>
          </cell>
          <cell r="AB404"/>
          <cell r="AC404"/>
          <cell r="AD404">
            <v>16.435990407836293</v>
          </cell>
          <cell r="AE404"/>
          <cell r="AF404">
            <v>1353.1739983090695</v>
          </cell>
          <cell r="AG404">
            <v>1</v>
          </cell>
          <cell r="AH404">
            <v>5231</v>
          </cell>
          <cell r="AI404">
            <v>1990.0536219999997</v>
          </cell>
          <cell r="AJ404">
            <v>1942.830829</v>
          </cell>
          <cell r="AK404">
            <v>2085.2362430000003</v>
          </cell>
          <cell r="AL404">
            <v>1860.5484210000002</v>
          </cell>
          <cell r="AM404">
            <v>1574.3971219999999</v>
          </cell>
          <cell r="AN404">
            <v>3141.9116420000005</v>
          </cell>
          <cell r="AO404">
            <v>1585.08365</v>
          </cell>
          <cell r="AP404">
            <v>1206.2786140000001</v>
          </cell>
          <cell r="AQ404">
            <v>0</v>
          </cell>
          <cell r="AR404">
            <v>0</v>
          </cell>
          <cell r="AS404">
            <v>0</v>
          </cell>
          <cell r="AT404">
            <v>3811.4112138672695</v>
          </cell>
          <cell r="AU404">
            <v>0</v>
          </cell>
          <cell r="AV404">
            <v>0</v>
          </cell>
          <cell r="AW404">
            <v>36.847482223950841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5231</v>
          </cell>
          <cell r="BI404">
            <v>3274.1621759038899</v>
          </cell>
          <cell r="BJ404">
            <v>1.5976606285716104</v>
          </cell>
          <cell r="BK404">
            <v>1.5976606285716104</v>
          </cell>
          <cell r="BL404">
            <v>0</v>
          </cell>
        </row>
        <row r="405">
          <cell r="A405" t="str">
            <v>MUNDRA TPS2</v>
          </cell>
          <cell r="B405" t="str">
            <v>MUNDRA TPS</v>
          </cell>
          <cell r="C405">
            <v>330</v>
          </cell>
          <cell r="D405"/>
          <cell r="E405" t="str">
            <v/>
          </cell>
          <cell r="F405">
            <v>22.822777777777777</v>
          </cell>
          <cell r="G405">
            <v>69.552777777777777</v>
          </cell>
          <cell r="H405">
            <v>0</v>
          </cell>
          <cell r="I405">
            <v>0</v>
          </cell>
          <cell r="J405">
            <v>0</v>
          </cell>
          <cell r="K405">
            <v>0.98977898287024912</v>
          </cell>
          <cell r="L405">
            <v>0</v>
          </cell>
          <cell r="M405">
            <v>0</v>
          </cell>
          <cell r="N405">
            <v>1.0221017129750834E-2</v>
          </cell>
          <cell r="O405">
            <v>0</v>
          </cell>
          <cell r="P405" t="e">
            <v>#DIV/0!</v>
          </cell>
          <cell r="Q405" t="e">
            <v>#DIV/0!</v>
          </cell>
          <cell r="R405" t="e">
            <v>#DIV/0!</v>
          </cell>
          <cell r="S405">
            <v>3265.1177795710737</v>
          </cell>
          <cell r="T405" t="e">
            <v>#DIV/0!</v>
          </cell>
          <cell r="U405" t="e">
            <v>#DIV/0!</v>
          </cell>
          <cell r="V405">
            <v>4150</v>
          </cell>
          <cell r="W405" t="e">
            <v>#DIV/0!</v>
          </cell>
          <cell r="X405"/>
          <cell r="Y405"/>
          <cell r="Z405"/>
          <cell r="AA405">
            <v>1336.7380079012332</v>
          </cell>
          <cell r="AB405"/>
          <cell r="AC405"/>
          <cell r="AD405">
            <v>16.435990407836293</v>
          </cell>
          <cell r="AE405"/>
          <cell r="AF405">
            <v>1353.1739983090695</v>
          </cell>
          <cell r="AG405">
            <v>1</v>
          </cell>
          <cell r="AH405">
            <v>5231</v>
          </cell>
          <cell r="AI405">
            <v>1990.0536219999997</v>
          </cell>
          <cell r="AJ405">
            <v>1942.830829</v>
          </cell>
          <cell r="AK405">
            <v>2085.2362430000003</v>
          </cell>
          <cell r="AL405">
            <v>1860.5484210000002</v>
          </cell>
          <cell r="AM405">
            <v>1574.3971219999999</v>
          </cell>
          <cell r="AN405">
            <v>3141.9116420000005</v>
          </cell>
          <cell r="AO405">
            <v>1585.08365</v>
          </cell>
          <cell r="AP405">
            <v>1206.2786140000001</v>
          </cell>
          <cell r="AQ405">
            <v>0</v>
          </cell>
          <cell r="AR405">
            <v>0</v>
          </cell>
          <cell r="AS405">
            <v>0</v>
          </cell>
          <cell r="AT405">
            <v>3811.4112138672695</v>
          </cell>
          <cell r="AU405">
            <v>0</v>
          </cell>
          <cell r="AV405">
            <v>0</v>
          </cell>
          <cell r="AW405">
            <v>36.847482223950841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5231</v>
          </cell>
          <cell r="BI405">
            <v>3274.1621759038899</v>
          </cell>
          <cell r="BJ405">
            <v>1.5976606285716104</v>
          </cell>
          <cell r="BK405">
            <v>1.5976606285716104</v>
          </cell>
          <cell r="BL405">
            <v>0</v>
          </cell>
        </row>
        <row r="406">
          <cell r="A406" t="str">
            <v>MUNDRA TPS3</v>
          </cell>
          <cell r="B406" t="str">
            <v>MUNDRA TPS</v>
          </cell>
          <cell r="C406">
            <v>330</v>
          </cell>
          <cell r="D406"/>
          <cell r="E406" t="str">
            <v/>
          </cell>
          <cell r="F406">
            <v>22.822777777777777</v>
          </cell>
          <cell r="G406">
            <v>69.552777777777777</v>
          </cell>
          <cell r="H406">
            <v>0</v>
          </cell>
          <cell r="I406">
            <v>0</v>
          </cell>
          <cell r="J406">
            <v>0</v>
          </cell>
          <cell r="K406">
            <v>0.98977898287024912</v>
          </cell>
          <cell r="L406">
            <v>0</v>
          </cell>
          <cell r="M406">
            <v>0</v>
          </cell>
          <cell r="N406">
            <v>1.0221017129750834E-2</v>
          </cell>
          <cell r="O406">
            <v>0</v>
          </cell>
          <cell r="P406" t="e">
            <v>#DIV/0!</v>
          </cell>
          <cell r="Q406" t="e">
            <v>#DIV/0!</v>
          </cell>
          <cell r="R406" t="e">
            <v>#DIV/0!</v>
          </cell>
          <cell r="S406">
            <v>3265.1177795710737</v>
          </cell>
          <cell r="T406" t="e">
            <v>#DIV/0!</v>
          </cell>
          <cell r="U406" t="e">
            <v>#DIV/0!</v>
          </cell>
          <cell r="V406">
            <v>4150</v>
          </cell>
          <cell r="W406" t="e">
            <v>#DIV/0!</v>
          </cell>
          <cell r="X406"/>
          <cell r="Y406"/>
          <cell r="Z406"/>
          <cell r="AA406">
            <v>1336.7380079012332</v>
          </cell>
          <cell r="AB406"/>
          <cell r="AC406"/>
          <cell r="AD406">
            <v>16.435990407836293</v>
          </cell>
          <cell r="AE406"/>
          <cell r="AF406">
            <v>1353.1739983090695</v>
          </cell>
          <cell r="AG406">
            <v>1</v>
          </cell>
          <cell r="AH406">
            <v>5231</v>
          </cell>
          <cell r="AI406">
            <v>1990.0536219999997</v>
          </cell>
          <cell r="AJ406">
            <v>1942.830829</v>
          </cell>
          <cell r="AK406">
            <v>2085.2362430000003</v>
          </cell>
          <cell r="AL406">
            <v>1860.5484210000002</v>
          </cell>
          <cell r="AM406">
            <v>1574.3971219999999</v>
          </cell>
          <cell r="AN406">
            <v>3141.9116420000005</v>
          </cell>
          <cell r="AO406">
            <v>1585.08365</v>
          </cell>
          <cell r="AP406">
            <v>1206.2786140000001</v>
          </cell>
          <cell r="AQ406">
            <v>0</v>
          </cell>
          <cell r="AR406">
            <v>0</v>
          </cell>
          <cell r="AS406">
            <v>0</v>
          </cell>
          <cell r="AT406">
            <v>3811.4112138672695</v>
          </cell>
          <cell r="AU406">
            <v>0</v>
          </cell>
          <cell r="AV406">
            <v>0</v>
          </cell>
          <cell r="AW406">
            <v>36.847482223950841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5231</v>
          </cell>
          <cell r="BI406">
            <v>3274.1621759038899</v>
          </cell>
          <cell r="BJ406">
            <v>1.5976606285716104</v>
          </cell>
          <cell r="BK406">
            <v>1.5976606285716104</v>
          </cell>
          <cell r="BL406">
            <v>0</v>
          </cell>
        </row>
        <row r="407">
          <cell r="A407" t="str">
            <v>MUNDRA TPS4</v>
          </cell>
          <cell r="B407" t="str">
            <v>MUNDRA TPS</v>
          </cell>
          <cell r="C407">
            <v>330</v>
          </cell>
          <cell r="D407"/>
          <cell r="E407" t="str">
            <v/>
          </cell>
          <cell r="F407">
            <v>22.822777777777777</v>
          </cell>
          <cell r="G407">
            <v>69.552777777777777</v>
          </cell>
          <cell r="H407">
            <v>0</v>
          </cell>
          <cell r="I407">
            <v>0</v>
          </cell>
          <cell r="J407">
            <v>0</v>
          </cell>
          <cell r="K407">
            <v>0.98977898287024912</v>
          </cell>
          <cell r="L407">
            <v>0</v>
          </cell>
          <cell r="M407">
            <v>0</v>
          </cell>
          <cell r="N407">
            <v>1.0221017129750834E-2</v>
          </cell>
          <cell r="O407">
            <v>0</v>
          </cell>
          <cell r="P407" t="e">
            <v>#DIV/0!</v>
          </cell>
          <cell r="Q407" t="e">
            <v>#DIV/0!</v>
          </cell>
          <cell r="R407" t="e">
            <v>#DIV/0!</v>
          </cell>
          <cell r="S407">
            <v>3265.1177795710737</v>
          </cell>
          <cell r="T407" t="e">
            <v>#DIV/0!</v>
          </cell>
          <cell r="U407" t="e">
            <v>#DIV/0!</v>
          </cell>
          <cell r="V407">
            <v>4150</v>
          </cell>
          <cell r="W407" t="e">
            <v>#DIV/0!</v>
          </cell>
          <cell r="X407"/>
          <cell r="Y407"/>
          <cell r="Z407"/>
          <cell r="AA407">
            <v>1336.7380079012332</v>
          </cell>
          <cell r="AB407"/>
          <cell r="AC407"/>
          <cell r="AD407">
            <v>16.435990407836293</v>
          </cell>
          <cell r="AE407"/>
          <cell r="AF407">
            <v>1353.1739983090695</v>
          </cell>
          <cell r="AG407">
            <v>1</v>
          </cell>
          <cell r="AH407">
            <v>5231</v>
          </cell>
          <cell r="AI407">
            <v>1990.0536219999997</v>
          </cell>
          <cell r="AJ407">
            <v>1942.830829</v>
          </cell>
          <cell r="AK407">
            <v>2085.2362430000003</v>
          </cell>
          <cell r="AL407">
            <v>1860.5484210000002</v>
          </cell>
          <cell r="AM407">
            <v>1574.3971219999999</v>
          </cell>
          <cell r="AN407">
            <v>3141.9116420000005</v>
          </cell>
          <cell r="AO407">
            <v>1585.08365</v>
          </cell>
          <cell r="AP407">
            <v>1206.2786140000001</v>
          </cell>
          <cell r="AQ407">
            <v>0</v>
          </cell>
          <cell r="AR407">
            <v>0</v>
          </cell>
          <cell r="AS407">
            <v>0</v>
          </cell>
          <cell r="AT407">
            <v>3811.4112138672695</v>
          </cell>
          <cell r="AU407">
            <v>0</v>
          </cell>
          <cell r="AV407">
            <v>0</v>
          </cell>
          <cell r="AW407">
            <v>36.847482223950841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5231</v>
          </cell>
          <cell r="BI407">
            <v>3274.1621759038899</v>
          </cell>
          <cell r="BJ407">
            <v>1.5976606285716104</v>
          </cell>
          <cell r="BK407">
            <v>1.5976606285716104</v>
          </cell>
          <cell r="BL407">
            <v>0</v>
          </cell>
        </row>
        <row r="408">
          <cell r="A408" t="str">
            <v>MUZAFFARPUR TPS1</v>
          </cell>
          <cell r="B408" t="str">
            <v>MUZAFFARPUR TPS</v>
          </cell>
          <cell r="C408">
            <v>110</v>
          </cell>
          <cell r="D408" t="str">
            <v>RAIL</v>
          </cell>
          <cell r="E408">
            <v>1.1059484299208577</v>
          </cell>
          <cell r="F408">
            <v>26.195</v>
          </cell>
          <cell r="G408">
            <v>85.302000000000007</v>
          </cell>
          <cell r="H408">
            <v>0</v>
          </cell>
          <cell r="I408">
            <v>0.8177148238755908</v>
          </cell>
          <cell r="J408">
            <v>0.18228517612440923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 t="e">
            <v>#DIV/0!</v>
          </cell>
          <cell r="Q408">
            <v>4316.4489666774216</v>
          </cell>
          <cell r="R408">
            <v>5980.4871446021834</v>
          </cell>
          <cell r="S408" t="e">
            <v>#DIV/0!</v>
          </cell>
          <cell r="T408" t="e">
            <v>#DIV/0!</v>
          </cell>
          <cell r="U408" t="e">
            <v>#DIV/0!</v>
          </cell>
          <cell r="V408" t="e">
            <v>#DIV/0!</v>
          </cell>
          <cell r="W408" t="e">
            <v>#DIV/0!</v>
          </cell>
          <cell r="X408"/>
          <cell r="Y408">
            <v>1385.1246543097989</v>
          </cell>
          <cell r="Z408">
            <v>697.22940220665407</v>
          </cell>
          <cell r="AA408"/>
          <cell r="AB408"/>
          <cell r="AC408"/>
          <cell r="AD408"/>
          <cell r="AE408"/>
          <cell r="AF408">
            <v>2082.3540565164531</v>
          </cell>
          <cell r="AG408">
            <v>0</v>
          </cell>
          <cell r="AH408">
            <v>2082.3540565164531</v>
          </cell>
          <cell r="AI408">
            <v>351.33882249999999</v>
          </cell>
          <cell r="AJ408">
            <v>374.28735139999998</v>
          </cell>
          <cell r="AK408">
            <v>334.04614079999999</v>
          </cell>
          <cell r="AL408">
            <v>671.2489963999999</v>
          </cell>
          <cell r="AM408">
            <v>444.66513829999997</v>
          </cell>
          <cell r="AN408">
            <v>1282.3788039999999</v>
          </cell>
          <cell r="AO408">
            <v>618.32881359999999</v>
          </cell>
          <cell r="AP408">
            <v>996.68618019999997</v>
          </cell>
          <cell r="AQ408">
            <v>0</v>
          </cell>
          <cell r="AR408">
            <v>1048.523010062715</v>
          </cell>
          <cell r="AS408">
            <v>204.15429327440685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1252.6773033371219</v>
          </cell>
          <cell r="BH408">
            <v>3335.0313598535749</v>
          </cell>
          <cell r="BI408">
            <v>4619.7784590181791</v>
          </cell>
          <cell r="BJ408">
            <v>0.72190287682374155</v>
          </cell>
          <cell r="BK408">
            <v>0.45074760077542908</v>
          </cell>
          <cell r="BL408">
            <v>0.27115527604831247</v>
          </cell>
        </row>
        <row r="409">
          <cell r="A409" t="str">
            <v>MUZAFFARPUR TPS2</v>
          </cell>
          <cell r="B409" t="str">
            <v>MUZAFFARPUR TPS</v>
          </cell>
          <cell r="C409">
            <v>110</v>
          </cell>
          <cell r="D409" t="str">
            <v>RAIL</v>
          </cell>
          <cell r="E409">
            <v>1.1059484299208577</v>
          </cell>
          <cell r="F409">
            <v>26.195</v>
          </cell>
          <cell r="G409">
            <v>85.302000000000007</v>
          </cell>
          <cell r="H409">
            <v>0</v>
          </cell>
          <cell r="I409">
            <v>0.8177148238755908</v>
          </cell>
          <cell r="J409">
            <v>0.18228517612440923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 t="e">
            <v>#DIV/0!</v>
          </cell>
          <cell r="Q409">
            <v>4316.4489666774216</v>
          </cell>
          <cell r="R409">
            <v>5980.4871446021834</v>
          </cell>
          <cell r="S409" t="e">
            <v>#DIV/0!</v>
          </cell>
          <cell r="T409" t="e">
            <v>#DIV/0!</v>
          </cell>
          <cell r="U409" t="e">
            <v>#DIV/0!</v>
          </cell>
          <cell r="V409" t="e">
            <v>#DIV/0!</v>
          </cell>
          <cell r="W409" t="e">
            <v>#DIV/0!</v>
          </cell>
          <cell r="X409"/>
          <cell r="Y409">
            <v>1385.1246543097989</v>
          </cell>
          <cell r="Z409">
            <v>697.22940220665407</v>
          </cell>
          <cell r="AA409"/>
          <cell r="AB409"/>
          <cell r="AC409"/>
          <cell r="AD409"/>
          <cell r="AE409"/>
          <cell r="AF409">
            <v>2082.3540565164531</v>
          </cell>
          <cell r="AG409">
            <v>0</v>
          </cell>
          <cell r="AH409">
            <v>2082.3540565164531</v>
          </cell>
          <cell r="AI409">
            <v>351.33882249999999</v>
          </cell>
          <cell r="AJ409">
            <v>374.28735139999998</v>
          </cell>
          <cell r="AK409">
            <v>334.04614079999999</v>
          </cell>
          <cell r="AL409">
            <v>671.2489963999999</v>
          </cell>
          <cell r="AM409">
            <v>444.66513829999997</v>
          </cell>
          <cell r="AN409">
            <v>1282.3788039999999</v>
          </cell>
          <cell r="AO409">
            <v>618.32881359999999</v>
          </cell>
          <cell r="AP409">
            <v>996.68618019999997</v>
          </cell>
          <cell r="AQ409">
            <v>0</v>
          </cell>
          <cell r="AR409">
            <v>1048.523010062715</v>
          </cell>
          <cell r="AS409">
            <v>204.15429327440685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1252.6773033371219</v>
          </cell>
          <cell r="BH409">
            <v>3335.0313598535749</v>
          </cell>
          <cell r="BI409">
            <v>4619.7784590181791</v>
          </cell>
          <cell r="BJ409">
            <v>0.72190287682374155</v>
          </cell>
          <cell r="BK409">
            <v>0.45074760077542908</v>
          </cell>
          <cell r="BL409">
            <v>0.27115527604831247</v>
          </cell>
        </row>
        <row r="410">
          <cell r="A410" t="str">
            <v>MUZAFFARPUR TPS3</v>
          </cell>
          <cell r="B410" t="str">
            <v>MUZAFFARPUR TPS</v>
          </cell>
          <cell r="C410">
            <v>195</v>
          </cell>
          <cell r="D410" t="str">
            <v>RAIL</v>
          </cell>
          <cell r="E410">
            <v>0.85341310851237417</v>
          </cell>
          <cell r="F410">
            <v>26.195</v>
          </cell>
          <cell r="G410">
            <v>85.302000000000007</v>
          </cell>
          <cell r="H410">
            <v>0</v>
          </cell>
          <cell r="I410">
            <v>0.8177148238755908</v>
          </cell>
          <cell r="J410">
            <v>0.18228517612440923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 t="e">
            <v>#DIV/0!</v>
          </cell>
          <cell r="Q410">
            <v>4316.4489666774216</v>
          </cell>
          <cell r="R410">
            <v>5980.4871446021834</v>
          </cell>
          <cell r="S410" t="e">
            <v>#DIV/0!</v>
          </cell>
          <cell r="T410" t="e">
            <v>#DIV/0!</v>
          </cell>
          <cell r="U410" t="e">
            <v>#DIV/0!</v>
          </cell>
          <cell r="V410" t="e">
            <v>#DIV/0!</v>
          </cell>
          <cell r="W410" t="e">
            <v>#DIV/0!</v>
          </cell>
          <cell r="X410"/>
          <cell r="Y410">
            <v>1385.1246543097989</v>
          </cell>
          <cell r="Z410">
            <v>697.22940220665407</v>
          </cell>
          <cell r="AA410"/>
          <cell r="AB410"/>
          <cell r="AC410"/>
          <cell r="AD410"/>
          <cell r="AE410"/>
          <cell r="AF410">
            <v>2082.3540565164531</v>
          </cell>
          <cell r="AG410">
            <v>0</v>
          </cell>
          <cell r="AH410">
            <v>2082.3540565164531</v>
          </cell>
          <cell r="AI410">
            <v>351.33882249999999</v>
          </cell>
          <cell r="AJ410">
            <v>374.28735139999998</v>
          </cell>
          <cell r="AK410">
            <v>334.04614079999999</v>
          </cell>
          <cell r="AL410">
            <v>671.2489963999999</v>
          </cell>
          <cell r="AM410">
            <v>444.66513829999997</v>
          </cell>
          <cell r="AN410">
            <v>1282.3788039999999</v>
          </cell>
          <cell r="AO410">
            <v>618.32881359999999</v>
          </cell>
          <cell r="AP410">
            <v>996.68618019999997</v>
          </cell>
          <cell r="AQ410">
            <v>0</v>
          </cell>
          <cell r="AR410">
            <v>1048.523010062715</v>
          </cell>
          <cell r="AS410">
            <v>204.15429327440685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1252.6773033371219</v>
          </cell>
          <cell r="BH410">
            <v>3335.0313598535749</v>
          </cell>
          <cell r="BI410">
            <v>4619.7784590181791</v>
          </cell>
          <cell r="BJ410">
            <v>0.72190287682374155</v>
          </cell>
          <cell r="BK410">
            <v>0.45074760077542908</v>
          </cell>
          <cell r="BL410">
            <v>0.27115527604831247</v>
          </cell>
        </row>
        <row r="411">
          <cell r="A411" t="str">
            <v>NASIK TPS3</v>
          </cell>
          <cell r="B411" t="str">
            <v>NASIK TPS</v>
          </cell>
          <cell r="C411">
            <v>210</v>
          </cell>
          <cell r="D411" t="str">
            <v>RAIL</v>
          </cell>
          <cell r="E411">
            <v>1.0978227537565164</v>
          </cell>
          <cell r="F411">
            <v>19.980599999999999</v>
          </cell>
          <cell r="G411">
            <v>73.891400000000004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3.3772275990870355E-2</v>
          </cell>
          <cell r="O411">
            <v>0.96622772400912971</v>
          </cell>
          <cell r="P411" t="e">
            <v>#DIV/0!</v>
          </cell>
          <cell r="Q411" t="e">
            <v>#DIV/0!</v>
          </cell>
          <cell r="R411" t="e">
            <v>#DIV/0!</v>
          </cell>
          <cell r="S411" t="e">
            <v>#DIV/0!</v>
          </cell>
          <cell r="T411" t="e">
            <v>#DIV/0!</v>
          </cell>
          <cell r="U411" t="e">
            <v>#DIV/0!</v>
          </cell>
          <cell r="V411">
            <v>4900.5660555874956</v>
          </cell>
          <cell r="W411">
            <v>4348.5215163620733</v>
          </cell>
          <cell r="X411"/>
          <cell r="Y411"/>
          <cell r="Z411"/>
          <cell r="AA411"/>
          <cell r="AB411"/>
          <cell r="AC411"/>
          <cell r="AD411">
            <v>75.734957073860201</v>
          </cell>
          <cell r="AE411">
            <v>1636.690204366784</v>
          </cell>
          <cell r="AF411">
            <v>1712.4251614406442</v>
          </cell>
          <cell r="AG411">
            <v>0</v>
          </cell>
          <cell r="AH411">
            <v>1712.4251614406442</v>
          </cell>
          <cell r="AI411">
            <v>1556.1283779999999</v>
          </cell>
          <cell r="AJ411">
            <v>1499.2855009999998</v>
          </cell>
          <cell r="AK411">
            <v>1667.687641</v>
          </cell>
          <cell r="AL411">
            <v>1262.4600500000001</v>
          </cell>
          <cell r="AM411">
            <v>1181.533469</v>
          </cell>
          <cell r="AN411">
            <v>2771.3104830000002</v>
          </cell>
          <cell r="AO411">
            <v>1077.511501</v>
          </cell>
          <cell r="AP411">
            <v>608.19024279999996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90.100447215075192</v>
          </cell>
          <cell r="AX411">
            <v>1814.4423262632324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1904.5427734783077</v>
          </cell>
          <cell r="BH411">
            <v>3616.9679349189519</v>
          </cell>
          <cell r="BI411">
            <v>4367.1653169000492</v>
          </cell>
          <cell r="BJ411">
            <v>0.82821868934569876</v>
          </cell>
          <cell r="BK411">
            <v>0.39211365661242636</v>
          </cell>
          <cell r="BL411">
            <v>0.43610503273327234</v>
          </cell>
        </row>
        <row r="412">
          <cell r="A412" t="str">
            <v>NASIK TPS4</v>
          </cell>
          <cell r="B412" t="str">
            <v>NASIK TPS</v>
          </cell>
          <cell r="C412">
            <v>210</v>
          </cell>
          <cell r="D412" t="str">
            <v>RAIL</v>
          </cell>
          <cell r="E412">
            <v>1.0978227537565164</v>
          </cell>
          <cell r="F412">
            <v>19.980599999999999</v>
          </cell>
          <cell r="G412">
            <v>73.891400000000004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3.3772275990870355E-2</v>
          </cell>
          <cell r="O412">
            <v>0.96622772400912971</v>
          </cell>
          <cell r="P412" t="e">
            <v>#DIV/0!</v>
          </cell>
          <cell r="Q412" t="e">
            <v>#DIV/0!</v>
          </cell>
          <cell r="R412" t="e">
            <v>#DIV/0!</v>
          </cell>
          <cell r="S412" t="e">
            <v>#DIV/0!</v>
          </cell>
          <cell r="T412" t="e">
            <v>#DIV/0!</v>
          </cell>
          <cell r="U412" t="e">
            <v>#DIV/0!</v>
          </cell>
          <cell r="V412">
            <v>4900.5660555874956</v>
          </cell>
          <cell r="W412">
            <v>4348.5215163620733</v>
          </cell>
          <cell r="X412"/>
          <cell r="Y412"/>
          <cell r="Z412"/>
          <cell r="AA412"/>
          <cell r="AB412"/>
          <cell r="AC412"/>
          <cell r="AD412">
            <v>75.734957073860201</v>
          </cell>
          <cell r="AE412">
            <v>1636.690204366784</v>
          </cell>
          <cell r="AF412">
            <v>1712.4251614406442</v>
          </cell>
          <cell r="AG412">
            <v>0</v>
          </cell>
          <cell r="AH412">
            <v>1712.4251614406442</v>
          </cell>
          <cell r="AI412">
            <v>1556.1283779999999</v>
          </cell>
          <cell r="AJ412">
            <v>1499.2855009999998</v>
          </cell>
          <cell r="AK412">
            <v>1667.687641</v>
          </cell>
          <cell r="AL412">
            <v>1262.4600500000001</v>
          </cell>
          <cell r="AM412">
            <v>1181.533469</v>
          </cell>
          <cell r="AN412">
            <v>2771.3104830000002</v>
          </cell>
          <cell r="AO412">
            <v>1077.511501</v>
          </cell>
          <cell r="AP412">
            <v>608.19024279999996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90.100447215075192</v>
          </cell>
          <cell r="AX412">
            <v>1814.4423262632324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1904.5427734783077</v>
          </cell>
          <cell r="BH412">
            <v>3616.9679349189519</v>
          </cell>
          <cell r="BI412">
            <v>4367.1653169000492</v>
          </cell>
          <cell r="BJ412">
            <v>0.82821868934569876</v>
          </cell>
          <cell r="BK412">
            <v>0.39211365661242636</v>
          </cell>
          <cell r="BL412">
            <v>0.43610503273327234</v>
          </cell>
        </row>
        <row r="413">
          <cell r="A413" t="str">
            <v>NASIK TPS5</v>
          </cell>
          <cell r="B413" t="str">
            <v>NASIK TPS</v>
          </cell>
          <cell r="C413">
            <v>210</v>
          </cell>
          <cell r="D413" t="str">
            <v>RAIL</v>
          </cell>
          <cell r="E413">
            <v>1.0978227537565164</v>
          </cell>
          <cell r="F413">
            <v>19.980599999999999</v>
          </cell>
          <cell r="G413">
            <v>73.891400000000004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3.3772275990870355E-2</v>
          </cell>
          <cell r="O413">
            <v>0.96622772400912971</v>
          </cell>
          <cell r="P413" t="e">
            <v>#DIV/0!</v>
          </cell>
          <cell r="Q413" t="e">
            <v>#DIV/0!</v>
          </cell>
          <cell r="R413" t="e">
            <v>#DIV/0!</v>
          </cell>
          <cell r="S413" t="e">
            <v>#DIV/0!</v>
          </cell>
          <cell r="T413" t="e">
            <v>#DIV/0!</v>
          </cell>
          <cell r="U413" t="e">
            <v>#DIV/0!</v>
          </cell>
          <cell r="V413">
            <v>4900.5660555874956</v>
          </cell>
          <cell r="W413">
            <v>4348.5215163620733</v>
          </cell>
          <cell r="X413"/>
          <cell r="Y413"/>
          <cell r="Z413"/>
          <cell r="AA413"/>
          <cell r="AB413"/>
          <cell r="AC413"/>
          <cell r="AD413">
            <v>75.734957073860201</v>
          </cell>
          <cell r="AE413">
            <v>1636.690204366784</v>
          </cell>
          <cell r="AF413">
            <v>1712.4251614406442</v>
          </cell>
          <cell r="AG413">
            <v>0</v>
          </cell>
          <cell r="AH413">
            <v>1712.4251614406442</v>
          </cell>
          <cell r="AI413">
            <v>1556.1283779999999</v>
          </cell>
          <cell r="AJ413">
            <v>1499.2855009999998</v>
          </cell>
          <cell r="AK413">
            <v>1667.687641</v>
          </cell>
          <cell r="AL413">
            <v>1262.4600500000001</v>
          </cell>
          <cell r="AM413">
            <v>1181.533469</v>
          </cell>
          <cell r="AN413">
            <v>2771.3104830000002</v>
          </cell>
          <cell r="AO413">
            <v>1077.511501</v>
          </cell>
          <cell r="AP413">
            <v>608.19024279999996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90.100447215075192</v>
          </cell>
          <cell r="AX413">
            <v>1814.4423262632324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1904.5427734783077</v>
          </cell>
          <cell r="BH413">
            <v>3616.9679349189519</v>
          </cell>
          <cell r="BI413">
            <v>4367.1653169000492</v>
          </cell>
          <cell r="BJ413">
            <v>0.82821868934569876</v>
          </cell>
          <cell r="BK413">
            <v>0.39211365661242636</v>
          </cell>
          <cell r="BL413">
            <v>0.43610503273327234</v>
          </cell>
        </row>
        <row r="414">
          <cell r="A414" t="str">
            <v>NIWARI TPP1</v>
          </cell>
          <cell r="B414" t="str">
            <v>NIWARI TPP</v>
          </cell>
          <cell r="C414">
            <v>45</v>
          </cell>
          <cell r="D414"/>
          <cell r="E414">
            <v>0.76433121019108285</v>
          </cell>
          <cell r="F414">
            <v>22.9581661</v>
          </cell>
          <cell r="G414">
            <v>78.732892899999996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4279.0292548546358</v>
          </cell>
          <cell r="X414"/>
          <cell r="Y414"/>
          <cell r="Z414"/>
          <cell r="AA414"/>
          <cell r="AB414"/>
          <cell r="AC414"/>
          <cell r="AD414"/>
          <cell r="AE414">
            <v>1608.0582000000002</v>
          </cell>
          <cell r="AF414">
            <v>1608.0582000000002</v>
          </cell>
          <cell r="AG414">
            <v>0.28000000000000003</v>
          </cell>
          <cell r="AH414">
            <v>2622.4819040000002</v>
          </cell>
          <cell r="AI414">
            <v>936.88292620000004</v>
          </cell>
          <cell r="AJ414">
            <v>880.0400489000001</v>
          </cell>
          <cell r="AK414">
            <v>1046.3723649999999</v>
          </cell>
          <cell r="AL414">
            <v>772.61285210000005</v>
          </cell>
          <cell r="AM414">
            <v>524.95420950000005</v>
          </cell>
          <cell r="AN414">
            <v>2114.7312240000001</v>
          </cell>
          <cell r="AO414">
            <v>487.45875410000002</v>
          </cell>
          <cell r="AP414">
            <v>285.80237529999999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1119.972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806.37983999999994</v>
          </cell>
          <cell r="BH414">
            <v>3428.8617440000003</v>
          </cell>
          <cell r="BI414">
            <v>4279.0292548546358</v>
          </cell>
          <cell r="BJ414">
            <v>0.80131766804582949</v>
          </cell>
          <cell r="BK414">
            <v>0.61286842127212549</v>
          </cell>
          <cell r="BL414">
            <v>0.18844924677370398</v>
          </cell>
        </row>
        <row r="415">
          <cell r="A415" t="str">
            <v>NIWARI TPP2</v>
          </cell>
          <cell r="B415" t="str">
            <v>NIWARI TPP</v>
          </cell>
          <cell r="C415">
            <v>45</v>
          </cell>
          <cell r="D415"/>
          <cell r="E415" t="str">
            <v/>
          </cell>
          <cell r="F415">
            <v>22.9581661</v>
          </cell>
          <cell r="G415">
            <v>78.732892899999996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4279.0292548546358</v>
          </cell>
          <cell r="X415"/>
          <cell r="Y415"/>
          <cell r="Z415"/>
          <cell r="AA415"/>
          <cell r="AB415"/>
          <cell r="AC415"/>
          <cell r="AD415"/>
          <cell r="AE415">
            <v>1608.0582000000002</v>
          </cell>
          <cell r="AF415">
            <v>1608.0582000000002</v>
          </cell>
          <cell r="AG415">
            <v>0.28000000000000003</v>
          </cell>
          <cell r="AH415">
            <v>2622.4819040000002</v>
          </cell>
          <cell r="AI415">
            <v>936.88292620000004</v>
          </cell>
          <cell r="AJ415">
            <v>880.0400489000001</v>
          </cell>
          <cell r="AK415">
            <v>1046.3723649999999</v>
          </cell>
          <cell r="AL415">
            <v>772.61285210000005</v>
          </cell>
          <cell r="AM415">
            <v>524.95420950000005</v>
          </cell>
          <cell r="AN415">
            <v>2114.7312240000001</v>
          </cell>
          <cell r="AO415">
            <v>487.45875410000002</v>
          </cell>
          <cell r="AP415">
            <v>285.80237529999999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1119.972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806.37983999999994</v>
          </cell>
          <cell r="BH415">
            <v>3428.8617440000003</v>
          </cell>
          <cell r="BI415">
            <v>4279.0292548546358</v>
          </cell>
          <cell r="BJ415">
            <v>0.80131766804582949</v>
          </cell>
          <cell r="BK415">
            <v>0.61286842127212549</v>
          </cell>
          <cell r="BL415">
            <v>0.18844924677370398</v>
          </cell>
        </row>
        <row r="416">
          <cell r="A416" t="str">
            <v>NORTH CHENNAI TPS1</v>
          </cell>
          <cell r="B416" t="str">
            <v>NORTH CHENNAI TPS</v>
          </cell>
          <cell r="C416">
            <v>210</v>
          </cell>
          <cell r="D416" t="str">
            <v>INTER MODAL</v>
          </cell>
          <cell r="E416">
            <v>0.86117189399465111</v>
          </cell>
          <cell r="F416">
            <v>13.253299999999999</v>
          </cell>
          <cell r="G416">
            <v>80.328100000000006</v>
          </cell>
          <cell r="H416">
            <v>0</v>
          </cell>
          <cell r="I416">
            <v>0</v>
          </cell>
          <cell r="J416">
            <v>0</v>
          </cell>
          <cell r="K416">
            <v>1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 t="e">
            <v>#DIV/0!</v>
          </cell>
          <cell r="Q416" t="e">
            <v>#DIV/0!</v>
          </cell>
          <cell r="R416" t="e">
            <v>#DIV/0!</v>
          </cell>
          <cell r="S416">
            <v>3742.0720109048975</v>
          </cell>
          <cell r="T416" t="e">
            <v>#DIV/0!</v>
          </cell>
          <cell r="U416" t="e">
            <v>#DIV/0!</v>
          </cell>
          <cell r="V416" t="e">
            <v>#DIV/0!</v>
          </cell>
          <cell r="W416" t="e">
            <v>#DIV/0!</v>
          </cell>
          <cell r="X416"/>
          <cell r="Y416"/>
          <cell r="Z416"/>
          <cell r="AA416">
            <v>1522.2194400000001</v>
          </cell>
          <cell r="AB416"/>
          <cell r="AC416"/>
          <cell r="AD416"/>
          <cell r="AE416"/>
          <cell r="AF416">
            <v>1522.2194400000001</v>
          </cell>
          <cell r="AG416">
            <v>0.17717116061028612</v>
          </cell>
          <cell r="AH416">
            <v>2179.3083962640671</v>
          </cell>
          <cell r="AI416">
            <v>1630.5739140000001</v>
          </cell>
          <cell r="AJ416">
            <v>1573.731037</v>
          </cell>
          <cell r="AK416">
            <v>1725.9419240000002</v>
          </cell>
          <cell r="AL416">
            <v>1295.0201039999999</v>
          </cell>
          <cell r="AM416">
            <v>1562.5264690000001</v>
          </cell>
          <cell r="AN416">
            <v>2935.6217040000001</v>
          </cell>
          <cell r="AO416">
            <v>1263.21596</v>
          </cell>
          <cell r="AP416">
            <v>1011.2066470000001</v>
          </cell>
          <cell r="AQ416">
            <v>0</v>
          </cell>
          <cell r="AR416">
            <v>0</v>
          </cell>
          <cell r="AS416">
            <v>0</v>
          </cell>
          <cell r="AT416">
            <v>3138.9960000000001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2582.8564355289541</v>
          </cell>
          <cell r="BH416">
            <v>4762.1648317930212</v>
          </cell>
          <cell r="BI416">
            <v>3742.0720109048975</v>
          </cell>
          <cell r="BJ416">
            <v>1.2726010664453911</v>
          </cell>
          <cell r="BK416">
            <v>0.58238013322920335</v>
          </cell>
          <cell r="BL416">
            <v>0.6902209332161876</v>
          </cell>
        </row>
        <row r="417">
          <cell r="A417" t="str">
            <v>NORTH CHENNAI TPS2</v>
          </cell>
          <cell r="B417" t="str">
            <v>NORTH CHENNAI TPS</v>
          </cell>
          <cell r="C417">
            <v>210</v>
          </cell>
          <cell r="D417" t="str">
            <v>INTER MODAL</v>
          </cell>
          <cell r="E417">
            <v>0.86117189399465111</v>
          </cell>
          <cell r="F417">
            <v>13.253299999999999</v>
          </cell>
          <cell r="G417">
            <v>80.328100000000006</v>
          </cell>
          <cell r="H417">
            <v>0</v>
          </cell>
          <cell r="I417">
            <v>0</v>
          </cell>
          <cell r="J417">
            <v>0</v>
          </cell>
          <cell r="K417">
            <v>1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 t="e">
            <v>#DIV/0!</v>
          </cell>
          <cell r="Q417" t="e">
            <v>#DIV/0!</v>
          </cell>
          <cell r="R417" t="e">
            <v>#DIV/0!</v>
          </cell>
          <cell r="S417">
            <v>3742.0720109048975</v>
          </cell>
          <cell r="T417" t="e">
            <v>#DIV/0!</v>
          </cell>
          <cell r="U417" t="e">
            <v>#DIV/0!</v>
          </cell>
          <cell r="V417" t="e">
            <v>#DIV/0!</v>
          </cell>
          <cell r="W417" t="e">
            <v>#DIV/0!</v>
          </cell>
          <cell r="X417"/>
          <cell r="Y417"/>
          <cell r="Z417"/>
          <cell r="AA417">
            <v>1522.2194400000001</v>
          </cell>
          <cell r="AB417"/>
          <cell r="AC417"/>
          <cell r="AD417"/>
          <cell r="AE417"/>
          <cell r="AF417">
            <v>1522.2194400000001</v>
          </cell>
          <cell r="AG417">
            <v>0.17717116061028612</v>
          </cell>
          <cell r="AH417">
            <v>2179.3083962640671</v>
          </cell>
          <cell r="AI417">
            <v>1630.5739140000001</v>
          </cell>
          <cell r="AJ417">
            <v>1573.731037</v>
          </cell>
          <cell r="AK417">
            <v>1725.9419240000002</v>
          </cell>
          <cell r="AL417">
            <v>1295.0201039999999</v>
          </cell>
          <cell r="AM417">
            <v>1562.5264690000001</v>
          </cell>
          <cell r="AN417">
            <v>2935.6217040000001</v>
          </cell>
          <cell r="AO417">
            <v>1263.21596</v>
          </cell>
          <cell r="AP417">
            <v>1011.2066470000001</v>
          </cell>
          <cell r="AQ417">
            <v>0</v>
          </cell>
          <cell r="AR417">
            <v>0</v>
          </cell>
          <cell r="AS417">
            <v>0</v>
          </cell>
          <cell r="AT417">
            <v>3138.9960000000001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2582.8564355289541</v>
          </cell>
          <cell r="BH417">
            <v>4762.1648317930212</v>
          </cell>
          <cell r="BI417">
            <v>3742.0720109048975</v>
          </cell>
          <cell r="BJ417">
            <v>1.2726010664453911</v>
          </cell>
          <cell r="BK417">
            <v>0.58238013322920335</v>
          </cell>
          <cell r="BL417">
            <v>0.6902209332161876</v>
          </cell>
        </row>
        <row r="418">
          <cell r="A418" t="str">
            <v>NORTH CHENNAI TPS3</v>
          </cell>
          <cell r="B418" t="str">
            <v>NORTH CHENNAI TPS</v>
          </cell>
          <cell r="C418">
            <v>210</v>
          </cell>
          <cell r="D418" t="str">
            <v>INTER MODAL</v>
          </cell>
          <cell r="E418">
            <v>0.86117189399465111</v>
          </cell>
          <cell r="F418">
            <v>13.253299999999999</v>
          </cell>
          <cell r="G418">
            <v>80.328100000000006</v>
          </cell>
          <cell r="H418">
            <v>0</v>
          </cell>
          <cell r="I418">
            <v>0</v>
          </cell>
          <cell r="J418">
            <v>0</v>
          </cell>
          <cell r="K418">
            <v>1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 t="e">
            <v>#DIV/0!</v>
          </cell>
          <cell r="Q418" t="e">
            <v>#DIV/0!</v>
          </cell>
          <cell r="R418" t="e">
            <v>#DIV/0!</v>
          </cell>
          <cell r="S418">
            <v>3742.0720109048975</v>
          </cell>
          <cell r="T418" t="e">
            <v>#DIV/0!</v>
          </cell>
          <cell r="U418" t="e">
            <v>#DIV/0!</v>
          </cell>
          <cell r="V418" t="e">
            <v>#DIV/0!</v>
          </cell>
          <cell r="W418" t="e">
            <v>#DIV/0!</v>
          </cell>
          <cell r="X418"/>
          <cell r="Y418"/>
          <cell r="Z418"/>
          <cell r="AA418">
            <v>1522.2194400000001</v>
          </cell>
          <cell r="AB418"/>
          <cell r="AC418"/>
          <cell r="AD418"/>
          <cell r="AE418"/>
          <cell r="AF418">
            <v>1522.2194400000001</v>
          </cell>
          <cell r="AG418">
            <v>0.17717116061028612</v>
          </cell>
          <cell r="AH418">
            <v>2179.3083962640671</v>
          </cell>
          <cell r="AI418">
            <v>1630.5739140000001</v>
          </cell>
          <cell r="AJ418">
            <v>1573.731037</v>
          </cell>
          <cell r="AK418">
            <v>1725.9419240000002</v>
          </cell>
          <cell r="AL418">
            <v>1295.0201039999999</v>
          </cell>
          <cell r="AM418">
            <v>1562.5264690000001</v>
          </cell>
          <cell r="AN418">
            <v>2935.6217040000001</v>
          </cell>
          <cell r="AO418">
            <v>1263.21596</v>
          </cell>
          <cell r="AP418">
            <v>1011.2066470000001</v>
          </cell>
          <cell r="AQ418">
            <v>0</v>
          </cell>
          <cell r="AR418">
            <v>0</v>
          </cell>
          <cell r="AS418">
            <v>0</v>
          </cell>
          <cell r="AT418">
            <v>3138.9960000000001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2582.8564355289541</v>
          </cell>
          <cell r="BH418">
            <v>4762.1648317930212</v>
          </cell>
          <cell r="BI418">
            <v>3742.0720109048975</v>
          </cell>
          <cell r="BJ418">
            <v>1.2726010664453911</v>
          </cell>
          <cell r="BK418">
            <v>0.58238013322920335</v>
          </cell>
          <cell r="BL418">
            <v>0.6902209332161876</v>
          </cell>
        </row>
        <row r="419">
          <cell r="A419" t="str">
            <v>OBRA TPS1</v>
          </cell>
          <cell r="B419" t="str">
            <v>OBRA TPS</v>
          </cell>
          <cell r="C419">
            <v>50</v>
          </cell>
          <cell r="D419" t="str">
            <v>RAIL</v>
          </cell>
          <cell r="E419">
            <v>0.5276649746192893</v>
          </cell>
          <cell r="F419">
            <v>24.444700000000001</v>
          </cell>
          <cell r="G419">
            <v>82.978099999999998</v>
          </cell>
          <cell r="H419">
            <v>6.7198149705754275E-3</v>
          </cell>
          <cell r="I419">
            <v>0</v>
          </cell>
          <cell r="J419">
            <v>0</v>
          </cell>
          <cell r="K419">
            <v>0</v>
          </cell>
          <cell r="L419">
            <v>0.99328018502942461</v>
          </cell>
          <cell r="M419">
            <v>0</v>
          </cell>
          <cell r="N419">
            <v>0</v>
          </cell>
          <cell r="O419">
            <v>0</v>
          </cell>
          <cell r="P419">
            <v>4050</v>
          </cell>
          <cell r="Q419" t="e">
            <v>#DIV/0!</v>
          </cell>
          <cell r="R419" t="e">
            <v>#DIV/0!</v>
          </cell>
          <cell r="S419" t="e">
            <v>#DIV/0!</v>
          </cell>
          <cell r="T419">
            <v>4566.6113710253512</v>
          </cell>
          <cell r="U419" t="e">
            <v>#DIV/0!</v>
          </cell>
          <cell r="V419" t="e">
            <v>#DIV/0!</v>
          </cell>
          <cell r="W419" t="e">
            <v>#DIV/0!</v>
          </cell>
          <cell r="X419">
            <v>10.805853565916577</v>
          </cell>
          <cell r="Y419"/>
          <cell r="Z419"/>
          <cell r="AA419"/>
          <cell r="AB419">
            <v>1682.5142858495801</v>
          </cell>
          <cell r="AC419"/>
          <cell r="AD419"/>
          <cell r="AE419"/>
          <cell r="AF419">
            <v>1693.3201394154967</v>
          </cell>
          <cell r="AG419">
            <v>0</v>
          </cell>
          <cell r="AH419">
            <v>1693.3201394154967</v>
          </cell>
          <cell r="AI419">
            <v>415.27316330000008</v>
          </cell>
          <cell r="AJ419">
            <v>366.94219579999992</v>
          </cell>
          <cell r="AK419">
            <v>519.92664379999997</v>
          </cell>
          <cell r="AL419">
            <v>537.946236</v>
          </cell>
          <cell r="AM419">
            <v>48.717500189999996</v>
          </cell>
          <cell r="AN419">
            <v>1605.507928</v>
          </cell>
          <cell r="AO419">
            <v>328.75342450000005</v>
          </cell>
          <cell r="AP419">
            <v>658.50243929999988</v>
          </cell>
          <cell r="AQ419">
            <v>8.6165499441700479</v>
          </cell>
          <cell r="AR419">
            <v>0</v>
          </cell>
          <cell r="AS419">
            <v>0</v>
          </cell>
          <cell r="AT419">
            <v>0</v>
          </cell>
          <cell r="AU419">
            <v>385.05499652850676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393.67154647267682</v>
          </cell>
          <cell r="BH419">
            <v>2086.9916858881734</v>
          </cell>
          <cell r="BI419">
            <v>4563.1398382003654</v>
          </cell>
          <cell r="BJ419">
            <v>0.45735869596125545</v>
          </cell>
          <cell r="BK419">
            <v>0.37108662005925225</v>
          </cell>
          <cell r="BL419">
            <v>8.6272075902003267E-2</v>
          </cell>
        </row>
        <row r="420">
          <cell r="A420" t="str">
            <v>OBRA TPS10</v>
          </cell>
          <cell r="B420" t="str">
            <v>OBRA TPS</v>
          </cell>
          <cell r="C420">
            <v>200</v>
          </cell>
          <cell r="D420" t="str">
            <v>RAIL</v>
          </cell>
          <cell r="E420">
            <v>0.53578680203045681</v>
          </cell>
          <cell r="F420">
            <v>24.444700000000001</v>
          </cell>
          <cell r="G420">
            <v>82.978099999999998</v>
          </cell>
          <cell r="H420">
            <v>6.7198149705754275E-3</v>
          </cell>
          <cell r="I420">
            <v>0</v>
          </cell>
          <cell r="J420">
            <v>0</v>
          </cell>
          <cell r="K420">
            <v>0</v>
          </cell>
          <cell r="L420">
            <v>0.99328018502942461</v>
          </cell>
          <cell r="M420">
            <v>0</v>
          </cell>
          <cell r="N420">
            <v>0</v>
          </cell>
          <cell r="O420">
            <v>0</v>
          </cell>
          <cell r="P420">
            <v>4050</v>
          </cell>
          <cell r="Q420" t="e">
            <v>#DIV/0!</v>
          </cell>
          <cell r="R420" t="e">
            <v>#DIV/0!</v>
          </cell>
          <cell r="S420" t="e">
            <v>#DIV/0!</v>
          </cell>
          <cell r="T420">
            <v>4566.6113710253512</v>
          </cell>
          <cell r="U420" t="e">
            <v>#DIV/0!</v>
          </cell>
          <cell r="V420" t="e">
            <v>#DIV/0!</v>
          </cell>
          <cell r="W420" t="e">
            <v>#DIV/0!</v>
          </cell>
          <cell r="X420">
            <v>10.805853565916577</v>
          </cell>
          <cell r="Y420"/>
          <cell r="Z420"/>
          <cell r="AA420"/>
          <cell r="AB420">
            <v>1682.5142858495801</v>
          </cell>
          <cell r="AC420"/>
          <cell r="AD420"/>
          <cell r="AE420"/>
          <cell r="AF420">
            <v>1693.3201394154967</v>
          </cell>
          <cell r="AG420">
            <v>0</v>
          </cell>
          <cell r="AH420">
            <v>1693.3201394154967</v>
          </cell>
          <cell r="AI420">
            <v>415.27316330000008</v>
          </cell>
          <cell r="AJ420">
            <v>366.94219579999992</v>
          </cell>
          <cell r="AK420">
            <v>519.92664379999997</v>
          </cell>
          <cell r="AL420">
            <v>537.946236</v>
          </cell>
          <cell r="AM420">
            <v>48.717500189999996</v>
          </cell>
          <cell r="AN420">
            <v>1605.507928</v>
          </cell>
          <cell r="AO420">
            <v>328.75342450000005</v>
          </cell>
          <cell r="AP420">
            <v>658.50243929999988</v>
          </cell>
          <cell r="AQ420">
            <v>8.6165499441700479</v>
          </cell>
          <cell r="AR420">
            <v>0</v>
          </cell>
          <cell r="AS420">
            <v>0</v>
          </cell>
          <cell r="AT420">
            <v>0</v>
          </cell>
          <cell r="AU420">
            <v>385.05499652850676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393.67154647267682</v>
          </cell>
          <cell r="BH420">
            <v>2086.9916858881734</v>
          </cell>
          <cell r="BI420">
            <v>4563.1398382003654</v>
          </cell>
          <cell r="BJ420">
            <v>0.45735869596125545</v>
          </cell>
          <cell r="BK420">
            <v>0.37108662005925225</v>
          </cell>
          <cell r="BL420">
            <v>8.6272075902003267E-2</v>
          </cell>
        </row>
        <row r="421">
          <cell r="A421" t="str">
            <v>OBRA TPS11</v>
          </cell>
          <cell r="B421" t="str">
            <v>OBRA TPS</v>
          </cell>
          <cell r="C421">
            <v>200</v>
          </cell>
          <cell r="D421" t="str">
            <v>RAIL</v>
          </cell>
          <cell r="E421">
            <v>0.53578680203045681</v>
          </cell>
          <cell r="F421">
            <v>24.444700000000001</v>
          </cell>
          <cell r="G421">
            <v>82.978099999999998</v>
          </cell>
          <cell r="H421">
            <v>6.7198149705754275E-3</v>
          </cell>
          <cell r="I421">
            <v>0</v>
          </cell>
          <cell r="J421">
            <v>0</v>
          </cell>
          <cell r="K421">
            <v>0</v>
          </cell>
          <cell r="L421">
            <v>0.99328018502942461</v>
          </cell>
          <cell r="M421">
            <v>0</v>
          </cell>
          <cell r="N421">
            <v>0</v>
          </cell>
          <cell r="O421">
            <v>0</v>
          </cell>
          <cell r="P421">
            <v>4050</v>
          </cell>
          <cell r="Q421" t="e">
            <v>#DIV/0!</v>
          </cell>
          <cell r="R421" t="e">
            <v>#DIV/0!</v>
          </cell>
          <cell r="S421" t="e">
            <v>#DIV/0!</v>
          </cell>
          <cell r="T421">
            <v>4566.6113710253512</v>
          </cell>
          <cell r="U421" t="e">
            <v>#DIV/0!</v>
          </cell>
          <cell r="V421" t="e">
            <v>#DIV/0!</v>
          </cell>
          <cell r="W421" t="e">
            <v>#DIV/0!</v>
          </cell>
          <cell r="X421">
            <v>10.805853565916577</v>
          </cell>
          <cell r="Y421"/>
          <cell r="Z421"/>
          <cell r="AA421"/>
          <cell r="AB421">
            <v>1682.5142858495801</v>
          </cell>
          <cell r="AC421"/>
          <cell r="AD421"/>
          <cell r="AE421"/>
          <cell r="AF421">
            <v>1693.3201394154967</v>
          </cell>
          <cell r="AG421">
            <v>0</v>
          </cell>
          <cell r="AH421">
            <v>1693.3201394154967</v>
          </cell>
          <cell r="AI421">
            <v>415.27316330000008</v>
          </cell>
          <cell r="AJ421">
            <v>366.94219579999992</v>
          </cell>
          <cell r="AK421">
            <v>519.92664379999997</v>
          </cell>
          <cell r="AL421">
            <v>537.946236</v>
          </cell>
          <cell r="AM421">
            <v>48.717500189999996</v>
          </cell>
          <cell r="AN421">
            <v>1605.507928</v>
          </cell>
          <cell r="AO421">
            <v>328.75342450000005</v>
          </cell>
          <cell r="AP421">
            <v>658.50243929999988</v>
          </cell>
          <cell r="AQ421">
            <v>8.6165499441700479</v>
          </cell>
          <cell r="AR421">
            <v>0</v>
          </cell>
          <cell r="AS421">
            <v>0</v>
          </cell>
          <cell r="AT421">
            <v>0</v>
          </cell>
          <cell r="AU421">
            <v>385.05499652850676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393.67154647267682</v>
          </cell>
          <cell r="BH421">
            <v>2086.9916858881734</v>
          </cell>
          <cell r="BI421">
            <v>4563.1398382003654</v>
          </cell>
          <cell r="BJ421">
            <v>0.45735869596125545</v>
          </cell>
          <cell r="BK421">
            <v>0.37108662005925225</v>
          </cell>
          <cell r="BL421">
            <v>8.6272075902003267E-2</v>
          </cell>
        </row>
        <row r="422">
          <cell r="A422" t="str">
            <v>OBRA TPS12</v>
          </cell>
          <cell r="B422" t="str">
            <v>OBRA TPS</v>
          </cell>
          <cell r="C422">
            <v>200</v>
          </cell>
          <cell r="D422" t="str">
            <v>RAIL</v>
          </cell>
          <cell r="E422">
            <v>0.53578680203045681</v>
          </cell>
          <cell r="F422">
            <v>24.444700000000001</v>
          </cell>
          <cell r="G422">
            <v>82.978099999999998</v>
          </cell>
          <cell r="H422">
            <v>6.7198149705754275E-3</v>
          </cell>
          <cell r="I422">
            <v>0</v>
          </cell>
          <cell r="J422">
            <v>0</v>
          </cell>
          <cell r="K422">
            <v>0</v>
          </cell>
          <cell r="L422">
            <v>0.99328018502942461</v>
          </cell>
          <cell r="M422">
            <v>0</v>
          </cell>
          <cell r="N422">
            <v>0</v>
          </cell>
          <cell r="O422">
            <v>0</v>
          </cell>
          <cell r="P422">
            <v>4050</v>
          </cell>
          <cell r="Q422" t="e">
            <v>#DIV/0!</v>
          </cell>
          <cell r="R422" t="e">
            <v>#DIV/0!</v>
          </cell>
          <cell r="S422" t="e">
            <v>#DIV/0!</v>
          </cell>
          <cell r="T422">
            <v>4566.6113710253512</v>
          </cell>
          <cell r="U422" t="e">
            <v>#DIV/0!</v>
          </cell>
          <cell r="V422" t="e">
            <v>#DIV/0!</v>
          </cell>
          <cell r="W422" t="e">
            <v>#DIV/0!</v>
          </cell>
          <cell r="X422">
            <v>10.805853565916577</v>
          </cell>
          <cell r="Y422"/>
          <cell r="Z422"/>
          <cell r="AA422"/>
          <cell r="AB422">
            <v>1682.5142858495801</v>
          </cell>
          <cell r="AC422"/>
          <cell r="AD422"/>
          <cell r="AE422"/>
          <cell r="AF422">
            <v>1693.3201394154967</v>
          </cell>
          <cell r="AG422">
            <v>0</v>
          </cell>
          <cell r="AH422">
            <v>1693.3201394154967</v>
          </cell>
          <cell r="AI422">
            <v>415.27316330000008</v>
          </cell>
          <cell r="AJ422">
            <v>366.94219579999992</v>
          </cell>
          <cell r="AK422">
            <v>519.92664379999997</v>
          </cell>
          <cell r="AL422">
            <v>537.946236</v>
          </cell>
          <cell r="AM422">
            <v>48.717500189999996</v>
          </cell>
          <cell r="AN422">
            <v>1605.507928</v>
          </cell>
          <cell r="AO422">
            <v>328.75342450000005</v>
          </cell>
          <cell r="AP422">
            <v>658.50243929999988</v>
          </cell>
          <cell r="AQ422">
            <v>8.6165499441700479</v>
          </cell>
          <cell r="AR422">
            <v>0</v>
          </cell>
          <cell r="AS422">
            <v>0</v>
          </cell>
          <cell r="AT422">
            <v>0</v>
          </cell>
          <cell r="AU422">
            <v>385.05499652850676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393.67154647267682</v>
          </cell>
          <cell r="BH422">
            <v>2086.9916858881734</v>
          </cell>
          <cell r="BI422">
            <v>4563.1398382003654</v>
          </cell>
          <cell r="BJ422">
            <v>0.45735869596125545</v>
          </cell>
          <cell r="BK422">
            <v>0.37108662005925225</v>
          </cell>
          <cell r="BL422">
            <v>8.6272075902003267E-2</v>
          </cell>
        </row>
        <row r="423">
          <cell r="A423" t="str">
            <v>OBRA TPS13</v>
          </cell>
          <cell r="B423" t="str">
            <v>OBRA TPS</v>
          </cell>
          <cell r="C423">
            <v>200</v>
          </cell>
          <cell r="D423" t="str">
            <v>RAIL</v>
          </cell>
          <cell r="E423">
            <v>0.53578680203045681</v>
          </cell>
          <cell r="F423">
            <v>24.444700000000001</v>
          </cell>
          <cell r="G423">
            <v>82.978099999999998</v>
          </cell>
          <cell r="H423">
            <v>6.7198149705754275E-3</v>
          </cell>
          <cell r="I423">
            <v>0</v>
          </cell>
          <cell r="J423">
            <v>0</v>
          </cell>
          <cell r="K423">
            <v>0</v>
          </cell>
          <cell r="L423">
            <v>0.99328018502942461</v>
          </cell>
          <cell r="M423">
            <v>0</v>
          </cell>
          <cell r="N423">
            <v>0</v>
          </cell>
          <cell r="O423">
            <v>0</v>
          </cell>
          <cell r="P423">
            <v>4050</v>
          </cell>
          <cell r="Q423" t="e">
            <v>#DIV/0!</v>
          </cell>
          <cell r="R423" t="e">
            <v>#DIV/0!</v>
          </cell>
          <cell r="S423" t="e">
            <v>#DIV/0!</v>
          </cell>
          <cell r="T423">
            <v>4566.6113710253512</v>
          </cell>
          <cell r="U423" t="e">
            <v>#DIV/0!</v>
          </cell>
          <cell r="V423" t="e">
            <v>#DIV/0!</v>
          </cell>
          <cell r="W423" t="e">
            <v>#DIV/0!</v>
          </cell>
          <cell r="X423">
            <v>10.805853565916577</v>
          </cell>
          <cell r="Y423"/>
          <cell r="Z423"/>
          <cell r="AA423"/>
          <cell r="AB423">
            <v>1682.5142858495801</v>
          </cell>
          <cell r="AC423"/>
          <cell r="AD423"/>
          <cell r="AE423"/>
          <cell r="AF423">
            <v>1693.3201394154967</v>
          </cell>
          <cell r="AG423">
            <v>0</v>
          </cell>
          <cell r="AH423">
            <v>1693.3201394154967</v>
          </cell>
          <cell r="AI423">
            <v>415.27316330000008</v>
          </cell>
          <cell r="AJ423">
            <v>366.94219579999992</v>
          </cell>
          <cell r="AK423">
            <v>519.92664379999997</v>
          </cell>
          <cell r="AL423">
            <v>537.946236</v>
          </cell>
          <cell r="AM423">
            <v>48.717500189999996</v>
          </cell>
          <cell r="AN423">
            <v>1605.507928</v>
          </cell>
          <cell r="AO423">
            <v>328.75342450000005</v>
          </cell>
          <cell r="AP423">
            <v>658.50243929999988</v>
          </cell>
          <cell r="AQ423">
            <v>8.6165499441700479</v>
          </cell>
          <cell r="AR423">
            <v>0</v>
          </cell>
          <cell r="AS423">
            <v>0</v>
          </cell>
          <cell r="AT423">
            <v>0</v>
          </cell>
          <cell r="AU423">
            <v>385.05499652850676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393.67154647267682</v>
          </cell>
          <cell r="BH423">
            <v>2086.9916858881734</v>
          </cell>
          <cell r="BI423">
            <v>4563.1398382003654</v>
          </cell>
          <cell r="BJ423">
            <v>0.45735869596125545</v>
          </cell>
          <cell r="BK423">
            <v>0.37108662005925225</v>
          </cell>
          <cell r="BL423">
            <v>8.6272075902003267E-2</v>
          </cell>
        </row>
        <row r="424">
          <cell r="A424" t="str">
            <v>OBRA TPS9</v>
          </cell>
          <cell r="B424" t="str">
            <v>OBRA TPS</v>
          </cell>
          <cell r="C424">
            <v>200</v>
          </cell>
          <cell r="D424" t="str">
            <v>RAIL</v>
          </cell>
          <cell r="E424">
            <v>0.53578680203045681</v>
          </cell>
          <cell r="F424">
            <v>24.444700000000001</v>
          </cell>
          <cell r="G424">
            <v>82.978099999999998</v>
          </cell>
          <cell r="H424">
            <v>6.7198149705754275E-3</v>
          </cell>
          <cell r="I424">
            <v>0</v>
          </cell>
          <cell r="J424">
            <v>0</v>
          </cell>
          <cell r="K424">
            <v>0</v>
          </cell>
          <cell r="L424">
            <v>0.99328018502942461</v>
          </cell>
          <cell r="M424">
            <v>0</v>
          </cell>
          <cell r="N424">
            <v>0</v>
          </cell>
          <cell r="O424">
            <v>0</v>
          </cell>
          <cell r="P424">
            <v>4050</v>
          </cell>
          <cell r="Q424" t="e">
            <v>#DIV/0!</v>
          </cell>
          <cell r="R424" t="e">
            <v>#DIV/0!</v>
          </cell>
          <cell r="S424" t="e">
            <v>#DIV/0!</v>
          </cell>
          <cell r="T424">
            <v>4566.6113710253512</v>
          </cell>
          <cell r="U424" t="e">
            <v>#DIV/0!</v>
          </cell>
          <cell r="V424" t="e">
            <v>#DIV/0!</v>
          </cell>
          <cell r="W424" t="e">
            <v>#DIV/0!</v>
          </cell>
          <cell r="X424">
            <v>10.805853565916577</v>
          </cell>
          <cell r="Y424"/>
          <cell r="Z424"/>
          <cell r="AA424"/>
          <cell r="AB424">
            <v>1682.5142858495801</v>
          </cell>
          <cell r="AC424"/>
          <cell r="AD424"/>
          <cell r="AE424"/>
          <cell r="AF424">
            <v>1693.3201394154967</v>
          </cell>
          <cell r="AG424">
            <v>0</v>
          </cell>
          <cell r="AH424">
            <v>1693.3201394154967</v>
          </cell>
          <cell r="AI424">
            <v>415.27316330000008</v>
          </cell>
          <cell r="AJ424">
            <v>366.94219579999992</v>
          </cell>
          <cell r="AK424">
            <v>519.92664379999997</v>
          </cell>
          <cell r="AL424">
            <v>537.946236</v>
          </cell>
          <cell r="AM424">
            <v>48.717500189999996</v>
          </cell>
          <cell r="AN424">
            <v>1605.507928</v>
          </cell>
          <cell r="AO424">
            <v>328.75342450000005</v>
          </cell>
          <cell r="AP424">
            <v>658.50243929999988</v>
          </cell>
          <cell r="AQ424">
            <v>8.6165499441700479</v>
          </cell>
          <cell r="AR424">
            <v>0</v>
          </cell>
          <cell r="AS424">
            <v>0</v>
          </cell>
          <cell r="AT424">
            <v>0</v>
          </cell>
          <cell r="AU424">
            <v>385.05499652850676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393.67154647267682</v>
          </cell>
          <cell r="BH424">
            <v>2086.9916858881734</v>
          </cell>
          <cell r="BI424">
            <v>4563.1398382003654</v>
          </cell>
          <cell r="BJ424">
            <v>0.45735869596125545</v>
          </cell>
          <cell r="BK424">
            <v>0.37108662005925225</v>
          </cell>
          <cell r="BL424">
            <v>8.6272075902003267E-2</v>
          </cell>
        </row>
        <row r="425">
          <cell r="A425" t="str">
            <v>OP JINDAL TPS1</v>
          </cell>
          <cell r="B425" t="str">
            <v>OP JINDAL TPS</v>
          </cell>
          <cell r="C425">
            <v>250</v>
          </cell>
          <cell r="D425"/>
          <cell r="E425" t="str">
            <v/>
          </cell>
          <cell r="F425">
            <v>22.104700000000001</v>
          </cell>
          <cell r="G425">
            <v>83.4512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1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4277.9166493810972</v>
          </cell>
          <cell r="W425">
            <v>0</v>
          </cell>
          <cell r="X425"/>
          <cell r="Y425"/>
          <cell r="Z425"/>
          <cell r="AA425"/>
          <cell r="AB425"/>
          <cell r="AC425"/>
          <cell r="AD425">
            <v>1608.0582000000002</v>
          </cell>
          <cell r="AE425"/>
          <cell r="AF425">
            <v>1608.0582000000002</v>
          </cell>
          <cell r="AG425">
            <v>4.4056157568821169E-2</v>
          </cell>
          <cell r="AH425">
            <v>1767.6710948034688</v>
          </cell>
          <cell r="AI425">
            <v>446.18547899999999</v>
          </cell>
          <cell r="AJ425">
            <v>389.34260169999999</v>
          </cell>
          <cell r="AK425">
            <v>557.74474169999996</v>
          </cell>
          <cell r="AL425">
            <v>232.19816829999999</v>
          </cell>
          <cell r="AM425">
            <v>322.70171310000001</v>
          </cell>
          <cell r="AN425">
            <v>1775.9259529999999</v>
          </cell>
          <cell r="AO425">
            <v>134.87876560000001</v>
          </cell>
          <cell r="AP425">
            <v>556.9670685000001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681.11400000000003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651.10673429367</v>
          </cell>
          <cell r="BH425">
            <v>2418.7778290971387</v>
          </cell>
          <cell r="BI425">
            <v>4277.9166493810972</v>
          </cell>
          <cell r="BJ425">
            <v>0.56541022823506215</v>
          </cell>
          <cell r="BK425">
            <v>0.41320840018217853</v>
          </cell>
          <cell r="BL425">
            <v>0.15220182805288368</v>
          </cell>
        </row>
        <row r="426">
          <cell r="A426" t="str">
            <v>OP JINDAL TPS2</v>
          </cell>
          <cell r="B426" t="str">
            <v>OP JINDAL TPS</v>
          </cell>
          <cell r="C426">
            <v>250</v>
          </cell>
          <cell r="D426"/>
          <cell r="E426" t="str">
            <v/>
          </cell>
          <cell r="F426">
            <v>22.104700000000001</v>
          </cell>
          <cell r="G426">
            <v>83.4512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1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4277.9166493810972</v>
          </cell>
          <cell r="W426">
            <v>0</v>
          </cell>
          <cell r="X426"/>
          <cell r="Y426"/>
          <cell r="Z426"/>
          <cell r="AA426"/>
          <cell r="AB426"/>
          <cell r="AC426"/>
          <cell r="AD426">
            <v>1608.0582000000002</v>
          </cell>
          <cell r="AE426"/>
          <cell r="AF426">
            <v>1608.0582000000002</v>
          </cell>
          <cell r="AG426">
            <v>4.4056157568821169E-2</v>
          </cell>
          <cell r="AH426">
            <v>1767.6710948034688</v>
          </cell>
          <cell r="AI426">
            <v>446.18547899999999</v>
          </cell>
          <cell r="AJ426">
            <v>389.34260169999999</v>
          </cell>
          <cell r="AK426">
            <v>557.74474169999996</v>
          </cell>
          <cell r="AL426">
            <v>232.19816829999999</v>
          </cell>
          <cell r="AM426">
            <v>322.70171310000001</v>
          </cell>
          <cell r="AN426">
            <v>1775.9259529999999</v>
          </cell>
          <cell r="AO426">
            <v>134.87876560000001</v>
          </cell>
          <cell r="AP426">
            <v>556.9670685000001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681.11400000000003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651.10673429367</v>
          </cell>
          <cell r="BH426">
            <v>2418.7778290971387</v>
          </cell>
          <cell r="BI426">
            <v>4277.9166493810972</v>
          </cell>
          <cell r="BJ426">
            <v>0.56541022823506215</v>
          </cell>
          <cell r="BK426">
            <v>0.41320840018217853</v>
          </cell>
          <cell r="BL426">
            <v>0.15220182805288368</v>
          </cell>
        </row>
        <row r="427">
          <cell r="A427" t="str">
            <v>OP JINDAL TPS3</v>
          </cell>
          <cell r="B427" t="str">
            <v>OP JINDAL TPS</v>
          </cell>
          <cell r="C427">
            <v>250</v>
          </cell>
          <cell r="D427"/>
          <cell r="E427" t="str">
            <v/>
          </cell>
          <cell r="F427">
            <v>22.104700000000001</v>
          </cell>
          <cell r="G427">
            <v>83.4512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1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4277.9166493810972</v>
          </cell>
          <cell r="W427">
            <v>0</v>
          </cell>
          <cell r="X427"/>
          <cell r="Y427"/>
          <cell r="Z427"/>
          <cell r="AA427"/>
          <cell r="AB427"/>
          <cell r="AC427"/>
          <cell r="AD427">
            <v>1608.0582000000002</v>
          </cell>
          <cell r="AE427"/>
          <cell r="AF427">
            <v>1608.0582000000002</v>
          </cell>
          <cell r="AG427">
            <v>4.4056157568821169E-2</v>
          </cell>
          <cell r="AH427">
            <v>1767.6710948034688</v>
          </cell>
          <cell r="AI427">
            <v>446.18547899999999</v>
          </cell>
          <cell r="AJ427">
            <v>389.34260169999999</v>
          </cell>
          <cell r="AK427">
            <v>557.74474169999996</v>
          </cell>
          <cell r="AL427">
            <v>232.19816829999999</v>
          </cell>
          <cell r="AM427">
            <v>322.70171310000001</v>
          </cell>
          <cell r="AN427">
            <v>1775.9259529999999</v>
          </cell>
          <cell r="AO427">
            <v>134.87876560000001</v>
          </cell>
          <cell r="AP427">
            <v>556.9670685000001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681.11400000000003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651.10673429367</v>
          </cell>
          <cell r="BH427">
            <v>2418.7778290971387</v>
          </cell>
          <cell r="BI427">
            <v>4277.9166493810972</v>
          </cell>
          <cell r="BJ427">
            <v>0.56541022823506215</v>
          </cell>
          <cell r="BK427">
            <v>0.41320840018217853</v>
          </cell>
          <cell r="BL427">
            <v>0.15220182805288368</v>
          </cell>
        </row>
        <row r="428">
          <cell r="A428" t="str">
            <v>OP JINDAL TPS4</v>
          </cell>
          <cell r="B428" t="str">
            <v>OP JINDAL TPS</v>
          </cell>
          <cell r="C428">
            <v>250</v>
          </cell>
          <cell r="D428"/>
          <cell r="E428" t="str">
            <v/>
          </cell>
          <cell r="F428">
            <v>22.104700000000001</v>
          </cell>
          <cell r="G428">
            <v>83.4512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1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4277.9166493810972</v>
          </cell>
          <cell r="W428">
            <v>0</v>
          </cell>
          <cell r="X428"/>
          <cell r="Y428"/>
          <cell r="Z428"/>
          <cell r="AA428"/>
          <cell r="AB428"/>
          <cell r="AC428"/>
          <cell r="AD428">
            <v>1608.0582000000002</v>
          </cell>
          <cell r="AE428"/>
          <cell r="AF428">
            <v>1608.0582000000002</v>
          </cell>
          <cell r="AG428">
            <v>4.4056157568821169E-2</v>
          </cell>
          <cell r="AH428">
            <v>1767.6710948034688</v>
          </cell>
          <cell r="AI428">
            <v>446.18547899999999</v>
          </cell>
          <cell r="AJ428">
            <v>389.34260169999999</v>
          </cell>
          <cell r="AK428">
            <v>557.74474169999996</v>
          </cell>
          <cell r="AL428">
            <v>232.19816829999999</v>
          </cell>
          <cell r="AM428">
            <v>322.70171310000001</v>
          </cell>
          <cell r="AN428">
            <v>1775.9259529999999</v>
          </cell>
          <cell r="AO428">
            <v>134.87876560000001</v>
          </cell>
          <cell r="AP428">
            <v>556.9670685000001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681.11400000000003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651.10673429367</v>
          </cell>
          <cell r="BH428">
            <v>2418.7778290971387</v>
          </cell>
          <cell r="BI428">
            <v>4277.9166493810972</v>
          </cell>
          <cell r="BJ428">
            <v>0.56541022823506215</v>
          </cell>
          <cell r="BK428">
            <v>0.41320840018217853</v>
          </cell>
          <cell r="BL428">
            <v>0.15220182805288368</v>
          </cell>
        </row>
        <row r="429">
          <cell r="A429" t="str">
            <v>PANIPAT TPS5</v>
          </cell>
          <cell r="B429" t="str">
            <v>PANIPAT TPS</v>
          </cell>
          <cell r="C429">
            <v>210</v>
          </cell>
          <cell r="D429" t="str">
            <v>RAIL</v>
          </cell>
          <cell r="E429"/>
          <cell r="F429">
            <v>29.397500000000001</v>
          </cell>
          <cell r="G429">
            <v>76.875600000000006</v>
          </cell>
          <cell r="H429">
            <v>0.41929401054483095</v>
          </cell>
          <cell r="I429">
            <v>0.49684920429799428</v>
          </cell>
          <cell r="J429">
            <v>4.7636961846024787E-3</v>
          </cell>
          <cell r="K429">
            <v>1.057248156015192E-2</v>
          </cell>
          <cell r="L429">
            <v>1.4595033211378276E-2</v>
          </cell>
          <cell r="M429">
            <v>0</v>
          </cell>
          <cell r="N429">
            <v>0</v>
          </cell>
          <cell r="O429">
            <v>5.3925574201042097E-2</v>
          </cell>
          <cell r="P429">
            <v>4299.7398014726277</v>
          </cell>
          <cell r="Q429">
            <v>4294.4517203358982</v>
          </cell>
          <cell r="R429">
            <v>6159.5057454249809</v>
          </cell>
          <cell r="S429">
            <v>3528.5239185904643</v>
          </cell>
          <cell r="T429">
            <v>4513.4574472457825</v>
          </cell>
          <cell r="U429" t="e">
            <v>#DIV/0!</v>
          </cell>
          <cell r="V429" t="e">
            <v>#DIV/0!</v>
          </cell>
          <cell r="W429">
            <v>4489.8299485662801</v>
          </cell>
          <cell r="X429">
            <v>674.2491718675019</v>
          </cell>
          <cell r="Y429">
            <v>798.96243713486501</v>
          </cell>
          <cell r="Z429">
            <v>19.779438202011644</v>
          </cell>
          <cell r="AA429">
            <v>15.186108252658478</v>
          </cell>
          <cell r="AB429">
            <v>24.722482387852704</v>
          </cell>
          <cell r="AC429"/>
          <cell r="AD429"/>
          <cell r="AE429">
            <v>91.344366205399652</v>
          </cell>
          <cell r="AF429">
            <v>1624.2440040502893</v>
          </cell>
          <cell r="AG429">
            <v>0</v>
          </cell>
          <cell r="AH429">
            <v>1624.2440040502893</v>
          </cell>
          <cell r="AI429">
            <v>1218.4918899999998</v>
          </cell>
          <cell r="AJ429">
            <v>1215.079211</v>
          </cell>
          <cell r="AK429">
            <v>1313.6745109999999</v>
          </cell>
          <cell r="AL429">
            <v>1418.3460230000001</v>
          </cell>
          <cell r="AM429">
            <v>947.84178120000001</v>
          </cell>
          <cell r="AN429">
            <v>2344.0196820000001</v>
          </cell>
          <cell r="AO429">
            <v>1128.761043</v>
          </cell>
          <cell r="AP429">
            <v>1070.4344530000001</v>
          </cell>
          <cell r="AQ429">
            <v>1242.093096373417</v>
          </cell>
          <cell r="AR429">
            <v>1471.8382592569378</v>
          </cell>
          <cell r="AS429">
            <v>15.121886695794478</v>
          </cell>
          <cell r="AT429">
            <v>35.804618036868646</v>
          </cell>
          <cell r="AU429">
            <v>35.497105694588718</v>
          </cell>
          <cell r="AV429">
            <v>0</v>
          </cell>
          <cell r="AW429">
            <v>0</v>
          </cell>
          <cell r="AX429">
            <v>143.86706875062458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2944.2220348082315</v>
          </cell>
          <cell r="BH429">
            <v>4568.4660388585207</v>
          </cell>
          <cell r="BI429">
            <v>4311.1880532682781</v>
          </cell>
          <cell r="BJ429">
            <v>1.0596768181789709</v>
          </cell>
          <cell r="BK429">
            <v>0.37675090577850406</v>
          </cell>
          <cell r="BL429">
            <v>0.68292591240046685</v>
          </cell>
        </row>
        <row r="430">
          <cell r="A430" t="str">
            <v>PANIPAT TPS6</v>
          </cell>
          <cell r="B430" t="str">
            <v>PANIPAT TPS</v>
          </cell>
          <cell r="C430">
            <v>210</v>
          </cell>
          <cell r="D430" t="str">
            <v>RAIL</v>
          </cell>
          <cell r="E430"/>
          <cell r="F430">
            <v>29.397500000000001</v>
          </cell>
          <cell r="G430">
            <v>76.875600000000006</v>
          </cell>
          <cell r="H430">
            <v>0.41929401054483095</v>
          </cell>
          <cell r="I430">
            <v>0.49684920429799428</v>
          </cell>
          <cell r="J430">
            <v>4.7636961846024787E-3</v>
          </cell>
          <cell r="K430">
            <v>1.057248156015192E-2</v>
          </cell>
          <cell r="L430">
            <v>1.4595033211378276E-2</v>
          </cell>
          <cell r="M430">
            <v>0</v>
          </cell>
          <cell r="N430">
            <v>0</v>
          </cell>
          <cell r="O430">
            <v>5.3925574201042097E-2</v>
          </cell>
          <cell r="P430">
            <v>4299.7398014726277</v>
          </cell>
          <cell r="Q430">
            <v>4294.4517203358982</v>
          </cell>
          <cell r="R430">
            <v>6159.5057454249809</v>
          </cell>
          <cell r="S430">
            <v>3528.5239185904643</v>
          </cell>
          <cell r="T430">
            <v>4513.4574472457825</v>
          </cell>
          <cell r="U430" t="e">
            <v>#DIV/0!</v>
          </cell>
          <cell r="V430" t="e">
            <v>#DIV/0!</v>
          </cell>
          <cell r="W430">
            <v>4489.8299485662801</v>
          </cell>
          <cell r="X430">
            <v>674.2491718675019</v>
          </cell>
          <cell r="Y430">
            <v>798.96243713486501</v>
          </cell>
          <cell r="Z430">
            <v>19.779438202011644</v>
          </cell>
          <cell r="AA430">
            <v>15.186108252658478</v>
          </cell>
          <cell r="AB430">
            <v>24.722482387852704</v>
          </cell>
          <cell r="AC430"/>
          <cell r="AD430"/>
          <cell r="AE430">
            <v>91.344366205399652</v>
          </cell>
          <cell r="AF430">
            <v>1624.2440040502893</v>
          </cell>
          <cell r="AG430">
            <v>0</v>
          </cell>
          <cell r="AH430">
            <v>1624.2440040502893</v>
          </cell>
          <cell r="AI430">
            <v>1218.4918899999998</v>
          </cell>
          <cell r="AJ430">
            <v>1215.079211</v>
          </cell>
          <cell r="AK430">
            <v>1313.6745109999999</v>
          </cell>
          <cell r="AL430">
            <v>1418.3460230000001</v>
          </cell>
          <cell r="AM430">
            <v>947.84178120000001</v>
          </cell>
          <cell r="AN430">
            <v>2344.0196820000001</v>
          </cell>
          <cell r="AO430">
            <v>1128.761043</v>
          </cell>
          <cell r="AP430">
            <v>1070.4344530000001</v>
          </cell>
          <cell r="AQ430">
            <v>1242.093096373417</v>
          </cell>
          <cell r="AR430">
            <v>1471.8382592569378</v>
          </cell>
          <cell r="AS430">
            <v>15.121886695794478</v>
          </cell>
          <cell r="AT430">
            <v>35.804618036868646</v>
          </cell>
          <cell r="AU430">
            <v>35.497105694588718</v>
          </cell>
          <cell r="AV430">
            <v>0</v>
          </cell>
          <cell r="AW430">
            <v>0</v>
          </cell>
          <cell r="AX430">
            <v>143.86706875062458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2944.2220348082315</v>
          </cell>
          <cell r="BH430">
            <v>4568.4660388585207</v>
          </cell>
          <cell r="BI430">
            <v>4311.1880532682781</v>
          </cell>
          <cell r="BJ430">
            <v>1.0596768181789709</v>
          </cell>
          <cell r="BK430">
            <v>0.37675090577850406</v>
          </cell>
          <cell r="BL430">
            <v>0.68292591240046685</v>
          </cell>
        </row>
        <row r="431">
          <cell r="A431" t="str">
            <v>PANIPAT TPS7</v>
          </cell>
          <cell r="B431" t="str">
            <v>PANIPAT TPS</v>
          </cell>
          <cell r="C431">
            <v>250</v>
          </cell>
          <cell r="D431" t="str">
            <v>RAIL</v>
          </cell>
          <cell r="E431"/>
          <cell r="F431">
            <v>29.397500000000001</v>
          </cell>
          <cell r="G431">
            <v>76.875600000000006</v>
          </cell>
          <cell r="H431">
            <v>0.41929401054483095</v>
          </cell>
          <cell r="I431">
            <v>0.49684920429799428</v>
          </cell>
          <cell r="J431">
            <v>4.7636961846024787E-3</v>
          </cell>
          <cell r="K431">
            <v>1.057248156015192E-2</v>
          </cell>
          <cell r="L431">
            <v>1.4595033211378276E-2</v>
          </cell>
          <cell r="M431">
            <v>0</v>
          </cell>
          <cell r="N431">
            <v>0</v>
          </cell>
          <cell r="O431">
            <v>5.3925574201042097E-2</v>
          </cell>
          <cell r="P431">
            <v>4299.7398014726277</v>
          </cell>
          <cell r="Q431">
            <v>4294.4517203358982</v>
          </cell>
          <cell r="R431">
            <v>6159.5057454249809</v>
          </cell>
          <cell r="S431">
            <v>3528.5239185904643</v>
          </cell>
          <cell r="T431">
            <v>4513.4574472457825</v>
          </cell>
          <cell r="U431" t="e">
            <v>#DIV/0!</v>
          </cell>
          <cell r="V431" t="e">
            <v>#DIV/0!</v>
          </cell>
          <cell r="W431">
            <v>4489.8299485662801</v>
          </cell>
          <cell r="X431">
            <v>674.2491718675019</v>
          </cell>
          <cell r="Y431">
            <v>798.96243713486501</v>
          </cell>
          <cell r="Z431">
            <v>19.779438202011644</v>
          </cell>
          <cell r="AA431">
            <v>15.186108252658478</v>
          </cell>
          <cell r="AB431">
            <v>24.722482387852704</v>
          </cell>
          <cell r="AC431"/>
          <cell r="AD431"/>
          <cell r="AE431">
            <v>91.344366205399652</v>
          </cell>
          <cell r="AF431">
            <v>1624.2440040502893</v>
          </cell>
          <cell r="AG431">
            <v>0</v>
          </cell>
          <cell r="AH431">
            <v>1624.2440040502893</v>
          </cell>
          <cell r="AI431">
            <v>1218.4918899999998</v>
          </cell>
          <cell r="AJ431">
            <v>1215.079211</v>
          </cell>
          <cell r="AK431">
            <v>1313.6745109999999</v>
          </cell>
          <cell r="AL431">
            <v>1418.3460230000001</v>
          </cell>
          <cell r="AM431">
            <v>947.84178120000001</v>
          </cell>
          <cell r="AN431">
            <v>2344.0196820000001</v>
          </cell>
          <cell r="AO431">
            <v>1128.761043</v>
          </cell>
          <cell r="AP431">
            <v>1070.4344530000001</v>
          </cell>
          <cell r="AQ431">
            <v>1242.093096373417</v>
          </cell>
          <cell r="AR431">
            <v>1471.8382592569378</v>
          </cell>
          <cell r="AS431">
            <v>15.121886695794478</v>
          </cell>
          <cell r="AT431">
            <v>35.804618036868646</v>
          </cell>
          <cell r="AU431">
            <v>35.497105694588718</v>
          </cell>
          <cell r="AV431">
            <v>0</v>
          </cell>
          <cell r="AW431">
            <v>0</v>
          </cell>
          <cell r="AX431">
            <v>143.86706875062458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2944.2220348082315</v>
          </cell>
          <cell r="BH431">
            <v>4568.4660388585207</v>
          </cell>
          <cell r="BI431">
            <v>4311.1880532682781</v>
          </cell>
          <cell r="BJ431">
            <v>1.0596768181789709</v>
          </cell>
          <cell r="BK431">
            <v>0.37675090577850406</v>
          </cell>
          <cell r="BL431">
            <v>0.68292591240046685</v>
          </cell>
        </row>
        <row r="432">
          <cell r="A432" t="str">
            <v>PANIPAT TPS8</v>
          </cell>
          <cell r="B432" t="str">
            <v>PANIPAT TPS</v>
          </cell>
          <cell r="C432">
            <v>250</v>
          </cell>
          <cell r="D432" t="str">
            <v>RAIL</v>
          </cell>
          <cell r="E432"/>
          <cell r="F432">
            <v>29.397500000000001</v>
          </cell>
          <cell r="G432">
            <v>76.875600000000006</v>
          </cell>
          <cell r="H432">
            <v>0.41929401054483095</v>
          </cell>
          <cell r="I432">
            <v>0.49684920429799428</v>
          </cell>
          <cell r="J432">
            <v>4.7636961846024787E-3</v>
          </cell>
          <cell r="K432">
            <v>1.057248156015192E-2</v>
          </cell>
          <cell r="L432">
            <v>1.4595033211378276E-2</v>
          </cell>
          <cell r="M432">
            <v>0</v>
          </cell>
          <cell r="N432">
            <v>0</v>
          </cell>
          <cell r="O432">
            <v>5.3925574201042097E-2</v>
          </cell>
          <cell r="P432">
            <v>4299.7398014726277</v>
          </cell>
          <cell r="Q432">
            <v>4294.4517203358982</v>
          </cell>
          <cell r="R432">
            <v>6159.5057454249809</v>
          </cell>
          <cell r="S432">
            <v>3528.5239185904643</v>
          </cell>
          <cell r="T432">
            <v>4513.4574472457825</v>
          </cell>
          <cell r="U432" t="e">
            <v>#DIV/0!</v>
          </cell>
          <cell r="V432" t="e">
            <v>#DIV/0!</v>
          </cell>
          <cell r="W432">
            <v>4489.8299485662801</v>
          </cell>
          <cell r="X432">
            <v>674.2491718675019</v>
          </cell>
          <cell r="Y432">
            <v>798.96243713486501</v>
          </cell>
          <cell r="Z432">
            <v>19.779438202011644</v>
          </cell>
          <cell r="AA432">
            <v>15.186108252658478</v>
          </cell>
          <cell r="AB432">
            <v>24.722482387852704</v>
          </cell>
          <cell r="AC432"/>
          <cell r="AD432"/>
          <cell r="AE432">
            <v>91.344366205399652</v>
          </cell>
          <cell r="AF432">
            <v>1624.2440040502893</v>
          </cell>
          <cell r="AG432">
            <v>0</v>
          </cell>
          <cell r="AH432">
            <v>1624.2440040502893</v>
          </cell>
          <cell r="AI432">
            <v>1218.4918899999998</v>
          </cell>
          <cell r="AJ432">
            <v>1215.079211</v>
          </cell>
          <cell r="AK432">
            <v>1313.6745109999999</v>
          </cell>
          <cell r="AL432">
            <v>1418.3460230000001</v>
          </cell>
          <cell r="AM432">
            <v>947.84178120000001</v>
          </cell>
          <cell r="AN432">
            <v>2344.0196820000001</v>
          </cell>
          <cell r="AO432">
            <v>1128.761043</v>
          </cell>
          <cell r="AP432">
            <v>1070.4344530000001</v>
          </cell>
          <cell r="AQ432">
            <v>1242.093096373417</v>
          </cell>
          <cell r="AR432">
            <v>1471.8382592569378</v>
          </cell>
          <cell r="AS432">
            <v>15.121886695794478</v>
          </cell>
          <cell r="AT432">
            <v>35.804618036868646</v>
          </cell>
          <cell r="AU432">
            <v>35.497105694588718</v>
          </cell>
          <cell r="AV432">
            <v>0</v>
          </cell>
          <cell r="AW432">
            <v>0</v>
          </cell>
          <cell r="AX432">
            <v>143.86706875062458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2944.2220348082315</v>
          </cell>
          <cell r="BH432">
            <v>4568.4660388585207</v>
          </cell>
          <cell r="BI432">
            <v>4311.1880532682781</v>
          </cell>
          <cell r="BJ432">
            <v>1.0596768181789709</v>
          </cell>
          <cell r="BK432">
            <v>0.37675090577850406</v>
          </cell>
          <cell r="BL432">
            <v>0.68292591240046685</v>
          </cell>
        </row>
        <row r="433">
          <cell r="A433" t="str">
            <v>PARAS TPS3</v>
          </cell>
          <cell r="B433" t="str">
            <v>PARAS TPS</v>
          </cell>
          <cell r="C433">
            <v>250</v>
          </cell>
          <cell r="D433" t="str">
            <v>RAIL</v>
          </cell>
          <cell r="E433">
            <v>1.0363846375974588</v>
          </cell>
          <cell r="F433">
            <v>20.716000000000001</v>
          </cell>
          <cell r="G433">
            <v>76.795599999999993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1</v>
          </cell>
          <cell r="P433" t="e">
            <v>#DIV/0!</v>
          </cell>
          <cell r="Q433" t="e">
            <v>#DIV/0!</v>
          </cell>
          <cell r="R433" t="e">
            <v>#DIV/0!</v>
          </cell>
          <cell r="S433" t="e">
            <v>#DIV/0!</v>
          </cell>
          <cell r="T433" t="e">
            <v>#DIV/0!</v>
          </cell>
          <cell r="U433" t="e">
            <v>#DIV/0!</v>
          </cell>
          <cell r="V433" t="e">
            <v>#DIV/0!</v>
          </cell>
          <cell r="W433">
            <v>4369.4126749544839</v>
          </cell>
          <cell r="X433"/>
          <cell r="Y433"/>
          <cell r="Z433"/>
          <cell r="AA433"/>
          <cell r="AB433"/>
          <cell r="AC433"/>
          <cell r="AD433"/>
          <cell r="AE433">
            <v>1693.8969600000003</v>
          </cell>
          <cell r="AF433">
            <v>1693.8969600000003</v>
          </cell>
          <cell r="AG433">
            <v>0</v>
          </cell>
          <cell r="AH433">
            <v>1693.8969600000003</v>
          </cell>
          <cell r="AI433">
            <v>1204.5373240000001</v>
          </cell>
          <cell r="AJ433">
            <v>1147.6944469999999</v>
          </cell>
          <cell r="AK433">
            <v>1316.096587</v>
          </cell>
          <cell r="AL433">
            <v>910.86899589999996</v>
          </cell>
          <cell r="AM433">
            <v>875.58383560000004</v>
          </cell>
          <cell r="AN433">
            <v>2465.36085</v>
          </cell>
          <cell r="AO433">
            <v>725.92044700000008</v>
          </cell>
          <cell r="AP433">
            <v>256.59918900000002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962.85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962.85</v>
          </cell>
          <cell r="BH433">
            <v>2656.7469600000004</v>
          </cell>
          <cell r="BI433">
            <v>4369.4126749544839</v>
          </cell>
          <cell r="BJ433">
            <v>0.60803296864782308</v>
          </cell>
          <cell r="BK433">
            <v>0.38767154444107194</v>
          </cell>
          <cell r="BL433">
            <v>0.22036142420675109</v>
          </cell>
        </row>
        <row r="434">
          <cell r="A434" t="str">
            <v>PARAS TPS4</v>
          </cell>
          <cell r="B434" t="str">
            <v>PARAS TPS</v>
          </cell>
          <cell r="C434">
            <v>250</v>
          </cell>
          <cell r="D434" t="str">
            <v>RAIL</v>
          </cell>
          <cell r="E434">
            <v>1.0363846375974588</v>
          </cell>
          <cell r="F434">
            <v>20.716000000000001</v>
          </cell>
          <cell r="G434">
            <v>76.795599999999993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</v>
          </cell>
          <cell r="P434" t="e">
            <v>#DIV/0!</v>
          </cell>
          <cell r="Q434" t="e">
            <v>#DIV/0!</v>
          </cell>
          <cell r="R434" t="e">
            <v>#DIV/0!</v>
          </cell>
          <cell r="S434" t="e">
            <v>#DIV/0!</v>
          </cell>
          <cell r="T434" t="e">
            <v>#DIV/0!</v>
          </cell>
          <cell r="U434" t="e">
            <v>#DIV/0!</v>
          </cell>
          <cell r="V434" t="e">
            <v>#DIV/0!</v>
          </cell>
          <cell r="W434">
            <v>4369.4126749544839</v>
          </cell>
          <cell r="X434"/>
          <cell r="Y434"/>
          <cell r="Z434"/>
          <cell r="AA434"/>
          <cell r="AB434"/>
          <cell r="AC434"/>
          <cell r="AD434"/>
          <cell r="AE434">
            <v>1693.8969600000003</v>
          </cell>
          <cell r="AF434">
            <v>1693.8969600000003</v>
          </cell>
          <cell r="AG434">
            <v>0</v>
          </cell>
          <cell r="AH434">
            <v>1693.8969600000003</v>
          </cell>
          <cell r="AI434">
            <v>1204.5373240000001</v>
          </cell>
          <cell r="AJ434">
            <v>1147.6944469999999</v>
          </cell>
          <cell r="AK434">
            <v>1316.096587</v>
          </cell>
          <cell r="AL434">
            <v>910.86899589999996</v>
          </cell>
          <cell r="AM434">
            <v>875.58383560000004</v>
          </cell>
          <cell r="AN434">
            <v>2465.36085</v>
          </cell>
          <cell r="AO434">
            <v>725.92044700000008</v>
          </cell>
          <cell r="AP434">
            <v>256.59918900000002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962.85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962.85</v>
          </cell>
          <cell r="BH434">
            <v>2656.7469600000004</v>
          </cell>
          <cell r="BI434">
            <v>4369.4126749544839</v>
          </cell>
          <cell r="BJ434">
            <v>0.60803296864782308</v>
          </cell>
          <cell r="BK434">
            <v>0.38767154444107194</v>
          </cell>
          <cell r="BL434">
            <v>0.22036142420675109</v>
          </cell>
        </row>
        <row r="435">
          <cell r="A435" t="str">
            <v>PARICHHA TPS2</v>
          </cell>
          <cell r="B435" t="str">
            <v>PARICHHA TPS</v>
          </cell>
          <cell r="C435">
            <v>110</v>
          </cell>
          <cell r="D435" t="str">
            <v>RAIL</v>
          </cell>
          <cell r="E435">
            <v>1.2913928012519562</v>
          </cell>
          <cell r="F435">
            <v>25.514199999999999</v>
          </cell>
          <cell r="G435">
            <v>78.760000000000005</v>
          </cell>
          <cell r="H435">
            <v>0.38566062150778258</v>
          </cell>
          <cell r="I435">
            <v>0.24058178514305156</v>
          </cell>
          <cell r="J435">
            <v>0</v>
          </cell>
          <cell r="K435">
            <v>0</v>
          </cell>
          <cell r="L435">
            <v>0.35479242361049174</v>
          </cell>
          <cell r="M435">
            <v>0</v>
          </cell>
          <cell r="N435">
            <v>1.896516973867398E-2</v>
          </cell>
          <cell r="O435">
            <v>0</v>
          </cell>
          <cell r="P435">
            <v>4278.7563052809473</v>
          </cell>
          <cell r="Q435">
            <v>4310.0012873464257</v>
          </cell>
          <cell r="R435" t="e">
            <v>#DIV/0!</v>
          </cell>
          <cell r="S435" t="e">
            <v>#DIV/0!</v>
          </cell>
          <cell r="T435">
            <v>4571.0269546203162</v>
          </cell>
          <cell r="U435" t="e">
            <v>#DIV/0!</v>
          </cell>
          <cell r="V435">
            <v>4983.8934554712941</v>
          </cell>
          <cell r="W435" t="e">
            <v>#DIV/0!</v>
          </cell>
          <cell r="X435">
            <v>620.16472483268615</v>
          </cell>
          <cell r="Y435">
            <v>407.52075448518826</v>
          </cell>
          <cell r="Z435"/>
          <cell r="AA435"/>
          <cell r="AB435">
            <v>600.98180778484425</v>
          </cell>
          <cell r="AC435"/>
          <cell r="AD435">
            <v>42.529745891133537</v>
          </cell>
          <cell r="AE435"/>
          <cell r="AF435">
            <v>1671.1970329938524</v>
          </cell>
          <cell r="AG435">
            <v>0</v>
          </cell>
          <cell r="AH435">
            <v>1671.1970329938524</v>
          </cell>
          <cell r="AI435">
            <v>877.29560260000005</v>
          </cell>
          <cell r="AJ435">
            <v>873.88292369999988</v>
          </cell>
          <cell r="AK435">
            <v>972.47822359999986</v>
          </cell>
          <cell r="AL435">
            <v>967.58158180000009</v>
          </cell>
          <cell r="AM435">
            <v>547.04212110000003</v>
          </cell>
          <cell r="AN435">
            <v>2024.7493840000002</v>
          </cell>
          <cell r="AO435">
            <v>658.32157489999997</v>
          </cell>
          <cell r="AP435">
            <v>588.05182579999996</v>
          </cell>
          <cell r="AQ435">
            <v>865.08922388648136</v>
          </cell>
          <cell r="AR435">
            <v>539.65766319864406</v>
          </cell>
          <cell r="AS435">
            <v>0</v>
          </cell>
          <cell r="AT435">
            <v>0</v>
          </cell>
          <cell r="AU435">
            <v>589.94174613105349</v>
          </cell>
          <cell r="AV435">
            <v>0</v>
          </cell>
          <cell r="AW435">
            <v>35.613971575805799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2030.3026047919848</v>
          </cell>
          <cell r="BH435">
            <v>3701.499637785837</v>
          </cell>
          <cell r="BI435">
            <v>4403.3417366147551</v>
          </cell>
          <cell r="BJ435">
            <v>0.84061148536509289</v>
          </cell>
          <cell r="BK435">
            <v>0.37952926049265756</v>
          </cell>
          <cell r="BL435">
            <v>0.46108222487243544</v>
          </cell>
        </row>
        <row r="436">
          <cell r="A436" t="str">
            <v>PARICHHA TPS3</v>
          </cell>
          <cell r="B436" t="str">
            <v>PARICHHA TPS</v>
          </cell>
          <cell r="C436">
            <v>210</v>
          </cell>
          <cell r="D436" t="str">
            <v>RAIL</v>
          </cell>
          <cell r="E436">
            <v>1.2913928012519562</v>
          </cell>
          <cell r="F436">
            <v>25.514199999999999</v>
          </cell>
          <cell r="G436">
            <v>78.760000000000005</v>
          </cell>
          <cell r="H436">
            <v>0.38566062150778258</v>
          </cell>
          <cell r="I436">
            <v>0.24058178514305156</v>
          </cell>
          <cell r="J436">
            <v>0</v>
          </cell>
          <cell r="K436">
            <v>0</v>
          </cell>
          <cell r="L436">
            <v>0.35479242361049174</v>
          </cell>
          <cell r="M436">
            <v>0</v>
          </cell>
          <cell r="N436">
            <v>1.896516973867398E-2</v>
          </cell>
          <cell r="O436">
            <v>0</v>
          </cell>
          <cell r="P436">
            <v>4278.7563052809473</v>
          </cell>
          <cell r="Q436">
            <v>4310.0012873464257</v>
          </cell>
          <cell r="R436" t="e">
            <v>#DIV/0!</v>
          </cell>
          <cell r="S436" t="e">
            <v>#DIV/0!</v>
          </cell>
          <cell r="T436">
            <v>4571.0269546203162</v>
          </cell>
          <cell r="U436" t="e">
            <v>#DIV/0!</v>
          </cell>
          <cell r="V436">
            <v>4983.8934554712941</v>
          </cell>
          <cell r="W436" t="e">
            <v>#DIV/0!</v>
          </cell>
          <cell r="X436">
            <v>620.16472483268615</v>
          </cell>
          <cell r="Y436">
            <v>407.52075448518826</v>
          </cell>
          <cell r="Z436"/>
          <cell r="AA436"/>
          <cell r="AB436">
            <v>600.98180778484425</v>
          </cell>
          <cell r="AC436"/>
          <cell r="AD436">
            <v>42.529745891133537</v>
          </cell>
          <cell r="AE436"/>
          <cell r="AF436">
            <v>1671.1970329938524</v>
          </cell>
          <cell r="AG436">
            <v>0</v>
          </cell>
          <cell r="AH436">
            <v>1671.1970329938524</v>
          </cell>
          <cell r="AI436">
            <v>877.29560260000005</v>
          </cell>
          <cell r="AJ436">
            <v>873.88292369999988</v>
          </cell>
          <cell r="AK436">
            <v>972.47822359999986</v>
          </cell>
          <cell r="AL436">
            <v>967.58158180000009</v>
          </cell>
          <cell r="AM436">
            <v>547.04212110000003</v>
          </cell>
          <cell r="AN436">
            <v>2024.7493840000002</v>
          </cell>
          <cell r="AO436">
            <v>658.32157489999997</v>
          </cell>
          <cell r="AP436">
            <v>588.05182579999996</v>
          </cell>
          <cell r="AQ436">
            <v>865.08922388648136</v>
          </cell>
          <cell r="AR436">
            <v>539.65766319864406</v>
          </cell>
          <cell r="AS436">
            <v>0</v>
          </cell>
          <cell r="AT436">
            <v>0</v>
          </cell>
          <cell r="AU436">
            <v>589.94174613105349</v>
          </cell>
          <cell r="AV436">
            <v>0</v>
          </cell>
          <cell r="AW436">
            <v>35.613971575805799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2030.3026047919848</v>
          </cell>
          <cell r="BH436">
            <v>3701.499637785837</v>
          </cell>
          <cell r="BI436">
            <v>4403.3417366147551</v>
          </cell>
          <cell r="BJ436">
            <v>0.84061148536509289</v>
          </cell>
          <cell r="BK436">
            <v>0.37952926049265756</v>
          </cell>
          <cell r="BL436">
            <v>0.46108222487243544</v>
          </cell>
        </row>
        <row r="437">
          <cell r="A437" t="str">
            <v>PARICHHA TPS4</v>
          </cell>
          <cell r="B437" t="str">
            <v>PARICHHA TPS</v>
          </cell>
          <cell r="C437">
            <v>210</v>
          </cell>
          <cell r="D437" t="str">
            <v>RAIL</v>
          </cell>
          <cell r="E437">
            <v>1.2913928012519562</v>
          </cell>
          <cell r="F437">
            <v>25.514199999999999</v>
          </cell>
          <cell r="G437">
            <v>78.760000000000005</v>
          </cell>
          <cell r="H437">
            <v>0.38566062150778258</v>
          </cell>
          <cell r="I437">
            <v>0.24058178514305156</v>
          </cell>
          <cell r="J437">
            <v>0</v>
          </cell>
          <cell r="K437">
            <v>0</v>
          </cell>
          <cell r="L437">
            <v>0.35479242361049174</v>
          </cell>
          <cell r="M437">
            <v>0</v>
          </cell>
          <cell r="N437">
            <v>1.896516973867398E-2</v>
          </cell>
          <cell r="O437">
            <v>0</v>
          </cell>
          <cell r="P437">
            <v>4278.7563052809473</v>
          </cell>
          <cell r="Q437">
            <v>4310.0012873464257</v>
          </cell>
          <cell r="R437" t="e">
            <v>#DIV/0!</v>
          </cell>
          <cell r="S437" t="e">
            <v>#DIV/0!</v>
          </cell>
          <cell r="T437">
            <v>4571.0269546203162</v>
          </cell>
          <cell r="U437" t="e">
            <v>#DIV/0!</v>
          </cell>
          <cell r="V437">
            <v>4983.8934554712941</v>
          </cell>
          <cell r="W437" t="e">
            <v>#DIV/0!</v>
          </cell>
          <cell r="X437">
            <v>620.16472483268615</v>
          </cell>
          <cell r="Y437">
            <v>407.52075448518826</v>
          </cell>
          <cell r="Z437"/>
          <cell r="AA437"/>
          <cell r="AB437">
            <v>600.98180778484425</v>
          </cell>
          <cell r="AC437"/>
          <cell r="AD437">
            <v>42.529745891133537</v>
          </cell>
          <cell r="AE437"/>
          <cell r="AF437">
            <v>1671.1970329938524</v>
          </cell>
          <cell r="AG437">
            <v>0</v>
          </cell>
          <cell r="AH437">
            <v>1671.1970329938524</v>
          </cell>
          <cell r="AI437">
            <v>877.29560260000005</v>
          </cell>
          <cell r="AJ437">
            <v>873.88292369999988</v>
          </cell>
          <cell r="AK437">
            <v>972.47822359999986</v>
          </cell>
          <cell r="AL437">
            <v>967.58158180000009</v>
          </cell>
          <cell r="AM437">
            <v>547.04212110000003</v>
          </cell>
          <cell r="AN437">
            <v>2024.7493840000002</v>
          </cell>
          <cell r="AO437">
            <v>658.32157489999997</v>
          </cell>
          <cell r="AP437">
            <v>588.05182579999996</v>
          </cell>
          <cell r="AQ437">
            <v>865.08922388648136</v>
          </cell>
          <cell r="AR437">
            <v>539.65766319864406</v>
          </cell>
          <cell r="AS437">
            <v>0</v>
          </cell>
          <cell r="AT437">
            <v>0</v>
          </cell>
          <cell r="AU437">
            <v>589.94174613105349</v>
          </cell>
          <cell r="AV437">
            <v>0</v>
          </cell>
          <cell r="AW437">
            <v>35.613971575805799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2030.3026047919848</v>
          </cell>
          <cell r="BH437">
            <v>3701.499637785837</v>
          </cell>
          <cell r="BI437">
            <v>4403.3417366147551</v>
          </cell>
          <cell r="BJ437">
            <v>0.84061148536509289</v>
          </cell>
          <cell r="BK437">
            <v>0.37952926049265756</v>
          </cell>
          <cell r="BL437">
            <v>0.46108222487243544</v>
          </cell>
        </row>
        <row r="438">
          <cell r="A438" t="str">
            <v>PARLI TPS6</v>
          </cell>
          <cell r="B438" t="str">
            <v>PARLI TPS</v>
          </cell>
          <cell r="C438">
            <v>250</v>
          </cell>
          <cell r="D438" t="str">
            <v>RAIL</v>
          </cell>
          <cell r="E438">
            <v>1.1561668145519077</v>
          </cell>
          <cell r="F438">
            <v>18.907299999999999</v>
          </cell>
          <cell r="G438">
            <v>76.543700000000001</v>
          </cell>
          <cell r="H438">
            <v>0</v>
          </cell>
          <cell r="I438">
            <v>0</v>
          </cell>
          <cell r="J438">
            <v>0</v>
          </cell>
          <cell r="K438">
            <v>1.3371431378434143E-3</v>
          </cell>
          <cell r="L438">
            <v>0</v>
          </cell>
          <cell r="M438">
            <v>0</v>
          </cell>
          <cell r="N438">
            <v>0</v>
          </cell>
          <cell r="O438">
            <v>0.9986628568621565</v>
          </cell>
          <cell r="P438" t="e">
            <v>#DIV/0!</v>
          </cell>
          <cell r="Q438" t="e">
            <v>#DIV/0!</v>
          </cell>
          <cell r="R438" t="e">
            <v>#DIV/0!</v>
          </cell>
          <cell r="S438">
            <v>3250</v>
          </cell>
          <cell r="T438" t="e">
            <v>#DIV/0!</v>
          </cell>
          <cell r="U438" t="e">
            <v>#DIV/0!</v>
          </cell>
          <cell r="V438" t="e">
            <v>#DIV/0!</v>
          </cell>
          <cell r="W438">
            <v>4201.2184324598475</v>
          </cell>
          <cell r="X438"/>
          <cell r="Y438"/>
          <cell r="Z438"/>
          <cell r="AA438">
            <v>1.8058678606978693</v>
          </cell>
          <cell r="AB438"/>
          <cell r="AC438"/>
          <cell r="AD438"/>
          <cell r="AE438">
            <v>1605.9079960126171</v>
          </cell>
          <cell r="AF438">
            <v>1607.7138638733149</v>
          </cell>
          <cell r="AG438">
            <v>0</v>
          </cell>
          <cell r="AH438">
            <v>1607.7138638733149</v>
          </cell>
          <cell r="AI438">
            <v>1358.8555309999999</v>
          </cell>
          <cell r="AJ438">
            <v>1302.0126540000001</v>
          </cell>
          <cell r="AK438">
            <v>1470.414794</v>
          </cell>
          <cell r="AL438">
            <v>1062.4736270000001</v>
          </cell>
          <cell r="AM438">
            <v>1065.029538</v>
          </cell>
          <cell r="AN438">
            <v>2654.8065529999999</v>
          </cell>
          <cell r="AO438">
            <v>880.23865359999991</v>
          </cell>
          <cell r="AP438">
            <v>429.82530479999997</v>
          </cell>
          <cell r="AQ438">
            <v>0</v>
          </cell>
          <cell r="AR438">
            <v>0</v>
          </cell>
          <cell r="AS438">
            <v>0</v>
          </cell>
          <cell r="AT438">
            <v>3.567340108875964</v>
          </cell>
          <cell r="AU438">
            <v>0</v>
          </cell>
          <cell r="AV438">
            <v>0</v>
          </cell>
          <cell r="AW438">
            <v>0</v>
          </cell>
          <cell r="AX438">
            <v>1442.4906010345501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1446.057941143426</v>
          </cell>
          <cell r="BH438">
            <v>3053.7718050167409</v>
          </cell>
          <cell r="BI438">
            <v>4199.9465172602941</v>
          </cell>
          <cell r="BJ438">
            <v>0.72709778385672752</v>
          </cell>
          <cell r="BK438">
            <v>0.3827938896998283</v>
          </cell>
          <cell r="BL438">
            <v>0.34430389415689927</v>
          </cell>
        </row>
        <row r="439">
          <cell r="A439" t="str">
            <v>PARLI TPS7</v>
          </cell>
          <cell r="B439" t="str">
            <v>PARLI TPS</v>
          </cell>
          <cell r="C439">
            <v>250</v>
          </cell>
          <cell r="D439" t="str">
            <v>RAIL</v>
          </cell>
          <cell r="E439">
            <v>1.1561668145519077</v>
          </cell>
          <cell r="F439">
            <v>18.907299999999999</v>
          </cell>
          <cell r="G439">
            <v>76.543700000000001</v>
          </cell>
          <cell r="H439">
            <v>0</v>
          </cell>
          <cell r="I439">
            <v>0</v>
          </cell>
          <cell r="J439">
            <v>0</v>
          </cell>
          <cell r="K439">
            <v>1.3371431378434143E-3</v>
          </cell>
          <cell r="L439">
            <v>0</v>
          </cell>
          <cell r="M439">
            <v>0</v>
          </cell>
          <cell r="N439">
            <v>0</v>
          </cell>
          <cell r="O439">
            <v>0.9986628568621565</v>
          </cell>
          <cell r="P439" t="e">
            <v>#DIV/0!</v>
          </cell>
          <cell r="Q439" t="e">
            <v>#DIV/0!</v>
          </cell>
          <cell r="R439" t="e">
            <v>#DIV/0!</v>
          </cell>
          <cell r="S439">
            <v>3250</v>
          </cell>
          <cell r="T439" t="e">
            <v>#DIV/0!</v>
          </cell>
          <cell r="U439" t="e">
            <v>#DIV/0!</v>
          </cell>
          <cell r="V439" t="e">
            <v>#DIV/0!</v>
          </cell>
          <cell r="W439">
            <v>4201.2184324598475</v>
          </cell>
          <cell r="X439"/>
          <cell r="Y439"/>
          <cell r="Z439"/>
          <cell r="AA439">
            <v>1.8058678606978693</v>
          </cell>
          <cell r="AB439"/>
          <cell r="AC439"/>
          <cell r="AD439"/>
          <cell r="AE439">
            <v>1605.9079960126171</v>
          </cell>
          <cell r="AF439">
            <v>1607.7138638733149</v>
          </cell>
          <cell r="AG439">
            <v>0</v>
          </cell>
          <cell r="AH439">
            <v>1607.7138638733149</v>
          </cell>
          <cell r="AI439">
            <v>1358.8555309999999</v>
          </cell>
          <cell r="AJ439">
            <v>1302.0126540000001</v>
          </cell>
          <cell r="AK439">
            <v>1470.414794</v>
          </cell>
          <cell r="AL439">
            <v>1062.4736270000001</v>
          </cell>
          <cell r="AM439">
            <v>1065.029538</v>
          </cell>
          <cell r="AN439">
            <v>2654.8065529999999</v>
          </cell>
          <cell r="AO439">
            <v>880.23865359999991</v>
          </cell>
          <cell r="AP439">
            <v>429.82530479999997</v>
          </cell>
          <cell r="AQ439">
            <v>0</v>
          </cell>
          <cell r="AR439">
            <v>0</v>
          </cell>
          <cell r="AS439">
            <v>0</v>
          </cell>
          <cell r="AT439">
            <v>3.567340108875964</v>
          </cell>
          <cell r="AU439">
            <v>0</v>
          </cell>
          <cell r="AV439">
            <v>0</v>
          </cell>
          <cell r="AW439">
            <v>0</v>
          </cell>
          <cell r="AX439">
            <v>1442.4906010345501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1446.057941143426</v>
          </cell>
          <cell r="BH439">
            <v>3053.7718050167409</v>
          </cell>
          <cell r="BI439">
            <v>4199.9465172602941</v>
          </cell>
          <cell r="BJ439">
            <v>0.72709778385672752</v>
          </cell>
          <cell r="BK439">
            <v>0.3827938896998283</v>
          </cell>
          <cell r="BL439">
            <v>0.34430389415689927</v>
          </cell>
        </row>
        <row r="440">
          <cell r="A440" t="str">
            <v>RAICHUR TPS1</v>
          </cell>
          <cell r="B440" t="str">
            <v>RAICHUR TPS</v>
          </cell>
          <cell r="C440">
            <v>210</v>
          </cell>
          <cell r="D440" t="str">
            <v>RAIL</v>
          </cell>
          <cell r="E440" t="str">
            <v/>
          </cell>
          <cell r="F440">
            <v>16.355599999999999</v>
          </cell>
          <cell r="G440">
            <v>77.343299999999999</v>
          </cell>
          <cell r="H440">
            <v>0</v>
          </cell>
          <cell r="I440">
            <v>0</v>
          </cell>
          <cell r="J440">
            <v>0</v>
          </cell>
          <cell r="K440">
            <v>0.6564342281591502</v>
          </cell>
          <cell r="L440">
            <v>0</v>
          </cell>
          <cell r="M440">
            <v>0</v>
          </cell>
          <cell r="N440">
            <v>0</v>
          </cell>
          <cell r="O440">
            <v>0.3435657718408498</v>
          </cell>
          <cell r="P440" t="e">
            <v>#DIV/0!</v>
          </cell>
          <cell r="Q440" t="e">
            <v>#DIV/0!</v>
          </cell>
          <cell r="R440" t="e">
            <v>#DIV/0!</v>
          </cell>
          <cell r="S440">
            <v>3798.2665071576243</v>
          </cell>
          <cell r="T440" t="e">
            <v>#DIV/0!</v>
          </cell>
          <cell r="U440" t="e">
            <v>#DIV/0!</v>
          </cell>
          <cell r="V440" t="e">
            <v>#DIV/0!</v>
          </cell>
          <cell r="W440">
            <v>4334.3626716655172</v>
          </cell>
          <cell r="X440"/>
          <cell r="Y440"/>
          <cell r="Z440"/>
          <cell r="AA440">
            <v>999.23694318525395</v>
          </cell>
          <cell r="AB440"/>
          <cell r="AC440"/>
          <cell r="AD440"/>
          <cell r="AE440">
            <v>581.96501648126912</v>
          </cell>
          <cell r="AF440">
            <v>1581.2019596665232</v>
          </cell>
          <cell r="AG440">
            <v>0</v>
          </cell>
          <cell r="AH440">
            <v>1581.2019596665232</v>
          </cell>
          <cell r="AI440">
            <v>1507.9357730000002</v>
          </cell>
          <cell r="AJ440">
            <v>1451.0928959999999</v>
          </cell>
          <cell r="AK440">
            <v>1619.495036</v>
          </cell>
          <cell r="AL440">
            <v>1197.2347180000002</v>
          </cell>
          <cell r="AM440">
            <v>1295.718149</v>
          </cell>
          <cell r="AN440">
            <v>2806.2706290000001</v>
          </cell>
          <cell r="AO440">
            <v>1029.3188959999998</v>
          </cell>
          <cell r="AP440">
            <v>660.51391569999987</v>
          </cell>
          <cell r="AQ440">
            <v>0</v>
          </cell>
          <cell r="AR440">
            <v>0</v>
          </cell>
          <cell r="AS440">
            <v>0</v>
          </cell>
          <cell r="AT440">
            <v>1920.8460226231982</v>
          </cell>
          <cell r="AU440">
            <v>0</v>
          </cell>
          <cell r="AV440">
            <v>0</v>
          </cell>
          <cell r="AW440">
            <v>0</v>
          </cell>
          <cell r="AX440">
            <v>645.16910744060192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2566.0151300637999</v>
          </cell>
          <cell r="BH440">
            <v>4147.2170897303231</v>
          </cell>
          <cell r="BI440">
            <v>3982.4507996977022</v>
          </cell>
          <cell r="BJ440">
            <v>1.041373088663174</v>
          </cell>
          <cell r="BK440">
            <v>0.39704243421828295</v>
          </cell>
          <cell r="BL440">
            <v>0.64433065444489102</v>
          </cell>
        </row>
        <row r="441">
          <cell r="A441" t="str">
            <v>RAICHUR TPS2</v>
          </cell>
          <cell r="B441" t="str">
            <v>RAICHUR TPS</v>
          </cell>
          <cell r="C441">
            <v>210</v>
          </cell>
          <cell r="D441" t="str">
            <v>RAIL</v>
          </cell>
          <cell r="E441" t="str">
            <v/>
          </cell>
          <cell r="F441">
            <v>16.355599999999999</v>
          </cell>
          <cell r="G441">
            <v>77.343299999999999</v>
          </cell>
          <cell r="H441">
            <v>0</v>
          </cell>
          <cell r="I441">
            <v>0</v>
          </cell>
          <cell r="J441">
            <v>0</v>
          </cell>
          <cell r="K441">
            <v>0.6564342281591502</v>
          </cell>
          <cell r="L441">
            <v>0</v>
          </cell>
          <cell r="M441">
            <v>0</v>
          </cell>
          <cell r="N441">
            <v>0</v>
          </cell>
          <cell r="O441">
            <v>0.3435657718408498</v>
          </cell>
          <cell r="P441" t="e">
            <v>#DIV/0!</v>
          </cell>
          <cell r="Q441" t="e">
            <v>#DIV/0!</v>
          </cell>
          <cell r="R441" t="e">
            <v>#DIV/0!</v>
          </cell>
          <cell r="S441">
            <v>3798.2665071576243</v>
          </cell>
          <cell r="T441" t="e">
            <v>#DIV/0!</v>
          </cell>
          <cell r="U441" t="e">
            <v>#DIV/0!</v>
          </cell>
          <cell r="V441" t="e">
            <v>#DIV/0!</v>
          </cell>
          <cell r="W441">
            <v>4334.3626716655172</v>
          </cell>
          <cell r="X441"/>
          <cell r="Y441"/>
          <cell r="Z441"/>
          <cell r="AA441">
            <v>999.23694318525395</v>
          </cell>
          <cell r="AB441"/>
          <cell r="AC441"/>
          <cell r="AD441"/>
          <cell r="AE441">
            <v>581.96501648126912</v>
          </cell>
          <cell r="AF441">
            <v>1581.2019596665232</v>
          </cell>
          <cell r="AG441">
            <v>0</v>
          </cell>
          <cell r="AH441">
            <v>1581.2019596665232</v>
          </cell>
          <cell r="AI441">
            <v>1507.9357730000002</v>
          </cell>
          <cell r="AJ441">
            <v>1451.0928959999999</v>
          </cell>
          <cell r="AK441">
            <v>1619.495036</v>
          </cell>
          <cell r="AL441">
            <v>1197.2347180000002</v>
          </cell>
          <cell r="AM441">
            <v>1295.718149</v>
          </cell>
          <cell r="AN441">
            <v>2806.2706290000001</v>
          </cell>
          <cell r="AO441">
            <v>1029.3188959999998</v>
          </cell>
          <cell r="AP441">
            <v>660.51391569999987</v>
          </cell>
          <cell r="AQ441">
            <v>0</v>
          </cell>
          <cell r="AR441">
            <v>0</v>
          </cell>
          <cell r="AS441">
            <v>0</v>
          </cell>
          <cell r="AT441">
            <v>1920.8460226231982</v>
          </cell>
          <cell r="AU441">
            <v>0</v>
          </cell>
          <cell r="AV441">
            <v>0</v>
          </cell>
          <cell r="AW441">
            <v>0</v>
          </cell>
          <cell r="AX441">
            <v>645.16910744060192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2566.0151300637999</v>
          </cell>
          <cell r="BH441">
            <v>4147.2170897303231</v>
          </cell>
          <cell r="BI441">
            <v>3982.4507996977022</v>
          </cell>
          <cell r="BJ441">
            <v>1.041373088663174</v>
          </cell>
          <cell r="BK441">
            <v>0.39704243421828295</v>
          </cell>
          <cell r="BL441">
            <v>0.64433065444489102</v>
          </cell>
        </row>
        <row r="442">
          <cell r="A442" t="str">
            <v>RAICHUR TPS3</v>
          </cell>
          <cell r="B442" t="str">
            <v>RAICHUR TPS</v>
          </cell>
          <cell r="C442">
            <v>210</v>
          </cell>
          <cell r="D442" t="str">
            <v>RAIL</v>
          </cell>
          <cell r="E442" t="str">
            <v/>
          </cell>
          <cell r="F442">
            <v>16.355599999999999</v>
          </cell>
          <cell r="G442">
            <v>77.343299999999999</v>
          </cell>
          <cell r="H442">
            <v>0</v>
          </cell>
          <cell r="I442">
            <v>0</v>
          </cell>
          <cell r="J442">
            <v>0</v>
          </cell>
          <cell r="K442">
            <v>0.6564342281591502</v>
          </cell>
          <cell r="L442">
            <v>0</v>
          </cell>
          <cell r="M442">
            <v>0</v>
          </cell>
          <cell r="N442">
            <v>0</v>
          </cell>
          <cell r="O442">
            <v>0.3435657718408498</v>
          </cell>
          <cell r="P442" t="e">
            <v>#DIV/0!</v>
          </cell>
          <cell r="Q442" t="e">
            <v>#DIV/0!</v>
          </cell>
          <cell r="R442" t="e">
            <v>#DIV/0!</v>
          </cell>
          <cell r="S442">
            <v>3798.2665071576243</v>
          </cell>
          <cell r="T442" t="e">
            <v>#DIV/0!</v>
          </cell>
          <cell r="U442" t="e">
            <v>#DIV/0!</v>
          </cell>
          <cell r="V442" t="e">
            <v>#DIV/0!</v>
          </cell>
          <cell r="W442">
            <v>4334.3626716655172</v>
          </cell>
          <cell r="X442"/>
          <cell r="Y442"/>
          <cell r="Z442"/>
          <cell r="AA442">
            <v>999.23694318525395</v>
          </cell>
          <cell r="AB442"/>
          <cell r="AC442"/>
          <cell r="AD442"/>
          <cell r="AE442">
            <v>581.96501648126912</v>
          </cell>
          <cell r="AF442">
            <v>1581.2019596665232</v>
          </cell>
          <cell r="AG442">
            <v>0</v>
          </cell>
          <cell r="AH442">
            <v>1581.2019596665232</v>
          </cell>
          <cell r="AI442">
            <v>1507.9357730000002</v>
          </cell>
          <cell r="AJ442">
            <v>1451.0928959999999</v>
          </cell>
          <cell r="AK442">
            <v>1619.495036</v>
          </cell>
          <cell r="AL442">
            <v>1197.2347180000002</v>
          </cell>
          <cell r="AM442">
            <v>1295.718149</v>
          </cell>
          <cell r="AN442">
            <v>2806.2706290000001</v>
          </cell>
          <cell r="AO442">
            <v>1029.3188959999998</v>
          </cell>
          <cell r="AP442">
            <v>660.51391569999987</v>
          </cell>
          <cell r="AQ442">
            <v>0</v>
          </cell>
          <cell r="AR442">
            <v>0</v>
          </cell>
          <cell r="AS442">
            <v>0</v>
          </cell>
          <cell r="AT442">
            <v>1920.8460226231982</v>
          </cell>
          <cell r="AU442">
            <v>0</v>
          </cell>
          <cell r="AV442">
            <v>0</v>
          </cell>
          <cell r="AW442">
            <v>0</v>
          </cell>
          <cell r="AX442">
            <v>645.16910744060192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2566.0151300637999</v>
          </cell>
          <cell r="BH442">
            <v>4147.2170897303231</v>
          </cell>
          <cell r="BI442">
            <v>3982.4507996977022</v>
          </cell>
          <cell r="BJ442">
            <v>1.041373088663174</v>
          </cell>
          <cell r="BK442">
            <v>0.39704243421828295</v>
          </cell>
          <cell r="BL442">
            <v>0.64433065444489102</v>
          </cell>
        </row>
        <row r="443">
          <cell r="A443" t="str">
            <v>RAICHUR TPS4</v>
          </cell>
          <cell r="B443" t="str">
            <v>RAICHUR TPS</v>
          </cell>
          <cell r="C443">
            <v>210</v>
          </cell>
          <cell r="D443" t="str">
            <v>RAIL</v>
          </cell>
          <cell r="E443" t="str">
            <v/>
          </cell>
          <cell r="F443">
            <v>16.355599999999999</v>
          </cell>
          <cell r="G443">
            <v>77.343299999999999</v>
          </cell>
          <cell r="H443">
            <v>0</v>
          </cell>
          <cell r="I443">
            <v>0</v>
          </cell>
          <cell r="J443">
            <v>0</v>
          </cell>
          <cell r="K443">
            <v>0.6564342281591502</v>
          </cell>
          <cell r="L443">
            <v>0</v>
          </cell>
          <cell r="M443">
            <v>0</v>
          </cell>
          <cell r="N443">
            <v>0</v>
          </cell>
          <cell r="O443">
            <v>0.3435657718408498</v>
          </cell>
          <cell r="P443" t="e">
            <v>#DIV/0!</v>
          </cell>
          <cell r="Q443" t="e">
            <v>#DIV/0!</v>
          </cell>
          <cell r="R443" t="e">
            <v>#DIV/0!</v>
          </cell>
          <cell r="S443">
            <v>3798.2665071576243</v>
          </cell>
          <cell r="T443" t="e">
            <v>#DIV/0!</v>
          </cell>
          <cell r="U443" t="e">
            <v>#DIV/0!</v>
          </cell>
          <cell r="V443" t="e">
            <v>#DIV/0!</v>
          </cell>
          <cell r="W443">
            <v>4334.3626716655172</v>
          </cell>
          <cell r="X443"/>
          <cell r="Y443"/>
          <cell r="Z443"/>
          <cell r="AA443">
            <v>999.23694318525395</v>
          </cell>
          <cell r="AB443"/>
          <cell r="AC443"/>
          <cell r="AD443"/>
          <cell r="AE443">
            <v>581.96501648126912</v>
          </cell>
          <cell r="AF443">
            <v>1581.2019596665232</v>
          </cell>
          <cell r="AG443">
            <v>0</v>
          </cell>
          <cell r="AH443">
            <v>1581.2019596665232</v>
          </cell>
          <cell r="AI443">
            <v>1507.9357730000002</v>
          </cell>
          <cell r="AJ443">
            <v>1451.0928959999999</v>
          </cell>
          <cell r="AK443">
            <v>1619.495036</v>
          </cell>
          <cell r="AL443">
            <v>1197.2347180000002</v>
          </cell>
          <cell r="AM443">
            <v>1295.718149</v>
          </cell>
          <cell r="AN443">
            <v>2806.2706290000001</v>
          </cell>
          <cell r="AO443">
            <v>1029.3188959999998</v>
          </cell>
          <cell r="AP443">
            <v>660.51391569999987</v>
          </cell>
          <cell r="AQ443">
            <v>0</v>
          </cell>
          <cell r="AR443">
            <v>0</v>
          </cell>
          <cell r="AS443">
            <v>0</v>
          </cell>
          <cell r="AT443">
            <v>1920.8460226231982</v>
          </cell>
          <cell r="AU443">
            <v>0</v>
          </cell>
          <cell r="AV443">
            <v>0</v>
          </cell>
          <cell r="AW443">
            <v>0</v>
          </cell>
          <cell r="AX443">
            <v>645.16910744060192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2566.0151300637999</v>
          </cell>
          <cell r="BH443">
            <v>4147.2170897303231</v>
          </cell>
          <cell r="BI443">
            <v>3982.4507996977022</v>
          </cell>
          <cell r="BJ443">
            <v>1.041373088663174</v>
          </cell>
          <cell r="BK443">
            <v>0.39704243421828295</v>
          </cell>
          <cell r="BL443">
            <v>0.64433065444489102</v>
          </cell>
        </row>
        <row r="444">
          <cell r="A444" t="str">
            <v>RAICHUR TPS5</v>
          </cell>
          <cell r="B444" t="str">
            <v>RAICHUR TPS</v>
          </cell>
          <cell r="C444">
            <v>210</v>
          </cell>
          <cell r="D444" t="str">
            <v>RAIL</v>
          </cell>
          <cell r="E444" t="str">
            <v/>
          </cell>
          <cell r="F444">
            <v>16.355599999999999</v>
          </cell>
          <cell r="G444">
            <v>77.343299999999999</v>
          </cell>
          <cell r="H444">
            <v>0</v>
          </cell>
          <cell r="I444">
            <v>0</v>
          </cell>
          <cell r="J444">
            <v>0</v>
          </cell>
          <cell r="K444">
            <v>0.6564342281591502</v>
          </cell>
          <cell r="L444">
            <v>0</v>
          </cell>
          <cell r="M444">
            <v>0</v>
          </cell>
          <cell r="N444">
            <v>0</v>
          </cell>
          <cell r="O444">
            <v>0.3435657718408498</v>
          </cell>
          <cell r="P444" t="e">
            <v>#DIV/0!</v>
          </cell>
          <cell r="Q444" t="e">
            <v>#DIV/0!</v>
          </cell>
          <cell r="R444" t="e">
            <v>#DIV/0!</v>
          </cell>
          <cell r="S444">
            <v>3798.2665071576243</v>
          </cell>
          <cell r="T444" t="e">
            <v>#DIV/0!</v>
          </cell>
          <cell r="U444" t="e">
            <v>#DIV/0!</v>
          </cell>
          <cell r="V444" t="e">
            <v>#DIV/0!</v>
          </cell>
          <cell r="W444">
            <v>4334.3626716655172</v>
          </cell>
          <cell r="X444"/>
          <cell r="Y444"/>
          <cell r="Z444"/>
          <cell r="AA444">
            <v>999.23694318525395</v>
          </cell>
          <cell r="AB444"/>
          <cell r="AC444"/>
          <cell r="AD444"/>
          <cell r="AE444">
            <v>581.96501648126912</v>
          </cell>
          <cell r="AF444">
            <v>1581.2019596665232</v>
          </cell>
          <cell r="AG444">
            <v>0</v>
          </cell>
          <cell r="AH444">
            <v>1581.2019596665232</v>
          </cell>
          <cell r="AI444">
            <v>1507.9357730000002</v>
          </cell>
          <cell r="AJ444">
            <v>1451.0928959999999</v>
          </cell>
          <cell r="AK444">
            <v>1619.495036</v>
          </cell>
          <cell r="AL444">
            <v>1197.2347180000002</v>
          </cell>
          <cell r="AM444">
            <v>1295.718149</v>
          </cell>
          <cell r="AN444">
            <v>2806.2706290000001</v>
          </cell>
          <cell r="AO444">
            <v>1029.3188959999998</v>
          </cell>
          <cell r="AP444">
            <v>660.51391569999987</v>
          </cell>
          <cell r="AQ444">
            <v>0</v>
          </cell>
          <cell r="AR444">
            <v>0</v>
          </cell>
          <cell r="AS444">
            <v>0</v>
          </cell>
          <cell r="AT444">
            <v>1920.8460226231982</v>
          </cell>
          <cell r="AU444">
            <v>0</v>
          </cell>
          <cell r="AV444">
            <v>0</v>
          </cell>
          <cell r="AW444">
            <v>0</v>
          </cell>
          <cell r="AX444">
            <v>645.16910744060192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2566.0151300637999</v>
          </cell>
          <cell r="BH444">
            <v>4147.2170897303231</v>
          </cell>
          <cell r="BI444">
            <v>3982.4507996977022</v>
          </cell>
          <cell r="BJ444">
            <v>1.041373088663174</v>
          </cell>
          <cell r="BK444">
            <v>0.39704243421828295</v>
          </cell>
          <cell r="BL444">
            <v>0.64433065444489102</v>
          </cell>
        </row>
        <row r="445">
          <cell r="A445" t="str">
            <v>RAICHUR TPS6</v>
          </cell>
          <cell r="B445" t="str">
            <v>RAICHUR TPS</v>
          </cell>
          <cell r="C445">
            <v>210</v>
          </cell>
          <cell r="D445" t="str">
            <v>RAIL</v>
          </cell>
          <cell r="E445" t="str">
            <v/>
          </cell>
          <cell r="F445">
            <v>16.355599999999999</v>
          </cell>
          <cell r="G445">
            <v>77.343299999999999</v>
          </cell>
          <cell r="H445">
            <v>0</v>
          </cell>
          <cell r="I445">
            <v>0</v>
          </cell>
          <cell r="J445">
            <v>0</v>
          </cell>
          <cell r="K445">
            <v>0.6564342281591502</v>
          </cell>
          <cell r="L445">
            <v>0</v>
          </cell>
          <cell r="M445">
            <v>0</v>
          </cell>
          <cell r="N445">
            <v>0</v>
          </cell>
          <cell r="O445">
            <v>0.3435657718408498</v>
          </cell>
          <cell r="P445" t="e">
            <v>#DIV/0!</v>
          </cell>
          <cell r="Q445" t="e">
            <v>#DIV/0!</v>
          </cell>
          <cell r="R445" t="e">
            <v>#DIV/0!</v>
          </cell>
          <cell r="S445">
            <v>3798.2665071576243</v>
          </cell>
          <cell r="T445" t="e">
            <v>#DIV/0!</v>
          </cell>
          <cell r="U445" t="e">
            <v>#DIV/0!</v>
          </cell>
          <cell r="V445" t="e">
            <v>#DIV/0!</v>
          </cell>
          <cell r="W445">
            <v>4334.3626716655172</v>
          </cell>
          <cell r="X445"/>
          <cell r="Y445"/>
          <cell r="Z445"/>
          <cell r="AA445">
            <v>999.23694318525395</v>
          </cell>
          <cell r="AB445"/>
          <cell r="AC445"/>
          <cell r="AD445"/>
          <cell r="AE445">
            <v>581.96501648126912</v>
          </cell>
          <cell r="AF445">
            <v>1581.2019596665232</v>
          </cell>
          <cell r="AG445">
            <v>0</v>
          </cell>
          <cell r="AH445">
            <v>1581.2019596665232</v>
          </cell>
          <cell r="AI445">
            <v>1507.9357730000002</v>
          </cell>
          <cell r="AJ445">
            <v>1451.0928959999999</v>
          </cell>
          <cell r="AK445">
            <v>1619.495036</v>
          </cell>
          <cell r="AL445">
            <v>1197.2347180000002</v>
          </cell>
          <cell r="AM445">
            <v>1295.718149</v>
          </cell>
          <cell r="AN445">
            <v>2806.2706290000001</v>
          </cell>
          <cell r="AO445">
            <v>1029.3188959999998</v>
          </cell>
          <cell r="AP445">
            <v>660.51391569999987</v>
          </cell>
          <cell r="AQ445">
            <v>0</v>
          </cell>
          <cell r="AR445">
            <v>0</v>
          </cell>
          <cell r="AS445">
            <v>0</v>
          </cell>
          <cell r="AT445">
            <v>1920.8460226231982</v>
          </cell>
          <cell r="AU445">
            <v>0</v>
          </cell>
          <cell r="AV445">
            <v>0</v>
          </cell>
          <cell r="AW445">
            <v>0</v>
          </cell>
          <cell r="AX445">
            <v>645.16910744060192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2566.0151300637999</v>
          </cell>
          <cell r="BH445">
            <v>4147.2170897303231</v>
          </cell>
          <cell r="BI445">
            <v>3982.4507996977022</v>
          </cell>
          <cell r="BJ445">
            <v>1.041373088663174</v>
          </cell>
          <cell r="BK445">
            <v>0.39704243421828295</v>
          </cell>
          <cell r="BL445">
            <v>0.64433065444489102</v>
          </cell>
        </row>
        <row r="446">
          <cell r="A446" t="str">
            <v>RAICHUR TPS7</v>
          </cell>
          <cell r="B446" t="str">
            <v>RAICHUR TPS</v>
          </cell>
          <cell r="C446">
            <v>210</v>
          </cell>
          <cell r="D446" t="str">
            <v>RAIL</v>
          </cell>
          <cell r="E446" t="str">
            <v/>
          </cell>
          <cell r="F446">
            <v>16.355599999999999</v>
          </cell>
          <cell r="G446">
            <v>77.343299999999999</v>
          </cell>
          <cell r="H446">
            <v>0</v>
          </cell>
          <cell r="I446">
            <v>0</v>
          </cell>
          <cell r="J446">
            <v>0</v>
          </cell>
          <cell r="K446">
            <v>0.6564342281591502</v>
          </cell>
          <cell r="L446">
            <v>0</v>
          </cell>
          <cell r="M446">
            <v>0</v>
          </cell>
          <cell r="N446">
            <v>0</v>
          </cell>
          <cell r="O446">
            <v>0.3435657718408498</v>
          </cell>
          <cell r="P446" t="e">
            <v>#DIV/0!</v>
          </cell>
          <cell r="Q446" t="e">
            <v>#DIV/0!</v>
          </cell>
          <cell r="R446" t="e">
            <v>#DIV/0!</v>
          </cell>
          <cell r="S446">
            <v>3798.2665071576243</v>
          </cell>
          <cell r="T446" t="e">
            <v>#DIV/0!</v>
          </cell>
          <cell r="U446" t="e">
            <v>#DIV/0!</v>
          </cell>
          <cell r="V446" t="e">
            <v>#DIV/0!</v>
          </cell>
          <cell r="W446">
            <v>4334.3626716655172</v>
          </cell>
          <cell r="X446"/>
          <cell r="Y446"/>
          <cell r="Z446"/>
          <cell r="AA446">
            <v>999.23694318525395</v>
          </cell>
          <cell r="AB446"/>
          <cell r="AC446"/>
          <cell r="AD446"/>
          <cell r="AE446">
            <v>581.96501648126912</v>
          </cell>
          <cell r="AF446">
            <v>1581.2019596665232</v>
          </cell>
          <cell r="AG446">
            <v>0</v>
          </cell>
          <cell r="AH446">
            <v>1581.2019596665232</v>
          </cell>
          <cell r="AI446">
            <v>1507.9357730000002</v>
          </cell>
          <cell r="AJ446">
            <v>1451.0928959999999</v>
          </cell>
          <cell r="AK446">
            <v>1619.495036</v>
          </cell>
          <cell r="AL446">
            <v>1197.2347180000002</v>
          </cell>
          <cell r="AM446">
            <v>1295.718149</v>
          </cell>
          <cell r="AN446">
            <v>2806.2706290000001</v>
          </cell>
          <cell r="AO446">
            <v>1029.3188959999998</v>
          </cell>
          <cell r="AP446">
            <v>660.51391569999987</v>
          </cell>
          <cell r="AQ446">
            <v>0</v>
          </cell>
          <cell r="AR446">
            <v>0</v>
          </cell>
          <cell r="AS446">
            <v>0</v>
          </cell>
          <cell r="AT446">
            <v>1920.8460226231982</v>
          </cell>
          <cell r="AU446">
            <v>0</v>
          </cell>
          <cell r="AV446">
            <v>0</v>
          </cell>
          <cell r="AW446">
            <v>0</v>
          </cell>
          <cell r="AX446">
            <v>645.16910744060192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2566.0151300637999</v>
          </cell>
          <cell r="BH446">
            <v>4147.2170897303231</v>
          </cell>
          <cell r="BI446">
            <v>3982.4507996977022</v>
          </cell>
          <cell r="BJ446">
            <v>1.041373088663174</v>
          </cell>
          <cell r="BK446">
            <v>0.39704243421828295</v>
          </cell>
          <cell r="BL446">
            <v>0.64433065444489102</v>
          </cell>
        </row>
        <row r="447">
          <cell r="A447" t="str">
            <v>RAMAGUNDEM - B TPS1</v>
          </cell>
          <cell r="B447" t="str">
            <v>RAMAGUNDEM - B TPS</v>
          </cell>
          <cell r="C447">
            <v>62.5</v>
          </cell>
          <cell r="D447"/>
          <cell r="E447" t="str">
            <v/>
          </cell>
          <cell r="F447">
            <v>18.725300000000001</v>
          </cell>
          <cell r="G447">
            <v>79.513099999999994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1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4279.0292548546358</v>
          </cell>
          <cell r="X447"/>
          <cell r="Y447"/>
          <cell r="Z447"/>
          <cell r="AA447"/>
          <cell r="AB447"/>
          <cell r="AC447"/>
          <cell r="AD447"/>
          <cell r="AE447">
            <v>1608.0582000000002</v>
          </cell>
          <cell r="AF447">
            <v>1608.0582000000002</v>
          </cell>
          <cell r="AG447">
            <v>0</v>
          </cell>
          <cell r="AH447">
            <v>1608.0582000000002</v>
          </cell>
          <cell r="AI447">
            <v>1134.283678</v>
          </cell>
          <cell r="AJ447">
            <v>1077.440801</v>
          </cell>
          <cell r="AK447">
            <v>1245.8429410000001</v>
          </cell>
          <cell r="AL447">
            <v>832.54869869999993</v>
          </cell>
          <cell r="AM447">
            <v>931.864373</v>
          </cell>
          <cell r="AN447">
            <v>2432.6185340000002</v>
          </cell>
          <cell r="AO447">
            <v>655.66680079999992</v>
          </cell>
          <cell r="AP447">
            <v>309.8946613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1119.972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1119.972</v>
          </cell>
          <cell r="BH447">
            <v>2728.0302000000001</v>
          </cell>
          <cell r="BI447">
            <v>4279.0292548546358</v>
          </cell>
          <cell r="BJ447">
            <v>0.63753483267378941</v>
          </cell>
          <cell r="BK447">
            <v>0.37579976771031165</v>
          </cell>
          <cell r="BL447">
            <v>0.26173506496347776</v>
          </cell>
        </row>
        <row r="448">
          <cell r="A448" t="str">
            <v>RAMAGUNDEM STPS1</v>
          </cell>
          <cell r="B448" t="str">
            <v>RAMAGUNDEM STPS</v>
          </cell>
          <cell r="C448">
            <v>200</v>
          </cell>
          <cell r="D448" t="str">
            <v>PITHEAD</v>
          </cell>
          <cell r="E448">
            <v>0.66286966046002194</v>
          </cell>
          <cell r="F448">
            <v>18.758600000000001</v>
          </cell>
          <cell r="G448">
            <v>79.454700000000003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1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4279.0292548546358</v>
          </cell>
          <cell r="X448"/>
          <cell r="Y448"/>
          <cell r="Z448"/>
          <cell r="AA448"/>
          <cell r="AB448"/>
          <cell r="AC448"/>
          <cell r="AD448"/>
          <cell r="AE448">
            <v>1608.0582000000002</v>
          </cell>
          <cell r="AF448">
            <v>1608.0582000000002</v>
          </cell>
          <cell r="AG448">
            <v>0</v>
          </cell>
          <cell r="AH448">
            <v>1608.0582000000002</v>
          </cell>
          <cell r="AI448">
            <v>1153.283148</v>
          </cell>
          <cell r="AJ448">
            <v>1211.1252339999999</v>
          </cell>
          <cell r="AK448">
            <v>1264.8197669999997</v>
          </cell>
          <cell r="AL448">
            <v>835.60980549999988</v>
          </cell>
          <cell r="AM448">
            <v>952.34533219999992</v>
          </cell>
          <cell r="AN448">
            <v>2424.2017769999993</v>
          </cell>
          <cell r="AO448">
            <v>667.86358089999987</v>
          </cell>
          <cell r="AP448">
            <v>308.52196000000004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786.88173370937761</v>
          </cell>
          <cell r="BG448">
            <v>786.88173370937761</v>
          </cell>
          <cell r="BH448">
            <v>2394.9399337093778</v>
          </cell>
          <cell r="BI448">
            <v>4279.0292548546358</v>
          </cell>
          <cell r="BJ448">
            <v>0.55969234867751261</v>
          </cell>
          <cell r="BK448">
            <v>0.37579976771031165</v>
          </cell>
          <cell r="BL448">
            <v>0.18389258096720093</v>
          </cell>
        </row>
        <row r="449">
          <cell r="A449" t="str">
            <v>RAMAGUNDEM STPS2</v>
          </cell>
          <cell r="B449" t="str">
            <v>RAMAGUNDEM STPS</v>
          </cell>
          <cell r="C449">
            <v>200</v>
          </cell>
          <cell r="D449" t="str">
            <v>PITHEAD</v>
          </cell>
          <cell r="E449">
            <v>0.66286966046002194</v>
          </cell>
          <cell r="F449">
            <v>18.758600000000001</v>
          </cell>
          <cell r="G449">
            <v>79.454700000000003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4279.0292548546358</v>
          </cell>
          <cell r="X449"/>
          <cell r="Y449"/>
          <cell r="Z449"/>
          <cell r="AA449"/>
          <cell r="AB449"/>
          <cell r="AC449"/>
          <cell r="AD449"/>
          <cell r="AE449">
            <v>1608.0582000000002</v>
          </cell>
          <cell r="AF449">
            <v>1608.0582000000002</v>
          </cell>
          <cell r="AG449">
            <v>0</v>
          </cell>
          <cell r="AH449">
            <v>1608.0582000000002</v>
          </cell>
          <cell r="AI449">
            <v>1153.283148</v>
          </cell>
          <cell r="AJ449">
            <v>1211.1252339999999</v>
          </cell>
          <cell r="AK449">
            <v>1264.8197669999997</v>
          </cell>
          <cell r="AL449">
            <v>835.60980549999988</v>
          </cell>
          <cell r="AM449">
            <v>952.34533219999992</v>
          </cell>
          <cell r="AN449">
            <v>2424.2017769999993</v>
          </cell>
          <cell r="AO449">
            <v>667.86358089999987</v>
          </cell>
          <cell r="AP449">
            <v>308.52196000000004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786.88173370937761</v>
          </cell>
          <cell r="BG449">
            <v>786.88173370937761</v>
          </cell>
          <cell r="BH449">
            <v>2394.9399337093778</v>
          </cell>
          <cell r="BI449">
            <v>4279.0292548546358</v>
          </cell>
          <cell r="BJ449">
            <v>0.55969234867751261</v>
          </cell>
          <cell r="BK449">
            <v>0.37579976771031165</v>
          </cell>
          <cell r="BL449">
            <v>0.18389258096720093</v>
          </cell>
        </row>
        <row r="450">
          <cell r="A450" t="str">
            <v>RAMAGUNDEM STPS3</v>
          </cell>
          <cell r="B450" t="str">
            <v>RAMAGUNDEM STPS</v>
          </cell>
          <cell r="C450">
            <v>200</v>
          </cell>
          <cell r="D450" t="str">
            <v>PITHEAD</v>
          </cell>
          <cell r="E450">
            <v>0.66286966046002194</v>
          </cell>
          <cell r="F450">
            <v>18.758600000000001</v>
          </cell>
          <cell r="G450">
            <v>79.454700000000003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4279.0292548546358</v>
          </cell>
          <cell r="X450"/>
          <cell r="Y450"/>
          <cell r="Z450"/>
          <cell r="AA450"/>
          <cell r="AB450"/>
          <cell r="AC450"/>
          <cell r="AD450"/>
          <cell r="AE450">
            <v>1608.0582000000002</v>
          </cell>
          <cell r="AF450">
            <v>1608.0582000000002</v>
          </cell>
          <cell r="AG450">
            <v>0</v>
          </cell>
          <cell r="AH450">
            <v>1608.0582000000002</v>
          </cell>
          <cell r="AI450">
            <v>1153.283148</v>
          </cell>
          <cell r="AJ450">
            <v>1211.1252339999999</v>
          </cell>
          <cell r="AK450">
            <v>1264.8197669999997</v>
          </cell>
          <cell r="AL450">
            <v>835.60980549999988</v>
          </cell>
          <cell r="AM450">
            <v>952.34533219999992</v>
          </cell>
          <cell r="AN450">
            <v>2424.2017769999993</v>
          </cell>
          <cell r="AO450">
            <v>667.86358089999987</v>
          </cell>
          <cell r="AP450">
            <v>308.52196000000004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786.88173370937761</v>
          </cell>
          <cell r="BG450">
            <v>786.88173370937761</v>
          </cell>
          <cell r="BH450">
            <v>2394.9399337093778</v>
          </cell>
          <cell r="BI450">
            <v>4279.0292548546358</v>
          </cell>
          <cell r="BJ450">
            <v>0.55969234867751261</v>
          </cell>
          <cell r="BK450">
            <v>0.37579976771031165</v>
          </cell>
          <cell r="BL450">
            <v>0.18389258096720093</v>
          </cell>
        </row>
        <row r="451">
          <cell r="A451" t="str">
            <v>RATIJA TPS1</v>
          </cell>
          <cell r="B451" t="str">
            <v>RATIJA TPS</v>
          </cell>
          <cell r="C451">
            <v>50</v>
          </cell>
          <cell r="D451"/>
          <cell r="E451" t="str">
            <v/>
          </cell>
          <cell r="F451">
            <v>22.3401</v>
          </cell>
          <cell r="G451">
            <v>82.492800000000003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1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4277.9166493810972</v>
          </cell>
          <cell r="W451">
            <v>0</v>
          </cell>
          <cell r="X451"/>
          <cell r="Y451"/>
          <cell r="Z451"/>
          <cell r="AA451"/>
          <cell r="AB451"/>
          <cell r="AC451"/>
          <cell r="AD451">
            <v>1608.0582000000002</v>
          </cell>
          <cell r="AE451"/>
          <cell r="AF451">
            <v>1608.0582000000002</v>
          </cell>
          <cell r="AG451">
            <v>0.28000000000000003</v>
          </cell>
          <cell r="AH451">
            <v>2622.4819040000002</v>
          </cell>
          <cell r="AI451">
            <v>515.31618979999996</v>
          </cell>
          <cell r="AJ451">
            <v>458.47331259999999</v>
          </cell>
          <cell r="AK451">
            <v>626.87545250000005</v>
          </cell>
          <cell r="AL451">
            <v>338.43464119999999</v>
          </cell>
          <cell r="AM451">
            <v>314.91174570000004</v>
          </cell>
          <cell r="AN451">
            <v>1807.5471189999998</v>
          </cell>
          <cell r="AO451">
            <v>23.26276833</v>
          </cell>
          <cell r="AP451">
            <v>478.33595839999998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387.66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279.11520000000002</v>
          </cell>
          <cell r="BH451">
            <v>2901.5971040000004</v>
          </cell>
          <cell r="BI451">
            <v>4277.9166493810972</v>
          </cell>
          <cell r="BJ451">
            <v>0.67827340778595713</v>
          </cell>
          <cell r="BK451">
            <v>0.6130278167947486</v>
          </cell>
          <cell r="BL451">
            <v>6.5245590991208469E-2</v>
          </cell>
        </row>
        <row r="452">
          <cell r="A452" t="str">
            <v>RATIJA TPS2</v>
          </cell>
          <cell r="B452" t="str">
            <v>RATIJA TPS</v>
          </cell>
          <cell r="C452">
            <v>50</v>
          </cell>
          <cell r="D452"/>
          <cell r="E452" t="str">
            <v/>
          </cell>
          <cell r="F452">
            <v>22.3401</v>
          </cell>
          <cell r="G452">
            <v>82.492800000000003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1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4277.9166493810972</v>
          </cell>
          <cell r="W452">
            <v>0</v>
          </cell>
          <cell r="X452"/>
          <cell r="Y452"/>
          <cell r="Z452"/>
          <cell r="AA452"/>
          <cell r="AB452"/>
          <cell r="AC452"/>
          <cell r="AD452">
            <v>1608.0582000000002</v>
          </cell>
          <cell r="AE452"/>
          <cell r="AF452">
            <v>1608.0582000000002</v>
          </cell>
          <cell r="AG452">
            <v>0.28000000000000003</v>
          </cell>
          <cell r="AH452">
            <v>2622.4819040000002</v>
          </cell>
          <cell r="AI452">
            <v>515.31618979999996</v>
          </cell>
          <cell r="AJ452">
            <v>458.47331259999999</v>
          </cell>
          <cell r="AK452">
            <v>626.87545250000005</v>
          </cell>
          <cell r="AL452">
            <v>338.43464119999999</v>
          </cell>
          <cell r="AM452">
            <v>314.91174570000004</v>
          </cell>
          <cell r="AN452">
            <v>1807.5471189999998</v>
          </cell>
          <cell r="AO452">
            <v>23.26276833</v>
          </cell>
          <cell r="AP452">
            <v>478.33595839999998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387.66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279.11520000000002</v>
          </cell>
          <cell r="BH452">
            <v>2901.5971040000004</v>
          </cell>
          <cell r="BI452">
            <v>4277.9166493810972</v>
          </cell>
          <cell r="BJ452">
            <v>0.67827340778595713</v>
          </cell>
          <cell r="BK452">
            <v>0.6130278167947486</v>
          </cell>
          <cell r="BL452">
            <v>6.5245590991208469E-2</v>
          </cell>
        </row>
        <row r="453">
          <cell r="A453" t="str">
            <v>RAYALSEEMA TPS1</v>
          </cell>
          <cell r="B453" t="str">
            <v>RAYALSEEMA TPS</v>
          </cell>
          <cell r="C453">
            <v>210</v>
          </cell>
          <cell r="D453" t="str">
            <v>RAIL</v>
          </cell>
          <cell r="E453">
            <v>1.1988304093567252</v>
          </cell>
          <cell r="F453">
            <v>14.7042</v>
          </cell>
          <cell r="G453">
            <v>78.459199999999996</v>
          </cell>
          <cell r="H453">
            <v>0</v>
          </cell>
          <cell r="I453">
            <v>0</v>
          </cell>
          <cell r="J453">
            <v>0</v>
          </cell>
          <cell r="K453">
            <v>1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 t="e">
            <v>#DIV/0!</v>
          </cell>
          <cell r="Q453" t="e">
            <v>#DIV/0!</v>
          </cell>
          <cell r="R453" t="e">
            <v>#DIV/0!</v>
          </cell>
          <cell r="S453">
            <v>3705.8725734969948</v>
          </cell>
          <cell r="T453" t="e">
            <v>#DIV/0!</v>
          </cell>
          <cell r="U453" t="e">
            <v>#DIV/0!</v>
          </cell>
          <cell r="V453" t="e">
            <v>#DIV/0!</v>
          </cell>
          <cell r="W453" t="e">
            <v>#DIV/0!</v>
          </cell>
          <cell r="X453"/>
          <cell r="Y453"/>
          <cell r="Z453"/>
          <cell r="AA453">
            <v>1522.2194400000001</v>
          </cell>
          <cell r="AB453"/>
          <cell r="AC453"/>
          <cell r="AD453"/>
          <cell r="AE453"/>
          <cell r="AF453">
            <v>1522.2194400000001</v>
          </cell>
          <cell r="AG453">
            <v>0</v>
          </cell>
          <cell r="AH453">
            <v>1522.2194400000001</v>
          </cell>
          <cell r="AI453">
            <v>1580.847319</v>
          </cell>
          <cell r="AJ453">
            <v>1524.0044419999999</v>
          </cell>
          <cell r="AK453">
            <v>1676.215328</v>
          </cell>
          <cell r="AL453">
            <v>1245.2935089999999</v>
          </cell>
          <cell r="AM453">
            <v>1468.6819739999996</v>
          </cell>
          <cell r="AN453">
            <v>2885.8951079999997</v>
          </cell>
          <cell r="AO453">
            <v>1202.2827209999998</v>
          </cell>
          <cell r="AP453">
            <v>833.47774089999996</v>
          </cell>
          <cell r="AQ453">
            <v>0</v>
          </cell>
          <cell r="AR453">
            <v>0</v>
          </cell>
          <cell r="AS453">
            <v>0</v>
          </cell>
          <cell r="AT453">
            <v>3050.5440000000003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3050.5440000000003</v>
          </cell>
          <cell r="BH453">
            <v>4572.7634400000006</v>
          </cell>
          <cell r="BI453">
            <v>3705.8725734969948</v>
          </cell>
          <cell r="BJ453">
            <v>1.2339235495312717</v>
          </cell>
          <cell r="BK453">
            <v>0.4107587106168572</v>
          </cell>
          <cell r="BL453">
            <v>0.8231648389144145</v>
          </cell>
        </row>
        <row r="454">
          <cell r="A454" t="str">
            <v>RAYALSEEMA TPS2</v>
          </cell>
          <cell r="B454" t="str">
            <v>RAYALSEEMA TPS</v>
          </cell>
          <cell r="C454">
            <v>210</v>
          </cell>
          <cell r="D454" t="str">
            <v>RAIL</v>
          </cell>
          <cell r="E454">
            <v>1.1988304093567252</v>
          </cell>
          <cell r="F454">
            <v>14.7042</v>
          </cell>
          <cell r="G454">
            <v>78.459199999999996</v>
          </cell>
          <cell r="H454">
            <v>0</v>
          </cell>
          <cell r="I454">
            <v>0</v>
          </cell>
          <cell r="J454">
            <v>0</v>
          </cell>
          <cell r="K454">
            <v>1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 t="e">
            <v>#DIV/0!</v>
          </cell>
          <cell r="Q454" t="e">
            <v>#DIV/0!</v>
          </cell>
          <cell r="R454" t="e">
            <v>#DIV/0!</v>
          </cell>
          <cell r="S454">
            <v>3705.8725734969948</v>
          </cell>
          <cell r="T454" t="e">
            <v>#DIV/0!</v>
          </cell>
          <cell r="U454" t="e">
            <v>#DIV/0!</v>
          </cell>
          <cell r="V454" t="e">
            <v>#DIV/0!</v>
          </cell>
          <cell r="W454" t="e">
            <v>#DIV/0!</v>
          </cell>
          <cell r="X454"/>
          <cell r="Y454"/>
          <cell r="Z454"/>
          <cell r="AA454">
            <v>1522.2194400000001</v>
          </cell>
          <cell r="AB454"/>
          <cell r="AC454"/>
          <cell r="AD454"/>
          <cell r="AE454"/>
          <cell r="AF454">
            <v>1522.2194400000001</v>
          </cell>
          <cell r="AG454">
            <v>0</v>
          </cell>
          <cell r="AH454">
            <v>1522.2194400000001</v>
          </cell>
          <cell r="AI454">
            <v>1580.847319</v>
          </cell>
          <cell r="AJ454">
            <v>1524.0044419999999</v>
          </cell>
          <cell r="AK454">
            <v>1676.215328</v>
          </cell>
          <cell r="AL454">
            <v>1245.2935089999999</v>
          </cell>
          <cell r="AM454">
            <v>1468.6819739999996</v>
          </cell>
          <cell r="AN454">
            <v>2885.8951079999997</v>
          </cell>
          <cell r="AO454">
            <v>1202.2827209999998</v>
          </cell>
          <cell r="AP454">
            <v>833.47774089999996</v>
          </cell>
          <cell r="AQ454">
            <v>0</v>
          </cell>
          <cell r="AR454">
            <v>0</v>
          </cell>
          <cell r="AS454">
            <v>0</v>
          </cell>
          <cell r="AT454">
            <v>3050.5440000000003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3050.5440000000003</v>
          </cell>
          <cell r="BH454">
            <v>4572.7634400000006</v>
          </cell>
          <cell r="BI454">
            <v>3705.8725734969948</v>
          </cell>
          <cell r="BJ454">
            <v>1.2339235495312717</v>
          </cell>
          <cell r="BK454">
            <v>0.4107587106168572</v>
          </cell>
          <cell r="BL454">
            <v>0.8231648389144145</v>
          </cell>
        </row>
        <row r="455">
          <cell r="A455" t="str">
            <v>RAYALSEEMA TPS3</v>
          </cell>
          <cell r="B455" t="str">
            <v>RAYALSEEMA TPS</v>
          </cell>
          <cell r="C455">
            <v>210</v>
          </cell>
          <cell r="D455" t="str">
            <v>RAIL</v>
          </cell>
          <cell r="E455">
            <v>1.1988304093567252</v>
          </cell>
          <cell r="F455">
            <v>14.7042</v>
          </cell>
          <cell r="G455">
            <v>78.459199999999996</v>
          </cell>
          <cell r="H455">
            <v>0</v>
          </cell>
          <cell r="I455">
            <v>0</v>
          </cell>
          <cell r="J455">
            <v>0</v>
          </cell>
          <cell r="K455">
            <v>1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 t="e">
            <v>#DIV/0!</v>
          </cell>
          <cell r="Q455" t="e">
            <v>#DIV/0!</v>
          </cell>
          <cell r="R455" t="e">
            <v>#DIV/0!</v>
          </cell>
          <cell r="S455">
            <v>3705.8725734969948</v>
          </cell>
          <cell r="T455" t="e">
            <v>#DIV/0!</v>
          </cell>
          <cell r="U455" t="e">
            <v>#DIV/0!</v>
          </cell>
          <cell r="V455" t="e">
            <v>#DIV/0!</v>
          </cell>
          <cell r="W455" t="e">
            <v>#DIV/0!</v>
          </cell>
          <cell r="X455"/>
          <cell r="Y455"/>
          <cell r="Z455"/>
          <cell r="AA455">
            <v>1522.2194400000001</v>
          </cell>
          <cell r="AB455"/>
          <cell r="AC455"/>
          <cell r="AD455"/>
          <cell r="AE455"/>
          <cell r="AF455">
            <v>1522.2194400000001</v>
          </cell>
          <cell r="AG455">
            <v>0</v>
          </cell>
          <cell r="AH455">
            <v>1522.2194400000001</v>
          </cell>
          <cell r="AI455">
            <v>1580.847319</v>
          </cell>
          <cell r="AJ455">
            <v>1524.0044419999999</v>
          </cell>
          <cell r="AK455">
            <v>1676.215328</v>
          </cell>
          <cell r="AL455">
            <v>1245.2935089999999</v>
          </cell>
          <cell r="AM455">
            <v>1468.6819739999996</v>
          </cell>
          <cell r="AN455">
            <v>2885.8951079999997</v>
          </cell>
          <cell r="AO455">
            <v>1202.2827209999998</v>
          </cell>
          <cell r="AP455">
            <v>833.47774089999996</v>
          </cell>
          <cell r="AQ455">
            <v>0</v>
          </cell>
          <cell r="AR455">
            <v>0</v>
          </cell>
          <cell r="AS455">
            <v>0</v>
          </cell>
          <cell r="AT455">
            <v>3050.5440000000003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3050.5440000000003</v>
          </cell>
          <cell r="BH455">
            <v>4572.7634400000006</v>
          </cell>
          <cell r="BI455">
            <v>3705.8725734969948</v>
          </cell>
          <cell r="BJ455">
            <v>1.2339235495312717</v>
          </cell>
          <cell r="BK455">
            <v>0.4107587106168572</v>
          </cell>
          <cell r="BL455">
            <v>0.8231648389144145</v>
          </cell>
        </row>
        <row r="456">
          <cell r="A456" t="str">
            <v>RAYALSEEMA TPS4</v>
          </cell>
          <cell r="B456" t="str">
            <v>RAYALSEEMA TPS</v>
          </cell>
          <cell r="C456">
            <v>210</v>
          </cell>
          <cell r="D456" t="str">
            <v>RAIL</v>
          </cell>
          <cell r="E456">
            <v>1.1988304093567252</v>
          </cell>
          <cell r="F456">
            <v>14.7042</v>
          </cell>
          <cell r="G456">
            <v>78.459199999999996</v>
          </cell>
          <cell r="H456">
            <v>0</v>
          </cell>
          <cell r="I456">
            <v>0</v>
          </cell>
          <cell r="J456">
            <v>0</v>
          </cell>
          <cell r="K456">
            <v>1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 t="e">
            <v>#DIV/0!</v>
          </cell>
          <cell r="Q456" t="e">
            <v>#DIV/0!</v>
          </cell>
          <cell r="R456" t="e">
            <v>#DIV/0!</v>
          </cell>
          <cell r="S456">
            <v>3705.8725734969948</v>
          </cell>
          <cell r="T456" t="e">
            <v>#DIV/0!</v>
          </cell>
          <cell r="U456" t="e">
            <v>#DIV/0!</v>
          </cell>
          <cell r="V456" t="e">
            <v>#DIV/0!</v>
          </cell>
          <cell r="W456" t="e">
            <v>#DIV/0!</v>
          </cell>
          <cell r="X456"/>
          <cell r="Y456"/>
          <cell r="Z456"/>
          <cell r="AA456">
            <v>1522.2194400000001</v>
          </cell>
          <cell r="AB456"/>
          <cell r="AC456"/>
          <cell r="AD456"/>
          <cell r="AE456"/>
          <cell r="AF456">
            <v>1522.2194400000001</v>
          </cell>
          <cell r="AG456">
            <v>0</v>
          </cell>
          <cell r="AH456">
            <v>1522.2194400000001</v>
          </cell>
          <cell r="AI456">
            <v>1580.847319</v>
          </cell>
          <cell r="AJ456">
            <v>1524.0044419999999</v>
          </cell>
          <cell r="AK456">
            <v>1676.215328</v>
          </cell>
          <cell r="AL456">
            <v>1245.2935089999999</v>
          </cell>
          <cell r="AM456">
            <v>1468.6819739999996</v>
          </cell>
          <cell r="AN456">
            <v>2885.8951079999997</v>
          </cell>
          <cell r="AO456">
            <v>1202.2827209999998</v>
          </cell>
          <cell r="AP456">
            <v>833.47774089999996</v>
          </cell>
          <cell r="AQ456">
            <v>0</v>
          </cell>
          <cell r="AR456">
            <v>0</v>
          </cell>
          <cell r="AS456">
            <v>0</v>
          </cell>
          <cell r="AT456">
            <v>3050.5440000000003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3050.5440000000003</v>
          </cell>
          <cell r="BH456">
            <v>4572.7634400000006</v>
          </cell>
          <cell r="BI456">
            <v>3705.8725734969948</v>
          </cell>
          <cell r="BJ456">
            <v>1.2339235495312717</v>
          </cell>
          <cell r="BK456">
            <v>0.4107587106168572</v>
          </cell>
          <cell r="BL456">
            <v>0.8231648389144145</v>
          </cell>
        </row>
        <row r="457">
          <cell r="A457" t="str">
            <v>RAYALSEEMA TPS5</v>
          </cell>
          <cell r="B457" t="str">
            <v>RAYALSEEMA TPS</v>
          </cell>
          <cell r="C457">
            <v>210</v>
          </cell>
          <cell r="D457" t="str">
            <v>RAIL</v>
          </cell>
          <cell r="E457">
            <v>1.1988304093567252</v>
          </cell>
          <cell r="F457">
            <v>14.7042</v>
          </cell>
          <cell r="G457">
            <v>78.459199999999996</v>
          </cell>
          <cell r="H457">
            <v>0</v>
          </cell>
          <cell r="I457">
            <v>0</v>
          </cell>
          <cell r="J457">
            <v>0</v>
          </cell>
          <cell r="K457">
            <v>1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 t="e">
            <v>#DIV/0!</v>
          </cell>
          <cell r="Q457" t="e">
            <v>#DIV/0!</v>
          </cell>
          <cell r="R457" t="e">
            <v>#DIV/0!</v>
          </cell>
          <cell r="S457">
            <v>3705.8725734969948</v>
          </cell>
          <cell r="T457" t="e">
            <v>#DIV/0!</v>
          </cell>
          <cell r="U457" t="e">
            <v>#DIV/0!</v>
          </cell>
          <cell r="V457" t="e">
            <v>#DIV/0!</v>
          </cell>
          <cell r="W457" t="e">
            <v>#DIV/0!</v>
          </cell>
          <cell r="X457"/>
          <cell r="Y457"/>
          <cell r="Z457"/>
          <cell r="AA457">
            <v>1522.2194400000001</v>
          </cell>
          <cell r="AB457"/>
          <cell r="AC457"/>
          <cell r="AD457"/>
          <cell r="AE457"/>
          <cell r="AF457">
            <v>1522.2194400000001</v>
          </cell>
          <cell r="AG457">
            <v>0</v>
          </cell>
          <cell r="AH457">
            <v>1522.2194400000001</v>
          </cell>
          <cell r="AI457">
            <v>1580.847319</v>
          </cell>
          <cell r="AJ457">
            <v>1524.0044419999999</v>
          </cell>
          <cell r="AK457">
            <v>1676.215328</v>
          </cell>
          <cell r="AL457">
            <v>1245.2935089999999</v>
          </cell>
          <cell r="AM457">
            <v>1468.6819739999996</v>
          </cell>
          <cell r="AN457">
            <v>2885.8951079999997</v>
          </cell>
          <cell r="AO457">
            <v>1202.2827209999998</v>
          </cell>
          <cell r="AP457">
            <v>833.47774089999996</v>
          </cell>
          <cell r="AQ457">
            <v>0</v>
          </cell>
          <cell r="AR457">
            <v>0</v>
          </cell>
          <cell r="AS457">
            <v>0</v>
          </cell>
          <cell r="AT457">
            <v>3050.5440000000003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3050.5440000000003</v>
          </cell>
          <cell r="BH457">
            <v>4572.7634400000006</v>
          </cell>
          <cell r="BI457">
            <v>3705.8725734969948</v>
          </cell>
          <cell r="BJ457">
            <v>1.2339235495312717</v>
          </cell>
          <cell r="BK457">
            <v>0.4107587106168572</v>
          </cell>
          <cell r="BL457">
            <v>0.8231648389144145</v>
          </cell>
        </row>
        <row r="458">
          <cell r="A458" t="str">
            <v>ROPAR TPS3</v>
          </cell>
          <cell r="B458" t="str">
            <v>ROPAR TPS</v>
          </cell>
          <cell r="C458">
            <v>210</v>
          </cell>
          <cell r="D458" t="str">
            <v>RAIL</v>
          </cell>
          <cell r="E458">
            <v>1.2455931395902811</v>
          </cell>
          <cell r="F458">
            <v>31.042200000000001</v>
          </cell>
          <cell r="G458">
            <v>76.5839</v>
          </cell>
          <cell r="H458">
            <v>0.31670879183251749</v>
          </cell>
          <cell r="I458">
            <v>0.28143415118899873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0.40185705697848378</v>
          </cell>
          <cell r="O458">
            <v>0</v>
          </cell>
          <cell r="P458">
            <v>4330.2342669532418</v>
          </cell>
          <cell r="Q458">
            <v>4073.3595323990703</v>
          </cell>
          <cell r="R458" t="e">
            <v>#DIV/0!</v>
          </cell>
          <cell r="S458" t="e">
            <v>#DIV/0!</v>
          </cell>
          <cell r="T458" t="e">
            <v>#DIV/0!</v>
          </cell>
          <cell r="U458" t="e">
            <v>#DIV/0!</v>
          </cell>
          <cell r="V458">
            <v>4384.7031520914725</v>
          </cell>
          <cell r="W458" t="e">
            <v>#DIV/0!</v>
          </cell>
          <cell r="X458">
            <v>536.47205969037429</v>
          </cell>
          <cell r="Y458">
            <v>452.56249457950918</v>
          </cell>
          <cell r="Z458"/>
          <cell r="AA458"/>
          <cell r="AB458"/>
          <cell r="AC458"/>
          <cell r="AD458">
            <v>680.70444717040061</v>
          </cell>
          <cell r="AE458"/>
          <cell r="AF458">
            <v>1669.739001440284</v>
          </cell>
          <cell r="AG458">
            <v>0</v>
          </cell>
          <cell r="AH458">
            <v>1669.739001440284</v>
          </cell>
          <cell r="AI458">
            <v>1388.65236</v>
          </cell>
          <cell r="AJ458">
            <v>1385.239681</v>
          </cell>
          <cell r="AK458">
            <v>1483.834981</v>
          </cell>
          <cell r="AL458">
            <v>1611.564296</v>
          </cell>
          <cell r="AM458">
            <v>1141.060054</v>
          </cell>
          <cell r="AN458">
            <v>2514.1801519999999</v>
          </cell>
          <cell r="AO458">
            <v>1339.858369</v>
          </cell>
          <cell r="AP458">
            <v>1298.7948880000001</v>
          </cell>
          <cell r="AQ458">
            <v>1061.1885477822123</v>
          </cell>
          <cell r="AR458">
            <v>942.99465596934942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1293.3271076101848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3297.5103113617465</v>
          </cell>
          <cell r="BH458">
            <v>4967.2493128020305</v>
          </cell>
          <cell r="BI458">
            <v>4279.8296499506378</v>
          </cell>
          <cell r="BJ458">
            <v>1.1606184636015411</v>
          </cell>
          <cell r="BK458">
            <v>0.39014146309761238</v>
          </cell>
          <cell r="BL458">
            <v>0.77047700050392864</v>
          </cell>
        </row>
        <row r="459">
          <cell r="A459" t="str">
            <v>ROPAR TPS4</v>
          </cell>
          <cell r="B459" t="str">
            <v>ROPAR TPS</v>
          </cell>
          <cell r="C459">
            <v>210</v>
          </cell>
          <cell r="D459" t="str">
            <v>RAIL</v>
          </cell>
          <cell r="E459">
            <v>1.2455931395902811</v>
          </cell>
          <cell r="F459">
            <v>31.042200000000001</v>
          </cell>
          <cell r="G459">
            <v>76.5839</v>
          </cell>
          <cell r="H459">
            <v>0.31670879183251749</v>
          </cell>
          <cell r="I459">
            <v>0.28143415118899873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0.40185705697848378</v>
          </cell>
          <cell r="O459">
            <v>0</v>
          </cell>
          <cell r="P459">
            <v>4330.2342669532418</v>
          </cell>
          <cell r="Q459">
            <v>4073.3595323990703</v>
          </cell>
          <cell r="R459" t="e">
            <v>#DIV/0!</v>
          </cell>
          <cell r="S459" t="e">
            <v>#DIV/0!</v>
          </cell>
          <cell r="T459" t="e">
            <v>#DIV/0!</v>
          </cell>
          <cell r="U459" t="e">
            <v>#DIV/0!</v>
          </cell>
          <cell r="V459">
            <v>4384.7031520914725</v>
          </cell>
          <cell r="W459" t="e">
            <v>#DIV/0!</v>
          </cell>
          <cell r="X459">
            <v>536.47205969037429</v>
          </cell>
          <cell r="Y459">
            <v>452.56249457950918</v>
          </cell>
          <cell r="Z459"/>
          <cell r="AA459"/>
          <cell r="AB459"/>
          <cell r="AC459"/>
          <cell r="AD459">
            <v>680.70444717040061</v>
          </cell>
          <cell r="AE459"/>
          <cell r="AF459">
            <v>1669.739001440284</v>
          </cell>
          <cell r="AG459">
            <v>0</v>
          </cell>
          <cell r="AH459">
            <v>1669.739001440284</v>
          </cell>
          <cell r="AI459">
            <v>1388.65236</v>
          </cell>
          <cell r="AJ459">
            <v>1385.239681</v>
          </cell>
          <cell r="AK459">
            <v>1483.834981</v>
          </cell>
          <cell r="AL459">
            <v>1611.564296</v>
          </cell>
          <cell r="AM459">
            <v>1141.060054</v>
          </cell>
          <cell r="AN459">
            <v>2514.1801519999999</v>
          </cell>
          <cell r="AO459">
            <v>1339.858369</v>
          </cell>
          <cell r="AP459">
            <v>1298.7948880000001</v>
          </cell>
          <cell r="AQ459">
            <v>1061.1885477822123</v>
          </cell>
          <cell r="AR459">
            <v>942.99465596934942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1293.3271076101848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3297.5103113617465</v>
          </cell>
          <cell r="BH459">
            <v>4967.2493128020305</v>
          </cell>
          <cell r="BI459">
            <v>4279.8296499506378</v>
          </cell>
          <cell r="BJ459">
            <v>1.1606184636015411</v>
          </cell>
          <cell r="BK459">
            <v>0.39014146309761238</v>
          </cell>
          <cell r="BL459">
            <v>0.77047700050392864</v>
          </cell>
        </row>
        <row r="460">
          <cell r="A460" t="str">
            <v>ROPAR TPS5</v>
          </cell>
          <cell r="B460" t="str">
            <v>ROPAR TPS</v>
          </cell>
          <cell r="C460">
            <v>210</v>
          </cell>
          <cell r="D460" t="str">
            <v>RAIL</v>
          </cell>
          <cell r="E460">
            <v>1.2455931395902811</v>
          </cell>
          <cell r="F460">
            <v>31.042200000000001</v>
          </cell>
          <cell r="G460">
            <v>76.5839</v>
          </cell>
          <cell r="H460">
            <v>0.31670879183251749</v>
          </cell>
          <cell r="I460">
            <v>0.28143415118899873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0.40185705697848378</v>
          </cell>
          <cell r="O460">
            <v>0</v>
          </cell>
          <cell r="P460">
            <v>4330.2342669532418</v>
          </cell>
          <cell r="Q460">
            <v>4073.3595323990703</v>
          </cell>
          <cell r="R460" t="e">
            <v>#DIV/0!</v>
          </cell>
          <cell r="S460" t="e">
            <v>#DIV/0!</v>
          </cell>
          <cell r="T460" t="e">
            <v>#DIV/0!</v>
          </cell>
          <cell r="U460" t="e">
            <v>#DIV/0!</v>
          </cell>
          <cell r="V460">
            <v>4384.7031520914725</v>
          </cell>
          <cell r="W460" t="e">
            <v>#DIV/0!</v>
          </cell>
          <cell r="X460">
            <v>536.47205969037429</v>
          </cell>
          <cell r="Y460">
            <v>452.56249457950918</v>
          </cell>
          <cell r="Z460"/>
          <cell r="AA460"/>
          <cell r="AB460"/>
          <cell r="AC460"/>
          <cell r="AD460">
            <v>680.70444717040061</v>
          </cell>
          <cell r="AE460"/>
          <cell r="AF460">
            <v>1669.739001440284</v>
          </cell>
          <cell r="AG460">
            <v>0</v>
          </cell>
          <cell r="AH460">
            <v>1669.739001440284</v>
          </cell>
          <cell r="AI460">
            <v>1388.65236</v>
          </cell>
          <cell r="AJ460">
            <v>1385.239681</v>
          </cell>
          <cell r="AK460">
            <v>1483.834981</v>
          </cell>
          <cell r="AL460">
            <v>1611.564296</v>
          </cell>
          <cell r="AM460">
            <v>1141.060054</v>
          </cell>
          <cell r="AN460">
            <v>2514.1801519999999</v>
          </cell>
          <cell r="AO460">
            <v>1339.858369</v>
          </cell>
          <cell r="AP460">
            <v>1298.7948880000001</v>
          </cell>
          <cell r="AQ460">
            <v>1061.1885477822123</v>
          </cell>
          <cell r="AR460">
            <v>942.99465596934942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1293.3271076101848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3297.5103113617465</v>
          </cell>
          <cell r="BH460">
            <v>4967.2493128020305</v>
          </cell>
          <cell r="BI460">
            <v>4279.8296499506378</v>
          </cell>
          <cell r="BJ460">
            <v>1.1606184636015411</v>
          </cell>
          <cell r="BK460">
            <v>0.39014146309761238</v>
          </cell>
          <cell r="BL460">
            <v>0.77047700050392864</v>
          </cell>
        </row>
        <row r="461">
          <cell r="A461" t="str">
            <v>ROPAR TPS6</v>
          </cell>
          <cell r="B461" t="str">
            <v>ROPAR TPS</v>
          </cell>
          <cell r="C461">
            <v>210</v>
          </cell>
          <cell r="D461" t="str">
            <v>RAIL</v>
          </cell>
          <cell r="E461">
            <v>1.2455931395902811</v>
          </cell>
          <cell r="F461">
            <v>31.042200000000001</v>
          </cell>
          <cell r="G461">
            <v>76.5839</v>
          </cell>
          <cell r="H461">
            <v>0.31670879183251749</v>
          </cell>
          <cell r="I461">
            <v>0.28143415118899873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0.40185705697848378</v>
          </cell>
          <cell r="O461">
            <v>0</v>
          </cell>
          <cell r="P461">
            <v>4330.2342669532418</v>
          </cell>
          <cell r="Q461">
            <v>4073.3595323990703</v>
          </cell>
          <cell r="R461" t="e">
            <v>#DIV/0!</v>
          </cell>
          <cell r="S461" t="e">
            <v>#DIV/0!</v>
          </cell>
          <cell r="T461" t="e">
            <v>#DIV/0!</v>
          </cell>
          <cell r="U461" t="e">
            <v>#DIV/0!</v>
          </cell>
          <cell r="V461">
            <v>4384.7031520914725</v>
          </cell>
          <cell r="W461" t="e">
            <v>#DIV/0!</v>
          </cell>
          <cell r="X461">
            <v>536.47205969037429</v>
          </cell>
          <cell r="Y461">
            <v>452.56249457950918</v>
          </cell>
          <cell r="Z461"/>
          <cell r="AA461"/>
          <cell r="AB461"/>
          <cell r="AC461"/>
          <cell r="AD461">
            <v>680.70444717040061</v>
          </cell>
          <cell r="AE461"/>
          <cell r="AF461">
            <v>1669.739001440284</v>
          </cell>
          <cell r="AG461">
            <v>0</v>
          </cell>
          <cell r="AH461">
            <v>1669.739001440284</v>
          </cell>
          <cell r="AI461">
            <v>1388.65236</v>
          </cell>
          <cell r="AJ461">
            <v>1385.239681</v>
          </cell>
          <cell r="AK461">
            <v>1483.834981</v>
          </cell>
          <cell r="AL461">
            <v>1611.564296</v>
          </cell>
          <cell r="AM461">
            <v>1141.060054</v>
          </cell>
          <cell r="AN461">
            <v>2514.1801519999999</v>
          </cell>
          <cell r="AO461">
            <v>1339.858369</v>
          </cell>
          <cell r="AP461">
            <v>1298.7948880000001</v>
          </cell>
          <cell r="AQ461">
            <v>1061.1885477822123</v>
          </cell>
          <cell r="AR461">
            <v>942.99465596934942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1293.3271076101848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3297.5103113617465</v>
          </cell>
          <cell r="BH461">
            <v>4967.2493128020305</v>
          </cell>
          <cell r="BI461">
            <v>4279.8296499506378</v>
          </cell>
          <cell r="BJ461">
            <v>1.1606184636015411</v>
          </cell>
          <cell r="BK461">
            <v>0.39014146309761238</v>
          </cell>
          <cell r="BL461">
            <v>0.77047700050392864</v>
          </cell>
        </row>
        <row r="462">
          <cell r="A462" t="str">
            <v>SABARMATI (D-F STATIONS) TPP1</v>
          </cell>
          <cell r="B462" t="str">
            <v>SABARMATI (D-F STATIONS) TPP</v>
          </cell>
          <cell r="C462">
            <v>120</v>
          </cell>
          <cell r="D462"/>
          <cell r="E462" t="str">
            <v/>
          </cell>
          <cell r="F462">
            <v>23.070599999999999</v>
          </cell>
          <cell r="G462">
            <v>72.593900000000005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1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4279.0292548546358</v>
          </cell>
          <cell r="X462"/>
          <cell r="Y462"/>
          <cell r="Z462"/>
          <cell r="AA462"/>
          <cell r="AB462"/>
          <cell r="AC462"/>
          <cell r="AD462"/>
          <cell r="AE462">
            <v>1608.0582000000002</v>
          </cell>
          <cell r="AF462">
            <v>1608.0582000000002</v>
          </cell>
          <cell r="AG462">
            <v>0.24296768320436962</v>
          </cell>
          <cell r="AH462">
            <v>2488.3159755302686</v>
          </cell>
          <cell r="AI462">
            <v>1643.5557679999999</v>
          </cell>
          <cell r="AJ462">
            <v>1596.3329740000001</v>
          </cell>
          <cell r="AK462">
            <v>1738.7383889999996</v>
          </cell>
          <cell r="AL462">
            <v>1505.6970029999998</v>
          </cell>
          <cell r="AM462">
            <v>1227.899267</v>
          </cell>
          <cell r="AN462">
            <v>2795.413787</v>
          </cell>
          <cell r="AO462">
            <v>1230.672607</v>
          </cell>
          <cell r="AP462">
            <v>851.42719629999999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2243.136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1698.126442967683</v>
          </cell>
          <cell r="BH462">
            <v>4186.4424184979516</v>
          </cell>
          <cell r="BI462">
            <v>4279.0292548546358</v>
          </cell>
          <cell r="BJ462">
            <v>0.97836265404083345</v>
          </cell>
          <cell r="BK462">
            <v>0.58151413026850174</v>
          </cell>
          <cell r="BL462">
            <v>0.39684852377233176</v>
          </cell>
        </row>
        <row r="463">
          <cell r="A463" t="str">
            <v>SABARMATI (D-F STATIONS) TPP2</v>
          </cell>
          <cell r="B463" t="str">
            <v>SABARMATI (D-F STATIONS) TPP</v>
          </cell>
          <cell r="C463">
            <v>121</v>
          </cell>
          <cell r="D463"/>
          <cell r="E463" t="str">
            <v/>
          </cell>
          <cell r="F463">
            <v>23.070599999999999</v>
          </cell>
          <cell r="G463">
            <v>72.593900000000005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1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4279.0292548546358</v>
          </cell>
          <cell r="X463"/>
          <cell r="Y463"/>
          <cell r="Z463"/>
          <cell r="AA463"/>
          <cell r="AB463"/>
          <cell r="AC463"/>
          <cell r="AD463"/>
          <cell r="AE463">
            <v>1608.0582000000002</v>
          </cell>
          <cell r="AF463">
            <v>1608.0582000000002</v>
          </cell>
          <cell r="AG463">
            <v>0.24296768320436962</v>
          </cell>
          <cell r="AH463">
            <v>2488.3159755302686</v>
          </cell>
          <cell r="AI463">
            <v>1643.5557679999999</v>
          </cell>
          <cell r="AJ463">
            <v>1596.3329740000001</v>
          </cell>
          <cell r="AK463">
            <v>1738.7383889999996</v>
          </cell>
          <cell r="AL463">
            <v>1505.6970029999998</v>
          </cell>
          <cell r="AM463">
            <v>1227.899267</v>
          </cell>
          <cell r="AN463">
            <v>2795.413787</v>
          </cell>
          <cell r="AO463">
            <v>1230.672607</v>
          </cell>
          <cell r="AP463">
            <v>851.42719629999999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2243.136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1698.126442967683</v>
          </cell>
          <cell r="BH463">
            <v>4186.4424184979516</v>
          </cell>
          <cell r="BI463">
            <v>4279.0292548546358</v>
          </cell>
          <cell r="BJ463">
            <v>0.97836265404083345</v>
          </cell>
          <cell r="BK463">
            <v>0.58151413026850174</v>
          </cell>
          <cell r="BL463">
            <v>0.39684852377233176</v>
          </cell>
        </row>
        <row r="464">
          <cell r="A464" t="str">
            <v>SABARMATI (D-F STATIONS) TPP3</v>
          </cell>
          <cell r="B464" t="str">
            <v>SABARMATI (D-F STATIONS) TPP</v>
          </cell>
          <cell r="C464">
            <v>121</v>
          </cell>
          <cell r="D464"/>
          <cell r="E464" t="str">
            <v/>
          </cell>
          <cell r="F464">
            <v>23.070599999999999</v>
          </cell>
          <cell r="G464">
            <v>72.593900000000005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4279.0292548546358</v>
          </cell>
          <cell r="X464"/>
          <cell r="Y464"/>
          <cell r="Z464"/>
          <cell r="AA464"/>
          <cell r="AB464"/>
          <cell r="AC464"/>
          <cell r="AD464"/>
          <cell r="AE464">
            <v>1608.0582000000002</v>
          </cell>
          <cell r="AF464">
            <v>1608.0582000000002</v>
          </cell>
          <cell r="AG464">
            <v>0.24296768320436962</v>
          </cell>
          <cell r="AH464">
            <v>2488.3159755302686</v>
          </cell>
          <cell r="AI464">
            <v>1643.5557679999999</v>
          </cell>
          <cell r="AJ464">
            <v>1596.3329740000001</v>
          </cell>
          <cell r="AK464">
            <v>1738.7383889999996</v>
          </cell>
          <cell r="AL464">
            <v>1505.6970029999998</v>
          </cell>
          <cell r="AM464">
            <v>1227.899267</v>
          </cell>
          <cell r="AN464">
            <v>2795.413787</v>
          </cell>
          <cell r="AO464">
            <v>1230.672607</v>
          </cell>
          <cell r="AP464">
            <v>851.42719629999999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2243.136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1698.126442967683</v>
          </cell>
          <cell r="BH464">
            <v>4186.4424184979516</v>
          </cell>
          <cell r="BI464">
            <v>4279.0292548546358</v>
          </cell>
          <cell r="BJ464">
            <v>0.97836265404083345</v>
          </cell>
          <cell r="BK464">
            <v>0.58151413026850174</v>
          </cell>
          <cell r="BL464">
            <v>0.39684852377233176</v>
          </cell>
        </row>
        <row r="465">
          <cell r="A465" t="str">
            <v>SANJAY GANDHI TPS1</v>
          </cell>
          <cell r="B465" t="str">
            <v>SANJAY GANDHI TPS</v>
          </cell>
          <cell r="C465">
            <v>210</v>
          </cell>
          <cell r="D465" t="str">
            <v>RAIL</v>
          </cell>
          <cell r="E465"/>
          <cell r="F465">
            <v>23.305</v>
          </cell>
          <cell r="G465">
            <v>81.062299999999993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1</v>
          </cell>
          <cell r="O465">
            <v>0</v>
          </cell>
          <cell r="P465" t="e">
            <v>#DIV/0!</v>
          </cell>
          <cell r="Q465" t="e">
            <v>#DIV/0!</v>
          </cell>
          <cell r="R465" t="e">
            <v>#DIV/0!</v>
          </cell>
          <cell r="S465" t="e">
            <v>#DIV/0!</v>
          </cell>
          <cell r="T465" t="e">
            <v>#DIV/0!</v>
          </cell>
          <cell r="U465" t="e">
            <v>#DIV/0!</v>
          </cell>
          <cell r="V465">
            <v>4871.520386436875</v>
          </cell>
          <cell r="W465" t="e">
            <v>#DIV/0!</v>
          </cell>
          <cell r="X465"/>
          <cell r="Y465"/>
          <cell r="Z465"/>
          <cell r="AA465"/>
          <cell r="AB465"/>
          <cell r="AC465"/>
          <cell r="AD465">
            <v>1838.2056</v>
          </cell>
          <cell r="AE465"/>
          <cell r="AF465">
            <v>1838.2056</v>
          </cell>
          <cell r="AG465">
            <v>0</v>
          </cell>
          <cell r="AH465">
            <v>1838.2056</v>
          </cell>
          <cell r="AI465">
            <v>662.64548360000003</v>
          </cell>
          <cell r="AJ465">
            <v>605.80260629999998</v>
          </cell>
          <cell r="AK465">
            <v>774.20474630000001</v>
          </cell>
          <cell r="AL465">
            <v>552.70735380000008</v>
          </cell>
          <cell r="AM465">
            <v>298.17175639999999</v>
          </cell>
          <cell r="AN465">
            <v>1912.7257199999999</v>
          </cell>
          <cell r="AO465">
            <v>243.44734690000001</v>
          </cell>
          <cell r="AP465">
            <v>394.74827399999998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962.85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962.85</v>
          </cell>
          <cell r="BH465">
            <v>2801.0556000000001</v>
          </cell>
          <cell r="BI465">
            <v>4871.520386436875</v>
          </cell>
          <cell r="BJ465">
            <v>0.57498591359662699</v>
          </cell>
          <cell r="BK465">
            <v>0.37733714614391656</v>
          </cell>
          <cell r="BL465">
            <v>0.19764876745271046</v>
          </cell>
        </row>
        <row r="466">
          <cell r="A466" t="str">
            <v>SANJAY GANDHI TPS2</v>
          </cell>
          <cell r="B466" t="str">
            <v>SANJAY GANDHI TPS</v>
          </cell>
          <cell r="C466">
            <v>210</v>
          </cell>
          <cell r="D466" t="str">
            <v>RAIL</v>
          </cell>
          <cell r="E466"/>
          <cell r="F466">
            <v>23.305</v>
          </cell>
          <cell r="G466">
            <v>81.062299999999993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1</v>
          </cell>
          <cell r="O466">
            <v>0</v>
          </cell>
          <cell r="P466" t="e">
            <v>#DIV/0!</v>
          </cell>
          <cell r="Q466" t="e">
            <v>#DIV/0!</v>
          </cell>
          <cell r="R466" t="e">
            <v>#DIV/0!</v>
          </cell>
          <cell r="S466" t="e">
            <v>#DIV/0!</v>
          </cell>
          <cell r="T466" t="e">
            <v>#DIV/0!</v>
          </cell>
          <cell r="U466" t="e">
            <v>#DIV/0!</v>
          </cell>
          <cell r="V466">
            <v>4871.520386436875</v>
          </cell>
          <cell r="W466" t="e">
            <v>#DIV/0!</v>
          </cell>
          <cell r="X466"/>
          <cell r="Y466"/>
          <cell r="Z466"/>
          <cell r="AA466"/>
          <cell r="AB466"/>
          <cell r="AC466"/>
          <cell r="AD466">
            <v>1838.2056</v>
          </cell>
          <cell r="AE466"/>
          <cell r="AF466">
            <v>1838.2056</v>
          </cell>
          <cell r="AG466">
            <v>0</v>
          </cell>
          <cell r="AH466">
            <v>1838.2056</v>
          </cell>
          <cell r="AI466">
            <v>662.64548360000003</v>
          </cell>
          <cell r="AJ466">
            <v>605.80260629999998</v>
          </cell>
          <cell r="AK466">
            <v>774.20474630000001</v>
          </cell>
          <cell r="AL466">
            <v>552.70735380000008</v>
          </cell>
          <cell r="AM466">
            <v>298.17175639999999</v>
          </cell>
          <cell r="AN466">
            <v>1912.7257199999999</v>
          </cell>
          <cell r="AO466">
            <v>243.44734690000001</v>
          </cell>
          <cell r="AP466">
            <v>394.74827399999998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962.85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962.85</v>
          </cell>
          <cell r="BH466">
            <v>2801.0556000000001</v>
          </cell>
          <cell r="BI466">
            <v>4871.520386436875</v>
          </cell>
          <cell r="BJ466">
            <v>0.57498591359662699</v>
          </cell>
          <cell r="BK466">
            <v>0.37733714614391656</v>
          </cell>
          <cell r="BL466">
            <v>0.19764876745271046</v>
          </cell>
        </row>
        <row r="467">
          <cell r="A467" t="str">
            <v>SANJAY GANDHI TPS3</v>
          </cell>
          <cell r="B467" t="str">
            <v>SANJAY GANDHI TPS</v>
          </cell>
          <cell r="C467">
            <v>210</v>
          </cell>
          <cell r="D467" t="str">
            <v>RAIL</v>
          </cell>
          <cell r="E467"/>
          <cell r="F467">
            <v>23.305</v>
          </cell>
          <cell r="G467">
            <v>81.062299999999993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1</v>
          </cell>
          <cell r="O467">
            <v>0</v>
          </cell>
          <cell r="P467" t="e">
            <v>#DIV/0!</v>
          </cell>
          <cell r="Q467" t="e">
            <v>#DIV/0!</v>
          </cell>
          <cell r="R467" t="e">
            <v>#DIV/0!</v>
          </cell>
          <cell r="S467" t="e">
            <v>#DIV/0!</v>
          </cell>
          <cell r="T467" t="e">
            <v>#DIV/0!</v>
          </cell>
          <cell r="U467" t="e">
            <v>#DIV/0!</v>
          </cell>
          <cell r="V467">
            <v>4871.520386436875</v>
          </cell>
          <cell r="W467" t="e">
            <v>#DIV/0!</v>
          </cell>
          <cell r="X467"/>
          <cell r="Y467"/>
          <cell r="Z467"/>
          <cell r="AA467"/>
          <cell r="AB467"/>
          <cell r="AC467"/>
          <cell r="AD467">
            <v>1838.2056</v>
          </cell>
          <cell r="AE467"/>
          <cell r="AF467">
            <v>1838.2056</v>
          </cell>
          <cell r="AG467">
            <v>0</v>
          </cell>
          <cell r="AH467">
            <v>1838.2056</v>
          </cell>
          <cell r="AI467">
            <v>662.64548360000003</v>
          </cell>
          <cell r="AJ467">
            <v>605.80260629999998</v>
          </cell>
          <cell r="AK467">
            <v>774.20474630000001</v>
          </cell>
          <cell r="AL467">
            <v>552.70735380000008</v>
          </cell>
          <cell r="AM467">
            <v>298.17175639999999</v>
          </cell>
          <cell r="AN467">
            <v>1912.7257199999999</v>
          </cell>
          <cell r="AO467">
            <v>243.44734690000001</v>
          </cell>
          <cell r="AP467">
            <v>394.74827399999998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962.85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962.85</v>
          </cell>
          <cell r="BH467">
            <v>2801.0556000000001</v>
          </cell>
          <cell r="BI467">
            <v>4871.520386436875</v>
          </cell>
          <cell r="BJ467">
            <v>0.57498591359662699</v>
          </cell>
          <cell r="BK467">
            <v>0.37733714614391656</v>
          </cell>
          <cell r="BL467">
            <v>0.19764876745271046</v>
          </cell>
        </row>
        <row r="468">
          <cell r="A468" t="str">
            <v>SANJAY GANDHI TPS4</v>
          </cell>
          <cell r="B468" t="str">
            <v>SANJAY GANDHI TPS</v>
          </cell>
          <cell r="C468">
            <v>210</v>
          </cell>
          <cell r="D468" t="str">
            <v>RAIL</v>
          </cell>
          <cell r="E468"/>
          <cell r="F468">
            <v>23.305</v>
          </cell>
          <cell r="G468">
            <v>81.062299999999993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1</v>
          </cell>
          <cell r="O468">
            <v>0</v>
          </cell>
          <cell r="P468" t="e">
            <v>#DIV/0!</v>
          </cell>
          <cell r="Q468" t="e">
            <v>#DIV/0!</v>
          </cell>
          <cell r="R468" t="e">
            <v>#DIV/0!</v>
          </cell>
          <cell r="S468" t="e">
            <v>#DIV/0!</v>
          </cell>
          <cell r="T468" t="e">
            <v>#DIV/0!</v>
          </cell>
          <cell r="U468" t="e">
            <v>#DIV/0!</v>
          </cell>
          <cell r="V468">
            <v>4871.520386436875</v>
          </cell>
          <cell r="W468" t="e">
            <v>#DIV/0!</v>
          </cell>
          <cell r="X468"/>
          <cell r="Y468"/>
          <cell r="Z468"/>
          <cell r="AA468"/>
          <cell r="AB468"/>
          <cell r="AC468"/>
          <cell r="AD468">
            <v>1838.2056</v>
          </cell>
          <cell r="AE468"/>
          <cell r="AF468">
            <v>1838.2056</v>
          </cell>
          <cell r="AG468">
            <v>0</v>
          </cell>
          <cell r="AH468">
            <v>1838.2056</v>
          </cell>
          <cell r="AI468">
            <v>662.64548360000003</v>
          </cell>
          <cell r="AJ468">
            <v>605.80260629999998</v>
          </cell>
          <cell r="AK468">
            <v>774.20474630000001</v>
          </cell>
          <cell r="AL468">
            <v>552.70735380000008</v>
          </cell>
          <cell r="AM468">
            <v>298.17175639999999</v>
          </cell>
          <cell r="AN468">
            <v>1912.7257199999999</v>
          </cell>
          <cell r="AO468">
            <v>243.44734690000001</v>
          </cell>
          <cell r="AP468">
            <v>394.74827399999998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962.85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962.85</v>
          </cell>
          <cell r="BH468">
            <v>2801.0556000000001</v>
          </cell>
          <cell r="BI468">
            <v>4871.520386436875</v>
          </cell>
          <cell r="BJ468">
            <v>0.57498591359662699</v>
          </cell>
          <cell r="BK468">
            <v>0.37733714614391656</v>
          </cell>
          <cell r="BL468">
            <v>0.19764876745271046</v>
          </cell>
        </row>
        <row r="469">
          <cell r="A469" t="str">
            <v>SANTALDIH TPS5</v>
          </cell>
          <cell r="B469" t="str">
            <v>SANTALDIH TPS</v>
          </cell>
          <cell r="C469">
            <v>250</v>
          </cell>
          <cell r="D469" t="str">
            <v>RAIL</v>
          </cell>
          <cell r="E469">
            <v>0.81243441762854141</v>
          </cell>
          <cell r="F469">
            <v>23.602699999999999</v>
          </cell>
          <cell r="G469">
            <v>86.468900000000005</v>
          </cell>
          <cell r="H469">
            <v>0.9616815997841015</v>
          </cell>
          <cell r="I469">
            <v>2.2499088702341657E-2</v>
          </cell>
          <cell r="J469">
            <v>1.5819311513556734E-2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4302.1044940295842</v>
          </cell>
          <cell r="Q469">
            <v>4235.9899892153326</v>
          </cell>
          <cell r="R469">
            <v>5887.6491517759414</v>
          </cell>
          <cell r="S469" t="e">
            <v>#DIV/0!</v>
          </cell>
          <cell r="T469" t="e">
            <v>#DIV/0!</v>
          </cell>
          <cell r="U469" t="e">
            <v>#DIV/0!</v>
          </cell>
          <cell r="V469" t="e">
            <v>#DIV/0!</v>
          </cell>
          <cell r="W469" t="e">
            <v>#DIV/0!</v>
          </cell>
          <cell r="X469">
            <v>1628.9895383622265</v>
          </cell>
          <cell r="Y469">
            <v>36.179844080327868</v>
          </cell>
          <cell r="Z469">
            <v>60.507877515998686</v>
          </cell>
          <cell r="AA469"/>
          <cell r="AB469"/>
          <cell r="AC469"/>
          <cell r="AD469"/>
          <cell r="AE469"/>
          <cell r="AF469">
            <v>1725.6772599585531</v>
          </cell>
          <cell r="AG469">
            <v>6.0996347612639931E-4</v>
          </cell>
          <cell r="AH469">
            <v>1727.8153788020136</v>
          </cell>
          <cell r="AI469">
            <v>21.04429412</v>
          </cell>
          <cell r="AJ469">
            <v>95.220981330000001</v>
          </cell>
          <cell r="AK469">
            <v>138.0749337</v>
          </cell>
          <cell r="AL469">
            <v>441.02174329999997</v>
          </cell>
          <cell r="AM469">
            <v>445.8838141</v>
          </cell>
          <cell r="AN469">
            <v>1373.7350060000001</v>
          </cell>
          <cell r="AO469">
            <v>496.37461509999997</v>
          </cell>
          <cell r="AP469">
            <v>953.80252519999999</v>
          </cell>
          <cell r="AQ469">
            <v>372.80548897230483</v>
          </cell>
          <cell r="AR469">
            <v>8.7219967263497669</v>
          </cell>
          <cell r="AS469">
            <v>10.774754542244683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392.06295020274973</v>
          </cell>
          <cell r="BH469">
            <v>2119.8783290047631</v>
          </cell>
          <cell r="BI469">
            <v>4325.6992027808037</v>
          </cell>
          <cell r="BJ469">
            <v>0.49006605166674228</v>
          </cell>
          <cell r="BK469">
            <v>0.39943031121795902</v>
          </cell>
          <cell r="BL469">
            <v>9.0635740448783295E-2</v>
          </cell>
        </row>
        <row r="470">
          <cell r="A470" t="str">
            <v>SATPURA TPS6</v>
          </cell>
          <cell r="B470" t="str">
            <v>SATPURA TPS</v>
          </cell>
          <cell r="C470">
            <v>200</v>
          </cell>
          <cell r="D470" t="str">
            <v>RAIL</v>
          </cell>
          <cell r="E470"/>
          <cell r="F470">
            <v>22.109200000000001</v>
          </cell>
          <cell r="G470">
            <v>78.173299999999998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0.33286636775364925</v>
          </cell>
          <cell r="O470">
            <v>0.66713363224635081</v>
          </cell>
          <cell r="P470" t="e">
            <v>#DIV/0!</v>
          </cell>
          <cell r="Q470" t="e">
            <v>#DIV/0!</v>
          </cell>
          <cell r="R470" t="e">
            <v>#DIV/0!</v>
          </cell>
          <cell r="S470" t="e">
            <v>#DIV/0!</v>
          </cell>
          <cell r="T470" t="e">
            <v>#DIV/0!</v>
          </cell>
          <cell r="U470" t="e">
            <v>#DIV/0!</v>
          </cell>
          <cell r="V470">
            <v>4161.1297833627359</v>
          </cell>
          <cell r="W470">
            <v>4523.9769923994254</v>
          </cell>
          <cell r="X470"/>
          <cell r="Y470"/>
          <cell r="Z470"/>
          <cell r="AA470"/>
          <cell r="AB470"/>
          <cell r="AC470"/>
          <cell r="AD470">
            <v>535.26849217047129</v>
          </cell>
          <cell r="AE470">
            <v>1130.0556315758517</v>
          </cell>
          <cell r="AF470">
            <v>1665.324123746323</v>
          </cell>
          <cell r="AG470">
            <v>0</v>
          </cell>
          <cell r="AH470">
            <v>1665.324123746323</v>
          </cell>
          <cell r="AI470">
            <v>1014.3503789999999</v>
          </cell>
          <cell r="AJ470">
            <v>957.50750190000019</v>
          </cell>
          <cell r="AK470">
            <v>1125.9096420000001</v>
          </cell>
          <cell r="AL470">
            <v>785.55744330000005</v>
          </cell>
          <cell r="AM470">
            <v>654.87795030000007</v>
          </cell>
          <cell r="AN470">
            <v>2244.6549649999997</v>
          </cell>
          <cell r="AO470">
            <v>535.73350179999989</v>
          </cell>
          <cell r="AP470">
            <v>173.62196090000003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553.48353897341292</v>
          </cell>
          <cell r="AX470">
            <v>487.84947418373093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1041.3330131571438</v>
          </cell>
          <cell r="BH470">
            <v>2706.6571369034668</v>
          </cell>
          <cell r="BI470">
            <v>4403.1973598778304</v>
          </cell>
          <cell r="BJ470">
            <v>0.61470266165370446</v>
          </cell>
          <cell r="BK470">
            <v>0.37820792202521863</v>
          </cell>
          <cell r="BL470">
            <v>0.23649473962848586</v>
          </cell>
        </row>
        <row r="471">
          <cell r="A471" t="str">
            <v>SATPURA TPS7</v>
          </cell>
          <cell r="B471" t="str">
            <v>SATPURA TPS</v>
          </cell>
          <cell r="C471">
            <v>210</v>
          </cell>
          <cell r="D471" t="str">
            <v>RAIL</v>
          </cell>
          <cell r="E471"/>
          <cell r="F471">
            <v>22.109200000000001</v>
          </cell>
          <cell r="G471">
            <v>78.173299999999998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0.33286636775364925</v>
          </cell>
          <cell r="O471">
            <v>0.66713363224635081</v>
          </cell>
          <cell r="P471" t="e">
            <v>#DIV/0!</v>
          </cell>
          <cell r="Q471" t="e">
            <v>#DIV/0!</v>
          </cell>
          <cell r="R471" t="e">
            <v>#DIV/0!</v>
          </cell>
          <cell r="S471" t="e">
            <v>#DIV/0!</v>
          </cell>
          <cell r="T471" t="e">
            <v>#DIV/0!</v>
          </cell>
          <cell r="U471" t="e">
            <v>#DIV/0!</v>
          </cell>
          <cell r="V471">
            <v>4161.1297833627359</v>
          </cell>
          <cell r="W471">
            <v>4523.9769923994254</v>
          </cell>
          <cell r="X471"/>
          <cell r="Y471"/>
          <cell r="Z471"/>
          <cell r="AA471"/>
          <cell r="AB471"/>
          <cell r="AC471"/>
          <cell r="AD471">
            <v>535.26849217047129</v>
          </cell>
          <cell r="AE471">
            <v>1130.0556315758517</v>
          </cell>
          <cell r="AF471">
            <v>1665.324123746323</v>
          </cell>
          <cell r="AG471">
            <v>0</v>
          </cell>
          <cell r="AH471">
            <v>1665.324123746323</v>
          </cell>
          <cell r="AI471">
            <v>1014.3503789999999</v>
          </cell>
          <cell r="AJ471">
            <v>957.50750190000019</v>
          </cell>
          <cell r="AK471">
            <v>1125.9096420000001</v>
          </cell>
          <cell r="AL471">
            <v>785.55744330000005</v>
          </cell>
          <cell r="AM471">
            <v>654.87795030000007</v>
          </cell>
          <cell r="AN471">
            <v>2244.6549649999997</v>
          </cell>
          <cell r="AO471">
            <v>535.73350179999989</v>
          </cell>
          <cell r="AP471">
            <v>173.62196090000003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553.48353897341292</v>
          </cell>
          <cell r="AX471">
            <v>487.84947418373093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1041.3330131571438</v>
          </cell>
          <cell r="BH471">
            <v>2706.6571369034668</v>
          </cell>
          <cell r="BI471">
            <v>4403.1973598778304</v>
          </cell>
          <cell r="BJ471">
            <v>0.61470266165370446</v>
          </cell>
          <cell r="BK471">
            <v>0.37820792202521863</v>
          </cell>
          <cell r="BL471">
            <v>0.23649473962848586</v>
          </cell>
        </row>
        <row r="472">
          <cell r="A472" t="str">
            <v>SATPURA TPS8</v>
          </cell>
          <cell r="B472" t="str">
            <v>SATPURA TPS</v>
          </cell>
          <cell r="C472">
            <v>210</v>
          </cell>
          <cell r="D472" t="str">
            <v>RAIL</v>
          </cell>
          <cell r="E472"/>
          <cell r="F472">
            <v>22.109200000000001</v>
          </cell>
          <cell r="G472">
            <v>78.173299999999998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0.33286636775364925</v>
          </cell>
          <cell r="O472">
            <v>0.66713363224635081</v>
          </cell>
          <cell r="P472" t="e">
            <v>#DIV/0!</v>
          </cell>
          <cell r="Q472" t="e">
            <v>#DIV/0!</v>
          </cell>
          <cell r="R472" t="e">
            <v>#DIV/0!</v>
          </cell>
          <cell r="S472" t="e">
            <v>#DIV/0!</v>
          </cell>
          <cell r="T472" t="e">
            <v>#DIV/0!</v>
          </cell>
          <cell r="U472" t="e">
            <v>#DIV/0!</v>
          </cell>
          <cell r="V472">
            <v>4161.1297833627359</v>
          </cell>
          <cell r="W472">
            <v>4523.9769923994254</v>
          </cell>
          <cell r="X472"/>
          <cell r="Y472"/>
          <cell r="Z472"/>
          <cell r="AA472"/>
          <cell r="AB472"/>
          <cell r="AC472"/>
          <cell r="AD472">
            <v>535.26849217047129</v>
          </cell>
          <cell r="AE472">
            <v>1130.0556315758517</v>
          </cell>
          <cell r="AF472">
            <v>1665.324123746323</v>
          </cell>
          <cell r="AG472">
            <v>0</v>
          </cell>
          <cell r="AH472">
            <v>1665.324123746323</v>
          </cell>
          <cell r="AI472">
            <v>1014.3503789999999</v>
          </cell>
          <cell r="AJ472">
            <v>957.50750190000019</v>
          </cell>
          <cell r="AK472">
            <v>1125.9096420000001</v>
          </cell>
          <cell r="AL472">
            <v>785.55744330000005</v>
          </cell>
          <cell r="AM472">
            <v>654.87795030000007</v>
          </cell>
          <cell r="AN472">
            <v>2244.6549649999997</v>
          </cell>
          <cell r="AO472">
            <v>535.73350179999989</v>
          </cell>
          <cell r="AP472">
            <v>173.62196090000003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553.48353897341292</v>
          </cell>
          <cell r="AX472">
            <v>487.84947418373093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1041.3330131571438</v>
          </cell>
          <cell r="BH472">
            <v>2706.6571369034668</v>
          </cell>
          <cell r="BI472">
            <v>4403.1973598778304</v>
          </cell>
          <cell r="BJ472">
            <v>0.61470266165370446</v>
          </cell>
          <cell r="BK472">
            <v>0.37820792202521863</v>
          </cell>
          <cell r="BL472">
            <v>0.23649473962848586</v>
          </cell>
        </row>
        <row r="473">
          <cell r="A473" t="str">
            <v>SATPURA TPS9</v>
          </cell>
          <cell r="B473" t="str">
            <v>SATPURA TPS</v>
          </cell>
          <cell r="C473">
            <v>210</v>
          </cell>
          <cell r="D473" t="str">
            <v>RAIL</v>
          </cell>
          <cell r="E473"/>
          <cell r="F473">
            <v>22.109200000000001</v>
          </cell>
          <cell r="G473">
            <v>78.173299999999998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0.33286636775364925</v>
          </cell>
          <cell r="O473">
            <v>0.66713363224635081</v>
          </cell>
          <cell r="P473" t="e">
            <v>#DIV/0!</v>
          </cell>
          <cell r="Q473" t="e">
            <v>#DIV/0!</v>
          </cell>
          <cell r="R473" t="e">
            <v>#DIV/0!</v>
          </cell>
          <cell r="S473" t="e">
            <v>#DIV/0!</v>
          </cell>
          <cell r="T473" t="e">
            <v>#DIV/0!</v>
          </cell>
          <cell r="U473" t="e">
            <v>#DIV/0!</v>
          </cell>
          <cell r="V473">
            <v>4161.1297833627359</v>
          </cell>
          <cell r="W473">
            <v>4523.9769923994254</v>
          </cell>
          <cell r="X473"/>
          <cell r="Y473"/>
          <cell r="Z473"/>
          <cell r="AA473"/>
          <cell r="AB473"/>
          <cell r="AC473"/>
          <cell r="AD473">
            <v>535.26849217047129</v>
          </cell>
          <cell r="AE473">
            <v>1130.0556315758517</v>
          </cell>
          <cell r="AF473">
            <v>1665.324123746323</v>
          </cell>
          <cell r="AG473">
            <v>0</v>
          </cell>
          <cell r="AH473">
            <v>1665.324123746323</v>
          </cell>
          <cell r="AI473">
            <v>1014.3503789999999</v>
          </cell>
          <cell r="AJ473">
            <v>957.50750190000019</v>
          </cell>
          <cell r="AK473">
            <v>1125.9096420000001</v>
          </cell>
          <cell r="AL473">
            <v>785.55744330000005</v>
          </cell>
          <cell r="AM473">
            <v>654.87795030000007</v>
          </cell>
          <cell r="AN473">
            <v>2244.6549649999997</v>
          </cell>
          <cell r="AO473">
            <v>535.73350179999989</v>
          </cell>
          <cell r="AP473">
            <v>173.62196090000003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553.48353897341292</v>
          </cell>
          <cell r="AX473">
            <v>487.84947418373093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1041.3330131571438</v>
          </cell>
          <cell r="BH473">
            <v>2706.6571369034668</v>
          </cell>
          <cell r="BI473">
            <v>4403.1973598778304</v>
          </cell>
          <cell r="BJ473">
            <v>0.61470266165370446</v>
          </cell>
          <cell r="BK473">
            <v>0.37820792202521863</v>
          </cell>
          <cell r="BL473">
            <v>0.23649473962848586</v>
          </cell>
        </row>
        <row r="474">
          <cell r="A474" t="str">
            <v>SHIRPUR TPP1</v>
          </cell>
          <cell r="B474" t="str">
            <v>SHIRPUR TPP</v>
          </cell>
          <cell r="C474">
            <v>150</v>
          </cell>
          <cell r="D474"/>
          <cell r="E474" t="str">
            <v/>
          </cell>
          <cell r="F474">
            <v>21.152106</v>
          </cell>
          <cell r="G474">
            <v>74.853984100000005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4279.0292548546358</v>
          </cell>
          <cell r="X474"/>
          <cell r="Y474"/>
          <cell r="Z474"/>
          <cell r="AA474"/>
          <cell r="AB474"/>
          <cell r="AC474"/>
          <cell r="AD474"/>
          <cell r="AE474">
            <v>1608.0582000000002</v>
          </cell>
          <cell r="AF474">
            <v>1608.0582000000002</v>
          </cell>
          <cell r="AG474">
            <v>0.28000000000000003</v>
          </cell>
          <cell r="AH474">
            <v>2622.4819040000002</v>
          </cell>
          <cell r="AI474">
            <v>1424.6762160000001</v>
          </cell>
          <cell r="AJ474">
            <v>1367.833339</v>
          </cell>
          <cell r="AK474">
            <v>1536.2354789999999</v>
          </cell>
          <cell r="AL474">
            <v>1132.231078</v>
          </cell>
          <cell r="AM474">
            <v>1029.3351210000001</v>
          </cell>
          <cell r="AN474">
            <v>2616.1406940000002</v>
          </cell>
          <cell r="AO474">
            <v>946.05933900000002</v>
          </cell>
          <cell r="AP474">
            <v>477.96127140000004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1444.4220000000003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1039.9838400000001</v>
          </cell>
          <cell r="BH474">
            <v>3662.4657440000001</v>
          </cell>
          <cell r="BI474">
            <v>4279.0292548546358</v>
          </cell>
          <cell r="BJ474">
            <v>0.85591042403948669</v>
          </cell>
          <cell r="BK474">
            <v>0.61286842127212549</v>
          </cell>
          <cell r="BL474">
            <v>0.24304200276736124</v>
          </cell>
        </row>
        <row r="475">
          <cell r="A475" t="str">
            <v>SIKKA REP. TPS3</v>
          </cell>
          <cell r="B475" t="str">
            <v>SIKKA REP. TPS</v>
          </cell>
          <cell r="C475">
            <v>250</v>
          </cell>
          <cell r="D475"/>
          <cell r="E475"/>
          <cell r="F475">
            <v>22.4222</v>
          </cell>
          <cell r="G475">
            <v>69.826899999999995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1</v>
          </cell>
          <cell r="O475">
            <v>0</v>
          </cell>
          <cell r="P475" t="e">
            <v>#DIV/0!</v>
          </cell>
          <cell r="Q475" t="e">
            <v>#DIV/0!</v>
          </cell>
          <cell r="R475" t="e">
            <v>#DIV/0!</v>
          </cell>
          <cell r="S475" t="e">
            <v>#DIV/0!</v>
          </cell>
          <cell r="T475" t="e">
            <v>#DIV/0!</v>
          </cell>
          <cell r="U475" t="e">
            <v>#DIV/0!</v>
          </cell>
          <cell r="V475">
            <v>4150</v>
          </cell>
          <cell r="W475" t="e">
            <v>#DIV/0!</v>
          </cell>
          <cell r="X475"/>
          <cell r="Y475"/>
          <cell r="Z475"/>
          <cell r="AA475"/>
          <cell r="AB475"/>
          <cell r="AC475"/>
          <cell r="AD475">
            <v>1608.0582000000002</v>
          </cell>
          <cell r="AE475"/>
          <cell r="AF475">
            <v>1608.0582000000002</v>
          </cell>
          <cell r="AG475">
            <v>0.99991356850930369</v>
          </cell>
          <cell r="AH475">
            <v>5230.68686373952</v>
          </cell>
          <cell r="AI475">
            <v>1938.850713</v>
          </cell>
          <cell r="AJ475">
            <v>1891.6279199999999</v>
          </cell>
          <cell r="AK475">
            <v>2034.033334</v>
          </cell>
          <cell r="AL475">
            <v>1791.641959</v>
          </cell>
          <cell r="AM475">
            <v>1523.194213</v>
          </cell>
          <cell r="AN475">
            <v>3090.7087329999999</v>
          </cell>
          <cell r="AO475">
            <v>1516.617563</v>
          </cell>
          <cell r="AP475">
            <v>1137.3721519999999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3541.44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0.30609193841155724</v>
          </cell>
          <cell r="BH475">
            <v>5230.9929556779316</v>
          </cell>
          <cell r="BI475">
            <v>4150</v>
          </cell>
          <cell r="BJ475">
            <v>1.2604802302838389</v>
          </cell>
          <cell r="BK475">
            <v>1.2604064731902458</v>
          </cell>
          <cell r="BL475">
            <v>7.3757093593146327E-5</v>
          </cell>
        </row>
        <row r="476">
          <cell r="A476" t="str">
            <v>SIKKA REP. TPS4</v>
          </cell>
          <cell r="B476" t="str">
            <v>SIKKA REP. TPS</v>
          </cell>
          <cell r="C476">
            <v>250</v>
          </cell>
          <cell r="D476"/>
          <cell r="E476"/>
          <cell r="F476">
            <v>22.4222</v>
          </cell>
          <cell r="G476">
            <v>69.826899999999995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1</v>
          </cell>
          <cell r="O476">
            <v>0</v>
          </cell>
          <cell r="P476" t="e">
            <v>#DIV/0!</v>
          </cell>
          <cell r="Q476" t="e">
            <v>#DIV/0!</v>
          </cell>
          <cell r="R476" t="e">
            <v>#DIV/0!</v>
          </cell>
          <cell r="S476" t="e">
            <v>#DIV/0!</v>
          </cell>
          <cell r="T476" t="e">
            <v>#DIV/0!</v>
          </cell>
          <cell r="U476" t="e">
            <v>#DIV/0!</v>
          </cell>
          <cell r="V476">
            <v>4150</v>
          </cell>
          <cell r="W476" t="e">
            <v>#DIV/0!</v>
          </cell>
          <cell r="X476"/>
          <cell r="Y476"/>
          <cell r="Z476"/>
          <cell r="AA476"/>
          <cell r="AB476"/>
          <cell r="AC476"/>
          <cell r="AD476">
            <v>1608.0582000000002</v>
          </cell>
          <cell r="AE476"/>
          <cell r="AF476">
            <v>1608.0582000000002</v>
          </cell>
          <cell r="AG476">
            <v>0.99991356850930369</v>
          </cell>
          <cell r="AH476">
            <v>5230.68686373952</v>
          </cell>
          <cell r="AI476">
            <v>1938.850713</v>
          </cell>
          <cell r="AJ476">
            <v>1891.6279199999999</v>
          </cell>
          <cell r="AK476">
            <v>2034.033334</v>
          </cell>
          <cell r="AL476">
            <v>1791.641959</v>
          </cell>
          <cell r="AM476">
            <v>1523.194213</v>
          </cell>
          <cell r="AN476">
            <v>3090.7087329999999</v>
          </cell>
          <cell r="AO476">
            <v>1516.617563</v>
          </cell>
          <cell r="AP476">
            <v>1137.3721519999999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3541.44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0.30609193841155724</v>
          </cell>
          <cell r="BH476">
            <v>5230.9929556779316</v>
          </cell>
          <cell r="BI476">
            <v>4150</v>
          </cell>
          <cell r="BJ476">
            <v>1.2604802302838389</v>
          </cell>
          <cell r="BK476">
            <v>1.2604064731902458</v>
          </cell>
          <cell r="BL476">
            <v>7.3757093593146327E-5</v>
          </cell>
        </row>
        <row r="477">
          <cell r="A477" t="str">
            <v>SIMHAPURI TPS2</v>
          </cell>
          <cell r="B477" t="str">
            <v>SIMHAPURI TPS</v>
          </cell>
          <cell r="C477">
            <v>150</v>
          </cell>
          <cell r="D477"/>
          <cell r="E477" t="str">
            <v/>
          </cell>
          <cell r="F477">
            <v>14.2118</v>
          </cell>
          <cell r="G477">
            <v>80.09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4279.0292548546358</v>
          </cell>
          <cell r="X477"/>
          <cell r="Y477"/>
          <cell r="Z477"/>
          <cell r="AA477"/>
          <cell r="AB477"/>
          <cell r="AC477"/>
          <cell r="AD477"/>
          <cell r="AE477">
            <v>1608.0582000000002</v>
          </cell>
          <cell r="AF477">
            <v>1608.0582000000002</v>
          </cell>
          <cell r="AG477">
            <v>1</v>
          </cell>
          <cell r="AH477">
            <v>5231</v>
          </cell>
          <cell r="AI477">
            <v>1506.750503</v>
          </cell>
          <cell r="AJ477">
            <v>1449.9076250000001</v>
          </cell>
          <cell r="AK477">
            <v>1602.118512</v>
          </cell>
          <cell r="AL477">
            <v>1171.1966929999999</v>
          </cell>
          <cell r="AM477">
            <v>1438.7030580000001</v>
          </cell>
          <cell r="AN477">
            <v>2811.7982919999999</v>
          </cell>
          <cell r="AO477">
            <v>1139.392548</v>
          </cell>
          <cell r="AP477">
            <v>887.38323490000005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2304.1200000000003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5231</v>
          </cell>
          <cell r="BI477">
            <v>4279.0292548546358</v>
          </cell>
          <cell r="BJ477">
            <v>1.2224735304310752</v>
          </cell>
          <cell r="BK477">
            <v>1.2224735304310752</v>
          </cell>
          <cell r="BL477">
            <v>0</v>
          </cell>
        </row>
        <row r="478">
          <cell r="A478" t="str">
            <v>SIMHAPURI TPS3</v>
          </cell>
          <cell r="B478" t="str">
            <v>SIMHAPURI TPS</v>
          </cell>
          <cell r="C478">
            <v>150</v>
          </cell>
          <cell r="D478"/>
          <cell r="E478" t="str">
            <v/>
          </cell>
          <cell r="F478">
            <v>14.2118</v>
          </cell>
          <cell r="G478">
            <v>80.09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4279.0292548546358</v>
          </cell>
          <cell r="X478"/>
          <cell r="Y478"/>
          <cell r="Z478"/>
          <cell r="AA478"/>
          <cell r="AB478"/>
          <cell r="AC478"/>
          <cell r="AD478"/>
          <cell r="AE478">
            <v>1608.0582000000002</v>
          </cell>
          <cell r="AF478">
            <v>1608.0582000000002</v>
          </cell>
          <cell r="AG478">
            <v>1</v>
          </cell>
          <cell r="AH478">
            <v>5231</v>
          </cell>
          <cell r="AI478">
            <v>1506.750503</v>
          </cell>
          <cell r="AJ478">
            <v>1449.9076250000001</v>
          </cell>
          <cell r="AK478">
            <v>1602.118512</v>
          </cell>
          <cell r="AL478">
            <v>1171.1966929999999</v>
          </cell>
          <cell r="AM478">
            <v>1438.7030580000001</v>
          </cell>
          <cell r="AN478">
            <v>2811.7982919999999</v>
          </cell>
          <cell r="AO478">
            <v>1139.392548</v>
          </cell>
          <cell r="AP478">
            <v>887.38323490000005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2304.1200000000003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5231</v>
          </cell>
          <cell r="BI478">
            <v>4279.0292548546358</v>
          </cell>
          <cell r="BJ478">
            <v>1.2224735304310752</v>
          </cell>
          <cell r="BK478">
            <v>1.2224735304310752</v>
          </cell>
          <cell r="BL478">
            <v>0</v>
          </cell>
        </row>
        <row r="479">
          <cell r="A479" t="str">
            <v>SINGRAULI STPS1</v>
          </cell>
          <cell r="B479" t="str">
            <v>SINGRAULI STPS</v>
          </cell>
          <cell r="C479">
            <v>200</v>
          </cell>
          <cell r="D479" t="str">
            <v>PITHEAD</v>
          </cell>
          <cell r="E479">
            <v>0.33547695605573419</v>
          </cell>
          <cell r="F479">
            <v>24.104399999999998</v>
          </cell>
          <cell r="G479">
            <v>82.707499999999996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1</v>
          </cell>
          <cell r="M479">
            <v>0</v>
          </cell>
          <cell r="N479">
            <v>0</v>
          </cell>
          <cell r="O479">
            <v>0</v>
          </cell>
          <cell r="P479" t="e">
            <v>#DIV/0!</v>
          </cell>
          <cell r="Q479" t="e">
            <v>#DIV/0!</v>
          </cell>
          <cell r="R479" t="e">
            <v>#DIV/0!</v>
          </cell>
          <cell r="S479" t="e">
            <v>#DIV/0!</v>
          </cell>
          <cell r="T479">
            <v>4449.6383069062995</v>
          </cell>
          <cell r="U479" t="e">
            <v>#DIV/0!</v>
          </cell>
          <cell r="V479" t="e">
            <v>#DIV/0!</v>
          </cell>
          <cell r="W479" t="e">
            <v>#DIV/0!</v>
          </cell>
          <cell r="X479"/>
          <cell r="Y479"/>
          <cell r="Z479"/>
          <cell r="AA479"/>
          <cell r="AB479">
            <v>1693.8969600000003</v>
          </cell>
          <cell r="AC479"/>
          <cell r="AD479"/>
          <cell r="AE479"/>
          <cell r="AF479">
            <v>1693.8969600000003</v>
          </cell>
          <cell r="AG479">
            <v>0</v>
          </cell>
          <cell r="AH479">
            <v>1693.8969600000003</v>
          </cell>
          <cell r="AI479">
            <v>471.56829930000004</v>
          </cell>
          <cell r="AJ479">
            <v>470.3311258999999</v>
          </cell>
          <cell r="AK479">
            <v>571.73542970000005</v>
          </cell>
          <cell r="AL479">
            <v>570.72594759999993</v>
          </cell>
          <cell r="AM479">
            <v>46.421596339999994</v>
          </cell>
          <cell r="AN479">
            <v>1677.9807540000002</v>
          </cell>
          <cell r="AO479">
            <v>359.0221785999999</v>
          </cell>
          <cell r="AP479">
            <v>662.0684291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118.39775103715822</v>
          </cell>
          <cell r="BD479">
            <v>0</v>
          </cell>
          <cell r="BE479">
            <v>0</v>
          </cell>
          <cell r="BF479">
            <v>0</v>
          </cell>
          <cell r="BG479">
            <v>118.39775103715822</v>
          </cell>
          <cell r="BH479">
            <v>1812.2947110371585</v>
          </cell>
          <cell r="BI479">
            <v>4449.6383069062995</v>
          </cell>
          <cell r="BJ479">
            <v>0.40729034272837178</v>
          </cell>
          <cell r="BK479">
            <v>0.38068194382696158</v>
          </cell>
          <cell r="BL479">
            <v>2.6608398901410178E-2</v>
          </cell>
        </row>
        <row r="480">
          <cell r="A480" t="str">
            <v>SINGRAULI STPS2</v>
          </cell>
          <cell r="B480" t="str">
            <v>SINGRAULI STPS</v>
          </cell>
          <cell r="C480">
            <v>200</v>
          </cell>
          <cell r="D480" t="str">
            <v>PITHEAD</v>
          </cell>
          <cell r="E480">
            <v>0.33547695605573419</v>
          </cell>
          <cell r="F480">
            <v>24.104399999999998</v>
          </cell>
          <cell r="G480">
            <v>82.707499999999996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1</v>
          </cell>
          <cell r="M480">
            <v>0</v>
          </cell>
          <cell r="N480">
            <v>0</v>
          </cell>
          <cell r="O480">
            <v>0</v>
          </cell>
          <cell r="P480" t="e">
            <v>#DIV/0!</v>
          </cell>
          <cell r="Q480" t="e">
            <v>#DIV/0!</v>
          </cell>
          <cell r="R480" t="e">
            <v>#DIV/0!</v>
          </cell>
          <cell r="S480" t="e">
            <v>#DIV/0!</v>
          </cell>
          <cell r="T480">
            <v>4449.6383069062995</v>
          </cell>
          <cell r="U480" t="e">
            <v>#DIV/0!</v>
          </cell>
          <cell r="V480" t="e">
            <v>#DIV/0!</v>
          </cell>
          <cell r="W480" t="e">
            <v>#DIV/0!</v>
          </cell>
          <cell r="X480"/>
          <cell r="Y480"/>
          <cell r="Z480"/>
          <cell r="AA480"/>
          <cell r="AB480">
            <v>1693.8969600000003</v>
          </cell>
          <cell r="AC480"/>
          <cell r="AD480"/>
          <cell r="AE480"/>
          <cell r="AF480">
            <v>1693.8969600000003</v>
          </cell>
          <cell r="AG480">
            <v>0</v>
          </cell>
          <cell r="AH480">
            <v>1693.8969600000003</v>
          </cell>
          <cell r="AI480">
            <v>471.56829930000004</v>
          </cell>
          <cell r="AJ480">
            <v>470.3311258999999</v>
          </cell>
          <cell r="AK480">
            <v>571.73542970000005</v>
          </cell>
          <cell r="AL480">
            <v>570.72594759999993</v>
          </cell>
          <cell r="AM480">
            <v>46.421596339999994</v>
          </cell>
          <cell r="AN480">
            <v>1677.9807540000002</v>
          </cell>
          <cell r="AO480">
            <v>359.0221785999999</v>
          </cell>
          <cell r="AP480">
            <v>662.0684291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118.39775103715822</v>
          </cell>
          <cell r="BD480">
            <v>0</v>
          </cell>
          <cell r="BE480">
            <v>0</v>
          </cell>
          <cell r="BF480">
            <v>0</v>
          </cell>
          <cell r="BG480">
            <v>118.39775103715822</v>
          </cell>
          <cell r="BH480">
            <v>1812.2947110371585</v>
          </cell>
          <cell r="BI480">
            <v>4449.6383069062995</v>
          </cell>
          <cell r="BJ480">
            <v>0.40729034272837178</v>
          </cell>
          <cell r="BK480">
            <v>0.38068194382696158</v>
          </cell>
          <cell r="BL480">
            <v>2.6608398901410178E-2</v>
          </cell>
        </row>
        <row r="481">
          <cell r="A481" t="str">
            <v>SINGRAULI STPS3</v>
          </cell>
          <cell r="B481" t="str">
            <v>SINGRAULI STPS</v>
          </cell>
          <cell r="C481">
            <v>200</v>
          </cell>
          <cell r="D481" t="str">
            <v>PITHEAD</v>
          </cell>
          <cell r="E481">
            <v>0.33547695605573419</v>
          </cell>
          <cell r="F481">
            <v>24.104399999999998</v>
          </cell>
          <cell r="G481">
            <v>82.707499999999996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1</v>
          </cell>
          <cell r="M481">
            <v>0</v>
          </cell>
          <cell r="N481">
            <v>0</v>
          </cell>
          <cell r="O481">
            <v>0</v>
          </cell>
          <cell r="P481" t="e">
            <v>#DIV/0!</v>
          </cell>
          <cell r="Q481" t="e">
            <v>#DIV/0!</v>
          </cell>
          <cell r="R481" t="e">
            <v>#DIV/0!</v>
          </cell>
          <cell r="S481" t="e">
            <v>#DIV/0!</v>
          </cell>
          <cell r="T481">
            <v>4449.6383069062995</v>
          </cell>
          <cell r="U481" t="e">
            <v>#DIV/0!</v>
          </cell>
          <cell r="V481" t="e">
            <v>#DIV/0!</v>
          </cell>
          <cell r="W481" t="e">
            <v>#DIV/0!</v>
          </cell>
          <cell r="X481"/>
          <cell r="Y481"/>
          <cell r="Z481"/>
          <cell r="AA481"/>
          <cell r="AB481">
            <v>1693.8969600000003</v>
          </cell>
          <cell r="AC481"/>
          <cell r="AD481"/>
          <cell r="AE481"/>
          <cell r="AF481">
            <v>1693.8969600000003</v>
          </cell>
          <cell r="AG481">
            <v>0</v>
          </cell>
          <cell r="AH481">
            <v>1693.8969600000003</v>
          </cell>
          <cell r="AI481">
            <v>471.56829930000004</v>
          </cell>
          <cell r="AJ481">
            <v>470.3311258999999</v>
          </cell>
          <cell r="AK481">
            <v>571.73542970000005</v>
          </cell>
          <cell r="AL481">
            <v>570.72594759999993</v>
          </cell>
          <cell r="AM481">
            <v>46.421596339999994</v>
          </cell>
          <cell r="AN481">
            <v>1677.9807540000002</v>
          </cell>
          <cell r="AO481">
            <v>359.0221785999999</v>
          </cell>
          <cell r="AP481">
            <v>662.0684291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118.39775103715822</v>
          </cell>
          <cell r="BD481">
            <v>0</v>
          </cell>
          <cell r="BE481">
            <v>0</v>
          </cell>
          <cell r="BF481">
            <v>0</v>
          </cell>
          <cell r="BG481">
            <v>118.39775103715822</v>
          </cell>
          <cell r="BH481">
            <v>1812.2947110371585</v>
          </cell>
          <cell r="BI481">
            <v>4449.6383069062995</v>
          </cell>
          <cell r="BJ481">
            <v>0.40729034272837178</v>
          </cell>
          <cell r="BK481">
            <v>0.38068194382696158</v>
          </cell>
          <cell r="BL481">
            <v>2.6608398901410178E-2</v>
          </cell>
        </row>
        <row r="482">
          <cell r="A482" t="str">
            <v>SINGRAULI STPS4</v>
          </cell>
          <cell r="B482" t="str">
            <v>SINGRAULI STPS</v>
          </cell>
          <cell r="C482">
            <v>200</v>
          </cell>
          <cell r="D482" t="str">
            <v>PITHEAD</v>
          </cell>
          <cell r="E482">
            <v>0.33547695605573419</v>
          </cell>
          <cell r="F482">
            <v>24.104399999999998</v>
          </cell>
          <cell r="G482">
            <v>82.707499999999996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1</v>
          </cell>
          <cell r="M482">
            <v>0</v>
          </cell>
          <cell r="N482">
            <v>0</v>
          </cell>
          <cell r="O482">
            <v>0</v>
          </cell>
          <cell r="P482" t="e">
            <v>#DIV/0!</v>
          </cell>
          <cell r="Q482" t="e">
            <v>#DIV/0!</v>
          </cell>
          <cell r="R482" t="e">
            <v>#DIV/0!</v>
          </cell>
          <cell r="S482" t="e">
            <v>#DIV/0!</v>
          </cell>
          <cell r="T482">
            <v>4449.6383069062995</v>
          </cell>
          <cell r="U482" t="e">
            <v>#DIV/0!</v>
          </cell>
          <cell r="V482" t="e">
            <v>#DIV/0!</v>
          </cell>
          <cell r="W482" t="e">
            <v>#DIV/0!</v>
          </cell>
          <cell r="X482"/>
          <cell r="Y482"/>
          <cell r="Z482"/>
          <cell r="AA482"/>
          <cell r="AB482">
            <v>1693.8969600000003</v>
          </cell>
          <cell r="AC482"/>
          <cell r="AD482"/>
          <cell r="AE482"/>
          <cell r="AF482">
            <v>1693.8969600000003</v>
          </cell>
          <cell r="AG482">
            <v>0</v>
          </cell>
          <cell r="AH482">
            <v>1693.8969600000003</v>
          </cell>
          <cell r="AI482">
            <v>471.56829930000004</v>
          </cell>
          <cell r="AJ482">
            <v>470.3311258999999</v>
          </cell>
          <cell r="AK482">
            <v>571.73542970000005</v>
          </cell>
          <cell r="AL482">
            <v>570.72594759999993</v>
          </cell>
          <cell r="AM482">
            <v>46.421596339999994</v>
          </cell>
          <cell r="AN482">
            <v>1677.9807540000002</v>
          </cell>
          <cell r="AO482">
            <v>359.0221785999999</v>
          </cell>
          <cell r="AP482">
            <v>662.0684291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118.39775103715822</v>
          </cell>
          <cell r="BD482">
            <v>0</v>
          </cell>
          <cell r="BE482">
            <v>0</v>
          </cell>
          <cell r="BF482">
            <v>0</v>
          </cell>
          <cell r="BG482">
            <v>118.39775103715822</v>
          </cell>
          <cell r="BH482">
            <v>1812.2947110371585</v>
          </cell>
          <cell r="BI482">
            <v>4449.6383069062995</v>
          </cell>
          <cell r="BJ482">
            <v>0.40729034272837178</v>
          </cell>
          <cell r="BK482">
            <v>0.38068194382696158</v>
          </cell>
          <cell r="BL482">
            <v>2.6608398901410178E-2</v>
          </cell>
        </row>
        <row r="483">
          <cell r="A483" t="str">
            <v>SINGRAULI STPS5</v>
          </cell>
          <cell r="B483" t="str">
            <v>SINGRAULI STPS</v>
          </cell>
          <cell r="C483">
            <v>200</v>
          </cell>
          <cell r="D483" t="str">
            <v>PITHEAD</v>
          </cell>
          <cell r="E483">
            <v>0.33547695605573419</v>
          </cell>
          <cell r="F483">
            <v>24.104399999999998</v>
          </cell>
          <cell r="G483">
            <v>82.707499999999996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1</v>
          </cell>
          <cell r="M483">
            <v>0</v>
          </cell>
          <cell r="N483">
            <v>0</v>
          </cell>
          <cell r="O483">
            <v>0</v>
          </cell>
          <cell r="P483" t="e">
            <v>#DIV/0!</v>
          </cell>
          <cell r="Q483" t="e">
            <v>#DIV/0!</v>
          </cell>
          <cell r="R483" t="e">
            <v>#DIV/0!</v>
          </cell>
          <cell r="S483" t="e">
            <v>#DIV/0!</v>
          </cell>
          <cell r="T483">
            <v>4449.6383069062995</v>
          </cell>
          <cell r="U483" t="e">
            <v>#DIV/0!</v>
          </cell>
          <cell r="V483" t="e">
            <v>#DIV/0!</v>
          </cell>
          <cell r="W483" t="e">
            <v>#DIV/0!</v>
          </cell>
          <cell r="X483"/>
          <cell r="Y483"/>
          <cell r="Z483"/>
          <cell r="AA483"/>
          <cell r="AB483">
            <v>1693.8969600000003</v>
          </cell>
          <cell r="AC483"/>
          <cell r="AD483"/>
          <cell r="AE483"/>
          <cell r="AF483">
            <v>1693.8969600000003</v>
          </cell>
          <cell r="AG483">
            <v>0</v>
          </cell>
          <cell r="AH483">
            <v>1693.8969600000003</v>
          </cell>
          <cell r="AI483">
            <v>471.56829930000004</v>
          </cell>
          <cell r="AJ483">
            <v>470.3311258999999</v>
          </cell>
          <cell r="AK483">
            <v>571.73542970000005</v>
          </cell>
          <cell r="AL483">
            <v>570.72594759999993</v>
          </cell>
          <cell r="AM483">
            <v>46.421596339999994</v>
          </cell>
          <cell r="AN483">
            <v>1677.9807540000002</v>
          </cell>
          <cell r="AO483">
            <v>359.0221785999999</v>
          </cell>
          <cell r="AP483">
            <v>662.0684291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118.39775103715822</v>
          </cell>
          <cell r="BD483">
            <v>0</v>
          </cell>
          <cell r="BE483">
            <v>0</v>
          </cell>
          <cell r="BF483">
            <v>0</v>
          </cell>
          <cell r="BG483">
            <v>118.39775103715822</v>
          </cell>
          <cell r="BH483">
            <v>1812.2947110371585</v>
          </cell>
          <cell r="BI483">
            <v>4449.6383069062995</v>
          </cell>
          <cell r="BJ483">
            <v>0.40729034272837178</v>
          </cell>
          <cell r="BK483">
            <v>0.38068194382696158</v>
          </cell>
          <cell r="BL483">
            <v>2.6608398901410178E-2</v>
          </cell>
        </row>
        <row r="484">
          <cell r="A484" t="str">
            <v>SOUTHERN REPL. TPS1</v>
          </cell>
          <cell r="B484" t="str">
            <v>SOUTHERN REPL. TPS</v>
          </cell>
          <cell r="C484">
            <v>68</v>
          </cell>
          <cell r="D484" t="str">
            <v>RAIL</v>
          </cell>
          <cell r="E484">
            <v>0.99849473156046165</v>
          </cell>
          <cell r="F484">
            <v>22.5488</v>
          </cell>
          <cell r="G484">
            <v>88.292599999999993</v>
          </cell>
          <cell r="H484">
            <v>0.32539366459565644</v>
          </cell>
          <cell r="I484">
            <v>0</v>
          </cell>
          <cell r="J484">
            <v>0.67460633540434356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4137.8475705614665</v>
          </cell>
          <cell r="Q484" t="e">
            <v>#DIV/0!</v>
          </cell>
          <cell r="R484">
            <v>5889.5983349904373</v>
          </cell>
          <cell r="S484" t="e">
            <v>#DIV/0!</v>
          </cell>
          <cell r="T484" t="e">
            <v>#DIV/0!</v>
          </cell>
          <cell r="U484" t="e">
            <v>#DIV/0!</v>
          </cell>
          <cell r="V484" t="e">
            <v>#DIV/0!</v>
          </cell>
          <cell r="W484" t="e">
            <v>#DIV/0!</v>
          </cell>
          <cell r="X484">
            <v>523.25195058109512</v>
          </cell>
          <cell r="Y484"/>
          <cell r="Z484">
            <v>2580.3270565335251</v>
          </cell>
          <cell r="AA484"/>
          <cell r="AB484"/>
          <cell r="AC484"/>
          <cell r="AD484"/>
          <cell r="AE484"/>
          <cell r="AF484">
            <v>3103.5790071146203</v>
          </cell>
          <cell r="AG484">
            <v>0</v>
          </cell>
          <cell r="AH484">
            <v>3103.5790071146203</v>
          </cell>
          <cell r="AI484">
            <v>267.7237093</v>
          </cell>
          <cell r="AJ484">
            <v>343.26042000000001</v>
          </cell>
          <cell r="AK484">
            <v>253.698272</v>
          </cell>
          <cell r="AL484">
            <v>453.10717670000002</v>
          </cell>
          <cell r="AM484">
            <v>685.56391839999992</v>
          </cell>
          <cell r="AN484">
            <v>1438.480769</v>
          </cell>
          <cell r="AO484">
            <v>690.47391890000006</v>
          </cell>
          <cell r="AP484">
            <v>1046.7646299999999</v>
          </cell>
          <cell r="AQ484">
            <v>313.30528995592783</v>
          </cell>
          <cell r="AR484">
            <v>0</v>
          </cell>
          <cell r="AS484">
            <v>649.54471004407219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962.85</v>
          </cell>
          <cell r="BH484">
            <v>4066.4290071146202</v>
          </cell>
          <cell r="BI484">
            <v>5319.5897342946537</v>
          </cell>
          <cell r="BJ484">
            <v>0.76442530537626219</v>
          </cell>
          <cell r="BK484">
            <v>0.58342450492117448</v>
          </cell>
          <cell r="BL484">
            <v>0.18100080045508779</v>
          </cell>
        </row>
        <row r="485">
          <cell r="A485" t="str">
            <v>SOUTHERN REPL. TPS2</v>
          </cell>
          <cell r="B485" t="str">
            <v>SOUTHERN REPL. TPS</v>
          </cell>
          <cell r="C485">
            <v>68</v>
          </cell>
          <cell r="D485" t="str">
            <v>RAIL</v>
          </cell>
          <cell r="E485">
            <v>0.99849473156046165</v>
          </cell>
          <cell r="F485">
            <v>22.5488</v>
          </cell>
          <cell r="G485">
            <v>88.292599999999993</v>
          </cell>
          <cell r="H485">
            <v>0.32539366459565644</v>
          </cell>
          <cell r="I485">
            <v>0</v>
          </cell>
          <cell r="J485">
            <v>0.67460633540434356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4137.8475705614665</v>
          </cell>
          <cell r="Q485" t="e">
            <v>#DIV/0!</v>
          </cell>
          <cell r="R485">
            <v>5889.5983349904373</v>
          </cell>
          <cell r="S485" t="e">
            <v>#DIV/0!</v>
          </cell>
          <cell r="T485" t="e">
            <v>#DIV/0!</v>
          </cell>
          <cell r="U485" t="e">
            <v>#DIV/0!</v>
          </cell>
          <cell r="V485" t="e">
            <v>#DIV/0!</v>
          </cell>
          <cell r="W485" t="e">
            <v>#DIV/0!</v>
          </cell>
          <cell r="X485">
            <v>523.25195058109512</v>
          </cell>
          <cell r="Y485"/>
          <cell r="Z485">
            <v>2580.3270565335251</v>
          </cell>
          <cell r="AA485"/>
          <cell r="AB485"/>
          <cell r="AC485"/>
          <cell r="AD485"/>
          <cell r="AE485"/>
          <cell r="AF485">
            <v>3103.5790071146203</v>
          </cell>
          <cell r="AG485">
            <v>0</v>
          </cell>
          <cell r="AH485">
            <v>3103.5790071146203</v>
          </cell>
          <cell r="AI485">
            <v>267.7237093</v>
          </cell>
          <cell r="AJ485">
            <v>343.26042000000001</v>
          </cell>
          <cell r="AK485">
            <v>253.698272</v>
          </cell>
          <cell r="AL485">
            <v>453.10717670000002</v>
          </cell>
          <cell r="AM485">
            <v>685.56391839999992</v>
          </cell>
          <cell r="AN485">
            <v>1438.480769</v>
          </cell>
          <cell r="AO485">
            <v>690.47391890000006</v>
          </cell>
          <cell r="AP485">
            <v>1046.7646299999999</v>
          </cell>
          <cell r="AQ485">
            <v>313.30528995592783</v>
          </cell>
          <cell r="AR485">
            <v>0</v>
          </cell>
          <cell r="AS485">
            <v>649.54471004407219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962.85</v>
          </cell>
          <cell r="BH485">
            <v>4066.4290071146202</v>
          </cell>
          <cell r="BI485">
            <v>5319.5897342946537</v>
          </cell>
          <cell r="BJ485">
            <v>0.76442530537626219</v>
          </cell>
          <cell r="BK485">
            <v>0.58342450492117448</v>
          </cell>
          <cell r="BL485">
            <v>0.18100080045508779</v>
          </cell>
        </row>
        <row r="486">
          <cell r="A486" t="str">
            <v>SURATGARH TPS1</v>
          </cell>
          <cell r="B486" t="str">
            <v>SURATGARH TPS</v>
          </cell>
          <cell r="C486">
            <v>250</v>
          </cell>
          <cell r="D486" t="str">
            <v>RAIL</v>
          </cell>
          <cell r="E486">
            <v>1.2932692307692308</v>
          </cell>
          <cell r="F486">
            <v>29.182600000000001</v>
          </cell>
          <cell r="G486">
            <v>74.016800000000003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0.27808640256582379</v>
          </cell>
          <cell r="M486">
            <v>0</v>
          </cell>
          <cell r="N486">
            <v>0.72191359743417627</v>
          </cell>
          <cell r="O486">
            <v>0</v>
          </cell>
          <cell r="P486" t="e">
            <v>#DIV/0!</v>
          </cell>
          <cell r="Q486" t="e">
            <v>#DIV/0!</v>
          </cell>
          <cell r="R486" t="e">
            <v>#DIV/0!</v>
          </cell>
          <cell r="S486" t="e">
            <v>#DIV/0!</v>
          </cell>
          <cell r="T486">
            <v>4567.4556401266773</v>
          </cell>
          <cell r="U486" t="e">
            <v>#DIV/0!</v>
          </cell>
          <cell r="V486">
            <v>4608.003791838215</v>
          </cell>
          <cell r="W486" t="e">
            <v>#DIV/0!</v>
          </cell>
          <cell r="X486"/>
          <cell r="Y486"/>
          <cell r="Z486"/>
          <cell r="AA486"/>
          <cell r="AB486">
            <v>471.04971192358516</v>
          </cell>
          <cell r="AC486"/>
          <cell r="AD486">
            <v>1327.0256175196484</v>
          </cell>
          <cell r="AE486"/>
          <cell r="AF486">
            <v>1798.0753294432336</v>
          </cell>
          <cell r="AG486">
            <v>0</v>
          </cell>
          <cell r="AH486">
            <v>1798.0753294432336</v>
          </cell>
          <cell r="AI486">
            <v>1493.750305</v>
          </cell>
          <cell r="AJ486">
            <v>1490.3376270000001</v>
          </cell>
          <cell r="AK486">
            <v>1588.932926</v>
          </cell>
          <cell r="AL486">
            <v>1679.0878419999999</v>
          </cell>
          <cell r="AM486">
            <v>1208.5835999999999</v>
          </cell>
          <cell r="AN486">
            <v>2637.7587890000004</v>
          </cell>
          <cell r="AO486">
            <v>1380.4860470000001</v>
          </cell>
          <cell r="AP486">
            <v>1198.3723480000001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823.78758612245281</v>
          </cell>
          <cell r="AV486">
            <v>0</v>
          </cell>
          <cell r="AW486">
            <v>2387.0621753495088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3210.8497614719618</v>
          </cell>
          <cell r="BH486">
            <v>5008.9250909151951</v>
          </cell>
          <cell r="BI486">
            <v>4596.7279021980594</v>
          </cell>
          <cell r="BJ486">
            <v>1.0896718704015593</v>
          </cell>
          <cell r="BK486">
            <v>0.39116418628638677</v>
          </cell>
          <cell r="BL486">
            <v>0.6985076841151725</v>
          </cell>
        </row>
        <row r="487">
          <cell r="A487" t="str">
            <v>SURATGARH TPS2</v>
          </cell>
          <cell r="B487" t="str">
            <v>SURATGARH TPS</v>
          </cell>
          <cell r="C487">
            <v>250</v>
          </cell>
          <cell r="D487" t="str">
            <v>RAIL</v>
          </cell>
          <cell r="E487">
            <v>1.2932692307692308</v>
          </cell>
          <cell r="F487">
            <v>29.182600000000001</v>
          </cell>
          <cell r="G487">
            <v>74.016800000000003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0.27808640256582379</v>
          </cell>
          <cell r="M487">
            <v>0</v>
          </cell>
          <cell r="N487">
            <v>0.72191359743417627</v>
          </cell>
          <cell r="O487">
            <v>0</v>
          </cell>
          <cell r="P487" t="e">
            <v>#DIV/0!</v>
          </cell>
          <cell r="Q487" t="e">
            <v>#DIV/0!</v>
          </cell>
          <cell r="R487" t="e">
            <v>#DIV/0!</v>
          </cell>
          <cell r="S487" t="e">
            <v>#DIV/0!</v>
          </cell>
          <cell r="T487">
            <v>4567.4556401266773</v>
          </cell>
          <cell r="U487" t="e">
            <v>#DIV/0!</v>
          </cell>
          <cell r="V487">
            <v>4608.003791838215</v>
          </cell>
          <cell r="W487" t="e">
            <v>#DIV/0!</v>
          </cell>
          <cell r="X487"/>
          <cell r="Y487"/>
          <cell r="Z487"/>
          <cell r="AA487"/>
          <cell r="AB487">
            <v>471.04971192358516</v>
          </cell>
          <cell r="AC487"/>
          <cell r="AD487">
            <v>1327.0256175196484</v>
          </cell>
          <cell r="AE487"/>
          <cell r="AF487">
            <v>1798.0753294432336</v>
          </cell>
          <cell r="AG487">
            <v>0</v>
          </cell>
          <cell r="AH487">
            <v>1798.0753294432336</v>
          </cell>
          <cell r="AI487">
            <v>1493.750305</v>
          </cell>
          <cell r="AJ487">
            <v>1490.3376270000001</v>
          </cell>
          <cell r="AK487">
            <v>1588.932926</v>
          </cell>
          <cell r="AL487">
            <v>1679.0878419999999</v>
          </cell>
          <cell r="AM487">
            <v>1208.5835999999999</v>
          </cell>
          <cell r="AN487">
            <v>2637.7587890000004</v>
          </cell>
          <cell r="AO487">
            <v>1380.4860470000001</v>
          </cell>
          <cell r="AP487">
            <v>1198.3723480000001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823.78758612245281</v>
          </cell>
          <cell r="AV487">
            <v>0</v>
          </cell>
          <cell r="AW487">
            <v>2387.0621753495088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3210.8497614719618</v>
          </cell>
          <cell r="BH487">
            <v>5008.9250909151951</v>
          </cell>
          <cell r="BI487">
            <v>4596.7279021980594</v>
          </cell>
          <cell r="BJ487">
            <v>1.0896718704015593</v>
          </cell>
          <cell r="BK487">
            <v>0.39116418628638677</v>
          </cell>
          <cell r="BL487">
            <v>0.6985076841151725</v>
          </cell>
        </row>
        <row r="488">
          <cell r="A488" t="str">
            <v>SURATGARH TPS3</v>
          </cell>
          <cell r="B488" t="str">
            <v>SURATGARH TPS</v>
          </cell>
          <cell r="C488">
            <v>250</v>
          </cell>
          <cell r="D488" t="str">
            <v>RAIL</v>
          </cell>
          <cell r="E488">
            <v>1.2932692307692308</v>
          </cell>
          <cell r="F488">
            <v>29.182600000000001</v>
          </cell>
          <cell r="G488">
            <v>74.016800000000003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0.27808640256582379</v>
          </cell>
          <cell r="M488">
            <v>0</v>
          </cell>
          <cell r="N488">
            <v>0.72191359743417627</v>
          </cell>
          <cell r="O488">
            <v>0</v>
          </cell>
          <cell r="P488" t="e">
            <v>#DIV/0!</v>
          </cell>
          <cell r="Q488" t="e">
            <v>#DIV/0!</v>
          </cell>
          <cell r="R488" t="e">
            <v>#DIV/0!</v>
          </cell>
          <cell r="S488" t="e">
            <v>#DIV/0!</v>
          </cell>
          <cell r="T488">
            <v>4567.4556401266773</v>
          </cell>
          <cell r="U488" t="e">
            <v>#DIV/0!</v>
          </cell>
          <cell r="V488">
            <v>4608.003791838215</v>
          </cell>
          <cell r="W488" t="e">
            <v>#DIV/0!</v>
          </cell>
          <cell r="X488"/>
          <cell r="Y488"/>
          <cell r="Z488"/>
          <cell r="AA488"/>
          <cell r="AB488">
            <v>471.04971192358516</v>
          </cell>
          <cell r="AC488"/>
          <cell r="AD488">
            <v>1327.0256175196484</v>
          </cell>
          <cell r="AE488"/>
          <cell r="AF488">
            <v>1798.0753294432336</v>
          </cell>
          <cell r="AG488">
            <v>0</v>
          </cell>
          <cell r="AH488">
            <v>1798.0753294432336</v>
          </cell>
          <cell r="AI488">
            <v>1493.750305</v>
          </cell>
          <cell r="AJ488">
            <v>1490.3376270000001</v>
          </cell>
          <cell r="AK488">
            <v>1588.932926</v>
          </cell>
          <cell r="AL488">
            <v>1679.0878419999999</v>
          </cell>
          <cell r="AM488">
            <v>1208.5835999999999</v>
          </cell>
          <cell r="AN488">
            <v>2637.7587890000004</v>
          </cell>
          <cell r="AO488">
            <v>1380.4860470000001</v>
          </cell>
          <cell r="AP488">
            <v>1198.3723480000001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823.78758612245281</v>
          </cell>
          <cell r="AV488">
            <v>0</v>
          </cell>
          <cell r="AW488">
            <v>2387.0621753495088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3210.8497614719618</v>
          </cell>
          <cell r="BH488">
            <v>5008.9250909151951</v>
          </cell>
          <cell r="BI488">
            <v>4596.7279021980594</v>
          </cell>
          <cell r="BJ488">
            <v>1.0896718704015593</v>
          </cell>
          <cell r="BK488">
            <v>0.39116418628638677</v>
          </cell>
          <cell r="BL488">
            <v>0.6985076841151725</v>
          </cell>
        </row>
        <row r="489">
          <cell r="A489" t="str">
            <v>SURATGARH TPS4</v>
          </cell>
          <cell r="B489" t="str">
            <v>SURATGARH TPS</v>
          </cell>
          <cell r="C489">
            <v>250</v>
          </cell>
          <cell r="D489" t="str">
            <v>RAIL</v>
          </cell>
          <cell r="E489">
            <v>1.2932692307692308</v>
          </cell>
          <cell r="F489">
            <v>29.182600000000001</v>
          </cell>
          <cell r="G489">
            <v>74.016800000000003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0.27808640256582379</v>
          </cell>
          <cell r="M489">
            <v>0</v>
          </cell>
          <cell r="N489">
            <v>0.72191359743417627</v>
          </cell>
          <cell r="O489">
            <v>0</v>
          </cell>
          <cell r="P489" t="e">
            <v>#DIV/0!</v>
          </cell>
          <cell r="Q489" t="e">
            <v>#DIV/0!</v>
          </cell>
          <cell r="R489" t="e">
            <v>#DIV/0!</v>
          </cell>
          <cell r="S489" t="e">
            <v>#DIV/0!</v>
          </cell>
          <cell r="T489">
            <v>4567.4556401266773</v>
          </cell>
          <cell r="U489" t="e">
            <v>#DIV/0!</v>
          </cell>
          <cell r="V489">
            <v>4608.003791838215</v>
          </cell>
          <cell r="W489" t="e">
            <v>#DIV/0!</v>
          </cell>
          <cell r="X489"/>
          <cell r="Y489"/>
          <cell r="Z489"/>
          <cell r="AA489"/>
          <cell r="AB489">
            <v>471.04971192358516</v>
          </cell>
          <cell r="AC489"/>
          <cell r="AD489">
            <v>1327.0256175196484</v>
          </cell>
          <cell r="AE489"/>
          <cell r="AF489">
            <v>1798.0753294432336</v>
          </cell>
          <cell r="AG489">
            <v>0</v>
          </cell>
          <cell r="AH489">
            <v>1798.0753294432336</v>
          </cell>
          <cell r="AI489">
            <v>1493.750305</v>
          </cell>
          <cell r="AJ489">
            <v>1490.3376270000001</v>
          </cell>
          <cell r="AK489">
            <v>1588.932926</v>
          </cell>
          <cell r="AL489">
            <v>1679.0878419999999</v>
          </cell>
          <cell r="AM489">
            <v>1208.5835999999999</v>
          </cell>
          <cell r="AN489">
            <v>2637.7587890000004</v>
          </cell>
          <cell r="AO489">
            <v>1380.4860470000001</v>
          </cell>
          <cell r="AP489">
            <v>1198.3723480000001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823.78758612245281</v>
          </cell>
          <cell r="AV489">
            <v>0</v>
          </cell>
          <cell r="AW489">
            <v>2387.0621753495088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3210.8497614719618</v>
          </cell>
          <cell r="BH489">
            <v>5008.9250909151951</v>
          </cell>
          <cell r="BI489">
            <v>4596.7279021980594</v>
          </cell>
          <cell r="BJ489">
            <v>1.0896718704015593</v>
          </cell>
          <cell r="BK489">
            <v>0.39116418628638677</v>
          </cell>
          <cell r="BL489">
            <v>0.6985076841151725</v>
          </cell>
        </row>
        <row r="490">
          <cell r="A490" t="str">
            <v>SURATGARH TPS5</v>
          </cell>
          <cell r="B490" t="str">
            <v>SURATGARH TPS</v>
          </cell>
          <cell r="C490">
            <v>250</v>
          </cell>
          <cell r="D490" t="str">
            <v>RAIL</v>
          </cell>
          <cell r="E490">
            <v>1.2932692307692308</v>
          </cell>
          <cell r="F490">
            <v>29.182600000000001</v>
          </cell>
          <cell r="G490">
            <v>74.016800000000003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0.27808640256582379</v>
          </cell>
          <cell r="M490">
            <v>0</v>
          </cell>
          <cell r="N490">
            <v>0.72191359743417627</v>
          </cell>
          <cell r="O490">
            <v>0</v>
          </cell>
          <cell r="P490" t="e">
            <v>#DIV/0!</v>
          </cell>
          <cell r="Q490" t="e">
            <v>#DIV/0!</v>
          </cell>
          <cell r="R490" t="e">
            <v>#DIV/0!</v>
          </cell>
          <cell r="S490" t="e">
            <v>#DIV/0!</v>
          </cell>
          <cell r="T490">
            <v>4567.4556401266773</v>
          </cell>
          <cell r="U490" t="e">
            <v>#DIV/0!</v>
          </cell>
          <cell r="V490">
            <v>4608.003791838215</v>
          </cell>
          <cell r="W490" t="e">
            <v>#DIV/0!</v>
          </cell>
          <cell r="X490"/>
          <cell r="Y490"/>
          <cell r="Z490"/>
          <cell r="AA490"/>
          <cell r="AB490">
            <v>471.04971192358516</v>
          </cell>
          <cell r="AC490"/>
          <cell r="AD490">
            <v>1327.0256175196484</v>
          </cell>
          <cell r="AE490"/>
          <cell r="AF490">
            <v>1798.0753294432336</v>
          </cell>
          <cell r="AG490">
            <v>0</v>
          </cell>
          <cell r="AH490">
            <v>1798.0753294432336</v>
          </cell>
          <cell r="AI490">
            <v>1493.750305</v>
          </cell>
          <cell r="AJ490">
            <v>1490.3376270000001</v>
          </cell>
          <cell r="AK490">
            <v>1588.932926</v>
          </cell>
          <cell r="AL490">
            <v>1679.0878419999999</v>
          </cell>
          <cell r="AM490">
            <v>1208.5835999999999</v>
          </cell>
          <cell r="AN490">
            <v>2637.7587890000004</v>
          </cell>
          <cell r="AO490">
            <v>1380.4860470000001</v>
          </cell>
          <cell r="AP490">
            <v>1198.3723480000001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823.78758612245281</v>
          </cell>
          <cell r="AV490">
            <v>0</v>
          </cell>
          <cell r="AW490">
            <v>2387.0621753495088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3210.8497614719618</v>
          </cell>
          <cell r="BH490">
            <v>5008.9250909151951</v>
          </cell>
          <cell r="BI490">
            <v>4596.7279021980594</v>
          </cell>
          <cell r="BJ490">
            <v>1.0896718704015593</v>
          </cell>
          <cell r="BK490">
            <v>0.39116418628638677</v>
          </cell>
          <cell r="BL490">
            <v>0.6985076841151725</v>
          </cell>
        </row>
        <row r="491">
          <cell r="A491" t="str">
            <v>SURATGARH TPS6</v>
          </cell>
          <cell r="B491" t="str">
            <v>SURATGARH TPS</v>
          </cell>
          <cell r="C491">
            <v>250</v>
          </cell>
          <cell r="D491" t="str">
            <v>RAIL</v>
          </cell>
          <cell r="E491">
            <v>1.2932692307692308</v>
          </cell>
          <cell r="F491">
            <v>29.182600000000001</v>
          </cell>
          <cell r="G491">
            <v>74.016800000000003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0.27808640256582379</v>
          </cell>
          <cell r="M491">
            <v>0</v>
          </cell>
          <cell r="N491">
            <v>0.72191359743417627</v>
          </cell>
          <cell r="O491">
            <v>0</v>
          </cell>
          <cell r="P491" t="e">
            <v>#DIV/0!</v>
          </cell>
          <cell r="Q491" t="e">
            <v>#DIV/0!</v>
          </cell>
          <cell r="R491" t="e">
            <v>#DIV/0!</v>
          </cell>
          <cell r="S491" t="e">
            <v>#DIV/0!</v>
          </cell>
          <cell r="T491">
            <v>4567.4556401266773</v>
          </cell>
          <cell r="U491" t="e">
            <v>#DIV/0!</v>
          </cell>
          <cell r="V491">
            <v>4608.003791838215</v>
          </cell>
          <cell r="W491" t="e">
            <v>#DIV/0!</v>
          </cell>
          <cell r="X491"/>
          <cell r="Y491"/>
          <cell r="Z491"/>
          <cell r="AA491"/>
          <cell r="AB491">
            <v>471.04971192358516</v>
          </cell>
          <cell r="AC491"/>
          <cell r="AD491">
            <v>1327.0256175196484</v>
          </cell>
          <cell r="AE491"/>
          <cell r="AF491">
            <v>1798.0753294432336</v>
          </cell>
          <cell r="AG491">
            <v>0</v>
          </cell>
          <cell r="AH491">
            <v>1798.0753294432336</v>
          </cell>
          <cell r="AI491">
            <v>1493.750305</v>
          </cell>
          <cell r="AJ491">
            <v>1490.3376270000001</v>
          </cell>
          <cell r="AK491">
            <v>1588.932926</v>
          </cell>
          <cell r="AL491">
            <v>1679.0878419999999</v>
          </cell>
          <cell r="AM491">
            <v>1208.5835999999999</v>
          </cell>
          <cell r="AN491">
            <v>2637.7587890000004</v>
          </cell>
          <cell r="AO491">
            <v>1380.4860470000001</v>
          </cell>
          <cell r="AP491">
            <v>1198.3723480000001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823.78758612245281</v>
          </cell>
          <cell r="AV491">
            <v>0</v>
          </cell>
          <cell r="AW491">
            <v>2387.0621753495088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3210.8497614719618</v>
          </cell>
          <cell r="BH491">
            <v>5008.9250909151951</v>
          </cell>
          <cell r="BI491">
            <v>4596.7279021980594</v>
          </cell>
          <cell r="BJ491">
            <v>1.0896718704015593</v>
          </cell>
          <cell r="BK491">
            <v>0.39116418628638677</v>
          </cell>
          <cell r="BL491">
            <v>0.6985076841151725</v>
          </cell>
        </row>
        <row r="492">
          <cell r="A492" t="str">
            <v>SVPL TPP1</v>
          </cell>
          <cell r="B492" t="str">
            <v>SVPL TPP</v>
          </cell>
          <cell r="C492">
            <v>63</v>
          </cell>
          <cell r="D492"/>
          <cell r="E492" t="str">
            <v/>
          </cell>
          <cell r="F492">
            <v>22.306894100000001</v>
          </cell>
          <cell r="G492">
            <v>82.504875299999995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1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4277.9166493810972</v>
          </cell>
          <cell r="W492">
            <v>0</v>
          </cell>
          <cell r="X492"/>
          <cell r="Y492"/>
          <cell r="Z492"/>
          <cell r="AA492"/>
          <cell r="AB492"/>
          <cell r="AC492"/>
          <cell r="AD492">
            <v>1608.0582000000002</v>
          </cell>
          <cell r="AE492"/>
          <cell r="AF492">
            <v>1608.0582000000002</v>
          </cell>
          <cell r="AG492">
            <v>0.28000000000000003</v>
          </cell>
          <cell r="AH492">
            <v>2622.4819040000002</v>
          </cell>
          <cell r="AI492">
            <v>517.31539789999999</v>
          </cell>
          <cell r="AJ492">
            <v>460.47252070000002</v>
          </cell>
          <cell r="AK492">
            <v>628.87466059999997</v>
          </cell>
          <cell r="AL492">
            <v>340.43384930000002</v>
          </cell>
          <cell r="AM492">
            <v>318.11818879999998</v>
          </cell>
          <cell r="AN492">
            <v>1810.7535619999999</v>
          </cell>
          <cell r="AO492">
            <v>25.261976429999997</v>
          </cell>
          <cell r="AP492">
            <v>480.33516650000001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387.66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279.11520000000002</v>
          </cell>
          <cell r="BH492">
            <v>2901.5971040000004</v>
          </cell>
          <cell r="BI492">
            <v>4277.9166493810972</v>
          </cell>
          <cell r="BJ492">
            <v>0.67827340778595713</v>
          </cell>
          <cell r="BK492">
            <v>0.6130278167947486</v>
          </cell>
          <cell r="BL492">
            <v>6.5245590991208469E-2</v>
          </cell>
        </row>
        <row r="493">
          <cell r="A493" t="str">
            <v>TALCHER (OLD) TPS1</v>
          </cell>
          <cell r="B493" t="str">
            <v>TALCHER (OLD) TPS</v>
          </cell>
          <cell r="C493">
            <v>60</v>
          </cell>
          <cell r="D493" t="str">
            <v>PITHEAD</v>
          </cell>
          <cell r="E493" t="str">
            <v/>
          </cell>
          <cell r="F493">
            <v>20.911000000000001</v>
          </cell>
          <cell r="G493">
            <v>85.207599999999999</v>
          </cell>
          <cell r="H493">
            <v>0</v>
          </cell>
          <cell r="I493">
            <v>0</v>
          </cell>
          <cell r="J493">
            <v>0.10900336303849589</v>
          </cell>
          <cell r="K493">
            <v>0.89099663696150411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 t="e">
            <v>#DIV/0!</v>
          </cell>
          <cell r="Q493" t="e">
            <v>#DIV/0!</v>
          </cell>
          <cell r="R493">
            <v>5734.2906413095725</v>
          </cell>
          <cell r="S493">
            <v>3801.314257168387</v>
          </cell>
          <cell r="T493" t="e">
            <v>#DIV/0!</v>
          </cell>
          <cell r="U493" t="e">
            <v>#DIV/0!</v>
          </cell>
          <cell r="V493" t="e">
            <v>#DIV/0!</v>
          </cell>
          <cell r="W493" t="e">
            <v>#DIV/0!</v>
          </cell>
          <cell r="X493"/>
          <cell r="Y493"/>
          <cell r="Z493">
            <v>359.97714035513729</v>
          </cell>
          <cell r="AA493">
            <v>1356.2924017574242</v>
          </cell>
          <cell r="AB493"/>
          <cell r="AC493"/>
          <cell r="AD493"/>
          <cell r="AE493"/>
          <cell r="AF493">
            <v>1716.2695421125613</v>
          </cell>
          <cell r="AG493">
            <v>0</v>
          </cell>
          <cell r="AH493">
            <v>1716.2695421125613</v>
          </cell>
          <cell r="AI493">
            <v>445.03863719999993</v>
          </cell>
          <cell r="AJ493">
            <v>531.43964570000014</v>
          </cell>
          <cell r="AK493">
            <v>541.00465659999998</v>
          </cell>
          <cell r="AL493">
            <v>99.597465599999992</v>
          </cell>
          <cell r="AM493">
            <v>608.96091559999991</v>
          </cell>
          <cell r="AN493">
            <v>1778.3262420000003</v>
          </cell>
          <cell r="AO493">
            <v>399.37853029999997</v>
          </cell>
          <cell r="AP493">
            <v>710.36227740000004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150.405695659906</v>
          </cell>
          <cell r="BB493">
            <v>226.33292411401055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376.73861977391653</v>
          </cell>
          <cell r="BH493">
            <v>2093.0081618864779</v>
          </cell>
          <cell r="BI493">
            <v>4012.015183713771</v>
          </cell>
          <cell r="BJ493">
            <v>0.52168500517713878</v>
          </cell>
          <cell r="BK493">
            <v>0.42778241445334597</v>
          </cell>
          <cell r="BL493">
            <v>9.3902590723792784E-2</v>
          </cell>
        </row>
        <row r="494">
          <cell r="A494" t="str">
            <v>TALCHER (OLD) TPS2</v>
          </cell>
          <cell r="B494" t="str">
            <v>TALCHER (OLD) TPS</v>
          </cell>
          <cell r="C494">
            <v>60</v>
          </cell>
          <cell r="D494" t="str">
            <v>PITHEAD</v>
          </cell>
          <cell r="E494" t="str">
            <v/>
          </cell>
          <cell r="F494">
            <v>20.911000000000001</v>
          </cell>
          <cell r="G494">
            <v>85.207599999999999</v>
          </cell>
          <cell r="H494">
            <v>0</v>
          </cell>
          <cell r="I494">
            <v>0</v>
          </cell>
          <cell r="J494">
            <v>0.10900336303849589</v>
          </cell>
          <cell r="K494">
            <v>0.89099663696150411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 t="e">
            <v>#DIV/0!</v>
          </cell>
          <cell r="Q494" t="e">
            <v>#DIV/0!</v>
          </cell>
          <cell r="R494">
            <v>5734.2906413095725</v>
          </cell>
          <cell r="S494">
            <v>3801.314257168387</v>
          </cell>
          <cell r="T494" t="e">
            <v>#DIV/0!</v>
          </cell>
          <cell r="U494" t="e">
            <v>#DIV/0!</v>
          </cell>
          <cell r="V494" t="e">
            <v>#DIV/0!</v>
          </cell>
          <cell r="W494" t="e">
            <v>#DIV/0!</v>
          </cell>
          <cell r="X494"/>
          <cell r="Y494"/>
          <cell r="Z494">
            <v>359.97714035513729</v>
          </cell>
          <cell r="AA494">
            <v>1356.2924017574242</v>
          </cell>
          <cell r="AB494"/>
          <cell r="AC494"/>
          <cell r="AD494"/>
          <cell r="AE494"/>
          <cell r="AF494">
            <v>1716.2695421125613</v>
          </cell>
          <cell r="AG494">
            <v>0</v>
          </cell>
          <cell r="AH494">
            <v>1716.2695421125613</v>
          </cell>
          <cell r="AI494">
            <v>445.03863719999993</v>
          </cell>
          <cell r="AJ494">
            <v>531.43964570000014</v>
          </cell>
          <cell r="AK494">
            <v>541.00465659999998</v>
          </cell>
          <cell r="AL494">
            <v>99.597465599999992</v>
          </cell>
          <cell r="AM494">
            <v>608.96091559999991</v>
          </cell>
          <cell r="AN494">
            <v>1778.3262420000003</v>
          </cell>
          <cell r="AO494">
            <v>399.37853029999997</v>
          </cell>
          <cell r="AP494">
            <v>710.36227740000004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150.405695659906</v>
          </cell>
          <cell r="BB494">
            <v>226.33292411401055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376.73861977391653</v>
          </cell>
          <cell r="BH494">
            <v>2093.0081618864779</v>
          </cell>
          <cell r="BI494">
            <v>4012.015183713771</v>
          </cell>
          <cell r="BJ494">
            <v>0.52168500517713878</v>
          </cell>
          <cell r="BK494">
            <v>0.42778241445334597</v>
          </cell>
          <cell r="BL494">
            <v>9.3902590723792784E-2</v>
          </cell>
        </row>
        <row r="495">
          <cell r="A495" t="str">
            <v>TALCHER (OLD) TPS3</v>
          </cell>
          <cell r="B495" t="str">
            <v>TALCHER (OLD) TPS</v>
          </cell>
          <cell r="C495">
            <v>60</v>
          </cell>
          <cell r="D495" t="str">
            <v>PITHEAD</v>
          </cell>
          <cell r="E495" t="str">
            <v/>
          </cell>
          <cell r="F495">
            <v>20.911000000000001</v>
          </cell>
          <cell r="G495">
            <v>85.207599999999999</v>
          </cell>
          <cell r="H495">
            <v>0</v>
          </cell>
          <cell r="I495">
            <v>0</v>
          </cell>
          <cell r="J495">
            <v>0.10900336303849589</v>
          </cell>
          <cell r="K495">
            <v>0.89099663696150411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 t="e">
            <v>#DIV/0!</v>
          </cell>
          <cell r="Q495" t="e">
            <v>#DIV/0!</v>
          </cell>
          <cell r="R495">
            <v>5734.2906413095725</v>
          </cell>
          <cell r="S495">
            <v>3801.314257168387</v>
          </cell>
          <cell r="T495" t="e">
            <v>#DIV/0!</v>
          </cell>
          <cell r="U495" t="e">
            <v>#DIV/0!</v>
          </cell>
          <cell r="V495" t="e">
            <v>#DIV/0!</v>
          </cell>
          <cell r="W495" t="e">
            <v>#DIV/0!</v>
          </cell>
          <cell r="X495"/>
          <cell r="Y495"/>
          <cell r="Z495">
            <v>359.97714035513729</v>
          </cell>
          <cell r="AA495">
            <v>1356.2924017574242</v>
          </cell>
          <cell r="AB495"/>
          <cell r="AC495"/>
          <cell r="AD495"/>
          <cell r="AE495"/>
          <cell r="AF495">
            <v>1716.2695421125613</v>
          </cell>
          <cell r="AG495">
            <v>0</v>
          </cell>
          <cell r="AH495">
            <v>1716.2695421125613</v>
          </cell>
          <cell r="AI495">
            <v>445.03863719999993</v>
          </cell>
          <cell r="AJ495">
            <v>531.43964570000014</v>
          </cell>
          <cell r="AK495">
            <v>541.00465659999998</v>
          </cell>
          <cell r="AL495">
            <v>99.597465599999992</v>
          </cell>
          <cell r="AM495">
            <v>608.96091559999991</v>
          </cell>
          <cell r="AN495">
            <v>1778.3262420000003</v>
          </cell>
          <cell r="AO495">
            <v>399.37853029999997</v>
          </cell>
          <cell r="AP495">
            <v>710.36227740000004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150.405695659906</v>
          </cell>
          <cell r="BB495">
            <v>226.33292411401055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376.73861977391653</v>
          </cell>
          <cell r="BH495">
            <v>2093.0081618864779</v>
          </cell>
          <cell r="BI495">
            <v>4012.015183713771</v>
          </cell>
          <cell r="BJ495">
            <v>0.52168500517713878</v>
          </cell>
          <cell r="BK495">
            <v>0.42778241445334597</v>
          </cell>
          <cell r="BL495">
            <v>9.3902590723792784E-2</v>
          </cell>
        </row>
        <row r="496">
          <cell r="A496" t="str">
            <v>TALCHER (OLD) TPS4</v>
          </cell>
          <cell r="B496" t="str">
            <v>TALCHER (OLD) TPS</v>
          </cell>
          <cell r="C496">
            <v>60</v>
          </cell>
          <cell r="D496" t="str">
            <v>PITHEAD</v>
          </cell>
          <cell r="E496" t="str">
            <v/>
          </cell>
          <cell r="F496">
            <v>20.911000000000001</v>
          </cell>
          <cell r="G496">
            <v>85.207599999999999</v>
          </cell>
          <cell r="H496">
            <v>0</v>
          </cell>
          <cell r="I496">
            <v>0</v>
          </cell>
          <cell r="J496">
            <v>0.10900336303849589</v>
          </cell>
          <cell r="K496">
            <v>0.89099663696150411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 t="e">
            <v>#DIV/0!</v>
          </cell>
          <cell r="Q496" t="e">
            <v>#DIV/0!</v>
          </cell>
          <cell r="R496">
            <v>5734.2906413095725</v>
          </cell>
          <cell r="S496">
            <v>3801.314257168387</v>
          </cell>
          <cell r="T496" t="e">
            <v>#DIV/0!</v>
          </cell>
          <cell r="U496" t="e">
            <v>#DIV/0!</v>
          </cell>
          <cell r="V496" t="e">
            <v>#DIV/0!</v>
          </cell>
          <cell r="W496" t="e">
            <v>#DIV/0!</v>
          </cell>
          <cell r="X496"/>
          <cell r="Y496"/>
          <cell r="Z496">
            <v>359.97714035513729</v>
          </cell>
          <cell r="AA496">
            <v>1356.2924017574242</v>
          </cell>
          <cell r="AB496"/>
          <cell r="AC496"/>
          <cell r="AD496"/>
          <cell r="AE496"/>
          <cell r="AF496">
            <v>1716.2695421125613</v>
          </cell>
          <cell r="AG496">
            <v>0</v>
          </cell>
          <cell r="AH496">
            <v>1716.2695421125613</v>
          </cell>
          <cell r="AI496">
            <v>445.03863719999993</v>
          </cell>
          <cell r="AJ496">
            <v>531.43964570000014</v>
          </cell>
          <cell r="AK496">
            <v>541.00465659999998</v>
          </cell>
          <cell r="AL496">
            <v>99.597465599999992</v>
          </cell>
          <cell r="AM496">
            <v>608.96091559999991</v>
          </cell>
          <cell r="AN496">
            <v>1778.3262420000003</v>
          </cell>
          <cell r="AO496">
            <v>399.37853029999997</v>
          </cell>
          <cell r="AP496">
            <v>710.36227740000004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150.405695659906</v>
          </cell>
          <cell r="BB496">
            <v>226.33292411401055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376.73861977391653</v>
          </cell>
          <cell r="BH496">
            <v>2093.0081618864779</v>
          </cell>
          <cell r="BI496">
            <v>4012.015183713771</v>
          </cell>
          <cell r="BJ496">
            <v>0.52168500517713878</v>
          </cell>
          <cell r="BK496">
            <v>0.42778241445334597</v>
          </cell>
          <cell r="BL496">
            <v>9.3902590723792784E-2</v>
          </cell>
        </row>
        <row r="497">
          <cell r="A497" t="str">
            <v>TALCHER (OLD) TPS5</v>
          </cell>
          <cell r="B497" t="str">
            <v>TALCHER (OLD) TPS</v>
          </cell>
          <cell r="C497">
            <v>110</v>
          </cell>
          <cell r="D497" t="str">
            <v>PITHEAD</v>
          </cell>
          <cell r="E497" t="str">
            <v/>
          </cell>
          <cell r="F497">
            <v>20.911000000000001</v>
          </cell>
          <cell r="G497">
            <v>85.207599999999999</v>
          </cell>
          <cell r="H497">
            <v>0</v>
          </cell>
          <cell r="I497">
            <v>0</v>
          </cell>
          <cell r="J497">
            <v>0.10900336303849589</v>
          </cell>
          <cell r="K497">
            <v>0.89099663696150411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 t="e">
            <v>#DIV/0!</v>
          </cell>
          <cell r="Q497" t="e">
            <v>#DIV/0!</v>
          </cell>
          <cell r="R497">
            <v>5734.2906413095725</v>
          </cell>
          <cell r="S497">
            <v>3801.314257168387</v>
          </cell>
          <cell r="T497" t="e">
            <v>#DIV/0!</v>
          </cell>
          <cell r="U497" t="e">
            <v>#DIV/0!</v>
          </cell>
          <cell r="V497" t="e">
            <v>#DIV/0!</v>
          </cell>
          <cell r="W497" t="e">
            <v>#DIV/0!</v>
          </cell>
          <cell r="X497"/>
          <cell r="Y497"/>
          <cell r="Z497">
            <v>359.97714035513729</v>
          </cell>
          <cell r="AA497">
            <v>1356.2924017574242</v>
          </cell>
          <cell r="AB497"/>
          <cell r="AC497"/>
          <cell r="AD497"/>
          <cell r="AE497"/>
          <cell r="AF497">
            <v>1716.2695421125613</v>
          </cell>
          <cell r="AG497">
            <v>0</v>
          </cell>
          <cell r="AH497">
            <v>1716.2695421125613</v>
          </cell>
          <cell r="AI497">
            <v>445.03863719999993</v>
          </cell>
          <cell r="AJ497">
            <v>531.43964570000014</v>
          </cell>
          <cell r="AK497">
            <v>541.00465659999998</v>
          </cell>
          <cell r="AL497">
            <v>99.597465599999992</v>
          </cell>
          <cell r="AM497">
            <v>608.96091559999991</v>
          </cell>
          <cell r="AN497">
            <v>1778.3262420000003</v>
          </cell>
          <cell r="AO497">
            <v>399.37853029999997</v>
          </cell>
          <cell r="AP497">
            <v>710.36227740000004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150.405695659906</v>
          </cell>
          <cell r="BB497">
            <v>226.33292411401055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376.73861977391653</v>
          </cell>
          <cell r="BH497">
            <v>2093.0081618864779</v>
          </cell>
          <cell r="BI497">
            <v>4012.015183713771</v>
          </cell>
          <cell r="BJ497">
            <v>0.52168500517713878</v>
          </cell>
          <cell r="BK497">
            <v>0.42778241445334597</v>
          </cell>
          <cell r="BL497">
            <v>9.3902590723792784E-2</v>
          </cell>
        </row>
        <row r="498">
          <cell r="A498" t="str">
            <v>TALCHER (OLD) TPS6</v>
          </cell>
          <cell r="B498" t="str">
            <v>TALCHER (OLD) TPS</v>
          </cell>
          <cell r="C498">
            <v>110</v>
          </cell>
          <cell r="D498" t="str">
            <v>PITHEAD</v>
          </cell>
          <cell r="E498" t="str">
            <v/>
          </cell>
          <cell r="F498">
            <v>20.911000000000001</v>
          </cell>
          <cell r="G498">
            <v>85.207599999999999</v>
          </cell>
          <cell r="H498">
            <v>0</v>
          </cell>
          <cell r="I498">
            <v>0</v>
          </cell>
          <cell r="J498">
            <v>0.10900336303849589</v>
          </cell>
          <cell r="K498">
            <v>0.89099663696150411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 t="e">
            <v>#DIV/0!</v>
          </cell>
          <cell r="Q498" t="e">
            <v>#DIV/0!</v>
          </cell>
          <cell r="R498">
            <v>5734.2906413095725</v>
          </cell>
          <cell r="S498">
            <v>3801.314257168387</v>
          </cell>
          <cell r="T498" t="e">
            <v>#DIV/0!</v>
          </cell>
          <cell r="U498" t="e">
            <v>#DIV/0!</v>
          </cell>
          <cell r="V498" t="e">
            <v>#DIV/0!</v>
          </cell>
          <cell r="W498" t="e">
            <v>#DIV/0!</v>
          </cell>
          <cell r="X498"/>
          <cell r="Y498"/>
          <cell r="Z498">
            <v>359.97714035513729</v>
          </cell>
          <cell r="AA498">
            <v>1356.2924017574242</v>
          </cell>
          <cell r="AB498"/>
          <cell r="AC498"/>
          <cell r="AD498"/>
          <cell r="AE498"/>
          <cell r="AF498">
            <v>1716.2695421125613</v>
          </cell>
          <cell r="AG498">
            <v>0</v>
          </cell>
          <cell r="AH498">
            <v>1716.2695421125613</v>
          </cell>
          <cell r="AI498">
            <v>445.03863719999993</v>
          </cell>
          <cell r="AJ498">
            <v>531.43964570000014</v>
          </cell>
          <cell r="AK498">
            <v>541.00465659999998</v>
          </cell>
          <cell r="AL498">
            <v>99.597465599999992</v>
          </cell>
          <cell r="AM498">
            <v>608.96091559999991</v>
          </cell>
          <cell r="AN498">
            <v>1778.3262420000003</v>
          </cell>
          <cell r="AO498">
            <v>399.37853029999997</v>
          </cell>
          <cell r="AP498">
            <v>710.36227740000004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150.405695659906</v>
          </cell>
          <cell r="BB498">
            <v>226.33292411401055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376.73861977391653</v>
          </cell>
          <cell r="BH498">
            <v>2093.0081618864779</v>
          </cell>
          <cell r="BI498">
            <v>4012.015183713771</v>
          </cell>
          <cell r="BJ498">
            <v>0.52168500517713878</v>
          </cell>
          <cell r="BK498">
            <v>0.42778241445334597</v>
          </cell>
          <cell r="BL498">
            <v>9.3902590723792784E-2</v>
          </cell>
        </row>
        <row r="499">
          <cell r="A499" t="str">
            <v>TANDA STPS1</v>
          </cell>
          <cell r="B499" t="str">
            <v>TANDA STPS</v>
          </cell>
          <cell r="C499">
            <v>110</v>
          </cell>
          <cell r="D499" t="str">
            <v>RAIL</v>
          </cell>
          <cell r="E499">
            <v>0.74716911082235016</v>
          </cell>
          <cell r="F499">
            <v>26.589500000000001</v>
          </cell>
          <cell r="G499">
            <v>82.6006</v>
          </cell>
          <cell r="H499">
            <v>0</v>
          </cell>
          <cell r="I499">
            <v>1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 t="e">
            <v>#DIV/0!</v>
          </cell>
          <cell r="Q499">
            <v>4351.5922565188512</v>
          </cell>
          <cell r="R499" t="e">
            <v>#DIV/0!</v>
          </cell>
          <cell r="S499" t="e">
            <v>#DIV/0!</v>
          </cell>
          <cell r="T499" t="e">
            <v>#DIV/0!</v>
          </cell>
          <cell r="U499" t="e">
            <v>#DIV/0!</v>
          </cell>
          <cell r="V499" t="e">
            <v>#DIV/0!</v>
          </cell>
          <cell r="W499" t="e">
            <v>#DIV/0!</v>
          </cell>
          <cell r="X499"/>
          <cell r="Y499">
            <v>1693.8969600000003</v>
          </cell>
          <cell r="Z499"/>
          <cell r="AA499"/>
          <cell r="AB499"/>
          <cell r="AC499"/>
          <cell r="AD499"/>
          <cell r="AE499"/>
          <cell r="AF499">
            <v>1693.8969600000003</v>
          </cell>
          <cell r="AG499">
            <v>0</v>
          </cell>
          <cell r="AH499">
            <v>1693.8969600000003</v>
          </cell>
          <cell r="AI499">
            <v>555.15569790000006</v>
          </cell>
          <cell r="AJ499">
            <v>551.743019</v>
          </cell>
          <cell r="AK499">
            <v>626.45812089999993</v>
          </cell>
          <cell r="AL499">
            <v>788.97209150000003</v>
          </cell>
          <cell r="AM499">
            <v>318.46784930000001</v>
          </cell>
          <cell r="AN499">
            <v>1644.6417860000001</v>
          </cell>
          <cell r="AO499">
            <v>579.77927990000001</v>
          </cell>
          <cell r="AP499">
            <v>777.64599720000001</v>
          </cell>
          <cell r="AQ499">
            <v>0</v>
          </cell>
          <cell r="AR499">
            <v>1662.78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1662.78</v>
          </cell>
          <cell r="BH499">
            <v>3356.6769600000002</v>
          </cell>
          <cell r="BI499">
            <v>4351.5922565188512</v>
          </cell>
          <cell r="BJ499">
            <v>0.77136752759212912</v>
          </cell>
          <cell r="BK499">
            <v>0.38925911715705397</v>
          </cell>
          <cell r="BL499">
            <v>0.38210841043507515</v>
          </cell>
        </row>
        <row r="500">
          <cell r="A500" t="str">
            <v>TANDA STPS2</v>
          </cell>
          <cell r="B500" t="str">
            <v>TANDA STPS</v>
          </cell>
          <cell r="C500">
            <v>110</v>
          </cell>
          <cell r="D500" t="str">
            <v>RAIL</v>
          </cell>
          <cell r="E500">
            <v>0.74716911082235016</v>
          </cell>
          <cell r="F500">
            <v>26.589500000000001</v>
          </cell>
          <cell r="G500">
            <v>82.6006</v>
          </cell>
          <cell r="H500">
            <v>0</v>
          </cell>
          <cell r="I500">
            <v>1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 t="e">
            <v>#DIV/0!</v>
          </cell>
          <cell r="Q500">
            <v>4351.5922565188512</v>
          </cell>
          <cell r="R500" t="e">
            <v>#DIV/0!</v>
          </cell>
          <cell r="S500" t="e">
            <v>#DIV/0!</v>
          </cell>
          <cell r="T500" t="e">
            <v>#DIV/0!</v>
          </cell>
          <cell r="U500" t="e">
            <v>#DIV/0!</v>
          </cell>
          <cell r="V500" t="e">
            <v>#DIV/0!</v>
          </cell>
          <cell r="W500" t="e">
            <v>#DIV/0!</v>
          </cell>
          <cell r="X500"/>
          <cell r="Y500">
            <v>1693.8969600000003</v>
          </cell>
          <cell r="Z500"/>
          <cell r="AA500"/>
          <cell r="AB500"/>
          <cell r="AC500"/>
          <cell r="AD500"/>
          <cell r="AE500"/>
          <cell r="AF500">
            <v>1693.8969600000003</v>
          </cell>
          <cell r="AG500">
            <v>0</v>
          </cell>
          <cell r="AH500">
            <v>1693.8969600000003</v>
          </cell>
          <cell r="AI500">
            <v>555.15569790000006</v>
          </cell>
          <cell r="AJ500">
            <v>551.743019</v>
          </cell>
          <cell r="AK500">
            <v>626.45812089999993</v>
          </cell>
          <cell r="AL500">
            <v>788.97209150000003</v>
          </cell>
          <cell r="AM500">
            <v>318.46784930000001</v>
          </cell>
          <cell r="AN500">
            <v>1644.6417860000001</v>
          </cell>
          <cell r="AO500">
            <v>579.77927990000001</v>
          </cell>
          <cell r="AP500">
            <v>777.64599720000001</v>
          </cell>
          <cell r="AQ500">
            <v>0</v>
          </cell>
          <cell r="AR500">
            <v>1662.78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1662.78</v>
          </cell>
          <cell r="BH500">
            <v>3356.6769600000002</v>
          </cell>
          <cell r="BI500">
            <v>4351.5922565188512</v>
          </cell>
          <cell r="BJ500">
            <v>0.77136752759212912</v>
          </cell>
          <cell r="BK500">
            <v>0.38925911715705397</v>
          </cell>
          <cell r="BL500">
            <v>0.38210841043507515</v>
          </cell>
        </row>
        <row r="501">
          <cell r="A501" t="str">
            <v>TANDA STPS3</v>
          </cell>
          <cell r="B501" t="str">
            <v>TANDA STPS</v>
          </cell>
          <cell r="C501">
            <v>110</v>
          </cell>
          <cell r="D501" t="str">
            <v>RAIL</v>
          </cell>
          <cell r="E501">
            <v>0.74716911082235016</v>
          </cell>
          <cell r="F501">
            <v>26.589500000000001</v>
          </cell>
          <cell r="G501">
            <v>82.6006</v>
          </cell>
          <cell r="H501">
            <v>0</v>
          </cell>
          <cell r="I501">
            <v>1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 t="e">
            <v>#DIV/0!</v>
          </cell>
          <cell r="Q501">
            <v>4351.5922565188512</v>
          </cell>
          <cell r="R501" t="e">
            <v>#DIV/0!</v>
          </cell>
          <cell r="S501" t="e">
            <v>#DIV/0!</v>
          </cell>
          <cell r="T501" t="e">
            <v>#DIV/0!</v>
          </cell>
          <cell r="U501" t="e">
            <v>#DIV/0!</v>
          </cell>
          <cell r="V501" t="e">
            <v>#DIV/0!</v>
          </cell>
          <cell r="W501" t="e">
            <v>#DIV/0!</v>
          </cell>
          <cell r="X501"/>
          <cell r="Y501">
            <v>1693.8969600000003</v>
          </cell>
          <cell r="Z501"/>
          <cell r="AA501"/>
          <cell r="AB501"/>
          <cell r="AC501"/>
          <cell r="AD501"/>
          <cell r="AE501"/>
          <cell r="AF501">
            <v>1693.8969600000003</v>
          </cell>
          <cell r="AG501">
            <v>0</v>
          </cell>
          <cell r="AH501">
            <v>1693.8969600000003</v>
          </cell>
          <cell r="AI501">
            <v>555.15569790000006</v>
          </cell>
          <cell r="AJ501">
            <v>551.743019</v>
          </cell>
          <cell r="AK501">
            <v>626.45812089999993</v>
          </cell>
          <cell r="AL501">
            <v>788.97209150000003</v>
          </cell>
          <cell r="AM501">
            <v>318.46784930000001</v>
          </cell>
          <cell r="AN501">
            <v>1644.6417860000001</v>
          </cell>
          <cell r="AO501">
            <v>579.77927990000001</v>
          </cell>
          <cell r="AP501">
            <v>777.64599720000001</v>
          </cell>
          <cell r="AQ501">
            <v>0</v>
          </cell>
          <cell r="AR501">
            <v>1662.78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1662.78</v>
          </cell>
          <cell r="BH501">
            <v>3356.6769600000002</v>
          </cell>
          <cell r="BI501">
            <v>4351.5922565188512</v>
          </cell>
          <cell r="BJ501">
            <v>0.77136752759212912</v>
          </cell>
          <cell r="BK501">
            <v>0.38925911715705397</v>
          </cell>
          <cell r="BL501">
            <v>0.38210841043507515</v>
          </cell>
        </row>
        <row r="502">
          <cell r="A502" t="str">
            <v>TANDA STPS4</v>
          </cell>
          <cell r="B502" t="str">
            <v>TANDA STPS</v>
          </cell>
          <cell r="C502">
            <v>110</v>
          </cell>
          <cell r="D502" t="str">
            <v>RAIL</v>
          </cell>
          <cell r="E502">
            <v>0.74716911082235016</v>
          </cell>
          <cell r="F502">
            <v>26.589500000000001</v>
          </cell>
          <cell r="G502">
            <v>82.6006</v>
          </cell>
          <cell r="H502">
            <v>0</v>
          </cell>
          <cell r="I502">
            <v>1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 t="e">
            <v>#DIV/0!</v>
          </cell>
          <cell r="Q502">
            <v>4351.5922565188512</v>
          </cell>
          <cell r="R502" t="e">
            <v>#DIV/0!</v>
          </cell>
          <cell r="S502" t="e">
            <v>#DIV/0!</v>
          </cell>
          <cell r="T502" t="e">
            <v>#DIV/0!</v>
          </cell>
          <cell r="U502" t="e">
            <v>#DIV/0!</v>
          </cell>
          <cell r="V502" t="e">
            <v>#DIV/0!</v>
          </cell>
          <cell r="W502" t="e">
            <v>#DIV/0!</v>
          </cell>
          <cell r="X502"/>
          <cell r="Y502">
            <v>1693.8969600000003</v>
          </cell>
          <cell r="Z502"/>
          <cell r="AA502"/>
          <cell r="AB502"/>
          <cell r="AC502"/>
          <cell r="AD502"/>
          <cell r="AE502"/>
          <cell r="AF502">
            <v>1693.8969600000003</v>
          </cell>
          <cell r="AG502">
            <v>0</v>
          </cell>
          <cell r="AH502">
            <v>1693.8969600000003</v>
          </cell>
          <cell r="AI502">
            <v>555.15569790000006</v>
          </cell>
          <cell r="AJ502">
            <v>551.743019</v>
          </cell>
          <cell r="AK502">
            <v>626.45812089999993</v>
          </cell>
          <cell r="AL502">
            <v>788.97209150000003</v>
          </cell>
          <cell r="AM502">
            <v>318.46784930000001</v>
          </cell>
          <cell r="AN502">
            <v>1644.6417860000001</v>
          </cell>
          <cell r="AO502">
            <v>579.77927990000001</v>
          </cell>
          <cell r="AP502">
            <v>777.64599720000001</v>
          </cell>
          <cell r="AQ502">
            <v>0</v>
          </cell>
          <cell r="AR502">
            <v>1662.78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1662.78</v>
          </cell>
          <cell r="BH502">
            <v>3356.6769600000002</v>
          </cell>
          <cell r="BI502">
            <v>4351.5922565188512</v>
          </cell>
          <cell r="BJ502">
            <v>0.77136752759212912</v>
          </cell>
          <cell r="BK502">
            <v>0.38925911715705397</v>
          </cell>
          <cell r="BL502">
            <v>0.38210841043507515</v>
          </cell>
        </row>
        <row r="503">
          <cell r="A503" t="str">
            <v>TENUGHAT TPS1</v>
          </cell>
          <cell r="B503" t="str">
            <v>TENUGHAT TPS</v>
          </cell>
          <cell r="C503">
            <v>210</v>
          </cell>
          <cell r="D503" t="str">
            <v>ROAD</v>
          </cell>
          <cell r="E503" t="str">
            <v/>
          </cell>
          <cell r="F503">
            <v>23.728000000000002</v>
          </cell>
          <cell r="G503">
            <v>85.765799999999999</v>
          </cell>
          <cell r="H503">
            <v>0</v>
          </cell>
          <cell r="I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 t="e">
            <v>#DIV/0!</v>
          </cell>
          <cell r="Q503">
            <v>4422.0869502399582</v>
          </cell>
          <cell r="R503" t="e">
            <v>#DIV/0!</v>
          </cell>
          <cell r="S503" t="e">
            <v>#DIV/0!</v>
          </cell>
          <cell r="T503" t="e">
            <v>#DIV/0!</v>
          </cell>
          <cell r="U503" t="e">
            <v>#DIV/0!</v>
          </cell>
          <cell r="V503" t="e">
            <v>#DIV/0!</v>
          </cell>
          <cell r="W503" t="e">
            <v>#DIV/0!</v>
          </cell>
          <cell r="X503"/>
          <cell r="Y503">
            <v>1693.8969600000003</v>
          </cell>
          <cell r="Z503"/>
          <cell r="AA503"/>
          <cell r="AB503"/>
          <cell r="AC503"/>
          <cell r="AD503"/>
          <cell r="AE503"/>
          <cell r="AF503">
            <v>1693.8969600000003</v>
          </cell>
          <cell r="AG503">
            <v>0</v>
          </cell>
          <cell r="AH503">
            <v>1693.8969600000003</v>
          </cell>
          <cell r="AI503">
            <v>85.97361583</v>
          </cell>
          <cell r="AJ503">
            <v>18.328455989999998</v>
          </cell>
          <cell r="AK503">
            <v>197.08365169999999</v>
          </cell>
          <cell r="AL503">
            <v>393.16376160000004</v>
          </cell>
          <cell r="AM503">
            <v>379.82167889999999</v>
          </cell>
          <cell r="AN503">
            <v>1404.911807</v>
          </cell>
          <cell r="AO503">
            <v>435.11582900000002</v>
          </cell>
          <cell r="AP503">
            <v>892.5437392</v>
          </cell>
          <cell r="AQ503">
            <v>0</v>
          </cell>
          <cell r="AR503">
            <v>387.66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387.66</v>
          </cell>
          <cell r="BH503">
            <v>2081.5569600000003</v>
          </cell>
          <cell r="BI503">
            <v>4422.0869502399582</v>
          </cell>
          <cell r="BJ503">
            <v>0.47071823404264984</v>
          </cell>
          <cell r="BK503">
            <v>0.38305374341589626</v>
          </cell>
          <cell r="BL503">
            <v>8.766449062675355E-2</v>
          </cell>
        </row>
        <row r="504">
          <cell r="A504" t="str">
            <v>TENUGHAT TPS2</v>
          </cell>
          <cell r="B504" t="str">
            <v>TENUGHAT TPS</v>
          </cell>
          <cell r="C504">
            <v>210</v>
          </cell>
          <cell r="D504" t="str">
            <v>ROAD</v>
          </cell>
          <cell r="E504" t="str">
            <v/>
          </cell>
          <cell r="F504">
            <v>23.728000000000002</v>
          </cell>
          <cell r="G504">
            <v>85.765799999999999</v>
          </cell>
          <cell r="H504">
            <v>0</v>
          </cell>
          <cell r="I504">
            <v>1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 t="e">
            <v>#DIV/0!</v>
          </cell>
          <cell r="Q504">
            <v>4422.0869502399582</v>
          </cell>
          <cell r="R504" t="e">
            <v>#DIV/0!</v>
          </cell>
          <cell r="S504" t="e">
            <v>#DIV/0!</v>
          </cell>
          <cell r="T504" t="e">
            <v>#DIV/0!</v>
          </cell>
          <cell r="U504" t="e">
            <v>#DIV/0!</v>
          </cell>
          <cell r="V504" t="e">
            <v>#DIV/0!</v>
          </cell>
          <cell r="W504" t="e">
            <v>#DIV/0!</v>
          </cell>
          <cell r="X504"/>
          <cell r="Y504">
            <v>1693.8969600000003</v>
          </cell>
          <cell r="Z504"/>
          <cell r="AA504"/>
          <cell r="AB504"/>
          <cell r="AC504"/>
          <cell r="AD504"/>
          <cell r="AE504"/>
          <cell r="AF504">
            <v>1693.8969600000003</v>
          </cell>
          <cell r="AG504">
            <v>0</v>
          </cell>
          <cell r="AH504">
            <v>1693.8969600000003</v>
          </cell>
          <cell r="AI504">
            <v>85.97361583</v>
          </cell>
          <cell r="AJ504">
            <v>18.328455989999998</v>
          </cell>
          <cell r="AK504">
            <v>197.08365169999999</v>
          </cell>
          <cell r="AL504">
            <v>393.16376160000004</v>
          </cell>
          <cell r="AM504">
            <v>379.82167889999999</v>
          </cell>
          <cell r="AN504">
            <v>1404.911807</v>
          </cell>
          <cell r="AO504">
            <v>435.11582900000002</v>
          </cell>
          <cell r="AP504">
            <v>892.5437392</v>
          </cell>
          <cell r="AQ504">
            <v>0</v>
          </cell>
          <cell r="AR504">
            <v>387.66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387.66</v>
          </cell>
          <cell r="BH504">
            <v>2081.5569600000003</v>
          </cell>
          <cell r="BI504">
            <v>4422.0869502399582</v>
          </cell>
          <cell r="BJ504">
            <v>0.47071823404264984</v>
          </cell>
          <cell r="BK504">
            <v>0.38305374341589626</v>
          </cell>
          <cell r="BL504">
            <v>8.766449062675355E-2</v>
          </cell>
        </row>
        <row r="505">
          <cell r="A505" t="str">
            <v>THAMMINAPATNAM TPS1</v>
          </cell>
          <cell r="B505" t="str">
            <v>THAMMINAPATNAM TPS</v>
          </cell>
          <cell r="C505">
            <v>150</v>
          </cell>
          <cell r="D505"/>
          <cell r="E505" t="str">
            <v/>
          </cell>
          <cell r="F505">
            <v>14.205</v>
          </cell>
          <cell r="G505">
            <v>80.086600000000004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1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4279.0292548546358</v>
          </cell>
          <cell r="X505"/>
          <cell r="Y505"/>
          <cell r="Z505"/>
          <cell r="AA505"/>
          <cell r="AB505"/>
          <cell r="AC505"/>
          <cell r="AD505"/>
          <cell r="AE505">
            <v>1608.0582000000002</v>
          </cell>
          <cell r="AF505">
            <v>1608.0582000000002</v>
          </cell>
          <cell r="AG505">
            <v>1</v>
          </cell>
          <cell r="AH505">
            <v>5231</v>
          </cell>
          <cell r="AI505">
            <v>1507.575689</v>
          </cell>
          <cell r="AJ505">
            <v>1450.732812</v>
          </cell>
          <cell r="AK505">
            <v>1602.9436989999999</v>
          </cell>
          <cell r="AL505">
            <v>1172.0218789999999</v>
          </cell>
          <cell r="AM505">
            <v>1439.5282439999999</v>
          </cell>
          <cell r="AN505">
            <v>2812.6234789999999</v>
          </cell>
          <cell r="AO505">
            <v>1140.2177350000002</v>
          </cell>
          <cell r="AP505">
            <v>888.2084215000001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2304.1200000000003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5231</v>
          </cell>
          <cell r="BI505">
            <v>4279.0292548546358</v>
          </cell>
          <cell r="BJ505">
            <v>1.2224735304310752</v>
          </cell>
          <cell r="BK505">
            <v>1.2224735304310752</v>
          </cell>
          <cell r="BL505">
            <v>0</v>
          </cell>
        </row>
        <row r="506">
          <cell r="A506" t="str">
            <v>THAMMINAPATNAM TPS2</v>
          </cell>
          <cell r="B506" t="str">
            <v>THAMMINAPATNAM TPS</v>
          </cell>
          <cell r="C506">
            <v>150</v>
          </cell>
          <cell r="D506"/>
          <cell r="E506" t="str">
            <v/>
          </cell>
          <cell r="F506">
            <v>14.205</v>
          </cell>
          <cell r="G506">
            <v>80.086600000000004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4279.0292548546358</v>
          </cell>
          <cell r="X506"/>
          <cell r="Y506"/>
          <cell r="Z506"/>
          <cell r="AA506"/>
          <cell r="AB506"/>
          <cell r="AC506"/>
          <cell r="AD506"/>
          <cell r="AE506">
            <v>1608.0582000000002</v>
          </cell>
          <cell r="AF506">
            <v>1608.0582000000002</v>
          </cell>
          <cell r="AG506">
            <v>1</v>
          </cell>
          <cell r="AH506">
            <v>5231</v>
          </cell>
          <cell r="AI506">
            <v>1507.575689</v>
          </cell>
          <cell r="AJ506">
            <v>1450.732812</v>
          </cell>
          <cell r="AK506">
            <v>1602.9436989999999</v>
          </cell>
          <cell r="AL506">
            <v>1172.0218789999999</v>
          </cell>
          <cell r="AM506">
            <v>1439.5282439999999</v>
          </cell>
          <cell r="AN506">
            <v>2812.6234789999999</v>
          </cell>
          <cell r="AO506">
            <v>1140.2177350000002</v>
          </cell>
          <cell r="AP506">
            <v>888.2084215000001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2304.1200000000003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5231</v>
          </cell>
          <cell r="BI506">
            <v>4279.0292548546358</v>
          </cell>
          <cell r="BJ506">
            <v>1.2224735304310752</v>
          </cell>
          <cell r="BK506">
            <v>1.2224735304310752</v>
          </cell>
          <cell r="BL506">
            <v>0</v>
          </cell>
        </row>
        <row r="507">
          <cell r="A507" t="str">
            <v>TORANGALLU TPS(SBU-I)1</v>
          </cell>
          <cell r="B507" t="str">
            <v>TORANGALLU TPS(SBU-I)</v>
          </cell>
          <cell r="C507">
            <v>130</v>
          </cell>
          <cell r="D507"/>
          <cell r="E507" t="str">
            <v/>
          </cell>
          <cell r="F507">
            <v>15.184900000000001</v>
          </cell>
          <cell r="G507">
            <v>76.662099999999995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1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4279.0292548546358</v>
          </cell>
          <cell r="X507"/>
          <cell r="Y507"/>
          <cell r="Z507"/>
          <cell r="AA507"/>
          <cell r="AB507"/>
          <cell r="AC507"/>
          <cell r="AD507"/>
          <cell r="AE507">
            <v>1608.0582000000002</v>
          </cell>
          <cell r="AF507">
            <v>1608.0582000000002</v>
          </cell>
          <cell r="AG507">
            <v>1</v>
          </cell>
          <cell r="AH507">
            <v>5231</v>
          </cell>
          <cell r="AI507">
            <v>1695.0861100000002</v>
          </cell>
          <cell r="AJ507">
            <v>1638.2432329999999</v>
          </cell>
          <cell r="AK507">
            <v>1806.6453729999998</v>
          </cell>
          <cell r="AL507">
            <v>1376.1776319999999</v>
          </cell>
          <cell r="AM507">
            <v>1482.8684860000001</v>
          </cell>
          <cell r="AN507">
            <v>2993.420967</v>
          </cell>
          <cell r="AO507">
            <v>1216.469233</v>
          </cell>
          <cell r="AP507">
            <v>847.6642531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2182.2779999999998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5231</v>
          </cell>
          <cell r="BI507">
            <v>4279.0292548546358</v>
          </cell>
          <cell r="BJ507">
            <v>1.2224735304310752</v>
          </cell>
          <cell r="BK507">
            <v>1.2224735304310752</v>
          </cell>
          <cell r="BL507">
            <v>0</v>
          </cell>
        </row>
        <row r="508">
          <cell r="A508" t="str">
            <v>TORANGALLU TPS(SBU-I)2</v>
          </cell>
          <cell r="B508" t="str">
            <v>TORANGALLU TPS(SBU-I)</v>
          </cell>
          <cell r="C508">
            <v>130</v>
          </cell>
          <cell r="D508"/>
          <cell r="E508" t="str">
            <v/>
          </cell>
          <cell r="F508">
            <v>15.184900000000001</v>
          </cell>
          <cell r="G508">
            <v>76.662099999999995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4279.0292548546358</v>
          </cell>
          <cell r="X508"/>
          <cell r="Y508"/>
          <cell r="Z508"/>
          <cell r="AA508"/>
          <cell r="AB508"/>
          <cell r="AC508"/>
          <cell r="AD508"/>
          <cell r="AE508">
            <v>1608.0582000000002</v>
          </cell>
          <cell r="AF508">
            <v>1608.0582000000002</v>
          </cell>
          <cell r="AG508">
            <v>1</v>
          </cell>
          <cell r="AH508">
            <v>5231</v>
          </cell>
          <cell r="AI508">
            <v>1695.0861100000002</v>
          </cell>
          <cell r="AJ508">
            <v>1638.2432329999999</v>
          </cell>
          <cell r="AK508">
            <v>1806.6453729999998</v>
          </cell>
          <cell r="AL508">
            <v>1376.1776319999999</v>
          </cell>
          <cell r="AM508">
            <v>1482.8684860000001</v>
          </cell>
          <cell r="AN508">
            <v>2993.420967</v>
          </cell>
          <cell r="AO508">
            <v>1216.469233</v>
          </cell>
          <cell r="AP508">
            <v>847.6642531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2182.2779999999998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5231</v>
          </cell>
          <cell r="BI508">
            <v>4279.0292548546358</v>
          </cell>
          <cell r="BJ508">
            <v>1.2224735304310752</v>
          </cell>
          <cell r="BK508">
            <v>1.2224735304310752</v>
          </cell>
          <cell r="BL508">
            <v>0</v>
          </cell>
        </row>
        <row r="509">
          <cell r="A509" t="str">
            <v>TORANGALLU TPS(SBU-II)3</v>
          </cell>
          <cell r="B509" t="str">
            <v>TORANGALLU TPS(SBU-II)</v>
          </cell>
          <cell r="C509">
            <v>300</v>
          </cell>
          <cell r="D509"/>
          <cell r="E509" t="str">
            <v/>
          </cell>
          <cell r="F509">
            <v>15.184900000000001</v>
          </cell>
          <cell r="G509">
            <v>76.662099999999995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4279.0292548546358</v>
          </cell>
          <cell r="X509"/>
          <cell r="Y509"/>
          <cell r="Z509"/>
          <cell r="AA509"/>
          <cell r="AB509"/>
          <cell r="AC509"/>
          <cell r="AD509"/>
          <cell r="AE509">
            <v>1608.0582000000002</v>
          </cell>
          <cell r="AF509">
            <v>1608.0582000000002</v>
          </cell>
          <cell r="AG509">
            <v>0.94637183669645064</v>
          </cell>
          <cell r="AH509">
            <v>5036.7082855103454</v>
          </cell>
          <cell r="AI509">
            <v>1695.0861100000002</v>
          </cell>
          <cell r="AJ509">
            <v>1638.2432329999999</v>
          </cell>
          <cell r="AK509">
            <v>1806.6453729999998</v>
          </cell>
          <cell r="AL509">
            <v>1376.1776319999999</v>
          </cell>
          <cell r="AM509">
            <v>1482.8684860000001</v>
          </cell>
          <cell r="AN509">
            <v>2993.420967</v>
          </cell>
          <cell r="AO509">
            <v>1216.469233</v>
          </cell>
          <cell r="AP509">
            <v>847.6642531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2182.2779999999998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117.03156095774308</v>
          </cell>
          <cell r="BH509">
            <v>5153.7398464680882</v>
          </cell>
          <cell r="BI509">
            <v>4279.0292548546358</v>
          </cell>
          <cell r="BJ509">
            <v>1.2044179975215354</v>
          </cell>
          <cell r="BK509">
            <v>1.1770679716190557</v>
          </cell>
          <cell r="BL509">
            <v>2.7350025902479789E-2</v>
          </cell>
        </row>
        <row r="510">
          <cell r="A510" t="str">
            <v>TORANGALLU TPS(SBU-II)4</v>
          </cell>
          <cell r="B510" t="str">
            <v>TORANGALLU TPS(SBU-II)</v>
          </cell>
          <cell r="C510">
            <v>300</v>
          </cell>
          <cell r="D510"/>
          <cell r="E510" t="str">
            <v/>
          </cell>
          <cell r="F510">
            <v>15.184900000000001</v>
          </cell>
          <cell r="G510">
            <v>76.662099999999995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1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4279.0292548546358</v>
          </cell>
          <cell r="X510"/>
          <cell r="Y510"/>
          <cell r="Z510"/>
          <cell r="AA510"/>
          <cell r="AB510"/>
          <cell r="AC510"/>
          <cell r="AD510"/>
          <cell r="AE510">
            <v>1608.0582000000002</v>
          </cell>
          <cell r="AF510">
            <v>1608.0582000000002</v>
          </cell>
          <cell r="AG510">
            <v>0.94637183669645064</v>
          </cell>
          <cell r="AH510">
            <v>5036.7082855103454</v>
          </cell>
          <cell r="AI510">
            <v>1695.0861100000002</v>
          </cell>
          <cell r="AJ510">
            <v>1638.2432329999999</v>
          </cell>
          <cell r="AK510">
            <v>1806.6453729999998</v>
          </cell>
          <cell r="AL510">
            <v>1376.1776319999999</v>
          </cell>
          <cell r="AM510">
            <v>1482.8684860000001</v>
          </cell>
          <cell r="AN510">
            <v>2993.420967</v>
          </cell>
          <cell r="AO510">
            <v>1216.469233</v>
          </cell>
          <cell r="AP510">
            <v>847.6642531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2182.2779999999998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117.03156095774308</v>
          </cell>
          <cell r="BH510">
            <v>5153.7398464680882</v>
          </cell>
          <cell r="BI510">
            <v>4279.0292548546358</v>
          </cell>
          <cell r="BJ510">
            <v>1.2044179975215354</v>
          </cell>
          <cell r="BK510">
            <v>1.1770679716190557</v>
          </cell>
          <cell r="BL510">
            <v>2.7350025902479789E-2</v>
          </cell>
        </row>
        <row r="511">
          <cell r="A511" t="str">
            <v>TROMBAY TPS5</v>
          </cell>
          <cell r="B511" t="str">
            <v>TROMBAY TPS</v>
          </cell>
          <cell r="C511">
            <v>500</v>
          </cell>
          <cell r="D511"/>
          <cell r="E511">
            <v>1.1245071591616518</v>
          </cell>
          <cell r="F511">
            <v>19.002500000000001</v>
          </cell>
          <cell r="G511">
            <v>72.898300000000006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4279.0292548546358</v>
          </cell>
          <cell r="X511"/>
          <cell r="Y511"/>
          <cell r="Z511"/>
          <cell r="AA511"/>
          <cell r="AB511"/>
          <cell r="AC511"/>
          <cell r="AD511"/>
          <cell r="AE511">
            <v>1608.0582000000002</v>
          </cell>
          <cell r="AF511">
            <v>1608.0582000000002</v>
          </cell>
          <cell r="AG511">
            <v>1</v>
          </cell>
          <cell r="AH511">
            <v>5231</v>
          </cell>
          <cell r="AI511">
            <v>1728.71741</v>
          </cell>
          <cell r="AJ511">
            <v>1671.8745330000002</v>
          </cell>
          <cell r="AK511">
            <v>1840.2766729999998</v>
          </cell>
          <cell r="AL511">
            <v>1435.049082</v>
          </cell>
          <cell r="AM511">
            <v>1354.1225009999998</v>
          </cell>
          <cell r="AN511">
            <v>2943.8995159999999</v>
          </cell>
          <cell r="AO511">
            <v>1250.100533</v>
          </cell>
          <cell r="AP511">
            <v>780.77927499999998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2053.2539999999999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5231</v>
          </cell>
          <cell r="BI511">
            <v>4279.0292548546358</v>
          </cell>
          <cell r="BJ511">
            <v>1.2224735304310752</v>
          </cell>
          <cell r="BK511">
            <v>1.2224735304310752</v>
          </cell>
          <cell r="BL511">
            <v>0</v>
          </cell>
        </row>
        <row r="512">
          <cell r="A512" t="str">
            <v>TROMBAY TPS8</v>
          </cell>
          <cell r="B512" t="str">
            <v>TROMBAY TPS</v>
          </cell>
          <cell r="C512">
            <v>250</v>
          </cell>
          <cell r="D512"/>
          <cell r="E512">
            <v>1.1245071591616518</v>
          </cell>
          <cell r="F512">
            <v>19.002500000000001</v>
          </cell>
          <cell r="G512">
            <v>72.898300000000006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1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4279.0292548546358</v>
          </cell>
          <cell r="X512"/>
          <cell r="Y512"/>
          <cell r="Z512"/>
          <cell r="AA512"/>
          <cell r="AB512"/>
          <cell r="AC512"/>
          <cell r="AD512"/>
          <cell r="AE512">
            <v>1608.0582000000002</v>
          </cell>
          <cell r="AF512">
            <v>1608.0582000000002</v>
          </cell>
          <cell r="AG512">
            <v>1</v>
          </cell>
          <cell r="AH512">
            <v>5231</v>
          </cell>
          <cell r="AI512">
            <v>1728.71741</v>
          </cell>
          <cell r="AJ512">
            <v>1671.8745330000002</v>
          </cell>
          <cell r="AK512">
            <v>1840.2766729999998</v>
          </cell>
          <cell r="AL512">
            <v>1435.049082</v>
          </cell>
          <cell r="AM512">
            <v>1354.1225009999998</v>
          </cell>
          <cell r="AN512">
            <v>2943.8995159999999</v>
          </cell>
          <cell r="AO512">
            <v>1250.100533</v>
          </cell>
          <cell r="AP512">
            <v>780.77927499999998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2053.2539999999999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5231</v>
          </cell>
          <cell r="BI512">
            <v>4279.0292548546358</v>
          </cell>
          <cell r="BJ512">
            <v>1.2224735304310752</v>
          </cell>
          <cell r="BK512">
            <v>1.2224735304310752</v>
          </cell>
          <cell r="BL512">
            <v>0</v>
          </cell>
        </row>
        <row r="513">
          <cell r="A513" t="str">
            <v>TUTICORIN TPS1</v>
          </cell>
          <cell r="B513" t="str">
            <v>TUTICORIN TPS</v>
          </cell>
          <cell r="C513">
            <v>210</v>
          </cell>
          <cell r="D513" t="str">
            <v>INTER MODAL</v>
          </cell>
          <cell r="E513">
            <v>1.1290697674418604</v>
          </cell>
          <cell r="F513">
            <v>8.7622199999999992</v>
          </cell>
          <cell r="G513">
            <v>78.175600000000003</v>
          </cell>
          <cell r="H513">
            <v>0</v>
          </cell>
          <cell r="I513">
            <v>0.10133747348238789</v>
          </cell>
          <cell r="J513">
            <v>0.15743646229310954</v>
          </cell>
          <cell r="K513">
            <v>0.74122606422450255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 t="e">
            <v>#DIV/0!</v>
          </cell>
          <cell r="Q513">
            <v>4836.2211451880285</v>
          </cell>
          <cell r="R513">
            <v>6242.5597089292978</v>
          </cell>
          <cell r="S513">
            <v>3664.447859199407</v>
          </cell>
          <cell r="T513" t="e">
            <v>#DIV/0!</v>
          </cell>
          <cell r="U513" t="e">
            <v>#DIV/0!</v>
          </cell>
          <cell r="V513" t="e">
            <v>#DIV/0!</v>
          </cell>
          <cell r="W513" t="e">
            <v>#DIV/0!</v>
          </cell>
          <cell r="X513"/>
          <cell r="Y513">
            <v>186.27911124517692</v>
          </cell>
          <cell r="Z513">
            <v>653.69508381646597</v>
          </cell>
          <cell r="AA513">
            <v>1064.6827981645149</v>
          </cell>
          <cell r="AB513"/>
          <cell r="AC513"/>
          <cell r="AD513"/>
          <cell r="AE513"/>
          <cell r="AF513">
            <v>1904.6569932261577</v>
          </cell>
          <cell r="AG513">
            <v>0.19627287722881157</v>
          </cell>
          <cell r="AH513">
            <v>2557.5279058155957</v>
          </cell>
          <cell r="AI513">
            <v>2219.5479009999999</v>
          </cell>
          <cell r="AJ513">
            <v>2162.7050240000003</v>
          </cell>
          <cell r="AK513">
            <v>2314.9159100000002</v>
          </cell>
          <cell r="AL513">
            <v>1883.994091</v>
          </cell>
          <cell r="AM513">
            <v>2151.5004559999998</v>
          </cell>
          <cell r="AN513">
            <v>3524.5956910000004</v>
          </cell>
          <cell r="AO513">
            <v>1852.1899469999998</v>
          </cell>
          <cell r="AP513">
            <v>1565.70965</v>
          </cell>
          <cell r="AQ513">
            <v>0</v>
          </cell>
          <cell r="AR513">
            <v>418.81602275578518</v>
          </cell>
          <cell r="AS513">
            <v>672.16993779363781</v>
          </cell>
          <cell r="AT513">
            <v>2874.5576943818137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3187.2149920014253</v>
          </cell>
          <cell r="BH513">
            <v>5744.742897817021</v>
          </cell>
          <cell r="BI513">
            <v>4189.0812125130678</v>
          </cell>
          <cell r="BJ513">
            <v>1.37136107093295</v>
          </cell>
          <cell r="BK513">
            <v>0.61052239765036964</v>
          </cell>
          <cell r="BL513">
            <v>0.76083867328258026</v>
          </cell>
        </row>
        <row r="514">
          <cell r="A514" t="str">
            <v>TUTICORIN TPS2</v>
          </cell>
          <cell r="B514" t="str">
            <v>TUTICORIN TPS</v>
          </cell>
          <cell r="C514">
            <v>210</v>
          </cell>
          <cell r="D514" t="str">
            <v>INTER MODAL</v>
          </cell>
          <cell r="E514">
            <v>1.1290697674418604</v>
          </cell>
          <cell r="F514">
            <v>8.7622199999999992</v>
          </cell>
          <cell r="G514">
            <v>78.175600000000003</v>
          </cell>
          <cell r="H514">
            <v>0</v>
          </cell>
          <cell r="I514">
            <v>0.10133747348238789</v>
          </cell>
          <cell r="J514">
            <v>0.15743646229310954</v>
          </cell>
          <cell r="K514">
            <v>0.74122606422450255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 t="e">
            <v>#DIV/0!</v>
          </cell>
          <cell r="Q514">
            <v>4836.2211451880285</v>
          </cell>
          <cell r="R514">
            <v>6242.5597089292978</v>
          </cell>
          <cell r="S514">
            <v>3664.447859199407</v>
          </cell>
          <cell r="T514" t="e">
            <v>#DIV/0!</v>
          </cell>
          <cell r="U514" t="e">
            <v>#DIV/0!</v>
          </cell>
          <cell r="V514" t="e">
            <v>#DIV/0!</v>
          </cell>
          <cell r="W514" t="e">
            <v>#DIV/0!</v>
          </cell>
          <cell r="X514"/>
          <cell r="Y514">
            <v>186.27911124517692</v>
          </cell>
          <cell r="Z514">
            <v>653.69508381646597</v>
          </cell>
          <cell r="AA514">
            <v>1064.6827981645149</v>
          </cell>
          <cell r="AB514"/>
          <cell r="AC514"/>
          <cell r="AD514"/>
          <cell r="AE514"/>
          <cell r="AF514">
            <v>1904.6569932261577</v>
          </cell>
          <cell r="AG514">
            <v>0.19627287722881157</v>
          </cell>
          <cell r="AH514">
            <v>2557.5279058155957</v>
          </cell>
          <cell r="AI514">
            <v>2219.5479009999999</v>
          </cell>
          <cell r="AJ514">
            <v>2162.7050240000003</v>
          </cell>
          <cell r="AK514">
            <v>2314.9159100000002</v>
          </cell>
          <cell r="AL514">
            <v>1883.994091</v>
          </cell>
          <cell r="AM514">
            <v>2151.5004559999998</v>
          </cell>
          <cell r="AN514">
            <v>3524.5956910000004</v>
          </cell>
          <cell r="AO514">
            <v>1852.1899469999998</v>
          </cell>
          <cell r="AP514">
            <v>1565.70965</v>
          </cell>
          <cell r="AQ514">
            <v>0</v>
          </cell>
          <cell r="AR514">
            <v>418.81602275578518</v>
          </cell>
          <cell r="AS514">
            <v>672.16993779363781</v>
          </cell>
          <cell r="AT514">
            <v>2874.5576943818137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3187.2149920014253</v>
          </cell>
          <cell r="BH514">
            <v>5744.742897817021</v>
          </cell>
          <cell r="BI514">
            <v>4189.0812125130678</v>
          </cell>
          <cell r="BJ514">
            <v>1.37136107093295</v>
          </cell>
          <cell r="BK514">
            <v>0.61052239765036964</v>
          </cell>
          <cell r="BL514">
            <v>0.76083867328258026</v>
          </cell>
        </row>
        <row r="515">
          <cell r="A515" t="str">
            <v>TUTICORIN TPS3</v>
          </cell>
          <cell r="B515" t="str">
            <v>TUTICORIN TPS</v>
          </cell>
          <cell r="C515">
            <v>210</v>
          </cell>
          <cell r="D515" t="str">
            <v>INTER MODAL</v>
          </cell>
          <cell r="E515">
            <v>1.1290697674418604</v>
          </cell>
          <cell r="F515">
            <v>8.7622199999999992</v>
          </cell>
          <cell r="G515">
            <v>78.175600000000003</v>
          </cell>
          <cell r="H515">
            <v>0</v>
          </cell>
          <cell r="I515">
            <v>0.10133747348238789</v>
          </cell>
          <cell r="J515">
            <v>0.15743646229310954</v>
          </cell>
          <cell r="K515">
            <v>0.74122606422450255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 t="e">
            <v>#DIV/0!</v>
          </cell>
          <cell r="Q515">
            <v>4836.2211451880285</v>
          </cell>
          <cell r="R515">
            <v>6242.5597089292978</v>
          </cell>
          <cell r="S515">
            <v>3664.447859199407</v>
          </cell>
          <cell r="T515" t="e">
            <v>#DIV/0!</v>
          </cell>
          <cell r="U515" t="e">
            <v>#DIV/0!</v>
          </cell>
          <cell r="V515" t="e">
            <v>#DIV/0!</v>
          </cell>
          <cell r="W515" t="e">
            <v>#DIV/0!</v>
          </cell>
          <cell r="X515"/>
          <cell r="Y515">
            <v>186.27911124517692</v>
          </cell>
          <cell r="Z515">
            <v>653.69508381646597</v>
          </cell>
          <cell r="AA515">
            <v>1064.6827981645149</v>
          </cell>
          <cell r="AB515"/>
          <cell r="AC515"/>
          <cell r="AD515"/>
          <cell r="AE515"/>
          <cell r="AF515">
            <v>1904.6569932261577</v>
          </cell>
          <cell r="AG515">
            <v>0.19627287722881157</v>
          </cell>
          <cell r="AH515">
            <v>2557.5279058155957</v>
          </cell>
          <cell r="AI515">
            <v>2219.5479009999999</v>
          </cell>
          <cell r="AJ515">
            <v>2162.7050240000003</v>
          </cell>
          <cell r="AK515">
            <v>2314.9159100000002</v>
          </cell>
          <cell r="AL515">
            <v>1883.994091</v>
          </cell>
          <cell r="AM515">
            <v>2151.5004559999998</v>
          </cell>
          <cell r="AN515">
            <v>3524.5956910000004</v>
          </cell>
          <cell r="AO515">
            <v>1852.1899469999998</v>
          </cell>
          <cell r="AP515">
            <v>1565.70965</v>
          </cell>
          <cell r="AQ515">
            <v>0</v>
          </cell>
          <cell r="AR515">
            <v>418.81602275578518</v>
          </cell>
          <cell r="AS515">
            <v>672.16993779363781</v>
          </cell>
          <cell r="AT515">
            <v>2874.5576943818137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3187.2149920014253</v>
          </cell>
          <cell r="BH515">
            <v>5744.742897817021</v>
          </cell>
          <cell r="BI515">
            <v>4189.0812125130678</v>
          </cell>
          <cell r="BJ515">
            <v>1.37136107093295</v>
          </cell>
          <cell r="BK515">
            <v>0.61052239765036964</v>
          </cell>
          <cell r="BL515">
            <v>0.76083867328258026</v>
          </cell>
        </row>
        <row r="516">
          <cell r="A516" t="str">
            <v>TUTICORIN TPS4</v>
          </cell>
          <cell r="B516" t="str">
            <v>TUTICORIN TPS</v>
          </cell>
          <cell r="C516">
            <v>210</v>
          </cell>
          <cell r="D516" t="str">
            <v>INTER MODAL</v>
          </cell>
          <cell r="E516">
            <v>1.1290697674418604</v>
          </cell>
          <cell r="F516">
            <v>8.7622199999999992</v>
          </cell>
          <cell r="G516">
            <v>78.175600000000003</v>
          </cell>
          <cell r="H516">
            <v>0</v>
          </cell>
          <cell r="I516">
            <v>0.10133747348238789</v>
          </cell>
          <cell r="J516">
            <v>0.15743646229310954</v>
          </cell>
          <cell r="K516">
            <v>0.74122606422450255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 t="e">
            <v>#DIV/0!</v>
          </cell>
          <cell r="Q516">
            <v>4836.2211451880285</v>
          </cell>
          <cell r="R516">
            <v>6242.5597089292978</v>
          </cell>
          <cell r="S516">
            <v>3664.447859199407</v>
          </cell>
          <cell r="T516" t="e">
            <v>#DIV/0!</v>
          </cell>
          <cell r="U516" t="e">
            <v>#DIV/0!</v>
          </cell>
          <cell r="V516" t="e">
            <v>#DIV/0!</v>
          </cell>
          <cell r="W516" t="e">
            <v>#DIV/0!</v>
          </cell>
          <cell r="X516"/>
          <cell r="Y516">
            <v>186.27911124517692</v>
          </cell>
          <cell r="Z516">
            <v>653.69508381646597</v>
          </cell>
          <cell r="AA516">
            <v>1064.6827981645149</v>
          </cell>
          <cell r="AB516"/>
          <cell r="AC516"/>
          <cell r="AD516"/>
          <cell r="AE516"/>
          <cell r="AF516">
            <v>1904.6569932261577</v>
          </cell>
          <cell r="AG516">
            <v>0.19627287722881157</v>
          </cell>
          <cell r="AH516">
            <v>2557.5279058155957</v>
          </cell>
          <cell r="AI516">
            <v>2219.5479009999999</v>
          </cell>
          <cell r="AJ516">
            <v>2162.7050240000003</v>
          </cell>
          <cell r="AK516">
            <v>2314.9159100000002</v>
          </cell>
          <cell r="AL516">
            <v>1883.994091</v>
          </cell>
          <cell r="AM516">
            <v>2151.5004559999998</v>
          </cell>
          <cell r="AN516">
            <v>3524.5956910000004</v>
          </cell>
          <cell r="AO516">
            <v>1852.1899469999998</v>
          </cell>
          <cell r="AP516">
            <v>1565.70965</v>
          </cell>
          <cell r="AQ516">
            <v>0</v>
          </cell>
          <cell r="AR516">
            <v>418.81602275578518</v>
          </cell>
          <cell r="AS516">
            <v>672.16993779363781</v>
          </cell>
          <cell r="AT516">
            <v>2874.5576943818137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3187.2149920014253</v>
          </cell>
          <cell r="BH516">
            <v>5744.742897817021</v>
          </cell>
          <cell r="BI516">
            <v>4189.0812125130678</v>
          </cell>
          <cell r="BJ516">
            <v>1.37136107093295</v>
          </cell>
          <cell r="BK516">
            <v>0.61052239765036964</v>
          </cell>
          <cell r="BL516">
            <v>0.76083867328258026</v>
          </cell>
        </row>
        <row r="517">
          <cell r="A517" t="str">
            <v>TUTICORIN TPS5</v>
          </cell>
          <cell r="B517" t="str">
            <v>TUTICORIN TPS</v>
          </cell>
          <cell r="C517">
            <v>210</v>
          </cell>
          <cell r="D517" t="str">
            <v>INTER MODAL</v>
          </cell>
          <cell r="E517">
            <v>1.1290697674418604</v>
          </cell>
          <cell r="F517">
            <v>8.7622199999999992</v>
          </cell>
          <cell r="G517">
            <v>78.175600000000003</v>
          </cell>
          <cell r="H517">
            <v>0</v>
          </cell>
          <cell r="I517">
            <v>0.10133747348238789</v>
          </cell>
          <cell r="J517">
            <v>0.15743646229310954</v>
          </cell>
          <cell r="K517">
            <v>0.74122606422450255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 t="e">
            <v>#DIV/0!</v>
          </cell>
          <cell r="Q517">
            <v>4836.2211451880285</v>
          </cell>
          <cell r="R517">
            <v>6242.5597089292978</v>
          </cell>
          <cell r="S517">
            <v>3664.447859199407</v>
          </cell>
          <cell r="T517" t="e">
            <v>#DIV/0!</v>
          </cell>
          <cell r="U517" t="e">
            <v>#DIV/0!</v>
          </cell>
          <cell r="V517" t="e">
            <v>#DIV/0!</v>
          </cell>
          <cell r="W517" t="e">
            <v>#DIV/0!</v>
          </cell>
          <cell r="X517"/>
          <cell r="Y517">
            <v>186.27911124517692</v>
          </cell>
          <cell r="Z517">
            <v>653.69508381646597</v>
          </cell>
          <cell r="AA517">
            <v>1064.6827981645149</v>
          </cell>
          <cell r="AB517"/>
          <cell r="AC517"/>
          <cell r="AD517"/>
          <cell r="AE517"/>
          <cell r="AF517">
            <v>1904.6569932261577</v>
          </cell>
          <cell r="AG517">
            <v>0.19627287722881157</v>
          </cell>
          <cell r="AH517">
            <v>2557.5279058155957</v>
          </cell>
          <cell r="AI517">
            <v>2219.5479009999999</v>
          </cell>
          <cell r="AJ517">
            <v>2162.7050240000003</v>
          </cell>
          <cell r="AK517">
            <v>2314.9159100000002</v>
          </cell>
          <cell r="AL517">
            <v>1883.994091</v>
          </cell>
          <cell r="AM517">
            <v>2151.5004559999998</v>
          </cell>
          <cell r="AN517">
            <v>3524.5956910000004</v>
          </cell>
          <cell r="AO517">
            <v>1852.1899469999998</v>
          </cell>
          <cell r="AP517">
            <v>1565.70965</v>
          </cell>
          <cell r="AQ517">
            <v>0</v>
          </cell>
          <cell r="AR517">
            <v>418.81602275578518</v>
          </cell>
          <cell r="AS517">
            <v>672.16993779363781</v>
          </cell>
          <cell r="AT517">
            <v>2874.5576943818137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3187.2149920014253</v>
          </cell>
          <cell r="BH517">
            <v>5744.742897817021</v>
          </cell>
          <cell r="BI517">
            <v>4189.0812125130678</v>
          </cell>
          <cell r="BJ517">
            <v>1.37136107093295</v>
          </cell>
          <cell r="BK517">
            <v>0.61052239765036964</v>
          </cell>
          <cell r="BL517">
            <v>0.76083867328258026</v>
          </cell>
        </row>
        <row r="518">
          <cell r="A518" t="str">
            <v>UKAI TPS3</v>
          </cell>
          <cell r="B518" t="str">
            <v>UKAI TPS</v>
          </cell>
          <cell r="C518">
            <v>200</v>
          </cell>
          <cell r="D518" t="str">
            <v>RAIL</v>
          </cell>
          <cell r="E518"/>
          <cell r="F518">
            <v>21.209399999999999</v>
          </cell>
          <cell r="G518">
            <v>73.556299999999993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0.85296774146088927</v>
          </cell>
          <cell r="O518">
            <v>0.14703225853911084</v>
          </cell>
          <cell r="P518" t="e">
            <v>#DIV/0!</v>
          </cell>
          <cell r="Q518" t="e">
            <v>#DIV/0!</v>
          </cell>
          <cell r="R518" t="e">
            <v>#DIV/0!</v>
          </cell>
          <cell r="S518" t="e">
            <v>#DIV/0!</v>
          </cell>
          <cell r="T518" t="e">
            <v>#DIV/0!</v>
          </cell>
          <cell r="U518" t="e">
            <v>#DIV/0!</v>
          </cell>
          <cell r="V518">
            <v>4224.124816524135</v>
          </cell>
          <cell r="W518">
            <v>4346.3824840085445</v>
          </cell>
          <cell r="X518"/>
          <cell r="Y518"/>
          <cell r="Z518"/>
          <cell r="AA518"/>
          <cell r="AB518"/>
          <cell r="AC518"/>
          <cell r="AD518">
            <v>1371.6217709916632</v>
          </cell>
          <cell r="AE518">
            <v>249.05749576133394</v>
          </cell>
          <cell r="AF518">
            <v>1620.6792667529971</v>
          </cell>
          <cell r="AG518">
            <v>9.7715240367696243E-2</v>
          </cell>
          <cell r="AH518">
            <v>1973.4626250067054</v>
          </cell>
          <cell r="AI518">
            <v>1572.5648799999999</v>
          </cell>
          <cell r="AJ518">
            <v>1515.7220030000001</v>
          </cell>
          <cell r="AK518">
            <v>1680.3721210000001</v>
          </cell>
          <cell r="AL518">
            <v>1286.4782259999999</v>
          </cell>
          <cell r="AM518">
            <v>1160.636164</v>
          </cell>
          <cell r="AN518">
            <v>2737.0475200000001</v>
          </cell>
          <cell r="AO518">
            <v>1100.3064870000001</v>
          </cell>
          <cell r="AP518">
            <v>632.20841890000008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2313.5555832288578</v>
          </cell>
          <cell r="AX518">
            <v>276.10629108477178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2336.6124417940146</v>
          </cell>
          <cell r="BH518">
            <v>4310.0750668007204</v>
          </cell>
          <cell r="BI518">
            <v>4242.1006374980961</v>
          </cell>
          <cell r="BJ518">
            <v>1.0160237663156229</v>
          </cell>
          <cell r="BK518">
            <v>0.46520881837697586</v>
          </cell>
          <cell r="BL518">
            <v>0.55081494793864683</v>
          </cell>
        </row>
        <row r="519">
          <cell r="A519" t="str">
            <v>UKAI TPS4</v>
          </cell>
          <cell r="B519" t="str">
            <v>UKAI TPS</v>
          </cell>
          <cell r="C519">
            <v>200</v>
          </cell>
          <cell r="D519" t="str">
            <v>RAIL</v>
          </cell>
          <cell r="E519"/>
          <cell r="F519">
            <v>21.209399999999999</v>
          </cell>
          <cell r="G519">
            <v>73.556299999999993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0.85296774146088927</v>
          </cell>
          <cell r="O519">
            <v>0.14703225853911084</v>
          </cell>
          <cell r="P519" t="e">
            <v>#DIV/0!</v>
          </cell>
          <cell r="Q519" t="e">
            <v>#DIV/0!</v>
          </cell>
          <cell r="R519" t="e">
            <v>#DIV/0!</v>
          </cell>
          <cell r="S519" t="e">
            <v>#DIV/0!</v>
          </cell>
          <cell r="T519" t="e">
            <v>#DIV/0!</v>
          </cell>
          <cell r="U519" t="e">
            <v>#DIV/0!</v>
          </cell>
          <cell r="V519">
            <v>4224.124816524135</v>
          </cell>
          <cell r="W519">
            <v>4346.3824840085445</v>
          </cell>
          <cell r="X519"/>
          <cell r="Y519"/>
          <cell r="Z519"/>
          <cell r="AA519"/>
          <cell r="AB519"/>
          <cell r="AC519"/>
          <cell r="AD519">
            <v>1371.6217709916632</v>
          </cell>
          <cell r="AE519">
            <v>249.05749576133394</v>
          </cell>
          <cell r="AF519">
            <v>1620.6792667529971</v>
          </cell>
          <cell r="AG519">
            <v>9.7715240367696243E-2</v>
          </cell>
          <cell r="AH519">
            <v>1973.4626250067054</v>
          </cell>
          <cell r="AI519">
            <v>1572.5648799999999</v>
          </cell>
          <cell r="AJ519">
            <v>1515.7220030000001</v>
          </cell>
          <cell r="AK519">
            <v>1680.3721210000001</v>
          </cell>
          <cell r="AL519">
            <v>1286.4782259999999</v>
          </cell>
          <cell r="AM519">
            <v>1160.636164</v>
          </cell>
          <cell r="AN519">
            <v>2737.0475200000001</v>
          </cell>
          <cell r="AO519">
            <v>1100.3064870000001</v>
          </cell>
          <cell r="AP519">
            <v>632.20841890000008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2313.5555832288578</v>
          </cell>
          <cell r="AX519">
            <v>276.10629108477178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2336.6124417940146</v>
          </cell>
          <cell r="BH519">
            <v>4310.0750668007204</v>
          </cell>
          <cell r="BI519">
            <v>4242.1006374980961</v>
          </cell>
          <cell r="BJ519">
            <v>1.0160237663156229</v>
          </cell>
          <cell r="BK519">
            <v>0.46520881837697586</v>
          </cell>
          <cell r="BL519">
            <v>0.55081494793864683</v>
          </cell>
        </row>
        <row r="520">
          <cell r="A520" t="str">
            <v>UKAI TPS5</v>
          </cell>
          <cell r="B520" t="str">
            <v>UKAI TPS</v>
          </cell>
          <cell r="C520">
            <v>210</v>
          </cell>
          <cell r="D520" t="str">
            <v>RAIL</v>
          </cell>
          <cell r="E520"/>
          <cell r="F520">
            <v>21.209399999999999</v>
          </cell>
          <cell r="G520">
            <v>73.556299999999993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0.85296774146088927</v>
          </cell>
          <cell r="O520">
            <v>0.14703225853911084</v>
          </cell>
          <cell r="P520" t="e">
            <v>#DIV/0!</v>
          </cell>
          <cell r="Q520" t="e">
            <v>#DIV/0!</v>
          </cell>
          <cell r="R520" t="e">
            <v>#DIV/0!</v>
          </cell>
          <cell r="S520" t="e">
            <v>#DIV/0!</v>
          </cell>
          <cell r="T520" t="e">
            <v>#DIV/0!</v>
          </cell>
          <cell r="U520" t="e">
            <v>#DIV/0!</v>
          </cell>
          <cell r="V520">
            <v>4224.124816524135</v>
          </cell>
          <cell r="W520">
            <v>4346.3824840085445</v>
          </cell>
          <cell r="X520"/>
          <cell r="Y520"/>
          <cell r="Z520"/>
          <cell r="AA520"/>
          <cell r="AB520"/>
          <cell r="AC520"/>
          <cell r="AD520">
            <v>1371.6217709916632</v>
          </cell>
          <cell r="AE520">
            <v>249.05749576133394</v>
          </cell>
          <cell r="AF520">
            <v>1620.6792667529971</v>
          </cell>
          <cell r="AG520">
            <v>9.7715240367696243E-2</v>
          </cell>
          <cell r="AH520">
            <v>1973.4626250067054</v>
          </cell>
          <cell r="AI520">
            <v>1572.5648799999999</v>
          </cell>
          <cell r="AJ520">
            <v>1515.7220030000001</v>
          </cell>
          <cell r="AK520">
            <v>1680.3721210000001</v>
          </cell>
          <cell r="AL520">
            <v>1286.4782259999999</v>
          </cell>
          <cell r="AM520">
            <v>1160.636164</v>
          </cell>
          <cell r="AN520">
            <v>2737.0475200000001</v>
          </cell>
          <cell r="AO520">
            <v>1100.3064870000001</v>
          </cell>
          <cell r="AP520">
            <v>632.20841890000008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2313.5555832288578</v>
          </cell>
          <cell r="AX520">
            <v>276.10629108477178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2336.6124417940146</v>
          </cell>
          <cell r="BH520">
            <v>4310.0750668007204</v>
          </cell>
          <cell r="BI520">
            <v>4242.1006374980961</v>
          </cell>
          <cell r="BJ520">
            <v>1.0160237663156229</v>
          </cell>
          <cell r="BK520">
            <v>0.46520881837697586</v>
          </cell>
          <cell r="BL520">
            <v>0.55081494793864683</v>
          </cell>
        </row>
        <row r="521">
          <cell r="A521" t="str">
            <v>UNCHAHAR STPS1</v>
          </cell>
          <cell r="B521" t="str">
            <v>UNCHAHAR STPS</v>
          </cell>
          <cell r="C521">
            <v>210</v>
          </cell>
          <cell r="D521" t="str">
            <v>RAIL</v>
          </cell>
          <cell r="E521"/>
          <cell r="F521">
            <v>25.914400000000001</v>
          </cell>
          <cell r="G521">
            <v>81.325800000000001</v>
          </cell>
          <cell r="H521">
            <v>0.42534560730009024</v>
          </cell>
          <cell r="I521">
            <v>0.52564215679669646</v>
          </cell>
          <cell r="J521">
            <v>3.4216731655366331E-2</v>
          </cell>
          <cell r="K521">
            <v>0</v>
          </cell>
          <cell r="L521">
            <v>1.4795504247847167E-2</v>
          </cell>
          <cell r="M521">
            <v>0</v>
          </cell>
          <cell r="N521">
            <v>0</v>
          </cell>
          <cell r="O521">
            <v>0</v>
          </cell>
          <cell r="P521">
            <v>4265.9248665810264</v>
          </cell>
          <cell r="Q521">
            <v>4255.7844647679367</v>
          </cell>
          <cell r="R521">
            <v>5826.9470237497217</v>
          </cell>
          <cell r="S521" t="e">
            <v>#DIV/0!</v>
          </cell>
          <cell r="T521">
            <v>4464.9446334592512</v>
          </cell>
          <cell r="U521" t="e">
            <v>#DIV/0!</v>
          </cell>
          <cell r="V521" t="e">
            <v>#DIV/0!</v>
          </cell>
          <cell r="W521" t="e">
            <v>#DIV/0!</v>
          </cell>
          <cell r="X521">
            <v>683.98049165289001</v>
          </cell>
          <cell r="Y521">
            <v>845.26318050261352</v>
          </cell>
          <cell r="Z521">
            <v>130.87685935171314</v>
          </cell>
          <cell r="AA521"/>
          <cell r="AB521">
            <v>25.062059667095408</v>
          </cell>
          <cell r="AC521"/>
          <cell r="AD521"/>
          <cell r="AE521"/>
          <cell r="AF521">
            <v>1685.1825911743122</v>
          </cell>
          <cell r="AG521">
            <v>1.1361835485414404E-2</v>
          </cell>
          <cell r="AH521">
            <v>1725.4695852347079</v>
          </cell>
          <cell r="AI521">
            <v>601.61290209999993</v>
          </cell>
          <cell r="AJ521">
            <v>598.20022329999983</v>
          </cell>
          <cell r="AK521">
            <v>696.79552320000005</v>
          </cell>
          <cell r="AL521">
            <v>792.60750910000002</v>
          </cell>
          <cell r="AM521">
            <v>322.10326689999999</v>
          </cell>
          <cell r="AN521">
            <v>1749.0666840000001</v>
          </cell>
          <cell r="AO521">
            <v>556.63072829999999</v>
          </cell>
          <cell r="AP521">
            <v>642.67926679999994</v>
          </cell>
          <cell r="AQ521">
            <v>798.74035281576209</v>
          </cell>
          <cell r="AR521">
            <v>874.02726547841087</v>
          </cell>
          <cell r="AS521">
            <v>64.25430013980953</v>
          </cell>
          <cell r="AT521">
            <v>0</v>
          </cell>
          <cell r="AU521">
            <v>16.570550483469887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1733.6684397771508</v>
          </cell>
          <cell r="BH521">
            <v>3459.1380250118586</v>
          </cell>
          <cell r="BI521">
            <v>4316.9523179673752</v>
          </cell>
          <cell r="BJ521">
            <v>0.80129169150531276</v>
          </cell>
          <cell r="BK521">
            <v>0.39969623432096196</v>
          </cell>
          <cell r="BL521">
            <v>0.40159545718435075</v>
          </cell>
        </row>
        <row r="522">
          <cell r="A522" t="str">
            <v>UNCHAHAR STPS2</v>
          </cell>
          <cell r="B522" t="str">
            <v>UNCHAHAR STPS</v>
          </cell>
          <cell r="C522">
            <v>210</v>
          </cell>
          <cell r="D522" t="str">
            <v>RAIL</v>
          </cell>
          <cell r="E522"/>
          <cell r="F522">
            <v>25.914400000000001</v>
          </cell>
          <cell r="G522">
            <v>81.325800000000001</v>
          </cell>
          <cell r="H522">
            <v>0.42534560730009024</v>
          </cell>
          <cell r="I522">
            <v>0.52564215679669646</v>
          </cell>
          <cell r="J522">
            <v>3.4216731655366331E-2</v>
          </cell>
          <cell r="K522">
            <v>0</v>
          </cell>
          <cell r="L522">
            <v>1.4795504247847167E-2</v>
          </cell>
          <cell r="M522">
            <v>0</v>
          </cell>
          <cell r="N522">
            <v>0</v>
          </cell>
          <cell r="O522">
            <v>0</v>
          </cell>
          <cell r="P522">
            <v>4265.9248665810264</v>
          </cell>
          <cell r="Q522">
            <v>4255.7844647679367</v>
          </cell>
          <cell r="R522">
            <v>5826.9470237497217</v>
          </cell>
          <cell r="S522" t="e">
            <v>#DIV/0!</v>
          </cell>
          <cell r="T522">
            <v>4464.9446334592512</v>
          </cell>
          <cell r="U522" t="e">
            <v>#DIV/0!</v>
          </cell>
          <cell r="V522" t="e">
            <v>#DIV/0!</v>
          </cell>
          <cell r="W522" t="e">
            <v>#DIV/0!</v>
          </cell>
          <cell r="X522">
            <v>683.98049165289001</v>
          </cell>
          <cell r="Y522">
            <v>845.26318050261352</v>
          </cell>
          <cell r="Z522">
            <v>130.87685935171314</v>
          </cell>
          <cell r="AA522"/>
          <cell r="AB522">
            <v>25.062059667095408</v>
          </cell>
          <cell r="AC522"/>
          <cell r="AD522"/>
          <cell r="AE522"/>
          <cell r="AF522">
            <v>1685.1825911743122</v>
          </cell>
          <cell r="AG522">
            <v>1.1361835485414404E-2</v>
          </cell>
          <cell r="AH522">
            <v>1725.4695852347079</v>
          </cell>
          <cell r="AI522">
            <v>601.61290209999993</v>
          </cell>
          <cell r="AJ522">
            <v>598.20022329999983</v>
          </cell>
          <cell r="AK522">
            <v>696.79552320000005</v>
          </cell>
          <cell r="AL522">
            <v>792.60750910000002</v>
          </cell>
          <cell r="AM522">
            <v>322.10326689999999</v>
          </cell>
          <cell r="AN522">
            <v>1749.0666840000001</v>
          </cell>
          <cell r="AO522">
            <v>556.63072829999999</v>
          </cell>
          <cell r="AP522">
            <v>642.67926679999994</v>
          </cell>
          <cell r="AQ522">
            <v>798.74035281576209</v>
          </cell>
          <cell r="AR522">
            <v>874.02726547841087</v>
          </cell>
          <cell r="AS522">
            <v>64.25430013980953</v>
          </cell>
          <cell r="AT522">
            <v>0</v>
          </cell>
          <cell r="AU522">
            <v>16.570550483469887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1733.6684397771508</v>
          </cell>
          <cell r="BH522">
            <v>3459.1380250118586</v>
          </cell>
          <cell r="BI522">
            <v>4316.9523179673752</v>
          </cell>
          <cell r="BJ522">
            <v>0.80129169150531276</v>
          </cell>
          <cell r="BK522">
            <v>0.39969623432096196</v>
          </cell>
          <cell r="BL522">
            <v>0.40159545718435075</v>
          </cell>
        </row>
        <row r="523">
          <cell r="A523" t="str">
            <v>UNCHAHAR STPS3</v>
          </cell>
          <cell r="B523" t="str">
            <v>UNCHAHAR STPS</v>
          </cell>
          <cell r="C523">
            <v>210</v>
          </cell>
          <cell r="D523" t="str">
            <v>RAIL</v>
          </cell>
          <cell r="E523"/>
          <cell r="F523">
            <v>25.914400000000001</v>
          </cell>
          <cell r="G523">
            <v>81.325800000000001</v>
          </cell>
          <cell r="H523">
            <v>0.42534560730009024</v>
          </cell>
          <cell r="I523">
            <v>0.52564215679669646</v>
          </cell>
          <cell r="J523">
            <v>3.4216731655366331E-2</v>
          </cell>
          <cell r="K523">
            <v>0</v>
          </cell>
          <cell r="L523">
            <v>1.4795504247847167E-2</v>
          </cell>
          <cell r="M523">
            <v>0</v>
          </cell>
          <cell r="N523">
            <v>0</v>
          </cell>
          <cell r="O523">
            <v>0</v>
          </cell>
          <cell r="P523">
            <v>4265.9248665810264</v>
          </cell>
          <cell r="Q523">
            <v>4255.7844647679367</v>
          </cell>
          <cell r="R523">
            <v>5826.9470237497217</v>
          </cell>
          <cell r="S523" t="e">
            <v>#DIV/0!</v>
          </cell>
          <cell r="T523">
            <v>4464.9446334592512</v>
          </cell>
          <cell r="U523" t="e">
            <v>#DIV/0!</v>
          </cell>
          <cell r="V523" t="e">
            <v>#DIV/0!</v>
          </cell>
          <cell r="W523" t="e">
            <v>#DIV/0!</v>
          </cell>
          <cell r="X523">
            <v>683.98049165289001</v>
          </cell>
          <cell r="Y523">
            <v>845.26318050261352</v>
          </cell>
          <cell r="Z523">
            <v>130.87685935171314</v>
          </cell>
          <cell r="AA523"/>
          <cell r="AB523">
            <v>25.062059667095408</v>
          </cell>
          <cell r="AC523"/>
          <cell r="AD523"/>
          <cell r="AE523"/>
          <cell r="AF523">
            <v>1685.1825911743122</v>
          </cell>
          <cell r="AG523">
            <v>1.1361835485414404E-2</v>
          </cell>
          <cell r="AH523">
            <v>1725.4695852347079</v>
          </cell>
          <cell r="AI523">
            <v>601.61290209999993</v>
          </cell>
          <cell r="AJ523">
            <v>598.20022329999983</v>
          </cell>
          <cell r="AK523">
            <v>696.79552320000005</v>
          </cell>
          <cell r="AL523">
            <v>792.60750910000002</v>
          </cell>
          <cell r="AM523">
            <v>322.10326689999999</v>
          </cell>
          <cell r="AN523">
            <v>1749.0666840000001</v>
          </cell>
          <cell r="AO523">
            <v>556.63072829999999</v>
          </cell>
          <cell r="AP523">
            <v>642.67926679999994</v>
          </cell>
          <cell r="AQ523">
            <v>798.74035281576209</v>
          </cell>
          <cell r="AR523">
            <v>874.02726547841087</v>
          </cell>
          <cell r="AS523">
            <v>64.25430013980953</v>
          </cell>
          <cell r="AT523">
            <v>0</v>
          </cell>
          <cell r="AU523">
            <v>16.570550483469887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1733.6684397771508</v>
          </cell>
          <cell r="BH523">
            <v>3459.1380250118586</v>
          </cell>
          <cell r="BI523">
            <v>4316.9523179673752</v>
          </cell>
          <cell r="BJ523">
            <v>0.80129169150531276</v>
          </cell>
          <cell r="BK523">
            <v>0.39969623432096196</v>
          </cell>
          <cell r="BL523">
            <v>0.40159545718435075</v>
          </cell>
        </row>
        <row r="524">
          <cell r="A524" t="str">
            <v>UNCHAHAR STPS4</v>
          </cell>
          <cell r="B524" t="str">
            <v>UNCHAHAR STPS</v>
          </cell>
          <cell r="C524">
            <v>210</v>
          </cell>
          <cell r="D524" t="str">
            <v>RAIL</v>
          </cell>
          <cell r="E524"/>
          <cell r="F524">
            <v>25.914400000000001</v>
          </cell>
          <cell r="G524">
            <v>81.325800000000001</v>
          </cell>
          <cell r="H524">
            <v>0.42534560730009024</v>
          </cell>
          <cell r="I524">
            <v>0.52564215679669646</v>
          </cell>
          <cell r="J524">
            <v>3.4216731655366331E-2</v>
          </cell>
          <cell r="K524">
            <v>0</v>
          </cell>
          <cell r="L524">
            <v>1.4795504247847167E-2</v>
          </cell>
          <cell r="M524">
            <v>0</v>
          </cell>
          <cell r="N524">
            <v>0</v>
          </cell>
          <cell r="O524">
            <v>0</v>
          </cell>
          <cell r="P524">
            <v>4265.9248665810264</v>
          </cell>
          <cell r="Q524">
            <v>4255.7844647679367</v>
          </cell>
          <cell r="R524">
            <v>5826.9470237497217</v>
          </cell>
          <cell r="S524" t="e">
            <v>#DIV/0!</v>
          </cell>
          <cell r="T524">
            <v>4464.9446334592512</v>
          </cell>
          <cell r="U524" t="e">
            <v>#DIV/0!</v>
          </cell>
          <cell r="V524" t="e">
            <v>#DIV/0!</v>
          </cell>
          <cell r="W524" t="e">
            <v>#DIV/0!</v>
          </cell>
          <cell r="X524">
            <v>683.98049165289001</v>
          </cell>
          <cell r="Y524">
            <v>845.26318050261352</v>
          </cell>
          <cell r="Z524">
            <v>130.87685935171314</v>
          </cell>
          <cell r="AA524"/>
          <cell r="AB524">
            <v>25.062059667095408</v>
          </cell>
          <cell r="AC524"/>
          <cell r="AD524"/>
          <cell r="AE524"/>
          <cell r="AF524">
            <v>1685.1825911743122</v>
          </cell>
          <cell r="AG524">
            <v>1.1361835485414404E-2</v>
          </cell>
          <cell r="AH524">
            <v>1725.4695852347079</v>
          </cell>
          <cell r="AI524">
            <v>601.61290209999993</v>
          </cell>
          <cell r="AJ524">
            <v>598.20022329999983</v>
          </cell>
          <cell r="AK524">
            <v>696.79552320000005</v>
          </cell>
          <cell r="AL524">
            <v>792.60750910000002</v>
          </cell>
          <cell r="AM524">
            <v>322.10326689999999</v>
          </cell>
          <cell r="AN524">
            <v>1749.0666840000001</v>
          </cell>
          <cell r="AO524">
            <v>556.63072829999999</v>
          </cell>
          <cell r="AP524">
            <v>642.67926679999994</v>
          </cell>
          <cell r="AQ524">
            <v>798.74035281576209</v>
          </cell>
          <cell r="AR524">
            <v>874.02726547841087</v>
          </cell>
          <cell r="AS524">
            <v>64.25430013980953</v>
          </cell>
          <cell r="AT524">
            <v>0</v>
          </cell>
          <cell r="AU524">
            <v>16.570550483469887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1733.6684397771508</v>
          </cell>
          <cell r="BH524">
            <v>3459.1380250118586</v>
          </cell>
          <cell r="BI524">
            <v>4316.9523179673752</v>
          </cell>
          <cell r="BJ524">
            <v>0.80129169150531276</v>
          </cell>
          <cell r="BK524">
            <v>0.39969623432096196</v>
          </cell>
          <cell r="BL524">
            <v>0.40159545718435075</v>
          </cell>
        </row>
        <row r="525">
          <cell r="A525" t="str">
            <v>UNCHAHAR STPS5</v>
          </cell>
          <cell r="B525" t="str">
            <v>UNCHAHAR STPS</v>
          </cell>
          <cell r="C525">
            <v>210</v>
          </cell>
          <cell r="D525" t="str">
            <v>RAIL</v>
          </cell>
          <cell r="E525"/>
          <cell r="F525">
            <v>25.914400000000001</v>
          </cell>
          <cell r="G525">
            <v>81.325800000000001</v>
          </cell>
          <cell r="H525">
            <v>0.42534560730009024</v>
          </cell>
          <cell r="I525">
            <v>0.52564215679669646</v>
          </cell>
          <cell r="J525">
            <v>3.4216731655366331E-2</v>
          </cell>
          <cell r="K525">
            <v>0</v>
          </cell>
          <cell r="L525">
            <v>1.4795504247847167E-2</v>
          </cell>
          <cell r="M525">
            <v>0</v>
          </cell>
          <cell r="N525">
            <v>0</v>
          </cell>
          <cell r="O525">
            <v>0</v>
          </cell>
          <cell r="P525">
            <v>4265.9248665810264</v>
          </cell>
          <cell r="Q525">
            <v>4255.7844647679367</v>
          </cell>
          <cell r="R525">
            <v>5826.9470237497217</v>
          </cell>
          <cell r="S525" t="e">
            <v>#DIV/0!</v>
          </cell>
          <cell r="T525">
            <v>4464.9446334592512</v>
          </cell>
          <cell r="U525" t="e">
            <v>#DIV/0!</v>
          </cell>
          <cell r="V525" t="e">
            <v>#DIV/0!</v>
          </cell>
          <cell r="W525" t="e">
            <v>#DIV/0!</v>
          </cell>
          <cell r="X525">
            <v>683.98049165289001</v>
          </cell>
          <cell r="Y525">
            <v>845.26318050261352</v>
          </cell>
          <cell r="Z525">
            <v>130.87685935171314</v>
          </cell>
          <cell r="AA525"/>
          <cell r="AB525">
            <v>25.062059667095408</v>
          </cell>
          <cell r="AC525"/>
          <cell r="AD525"/>
          <cell r="AE525"/>
          <cell r="AF525">
            <v>1685.1825911743122</v>
          </cell>
          <cell r="AG525">
            <v>1.1361835485414404E-2</v>
          </cell>
          <cell r="AH525">
            <v>1725.4695852347079</v>
          </cell>
          <cell r="AI525">
            <v>601.61290209999993</v>
          </cell>
          <cell r="AJ525">
            <v>598.20022329999983</v>
          </cell>
          <cell r="AK525">
            <v>696.79552320000005</v>
          </cell>
          <cell r="AL525">
            <v>792.60750910000002</v>
          </cell>
          <cell r="AM525">
            <v>322.10326689999999</v>
          </cell>
          <cell r="AN525">
            <v>1749.0666840000001</v>
          </cell>
          <cell r="AO525">
            <v>556.63072829999999</v>
          </cell>
          <cell r="AP525">
            <v>642.67926679999994</v>
          </cell>
          <cell r="AQ525">
            <v>798.74035281576209</v>
          </cell>
          <cell r="AR525">
            <v>874.02726547841087</v>
          </cell>
          <cell r="AS525">
            <v>64.25430013980953</v>
          </cell>
          <cell r="AT525">
            <v>0</v>
          </cell>
          <cell r="AU525">
            <v>16.570550483469887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1733.6684397771508</v>
          </cell>
          <cell r="BH525">
            <v>3459.1380250118586</v>
          </cell>
          <cell r="BI525">
            <v>4316.9523179673752</v>
          </cell>
          <cell r="BJ525">
            <v>0.80129169150531276</v>
          </cell>
          <cell r="BK525">
            <v>0.39969623432096196</v>
          </cell>
          <cell r="BL525">
            <v>0.40159545718435075</v>
          </cell>
        </row>
        <row r="526">
          <cell r="A526" t="str">
            <v>UTRAULA TPS1</v>
          </cell>
          <cell r="B526" t="str">
            <v>UTRAULA TPS</v>
          </cell>
          <cell r="C526">
            <v>45</v>
          </cell>
          <cell r="D526" t="str">
            <v>RAIL</v>
          </cell>
          <cell r="E526" t="str">
            <v/>
          </cell>
          <cell r="F526">
            <v>27.345551799999999</v>
          </cell>
          <cell r="G526">
            <v>82.3139228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1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4503.0962946398622</v>
          </cell>
          <cell r="U526">
            <v>0</v>
          </cell>
          <cell r="V526">
            <v>0</v>
          </cell>
          <cell r="W526">
            <v>0</v>
          </cell>
          <cell r="X526"/>
          <cell r="Y526"/>
          <cell r="Z526"/>
          <cell r="AA526"/>
          <cell r="AB526">
            <v>1693.8969600000003</v>
          </cell>
          <cell r="AC526"/>
          <cell r="AD526"/>
          <cell r="AE526"/>
          <cell r="AF526">
            <v>1693.8969600000003</v>
          </cell>
          <cell r="AG526">
            <v>0</v>
          </cell>
          <cell r="AH526">
            <v>1693.8969600000003</v>
          </cell>
          <cell r="AI526">
            <v>675.5193835</v>
          </cell>
          <cell r="AJ526">
            <v>672.10670460000006</v>
          </cell>
          <cell r="AK526">
            <v>717.38383829999998</v>
          </cell>
          <cell r="AL526">
            <v>913.8115365000001</v>
          </cell>
          <cell r="AM526">
            <v>443.30729430000002</v>
          </cell>
          <cell r="AN526">
            <v>1735.567503</v>
          </cell>
          <cell r="AO526">
            <v>704.61872499999993</v>
          </cell>
          <cell r="AP526">
            <v>865.90799630000004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1444.4220000000003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1444.4220000000003</v>
          </cell>
          <cell r="BH526">
            <v>3138.3189600000005</v>
          </cell>
          <cell r="BI526">
            <v>4503.0962946398622</v>
          </cell>
          <cell r="BJ526">
            <v>0.69692468351956249</v>
          </cell>
          <cell r="BK526">
            <v>0.37616272208442098</v>
          </cell>
          <cell r="BL526">
            <v>0.32076196143514152</v>
          </cell>
        </row>
        <row r="527">
          <cell r="A527" t="str">
            <v>UTRAULA TPS2</v>
          </cell>
          <cell r="B527" t="str">
            <v>UTRAULA TPS</v>
          </cell>
          <cell r="C527">
            <v>45</v>
          </cell>
          <cell r="D527" t="str">
            <v>RAIL</v>
          </cell>
          <cell r="E527" t="str">
            <v/>
          </cell>
          <cell r="F527">
            <v>27.345551799999999</v>
          </cell>
          <cell r="G527">
            <v>82.3139228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1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4503.0962946398622</v>
          </cell>
          <cell r="U527">
            <v>0</v>
          </cell>
          <cell r="V527">
            <v>0</v>
          </cell>
          <cell r="W527">
            <v>0</v>
          </cell>
          <cell r="X527"/>
          <cell r="Y527"/>
          <cell r="Z527"/>
          <cell r="AA527"/>
          <cell r="AB527">
            <v>1693.8969600000003</v>
          </cell>
          <cell r="AC527"/>
          <cell r="AD527"/>
          <cell r="AE527"/>
          <cell r="AF527">
            <v>1693.8969600000003</v>
          </cell>
          <cell r="AG527">
            <v>0</v>
          </cell>
          <cell r="AH527">
            <v>1693.8969600000003</v>
          </cell>
          <cell r="AI527">
            <v>675.5193835</v>
          </cell>
          <cell r="AJ527">
            <v>672.10670460000006</v>
          </cell>
          <cell r="AK527">
            <v>717.38383829999998</v>
          </cell>
          <cell r="AL527">
            <v>913.8115365000001</v>
          </cell>
          <cell r="AM527">
            <v>443.30729430000002</v>
          </cell>
          <cell r="AN527">
            <v>1735.567503</v>
          </cell>
          <cell r="AO527">
            <v>704.61872499999993</v>
          </cell>
          <cell r="AP527">
            <v>865.90799630000004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1444.4220000000003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1444.4220000000003</v>
          </cell>
          <cell r="BH527">
            <v>3138.3189600000005</v>
          </cell>
          <cell r="BI527">
            <v>4503.0962946398622</v>
          </cell>
          <cell r="BJ527">
            <v>0.69692468351956249</v>
          </cell>
          <cell r="BK527">
            <v>0.37616272208442098</v>
          </cell>
          <cell r="BL527">
            <v>0.32076196143514152</v>
          </cell>
        </row>
        <row r="528">
          <cell r="A528" t="str">
            <v>VINDHYACHAL STPS1</v>
          </cell>
          <cell r="B528" t="str">
            <v>VINDHYACHAL STPS</v>
          </cell>
          <cell r="C528">
            <v>210</v>
          </cell>
          <cell r="D528" t="str">
            <v>PITHEAD</v>
          </cell>
          <cell r="E528">
            <v>0.40702348212396872</v>
          </cell>
          <cell r="F528">
            <v>24.100200000000001</v>
          </cell>
          <cell r="G528">
            <v>82.6721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1</v>
          </cell>
          <cell r="M528">
            <v>0</v>
          </cell>
          <cell r="N528">
            <v>0</v>
          </cell>
          <cell r="O528">
            <v>0</v>
          </cell>
          <cell r="P528" t="e">
            <v>#DIV/0!</v>
          </cell>
          <cell r="Q528" t="e">
            <v>#DIV/0!</v>
          </cell>
          <cell r="R528" t="e">
            <v>#DIV/0!</v>
          </cell>
          <cell r="S528" t="e">
            <v>#DIV/0!</v>
          </cell>
          <cell r="T528">
            <v>4450.5827544825906</v>
          </cell>
          <cell r="U528" t="e">
            <v>#DIV/0!</v>
          </cell>
          <cell r="V528" t="e">
            <v>#DIV/0!</v>
          </cell>
          <cell r="W528" t="e">
            <v>#DIV/0!</v>
          </cell>
          <cell r="X528"/>
          <cell r="Y528"/>
          <cell r="Z528"/>
          <cell r="AA528"/>
          <cell r="AB528">
            <v>1693.8969600000003</v>
          </cell>
          <cell r="AC528"/>
          <cell r="AD528"/>
          <cell r="AE528"/>
          <cell r="AF528">
            <v>1693.8969600000003</v>
          </cell>
          <cell r="AG528">
            <v>0</v>
          </cell>
          <cell r="AH528">
            <v>1693.8969600000003</v>
          </cell>
          <cell r="AI528">
            <v>469.52908040000005</v>
          </cell>
          <cell r="AJ528">
            <v>468.29190699999992</v>
          </cell>
          <cell r="AK528">
            <v>569.69621079999979</v>
          </cell>
          <cell r="AL528">
            <v>568.68672879999997</v>
          </cell>
          <cell r="AM528">
            <v>44.382377450000014</v>
          </cell>
          <cell r="AN528">
            <v>1675.9415349999999</v>
          </cell>
          <cell r="AO528">
            <v>356.98295969999992</v>
          </cell>
          <cell r="AP528">
            <v>660.02921019999985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113.19674655898073</v>
          </cell>
          <cell r="BD528">
            <v>0</v>
          </cell>
          <cell r="BE528">
            <v>0</v>
          </cell>
          <cell r="BF528">
            <v>0</v>
          </cell>
          <cell r="BG528">
            <v>113.19674655898073</v>
          </cell>
          <cell r="BH528">
            <v>1807.093706558981</v>
          </cell>
          <cell r="BI528">
            <v>4450.5827544825906</v>
          </cell>
          <cell r="BJ528">
            <v>0.40603530059943072</v>
          </cell>
          <cell r="BK528">
            <v>0.38060116021748414</v>
          </cell>
          <cell r="BL528">
            <v>2.5434140381946586E-2</v>
          </cell>
        </row>
        <row r="529">
          <cell r="A529" t="str">
            <v>VINDHYACHAL STPS2</v>
          </cell>
          <cell r="B529" t="str">
            <v>VINDHYACHAL STPS</v>
          </cell>
          <cell r="C529">
            <v>210</v>
          </cell>
          <cell r="D529" t="str">
            <v>PITHEAD</v>
          </cell>
          <cell r="E529">
            <v>0.40702348212396872</v>
          </cell>
          <cell r="F529">
            <v>24.100200000000001</v>
          </cell>
          <cell r="G529">
            <v>82.6721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1</v>
          </cell>
          <cell r="M529">
            <v>0</v>
          </cell>
          <cell r="N529">
            <v>0</v>
          </cell>
          <cell r="O529">
            <v>0</v>
          </cell>
          <cell r="P529" t="e">
            <v>#DIV/0!</v>
          </cell>
          <cell r="Q529" t="e">
            <v>#DIV/0!</v>
          </cell>
          <cell r="R529" t="e">
            <v>#DIV/0!</v>
          </cell>
          <cell r="S529" t="e">
            <v>#DIV/0!</v>
          </cell>
          <cell r="T529">
            <v>4450.5827544825906</v>
          </cell>
          <cell r="U529" t="e">
            <v>#DIV/0!</v>
          </cell>
          <cell r="V529" t="e">
            <v>#DIV/0!</v>
          </cell>
          <cell r="W529" t="e">
            <v>#DIV/0!</v>
          </cell>
          <cell r="X529"/>
          <cell r="Y529"/>
          <cell r="Z529"/>
          <cell r="AA529"/>
          <cell r="AB529">
            <v>1693.8969600000003</v>
          </cell>
          <cell r="AC529"/>
          <cell r="AD529"/>
          <cell r="AE529"/>
          <cell r="AF529">
            <v>1693.8969600000003</v>
          </cell>
          <cell r="AG529">
            <v>0</v>
          </cell>
          <cell r="AH529">
            <v>1693.8969600000003</v>
          </cell>
          <cell r="AI529">
            <v>469.52908040000005</v>
          </cell>
          <cell r="AJ529">
            <v>468.29190699999992</v>
          </cell>
          <cell r="AK529">
            <v>569.69621079999979</v>
          </cell>
          <cell r="AL529">
            <v>568.68672879999997</v>
          </cell>
          <cell r="AM529">
            <v>44.382377450000014</v>
          </cell>
          <cell r="AN529">
            <v>1675.9415349999999</v>
          </cell>
          <cell r="AO529">
            <v>356.98295969999992</v>
          </cell>
          <cell r="AP529">
            <v>660.02921019999985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113.19674655898073</v>
          </cell>
          <cell r="BD529">
            <v>0</v>
          </cell>
          <cell r="BE529">
            <v>0</v>
          </cell>
          <cell r="BF529">
            <v>0</v>
          </cell>
          <cell r="BG529">
            <v>113.19674655898073</v>
          </cell>
          <cell r="BH529">
            <v>1807.093706558981</v>
          </cell>
          <cell r="BI529">
            <v>4450.5827544825906</v>
          </cell>
          <cell r="BJ529">
            <v>0.40603530059943072</v>
          </cell>
          <cell r="BK529">
            <v>0.38060116021748414</v>
          </cell>
          <cell r="BL529">
            <v>2.5434140381946586E-2</v>
          </cell>
        </row>
        <row r="530">
          <cell r="A530" t="str">
            <v>VINDHYACHAL STPS3</v>
          </cell>
          <cell r="B530" t="str">
            <v>VINDHYACHAL STPS</v>
          </cell>
          <cell r="C530">
            <v>210</v>
          </cell>
          <cell r="D530" t="str">
            <v>PITHEAD</v>
          </cell>
          <cell r="E530">
            <v>0.40702348212396872</v>
          </cell>
          <cell r="F530">
            <v>24.100200000000001</v>
          </cell>
          <cell r="G530">
            <v>82.6721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1</v>
          </cell>
          <cell r="M530">
            <v>0</v>
          </cell>
          <cell r="N530">
            <v>0</v>
          </cell>
          <cell r="O530">
            <v>0</v>
          </cell>
          <cell r="P530" t="e">
            <v>#DIV/0!</v>
          </cell>
          <cell r="Q530" t="e">
            <v>#DIV/0!</v>
          </cell>
          <cell r="R530" t="e">
            <v>#DIV/0!</v>
          </cell>
          <cell r="S530" t="e">
            <v>#DIV/0!</v>
          </cell>
          <cell r="T530">
            <v>4450.5827544825906</v>
          </cell>
          <cell r="U530" t="e">
            <v>#DIV/0!</v>
          </cell>
          <cell r="V530" t="e">
            <v>#DIV/0!</v>
          </cell>
          <cell r="W530" t="e">
            <v>#DIV/0!</v>
          </cell>
          <cell r="X530"/>
          <cell r="Y530"/>
          <cell r="Z530"/>
          <cell r="AA530"/>
          <cell r="AB530">
            <v>1693.8969600000003</v>
          </cell>
          <cell r="AC530"/>
          <cell r="AD530"/>
          <cell r="AE530"/>
          <cell r="AF530">
            <v>1693.8969600000003</v>
          </cell>
          <cell r="AG530">
            <v>0</v>
          </cell>
          <cell r="AH530">
            <v>1693.8969600000003</v>
          </cell>
          <cell r="AI530">
            <v>469.52908040000005</v>
          </cell>
          <cell r="AJ530">
            <v>468.29190699999992</v>
          </cell>
          <cell r="AK530">
            <v>569.69621079999979</v>
          </cell>
          <cell r="AL530">
            <v>568.68672879999997</v>
          </cell>
          <cell r="AM530">
            <v>44.382377450000014</v>
          </cell>
          <cell r="AN530">
            <v>1675.9415349999999</v>
          </cell>
          <cell r="AO530">
            <v>356.98295969999992</v>
          </cell>
          <cell r="AP530">
            <v>660.02921019999985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113.19674655898073</v>
          </cell>
          <cell r="BD530">
            <v>0</v>
          </cell>
          <cell r="BE530">
            <v>0</v>
          </cell>
          <cell r="BF530">
            <v>0</v>
          </cell>
          <cell r="BG530">
            <v>113.19674655898073</v>
          </cell>
          <cell r="BH530">
            <v>1807.093706558981</v>
          </cell>
          <cell r="BI530">
            <v>4450.5827544825906</v>
          </cell>
          <cell r="BJ530">
            <v>0.40603530059943072</v>
          </cell>
          <cell r="BK530">
            <v>0.38060116021748414</v>
          </cell>
          <cell r="BL530">
            <v>2.5434140381946586E-2</v>
          </cell>
        </row>
        <row r="531">
          <cell r="A531" t="str">
            <v>VINDHYACHAL STPS4</v>
          </cell>
          <cell r="B531" t="str">
            <v>VINDHYACHAL STPS</v>
          </cell>
          <cell r="C531">
            <v>210</v>
          </cell>
          <cell r="D531" t="str">
            <v>PITHEAD</v>
          </cell>
          <cell r="E531">
            <v>0.40702348212396872</v>
          </cell>
          <cell r="F531">
            <v>24.100200000000001</v>
          </cell>
          <cell r="G531">
            <v>82.6721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1</v>
          </cell>
          <cell r="M531">
            <v>0</v>
          </cell>
          <cell r="N531">
            <v>0</v>
          </cell>
          <cell r="O531">
            <v>0</v>
          </cell>
          <cell r="P531" t="e">
            <v>#DIV/0!</v>
          </cell>
          <cell r="Q531" t="e">
            <v>#DIV/0!</v>
          </cell>
          <cell r="R531" t="e">
            <v>#DIV/0!</v>
          </cell>
          <cell r="S531" t="e">
            <v>#DIV/0!</v>
          </cell>
          <cell r="T531">
            <v>4450.5827544825906</v>
          </cell>
          <cell r="U531" t="e">
            <v>#DIV/0!</v>
          </cell>
          <cell r="V531" t="e">
            <v>#DIV/0!</v>
          </cell>
          <cell r="W531" t="e">
            <v>#DIV/0!</v>
          </cell>
          <cell r="X531"/>
          <cell r="Y531"/>
          <cell r="Z531"/>
          <cell r="AA531"/>
          <cell r="AB531">
            <v>1693.8969600000003</v>
          </cell>
          <cell r="AC531"/>
          <cell r="AD531"/>
          <cell r="AE531"/>
          <cell r="AF531">
            <v>1693.8969600000003</v>
          </cell>
          <cell r="AG531">
            <v>0</v>
          </cell>
          <cell r="AH531">
            <v>1693.8969600000003</v>
          </cell>
          <cell r="AI531">
            <v>469.52908040000005</v>
          </cell>
          <cell r="AJ531">
            <v>468.29190699999992</v>
          </cell>
          <cell r="AK531">
            <v>569.69621079999979</v>
          </cell>
          <cell r="AL531">
            <v>568.68672879999997</v>
          </cell>
          <cell r="AM531">
            <v>44.382377450000014</v>
          </cell>
          <cell r="AN531">
            <v>1675.9415349999999</v>
          </cell>
          <cell r="AO531">
            <v>356.98295969999992</v>
          </cell>
          <cell r="AP531">
            <v>660.02921019999985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113.19674655898073</v>
          </cell>
          <cell r="BD531">
            <v>0</v>
          </cell>
          <cell r="BE531">
            <v>0</v>
          </cell>
          <cell r="BF531">
            <v>0</v>
          </cell>
          <cell r="BG531">
            <v>113.19674655898073</v>
          </cell>
          <cell r="BH531">
            <v>1807.093706558981</v>
          </cell>
          <cell r="BI531">
            <v>4450.5827544825906</v>
          </cell>
          <cell r="BJ531">
            <v>0.40603530059943072</v>
          </cell>
          <cell r="BK531">
            <v>0.38060116021748414</v>
          </cell>
          <cell r="BL531">
            <v>2.5434140381946586E-2</v>
          </cell>
        </row>
        <row r="532">
          <cell r="A532" t="str">
            <v>VINDHYACHAL STPS5</v>
          </cell>
          <cell r="B532" t="str">
            <v>VINDHYACHAL STPS</v>
          </cell>
          <cell r="C532">
            <v>210</v>
          </cell>
          <cell r="D532" t="str">
            <v>PITHEAD</v>
          </cell>
          <cell r="E532">
            <v>0.40702348212396872</v>
          </cell>
          <cell r="F532">
            <v>24.100200000000001</v>
          </cell>
          <cell r="G532">
            <v>82.6721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1</v>
          </cell>
          <cell r="M532">
            <v>0</v>
          </cell>
          <cell r="N532">
            <v>0</v>
          </cell>
          <cell r="O532">
            <v>0</v>
          </cell>
          <cell r="P532" t="e">
            <v>#DIV/0!</v>
          </cell>
          <cell r="Q532" t="e">
            <v>#DIV/0!</v>
          </cell>
          <cell r="R532" t="e">
            <v>#DIV/0!</v>
          </cell>
          <cell r="S532" t="e">
            <v>#DIV/0!</v>
          </cell>
          <cell r="T532">
            <v>4450.5827544825906</v>
          </cell>
          <cell r="U532" t="e">
            <v>#DIV/0!</v>
          </cell>
          <cell r="V532" t="e">
            <v>#DIV/0!</v>
          </cell>
          <cell r="W532" t="e">
            <v>#DIV/0!</v>
          </cell>
          <cell r="X532"/>
          <cell r="Y532"/>
          <cell r="Z532"/>
          <cell r="AA532"/>
          <cell r="AB532">
            <v>1693.8969600000003</v>
          </cell>
          <cell r="AC532"/>
          <cell r="AD532"/>
          <cell r="AE532"/>
          <cell r="AF532">
            <v>1693.8969600000003</v>
          </cell>
          <cell r="AG532">
            <v>0</v>
          </cell>
          <cell r="AH532">
            <v>1693.8969600000003</v>
          </cell>
          <cell r="AI532">
            <v>469.52908040000005</v>
          </cell>
          <cell r="AJ532">
            <v>468.29190699999992</v>
          </cell>
          <cell r="AK532">
            <v>569.69621079999979</v>
          </cell>
          <cell r="AL532">
            <v>568.68672879999997</v>
          </cell>
          <cell r="AM532">
            <v>44.382377450000014</v>
          </cell>
          <cell r="AN532">
            <v>1675.9415349999999</v>
          </cell>
          <cell r="AO532">
            <v>356.98295969999992</v>
          </cell>
          <cell r="AP532">
            <v>660.02921019999985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113.19674655898073</v>
          </cell>
          <cell r="BD532">
            <v>0</v>
          </cell>
          <cell r="BE532">
            <v>0</v>
          </cell>
          <cell r="BF532">
            <v>0</v>
          </cell>
          <cell r="BG532">
            <v>113.19674655898073</v>
          </cell>
          <cell r="BH532">
            <v>1807.093706558981</v>
          </cell>
          <cell r="BI532">
            <v>4450.5827544825906</v>
          </cell>
          <cell r="BJ532">
            <v>0.40603530059943072</v>
          </cell>
          <cell r="BK532">
            <v>0.38060116021748414</v>
          </cell>
          <cell r="BL532">
            <v>2.5434140381946586E-2</v>
          </cell>
        </row>
        <row r="533">
          <cell r="A533" t="str">
            <v>VINDHYACHAL STPS6</v>
          </cell>
          <cell r="B533" t="str">
            <v>VINDHYACHAL STPS</v>
          </cell>
          <cell r="C533">
            <v>210</v>
          </cell>
          <cell r="D533" t="str">
            <v>PITHEAD</v>
          </cell>
          <cell r="E533">
            <v>0.40702348212396872</v>
          </cell>
          <cell r="F533">
            <v>24.100200000000001</v>
          </cell>
          <cell r="G533">
            <v>82.6721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1</v>
          </cell>
          <cell r="M533">
            <v>0</v>
          </cell>
          <cell r="N533">
            <v>0</v>
          </cell>
          <cell r="O533">
            <v>0</v>
          </cell>
          <cell r="P533" t="e">
            <v>#DIV/0!</v>
          </cell>
          <cell r="Q533" t="e">
            <v>#DIV/0!</v>
          </cell>
          <cell r="R533" t="e">
            <v>#DIV/0!</v>
          </cell>
          <cell r="S533" t="e">
            <v>#DIV/0!</v>
          </cell>
          <cell r="T533">
            <v>4450.5827544825906</v>
          </cell>
          <cell r="U533" t="e">
            <v>#DIV/0!</v>
          </cell>
          <cell r="V533" t="e">
            <v>#DIV/0!</v>
          </cell>
          <cell r="W533" t="e">
            <v>#DIV/0!</v>
          </cell>
          <cell r="X533"/>
          <cell r="Y533"/>
          <cell r="Z533"/>
          <cell r="AA533"/>
          <cell r="AB533">
            <v>1693.8969600000003</v>
          </cell>
          <cell r="AC533"/>
          <cell r="AD533"/>
          <cell r="AE533"/>
          <cell r="AF533">
            <v>1693.8969600000003</v>
          </cell>
          <cell r="AG533">
            <v>0</v>
          </cell>
          <cell r="AH533">
            <v>1693.8969600000003</v>
          </cell>
          <cell r="AI533">
            <v>469.52908040000005</v>
          </cell>
          <cell r="AJ533">
            <v>468.29190699999992</v>
          </cell>
          <cell r="AK533">
            <v>569.69621079999979</v>
          </cell>
          <cell r="AL533">
            <v>568.68672879999997</v>
          </cell>
          <cell r="AM533">
            <v>44.382377450000014</v>
          </cell>
          <cell r="AN533">
            <v>1675.9415349999999</v>
          </cell>
          <cell r="AO533">
            <v>356.98295969999992</v>
          </cell>
          <cell r="AP533">
            <v>660.02921019999985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113.19674655898073</v>
          </cell>
          <cell r="BD533">
            <v>0</v>
          </cell>
          <cell r="BE533">
            <v>0</v>
          </cell>
          <cell r="BF533">
            <v>0</v>
          </cell>
          <cell r="BG533">
            <v>113.19674655898073</v>
          </cell>
          <cell r="BH533">
            <v>1807.093706558981</v>
          </cell>
          <cell r="BI533">
            <v>4450.5827544825906</v>
          </cell>
          <cell r="BJ533">
            <v>0.40603530059943072</v>
          </cell>
          <cell r="BK533">
            <v>0.38060116021748414</v>
          </cell>
          <cell r="BL533">
            <v>2.5434140381946586E-2</v>
          </cell>
        </row>
        <row r="534">
          <cell r="A534" t="str">
            <v>WANAKBORI TPS1</v>
          </cell>
          <cell r="B534" t="str">
            <v>WANAKBORI TPS</v>
          </cell>
          <cell r="C534">
            <v>210</v>
          </cell>
          <cell r="D534" t="str">
            <v>RAIL</v>
          </cell>
          <cell r="E534"/>
          <cell r="F534">
            <v>22.877500000000001</v>
          </cell>
          <cell r="G534">
            <v>73.359700000000004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0.92250080964163961</v>
          </cell>
          <cell r="O534">
            <v>7.749919035836042E-2</v>
          </cell>
          <cell r="P534" t="e">
            <v>#DIV/0!</v>
          </cell>
          <cell r="Q534" t="e">
            <v>#DIV/0!</v>
          </cell>
          <cell r="R534" t="e">
            <v>#DIV/0!</v>
          </cell>
          <cell r="S534" t="e">
            <v>#DIV/0!</v>
          </cell>
          <cell r="T534" t="e">
            <v>#DIV/0!</v>
          </cell>
          <cell r="U534" t="e">
            <v>#DIV/0!</v>
          </cell>
          <cell r="V534">
            <v>4351.9056022214663</v>
          </cell>
          <cell r="W534">
            <v>4456.7278922527003</v>
          </cell>
          <cell r="X534"/>
          <cell r="Y534"/>
          <cell r="Z534"/>
          <cell r="AA534"/>
          <cell r="AB534"/>
          <cell r="AC534"/>
          <cell r="AD534">
            <v>1562.6213170495123</v>
          </cell>
          <cell r="AE534">
            <v>131.27564295048805</v>
          </cell>
          <cell r="AF534">
            <v>1693.8969600000003</v>
          </cell>
          <cell r="AG534">
            <v>0.10571332468406133</v>
          </cell>
          <cell r="AH534">
            <v>2067.8158821085003</v>
          </cell>
          <cell r="AI534">
            <v>1548.7044779999999</v>
          </cell>
          <cell r="AJ534">
            <v>1501.4816850000002</v>
          </cell>
          <cell r="AK534">
            <v>1643.8870989999998</v>
          </cell>
          <cell r="AL534">
            <v>1406.7184910000001</v>
          </cell>
          <cell r="AM534">
            <v>1133.0479779999998</v>
          </cell>
          <cell r="AN534">
            <v>2700.5624980000002</v>
          </cell>
          <cell r="AO534">
            <v>1126.4713280000001</v>
          </cell>
          <cell r="AP534">
            <v>755.67133609999996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2576.6609964311147</v>
          </cell>
          <cell r="AX534">
            <v>153.86224258606728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2441.8705492935837</v>
          </cell>
          <cell r="BH534">
            <v>4509.6864314020841</v>
          </cell>
          <cell r="BI534">
            <v>4360.0292448303944</v>
          </cell>
          <cell r="BJ534">
            <v>1.0343248125569651</v>
          </cell>
          <cell r="BK534">
            <v>0.47426651657446361</v>
          </cell>
          <cell r="BL534">
            <v>0.56005829598250156</v>
          </cell>
        </row>
        <row r="535">
          <cell r="A535" t="str">
            <v>WANAKBORI TPS2</v>
          </cell>
          <cell r="B535" t="str">
            <v>WANAKBORI TPS</v>
          </cell>
          <cell r="C535">
            <v>210</v>
          </cell>
          <cell r="D535" t="str">
            <v>RAIL</v>
          </cell>
          <cell r="E535"/>
          <cell r="F535">
            <v>22.877500000000001</v>
          </cell>
          <cell r="G535">
            <v>73.359700000000004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0.92250080964163961</v>
          </cell>
          <cell r="O535">
            <v>7.749919035836042E-2</v>
          </cell>
          <cell r="P535" t="e">
            <v>#DIV/0!</v>
          </cell>
          <cell r="Q535" t="e">
            <v>#DIV/0!</v>
          </cell>
          <cell r="R535" t="e">
            <v>#DIV/0!</v>
          </cell>
          <cell r="S535" t="e">
            <v>#DIV/0!</v>
          </cell>
          <cell r="T535" t="e">
            <v>#DIV/0!</v>
          </cell>
          <cell r="U535" t="e">
            <v>#DIV/0!</v>
          </cell>
          <cell r="V535">
            <v>4351.9056022214663</v>
          </cell>
          <cell r="W535">
            <v>4456.7278922527003</v>
          </cell>
          <cell r="X535"/>
          <cell r="Y535"/>
          <cell r="Z535"/>
          <cell r="AA535"/>
          <cell r="AB535"/>
          <cell r="AC535"/>
          <cell r="AD535">
            <v>1562.6213170495123</v>
          </cell>
          <cell r="AE535">
            <v>131.27564295048805</v>
          </cell>
          <cell r="AF535">
            <v>1693.8969600000003</v>
          </cell>
          <cell r="AG535">
            <v>0.10571332468406133</v>
          </cell>
          <cell r="AH535">
            <v>2067.8158821085003</v>
          </cell>
          <cell r="AI535">
            <v>1548.7044779999999</v>
          </cell>
          <cell r="AJ535">
            <v>1501.4816850000002</v>
          </cell>
          <cell r="AK535">
            <v>1643.8870989999998</v>
          </cell>
          <cell r="AL535">
            <v>1406.7184910000001</v>
          </cell>
          <cell r="AM535">
            <v>1133.0479779999998</v>
          </cell>
          <cell r="AN535">
            <v>2700.5624980000002</v>
          </cell>
          <cell r="AO535">
            <v>1126.4713280000001</v>
          </cell>
          <cell r="AP535">
            <v>755.67133609999996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2576.6609964311147</v>
          </cell>
          <cell r="AX535">
            <v>153.86224258606728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2441.8705492935837</v>
          </cell>
          <cell r="BH535">
            <v>4509.6864314020841</v>
          </cell>
          <cell r="BI535">
            <v>4360.0292448303944</v>
          </cell>
          <cell r="BJ535">
            <v>1.0343248125569651</v>
          </cell>
          <cell r="BK535">
            <v>0.47426651657446361</v>
          </cell>
          <cell r="BL535">
            <v>0.56005829598250156</v>
          </cell>
        </row>
        <row r="536">
          <cell r="A536" t="str">
            <v>WANAKBORI TPS3</v>
          </cell>
          <cell r="B536" t="str">
            <v>WANAKBORI TPS</v>
          </cell>
          <cell r="C536">
            <v>210</v>
          </cell>
          <cell r="D536" t="str">
            <v>RAIL</v>
          </cell>
          <cell r="E536"/>
          <cell r="F536">
            <v>22.877500000000001</v>
          </cell>
          <cell r="G536">
            <v>73.359700000000004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0.92250080964163961</v>
          </cell>
          <cell r="O536">
            <v>7.749919035836042E-2</v>
          </cell>
          <cell r="P536" t="e">
            <v>#DIV/0!</v>
          </cell>
          <cell r="Q536" t="e">
            <v>#DIV/0!</v>
          </cell>
          <cell r="R536" t="e">
            <v>#DIV/0!</v>
          </cell>
          <cell r="S536" t="e">
            <v>#DIV/0!</v>
          </cell>
          <cell r="T536" t="e">
            <v>#DIV/0!</v>
          </cell>
          <cell r="U536" t="e">
            <v>#DIV/0!</v>
          </cell>
          <cell r="V536">
            <v>4351.9056022214663</v>
          </cell>
          <cell r="W536">
            <v>4456.7278922527003</v>
          </cell>
          <cell r="X536"/>
          <cell r="Y536"/>
          <cell r="Z536"/>
          <cell r="AA536"/>
          <cell r="AB536"/>
          <cell r="AC536"/>
          <cell r="AD536">
            <v>1562.6213170495123</v>
          </cell>
          <cell r="AE536">
            <v>131.27564295048805</v>
          </cell>
          <cell r="AF536">
            <v>1693.8969600000003</v>
          </cell>
          <cell r="AG536">
            <v>0.10571332468406133</v>
          </cell>
          <cell r="AH536">
            <v>2067.8158821085003</v>
          </cell>
          <cell r="AI536">
            <v>1548.7044779999999</v>
          </cell>
          <cell r="AJ536">
            <v>1501.4816850000002</v>
          </cell>
          <cell r="AK536">
            <v>1643.8870989999998</v>
          </cell>
          <cell r="AL536">
            <v>1406.7184910000001</v>
          </cell>
          <cell r="AM536">
            <v>1133.0479779999998</v>
          </cell>
          <cell r="AN536">
            <v>2700.5624980000002</v>
          </cell>
          <cell r="AO536">
            <v>1126.4713280000001</v>
          </cell>
          <cell r="AP536">
            <v>755.67133609999996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2576.6609964311147</v>
          </cell>
          <cell r="AX536">
            <v>153.86224258606728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2441.8705492935837</v>
          </cell>
          <cell r="BH536">
            <v>4509.6864314020841</v>
          </cell>
          <cell r="BI536">
            <v>4360.0292448303944</v>
          </cell>
          <cell r="BJ536">
            <v>1.0343248125569651</v>
          </cell>
          <cell r="BK536">
            <v>0.47426651657446361</v>
          </cell>
          <cell r="BL536">
            <v>0.56005829598250156</v>
          </cell>
        </row>
        <row r="537">
          <cell r="A537" t="str">
            <v>WANAKBORI TPS4</v>
          </cell>
          <cell r="B537" t="str">
            <v>WANAKBORI TPS</v>
          </cell>
          <cell r="C537">
            <v>210</v>
          </cell>
          <cell r="D537" t="str">
            <v>RAIL</v>
          </cell>
          <cell r="E537"/>
          <cell r="F537">
            <v>22.877500000000001</v>
          </cell>
          <cell r="G537">
            <v>73.359700000000004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0.92250080964163961</v>
          </cell>
          <cell r="O537">
            <v>7.749919035836042E-2</v>
          </cell>
          <cell r="P537" t="e">
            <v>#DIV/0!</v>
          </cell>
          <cell r="Q537" t="e">
            <v>#DIV/0!</v>
          </cell>
          <cell r="R537" t="e">
            <v>#DIV/0!</v>
          </cell>
          <cell r="S537" t="e">
            <v>#DIV/0!</v>
          </cell>
          <cell r="T537" t="e">
            <v>#DIV/0!</v>
          </cell>
          <cell r="U537" t="e">
            <v>#DIV/0!</v>
          </cell>
          <cell r="V537">
            <v>4351.9056022214663</v>
          </cell>
          <cell r="W537">
            <v>4456.7278922527003</v>
          </cell>
          <cell r="X537"/>
          <cell r="Y537"/>
          <cell r="Z537"/>
          <cell r="AA537"/>
          <cell r="AB537"/>
          <cell r="AC537"/>
          <cell r="AD537">
            <v>1562.6213170495123</v>
          </cell>
          <cell r="AE537">
            <v>131.27564295048805</v>
          </cell>
          <cell r="AF537">
            <v>1693.8969600000003</v>
          </cell>
          <cell r="AG537">
            <v>0.10571332468406133</v>
          </cell>
          <cell r="AH537">
            <v>2067.8158821085003</v>
          </cell>
          <cell r="AI537">
            <v>1548.7044779999999</v>
          </cell>
          <cell r="AJ537">
            <v>1501.4816850000002</v>
          </cell>
          <cell r="AK537">
            <v>1643.8870989999998</v>
          </cell>
          <cell r="AL537">
            <v>1406.7184910000001</v>
          </cell>
          <cell r="AM537">
            <v>1133.0479779999998</v>
          </cell>
          <cell r="AN537">
            <v>2700.5624980000002</v>
          </cell>
          <cell r="AO537">
            <v>1126.4713280000001</v>
          </cell>
          <cell r="AP537">
            <v>755.67133609999996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2576.6609964311147</v>
          </cell>
          <cell r="AX537">
            <v>153.86224258606728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2441.8705492935837</v>
          </cell>
          <cell r="BH537">
            <v>4509.6864314020841</v>
          </cell>
          <cell r="BI537">
            <v>4360.0292448303944</v>
          </cell>
          <cell r="BJ537">
            <v>1.0343248125569651</v>
          </cell>
          <cell r="BK537">
            <v>0.47426651657446361</v>
          </cell>
          <cell r="BL537">
            <v>0.56005829598250156</v>
          </cell>
        </row>
        <row r="538">
          <cell r="A538" t="str">
            <v>WANAKBORI TPS5</v>
          </cell>
          <cell r="B538" t="str">
            <v>WANAKBORI TPS</v>
          </cell>
          <cell r="C538">
            <v>210</v>
          </cell>
          <cell r="D538" t="str">
            <v>RAIL</v>
          </cell>
          <cell r="E538"/>
          <cell r="F538">
            <v>22.877500000000001</v>
          </cell>
          <cell r="G538">
            <v>73.359700000000004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0.92250080964163961</v>
          </cell>
          <cell r="O538">
            <v>7.749919035836042E-2</v>
          </cell>
          <cell r="P538" t="e">
            <v>#DIV/0!</v>
          </cell>
          <cell r="Q538" t="e">
            <v>#DIV/0!</v>
          </cell>
          <cell r="R538" t="e">
            <v>#DIV/0!</v>
          </cell>
          <cell r="S538" t="e">
            <v>#DIV/0!</v>
          </cell>
          <cell r="T538" t="e">
            <v>#DIV/0!</v>
          </cell>
          <cell r="U538" t="e">
            <v>#DIV/0!</v>
          </cell>
          <cell r="V538">
            <v>4351.9056022214663</v>
          </cell>
          <cell r="W538">
            <v>4456.7278922527003</v>
          </cell>
          <cell r="X538"/>
          <cell r="Y538"/>
          <cell r="Z538"/>
          <cell r="AA538"/>
          <cell r="AB538"/>
          <cell r="AC538"/>
          <cell r="AD538">
            <v>1562.6213170495123</v>
          </cell>
          <cell r="AE538">
            <v>131.27564295048805</v>
          </cell>
          <cell r="AF538">
            <v>1693.8969600000003</v>
          </cell>
          <cell r="AG538">
            <v>0.10571332468406133</v>
          </cell>
          <cell r="AH538">
            <v>2067.8158821085003</v>
          </cell>
          <cell r="AI538">
            <v>1548.7044779999999</v>
          </cell>
          <cell r="AJ538">
            <v>1501.4816850000002</v>
          </cell>
          <cell r="AK538">
            <v>1643.8870989999998</v>
          </cell>
          <cell r="AL538">
            <v>1406.7184910000001</v>
          </cell>
          <cell r="AM538">
            <v>1133.0479779999998</v>
          </cell>
          <cell r="AN538">
            <v>2700.5624980000002</v>
          </cell>
          <cell r="AO538">
            <v>1126.4713280000001</v>
          </cell>
          <cell r="AP538">
            <v>755.67133609999996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2576.6609964311147</v>
          </cell>
          <cell r="AX538">
            <v>153.86224258606728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2441.8705492935837</v>
          </cell>
          <cell r="BH538">
            <v>4509.6864314020841</v>
          </cell>
          <cell r="BI538">
            <v>4360.0292448303944</v>
          </cell>
          <cell r="BJ538">
            <v>1.0343248125569651</v>
          </cell>
          <cell r="BK538">
            <v>0.47426651657446361</v>
          </cell>
          <cell r="BL538">
            <v>0.56005829598250156</v>
          </cell>
        </row>
        <row r="539">
          <cell r="A539" t="str">
            <v>WANAKBORI TPS6</v>
          </cell>
          <cell r="B539" t="str">
            <v>WANAKBORI TPS</v>
          </cell>
          <cell r="C539">
            <v>210</v>
          </cell>
          <cell r="D539" t="str">
            <v>RAIL</v>
          </cell>
          <cell r="E539"/>
          <cell r="F539">
            <v>22.877500000000001</v>
          </cell>
          <cell r="G539">
            <v>73.359700000000004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0.92250080964163961</v>
          </cell>
          <cell r="O539">
            <v>7.749919035836042E-2</v>
          </cell>
          <cell r="P539" t="e">
            <v>#DIV/0!</v>
          </cell>
          <cell r="Q539" t="e">
            <v>#DIV/0!</v>
          </cell>
          <cell r="R539" t="e">
            <v>#DIV/0!</v>
          </cell>
          <cell r="S539" t="e">
            <v>#DIV/0!</v>
          </cell>
          <cell r="T539" t="e">
            <v>#DIV/0!</v>
          </cell>
          <cell r="U539" t="e">
            <v>#DIV/0!</v>
          </cell>
          <cell r="V539">
            <v>4351.9056022214663</v>
          </cell>
          <cell r="W539">
            <v>4456.7278922527003</v>
          </cell>
          <cell r="X539"/>
          <cell r="Y539"/>
          <cell r="Z539"/>
          <cell r="AA539"/>
          <cell r="AB539"/>
          <cell r="AC539"/>
          <cell r="AD539">
            <v>1562.6213170495123</v>
          </cell>
          <cell r="AE539">
            <v>131.27564295048805</v>
          </cell>
          <cell r="AF539">
            <v>1693.8969600000003</v>
          </cell>
          <cell r="AG539">
            <v>0.10571332468406133</v>
          </cell>
          <cell r="AH539">
            <v>2067.8158821085003</v>
          </cell>
          <cell r="AI539">
            <v>1548.7044779999999</v>
          </cell>
          <cell r="AJ539">
            <v>1501.4816850000002</v>
          </cell>
          <cell r="AK539">
            <v>1643.8870989999998</v>
          </cell>
          <cell r="AL539">
            <v>1406.7184910000001</v>
          </cell>
          <cell r="AM539">
            <v>1133.0479779999998</v>
          </cell>
          <cell r="AN539">
            <v>2700.5624980000002</v>
          </cell>
          <cell r="AO539">
            <v>1126.4713280000001</v>
          </cell>
          <cell r="AP539">
            <v>755.67133609999996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2576.6609964311147</v>
          </cell>
          <cell r="AX539">
            <v>153.86224258606728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2441.8705492935837</v>
          </cell>
          <cell r="BH539">
            <v>4509.6864314020841</v>
          </cell>
          <cell r="BI539">
            <v>4360.0292448303944</v>
          </cell>
          <cell r="BJ539">
            <v>1.0343248125569651</v>
          </cell>
          <cell r="BK539">
            <v>0.47426651657446361</v>
          </cell>
          <cell r="BL539">
            <v>0.56005829598250156</v>
          </cell>
        </row>
        <row r="540">
          <cell r="A540" t="str">
            <v>WANAKBORI TPS7</v>
          </cell>
          <cell r="B540" t="str">
            <v>WANAKBORI TPS</v>
          </cell>
          <cell r="C540">
            <v>210</v>
          </cell>
          <cell r="D540" t="str">
            <v>RAIL</v>
          </cell>
          <cell r="E540"/>
          <cell r="F540">
            <v>22.877500000000001</v>
          </cell>
          <cell r="G540">
            <v>73.359700000000004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0.92250080964163961</v>
          </cell>
          <cell r="O540">
            <v>7.749919035836042E-2</v>
          </cell>
          <cell r="P540" t="e">
            <v>#DIV/0!</v>
          </cell>
          <cell r="Q540" t="e">
            <v>#DIV/0!</v>
          </cell>
          <cell r="R540" t="e">
            <v>#DIV/0!</v>
          </cell>
          <cell r="S540" t="e">
            <v>#DIV/0!</v>
          </cell>
          <cell r="T540" t="e">
            <v>#DIV/0!</v>
          </cell>
          <cell r="U540" t="e">
            <v>#DIV/0!</v>
          </cell>
          <cell r="V540">
            <v>4351.9056022214663</v>
          </cell>
          <cell r="W540">
            <v>4456.7278922527003</v>
          </cell>
          <cell r="X540"/>
          <cell r="Y540"/>
          <cell r="Z540"/>
          <cell r="AA540"/>
          <cell r="AB540"/>
          <cell r="AC540"/>
          <cell r="AD540">
            <v>1562.6213170495123</v>
          </cell>
          <cell r="AE540">
            <v>131.27564295048805</v>
          </cell>
          <cell r="AF540">
            <v>1693.8969600000003</v>
          </cell>
          <cell r="AG540">
            <v>0.10571332468406133</v>
          </cell>
          <cell r="AH540">
            <v>2067.8158821085003</v>
          </cell>
          <cell r="AI540">
            <v>1548.7044779999999</v>
          </cell>
          <cell r="AJ540">
            <v>1501.4816850000002</v>
          </cell>
          <cell r="AK540">
            <v>1643.8870989999998</v>
          </cell>
          <cell r="AL540">
            <v>1406.7184910000001</v>
          </cell>
          <cell r="AM540">
            <v>1133.0479779999998</v>
          </cell>
          <cell r="AN540">
            <v>2700.5624980000002</v>
          </cell>
          <cell r="AO540">
            <v>1126.4713280000001</v>
          </cell>
          <cell r="AP540">
            <v>755.67133609999996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2576.6609964311147</v>
          </cell>
          <cell r="AX540">
            <v>153.86224258606728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2441.8705492935837</v>
          </cell>
          <cell r="BH540">
            <v>4509.6864314020841</v>
          </cell>
          <cell r="BI540">
            <v>4360.0292448303944</v>
          </cell>
          <cell r="BJ540">
            <v>1.0343248125569651</v>
          </cell>
          <cell r="BK540">
            <v>0.47426651657446361</v>
          </cell>
          <cell r="BL540">
            <v>0.56005829598250156</v>
          </cell>
        </row>
        <row r="541">
          <cell r="A541" t="str">
            <v>WARDHA WARORA TPP2</v>
          </cell>
          <cell r="B541" t="str">
            <v>WARDHA WARORA TPP</v>
          </cell>
          <cell r="C541">
            <v>135</v>
          </cell>
          <cell r="D541" t="str">
            <v>RAIL</v>
          </cell>
          <cell r="E541" t="str">
            <v/>
          </cell>
          <cell r="F541">
            <v>20.272600000000001</v>
          </cell>
          <cell r="G541">
            <v>78.979100000000003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1</v>
          </cell>
          <cell r="O541">
            <v>0</v>
          </cell>
          <cell r="P541" t="e">
            <v>#DIV/0!</v>
          </cell>
          <cell r="Q541" t="e">
            <v>#DIV/0!</v>
          </cell>
          <cell r="R541" t="e">
            <v>#DIV/0!</v>
          </cell>
          <cell r="S541" t="e">
            <v>#DIV/0!</v>
          </cell>
          <cell r="T541" t="e">
            <v>#DIV/0!</v>
          </cell>
          <cell r="U541" t="e">
            <v>#DIV/0!</v>
          </cell>
          <cell r="V541">
            <v>5623.0572008300906</v>
          </cell>
          <cell r="W541" t="e">
            <v>#DIV/0!</v>
          </cell>
          <cell r="X541"/>
          <cell r="Y541"/>
          <cell r="Z541"/>
          <cell r="AA541"/>
          <cell r="AB541"/>
          <cell r="AC541"/>
          <cell r="AD541">
            <v>3302.4406800000006</v>
          </cell>
          <cell r="AE541"/>
          <cell r="AF541">
            <v>3302.4406800000006</v>
          </cell>
          <cell r="AG541">
            <v>0</v>
          </cell>
          <cell r="AH541">
            <v>3302.4406800000006</v>
          </cell>
          <cell r="AI541">
            <v>1009.291202</v>
          </cell>
          <cell r="AJ541">
            <v>952.4483252</v>
          </cell>
          <cell r="AK541">
            <v>1120.850465</v>
          </cell>
          <cell r="AL541">
            <v>715.62287409999999</v>
          </cell>
          <cell r="AM541">
            <v>749.15002760000004</v>
          </cell>
          <cell r="AN541">
            <v>2307.6260589999997</v>
          </cell>
          <cell r="AO541">
            <v>530.6743252</v>
          </cell>
          <cell r="AP541">
            <v>113.94579429999999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1662.78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1662.78</v>
          </cell>
          <cell r="BH541">
            <v>4965.2206800000004</v>
          </cell>
          <cell r="BI541">
            <v>5623.0572008300906</v>
          </cell>
          <cell r="BJ541">
            <v>0.88301087872039097</v>
          </cell>
          <cell r="BK541">
            <v>0.58730341201446179</v>
          </cell>
          <cell r="BL541">
            <v>0.29570746670592929</v>
          </cell>
        </row>
        <row r="542">
          <cell r="A542" t="str">
            <v>WARDHA WARORA TPP3</v>
          </cell>
          <cell r="B542" t="str">
            <v>WARDHA WARORA TPP</v>
          </cell>
          <cell r="C542">
            <v>135</v>
          </cell>
          <cell r="D542" t="str">
            <v>RAIL</v>
          </cell>
          <cell r="E542" t="str">
            <v/>
          </cell>
          <cell r="F542">
            <v>20.272600000000001</v>
          </cell>
          <cell r="G542">
            <v>78.979100000000003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1</v>
          </cell>
          <cell r="O542">
            <v>0</v>
          </cell>
          <cell r="P542" t="e">
            <v>#DIV/0!</v>
          </cell>
          <cell r="Q542" t="e">
            <v>#DIV/0!</v>
          </cell>
          <cell r="R542" t="e">
            <v>#DIV/0!</v>
          </cell>
          <cell r="S542" t="e">
            <v>#DIV/0!</v>
          </cell>
          <cell r="T542" t="e">
            <v>#DIV/0!</v>
          </cell>
          <cell r="U542" t="e">
            <v>#DIV/0!</v>
          </cell>
          <cell r="V542">
            <v>5623.0572008300906</v>
          </cell>
          <cell r="W542" t="e">
            <v>#DIV/0!</v>
          </cell>
          <cell r="X542"/>
          <cell r="Y542"/>
          <cell r="Z542"/>
          <cell r="AA542"/>
          <cell r="AB542"/>
          <cell r="AC542"/>
          <cell r="AD542">
            <v>3302.4406800000006</v>
          </cell>
          <cell r="AE542"/>
          <cell r="AF542">
            <v>3302.4406800000006</v>
          </cell>
          <cell r="AG542">
            <v>0</v>
          </cell>
          <cell r="AH542">
            <v>3302.4406800000006</v>
          </cell>
          <cell r="AI542">
            <v>1009.291202</v>
          </cell>
          <cell r="AJ542">
            <v>952.4483252</v>
          </cell>
          <cell r="AK542">
            <v>1120.850465</v>
          </cell>
          <cell r="AL542">
            <v>715.62287409999999</v>
          </cell>
          <cell r="AM542">
            <v>749.15002760000004</v>
          </cell>
          <cell r="AN542">
            <v>2307.6260589999997</v>
          </cell>
          <cell r="AO542">
            <v>530.6743252</v>
          </cell>
          <cell r="AP542">
            <v>113.94579429999999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1662.78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1662.78</v>
          </cell>
          <cell r="BH542">
            <v>4965.2206800000004</v>
          </cell>
          <cell r="BI542">
            <v>5623.0572008300906</v>
          </cell>
          <cell r="BJ542">
            <v>0.88301087872039097</v>
          </cell>
          <cell r="BK542">
            <v>0.58730341201446179</v>
          </cell>
          <cell r="BL542">
            <v>0.29570746670592929</v>
          </cell>
        </row>
        <row r="543">
          <cell r="A543" t="str">
            <v>WARDHA WARORA TPP4</v>
          </cell>
          <cell r="B543" t="str">
            <v>WARDHA WARORA TPP</v>
          </cell>
          <cell r="C543">
            <v>135</v>
          </cell>
          <cell r="D543" t="str">
            <v>RAIL</v>
          </cell>
          <cell r="E543" t="str">
            <v/>
          </cell>
          <cell r="F543">
            <v>20.272600000000001</v>
          </cell>
          <cell r="G543">
            <v>78.979100000000003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1</v>
          </cell>
          <cell r="O543">
            <v>0</v>
          </cell>
          <cell r="P543" t="e">
            <v>#DIV/0!</v>
          </cell>
          <cell r="Q543" t="e">
            <v>#DIV/0!</v>
          </cell>
          <cell r="R543" t="e">
            <v>#DIV/0!</v>
          </cell>
          <cell r="S543" t="e">
            <v>#DIV/0!</v>
          </cell>
          <cell r="T543" t="e">
            <v>#DIV/0!</v>
          </cell>
          <cell r="U543" t="e">
            <v>#DIV/0!</v>
          </cell>
          <cell r="V543">
            <v>5623.0572008300906</v>
          </cell>
          <cell r="W543" t="e">
            <v>#DIV/0!</v>
          </cell>
          <cell r="X543"/>
          <cell r="Y543"/>
          <cell r="Z543"/>
          <cell r="AA543"/>
          <cell r="AB543"/>
          <cell r="AC543"/>
          <cell r="AD543">
            <v>3302.4406800000006</v>
          </cell>
          <cell r="AE543"/>
          <cell r="AF543">
            <v>3302.4406800000006</v>
          </cell>
          <cell r="AG543">
            <v>0</v>
          </cell>
          <cell r="AH543">
            <v>3302.4406800000006</v>
          </cell>
          <cell r="AI543">
            <v>1009.291202</v>
          </cell>
          <cell r="AJ543">
            <v>952.4483252</v>
          </cell>
          <cell r="AK543">
            <v>1120.850465</v>
          </cell>
          <cell r="AL543">
            <v>715.62287409999999</v>
          </cell>
          <cell r="AM543">
            <v>749.15002760000004</v>
          </cell>
          <cell r="AN543">
            <v>2307.6260589999997</v>
          </cell>
          <cell r="AO543">
            <v>530.6743252</v>
          </cell>
          <cell r="AP543">
            <v>113.94579429999999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1662.78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1662.78</v>
          </cell>
          <cell r="BH543">
            <v>4965.2206800000004</v>
          </cell>
          <cell r="BI543">
            <v>5623.0572008300906</v>
          </cell>
          <cell r="BJ543">
            <v>0.88301087872039097</v>
          </cell>
          <cell r="BK543">
            <v>0.58730341201446179</v>
          </cell>
          <cell r="BL543">
            <v>0.29570746670592929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GD status - Jun 2020"/>
    </sheetNames>
    <sheetDataSet>
      <sheetData sheetId="0">
        <row r="2">
          <cell r="I2" t="str">
            <v>BARH II4</v>
          </cell>
          <cell r="J2">
            <v>660</v>
          </cell>
          <cell r="K2" t="str">
            <v>20-11-13</v>
          </cell>
          <cell r="L2" t="str">
            <v>30-09-21</v>
          </cell>
          <cell r="M2" t="str">
            <v>Bid Awarded</v>
          </cell>
        </row>
        <row r="3">
          <cell r="I3" t="str">
            <v>BARH II5</v>
          </cell>
          <cell r="J3">
            <v>660</v>
          </cell>
          <cell r="K3">
            <v>42097</v>
          </cell>
          <cell r="L3" t="str">
            <v>31-12-21</v>
          </cell>
          <cell r="M3" t="str">
            <v>Bid Awarded</v>
          </cell>
        </row>
        <row r="4">
          <cell r="I4" t="str">
            <v>KAHALGAON TPS1</v>
          </cell>
          <cell r="J4">
            <v>210</v>
          </cell>
          <cell r="K4" t="str">
            <v>31-03-92</v>
          </cell>
          <cell r="L4" t="str">
            <v>31-12-22</v>
          </cell>
          <cell r="M4" t="str">
            <v>Bid Awarded</v>
          </cell>
        </row>
        <row r="5">
          <cell r="I5" t="str">
            <v>KAHALGAON TPS2</v>
          </cell>
          <cell r="J5">
            <v>210</v>
          </cell>
          <cell r="K5" t="str">
            <v>17-03-94</v>
          </cell>
          <cell r="L5" t="str">
            <v>31-12-22</v>
          </cell>
          <cell r="M5" t="str">
            <v>Bid Awarded</v>
          </cell>
        </row>
        <row r="6">
          <cell r="I6" t="str">
            <v>KAHALGAON TPS3</v>
          </cell>
          <cell r="J6">
            <v>210</v>
          </cell>
          <cell r="K6" t="str">
            <v>24-03-95</v>
          </cell>
          <cell r="L6" t="str">
            <v>31-12-22</v>
          </cell>
          <cell r="M6" t="str">
            <v>Bid Awarded</v>
          </cell>
        </row>
        <row r="7">
          <cell r="I7" t="str">
            <v>KAHALGAON TPS4</v>
          </cell>
          <cell r="J7">
            <v>210</v>
          </cell>
          <cell r="K7" t="str">
            <v>18-03-96</v>
          </cell>
          <cell r="L7" t="str">
            <v>31-12-22</v>
          </cell>
          <cell r="M7" t="str">
            <v>Bid Awarded</v>
          </cell>
        </row>
        <row r="8">
          <cell r="I8" t="str">
            <v>KAHALGAON TPS5</v>
          </cell>
          <cell r="J8">
            <v>500</v>
          </cell>
          <cell r="K8" t="str">
            <v>31-03-07</v>
          </cell>
          <cell r="L8" t="str">
            <v>31-12-21</v>
          </cell>
          <cell r="M8" t="str">
            <v>Bid Awarded</v>
          </cell>
        </row>
        <row r="9">
          <cell r="I9" t="str">
            <v>KAHALGAON TPS6</v>
          </cell>
          <cell r="J9">
            <v>500</v>
          </cell>
          <cell r="K9" t="str">
            <v>16-03-08</v>
          </cell>
          <cell r="L9" t="str">
            <v>31-12-21</v>
          </cell>
          <cell r="M9" t="str">
            <v>Bid Awarded</v>
          </cell>
        </row>
        <row r="10">
          <cell r="I10" t="str">
            <v>KAHALGAON TPS7</v>
          </cell>
          <cell r="J10">
            <v>500</v>
          </cell>
          <cell r="K10" t="str">
            <v>31-07-09</v>
          </cell>
          <cell r="L10" t="str">
            <v>31-12-21</v>
          </cell>
          <cell r="M10" t="str">
            <v>Bid Awarded</v>
          </cell>
        </row>
        <row r="11">
          <cell r="I11" t="str">
            <v>NABI NAGAR TPP1</v>
          </cell>
          <cell r="J11">
            <v>250</v>
          </cell>
          <cell r="K11" t="str">
            <v>20-03-16</v>
          </cell>
          <cell r="L11" t="str">
            <v>31-12-21</v>
          </cell>
          <cell r="M11" t="str">
            <v>Bid Awarded</v>
          </cell>
        </row>
        <row r="12">
          <cell r="I12" t="str">
            <v>NABI NAGAR TPP2</v>
          </cell>
          <cell r="J12">
            <v>250</v>
          </cell>
          <cell r="K12">
            <v>42829</v>
          </cell>
          <cell r="L12" t="str">
            <v>31-12-22</v>
          </cell>
          <cell r="M12" t="str">
            <v>Bid Awarded</v>
          </cell>
        </row>
        <row r="13">
          <cell r="I13" t="str">
            <v>MUZAFFARPUR TPS1</v>
          </cell>
          <cell r="J13">
            <v>110</v>
          </cell>
          <cell r="K13" t="str">
            <v>31-03-85</v>
          </cell>
          <cell r="L13" t="str">
            <v>31-12-20</v>
          </cell>
          <cell r="M13" t="str">
            <v>NIT issued</v>
          </cell>
        </row>
        <row r="14">
          <cell r="I14" t="str">
            <v>MUZAFFARPUR TPS2</v>
          </cell>
          <cell r="J14">
            <v>110</v>
          </cell>
          <cell r="K14" t="str">
            <v>17-03-86</v>
          </cell>
          <cell r="L14" t="str">
            <v>31-12-20</v>
          </cell>
          <cell r="M14" t="str">
            <v>NIT issued</v>
          </cell>
        </row>
        <row r="15">
          <cell r="I15" t="str">
            <v>MUZAFFARPUR TPS3</v>
          </cell>
          <cell r="J15">
            <v>195</v>
          </cell>
          <cell r="K15" t="str">
            <v>31-03-15</v>
          </cell>
          <cell r="L15" t="str">
            <v>31-12-22</v>
          </cell>
          <cell r="M15" t="str">
            <v>NIT issued</v>
          </cell>
        </row>
        <row r="16">
          <cell r="I16" t="str">
            <v>MUZAFFARPUR TPS4</v>
          </cell>
          <cell r="J16">
            <v>195</v>
          </cell>
          <cell r="K16" t="str">
            <v>24-03-17</v>
          </cell>
          <cell r="L16" t="str">
            <v>31-12-22</v>
          </cell>
          <cell r="M16" t="str">
            <v>NIT issued</v>
          </cell>
        </row>
        <row r="17">
          <cell r="I17" t="str">
            <v>MAHADEV PRASAD STPP1</v>
          </cell>
          <cell r="J17">
            <v>270</v>
          </cell>
          <cell r="K17" t="str">
            <v>19-11-12</v>
          </cell>
          <cell r="L17" t="str">
            <v>30-06-22</v>
          </cell>
          <cell r="M17" t="str">
            <v>Complies with new Norms</v>
          </cell>
        </row>
        <row r="18">
          <cell r="I18" t="str">
            <v>MAHADEV PRASAD STPP2</v>
          </cell>
          <cell r="J18">
            <v>270</v>
          </cell>
          <cell r="K18" t="str">
            <v>29-03-13</v>
          </cell>
          <cell r="L18" t="str">
            <v>30-06-22</v>
          </cell>
          <cell r="M18" t="str">
            <v>Complies with new Norms</v>
          </cell>
        </row>
        <row r="19">
          <cell r="I19" t="str">
            <v>BOKARO A TPS1</v>
          </cell>
          <cell r="J19">
            <v>500</v>
          </cell>
          <cell r="K19" t="str">
            <v>22-03-16</v>
          </cell>
          <cell r="L19" t="str">
            <v>31-12-21</v>
          </cell>
          <cell r="M19" t="str">
            <v>Bid Awarded</v>
          </cell>
        </row>
        <row r="20">
          <cell r="I20" t="str">
            <v>CHANDRAPURA(DVC)7</v>
          </cell>
          <cell r="J20">
            <v>250</v>
          </cell>
          <cell r="K20">
            <v>39914</v>
          </cell>
          <cell r="L20" t="str">
            <v>31-12-22</v>
          </cell>
          <cell r="M20" t="str">
            <v>NIT issued</v>
          </cell>
        </row>
        <row r="21">
          <cell r="I21" t="str">
            <v>CHANDRAPURA(DVC)8</v>
          </cell>
          <cell r="J21">
            <v>250</v>
          </cell>
          <cell r="K21" t="str">
            <v>31-03-10</v>
          </cell>
          <cell r="L21" t="str">
            <v>31-12-22</v>
          </cell>
          <cell r="M21" t="str">
            <v>NIT issued</v>
          </cell>
        </row>
        <row r="22">
          <cell r="I22" t="str">
            <v>KODARMA TPS1</v>
          </cell>
          <cell r="J22">
            <v>500</v>
          </cell>
          <cell r="K22" t="str">
            <v>20-07-11</v>
          </cell>
          <cell r="L22" t="str">
            <v>31-12-21</v>
          </cell>
          <cell r="M22" t="str">
            <v>Bid Awarded</v>
          </cell>
        </row>
        <row r="23">
          <cell r="I23" t="str">
            <v>KODARMA TPS2</v>
          </cell>
          <cell r="J23">
            <v>500</v>
          </cell>
          <cell r="K23" t="str">
            <v>15-02-13</v>
          </cell>
          <cell r="L23" t="str">
            <v>31-12-21</v>
          </cell>
          <cell r="M23" t="str">
            <v>Bid Awarded</v>
          </cell>
        </row>
        <row r="24">
          <cell r="I24" t="str">
            <v>JOJOBERA TPS2</v>
          </cell>
          <cell r="J24">
            <v>120</v>
          </cell>
          <cell r="K24">
            <v>36923</v>
          </cell>
          <cell r="L24" t="str">
            <v>31-12-20</v>
          </cell>
          <cell r="M24" t="str">
            <v>NIT issued</v>
          </cell>
        </row>
        <row r="25">
          <cell r="I25" t="str">
            <v>JOJOBERA TPS3</v>
          </cell>
          <cell r="J25">
            <v>120</v>
          </cell>
          <cell r="K25">
            <v>37288</v>
          </cell>
          <cell r="L25" t="str">
            <v>31-12-20</v>
          </cell>
          <cell r="M25" t="str">
            <v>NIT issued</v>
          </cell>
        </row>
        <row r="26">
          <cell r="I26" t="str">
            <v>MAITHON RB TPP1</v>
          </cell>
          <cell r="J26">
            <v>525</v>
          </cell>
          <cell r="K26">
            <v>40552</v>
          </cell>
          <cell r="L26" t="str">
            <v>30-09-21</v>
          </cell>
          <cell r="M26" t="str">
            <v>Bid Awarded</v>
          </cell>
        </row>
        <row r="27">
          <cell r="I27" t="str">
            <v>MAITHON RB TPP2</v>
          </cell>
          <cell r="J27">
            <v>525</v>
          </cell>
          <cell r="K27" t="str">
            <v>24-07-12</v>
          </cell>
          <cell r="L27" t="str">
            <v>31-12-21</v>
          </cell>
          <cell r="M27" t="str">
            <v>Bid Awarded</v>
          </cell>
        </row>
        <row r="28">
          <cell r="I28" t="str">
            <v>TENUGHAT TPS1</v>
          </cell>
          <cell r="J28">
            <v>210</v>
          </cell>
          <cell r="K28" t="str">
            <v>14-04-94</v>
          </cell>
          <cell r="L28" t="str">
            <v>31-12-20</v>
          </cell>
          <cell r="M28" t="str">
            <v>Feasiblity Study Completed</v>
          </cell>
        </row>
        <row r="29">
          <cell r="I29" t="str">
            <v>TENUGHAT TPS2</v>
          </cell>
          <cell r="J29">
            <v>210</v>
          </cell>
          <cell r="K29">
            <v>35348</v>
          </cell>
          <cell r="L29" t="str">
            <v>31-12-20</v>
          </cell>
          <cell r="M29" t="str">
            <v>Feasiblity Study Completed</v>
          </cell>
        </row>
        <row r="30">
          <cell r="I30" t="str">
            <v>KAMALANGA TPS1</v>
          </cell>
          <cell r="J30">
            <v>350</v>
          </cell>
          <cell r="K30" t="str">
            <v>29-03-13</v>
          </cell>
          <cell r="L30" t="str">
            <v>31-12-21</v>
          </cell>
          <cell r="M30" t="str">
            <v>NIT issued</v>
          </cell>
        </row>
        <row r="31">
          <cell r="I31" t="str">
            <v>KAMALANGA TPS2</v>
          </cell>
          <cell r="J31">
            <v>350</v>
          </cell>
          <cell r="K31" t="str">
            <v>28-09-13</v>
          </cell>
          <cell r="L31" t="str">
            <v>31-12-21</v>
          </cell>
          <cell r="M31" t="str">
            <v>NIT issued</v>
          </cell>
        </row>
        <row r="32">
          <cell r="I32" t="str">
            <v>KAMALANGA TPS3</v>
          </cell>
          <cell r="J32">
            <v>350</v>
          </cell>
          <cell r="K32" t="str">
            <v>21-03-14</v>
          </cell>
          <cell r="L32" t="str">
            <v>30-09-21</v>
          </cell>
          <cell r="M32" t="str">
            <v>NIT issued</v>
          </cell>
        </row>
        <row r="33">
          <cell r="I33" t="str">
            <v>INDBHARATH TUTICORIN TPP1</v>
          </cell>
          <cell r="J33">
            <v>350</v>
          </cell>
          <cell r="K33" t="str">
            <v>25-02-16</v>
          </cell>
          <cell r="L33" t="str">
            <v>31-03-22</v>
          </cell>
          <cell r="M33" t="str">
            <v>Feasibility Study started</v>
          </cell>
        </row>
        <row r="34">
          <cell r="I34" t="str">
            <v>DERANG TPP1</v>
          </cell>
          <cell r="J34">
            <v>600</v>
          </cell>
          <cell r="K34">
            <v>41916</v>
          </cell>
          <cell r="L34" t="str">
            <v>31-03-21</v>
          </cell>
          <cell r="M34" t="str">
            <v>Technical Bid evaluation un</v>
          </cell>
        </row>
        <row r="35">
          <cell r="I35" t="str">
            <v>DERANG TPP2</v>
          </cell>
          <cell r="J35">
            <v>600</v>
          </cell>
          <cell r="K35" t="str">
            <v>24-01-15</v>
          </cell>
          <cell r="L35" t="str">
            <v>31-03-21</v>
          </cell>
          <cell r="M35" t="str">
            <v>Technical Bid evaluation un</v>
          </cell>
        </row>
        <row r="36">
          <cell r="I36" t="str">
            <v>TALCHER STPS1</v>
          </cell>
          <cell r="J36">
            <v>500</v>
          </cell>
          <cell r="K36" t="str">
            <v>19-02-95</v>
          </cell>
          <cell r="L36" t="str">
            <v>31-12-21</v>
          </cell>
          <cell r="M36" t="str">
            <v>Bid Awarded</v>
          </cell>
        </row>
        <row r="37">
          <cell r="I37" t="str">
            <v>TALCHER STPS2</v>
          </cell>
          <cell r="J37">
            <v>500</v>
          </cell>
          <cell r="K37" t="str">
            <v>27-03-96</v>
          </cell>
          <cell r="L37" t="str">
            <v>31-12-21</v>
          </cell>
          <cell r="M37" t="str">
            <v>Bid Awarded</v>
          </cell>
        </row>
        <row r="38">
          <cell r="I38" t="str">
            <v>TALCHER STPS3</v>
          </cell>
          <cell r="J38">
            <v>500</v>
          </cell>
          <cell r="K38" t="str">
            <v>21-02-03</v>
          </cell>
          <cell r="L38" t="str">
            <v>31-12-21</v>
          </cell>
          <cell r="M38" t="str">
            <v>Bid Awarded</v>
          </cell>
        </row>
        <row r="39">
          <cell r="I39" t="str">
            <v>TALCHER STPS4</v>
          </cell>
          <cell r="J39">
            <v>500</v>
          </cell>
          <cell r="K39" t="str">
            <v>25-10-03</v>
          </cell>
          <cell r="L39" t="str">
            <v>31-12-21</v>
          </cell>
          <cell r="M39" t="str">
            <v>Bid Awarded</v>
          </cell>
        </row>
        <row r="40">
          <cell r="I40" t="str">
            <v>TALCHER STPS5</v>
          </cell>
          <cell r="J40">
            <v>500</v>
          </cell>
          <cell r="K40" t="str">
            <v>13-05-04</v>
          </cell>
          <cell r="L40" t="str">
            <v>31-12-21</v>
          </cell>
          <cell r="M40" t="str">
            <v>Bid Awarded</v>
          </cell>
        </row>
        <row r="41">
          <cell r="I41" t="str">
            <v>TALCHER STPS6</v>
          </cell>
          <cell r="J41">
            <v>500</v>
          </cell>
          <cell r="K41">
            <v>38505</v>
          </cell>
          <cell r="L41" t="str">
            <v>31-12-21</v>
          </cell>
          <cell r="M41" t="str">
            <v>Bid Awarded</v>
          </cell>
        </row>
        <row r="42">
          <cell r="I42" t="str">
            <v>IB VALLEY TPS1</v>
          </cell>
          <cell r="J42">
            <v>210</v>
          </cell>
          <cell r="K42">
            <v>34371</v>
          </cell>
          <cell r="L42" t="str">
            <v>30-09-21</v>
          </cell>
          <cell r="M42" t="str">
            <v>Feasibility study completed</v>
          </cell>
        </row>
        <row r="43">
          <cell r="I43" t="str">
            <v>IB VALLEY TPS2</v>
          </cell>
          <cell r="J43">
            <v>210</v>
          </cell>
          <cell r="K43" t="str">
            <v>22-10-95</v>
          </cell>
          <cell r="L43" t="str">
            <v>30-09-21</v>
          </cell>
          <cell r="M43" t="str">
            <v>Feasibility study completed</v>
          </cell>
        </row>
        <row r="44">
          <cell r="I44" t="str">
            <v>STERLITE TPP2</v>
          </cell>
          <cell r="J44">
            <v>600</v>
          </cell>
          <cell r="K44" t="str">
            <v>29-12-10</v>
          </cell>
          <cell r="L44" t="str">
            <v>31-03-22</v>
          </cell>
          <cell r="M44" t="str">
            <v>Feasibility Study started</v>
          </cell>
        </row>
        <row r="45">
          <cell r="I45" t="str">
            <v>BUDGE BUDGE TPS1</v>
          </cell>
          <cell r="J45">
            <v>250</v>
          </cell>
          <cell r="K45" t="str">
            <v>16-09-97</v>
          </cell>
          <cell r="L45" t="str">
            <v>31-12-22</v>
          </cell>
          <cell r="M45" t="str">
            <v>Feasibility Study completed</v>
          </cell>
        </row>
        <row r="46">
          <cell r="I46" t="str">
            <v>BUDGE BUDGE TPS2</v>
          </cell>
          <cell r="J46">
            <v>250</v>
          </cell>
          <cell r="K46">
            <v>36314</v>
          </cell>
          <cell r="L46" t="str">
            <v>31-12-22</v>
          </cell>
          <cell r="M46" t="str">
            <v>Feasibility Study completed</v>
          </cell>
        </row>
        <row r="47">
          <cell r="I47" t="str">
            <v>BUDGE BUDGE TPS3</v>
          </cell>
          <cell r="J47">
            <v>250</v>
          </cell>
          <cell r="K47" t="str">
            <v>29-09-09</v>
          </cell>
          <cell r="L47" t="str">
            <v>31-12-22</v>
          </cell>
          <cell r="M47" t="str">
            <v>Feasibility Study completed</v>
          </cell>
        </row>
        <row r="48">
          <cell r="I48" t="str">
            <v>SOUTHERN REPL. TPS1</v>
          </cell>
          <cell r="J48">
            <v>68</v>
          </cell>
          <cell r="K48">
            <v>33515</v>
          </cell>
          <cell r="L48" t="str">
            <v>31-03-22</v>
          </cell>
          <cell r="M48" t="str">
            <v>Feasibility Study completed</v>
          </cell>
        </row>
        <row r="49">
          <cell r="I49" t="str">
            <v>SOUTHERN REPL. TPS2</v>
          </cell>
          <cell r="J49">
            <v>68</v>
          </cell>
          <cell r="K49">
            <v>33215</v>
          </cell>
          <cell r="L49" t="str">
            <v>31-12-21</v>
          </cell>
          <cell r="M49" t="str">
            <v>Feasibility Study completed</v>
          </cell>
        </row>
        <row r="50">
          <cell r="I50" t="str">
            <v>D.P.L. TPS7</v>
          </cell>
          <cell r="J50">
            <v>300</v>
          </cell>
          <cell r="K50" t="str">
            <v>24-11-07</v>
          </cell>
          <cell r="L50" t="str">
            <v>30-06-22</v>
          </cell>
          <cell r="M50" t="str">
            <v>Feasibility Study started</v>
          </cell>
        </row>
        <row r="51">
          <cell r="I51" t="str">
            <v>D.P.L. TPS8</v>
          </cell>
          <cell r="J51">
            <v>250</v>
          </cell>
          <cell r="K51" t="str">
            <v>31-03-14</v>
          </cell>
          <cell r="L51" t="str">
            <v>31-03-22</v>
          </cell>
          <cell r="M51" t="str">
            <v>Feasibility Study started</v>
          </cell>
        </row>
        <row r="52">
          <cell r="I52" t="str">
            <v>DURGAPUR STEEL TPS1</v>
          </cell>
          <cell r="J52">
            <v>500</v>
          </cell>
          <cell r="K52" t="str">
            <v>29-07-11</v>
          </cell>
          <cell r="L52" t="str">
            <v>30-06-21</v>
          </cell>
          <cell r="M52" t="str">
            <v>Bid Awarded</v>
          </cell>
        </row>
        <row r="53">
          <cell r="I53" t="str">
            <v>DURGAPUR STEEL TPS2</v>
          </cell>
          <cell r="J53">
            <v>500</v>
          </cell>
          <cell r="K53" t="str">
            <v>23-03-12</v>
          </cell>
          <cell r="L53" t="str">
            <v>30-06-21</v>
          </cell>
          <cell r="M53" t="str">
            <v>Bid Awarded</v>
          </cell>
        </row>
        <row r="54">
          <cell r="I54" t="str">
            <v>MEJIA TPS1</v>
          </cell>
          <cell r="J54">
            <v>210</v>
          </cell>
          <cell r="K54">
            <v>35067</v>
          </cell>
          <cell r="L54" t="str">
            <v>31-12-22</v>
          </cell>
          <cell r="M54" t="str">
            <v>NIT issued</v>
          </cell>
        </row>
        <row r="55">
          <cell r="I55" t="str">
            <v>MEJIA TPS2</v>
          </cell>
          <cell r="J55">
            <v>210</v>
          </cell>
          <cell r="K55" t="str">
            <v>24-03-97</v>
          </cell>
          <cell r="L55" t="str">
            <v>31-12-22</v>
          </cell>
          <cell r="M55" t="str">
            <v>NIT issued</v>
          </cell>
        </row>
        <row r="56">
          <cell r="I56" t="str">
            <v>MEJIA TPS3</v>
          </cell>
          <cell r="J56">
            <v>210</v>
          </cell>
          <cell r="K56" t="str">
            <v>25-03-98</v>
          </cell>
          <cell r="L56" t="str">
            <v>31-12-22</v>
          </cell>
          <cell r="M56" t="str">
            <v>NIT issued</v>
          </cell>
        </row>
        <row r="57">
          <cell r="I57" t="str">
            <v>MEJIA TPS4</v>
          </cell>
          <cell r="J57">
            <v>210</v>
          </cell>
          <cell r="K57">
            <v>38331</v>
          </cell>
          <cell r="L57" t="str">
            <v>31-12-22</v>
          </cell>
          <cell r="M57" t="str">
            <v>NIT issued</v>
          </cell>
        </row>
        <row r="58">
          <cell r="I58" t="str">
            <v>MEJIA TPS5</v>
          </cell>
          <cell r="J58">
            <v>250</v>
          </cell>
          <cell r="K58">
            <v>39092</v>
          </cell>
          <cell r="L58" t="str">
            <v>31-12-22</v>
          </cell>
          <cell r="M58" t="str">
            <v>NIT issued</v>
          </cell>
        </row>
        <row r="59">
          <cell r="I59" t="str">
            <v>MEJIA TPS6</v>
          </cell>
          <cell r="J59">
            <v>250</v>
          </cell>
          <cell r="K59" t="str">
            <v>31-03-07</v>
          </cell>
          <cell r="L59" t="str">
            <v>31-12-22</v>
          </cell>
          <cell r="M59" t="str">
            <v>NIT issued</v>
          </cell>
        </row>
        <row r="60">
          <cell r="I60" t="str">
            <v>MEJIA TPS7</v>
          </cell>
          <cell r="J60">
            <v>500</v>
          </cell>
          <cell r="K60" t="str">
            <v>30-09-10</v>
          </cell>
          <cell r="L60" t="str">
            <v>30-09-21</v>
          </cell>
          <cell r="M60" t="str">
            <v>Bid Awarded</v>
          </cell>
        </row>
        <row r="61">
          <cell r="I61" t="str">
            <v>MEJIA TPS8</v>
          </cell>
          <cell r="J61">
            <v>500</v>
          </cell>
          <cell r="K61" t="str">
            <v>26-03-11</v>
          </cell>
          <cell r="L61" t="str">
            <v>30-09-21</v>
          </cell>
          <cell r="M61" t="str">
            <v>Bid Awarded</v>
          </cell>
        </row>
        <row r="62">
          <cell r="I62" t="str">
            <v>RAGHUNATHPUR TPP1</v>
          </cell>
          <cell r="J62">
            <v>600</v>
          </cell>
          <cell r="K62" t="str">
            <v>24-08-14</v>
          </cell>
          <cell r="L62" t="str">
            <v>31-12-21</v>
          </cell>
          <cell r="M62" t="str">
            <v>Bid Awarded</v>
          </cell>
        </row>
        <row r="63">
          <cell r="I63" t="str">
            <v>RAGHUNATHPUR TPP2</v>
          </cell>
          <cell r="J63">
            <v>600</v>
          </cell>
          <cell r="K63" t="str">
            <v>18-01-16</v>
          </cell>
          <cell r="L63" t="str">
            <v>31-12-21</v>
          </cell>
          <cell r="M63" t="str">
            <v>Bid Awarded</v>
          </cell>
        </row>
        <row r="64">
          <cell r="I64" t="str">
            <v>HALDIA TPP1</v>
          </cell>
          <cell r="J64">
            <v>300</v>
          </cell>
          <cell r="K64" t="str">
            <v>14-01-15</v>
          </cell>
          <cell r="L64" t="str">
            <v>31-12-22</v>
          </cell>
          <cell r="M64" t="str">
            <v>Feasibility Study started</v>
          </cell>
        </row>
        <row r="65">
          <cell r="I65" t="str">
            <v>HALDIA TPP2</v>
          </cell>
          <cell r="J65">
            <v>300</v>
          </cell>
          <cell r="K65" t="str">
            <v>16-02-15</v>
          </cell>
          <cell r="L65" t="str">
            <v>31-12-22</v>
          </cell>
          <cell r="M65" t="str">
            <v>Feasibility Study started</v>
          </cell>
        </row>
        <row r="66">
          <cell r="I66" t="str">
            <v>CInod.ia Power TPP1</v>
          </cell>
          <cell r="J66">
            <v>150</v>
          </cell>
          <cell r="K66">
            <v>42922</v>
          </cell>
          <cell r="L66" t="str">
            <v>31-12-22</v>
          </cell>
          <cell r="M66" t="str">
            <v>Feasibility Study started</v>
          </cell>
        </row>
        <row r="67">
          <cell r="I67" t="str">
            <v>FARAKKA STPS1</v>
          </cell>
          <cell r="J67">
            <v>200</v>
          </cell>
          <cell r="K67">
            <v>31413</v>
          </cell>
          <cell r="L67" t="str">
            <v>31-12-22</v>
          </cell>
          <cell r="M67" t="str">
            <v>NIT issued</v>
          </cell>
        </row>
        <row r="68">
          <cell r="I68" t="str">
            <v>FARAKKA STPS2</v>
          </cell>
          <cell r="J68">
            <v>200</v>
          </cell>
          <cell r="K68" t="str">
            <v>24-12-86</v>
          </cell>
          <cell r="L68" t="str">
            <v>31-12-22</v>
          </cell>
          <cell r="M68" t="str">
            <v>NIT issued</v>
          </cell>
        </row>
        <row r="69">
          <cell r="I69" t="str">
            <v>FARAKKA STPS3</v>
          </cell>
          <cell r="J69">
            <v>200</v>
          </cell>
          <cell r="K69">
            <v>31936</v>
          </cell>
          <cell r="L69" t="str">
            <v>31-12-22</v>
          </cell>
          <cell r="M69" t="str">
            <v>NIT issued</v>
          </cell>
        </row>
        <row r="70">
          <cell r="I70" t="str">
            <v>FARAKKA STPS4</v>
          </cell>
          <cell r="J70">
            <v>500</v>
          </cell>
          <cell r="K70" t="str">
            <v>25-09-92</v>
          </cell>
          <cell r="L70" t="str">
            <v>31-12-21</v>
          </cell>
          <cell r="M70" t="str">
            <v>NIT issued</v>
          </cell>
        </row>
        <row r="71">
          <cell r="I71" t="str">
            <v>FARAKKA STPS5</v>
          </cell>
          <cell r="J71">
            <v>500</v>
          </cell>
          <cell r="K71" t="str">
            <v>16-02-94</v>
          </cell>
          <cell r="L71" t="str">
            <v>31-12-21</v>
          </cell>
          <cell r="M71" t="str">
            <v>NIT issued</v>
          </cell>
        </row>
        <row r="72">
          <cell r="I72" t="str">
            <v>FARAKKA STPS6</v>
          </cell>
          <cell r="J72">
            <v>500</v>
          </cell>
          <cell r="K72">
            <v>40727</v>
          </cell>
          <cell r="L72" t="str">
            <v>31-12-21</v>
          </cell>
          <cell r="M72" t="str">
            <v>NIT issued</v>
          </cell>
        </row>
        <row r="73">
          <cell r="I73" t="str">
            <v>KOLAGHAT TPS1</v>
          </cell>
          <cell r="J73">
            <v>210</v>
          </cell>
          <cell r="K73" t="str">
            <v>16-01-93</v>
          </cell>
          <cell r="L73" t="str">
            <v>30-06-22</v>
          </cell>
          <cell r="M73" t="str">
            <v>Feasibility study completed</v>
          </cell>
        </row>
        <row r="74">
          <cell r="I74" t="str">
            <v>KOLAGHAT TPS2</v>
          </cell>
          <cell r="J74">
            <v>210</v>
          </cell>
          <cell r="K74" t="str">
            <v>13-08-90</v>
          </cell>
          <cell r="L74" t="str">
            <v>31-03-21</v>
          </cell>
          <cell r="M74" t="str">
            <v>Feasibility study completed</v>
          </cell>
        </row>
        <row r="75">
          <cell r="I75" t="str">
            <v>KOLAGHAT TPS3</v>
          </cell>
          <cell r="J75">
            <v>210</v>
          </cell>
          <cell r="K75" t="str">
            <v>16-12-85</v>
          </cell>
          <cell r="L75" t="str">
            <v>30-09-21</v>
          </cell>
          <cell r="M75" t="str">
            <v>Feasibility study completed</v>
          </cell>
        </row>
        <row r="76">
          <cell r="I76" t="str">
            <v>KOLAGHAT TPS4</v>
          </cell>
          <cell r="J76">
            <v>210</v>
          </cell>
          <cell r="K76" t="str">
            <v>24-01-84</v>
          </cell>
          <cell r="L76" t="str">
            <v>31-03-22</v>
          </cell>
          <cell r="M76" t="str">
            <v>Feasibility study completed</v>
          </cell>
        </row>
        <row r="77">
          <cell r="I77" t="str">
            <v>KOLAGHAT TPS5</v>
          </cell>
          <cell r="J77">
            <v>210</v>
          </cell>
          <cell r="K77" t="str">
            <v>28-12-93</v>
          </cell>
          <cell r="L77" t="str">
            <v>30-06-21</v>
          </cell>
          <cell r="M77" t="str">
            <v>Feasibility study completed</v>
          </cell>
        </row>
        <row r="78">
          <cell r="I78" t="str">
            <v>KOLAGHAT TPS6</v>
          </cell>
          <cell r="J78">
            <v>210</v>
          </cell>
          <cell r="K78" t="str">
            <v>17-03-91</v>
          </cell>
          <cell r="L78" t="str">
            <v>31-12-21</v>
          </cell>
          <cell r="M78" t="str">
            <v>Feasibility study completed</v>
          </cell>
        </row>
        <row r="79">
          <cell r="I79" t="str">
            <v>BAKRESWAR TPS1</v>
          </cell>
          <cell r="J79">
            <v>210</v>
          </cell>
          <cell r="K79" t="str">
            <v>29-11-00</v>
          </cell>
          <cell r="L79" t="str">
            <v>30-06-22</v>
          </cell>
          <cell r="M79" t="str">
            <v>BID opened</v>
          </cell>
        </row>
        <row r="80">
          <cell r="I80" t="str">
            <v>BAKRESWAR TPS2</v>
          </cell>
          <cell r="J80">
            <v>210</v>
          </cell>
          <cell r="K80">
            <v>36895</v>
          </cell>
          <cell r="L80" t="str">
            <v>30-06-22</v>
          </cell>
          <cell r="M80" t="str">
            <v>BID opened</v>
          </cell>
        </row>
        <row r="81">
          <cell r="I81" t="str">
            <v>BAKRESWAR TPS3</v>
          </cell>
          <cell r="J81">
            <v>210</v>
          </cell>
          <cell r="K81">
            <v>37196</v>
          </cell>
          <cell r="L81" t="str">
            <v>30-06-22</v>
          </cell>
          <cell r="M81" t="str">
            <v>BID opened</v>
          </cell>
        </row>
        <row r="82">
          <cell r="I82" t="str">
            <v>BAKRESWAR TPS4</v>
          </cell>
          <cell r="J82">
            <v>210</v>
          </cell>
          <cell r="K82">
            <v>40028</v>
          </cell>
          <cell r="L82" t="str">
            <v>30-06-22</v>
          </cell>
          <cell r="M82" t="str">
            <v>BID opened</v>
          </cell>
        </row>
        <row r="83">
          <cell r="I83" t="str">
            <v>BAKRESWAR TPS5</v>
          </cell>
          <cell r="J83">
            <v>210</v>
          </cell>
          <cell r="K83" t="str">
            <v>27-06-09</v>
          </cell>
          <cell r="L83" t="str">
            <v>30-06-22</v>
          </cell>
          <cell r="M83" t="str">
            <v>BID opened</v>
          </cell>
        </row>
        <row r="84">
          <cell r="I84" t="str">
            <v>SAGARDIGHI TPS1</v>
          </cell>
          <cell r="J84">
            <v>300</v>
          </cell>
          <cell r="K84" t="str">
            <v>20-07-08</v>
          </cell>
          <cell r="L84" t="str">
            <v>31-12-20</v>
          </cell>
          <cell r="M84" t="str">
            <v>Tender specification made</v>
          </cell>
        </row>
        <row r="85">
          <cell r="I85" t="str">
            <v>SAGARDIGHI TPS2</v>
          </cell>
          <cell r="J85">
            <v>300</v>
          </cell>
          <cell r="K85" t="str">
            <v>21-12-07</v>
          </cell>
          <cell r="L85" t="str">
            <v>31-03-21</v>
          </cell>
          <cell r="M85" t="str">
            <v>Tender specification made</v>
          </cell>
        </row>
        <row r="86">
          <cell r="I86" t="str">
            <v>SAGARDIGHI TPS3</v>
          </cell>
          <cell r="J86">
            <v>500</v>
          </cell>
          <cell r="K86" t="str">
            <v>14-12-15</v>
          </cell>
          <cell r="L86" t="str">
            <v>31-12-21</v>
          </cell>
          <cell r="M86" t="str">
            <v>BID opened</v>
          </cell>
        </row>
        <row r="87">
          <cell r="I87" t="str">
            <v>SAGARDIGHI TPS4</v>
          </cell>
          <cell r="J87">
            <v>500</v>
          </cell>
          <cell r="K87" t="str">
            <v>15-12-16</v>
          </cell>
          <cell r="L87" t="str">
            <v>31-03-20</v>
          </cell>
          <cell r="M87" t="str">
            <v>BID opened</v>
          </cell>
        </row>
        <row r="88">
          <cell r="I88" t="str">
            <v>SANTALDIH TPS5</v>
          </cell>
          <cell r="J88">
            <v>250</v>
          </cell>
          <cell r="K88">
            <v>39274</v>
          </cell>
          <cell r="L88" t="str">
            <v>31-03-21</v>
          </cell>
          <cell r="M88" t="str">
            <v>BID opened</v>
          </cell>
        </row>
        <row r="89">
          <cell r="I89" t="str">
            <v>SANTALDIH TPS6</v>
          </cell>
          <cell r="J89">
            <v>250</v>
          </cell>
          <cell r="K89" t="str">
            <v>29-06-11</v>
          </cell>
          <cell r="L89" t="str">
            <v>31-12-21</v>
          </cell>
          <cell r="M89" t="str">
            <v>BID opened</v>
          </cell>
        </row>
        <row r="90">
          <cell r="I90" t="str">
            <v>MAHATMA GANDHI TPS1</v>
          </cell>
          <cell r="J90">
            <v>660</v>
          </cell>
          <cell r="K90">
            <v>41244</v>
          </cell>
          <cell r="L90" t="str">
            <v>31-12-19</v>
          </cell>
          <cell r="M90" t="str">
            <v>FGD commissioned</v>
          </cell>
        </row>
        <row r="91">
          <cell r="I91" t="str">
            <v>MAHATMA GANDHI TPS2</v>
          </cell>
          <cell r="J91">
            <v>660</v>
          </cell>
          <cell r="K91">
            <v>41217</v>
          </cell>
          <cell r="L91" t="str">
            <v>31-12-19</v>
          </cell>
          <cell r="M91" t="str">
            <v>FGD commissioned</v>
          </cell>
        </row>
        <row r="92">
          <cell r="I92" t="str">
            <v>PANIPAT TPS6</v>
          </cell>
          <cell r="J92">
            <v>210</v>
          </cell>
          <cell r="K92" t="str">
            <v>31-03-01</v>
          </cell>
          <cell r="L92" t="str">
            <v>31-12-19</v>
          </cell>
          <cell r="M92" t="str">
            <v>Retendering to be done</v>
          </cell>
        </row>
        <row r="93">
          <cell r="I93" t="str">
            <v>PANIPAT TPS7</v>
          </cell>
          <cell r="J93">
            <v>250</v>
          </cell>
          <cell r="K93" t="str">
            <v>28-09-04</v>
          </cell>
          <cell r="L93" t="str">
            <v>31-12-19</v>
          </cell>
          <cell r="M93" t="str">
            <v>Retendering to be done</v>
          </cell>
        </row>
        <row r="94">
          <cell r="I94" t="str">
            <v>PANIPAT TPS8</v>
          </cell>
          <cell r="J94">
            <v>250</v>
          </cell>
          <cell r="K94" t="str">
            <v>28-01-05</v>
          </cell>
          <cell r="L94" t="str">
            <v>31-12-19</v>
          </cell>
          <cell r="M94" t="str">
            <v>Retendering to be done</v>
          </cell>
        </row>
        <row r="95">
          <cell r="I95" t="str">
            <v>RAJIV GANDHI TPS1</v>
          </cell>
          <cell r="J95">
            <v>600</v>
          </cell>
          <cell r="K95" t="str">
            <v>31-03-10</v>
          </cell>
          <cell r="L95" t="str">
            <v>31-12-19</v>
          </cell>
          <cell r="M95" t="str">
            <v>Retendering to be done</v>
          </cell>
        </row>
        <row r="96">
          <cell r="I96" t="str">
            <v>RAJIV GANDHI TPS2</v>
          </cell>
          <cell r="J96">
            <v>600</v>
          </cell>
          <cell r="K96">
            <v>40188</v>
          </cell>
          <cell r="L96" t="str">
            <v>31-12-19</v>
          </cell>
          <cell r="M96" t="str">
            <v>Retendering to be done</v>
          </cell>
        </row>
        <row r="97">
          <cell r="I97" t="str">
            <v>YAMUNA NAGAR TPS1</v>
          </cell>
          <cell r="J97">
            <v>300</v>
          </cell>
          <cell r="K97">
            <v>39093</v>
          </cell>
          <cell r="L97" t="str">
            <v>31-12-19</v>
          </cell>
          <cell r="M97" t="str">
            <v>Retendering to be done</v>
          </cell>
        </row>
        <row r="98">
          <cell r="I98" t="str">
            <v>YAMUNA NAGAR TPS2</v>
          </cell>
          <cell r="J98">
            <v>300</v>
          </cell>
          <cell r="K98" t="str">
            <v>29-03-08</v>
          </cell>
          <cell r="L98" t="str">
            <v>31-12-19</v>
          </cell>
          <cell r="M98" t="str">
            <v>Retendering to be done</v>
          </cell>
        </row>
        <row r="99">
          <cell r="I99" t="str">
            <v>INDIRA GANDHI STPP1</v>
          </cell>
          <cell r="J99">
            <v>500</v>
          </cell>
          <cell r="K99" t="str">
            <v>31-10-10</v>
          </cell>
          <cell r="L99" t="str">
            <v>31-12-19</v>
          </cell>
          <cell r="M99" t="str">
            <v>Bid Awarded</v>
          </cell>
        </row>
        <row r="100">
          <cell r="I100" t="str">
            <v>INDIRA GANDHI STPP2</v>
          </cell>
          <cell r="J100">
            <v>500</v>
          </cell>
          <cell r="K100">
            <v>40674</v>
          </cell>
          <cell r="L100" t="str">
            <v>31-12-19</v>
          </cell>
          <cell r="M100" t="str">
            <v>Bid Awarded</v>
          </cell>
        </row>
        <row r="101">
          <cell r="I101" t="str">
            <v>INDIRA GANDHI STPP3</v>
          </cell>
          <cell r="J101">
            <v>500</v>
          </cell>
          <cell r="K101">
            <v>41101</v>
          </cell>
          <cell r="L101" t="str">
            <v>31-12-19</v>
          </cell>
          <cell r="M101" t="str">
            <v>Bid Awarded</v>
          </cell>
        </row>
        <row r="102">
          <cell r="I102" t="str">
            <v>GOINDWAL SAHIB1</v>
          </cell>
          <cell r="J102">
            <v>270</v>
          </cell>
          <cell r="K102" t="str">
            <v>14-02-16</v>
          </cell>
          <cell r="L102" t="str">
            <v>30-04-20</v>
          </cell>
          <cell r="M102" t="str">
            <v>Bid opened</v>
          </cell>
        </row>
        <row r="103">
          <cell r="I103" t="str">
            <v>GOINDWAL SAHIB2</v>
          </cell>
          <cell r="J103">
            <v>270</v>
          </cell>
          <cell r="K103" t="str">
            <v>15-03-16</v>
          </cell>
          <cell r="L103" t="str">
            <v>28-02-20</v>
          </cell>
          <cell r="M103" t="str">
            <v>Bid opened</v>
          </cell>
        </row>
        <row r="104">
          <cell r="I104" t="str">
            <v>RAJPURA TPS1</v>
          </cell>
          <cell r="J104">
            <v>700</v>
          </cell>
          <cell r="K104" t="str">
            <v>24-01-14</v>
          </cell>
          <cell r="L104" t="str">
            <v>31-12-19</v>
          </cell>
          <cell r="M104" t="str">
            <v>Bid Awarded</v>
          </cell>
        </row>
        <row r="105">
          <cell r="I105" t="str">
            <v>RAJPURA TPS2</v>
          </cell>
          <cell r="J105">
            <v>700</v>
          </cell>
          <cell r="K105">
            <v>41797</v>
          </cell>
          <cell r="L105" t="str">
            <v>31-12-19</v>
          </cell>
          <cell r="M105" t="str">
            <v>Bid Awarded</v>
          </cell>
        </row>
        <row r="106">
          <cell r="I106" t="str">
            <v>GH TPS (LEH.MOH.)1</v>
          </cell>
          <cell r="J106">
            <v>210</v>
          </cell>
          <cell r="K106" t="str">
            <v>29-12-97</v>
          </cell>
          <cell r="L106" t="str">
            <v>31-12-19</v>
          </cell>
          <cell r="M106" t="str">
            <v>Bid Opened</v>
          </cell>
        </row>
        <row r="107">
          <cell r="I107" t="str">
            <v>GH TPS (LEH.MOH.)2</v>
          </cell>
          <cell r="J107">
            <v>210</v>
          </cell>
          <cell r="K107" t="str">
            <v>16-10-98</v>
          </cell>
          <cell r="L107" t="str">
            <v>31-12-19</v>
          </cell>
          <cell r="M107" t="str">
            <v>Bid Opened</v>
          </cell>
        </row>
        <row r="108">
          <cell r="I108" t="str">
            <v>GH TPS (LEH.MOH.)3</v>
          </cell>
          <cell r="J108">
            <v>250</v>
          </cell>
          <cell r="K108">
            <v>39508</v>
          </cell>
          <cell r="L108" t="str">
            <v>31-12-19</v>
          </cell>
          <cell r="M108" t="str">
            <v>Bid Opened</v>
          </cell>
        </row>
        <row r="109">
          <cell r="I109" t="str">
            <v>GH TPS (LEH.MOH.)4</v>
          </cell>
          <cell r="J109">
            <v>250</v>
          </cell>
          <cell r="K109" t="str">
            <v>31-07-08</v>
          </cell>
          <cell r="L109" t="str">
            <v>31-12-19</v>
          </cell>
          <cell r="M109" t="str">
            <v>Bid Opened</v>
          </cell>
        </row>
        <row r="110">
          <cell r="I110" t="str">
            <v>TALWANDI SABO TPS1</v>
          </cell>
          <cell r="J110">
            <v>660</v>
          </cell>
          <cell r="K110" t="str">
            <v>17-06-14</v>
          </cell>
          <cell r="L110" t="str">
            <v>31-12-19</v>
          </cell>
          <cell r="M110" t="str">
            <v>Bid Awarded</v>
          </cell>
        </row>
        <row r="111">
          <cell r="I111" t="str">
            <v>TALWANDI SABO TPS2</v>
          </cell>
          <cell r="J111">
            <v>660</v>
          </cell>
          <cell r="K111" t="str">
            <v>25-10-15</v>
          </cell>
          <cell r="L111" t="str">
            <v>31-12-19</v>
          </cell>
          <cell r="M111" t="str">
            <v>Bid Awarded</v>
          </cell>
        </row>
        <row r="112">
          <cell r="I112" t="str">
            <v>TALWANDI SABO TPS3</v>
          </cell>
          <cell r="J112">
            <v>660</v>
          </cell>
          <cell r="K112" t="str">
            <v>29-03-16</v>
          </cell>
          <cell r="L112" t="str">
            <v>31-12-19</v>
          </cell>
          <cell r="M112" t="str">
            <v>Bid Awarded</v>
          </cell>
        </row>
        <row r="113">
          <cell r="I113" t="str">
            <v>KAWAI TPS1</v>
          </cell>
          <cell r="J113">
            <v>660</v>
          </cell>
          <cell r="K113" t="str">
            <v>28-05-13</v>
          </cell>
          <cell r="L113" t="str">
            <v>31-08-20</v>
          </cell>
          <cell r="M113" t="str">
            <v>NIT issued</v>
          </cell>
        </row>
        <row r="114">
          <cell r="I114" t="str">
            <v>KAWAI TPS2</v>
          </cell>
          <cell r="J114">
            <v>660</v>
          </cell>
          <cell r="K114" t="str">
            <v>24-12-13</v>
          </cell>
          <cell r="L114" t="str">
            <v>30-06-20</v>
          </cell>
          <cell r="M114" t="str">
            <v>NIT issued</v>
          </cell>
        </row>
        <row r="115">
          <cell r="I115" t="str">
            <v>CHHABRA TPS1</v>
          </cell>
          <cell r="J115">
            <v>250</v>
          </cell>
          <cell r="K115" t="str">
            <v>30-10-09</v>
          </cell>
          <cell r="L115" t="str">
            <v>31-12-21</v>
          </cell>
          <cell r="M115" t="str">
            <v>Tender specification made</v>
          </cell>
        </row>
        <row r="116">
          <cell r="I116" t="str">
            <v>CHHABRA TPS2</v>
          </cell>
          <cell r="J116">
            <v>250</v>
          </cell>
          <cell r="K116">
            <v>40273</v>
          </cell>
          <cell r="L116" t="str">
            <v>31-10-21</v>
          </cell>
          <cell r="M116" t="str">
            <v>Tender specification made</v>
          </cell>
        </row>
        <row r="117">
          <cell r="I117" t="str">
            <v>CHHABRA TPS3</v>
          </cell>
          <cell r="J117">
            <v>250</v>
          </cell>
          <cell r="K117" t="str">
            <v>14-09-13</v>
          </cell>
          <cell r="L117" t="str">
            <v>31-08-21</v>
          </cell>
          <cell r="M117" t="str">
            <v>Tender specification made</v>
          </cell>
        </row>
        <row r="118">
          <cell r="I118" t="str">
            <v>CHHABRA TPS4</v>
          </cell>
          <cell r="J118">
            <v>250</v>
          </cell>
          <cell r="K118" t="str">
            <v>30-06-14</v>
          </cell>
          <cell r="L118" t="str">
            <v>31-08-21</v>
          </cell>
          <cell r="M118" t="str">
            <v>Tender specification made</v>
          </cell>
        </row>
        <row r="119">
          <cell r="I119" t="str">
            <v>CHHABRA TPS5</v>
          </cell>
          <cell r="J119">
            <v>660</v>
          </cell>
          <cell r="K119">
            <v>42829</v>
          </cell>
          <cell r="L119" t="str">
            <v>30-04-20</v>
          </cell>
          <cell r="M119" t="str">
            <v>NIT issued</v>
          </cell>
        </row>
        <row r="120">
          <cell r="I120" t="str">
            <v>KALISINDH TPS1</v>
          </cell>
          <cell r="J120">
            <v>600</v>
          </cell>
          <cell r="K120">
            <v>41675</v>
          </cell>
          <cell r="L120" t="str">
            <v>30-06-21</v>
          </cell>
          <cell r="M120" t="str">
            <v>NIT issued</v>
          </cell>
        </row>
        <row r="121">
          <cell r="I121" t="str">
            <v>KALISINDH TPS2</v>
          </cell>
          <cell r="J121">
            <v>600</v>
          </cell>
          <cell r="K121">
            <v>42161</v>
          </cell>
          <cell r="L121" t="str">
            <v>30-04-21</v>
          </cell>
          <cell r="M121" t="str">
            <v>NIT issued</v>
          </cell>
        </row>
        <row r="122">
          <cell r="I122" t="str">
            <v>KOTA TPS5</v>
          </cell>
          <cell r="J122">
            <v>210</v>
          </cell>
          <cell r="K122" t="str">
            <v>26-03-94</v>
          </cell>
          <cell r="L122" t="str">
            <v>31-12-22</v>
          </cell>
          <cell r="M122" t="str">
            <v>Tender specification made</v>
          </cell>
        </row>
        <row r="123">
          <cell r="I123" t="str">
            <v>KOTA TPS6</v>
          </cell>
          <cell r="J123">
            <v>195</v>
          </cell>
          <cell r="K123" t="str">
            <v>30-07-03</v>
          </cell>
          <cell r="L123" t="str">
            <v>31-12-22</v>
          </cell>
          <cell r="M123" t="str">
            <v>Tender specification made</v>
          </cell>
        </row>
        <row r="124">
          <cell r="I124" t="str">
            <v>KOTA TPS7</v>
          </cell>
          <cell r="J124">
            <v>195</v>
          </cell>
          <cell r="K124" t="str">
            <v>30-08-09</v>
          </cell>
          <cell r="L124" t="str">
            <v>31-10-22</v>
          </cell>
          <cell r="M124" t="str">
            <v>Tender specification made</v>
          </cell>
        </row>
        <row r="125">
          <cell r="I125" t="str">
            <v>SURATGARH TPS1</v>
          </cell>
          <cell r="J125">
            <v>250</v>
          </cell>
          <cell r="K125">
            <v>36073</v>
          </cell>
          <cell r="L125" t="str">
            <v>31-12-22</v>
          </cell>
          <cell r="M125" t="str">
            <v>Tender specification made</v>
          </cell>
        </row>
        <row r="126">
          <cell r="I126" t="str">
            <v>SURATGARH TPS2</v>
          </cell>
          <cell r="J126">
            <v>250</v>
          </cell>
          <cell r="K126" t="str">
            <v>28-03-00</v>
          </cell>
          <cell r="L126" t="str">
            <v>31-10-22</v>
          </cell>
          <cell r="M126" t="str">
            <v>Tender specification made</v>
          </cell>
        </row>
        <row r="127">
          <cell r="I127" t="str">
            <v>SURATGARH TPS3</v>
          </cell>
          <cell r="J127">
            <v>250</v>
          </cell>
          <cell r="K127" t="str">
            <v>29-10-01</v>
          </cell>
          <cell r="L127" t="str">
            <v>31-08-22</v>
          </cell>
          <cell r="M127" t="str">
            <v>Tender specification made</v>
          </cell>
        </row>
        <row r="128">
          <cell r="I128" t="str">
            <v>SURATGARH TPS4</v>
          </cell>
          <cell r="J128">
            <v>250</v>
          </cell>
          <cell r="K128" t="str">
            <v>25-03-02</v>
          </cell>
          <cell r="L128" t="str">
            <v>30-06-22</v>
          </cell>
          <cell r="M128" t="str">
            <v>Tender specification made</v>
          </cell>
        </row>
        <row r="129">
          <cell r="I129" t="str">
            <v>SURATGARH TPS5</v>
          </cell>
          <cell r="J129">
            <v>250</v>
          </cell>
          <cell r="K129" t="str">
            <v>30-06-03</v>
          </cell>
          <cell r="L129" t="str">
            <v>30-04-22</v>
          </cell>
          <cell r="M129" t="str">
            <v>Tender specification made</v>
          </cell>
        </row>
        <row r="130">
          <cell r="I130" t="str">
            <v>SURATGARH TPS6</v>
          </cell>
          <cell r="J130">
            <v>250</v>
          </cell>
          <cell r="K130" t="str">
            <v>29-08-09</v>
          </cell>
          <cell r="L130" t="str">
            <v>28-02-22</v>
          </cell>
          <cell r="M130" t="str">
            <v>Tender specification made</v>
          </cell>
        </row>
        <row r="131">
          <cell r="I131" t="str">
            <v>LALITPUR TPS2</v>
          </cell>
          <cell r="J131">
            <v>660</v>
          </cell>
          <cell r="K131">
            <v>42583</v>
          </cell>
          <cell r="L131" t="str">
            <v>28-02-21</v>
          </cell>
          <cell r="M131" t="str">
            <v>NIT issued</v>
          </cell>
        </row>
        <row r="132">
          <cell r="I132" t="str">
            <v>LALITPUR TPS3</v>
          </cell>
          <cell r="J132">
            <v>660</v>
          </cell>
          <cell r="K132">
            <v>42373</v>
          </cell>
          <cell r="L132" t="str">
            <v>31-10-21</v>
          </cell>
          <cell r="M132" t="str">
            <v>NIT issued</v>
          </cell>
        </row>
        <row r="133">
          <cell r="I133" t="str">
            <v>LALITPUR TPS1</v>
          </cell>
          <cell r="J133">
            <v>660</v>
          </cell>
          <cell r="K133" t="str">
            <v>26-03-16</v>
          </cell>
          <cell r="L133" t="str">
            <v>31-12-20</v>
          </cell>
          <cell r="M133" t="str">
            <v>NIT issued</v>
          </cell>
        </row>
        <row r="134">
          <cell r="I134" t="str">
            <v>ANPARA C TPS1</v>
          </cell>
          <cell r="J134">
            <v>600</v>
          </cell>
          <cell r="K134">
            <v>40887</v>
          </cell>
          <cell r="L134" t="str">
            <v>31-12-21</v>
          </cell>
          <cell r="M134" t="str">
            <v>Tender specification made</v>
          </cell>
        </row>
        <row r="135">
          <cell r="I135" t="str">
            <v>ANPARA C TPS2</v>
          </cell>
          <cell r="J135">
            <v>600</v>
          </cell>
          <cell r="K135" t="str">
            <v>18-01-12</v>
          </cell>
          <cell r="L135" t="str">
            <v>31-12-21</v>
          </cell>
          <cell r="M135" t="str">
            <v>Tender specification made</v>
          </cell>
        </row>
        <row r="136">
          <cell r="I136" t="str">
            <v>DADRI (NCTPP)1</v>
          </cell>
          <cell r="J136">
            <v>210</v>
          </cell>
          <cell r="K136" t="str">
            <v>21-12-91</v>
          </cell>
          <cell r="L136" t="str">
            <v>31-12-19</v>
          </cell>
          <cell r="M136" t="str">
            <v>FGD commissioned</v>
          </cell>
        </row>
        <row r="137">
          <cell r="I137" t="str">
            <v>DADRI (NCTPP)2</v>
          </cell>
          <cell r="J137">
            <v>210</v>
          </cell>
          <cell r="K137" t="str">
            <v>18-12-92</v>
          </cell>
          <cell r="L137" t="str">
            <v>31-12-19</v>
          </cell>
          <cell r="M137" t="str">
            <v>FGD commissioned</v>
          </cell>
        </row>
        <row r="138">
          <cell r="I138" t="str">
            <v>DADRI (NCTPP)3</v>
          </cell>
          <cell r="J138">
            <v>210</v>
          </cell>
          <cell r="K138" t="str">
            <v>23-03-93</v>
          </cell>
          <cell r="L138" t="str">
            <v>31-12-19</v>
          </cell>
          <cell r="M138" t="str">
            <v>Bid Awarded</v>
          </cell>
        </row>
        <row r="139">
          <cell r="I139" t="str">
            <v>DADRI (NCTPP)4</v>
          </cell>
          <cell r="J139">
            <v>210</v>
          </cell>
          <cell r="K139" t="str">
            <v>24-03-94</v>
          </cell>
          <cell r="L139" t="str">
            <v>31-12-19</v>
          </cell>
          <cell r="M139" t="str">
            <v>Bid Awarded</v>
          </cell>
        </row>
        <row r="140">
          <cell r="I140" t="str">
            <v>DADRI (NCTPP)5</v>
          </cell>
          <cell r="J140">
            <v>490</v>
          </cell>
          <cell r="K140" t="str">
            <v>25-01-10</v>
          </cell>
          <cell r="L140" t="str">
            <v>31-12-19</v>
          </cell>
          <cell r="M140" t="str">
            <v>Bid Awarded</v>
          </cell>
        </row>
        <row r="141">
          <cell r="I141" t="str">
            <v>DADRI (NCTPP)6</v>
          </cell>
          <cell r="J141">
            <v>490</v>
          </cell>
          <cell r="K141" t="str">
            <v>16-07-10</v>
          </cell>
          <cell r="L141" t="str">
            <v>31-12-19</v>
          </cell>
          <cell r="M141" t="str">
            <v>Bid Awarded</v>
          </cell>
        </row>
        <row r="142">
          <cell r="I142" t="str">
            <v>RIHAND STPS1</v>
          </cell>
          <cell r="J142">
            <v>500</v>
          </cell>
          <cell r="K142" t="str">
            <v>31-03-88</v>
          </cell>
          <cell r="L142" t="str">
            <v>31-12-21</v>
          </cell>
          <cell r="M142" t="str">
            <v>NIT issued</v>
          </cell>
        </row>
        <row r="143">
          <cell r="I143" t="str">
            <v>RIHAND STPS2</v>
          </cell>
          <cell r="J143">
            <v>500</v>
          </cell>
          <cell r="K143">
            <v>32635</v>
          </cell>
          <cell r="L143" t="str">
            <v>31-12-21</v>
          </cell>
          <cell r="M143" t="str">
            <v>NIT issued</v>
          </cell>
        </row>
        <row r="144">
          <cell r="I144" t="str">
            <v>RIHAND STPS3</v>
          </cell>
          <cell r="J144">
            <v>500</v>
          </cell>
          <cell r="K144" t="str">
            <v>31-01-05</v>
          </cell>
          <cell r="L144" t="str">
            <v>30-10-21</v>
          </cell>
          <cell r="M144" t="str">
            <v>Bid Awarded</v>
          </cell>
        </row>
        <row r="145">
          <cell r="I145" t="str">
            <v>RIHAND STPS4</v>
          </cell>
          <cell r="J145">
            <v>500</v>
          </cell>
          <cell r="K145" t="str">
            <v>24-09-05</v>
          </cell>
          <cell r="L145" t="str">
            <v>30-04-21</v>
          </cell>
          <cell r="M145" t="str">
            <v>Bid Awarded</v>
          </cell>
        </row>
        <row r="146">
          <cell r="I146" t="str">
            <v>RIHAND STPS5</v>
          </cell>
          <cell r="J146">
            <v>500</v>
          </cell>
          <cell r="K146" t="str">
            <v>25-05-12</v>
          </cell>
          <cell r="L146" t="str">
            <v>28-02-21</v>
          </cell>
          <cell r="M146" t="str">
            <v>Bid Awarded</v>
          </cell>
        </row>
        <row r="147">
          <cell r="I147" t="str">
            <v>RIHAND STPS6</v>
          </cell>
          <cell r="J147">
            <v>500</v>
          </cell>
          <cell r="K147" t="str">
            <v>17-10-13</v>
          </cell>
          <cell r="L147" t="str">
            <v>31-12-20</v>
          </cell>
          <cell r="M147" t="str">
            <v>Bid Awarded</v>
          </cell>
        </row>
        <row r="148">
          <cell r="I148" t="str">
            <v>SINGRAULI STPS1</v>
          </cell>
          <cell r="J148">
            <v>200</v>
          </cell>
          <cell r="K148" t="str">
            <v>14-02-82</v>
          </cell>
          <cell r="L148" t="str">
            <v>31-12-21</v>
          </cell>
          <cell r="M148" t="str">
            <v>Bid Awarded</v>
          </cell>
        </row>
        <row r="149">
          <cell r="I149" t="str">
            <v>SINGRAULI STPS2</v>
          </cell>
          <cell r="J149">
            <v>200</v>
          </cell>
          <cell r="K149" t="str">
            <v>25-11-82</v>
          </cell>
          <cell r="L149" t="str">
            <v>31-12-21</v>
          </cell>
          <cell r="M149" t="str">
            <v>Bid Awarded</v>
          </cell>
        </row>
        <row r="150">
          <cell r="I150" t="str">
            <v>SINGRAULI STPS3</v>
          </cell>
          <cell r="J150">
            <v>200</v>
          </cell>
          <cell r="K150" t="str">
            <v>28-03-83</v>
          </cell>
          <cell r="L150" t="str">
            <v>31-08-21</v>
          </cell>
          <cell r="M150" t="str">
            <v>Bid Awarded</v>
          </cell>
        </row>
        <row r="151">
          <cell r="I151" t="str">
            <v>SINGRAULI STPS4</v>
          </cell>
          <cell r="J151">
            <v>200</v>
          </cell>
          <cell r="K151">
            <v>30358</v>
          </cell>
          <cell r="L151" t="str">
            <v>31-08-21</v>
          </cell>
          <cell r="M151" t="str">
            <v>Bid Awarded</v>
          </cell>
        </row>
        <row r="152">
          <cell r="I152" t="str">
            <v>SINGRAULI STPS5</v>
          </cell>
          <cell r="J152">
            <v>200</v>
          </cell>
          <cell r="K152" t="str">
            <v>26-02-84</v>
          </cell>
          <cell r="L152" t="str">
            <v>30-04-21</v>
          </cell>
          <cell r="M152" t="str">
            <v>Bid Awarded</v>
          </cell>
        </row>
        <row r="153">
          <cell r="I153" t="str">
            <v>SINGRAULI STPS6</v>
          </cell>
          <cell r="J153">
            <v>500</v>
          </cell>
          <cell r="K153" t="str">
            <v>23-12-86</v>
          </cell>
          <cell r="L153" t="str">
            <v>28-02-21</v>
          </cell>
          <cell r="M153" t="str">
            <v>Bid Awarded</v>
          </cell>
        </row>
        <row r="154">
          <cell r="I154" t="str">
            <v>SINGRAULI STPS7</v>
          </cell>
          <cell r="J154">
            <v>500</v>
          </cell>
          <cell r="K154" t="str">
            <v>24-11-87</v>
          </cell>
          <cell r="L154" t="str">
            <v>31-12-20</v>
          </cell>
          <cell r="M154" t="str">
            <v>Bid Awarded</v>
          </cell>
        </row>
        <row r="155">
          <cell r="I155" t="str">
            <v>UNCHAHAR STPS1</v>
          </cell>
          <cell r="J155">
            <v>210</v>
          </cell>
          <cell r="K155" t="str">
            <v>21-11-88</v>
          </cell>
          <cell r="L155" t="str">
            <v>31-12-22</v>
          </cell>
          <cell r="M155" t="str">
            <v>Bid Awarded</v>
          </cell>
        </row>
        <row r="156">
          <cell r="I156" t="str">
            <v>UNCHAHAR STPS2</v>
          </cell>
          <cell r="J156">
            <v>210</v>
          </cell>
          <cell r="K156" t="str">
            <v>22-03-89</v>
          </cell>
          <cell r="L156" t="str">
            <v>31-12-22</v>
          </cell>
          <cell r="M156" t="str">
            <v>Bid Awarded</v>
          </cell>
        </row>
        <row r="157">
          <cell r="I157" t="str">
            <v>UNCHAHAR STPS3</v>
          </cell>
          <cell r="J157">
            <v>210</v>
          </cell>
          <cell r="K157" t="str">
            <v>27-01-99</v>
          </cell>
          <cell r="L157" t="str">
            <v>31-10-22</v>
          </cell>
          <cell r="M157" t="str">
            <v>Bid Awarded</v>
          </cell>
        </row>
        <row r="158">
          <cell r="I158" t="str">
            <v>UNCHAHAR STPS4</v>
          </cell>
          <cell r="J158">
            <v>210</v>
          </cell>
          <cell r="K158" t="str">
            <v>22-10-99</v>
          </cell>
          <cell r="L158" t="str">
            <v>31-10-22</v>
          </cell>
          <cell r="M158" t="str">
            <v>Bid Awarded</v>
          </cell>
        </row>
        <row r="159">
          <cell r="I159" t="str">
            <v>UNCHAHAR STPS5</v>
          </cell>
          <cell r="J159">
            <v>210</v>
          </cell>
          <cell r="K159" t="str">
            <v>28-09-06</v>
          </cell>
          <cell r="L159" t="str">
            <v>30-04-22</v>
          </cell>
          <cell r="M159" t="str">
            <v>Bid Awarded</v>
          </cell>
        </row>
        <row r="160">
          <cell r="I160" t="str">
            <v>UNCHAHAR STPS6</v>
          </cell>
          <cell r="J160">
            <v>500</v>
          </cell>
          <cell r="K160" t="str">
            <v>31-03-17</v>
          </cell>
          <cell r="L160" t="str">
            <v>31-08-20</v>
          </cell>
          <cell r="M160" t="str">
            <v>Bid Awarded</v>
          </cell>
        </row>
        <row r="161">
          <cell r="I161" t="str">
            <v>BARA TPP1</v>
          </cell>
          <cell r="J161">
            <v>660</v>
          </cell>
          <cell r="K161" t="str">
            <v>25-12-16</v>
          </cell>
          <cell r="L161" t="str">
            <v>30-04-20</v>
          </cell>
          <cell r="M161" t="str">
            <v>NIT issued</v>
          </cell>
        </row>
        <row r="162">
          <cell r="I162" t="str">
            <v>BARA TPP2</v>
          </cell>
          <cell r="J162">
            <v>660</v>
          </cell>
          <cell r="K162">
            <v>42164</v>
          </cell>
          <cell r="L162" t="str">
            <v>30-06-20</v>
          </cell>
          <cell r="M162" t="str">
            <v>NIT issued</v>
          </cell>
        </row>
        <row r="163">
          <cell r="I163" t="str">
            <v>BARA TPP3</v>
          </cell>
          <cell r="J163">
            <v>660</v>
          </cell>
          <cell r="K163" t="str">
            <v>22-05-17</v>
          </cell>
          <cell r="L163" t="str">
            <v>29-02-20</v>
          </cell>
          <cell r="M163" t="str">
            <v>NIT issued</v>
          </cell>
        </row>
        <row r="164">
          <cell r="I164" t="str">
            <v>ROSA TPP PH-I1</v>
          </cell>
          <cell r="J164">
            <v>300</v>
          </cell>
          <cell r="K164">
            <v>40453</v>
          </cell>
          <cell r="L164" t="str">
            <v>31-12-21</v>
          </cell>
          <cell r="M164" t="str">
            <v>Bid Awarded</v>
          </cell>
        </row>
        <row r="165">
          <cell r="I165" t="str">
            <v>ROSA TPP PH-I2</v>
          </cell>
          <cell r="J165">
            <v>300</v>
          </cell>
          <cell r="K165" t="str">
            <v>26-06-10</v>
          </cell>
          <cell r="L165" t="str">
            <v>31-12-21</v>
          </cell>
          <cell r="M165" t="str">
            <v>Bid Awarded</v>
          </cell>
        </row>
        <row r="166">
          <cell r="I166" t="str">
            <v>ROSA TPP PH-I3</v>
          </cell>
          <cell r="J166">
            <v>300</v>
          </cell>
          <cell r="K166" t="str">
            <v>28-12-11</v>
          </cell>
          <cell r="L166" t="str">
            <v>31-10-21</v>
          </cell>
          <cell r="M166" t="str">
            <v>Bid Awarded</v>
          </cell>
        </row>
        <row r="167">
          <cell r="I167" t="str">
            <v>ROSA TPP PH-I4</v>
          </cell>
          <cell r="J167">
            <v>300</v>
          </cell>
          <cell r="K167" t="str">
            <v>28-03-12</v>
          </cell>
          <cell r="L167" t="str">
            <v>31-10-21</v>
          </cell>
          <cell r="M167" t="str">
            <v>Bid Awarded</v>
          </cell>
        </row>
        <row r="168">
          <cell r="I168" t="str">
            <v>ANPARA TPS1</v>
          </cell>
          <cell r="J168">
            <v>210</v>
          </cell>
          <cell r="K168">
            <v>31778</v>
          </cell>
          <cell r="L168" t="str">
            <v>31-10-22</v>
          </cell>
          <cell r="M168" t="str">
            <v>Bid Opened</v>
          </cell>
        </row>
        <row r="169">
          <cell r="I169" t="str">
            <v>ANPARA TPS2</v>
          </cell>
          <cell r="J169">
            <v>210</v>
          </cell>
          <cell r="K169">
            <v>31785</v>
          </cell>
          <cell r="L169" t="str">
            <v>31-08-22</v>
          </cell>
          <cell r="M169" t="str">
            <v>Bid Opened</v>
          </cell>
        </row>
        <row r="170">
          <cell r="I170" t="str">
            <v>ANPARA TPS3</v>
          </cell>
          <cell r="J170">
            <v>210</v>
          </cell>
          <cell r="K170">
            <v>32512</v>
          </cell>
          <cell r="L170" t="str">
            <v>30-06-22</v>
          </cell>
          <cell r="M170" t="str">
            <v>Bid Opened</v>
          </cell>
        </row>
        <row r="171">
          <cell r="I171" t="str">
            <v>ANPARA TPS4</v>
          </cell>
          <cell r="J171">
            <v>500</v>
          </cell>
          <cell r="K171">
            <v>34337</v>
          </cell>
          <cell r="L171" t="str">
            <v>31-12-21</v>
          </cell>
          <cell r="M171" t="str">
            <v>Bid Opened</v>
          </cell>
        </row>
        <row r="172">
          <cell r="I172" t="str">
            <v>ANPARA TPS5</v>
          </cell>
          <cell r="J172">
            <v>500</v>
          </cell>
          <cell r="K172">
            <v>34344</v>
          </cell>
          <cell r="L172" t="str">
            <v>31-12-21</v>
          </cell>
          <cell r="M172" t="str">
            <v>Bid Opened</v>
          </cell>
        </row>
        <row r="173">
          <cell r="I173" t="str">
            <v>ANPARA TPS6</v>
          </cell>
          <cell r="J173">
            <v>500</v>
          </cell>
          <cell r="K173">
            <v>42587</v>
          </cell>
          <cell r="L173" t="str">
            <v>30-06-21</v>
          </cell>
          <cell r="M173" t="str">
            <v>Bid Awarded</v>
          </cell>
        </row>
        <row r="174">
          <cell r="I174" t="str">
            <v>ANPARA TPS7</v>
          </cell>
          <cell r="J174">
            <v>500</v>
          </cell>
          <cell r="K174" t="str">
            <v>18-10-16</v>
          </cell>
          <cell r="L174" t="str">
            <v>30-04-21</v>
          </cell>
          <cell r="M174" t="str">
            <v>Bid Awarded</v>
          </cell>
        </row>
        <row r="175">
          <cell r="I175" t="str">
            <v>HARDUAGANJ TPS8</v>
          </cell>
          <cell r="J175">
            <v>250</v>
          </cell>
          <cell r="K175">
            <v>40910</v>
          </cell>
          <cell r="L175" t="str">
            <v>31-12-19</v>
          </cell>
          <cell r="M175" t="str">
            <v>Retendering to be done</v>
          </cell>
        </row>
        <row r="176">
          <cell r="I176" t="str">
            <v>HARDUAGANJ TPS9</v>
          </cell>
          <cell r="J176">
            <v>250</v>
          </cell>
          <cell r="K176">
            <v>41557</v>
          </cell>
          <cell r="L176" t="str">
            <v>31-12-19</v>
          </cell>
          <cell r="M176" t="str">
            <v>Retendering to be done</v>
          </cell>
        </row>
        <row r="177">
          <cell r="I177" t="str">
            <v>OBRA TPS9</v>
          </cell>
          <cell r="J177">
            <v>200</v>
          </cell>
          <cell r="K177" t="str">
            <v>15-03-80</v>
          </cell>
          <cell r="L177" t="str">
            <v>31-08-22</v>
          </cell>
          <cell r="M177" t="str">
            <v>Feasibility study completed</v>
          </cell>
        </row>
        <row r="178">
          <cell r="I178" t="str">
            <v>OBRA TPS10</v>
          </cell>
          <cell r="J178">
            <v>200</v>
          </cell>
          <cell r="K178">
            <v>29009</v>
          </cell>
          <cell r="L178" t="str">
            <v>31-10-22</v>
          </cell>
          <cell r="M178" t="str">
            <v>Feasibility study completed</v>
          </cell>
        </row>
        <row r="179">
          <cell r="I179" t="str">
            <v>OBRA TPS11</v>
          </cell>
          <cell r="J179">
            <v>200</v>
          </cell>
          <cell r="K179" t="str">
            <v>14-03-78</v>
          </cell>
          <cell r="L179" t="str">
            <v>31-12-22</v>
          </cell>
          <cell r="M179" t="str">
            <v>Feasibility study completed</v>
          </cell>
        </row>
        <row r="180">
          <cell r="I180" t="str">
            <v>OBRA TPS12</v>
          </cell>
          <cell r="J180">
            <v>200</v>
          </cell>
          <cell r="K180" t="str">
            <v>29-05-81</v>
          </cell>
          <cell r="L180" t="str">
            <v>30-06-22</v>
          </cell>
          <cell r="M180" t="str">
            <v>Feasibility study completed</v>
          </cell>
        </row>
        <row r="181">
          <cell r="I181" t="str">
            <v>OBRA TPS13</v>
          </cell>
          <cell r="J181">
            <v>200</v>
          </cell>
          <cell r="K181" t="str">
            <v>29-07-82</v>
          </cell>
          <cell r="L181" t="str">
            <v>30-04-22</v>
          </cell>
          <cell r="M181" t="str">
            <v>Feasibility study completed</v>
          </cell>
        </row>
        <row r="182">
          <cell r="I182" t="str">
            <v>PARICHHA TPS3</v>
          </cell>
          <cell r="J182">
            <v>210</v>
          </cell>
          <cell r="K182" t="str">
            <v>24-11-06</v>
          </cell>
          <cell r="L182" t="str">
            <v>30-04-22</v>
          </cell>
          <cell r="M182" t="str">
            <v>Retendering to be done</v>
          </cell>
        </row>
        <row r="183">
          <cell r="I183" t="str">
            <v>PARICHHA TPS4</v>
          </cell>
          <cell r="J183">
            <v>210</v>
          </cell>
          <cell r="K183">
            <v>39094</v>
          </cell>
          <cell r="L183" t="str">
            <v>30-04-22</v>
          </cell>
          <cell r="M183" t="str">
            <v>Retendering to be done</v>
          </cell>
        </row>
        <row r="184">
          <cell r="I184" t="str">
            <v>PARICHHA TPS5</v>
          </cell>
          <cell r="J184">
            <v>250</v>
          </cell>
          <cell r="K184" t="str">
            <v>17-07-12</v>
          </cell>
          <cell r="L184" t="str">
            <v>28-02-22</v>
          </cell>
          <cell r="M184" t="str">
            <v>Retendering to be done</v>
          </cell>
        </row>
        <row r="185">
          <cell r="I185" t="str">
            <v>PARICHHA TPS6</v>
          </cell>
          <cell r="J185">
            <v>250</v>
          </cell>
          <cell r="K185" t="str">
            <v>18-04-13</v>
          </cell>
          <cell r="L185" t="str">
            <v>31-12-21</v>
          </cell>
          <cell r="M185" t="str">
            <v>Retendering to be done</v>
          </cell>
        </row>
        <row r="186">
          <cell r="I186" t="str">
            <v>DR. N TATA RAO TPS7</v>
          </cell>
          <cell r="J186">
            <v>500</v>
          </cell>
          <cell r="K186">
            <v>40035</v>
          </cell>
          <cell r="L186" t="str">
            <v>31-12-20</v>
          </cell>
          <cell r="M186" t="str">
            <v>Feasibility Study started</v>
          </cell>
        </row>
        <row r="187">
          <cell r="I187" t="str">
            <v>RAYALSEEMA TPS1</v>
          </cell>
          <cell r="J187">
            <v>210</v>
          </cell>
          <cell r="K187" t="str">
            <v>31-03-94</v>
          </cell>
          <cell r="L187" t="str">
            <v>31-12-21</v>
          </cell>
          <cell r="M187" t="str">
            <v>Complies with new Norms a</v>
          </cell>
        </row>
        <row r="188">
          <cell r="I188" t="str">
            <v>RAYALSEEMA TPS2</v>
          </cell>
          <cell r="J188">
            <v>210</v>
          </cell>
          <cell r="K188" t="str">
            <v>25-02-95</v>
          </cell>
          <cell r="L188" t="str">
            <v>30-09-21</v>
          </cell>
          <cell r="M188" t="str">
            <v>Complies with new Norms a</v>
          </cell>
        </row>
        <row r="189">
          <cell r="I189" t="str">
            <v>RAYALSEEMA TPS3</v>
          </cell>
          <cell r="J189">
            <v>210</v>
          </cell>
          <cell r="K189" t="str">
            <v>25-01-07</v>
          </cell>
          <cell r="L189" t="str">
            <v>30-09-20</v>
          </cell>
          <cell r="M189" t="str">
            <v>Complies with new Norms a</v>
          </cell>
        </row>
        <row r="190">
          <cell r="I190" t="str">
            <v>RAYALSEEMA TPS4</v>
          </cell>
          <cell r="J190">
            <v>210</v>
          </cell>
          <cell r="K190" t="str">
            <v>20-11-07</v>
          </cell>
          <cell r="L190" t="str">
            <v>30-06-21</v>
          </cell>
          <cell r="M190" t="str">
            <v>Complies with new Norms a</v>
          </cell>
        </row>
        <row r="191">
          <cell r="I191" t="str">
            <v>RAYALSEEMA TPS5</v>
          </cell>
          <cell r="J191">
            <v>210</v>
          </cell>
          <cell r="K191" t="str">
            <v>31-12-10</v>
          </cell>
          <cell r="L191" t="str">
            <v>30-06-20</v>
          </cell>
          <cell r="M191" t="str">
            <v>Complies with new Norms a</v>
          </cell>
        </row>
        <row r="192">
          <cell r="I192" t="str">
            <v>DAMODARAN SANJEEVAIAH TPS1</v>
          </cell>
          <cell r="J192">
            <v>800</v>
          </cell>
          <cell r="K192" t="str">
            <v>28-08-14</v>
          </cell>
          <cell r="L192" t="str">
            <v>31-12-20</v>
          </cell>
          <cell r="M192" t="str">
            <v>Feasibility Study started</v>
          </cell>
        </row>
        <row r="193">
          <cell r="I193" t="str">
            <v>DAMODARAN SANJEEVAIAH TPS2</v>
          </cell>
          <cell r="J193">
            <v>800</v>
          </cell>
          <cell r="K193" t="str">
            <v>17-03-15</v>
          </cell>
          <cell r="L193" t="str">
            <v>31-12-19</v>
          </cell>
          <cell r="M193" t="str">
            <v>Feasibility Study started</v>
          </cell>
        </row>
        <row r="194">
          <cell r="I194" t="str">
            <v>VIZAG TPS1</v>
          </cell>
          <cell r="J194">
            <v>520</v>
          </cell>
          <cell r="K194" t="str">
            <v>27-12-15</v>
          </cell>
          <cell r="L194">
            <v>44012</v>
          </cell>
          <cell r="M194" t="str">
            <v>Feasibility Study completed</v>
          </cell>
        </row>
        <row r="195">
          <cell r="I195" t="str">
            <v>VIZAG TPS2</v>
          </cell>
          <cell r="J195">
            <v>520</v>
          </cell>
          <cell r="K195" t="str">
            <v>30-03-16</v>
          </cell>
          <cell r="L195">
            <v>43738</v>
          </cell>
          <cell r="M195" t="str">
            <v>Feasibility Study completed</v>
          </cell>
        </row>
        <row r="196">
          <cell r="I196" t="str">
            <v>SIMHADRI STPP1</v>
          </cell>
          <cell r="J196">
            <v>500</v>
          </cell>
          <cell r="K196" t="str">
            <v>22-02-02</v>
          </cell>
          <cell r="L196" t="str">
            <v>31-12-21</v>
          </cell>
          <cell r="M196" t="str">
            <v>Bid Awarded</v>
          </cell>
        </row>
        <row r="197">
          <cell r="I197" t="str">
            <v>SIMHADRI STPP2</v>
          </cell>
          <cell r="J197">
            <v>500</v>
          </cell>
          <cell r="K197" t="str">
            <v>24-08-02</v>
          </cell>
          <cell r="L197" t="str">
            <v>31-12-21</v>
          </cell>
          <cell r="M197" t="str">
            <v>Bid Awarded</v>
          </cell>
        </row>
        <row r="198">
          <cell r="I198" t="str">
            <v>SIMHADRI STPP3</v>
          </cell>
          <cell r="J198">
            <v>500</v>
          </cell>
          <cell r="K198" t="str">
            <v>29-03-11</v>
          </cell>
          <cell r="L198" t="str">
            <v>31-12-21</v>
          </cell>
          <cell r="M198" t="str">
            <v>Bid Awarded</v>
          </cell>
        </row>
        <row r="199">
          <cell r="I199" t="str">
            <v>SIMHADRI STPP4</v>
          </cell>
          <cell r="J199">
            <v>500</v>
          </cell>
          <cell r="K199" t="str">
            <v>30-03-12</v>
          </cell>
          <cell r="L199" t="str">
            <v>31-12-21</v>
          </cell>
          <cell r="M199" t="str">
            <v>Bid Awarded</v>
          </cell>
        </row>
        <row r="200">
          <cell r="I200" t="str">
            <v>SEMBCORP GAYATRI P. LTD1</v>
          </cell>
          <cell r="J200">
            <v>660</v>
          </cell>
          <cell r="K200">
            <v>42715</v>
          </cell>
          <cell r="L200" t="str">
            <v>31-12-21</v>
          </cell>
          <cell r="M200" t="str">
            <v>Bid Opened</v>
          </cell>
        </row>
        <row r="201">
          <cell r="I201" t="str">
            <v>SEMBCORP GAYATRI P. LTD2</v>
          </cell>
          <cell r="J201">
            <v>660</v>
          </cell>
          <cell r="K201" t="str">
            <v>15-02-17</v>
          </cell>
          <cell r="L201" t="str">
            <v>30-09-21</v>
          </cell>
          <cell r="M201" t="str">
            <v>Bid Opened</v>
          </cell>
        </row>
        <row r="202">
          <cell r="I202" t="str">
            <v>PAINAMPURAM TPP1</v>
          </cell>
          <cell r="J202">
            <v>660</v>
          </cell>
          <cell r="K202">
            <v>42187</v>
          </cell>
          <cell r="L202" t="str">
            <v>31-12-21</v>
          </cell>
          <cell r="M202" t="str">
            <v>Bid Opened</v>
          </cell>
        </row>
        <row r="203">
          <cell r="I203" t="str">
            <v>PAINAMPURAM TPP2</v>
          </cell>
          <cell r="J203">
            <v>660</v>
          </cell>
          <cell r="K203">
            <v>42072</v>
          </cell>
          <cell r="L203" t="str">
            <v>30-09-21</v>
          </cell>
          <cell r="M203" t="str">
            <v>Bid Opened</v>
          </cell>
        </row>
        <row r="204">
          <cell r="I204" t="str">
            <v>UDUPI TPP1</v>
          </cell>
          <cell r="J204">
            <v>600</v>
          </cell>
          <cell r="K204" t="str">
            <v>23-07-10</v>
          </cell>
          <cell r="L204" t="str">
            <v>31-03-22</v>
          </cell>
          <cell r="M204" t="str">
            <v>NIT issued</v>
          </cell>
        </row>
        <row r="205">
          <cell r="I205" t="str">
            <v>UDUPI TPP2</v>
          </cell>
          <cell r="J205">
            <v>600</v>
          </cell>
          <cell r="K205" t="str">
            <v>16-04-11</v>
          </cell>
          <cell r="L205" t="str">
            <v>30-06-22</v>
          </cell>
          <cell r="M205" t="str">
            <v>NIT issued</v>
          </cell>
        </row>
        <row r="206">
          <cell r="I206" t="str">
            <v>TORANGALLU TPS(SBU-II)1</v>
          </cell>
          <cell r="J206">
            <v>300</v>
          </cell>
          <cell r="K206" t="str">
            <v>23-04-09</v>
          </cell>
          <cell r="L206" t="str">
            <v>30-06-22</v>
          </cell>
          <cell r="M206" t="str">
            <v>Discussions with vendor is i</v>
          </cell>
        </row>
        <row r="207">
          <cell r="I207" t="str">
            <v>TORANGALLU TPS(SBU-II)2</v>
          </cell>
          <cell r="J207">
            <v>300</v>
          </cell>
          <cell r="K207" t="str">
            <v>24-08-09</v>
          </cell>
          <cell r="L207" t="str">
            <v>30-09-22</v>
          </cell>
          <cell r="M207" t="str">
            <v>Discussions with vendor is i</v>
          </cell>
        </row>
        <row r="208">
          <cell r="I208" t="str">
            <v>BELLARY TPS1</v>
          </cell>
          <cell r="J208">
            <v>500</v>
          </cell>
          <cell r="K208">
            <v>39153</v>
          </cell>
          <cell r="L208" t="str">
            <v>31-12-20</v>
          </cell>
          <cell r="M208" t="str">
            <v>BID Opened</v>
          </cell>
        </row>
        <row r="209">
          <cell r="I209" t="str">
            <v>BELLARY TPS2</v>
          </cell>
          <cell r="J209">
            <v>500</v>
          </cell>
          <cell r="K209" t="str">
            <v>23-03-12</v>
          </cell>
          <cell r="L209" t="str">
            <v>30-06-21</v>
          </cell>
          <cell r="M209" t="str">
            <v>BID Opened</v>
          </cell>
        </row>
        <row r="210">
          <cell r="I210" t="str">
            <v>BELLARY TPS3</v>
          </cell>
          <cell r="J210">
            <v>700</v>
          </cell>
          <cell r="K210">
            <v>42372</v>
          </cell>
          <cell r="L210" t="str">
            <v>31-12-21</v>
          </cell>
          <cell r="M210" t="str">
            <v>BID Opened</v>
          </cell>
        </row>
        <row r="211">
          <cell r="I211" t="str">
            <v>RAICHUR TPS1</v>
          </cell>
          <cell r="J211">
            <v>210</v>
          </cell>
          <cell r="K211" t="str">
            <v>29-03-85</v>
          </cell>
          <cell r="L211" t="str">
            <v>31-03-21</v>
          </cell>
          <cell r="M211" t="str">
            <v>Bid opened</v>
          </cell>
        </row>
        <row r="212">
          <cell r="I212" t="str">
            <v>RAICHUR TPS2</v>
          </cell>
          <cell r="J212">
            <v>210</v>
          </cell>
          <cell r="K212">
            <v>31446</v>
          </cell>
          <cell r="L212" t="str">
            <v>30-06-21</v>
          </cell>
          <cell r="M212" t="str">
            <v>Bid opened</v>
          </cell>
        </row>
        <row r="213">
          <cell r="I213" t="str">
            <v>RAICHUR TPS3</v>
          </cell>
          <cell r="J213">
            <v>210</v>
          </cell>
          <cell r="K213" t="str">
            <v>30-03-91</v>
          </cell>
          <cell r="L213" t="str">
            <v>30-09-21</v>
          </cell>
          <cell r="M213" t="str">
            <v>Bid opened</v>
          </cell>
        </row>
        <row r="214">
          <cell r="I214" t="str">
            <v>RAICHUR TPS4</v>
          </cell>
          <cell r="J214">
            <v>210</v>
          </cell>
          <cell r="K214" t="str">
            <v>29-09-94</v>
          </cell>
          <cell r="L214" t="str">
            <v>31-12-21</v>
          </cell>
          <cell r="M214" t="str">
            <v>Bid opened</v>
          </cell>
        </row>
        <row r="215">
          <cell r="I215" t="str">
            <v>RAICHUR TPS5</v>
          </cell>
          <cell r="J215">
            <v>210</v>
          </cell>
          <cell r="K215" t="str">
            <v>31-01-99</v>
          </cell>
          <cell r="L215" t="str">
            <v>31-03-22</v>
          </cell>
          <cell r="M215" t="str">
            <v>Bid opened</v>
          </cell>
        </row>
        <row r="216">
          <cell r="I216" t="str">
            <v>RAICHUR TPS6</v>
          </cell>
          <cell r="J216">
            <v>210</v>
          </cell>
          <cell r="K216" t="str">
            <v>22-07-99</v>
          </cell>
          <cell r="L216" t="str">
            <v>30-06-22</v>
          </cell>
          <cell r="M216" t="str">
            <v>Bid opened</v>
          </cell>
        </row>
        <row r="217">
          <cell r="I217" t="str">
            <v>RAICHUR TPS7</v>
          </cell>
          <cell r="J217">
            <v>210</v>
          </cell>
          <cell r="K217">
            <v>37572</v>
          </cell>
          <cell r="L217" t="str">
            <v>30-09-22</v>
          </cell>
          <cell r="M217" t="str">
            <v>Bid opened</v>
          </cell>
        </row>
        <row r="218">
          <cell r="I218" t="str">
            <v>RAICHUR TPS8</v>
          </cell>
          <cell r="J218">
            <v>250</v>
          </cell>
          <cell r="K218" t="str">
            <v>26-06-10</v>
          </cell>
          <cell r="L218" t="str">
            <v>31-12-22</v>
          </cell>
          <cell r="M218" t="str">
            <v>Bid opened</v>
          </cell>
        </row>
        <row r="219">
          <cell r="I219" t="str">
            <v>YERMARUS TPS1</v>
          </cell>
          <cell r="J219">
            <v>800</v>
          </cell>
          <cell r="K219" t="str">
            <v>29-03-16</v>
          </cell>
          <cell r="L219" t="str">
            <v>31-12-21</v>
          </cell>
          <cell r="M219" t="str">
            <v>Bid opened</v>
          </cell>
        </row>
        <row r="220">
          <cell r="I220" t="str">
            <v>YERMARUS TPS2</v>
          </cell>
          <cell r="J220">
            <v>800</v>
          </cell>
          <cell r="K220" t="str">
            <v>29-03-17</v>
          </cell>
          <cell r="L220" t="str">
            <v>31-12-21</v>
          </cell>
          <cell r="M220" t="str">
            <v>Bid opened</v>
          </cell>
        </row>
        <row r="221">
          <cell r="I221" t="str">
            <v>KUDGI STPP1</v>
          </cell>
          <cell r="J221">
            <v>800</v>
          </cell>
          <cell r="K221" t="str">
            <v>25-12-16</v>
          </cell>
          <cell r="L221" t="str">
            <v>30-06-22</v>
          </cell>
          <cell r="M221" t="str">
            <v>Bid Awarded</v>
          </cell>
        </row>
        <row r="222">
          <cell r="I222" t="str">
            <v>KUDGI STPP2</v>
          </cell>
          <cell r="J222">
            <v>800</v>
          </cell>
          <cell r="K222" t="str">
            <v>23-03-17</v>
          </cell>
          <cell r="L222" t="str">
            <v>30-09-22</v>
          </cell>
          <cell r="M222" t="str">
            <v>Bid Awarded</v>
          </cell>
        </row>
        <row r="223">
          <cell r="I223" t="str">
            <v>MUTHIARA TPP1</v>
          </cell>
          <cell r="J223">
            <v>600</v>
          </cell>
          <cell r="K223">
            <v>41682</v>
          </cell>
          <cell r="L223" t="str">
            <v>30-09-22</v>
          </cell>
          <cell r="M223" t="str">
            <v>Feasiblity Study Completed</v>
          </cell>
        </row>
        <row r="224">
          <cell r="I224" t="str">
            <v>MUTHIARA TPP2</v>
          </cell>
          <cell r="J224">
            <v>600</v>
          </cell>
          <cell r="K224">
            <v>42401</v>
          </cell>
          <cell r="L224" t="str">
            <v>31-12-22</v>
          </cell>
          <cell r="M224" t="str">
            <v>Feasiblity Study Completed</v>
          </cell>
        </row>
        <row r="225">
          <cell r="I225" t="str">
            <v>NEYVELI ( EXT) TPS1</v>
          </cell>
          <cell r="J225">
            <v>210</v>
          </cell>
          <cell r="K225" t="str">
            <v>21-10-02</v>
          </cell>
          <cell r="L225" t="str">
            <v>30-06-21</v>
          </cell>
          <cell r="M225" t="str">
            <v>Retendering to be done</v>
          </cell>
        </row>
        <row r="226">
          <cell r="I226" t="str">
            <v>NEYVELI ( EXT) TPS2</v>
          </cell>
          <cell r="J226">
            <v>210</v>
          </cell>
          <cell r="K226" t="str">
            <v>22-07-03</v>
          </cell>
          <cell r="L226" t="str">
            <v>31-12-21</v>
          </cell>
          <cell r="M226" t="str">
            <v>Retendering to be done</v>
          </cell>
        </row>
        <row r="227">
          <cell r="I227" t="str">
            <v>NEYVELI TPS- II1</v>
          </cell>
          <cell r="J227">
            <v>210</v>
          </cell>
          <cell r="K227" t="str">
            <v>17-01-88</v>
          </cell>
          <cell r="L227" t="str">
            <v>31-12-21</v>
          </cell>
          <cell r="M227" t="str">
            <v>Retendering to be done</v>
          </cell>
        </row>
        <row r="228">
          <cell r="I228" t="str">
            <v>NEYVELI TPS- II2</v>
          </cell>
          <cell r="J228">
            <v>210</v>
          </cell>
          <cell r="K228">
            <v>31930</v>
          </cell>
          <cell r="L228" t="str">
            <v>30-09-21</v>
          </cell>
          <cell r="M228" t="str">
            <v>Retendering to be done</v>
          </cell>
        </row>
        <row r="229">
          <cell r="I229" t="str">
            <v>NEYVELI TPS- II3</v>
          </cell>
          <cell r="J229">
            <v>210</v>
          </cell>
          <cell r="K229" t="str">
            <v>29-03-87</v>
          </cell>
          <cell r="L229" t="str">
            <v>30-06-21</v>
          </cell>
          <cell r="M229" t="str">
            <v>Retendering to be done</v>
          </cell>
        </row>
        <row r="230">
          <cell r="I230" t="str">
            <v>NEYVELI TPS- II4</v>
          </cell>
          <cell r="J230">
            <v>210</v>
          </cell>
          <cell r="K230" t="str">
            <v>30-03-91</v>
          </cell>
          <cell r="L230" t="str">
            <v>31-03-22</v>
          </cell>
          <cell r="M230" t="str">
            <v>Retendering to be done</v>
          </cell>
        </row>
        <row r="231">
          <cell r="I231" t="str">
            <v>NEYVELI TPS- II5</v>
          </cell>
          <cell r="J231">
            <v>210</v>
          </cell>
          <cell r="K231" t="str">
            <v>31-12-91</v>
          </cell>
          <cell r="L231" t="str">
            <v>30-06-22</v>
          </cell>
          <cell r="M231" t="str">
            <v>Retendering to be done</v>
          </cell>
        </row>
        <row r="232">
          <cell r="I232" t="str">
            <v>NEYVELI TPS- II6</v>
          </cell>
          <cell r="J232">
            <v>210</v>
          </cell>
          <cell r="K232" t="str">
            <v>30-10-92</v>
          </cell>
          <cell r="L232" t="str">
            <v>30-09-22</v>
          </cell>
          <cell r="M232" t="str">
            <v>Retendering to be done</v>
          </cell>
        </row>
        <row r="233">
          <cell r="I233" t="str">
            <v>NEYVELI TPS- II7</v>
          </cell>
          <cell r="J233">
            <v>210</v>
          </cell>
          <cell r="K233" t="str">
            <v>19-06-93</v>
          </cell>
          <cell r="L233" t="str">
            <v>31-12-22</v>
          </cell>
          <cell r="M233" t="str">
            <v>Retendering to be done</v>
          </cell>
        </row>
        <row r="234">
          <cell r="I234" t="str">
            <v>VALLUR TPP1</v>
          </cell>
          <cell r="J234">
            <v>500</v>
          </cell>
          <cell r="K234" t="str">
            <v>28-03-12</v>
          </cell>
          <cell r="L234" t="str">
            <v>31-12-21</v>
          </cell>
          <cell r="M234" t="str">
            <v>Bid Awarded</v>
          </cell>
        </row>
        <row r="235">
          <cell r="I235" t="str">
            <v>VALLUR TPP2</v>
          </cell>
          <cell r="J235">
            <v>500</v>
          </cell>
          <cell r="K235" t="str">
            <v>28-02-13</v>
          </cell>
          <cell r="L235" t="str">
            <v>31-12-21</v>
          </cell>
          <cell r="M235" t="str">
            <v>Bid Awarded</v>
          </cell>
        </row>
        <row r="236">
          <cell r="I236" t="str">
            <v>VALLUR TPP3</v>
          </cell>
          <cell r="J236">
            <v>500</v>
          </cell>
          <cell r="K236" t="str">
            <v>28-02-14</v>
          </cell>
          <cell r="L236" t="str">
            <v>31-12-21</v>
          </cell>
          <cell r="M236" t="str">
            <v>Bid Awarded</v>
          </cell>
        </row>
        <row r="237">
          <cell r="I237" t="str">
            <v>NTPL TUTICORIN (JV) TPP1</v>
          </cell>
          <cell r="J237">
            <v>500</v>
          </cell>
          <cell r="K237">
            <v>42280</v>
          </cell>
          <cell r="L237" t="str">
            <v>31-12-21</v>
          </cell>
          <cell r="M237" t="str">
            <v>Bid opened</v>
          </cell>
        </row>
        <row r="238">
          <cell r="I238" t="str">
            <v>NTPL TUTICORIN (JV) TPP2</v>
          </cell>
          <cell r="J238">
            <v>500</v>
          </cell>
          <cell r="K238">
            <v>42254</v>
          </cell>
          <cell r="L238" t="str">
            <v>30-06-20</v>
          </cell>
          <cell r="M238" t="str">
            <v>Bid opened</v>
          </cell>
        </row>
        <row r="239">
          <cell r="I239" t="str">
            <v>TAQA, Neyveli2</v>
          </cell>
          <cell r="J239">
            <v>250</v>
          </cell>
          <cell r="K239" t="str">
            <v>21-10-02</v>
          </cell>
          <cell r="L239" t="str">
            <v>30-06-20</v>
          </cell>
          <cell r="M239" t="str">
            <v>Bid Awarded</v>
          </cell>
        </row>
        <row r="240">
          <cell r="I240" t="str">
            <v>NORTH CHENNAI TPS4</v>
          </cell>
          <cell r="J240">
            <v>600</v>
          </cell>
          <cell r="K240">
            <v>41520</v>
          </cell>
          <cell r="L240" t="str">
            <v>31-12-19</v>
          </cell>
          <cell r="M240" t="str">
            <v>Requsted for FGD implementation</v>
          </cell>
        </row>
        <row r="241">
          <cell r="I241" t="str">
            <v>NORTH CHENNAI TPS5</v>
          </cell>
          <cell r="J241">
            <v>600</v>
          </cell>
          <cell r="K241" t="str">
            <v>13-09-13</v>
          </cell>
          <cell r="L241" t="str">
            <v>30-09-20</v>
          </cell>
          <cell r="M241" t="str">
            <v>Requsted for FGD implementation</v>
          </cell>
        </row>
        <row r="242">
          <cell r="I242" t="str">
            <v>NORTH CHENNAI TPS1</v>
          </cell>
          <cell r="J242">
            <v>210</v>
          </cell>
          <cell r="K242" t="str">
            <v>25-10-94</v>
          </cell>
          <cell r="L242" t="str">
            <v>31-12-22</v>
          </cell>
          <cell r="M242" t="str">
            <v>Feasibility study completed</v>
          </cell>
        </row>
        <row r="243">
          <cell r="I243" t="str">
            <v>NORTH CHENNAI TPS2</v>
          </cell>
          <cell r="J243">
            <v>210</v>
          </cell>
          <cell r="K243" t="str">
            <v>27-03-95</v>
          </cell>
          <cell r="L243" t="str">
            <v>30-06-22</v>
          </cell>
          <cell r="M243" t="str">
            <v>Feasibility study completed</v>
          </cell>
        </row>
        <row r="244">
          <cell r="I244" t="str">
            <v>NORTH CHENNAI TPS3</v>
          </cell>
          <cell r="J244">
            <v>210</v>
          </cell>
          <cell r="K244" t="str">
            <v>24-02-96</v>
          </cell>
          <cell r="L244" t="str">
            <v>31-03-22</v>
          </cell>
          <cell r="M244" t="str">
            <v>Feasibility study completed</v>
          </cell>
        </row>
        <row r="245">
          <cell r="I245" t="str">
            <v>RAMAGUNDEM STPS1</v>
          </cell>
          <cell r="J245">
            <v>200</v>
          </cell>
          <cell r="K245" t="str">
            <v>27-10-83</v>
          </cell>
          <cell r="L245" t="str">
            <v>31-03-22</v>
          </cell>
          <cell r="M245" t="str">
            <v>Bid Awarded</v>
          </cell>
        </row>
        <row r="246">
          <cell r="I246" t="str">
            <v>RAMAGUNDEM STPS2</v>
          </cell>
          <cell r="J246">
            <v>200</v>
          </cell>
          <cell r="K246" t="str">
            <v>29-05-84</v>
          </cell>
          <cell r="L246" t="str">
            <v>31-03-22</v>
          </cell>
          <cell r="M246" t="str">
            <v>Bid Awarded</v>
          </cell>
        </row>
        <row r="247">
          <cell r="I247" t="str">
            <v>RAMAGUNDEM STPS3</v>
          </cell>
          <cell r="J247">
            <v>200</v>
          </cell>
          <cell r="K247" t="str">
            <v>13-12-84</v>
          </cell>
          <cell r="L247" t="str">
            <v>30-06-22</v>
          </cell>
          <cell r="M247" t="str">
            <v>Bid Awarded</v>
          </cell>
        </row>
        <row r="248">
          <cell r="I248" t="str">
            <v>RAMAGUNDEM STPS4</v>
          </cell>
          <cell r="J248">
            <v>500</v>
          </cell>
          <cell r="K248" t="str">
            <v>26-06-88</v>
          </cell>
          <cell r="L248" t="str">
            <v>30-06-22</v>
          </cell>
          <cell r="M248" t="str">
            <v>Bid Awarded</v>
          </cell>
        </row>
        <row r="249">
          <cell r="I249" t="str">
            <v>RAMAGUNDEM STPS5</v>
          </cell>
          <cell r="J249">
            <v>500</v>
          </cell>
          <cell r="K249" t="str">
            <v>26-03-89</v>
          </cell>
          <cell r="L249" t="str">
            <v>30-09-22</v>
          </cell>
          <cell r="M249" t="str">
            <v>Bid Awarded</v>
          </cell>
        </row>
        <row r="250">
          <cell r="I250" t="str">
            <v>RAMAGUNDEM STPS6</v>
          </cell>
          <cell r="J250">
            <v>500</v>
          </cell>
          <cell r="K250" t="str">
            <v>16-10-89</v>
          </cell>
          <cell r="L250" t="str">
            <v>30-09-22</v>
          </cell>
          <cell r="M250" t="str">
            <v>Bid Awarded</v>
          </cell>
        </row>
        <row r="251">
          <cell r="I251" t="str">
            <v>RAMAGUNDEM STPS7</v>
          </cell>
          <cell r="J251">
            <v>500</v>
          </cell>
          <cell r="K251" t="str">
            <v>26-09-04</v>
          </cell>
          <cell r="L251" t="str">
            <v>31-12-22</v>
          </cell>
          <cell r="M251" t="str">
            <v>Bid Awarded</v>
          </cell>
        </row>
        <row r="252">
          <cell r="I252" t="str">
            <v>SINGARENI TPP1</v>
          </cell>
          <cell r="J252">
            <v>600</v>
          </cell>
          <cell r="K252" t="str">
            <v>25-09-16</v>
          </cell>
          <cell r="L252" t="str">
            <v>31-12-19</v>
          </cell>
          <cell r="M252" t="str">
            <v>NIT issued</v>
          </cell>
        </row>
        <row r="253">
          <cell r="I253" t="str">
            <v>SINGARENI TPP2</v>
          </cell>
          <cell r="J253">
            <v>600</v>
          </cell>
          <cell r="K253">
            <v>42412</v>
          </cell>
          <cell r="L253" t="str">
            <v>30-09-19</v>
          </cell>
          <cell r="M253" t="str">
            <v>NIT issued</v>
          </cell>
        </row>
        <row r="254">
          <cell r="I254" t="str">
            <v>KAKATIYA TPS1</v>
          </cell>
          <cell r="J254">
            <v>500</v>
          </cell>
          <cell r="K254" t="str">
            <v>27-05-10</v>
          </cell>
          <cell r="L254" t="str">
            <v>31-03-20</v>
          </cell>
          <cell r="M254" t="str">
            <v>Feasiblity Study completed</v>
          </cell>
        </row>
        <row r="255">
          <cell r="I255" t="str">
            <v>KAKATIYA TPS2</v>
          </cell>
          <cell r="J255">
            <v>600</v>
          </cell>
          <cell r="K255" t="str">
            <v>31-12-15</v>
          </cell>
          <cell r="L255" t="str">
            <v>30-06-20</v>
          </cell>
          <cell r="M255" t="str">
            <v>Feasiblity Study completed</v>
          </cell>
        </row>
        <row r="256">
          <cell r="I256" t="str">
            <v>KOTHAGUDEM NEW TPS11</v>
          </cell>
          <cell r="J256">
            <v>500</v>
          </cell>
          <cell r="K256" t="str">
            <v>26-06-11</v>
          </cell>
          <cell r="L256" t="str">
            <v>30-09-19</v>
          </cell>
          <cell r="M256" t="str">
            <v>Feasiblity Study completed</v>
          </cell>
        </row>
        <row r="257">
          <cell r="I257" t="str">
            <v>BALCO TPS1</v>
          </cell>
          <cell r="J257">
            <v>300</v>
          </cell>
          <cell r="K257">
            <v>42100</v>
          </cell>
          <cell r="L257" t="str">
            <v>30-09-21</v>
          </cell>
          <cell r="M257" t="str">
            <v>Tender specification made</v>
          </cell>
        </row>
        <row r="258">
          <cell r="I258" t="str">
            <v>BALCO TPS2</v>
          </cell>
          <cell r="J258">
            <v>300</v>
          </cell>
          <cell r="K258" t="str">
            <v>24-03-16</v>
          </cell>
          <cell r="L258" t="str">
            <v>30-06-21</v>
          </cell>
          <cell r="M258" t="str">
            <v>Tender specification made</v>
          </cell>
        </row>
        <row r="259">
          <cell r="I259" t="str">
            <v>MARWA TPS1</v>
          </cell>
          <cell r="J259">
            <v>500</v>
          </cell>
          <cell r="K259" t="str">
            <v>30-03-14</v>
          </cell>
          <cell r="L259" t="str">
            <v>30-06-21</v>
          </cell>
          <cell r="M259" t="str">
            <v>NIT issued</v>
          </cell>
        </row>
        <row r="260">
          <cell r="I260" t="str">
            <v>MARWA TPS2</v>
          </cell>
          <cell r="J260">
            <v>500</v>
          </cell>
          <cell r="K260" t="str">
            <v>15-07-16</v>
          </cell>
          <cell r="L260" t="str">
            <v>31-03-21</v>
          </cell>
          <cell r="M260" t="str">
            <v>NIT issued</v>
          </cell>
        </row>
        <row r="261">
          <cell r="I261" t="str">
            <v>DSPM TPS1</v>
          </cell>
          <cell r="J261">
            <v>250</v>
          </cell>
          <cell r="K261" t="str">
            <v>30-03-07</v>
          </cell>
          <cell r="L261" t="str">
            <v>30-06-21</v>
          </cell>
          <cell r="M261" t="str">
            <v>Feasiblity Study Completed</v>
          </cell>
        </row>
        <row r="262">
          <cell r="I262" t="str">
            <v>DSPM TPS2</v>
          </cell>
          <cell r="J262">
            <v>250</v>
          </cell>
          <cell r="K262">
            <v>39398</v>
          </cell>
          <cell r="L262" t="str">
            <v>30-09-21</v>
          </cell>
          <cell r="M262" t="str">
            <v>Feasiblity Study Completed</v>
          </cell>
        </row>
        <row r="263">
          <cell r="I263" t="str">
            <v>KORBA-WEST TPS5</v>
          </cell>
          <cell r="J263">
            <v>500</v>
          </cell>
          <cell r="K263" t="str">
            <v>22-03-13</v>
          </cell>
          <cell r="L263" t="str">
            <v>30-09-21</v>
          </cell>
          <cell r="M263" t="str">
            <v>Feasiblity Study Completed</v>
          </cell>
        </row>
        <row r="264">
          <cell r="I264" t="str">
            <v>BARADARHA TPS1</v>
          </cell>
          <cell r="J264">
            <v>600</v>
          </cell>
          <cell r="K264" t="str">
            <v>23-02-14</v>
          </cell>
          <cell r="L264" t="str">
            <v>30-06-21</v>
          </cell>
          <cell r="M264" t="str">
            <v>NIT issued</v>
          </cell>
        </row>
        <row r="265">
          <cell r="I265" t="str">
            <v>BARADARHA TPS2</v>
          </cell>
          <cell r="J265">
            <v>600</v>
          </cell>
          <cell r="K265" t="str">
            <v>24-03-15</v>
          </cell>
          <cell r="L265" t="str">
            <v>30-09-20</v>
          </cell>
          <cell r="M265" t="str">
            <v>NIT issued</v>
          </cell>
        </row>
        <row r="266">
          <cell r="I266" t="str">
            <v>RAIKHEDA TPP1</v>
          </cell>
          <cell r="J266">
            <v>685</v>
          </cell>
          <cell r="K266" t="str">
            <v>24-02-15</v>
          </cell>
          <cell r="L266" t="str">
            <v>30-06-20</v>
          </cell>
          <cell r="M266" t="str">
            <v>GCEL is under stressed asset</v>
          </cell>
        </row>
        <row r="267">
          <cell r="I267" t="str">
            <v>RAIKHEDA TPP2</v>
          </cell>
          <cell r="J267">
            <v>685</v>
          </cell>
          <cell r="K267" t="str">
            <v>28-03-16</v>
          </cell>
          <cell r="L267" t="str">
            <v>30-09-20</v>
          </cell>
          <cell r="M267" t="str">
            <v>GCEL is under stressed asset</v>
          </cell>
        </row>
        <row r="268">
          <cell r="I268" t="str">
            <v>AVANTHA BHANDAR1</v>
          </cell>
          <cell r="J268">
            <v>600</v>
          </cell>
          <cell r="K268" t="str">
            <v>31-03-14</v>
          </cell>
          <cell r="L268" t="str">
            <v>31-03-22</v>
          </cell>
          <cell r="M268" t="str">
            <v>Tender specification made</v>
          </cell>
        </row>
        <row r="269">
          <cell r="I269" t="str">
            <v>AKALTARA TPS1</v>
          </cell>
          <cell r="J269">
            <v>600</v>
          </cell>
          <cell r="K269" t="str">
            <v>13-08-13</v>
          </cell>
          <cell r="L269" t="str">
            <v>31-12-21</v>
          </cell>
          <cell r="M269" t="str">
            <v>Feasiblity Study Completed</v>
          </cell>
        </row>
        <row r="270">
          <cell r="I270" t="str">
            <v>AKALTARA TPS2</v>
          </cell>
          <cell r="J270">
            <v>600</v>
          </cell>
          <cell r="K270" t="str">
            <v>22-08-14</v>
          </cell>
          <cell r="L270" t="str">
            <v>31-12-21</v>
          </cell>
          <cell r="M270" t="str">
            <v>Feasiblity Study Completed</v>
          </cell>
        </row>
        <row r="271">
          <cell r="I271" t="str">
            <v>PATHADI TPS1</v>
          </cell>
          <cell r="J271">
            <v>300</v>
          </cell>
          <cell r="K271">
            <v>39909</v>
          </cell>
          <cell r="L271" t="str">
            <v>31-03-21</v>
          </cell>
          <cell r="M271" t="str">
            <v>Tender specification made</v>
          </cell>
        </row>
        <row r="272">
          <cell r="I272" t="str">
            <v>PATHADI TPS2</v>
          </cell>
          <cell r="J272">
            <v>300</v>
          </cell>
          <cell r="K272" t="str">
            <v>25-03-10</v>
          </cell>
          <cell r="L272" t="str">
            <v>31-03-21</v>
          </cell>
          <cell r="M272" t="str">
            <v>Tender specification made</v>
          </cell>
        </row>
        <row r="273">
          <cell r="I273" t="str">
            <v>Raigarh TPS1</v>
          </cell>
          <cell r="J273">
            <v>250</v>
          </cell>
          <cell r="K273">
            <v>39122</v>
          </cell>
          <cell r="L273" t="str">
            <v>31-03-22</v>
          </cell>
          <cell r="M273" t="str">
            <v>NIT issued</v>
          </cell>
        </row>
        <row r="274">
          <cell r="I274" t="str">
            <v>Raigarh TPS2</v>
          </cell>
          <cell r="J274">
            <v>250</v>
          </cell>
          <cell r="K274">
            <v>39723</v>
          </cell>
          <cell r="L274" t="str">
            <v>31-03-22</v>
          </cell>
          <cell r="M274" t="str">
            <v>NIT issued</v>
          </cell>
        </row>
        <row r="275">
          <cell r="I275" t="str">
            <v>Raigarh TPS3</v>
          </cell>
          <cell r="J275">
            <v>250</v>
          </cell>
          <cell r="K275">
            <v>39602</v>
          </cell>
          <cell r="L275" t="str">
            <v>30-06-22</v>
          </cell>
          <cell r="M275" t="str">
            <v>NIT issued</v>
          </cell>
        </row>
        <row r="276">
          <cell r="I276" t="str">
            <v>Raigarh TPS4</v>
          </cell>
          <cell r="J276">
            <v>250</v>
          </cell>
          <cell r="K276" t="str">
            <v>17-06-08</v>
          </cell>
          <cell r="L276" t="str">
            <v>30-06-22</v>
          </cell>
          <cell r="M276" t="str">
            <v>NIT issued</v>
          </cell>
        </row>
        <row r="277">
          <cell r="I277" t="str">
            <v>TAMNAR TPP1</v>
          </cell>
          <cell r="J277">
            <v>600</v>
          </cell>
          <cell r="K277">
            <v>41915</v>
          </cell>
          <cell r="L277" t="str">
            <v>31-03-21</v>
          </cell>
          <cell r="M277" t="str">
            <v>Bid opened</v>
          </cell>
        </row>
        <row r="278">
          <cell r="I278" t="str">
            <v>TAMNAR TPP2</v>
          </cell>
          <cell r="J278">
            <v>600</v>
          </cell>
          <cell r="K278" t="str">
            <v>30-03-14</v>
          </cell>
          <cell r="L278" t="str">
            <v>31-12-21</v>
          </cell>
          <cell r="M278" t="str">
            <v>Bid opened</v>
          </cell>
        </row>
        <row r="279">
          <cell r="I279" t="str">
            <v>TAMNAR TPP3</v>
          </cell>
          <cell r="J279">
            <v>600</v>
          </cell>
          <cell r="K279">
            <v>42186</v>
          </cell>
          <cell r="L279" t="str">
            <v>31-03-22</v>
          </cell>
          <cell r="M279" t="str">
            <v>Bid opened</v>
          </cell>
        </row>
        <row r="280">
          <cell r="I280" t="str">
            <v>TAMNAR TPP4</v>
          </cell>
          <cell r="J280">
            <v>600</v>
          </cell>
          <cell r="K280" t="str">
            <v>28-03-15</v>
          </cell>
          <cell r="L280" t="str">
            <v>30-06-22</v>
          </cell>
          <cell r="M280" t="str">
            <v>Bid opened</v>
          </cell>
        </row>
        <row r="281">
          <cell r="I281" t="str">
            <v>KORBA STPS1</v>
          </cell>
          <cell r="J281">
            <v>200</v>
          </cell>
          <cell r="K281" t="str">
            <v>28-02-83</v>
          </cell>
          <cell r="L281" t="str">
            <v>31-12-22</v>
          </cell>
          <cell r="M281" t="str">
            <v>Bid Awarded</v>
          </cell>
        </row>
        <row r="282">
          <cell r="I282" t="str">
            <v>KORBA STPS2</v>
          </cell>
          <cell r="J282">
            <v>200</v>
          </cell>
          <cell r="K282" t="str">
            <v>31-10-83</v>
          </cell>
          <cell r="L282" t="str">
            <v>31-12-22</v>
          </cell>
          <cell r="M282" t="str">
            <v>Bid Awarded</v>
          </cell>
        </row>
        <row r="283">
          <cell r="I283" t="str">
            <v>KORBA STPS3</v>
          </cell>
          <cell r="J283">
            <v>200</v>
          </cell>
          <cell r="K283" t="str">
            <v>17-03-84</v>
          </cell>
          <cell r="L283" t="str">
            <v>31-12-22</v>
          </cell>
          <cell r="M283" t="str">
            <v>Bid Awarded</v>
          </cell>
        </row>
        <row r="284">
          <cell r="I284" t="str">
            <v>KORBA STPS4</v>
          </cell>
          <cell r="J284">
            <v>500</v>
          </cell>
          <cell r="K284" t="str">
            <v>31-05-87</v>
          </cell>
          <cell r="L284" t="str">
            <v>31-12-21</v>
          </cell>
          <cell r="M284" t="str">
            <v>Bid Awarded</v>
          </cell>
        </row>
        <row r="285">
          <cell r="I285" t="str">
            <v>KORBA STPS5</v>
          </cell>
          <cell r="J285">
            <v>500</v>
          </cell>
          <cell r="K285" t="str">
            <v>25-03-88</v>
          </cell>
          <cell r="L285" t="str">
            <v>31-12-21</v>
          </cell>
          <cell r="M285" t="str">
            <v>Bid Awarded</v>
          </cell>
        </row>
        <row r="286">
          <cell r="I286" t="str">
            <v>KORBA STPS6</v>
          </cell>
          <cell r="J286">
            <v>500</v>
          </cell>
          <cell r="K286" t="str">
            <v>26-02-89</v>
          </cell>
          <cell r="L286" t="str">
            <v>31-12-21</v>
          </cell>
          <cell r="M286" t="str">
            <v>Bid Awarded</v>
          </cell>
        </row>
        <row r="287">
          <cell r="I287" t="str">
            <v>KORBA STPS7</v>
          </cell>
          <cell r="J287">
            <v>500</v>
          </cell>
          <cell r="K287" t="str">
            <v>25-11-10</v>
          </cell>
          <cell r="L287" t="str">
            <v>31-12-21</v>
          </cell>
          <cell r="M287" t="str">
            <v>Bid Awarded</v>
          </cell>
        </row>
        <row r="288">
          <cell r="I288" t="str">
            <v>SIPAT STPS4</v>
          </cell>
          <cell r="J288">
            <v>500</v>
          </cell>
          <cell r="K288" t="str">
            <v>20-06-08</v>
          </cell>
          <cell r="L288" t="str">
            <v>31-12-21</v>
          </cell>
          <cell r="M288" t="str">
            <v>NIT issued</v>
          </cell>
        </row>
        <row r="289">
          <cell r="I289" t="str">
            <v>SIPAT STPS5</v>
          </cell>
          <cell r="J289">
            <v>500</v>
          </cell>
          <cell r="K289">
            <v>39814</v>
          </cell>
          <cell r="L289" t="str">
            <v>31-12-21</v>
          </cell>
          <cell r="M289" t="str">
            <v>NIT issued</v>
          </cell>
        </row>
        <row r="290">
          <cell r="I290" t="str">
            <v>SIPAT STPS1</v>
          </cell>
          <cell r="J290">
            <v>660</v>
          </cell>
          <cell r="K290">
            <v>40553</v>
          </cell>
          <cell r="L290" t="str">
            <v>31-12-22</v>
          </cell>
          <cell r="M290" t="str">
            <v>Bid Awarded</v>
          </cell>
        </row>
        <row r="291">
          <cell r="I291" t="str">
            <v>SIPAT STPS2</v>
          </cell>
          <cell r="J291">
            <v>660</v>
          </cell>
          <cell r="K291" t="str">
            <v>25-05-12</v>
          </cell>
          <cell r="L291" t="str">
            <v>31-12-22</v>
          </cell>
          <cell r="M291" t="str">
            <v>Bid Awarded</v>
          </cell>
        </row>
        <row r="292">
          <cell r="I292" t="str">
            <v>SIPAT STPS3</v>
          </cell>
          <cell r="J292">
            <v>660</v>
          </cell>
          <cell r="K292">
            <v>41122</v>
          </cell>
          <cell r="L292" t="str">
            <v>31-12-21</v>
          </cell>
          <cell r="M292" t="str">
            <v>Bid Awarded</v>
          </cell>
        </row>
        <row r="293">
          <cell r="I293" t="str">
            <v>BHILAI TPS1</v>
          </cell>
          <cell r="J293">
            <v>250</v>
          </cell>
          <cell r="K293" t="str">
            <v>20-04-08</v>
          </cell>
          <cell r="L293" t="str">
            <v>31-12-22</v>
          </cell>
          <cell r="M293" t="str">
            <v>Bid Awarded</v>
          </cell>
        </row>
        <row r="294">
          <cell r="I294" t="str">
            <v>BHILAI TPS2</v>
          </cell>
          <cell r="J294">
            <v>250</v>
          </cell>
          <cell r="K294">
            <v>40154</v>
          </cell>
          <cell r="L294" t="str">
            <v>31-12-22</v>
          </cell>
          <cell r="M294" t="str">
            <v>Bid Awarded</v>
          </cell>
        </row>
        <row r="295">
          <cell r="I295" t="str">
            <v>UCHPINDA TPP1</v>
          </cell>
          <cell r="J295">
            <v>360</v>
          </cell>
          <cell r="K295" t="str">
            <v>28-10-15</v>
          </cell>
          <cell r="L295" t="str">
            <v>31-03-22</v>
          </cell>
          <cell r="M295" t="str">
            <v>Feasibility study completed</v>
          </cell>
        </row>
        <row r="296">
          <cell r="I296" t="str">
            <v>UCHPINDA TPP2</v>
          </cell>
          <cell r="J296">
            <v>360</v>
          </cell>
          <cell r="K296" t="str">
            <v>28-01-16</v>
          </cell>
          <cell r="L296" t="str">
            <v>31-12-21</v>
          </cell>
          <cell r="M296" t="str">
            <v>Feasibility study completed</v>
          </cell>
        </row>
        <row r="297">
          <cell r="I297" t="str">
            <v>BINJKOTE  TPP1</v>
          </cell>
          <cell r="J297">
            <v>300</v>
          </cell>
          <cell r="K297" t="str">
            <v>25-04-17</v>
          </cell>
          <cell r="L297" t="str">
            <v>30-09-20</v>
          </cell>
          <cell r="M297" t="str">
            <v>Feasability study started</v>
          </cell>
        </row>
        <row r="298">
          <cell r="I298" t="str">
            <v>NAWAPARA TPP2</v>
          </cell>
          <cell r="J298">
            <v>300</v>
          </cell>
          <cell r="K298" t="str">
            <v>18-04-17</v>
          </cell>
          <cell r="L298" t="str">
            <v>30-09-20</v>
          </cell>
          <cell r="M298" t="str">
            <v>Feasibility study completed</v>
          </cell>
        </row>
        <row r="299">
          <cell r="I299" t="str">
            <v>MUNDRA TPS1</v>
          </cell>
          <cell r="J299">
            <v>330</v>
          </cell>
          <cell r="K299">
            <v>39911</v>
          </cell>
          <cell r="L299" t="str">
            <v>31-12-22</v>
          </cell>
          <cell r="M299" t="str">
            <v>NIT issued</v>
          </cell>
        </row>
        <row r="300">
          <cell r="I300" t="str">
            <v>MUNDRA TPS2</v>
          </cell>
          <cell r="J300">
            <v>330</v>
          </cell>
          <cell r="K300" t="str">
            <v>17-03-10</v>
          </cell>
          <cell r="L300" t="str">
            <v>31-12-22</v>
          </cell>
          <cell r="M300" t="str">
            <v>NIT issued</v>
          </cell>
        </row>
        <row r="301">
          <cell r="I301" t="str">
            <v>MUNDRA TPS3</v>
          </cell>
          <cell r="J301">
            <v>330</v>
          </cell>
          <cell r="K301">
            <v>40217</v>
          </cell>
          <cell r="L301" t="str">
            <v>30-09-22</v>
          </cell>
          <cell r="M301" t="str">
            <v>NIT issued</v>
          </cell>
        </row>
        <row r="302">
          <cell r="I302" t="str">
            <v>MUNDRA TPS4</v>
          </cell>
          <cell r="J302">
            <v>330</v>
          </cell>
          <cell r="K302" t="str">
            <v>20-12-10</v>
          </cell>
          <cell r="L302" t="str">
            <v>30-09-22</v>
          </cell>
          <cell r="M302" t="str">
            <v>NIT issued</v>
          </cell>
        </row>
        <row r="303">
          <cell r="I303" t="str">
            <v>MUNDRA TPS5</v>
          </cell>
          <cell r="J303">
            <v>660</v>
          </cell>
          <cell r="K303" t="str">
            <v>26-12-10</v>
          </cell>
          <cell r="L303" t="str">
            <v>30-06-22</v>
          </cell>
          <cell r="M303" t="str">
            <v>NIT issued</v>
          </cell>
        </row>
        <row r="304">
          <cell r="I304" t="str">
            <v>MUNDRA TPS6</v>
          </cell>
          <cell r="J304">
            <v>660</v>
          </cell>
          <cell r="K304" t="str">
            <v>20-07-11</v>
          </cell>
          <cell r="L304" t="str">
            <v>31-03-22</v>
          </cell>
          <cell r="M304" t="str">
            <v>NIT issued</v>
          </cell>
        </row>
        <row r="305">
          <cell r="I305" t="str">
            <v>SALAYA TPP1</v>
          </cell>
          <cell r="J305">
            <v>600</v>
          </cell>
          <cell r="K305">
            <v>41000</v>
          </cell>
          <cell r="L305" t="str">
            <v>30-06-21</v>
          </cell>
          <cell r="M305" t="str">
            <v>Feasibility study under process</v>
          </cell>
        </row>
        <row r="306">
          <cell r="I306" t="str">
            <v>SALAYA TPP2</v>
          </cell>
          <cell r="J306">
            <v>600</v>
          </cell>
          <cell r="K306" t="str">
            <v>15-06-12</v>
          </cell>
          <cell r="L306" t="str">
            <v>31-03-21</v>
          </cell>
          <cell r="M306" t="str">
            <v>Feasibility study under process</v>
          </cell>
        </row>
        <row r="307">
          <cell r="I307" t="str">
            <v>GANDHI NAGAR TPS3</v>
          </cell>
          <cell r="J307">
            <v>210</v>
          </cell>
          <cell r="K307" t="str">
            <v>20-03-90</v>
          </cell>
          <cell r="L307" t="str">
            <v>31-12-21</v>
          </cell>
          <cell r="M307" t="str">
            <v>LoI Placed</v>
          </cell>
        </row>
        <row r="308">
          <cell r="I308" t="str">
            <v>GANDHI NAGAR TPS4</v>
          </cell>
          <cell r="J308">
            <v>210</v>
          </cell>
          <cell r="K308" t="str">
            <v>20-07-91</v>
          </cell>
          <cell r="L308" t="str">
            <v>31-12-21</v>
          </cell>
          <cell r="M308" t="str">
            <v>LoI Placed</v>
          </cell>
        </row>
        <row r="309">
          <cell r="I309" t="str">
            <v>GANDHI NAGAR TPS5</v>
          </cell>
          <cell r="J309">
            <v>210</v>
          </cell>
          <cell r="K309" t="str">
            <v>17-03-98</v>
          </cell>
          <cell r="L309" t="str">
            <v>31-12-21</v>
          </cell>
          <cell r="M309" t="str">
            <v>LoI Placed</v>
          </cell>
        </row>
        <row r="310">
          <cell r="I310" t="str">
            <v>KUTCH LIG. TPS1</v>
          </cell>
          <cell r="J310">
            <v>70</v>
          </cell>
          <cell r="K310" t="str">
            <v>29-03-90</v>
          </cell>
          <cell r="L310" t="str">
            <v>31-12-21</v>
          </cell>
          <cell r="M310" t="str">
            <v>LoI Placed</v>
          </cell>
        </row>
        <row r="311">
          <cell r="I311" t="str">
            <v>KUTCH LIG. TPS2</v>
          </cell>
          <cell r="J311">
            <v>70</v>
          </cell>
          <cell r="K311" t="str">
            <v>25-03-91</v>
          </cell>
          <cell r="L311" t="str">
            <v>31-12-21</v>
          </cell>
          <cell r="M311" t="str">
            <v>LoI Placed</v>
          </cell>
        </row>
        <row r="312">
          <cell r="I312" t="str">
            <v>KUTCH LIG. TPS3</v>
          </cell>
          <cell r="J312">
            <v>75</v>
          </cell>
          <cell r="K312" t="str">
            <v>31-03-97</v>
          </cell>
          <cell r="L312" t="str">
            <v>31-12-21</v>
          </cell>
          <cell r="M312" t="str">
            <v>LoI Placed</v>
          </cell>
        </row>
        <row r="313">
          <cell r="I313" t="str">
            <v>SIKKA REP. TPS3</v>
          </cell>
          <cell r="J313">
            <v>250</v>
          </cell>
          <cell r="K313" t="str">
            <v>29-03-15</v>
          </cell>
          <cell r="L313" t="str">
            <v>31-01-22</v>
          </cell>
          <cell r="M313" t="str">
            <v>Bidding Under Progress</v>
          </cell>
        </row>
        <row r="314">
          <cell r="I314" t="str">
            <v>SIKKA REP. TPS4</v>
          </cell>
          <cell r="J314">
            <v>250</v>
          </cell>
          <cell r="K314" t="str">
            <v>25-09-15</v>
          </cell>
          <cell r="L314" t="str">
            <v>31-01-22</v>
          </cell>
          <cell r="M314" t="str">
            <v>Bidding Under Progress</v>
          </cell>
        </row>
        <row r="315">
          <cell r="I315" t="str">
            <v>UKAI TPS3</v>
          </cell>
          <cell r="J315">
            <v>200</v>
          </cell>
          <cell r="K315" t="str">
            <v>21-01-79</v>
          </cell>
          <cell r="L315" t="str">
            <v>31-12-21</v>
          </cell>
          <cell r="M315" t="str">
            <v>LoI Placed</v>
          </cell>
        </row>
        <row r="316">
          <cell r="I316" t="str">
            <v>UKAI TPS4</v>
          </cell>
          <cell r="J316">
            <v>200</v>
          </cell>
          <cell r="K316" t="str">
            <v>28-03-79</v>
          </cell>
          <cell r="L316" t="str">
            <v>31-12-21</v>
          </cell>
          <cell r="M316" t="str">
            <v>LoI Placed</v>
          </cell>
        </row>
        <row r="317">
          <cell r="I317" t="str">
            <v>UKAI TPS5</v>
          </cell>
          <cell r="J317">
            <v>210</v>
          </cell>
          <cell r="K317" t="str">
            <v>30-01-85</v>
          </cell>
          <cell r="L317" t="str">
            <v>31-12-21</v>
          </cell>
          <cell r="M317" t="str">
            <v>LoI Placed</v>
          </cell>
        </row>
        <row r="318">
          <cell r="I318" t="str">
            <v>UKAI TPS6</v>
          </cell>
          <cell r="J318">
            <v>500</v>
          </cell>
          <cell r="K318">
            <v>41397</v>
          </cell>
          <cell r="L318" t="str">
            <v>31-03-22</v>
          </cell>
          <cell r="M318" t="str">
            <v>e-tender for EPC floated</v>
          </cell>
        </row>
        <row r="319">
          <cell r="I319" t="str">
            <v>WANAKBORI TPS1</v>
          </cell>
          <cell r="J319">
            <v>210</v>
          </cell>
          <cell r="K319" t="str">
            <v>23-03-82</v>
          </cell>
          <cell r="L319" t="str">
            <v>31-12-21</v>
          </cell>
          <cell r="M319" t="str">
            <v>LoI Placed</v>
          </cell>
        </row>
        <row r="320">
          <cell r="I320" t="str">
            <v>WANAKBORI TPS2</v>
          </cell>
          <cell r="J320">
            <v>210</v>
          </cell>
          <cell r="K320" t="str">
            <v>15-01-83</v>
          </cell>
          <cell r="L320" t="str">
            <v>31-12-21</v>
          </cell>
          <cell r="M320" t="str">
            <v>LoI Placed</v>
          </cell>
        </row>
        <row r="321">
          <cell r="I321" t="str">
            <v>WANAKBORI TPS3</v>
          </cell>
          <cell r="J321">
            <v>210</v>
          </cell>
          <cell r="K321" t="str">
            <v>15-03-84</v>
          </cell>
          <cell r="L321" t="str">
            <v>31-12-21</v>
          </cell>
          <cell r="M321" t="str">
            <v>LoI Placed</v>
          </cell>
        </row>
        <row r="322">
          <cell r="I322" t="str">
            <v>WANAKBORI TPS4</v>
          </cell>
          <cell r="J322">
            <v>210</v>
          </cell>
          <cell r="K322">
            <v>31658</v>
          </cell>
          <cell r="L322" t="str">
            <v>31-12-21</v>
          </cell>
          <cell r="M322" t="str">
            <v>LoI Placed</v>
          </cell>
        </row>
        <row r="323">
          <cell r="I323" t="str">
            <v>WANAKBORI TPS5</v>
          </cell>
          <cell r="J323">
            <v>210</v>
          </cell>
          <cell r="K323" t="str">
            <v>23-09-86</v>
          </cell>
          <cell r="L323" t="str">
            <v>31-12-21</v>
          </cell>
          <cell r="M323" t="str">
            <v>LoI Placed</v>
          </cell>
        </row>
        <row r="324">
          <cell r="I324" t="str">
            <v>WANAKBORI TPS6</v>
          </cell>
          <cell r="J324">
            <v>210</v>
          </cell>
          <cell r="K324" t="str">
            <v>18-11-87</v>
          </cell>
          <cell r="L324" t="str">
            <v>31-12-21</v>
          </cell>
          <cell r="M324" t="str">
            <v>LoI Placed</v>
          </cell>
        </row>
        <row r="325">
          <cell r="I325" t="str">
            <v>WANAKBORI TPS7</v>
          </cell>
          <cell r="J325">
            <v>210</v>
          </cell>
          <cell r="K325" t="str">
            <v>31-12-98</v>
          </cell>
          <cell r="L325" t="str">
            <v>31-12-21</v>
          </cell>
          <cell r="M325" t="str">
            <v>Feasbility Study Under Progress</v>
          </cell>
        </row>
        <row r="326">
          <cell r="I326" t="str">
            <v>MUNDRA UMTPP1</v>
          </cell>
          <cell r="J326">
            <v>800</v>
          </cell>
          <cell r="K326">
            <v>41093</v>
          </cell>
          <cell r="L326" t="str">
            <v>30-06-20</v>
          </cell>
          <cell r="M326" t="str">
            <v>Bid opened</v>
          </cell>
        </row>
        <row r="327">
          <cell r="I327" t="str">
            <v>MUNDRA UMTPP2</v>
          </cell>
          <cell r="J327">
            <v>800</v>
          </cell>
          <cell r="K327" t="str">
            <v>30-07-12</v>
          </cell>
          <cell r="L327" t="str">
            <v>31-03-21</v>
          </cell>
          <cell r="M327" t="str">
            <v>Bid opened</v>
          </cell>
        </row>
        <row r="328">
          <cell r="I328" t="str">
            <v>MUNDRA UMTPP3</v>
          </cell>
          <cell r="J328">
            <v>800</v>
          </cell>
          <cell r="K328" t="str">
            <v>27-10-12</v>
          </cell>
          <cell r="L328" t="str">
            <v>30-06-21</v>
          </cell>
          <cell r="M328" t="str">
            <v>Bid opened</v>
          </cell>
        </row>
        <row r="329">
          <cell r="I329" t="str">
            <v>MUNDRA UMTPP4</v>
          </cell>
          <cell r="J329">
            <v>800</v>
          </cell>
          <cell r="K329" t="str">
            <v>21-01-13</v>
          </cell>
          <cell r="L329" t="str">
            <v>31-03-22</v>
          </cell>
          <cell r="M329" t="str">
            <v>Bid opened</v>
          </cell>
        </row>
        <row r="330">
          <cell r="I330" t="str">
            <v>MUNDRA UMTPP5</v>
          </cell>
          <cell r="J330">
            <v>800</v>
          </cell>
          <cell r="K330" t="str">
            <v>22-03-13</v>
          </cell>
          <cell r="L330" t="str">
            <v>31-03-22</v>
          </cell>
          <cell r="M330" t="str">
            <v>Bid opened</v>
          </cell>
        </row>
        <row r="331">
          <cell r="I331" t="str">
            <v>SABARMATI (D-F STATIONS) TPP1</v>
          </cell>
          <cell r="J331">
            <v>120</v>
          </cell>
          <cell r="K331">
            <v>28834</v>
          </cell>
          <cell r="L331" t="str">
            <v>31-12-22</v>
          </cell>
          <cell r="M331" t="str">
            <v>NIT issued</v>
          </cell>
        </row>
        <row r="332">
          <cell r="I332" t="str">
            <v>SABARMATI (D-F STATIONS) TPP2</v>
          </cell>
          <cell r="J332">
            <v>121</v>
          </cell>
          <cell r="K332" t="str">
            <v>31-12-84</v>
          </cell>
          <cell r="L332" t="str">
            <v>31-12-22</v>
          </cell>
          <cell r="M332" t="str">
            <v>NIT issued</v>
          </cell>
        </row>
        <row r="333">
          <cell r="I333" t="str">
            <v>SABARMATI (D-F STATIONS) TPP3</v>
          </cell>
          <cell r="J333">
            <v>121</v>
          </cell>
          <cell r="K333" t="str">
            <v>28-09-88</v>
          </cell>
          <cell r="L333" t="str">
            <v>31-12-22</v>
          </cell>
          <cell r="M333" t="str">
            <v>NIT issued</v>
          </cell>
        </row>
        <row r="334">
          <cell r="I334" t="str">
            <v>MAHAN TPP1</v>
          </cell>
          <cell r="J334">
            <v>600</v>
          </cell>
          <cell r="K334" t="str">
            <v>24-02-13</v>
          </cell>
          <cell r="L334" t="str">
            <v>31-12-20</v>
          </cell>
          <cell r="M334" t="str">
            <v>Feasibility study under process</v>
          </cell>
        </row>
        <row r="335">
          <cell r="I335" t="str">
            <v>NIGRI TPP1</v>
          </cell>
          <cell r="J335">
            <v>660</v>
          </cell>
          <cell r="K335" t="str">
            <v>29-08-14</v>
          </cell>
          <cell r="L335" t="str">
            <v>30-06-20</v>
          </cell>
          <cell r="M335" t="str">
            <v>NIT issued</v>
          </cell>
        </row>
        <row r="336">
          <cell r="I336" t="str">
            <v>NIGRI TPP2</v>
          </cell>
          <cell r="J336">
            <v>660</v>
          </cell>
          <cell r="K336" t="str">
            <v>27-02-15</v>
          </cell>
          <cell r="L336" t="str">
            <v>30-09-20</v>
          </cell>
          <cell r="M336" t="str">
            <v>NIT issued</v>
          </cell>
        </row>
        <row r="337">
          <cell r="I337" t="str">
            <v>SEIONI TPP1</v>
          </cell>
          <cell r="J337">
            <v>600</v>
          </cell>
          <cell r="K337" t="str">
            <v>22-03-16</v>
          </cell>
          <cell r="L337" t="str">
            <v>31-03-20</v>
          </cell>
          <cell r="M337" t="str">
            <v>Feasibility Study completed</v>
          </cell>
        </row>
        <row r="338">
          <cell r="I338" t="str">
            <v>ANUPPUR TPP1</v>
          </cell>
          <cell r="J338">
            <v>600</v>
          </cell>
          <cell r="K338" t="str">
            <v>20-04-15</v>
          </cell>
          <cell r="L338" t="str">
            <v>31-03-22</v>
          </cell>
          <cell r="M338" t="str">
            <v>Technical Bid under evaluation</v>
          </cell>
        </row>
        <row r="339">
          <cell r="I339" t="str">
            <v>ANUPPUR TPP2</v>
          </cell>
          <cell r="J339">
            <v>600</v>
          </cell>
          <cell r="K339" t="str">
            <v>30-03-16</v>
          </cell>
          <cell r="L339" t="str">
            <v>30-06-22</v>
          </cell>
          <cell r="M339" t="str">
            <v>Technical Bid under evaluation</v>
          </cell>
        </row>
        <row r="340">
          <cell r="I340" t="str">
            <v>AMARKANTAK TPS3</v>
          </cell>
          <cell r="J340">
            <v>210</v>
          </cell>
          <cell r="K340" t="str">
            <v>15-06-08</v>
          </cell>
          <cell r="L340" t="str">
            <v>31-03-21</v>
          </cell>
          <cell r="M340" t="str">
            <v>Feasbility Study completed</v>
          </cell>
        </row>
        <row r="341">
          <cell r="I341" t="str">
            <v>SANJAY GANDHI TPS1</v>
          </cell>
          <cell r="J341">
            <v>210</v>
          </cell>
          <cell r="K341" t="str">
            <v>26-03-93</v>
          </cell>
          <cell r="L341" t="str">
            <v>31-03-21</v>
          </cell>
          <cell r="M341" t="str">
            <v>Feasbility Study completed</v>
          </cell>
        </row>
        <row r="342">
          <cell r="I342" t="str">
            <v>SANJAY GANDHI TPS2</v>
          </cell>
          <cell r="J342">
            <v>210</v>
          </cell>
          <cell r="K342" t="str">
            <v>27-03-93</v>
          </cell>
          <cell r="L342" t="str">
            <v>31-03-21</v>
          </cell>
          <cell r="M342" t="str">
            <v>Feasbility Study completed</v>
          </cell>
        </row>
        <row r="343">
          <cell r="I343" t="str">
            <v>SANJAY GANDHI TPS3</v>
          </cell>
          <cell r="J343">
            <v>210</v>
          </cell>
          <cell r="K343" t="str">
            <v>28-02-99</v>
          </cell>
          <cell r="L343" t="str">
            <v>30-06-21</v>
          </cell>
          <cell r="M343" t="str">
            <v>Feasbility Study completed</v>
          </cell>
        </row>
        <row r="344">
          <cell r="I344" t="str">
            <v>SANJAY GANDHI TPS4</v>
          </cell>
          <cell r="J344">
            <v>210</v>
          </cell>
          <cell r="K344" t="str">
            <v>23-11-99</v>
          </cell>
          <cell r="L344" t="str">
            <v>30-06-21</v>
          </cell>
          <cell r="M344" t="str">
            <v>Feasbility Study completed</v>
          </cell>
        </row>
        <row r="345">
          <cell r="I345" t="str">
            <v>SANJAY GANDHI TPS5</v>
          </cell>
          <cell r="J345">
            <v>500</v>
          </cell>
          <cell r="K345" t="str">
            <v>18-06-07</v>
          </cell>
          <cell r="L345" t="str">
            <v>31-03-21</v>
          </cell>
          <cell r="M345" t="str">
            <v>Feasbility Study completed</v>
          </cell>
        </row>
        <row r="346">
          <cell r="I346" t="str">
            <v>SATPURA TPS10</v>
          </cell>
          <cell r="J346">
            <v>250</v>
          </cell>
          <cell r="K346" t="str">
            <v>22-03-13</v>
          </cell>
          <cell r="L346" t="str">
            <v>31-03-21</v>
          </cell>
          <cell r="M346" t="str">
            <v>Feasbility Study completed</v>
          </cell>
        </row>
        <row r="347">
          <cell r="I347" t="str">
            <v>SATPURA TPS11</v>
          </cell>
          <cell r="J347">
            <v>250</v>
          </cell>
          <cell r="K347" t="str">
            <v>25-12-13</v>
          </cell>
          <cell r="L347" t="str">
            <v>31-03-21</v>
          </cell>
          <cell r="M347" t="str">
            <v>Feasbility Study completed</v>
          </cell>
        </row>
        <row r="348">
          <cell r="I348" t="str">
            <v>SHREE SINGAJI TPP1</v>
          </cell>
          <cell r="J348">
            <v>600</v>
          </cell>
          <cell r="K348" t="str">
            <v>18-11-13</v>
          </cell>
          <cell r="L348" t="str">
            <v>31-03-21</v>
          </cell>
          <cell r="M348" t="str">
            <v>Bid opened</v>
          </cell>
        </row>
        <row r="349">
          <cell r="I349" t="str">
            <v>SHREE SINGAJI TPP2</v>
          </cell>
          <cell r="J349">
            <v>600</v>
          </cell>
          <cell r="K349" t="str">
            <v>15-10-14</v>
          </cell>
          <cell r="L349" t="str">
            <v>31-03-21</v>
          </cell>
          <cell r="M349" t="str">
            <v>Bid opened</v>
          </cell>
        </row>
        <row r="350">
          <cell r="I350" t="str">
            <v>SHREE SINGAJI TPP3</v>
          </cell>
          <cell r="J350">
            <v>660</v>
          </cell>
          <cell r="K350" t="str">
            <v>18-11-18</v>
          </cell>
          <cell r="L350" t="str">
            <v>30-09-22</v>
          </cell>
          <cell r="M350" t="str">
            <v>Bid opened</v>
          </cell>
        </row>
        <row r="351">
          <cell r="I351" t="str">
            <v>SHREE SINGAJI TPP4</v>
          </cell>
          <cell r="J351">
            <v>660</v>
          </cell>
          <cell r="K351" t="str">
            <v>27-03-19</v>
          </cell>
          <cell r="L351" t="str">
            <v>30-09-22</v>
          </cell>
          <cell r="M351" t="str">
            <v>Bid opened</v>
          </cell>
        </row>
        <row r="352">
          <cell r="I352" t="str">
            <v>VINDHYACHAL STPS1</v>
          </cell>
          <cell r="J352">
            <v>210</v>
          </cell>
          <cell r="K352">
            <v>32060</v>
          </cell>
          <cell r="L352" t="str">
            <v>31-12-22</v>
          </cell>
          <cell r="M352" t="str">
            <v>Bid Awarded</v>
          </cell>
        </row>
        <row r="353">
          <cell r="I353" t="str">
            <v>VINDHYACHAL STPS2</v>
          </cell>
          <cell r="J353">
            <v>210</v>
          </cell>
          <cell r="K353" t="str">
            <v>23-07-88</v>
          </cell>
          <cell r="L353" t="str">
            <v>31-12-22</v>
          </cell>
          <cell r="M353" t="str">
            <v>Bid Awarded</v>
          </cell>
        </row>
        <row r="354">
          <cell r="I354" t="str">
            <v>VINDHYACHAL STPS3</v>
          </cell>
          <cell r="J354">
            <v>210</v>
          </cell>
          <cell r="K354">
            <v>32569</v>
          </cell>
          <cell r="L354" t="str">
            <v>31-12-22</v>
          </cell>
          <cell r="M354" t="str">
            <v>Bid Awarded</v>
          </cell>
        </row>
        <row r="355">
          <cell r="I355" t="str">
            <v>VINDHYACHAL STPS4</v>
          </cell>
          <cell r="J355">
            <v>210</v>
          </cell>
          <cell r="K355" t="str">
            <v>26-12-89</v>
          </cell>
          <cell r="L355" t="str">
            <v>31-12-22</v>
          </cell>
          <cell r="M355" t="str">
            <v>Bid Awarded</v>
          </cell>
        </row>
        <row r="356">
          <cell r="I356" t="str">
            <v>VINDHYACHAL STPS5</v>
          </cell>
          <cell r="J356">
            <v>210</v>
          </cell>
          <cell r="K356" t="str">
            <v>31-03-90</v>
          </cell>
          <cell r="L356" t="str">
            <v>31-12-22</v>
          </cell>
          <cell r="M356" t="str">
            <v>Bid Awarded</v>
          </cell>
        </row>
        <row r="357">
          <cell r="I357" t="str">
            <v>VINDHYACHAL STPS6</v>
          </cell>
          <cell r="J357">
            <v>210</v>
          </cell>
          <cell r="K357">
            <v>33240</v>
          </cell>
          <cell r="L357" t="str">
            <v>31-12-22</v>
          </cell>
          <cell r="M357" t="str">
            <v>Bid Awarded</v>
          </cell>
        </row>
        <row r="358">
          <cell r="I358" t="str">
            <v>VINDHYACHAL STPS7</v>
          </cell>
          <cell r="J358">
            <v>500</v>
          </cell>
          <cell r="K358">
            <v>36222</v>
          </cell>
          <cell r="L358" t="str">
            <v>30-06-21</v>
          </cell>
          <cell r="M358" t="str">
            <v>Bid Awarded</v>
          </cell>
        </row>
        <row r="359">
          <cell r="I359" t="str">
            <v>VINDHYACHAL STPS8</v>
          </cell>
          <cell r="J359">
            <v>500</v>
          </cell>
          <cell r="K359" t="str">
            <v>26-02-00</v>
          </cell>
          <cell r="L359" t="str">
            <v>30-06-21</v>
          </cell>
          <cell r="M359" t="str">
            <v>Bid Awarded</v>
          </cell>
        </row>
        <row r="360">
          <cell r="I360" t="str">
            <v>VINDHYACHAL STPS9</v>
          </cell>
          <cell r="J360">
            <v>500</v>
          </cell>
          <cell r="K360" t="str">
            <v>27-07-06</v>
          </cell>
          <cell r="L360" t="str">
            <v>30-09-21</v>
          </cell>
          <cell r="M360" t="str">
            <v>Bid Awarded</v>
          </cell>
        </row>
        <row r="361">
          <cell r="I361" t="str">
            <v>VINDHYACHAL STPS10</v>
          </cell>
          <cell r="J361">
            <v>500</v>
          </cell>
          <cell r="K361">
            <v>39297</v>
          </cell>
          <cell r="L361" t="str">
            <v>30-09-21</v>
          </cell>
          <cell r="M361" t="str">
            <v>Bid Awarded</v>
          </cell>
        </row>
        <row r="362">
          <cell r="I362" t="str">
            <v>VINDHYACHAL STPS11</v>
          </cell>
          <cell r="J362">
            <v>500</v>
          </cell>
          <cell r="K362" t="str">
            <v>14-06-12</v>
          </cell>
          <cell r="L362" t="str">
            <v>31-12-21</v>
          </cell>
          <cell r="M362" t="str">
            <v>Bid Awarded</v>
          </cell>
        </row>
        <row r="363">
          <cell r="I363" t="str">
            <v>VINDHYACHAL STPS12</v>
          </cell>
          <cell r="J363">
            <v>500</v>
          </cell>
          <cell r="K363" t="str">
            <v>22-03-13</v>
          </cell>
          <cell r="L363" t="str">
            <v>31-12-21</v>
          </cell>
          <cell r="M363" t="str">
            <v>Bid Awarded</v>
          </cell>
        </row>
        <row r="364">
          <cell r="I364" t="str">
            <v>SASAN UMPTPP1</v>
          </cell>
          <cell r="J364">
            <v>660</v>
          </cell>
          <cell r="K364" t="str">
            <v>30-05-13</v>
          </cell>
          <cell r="L364" t="str">
            <v>30-09-21</v>
          </cell>
          <cell r="M364" t="str">
            <v>Bid Awarded</v>
          </cell>
        </row>
        <row r="365">
          <cell r="I365" t="str">
            <v>SASAN UMPTPP2</v>
          </cell>
          <cell r="J365">
            <v>660</v>
          </cell>
          <cell r="K365" t="str">
            <v>18-12-13</v>
          </cell>
          <cell r="L365" t="str">
            <v>30-06-21</v>
          </cell>
          <cell r="M365" t="str">
            <v>Bid Awarded</v>
          </cell>
        </row>
        <row r="366">
          <cell r="I366" t="str">
            <v>SASAN UMPTPP3</v>
          </cell>
          <cell r="J366">
            <v>660</v>
          </cell>
          <cell r="K366" t="str">
            <v>21-05-14</v>
          </cell>
          <cell r="L366" t="str">
            <v>31-03-22</v>
          </cell>
          <cell r="M366" t="str">
            <v>Bid Awarded</v>
          </cell>
        </row>
        <row r="367">
          <cell r="I367" t="str">
            <v>SASAN UMPTPP4</v>
          </cell>
          <cell r="J367">
            <v>660</v>
          </cell>
          <cell r="K367" t="str">
            <v>25-03-14</v>
          </cell>
          <cell r="L367" t="str">
            <v>31-03-22</v>
          </cell>
          <cell r="M367" t="str">
            <v>Bid Awarded</v>
          </cell>
        </row>
        <row r="368">
          <cell r="I368" t="str">
            <v>SASAN UMPTPP5</v>
          </cell>
          <cell r="J368">
            <v>660</v>
          </cell>
          <cell r="K368" t="str">
            <v>24-08-14</v>
          </cell>
          <cell r="L368" t="str">
            <v>31-12-21</v>
          </cell>
          <cell r="M368" t="str">
            <v>Bid Awarded</v>
          </cell>
        </row>
        <row r="369">
          <cell r="I369" t="str">
            <v>SASAN UMPTPP6</v>
          </cell>
          <cell r="J369">
            <v>660</v>
          </cell>
          <cell r="K369" t="str">
            <v>19-03-15</v>
          </cell>
          <cell r="L369" t="str">
            <v>30-09-21</v>
          </cell>
          <cell r="M369" t="str">
            <v>Bid Awarded</v>
          </cell>
        </row>
        <row r="370">
          <cell r="I370" t="str">
            <v>TIRORA TPS1</v>
          </cell>
          <cell r="J370">
            <v>660</v>
          </cell>
          <cell r="K370">
            <v>41222</v>
          </cell>
          <cell r="L370" t="str">
            <v>31-03-22</v>
          </cell>
          <cell r="M370" t="str">
            <v>NIT issued</v>
          </cell>
        </row>
        <row r="371">
          <cell r="I371" t="str">
            <v>TIRORA TPS2</v>
          </cell>
          <cell r="J371">
            <v>660</v>
          </cell>
          <cell r="K371" t="str">
            <v>25-03-13</v>
          </cell>
          <cell r="L371" t="str">
            <v>31-12-21</v>
          </cell>
          <cell r="M371" t="str">
            <v>NIT issued</v>
          </cell>
        </row>
        <row r="372">
          <cell r="I372" t="str">
            <v>TIRORA TPS3</v>
          </cell>
          <cell r="J372">
            <v>660</v>
          </cell>
          <cell r="K372">
            <v>41553</v>
          </cell>
          <cell r="L372">
            <v>44206</v>
          </cell>
          <cell r="M372" t="str">
            <v>NIT issued</v>
          </cell>
        </row>
        <row r="373">
          <cell r="I373" t="str">
            <v>TIRORA TPS4</v>
          </cell>
          <cell r="J373">
            <v>660</v>
          </cell>
          <cell r="K373" t="str">
            <v>23-03-14</v>
          </cell>
          <cell r="L373">
            <v>44203</v>
          </cell>
          <cell r="M373" t="str">
            <v>NIT issued</v>
          </cell>
        </row>
        <row r="374">
          <cell r="I374" t="str">
            <v>TIRORA TPS5</v>
          </cell>
          <cell r="J374">
            <v>660</v>
          </cell>
          <cell r="K374" t="str">
            <v>25-09-14</v>
          </cell>
          <cell r="L374" t="str">
            <v>31-03-21</v>
          </cell>
          <cell r="M374" t="str">
            <v>NIT issued</v>
          </cell>
        </row>
        <row r="375">
          <cell r="I375" t="str">
            <v>DHARIWAL TPS1</v>
          </cell>
          <cell r="J375">
            <v>300</v>
          </cell>
          <cell r="K375">
            <v>41344</v>
          </cell>
          <cell r="L375" t="str">
            <v>31-03-22</v>
          </cell>
          <cell r="M375" t="str">
            <v>Feasibility Study completed</v>
          </cell>
        </row>
        <row r="376">
          <cell r="I376" t="str">
            <v>DHARIWAL TPS2</v>
          </cell>
          <cell r="J376">
            <v>300</v>
          </cell>
          <cell r="K376" t="str">
            <v>28-05-14</v>
          </cell>
          <cell r="L376" t="str">
            <v>31-03-22</v>
          </cell>
          <cell r="M376" t="str">
            <v>Feasibility Study completed</v>
          </cell>
        </row>
        <row r="377">
          <cell r="I377" t="str">
            <v>GMR WARORA TPS1</v>
          </cell>
          <cell r="J377">
            <v>300</v>
          </cell>
          <cell r="K377">
            <v>41457</v>
          </cell>
          <cell r="L377" t="str">
            <v>31-03-22</v>
          </cell>
          <cell r="M377" t="str">
            <v>NIT issued</v>
          </cell>
        </row>
        <row r="378">
          <cell r="I378" t="str">
            <v>GMR WARORA TPS2</v>
          </cell>
          <cell r="J378">
            <v>300</v>
          </cell>
          <cell r="K378" t="str">
            <v>27-08-13</v>
          </cell>
          <cell r="L378" t="str">
            <v>31-03-22</v>
          </cell>
          <cell r="M378" t="str">
            <v>NIT issued</v>
          </cell>
        </row>
        <row r="379">
          <cell r="I379" t="str">
            <v>BHUSAWAL TPS3</v>
          </cell>
          <cell r="J379">
            <v>210</v>
          </cell>
          <cell r="K379" t="str">
            <v>18-09-82</v>
          </cell>
          <cell r="L379" t="str">
            <v>31-03-21</v>
          </cell>
          <cell r="M379" t="str">
            <v>Feasiblity Study Carried Out</v>
          </cell>
        </row>
        <row r="380">
          <cell r="I380" t="str">
            <v>BHUSAWAL TPS4</v>
          </cell>
          <cell r="J380">
            <v>500</v>
          </cell>
          <cell r="K380">
            <v>41093</v>
          </cell>
          <cell r="L380" t="str">
            <v>31-03-21</v>
          </cell>
          <cell r="M380" t="str">
            <v>Feasiblity Study Carried Out</v>
          </cell>
        </row>
        <row r="381">
          <cell r="I381" t="str">
            <v>BHUSAWAL TPS5</v>
          </cell>
          <cell r="J381">
            <v>500</v>
          </cell>
          <cell r="K381" t="str">
            <v>30-03-12</v>
          </cell>
          <cell r="L381" t="str">
            <v>31-03-21</v>
          </cell>
          <cell r="M381" t="str">
            <v>Feasiblity Study Carried Out</v>
          </cell>
        </row>
        <row r="382">
          <cell r="I382" t="str">
            <v>CHANDRAPUR STPS3</v>
          </cell>
          <cell r="J382">
            <v>210</v>
          </cell>
          <cell r="K382">
            <v>31111</v>
          </cell>
          <cell r="L382" t="str">
            <v>31-03-21</v>
          </cell>
          <cell r="M382" t="str">
            <v>Feasiblity Study Carried Out</v>
          </cell>
        </row>
        <row r="383">
          <cell r="I383" t="str">
            <v>CHANDRAPUR STPS4</v>
          </cell>
          <cell r="J383">
            <v>210</v>
          </cell>
          <cell r="K383">
            <v>31627</v>
          </cell>
          <cell r="L383" t="str">
            <v>31-03-21</v>
          </cell>
          <cell r="M383" t="str">
            <v>Feasiblity Study Carried Out</v>
          </cell>
        </row>
        <row r="384">
          <cell r="I384" t="str">
            <v>CHANDRAPUR STPS5</v>
          </cell>
          <cell r="J384">
            <v>500</v>
          </cell>
          <cell r="K384" t="str">
            <v>22-03-91</v>
          </cell>
          <cell r="L384" t="str">
            <v>31-03-21</v>
          </cell>
          <cell r="M384" t="str">
            <v>Feasiblity Study Carried Out</v>
          </cell>
        </row>
        <row r="385">
          <cell r="I385" t="str">
            <v>CHANDRAPUR STPS6</v>
          </cell>
          <cell r="J385">
            <v>500</v>
          </cell>
          <cell r="K385">
            <v>33911</v>
          </cell>
          <cell r="L385" t="str">
            <v>31-03-21</v>
          </cell>
          <cell r="M385" t="str">
            <v>Feasiblity Study Carried Out</v>
          </cell>
        </row>
        <row r="386">
          <cell r="I386" t="str">
            <v>CHANDRAPUR STPS7</v>
          </cell>
          <cell r="J386">
            <v>500</v>
          </cell>
          <cell r="K386">
            <v>35440</v>
          </cell>
          <cell r="L386" t="str">
            <v>31-03-21</v>
          </cell>
          <cell r="M386" t="str">
            <v>Feasiblity Study Carried Out</v>
          </cell>
        </row>
        <row r="387">
          <cell r="I387" t="str">
            <v>CHANDRAPUR STPS8</v>
          </cell>
          <cell r="J387">
            <v>500</v>
          </cell>
          <cell r="K387" t="str">
            <v>29-03-15</v>
          </cell>
          <cell r="L387" t="str">
            <v>31-03-21</v>
          </cell>
          <cell r="M387" t="str">
            <v>Feasiblity Study Carried Out</v>
          </cell>
        </row>
        <row r="388">
          <cell r="I388" t="str">
            <v>CHANDRAPUR STPS9</v>
          </cell>
          <cell r="J388">
            <v>500</v>
          </cell>
          <cell r="K388" t="str">
            <v>21-03-16</v>
          </cell>
          <cell r="L388" t="str">
            <v>31-03-20</v>
          </cell>
          <cell r="M388" t="str">
            <v>Feasiblity Study Carried Out</v>
          </cell>
        </row>
        <row r="389">
          <cell r="I389" t="str">
            <v>KHAPARKHEDA TPS1</v>
          </cell>
          <cell r="J389">
            <v>210</v>
          </cell>
          <cell r="K389" t="str">
            <v>26-03-89</v>
          </cell>
          <cell r="L389" t="str">
            <v>31-03-21</v>
          </cell>
          <cell r="M389" t="str">
            <v>Feasiblity Study Carried Out</v>
          </cell>
        </row>
        <row r="390">
          <cell r="I390" t="str">
            <v>KHAPARKHEDA TPS2</v>
          </cell>
          <cell r="J390">
            <v>210</v>
          </cell>
          <cell r="K390">
            <v>33086</v>
          </cell>
          <cell r="L390" t="str">
            <v>31-03-21</v>
          </cell>
          <cell r="M390" t="str">
            <v>Feasiblity Study Carried Out</v>
          </cell>
        </row>
        <row r="391">
          <cell r="I391" t="str">
            <v>KHAPARKHEDA TPS3</v>
          </cell>
          <cell r="J391">
            <v>210</v>
          </cell>
          <cell r="K391" t="str">
            <v>31-05-00</v>
          </cell>
          <cell r="L391" t="str">
            <v>31-03-21</v>
          </cell>
          <cell r="M391" t="str">
            <v>Feasiblity Study Carried Out</v>
          </cell>
        </row>
        <row r="392">
          <cell r="I392" t="str">
            <v>KHAPARKHEDA TPS4</v>
          </cell>
          <cell r="J392">
            <v>210</v>
          </cell>
          <cell r="K392">
            <v>37073</v>
          </cell>
          <cell r="L392" t="str">
            <v>31-03-21</v>
          </cell>
          <cell r="M392" t="str">
            <v>Feasiblity Study Carried Out</v>
          </cell>
        </row>
        <row r="393">
          <cell r="I393" t="str">
            <v>KHAPARKHEDA TPS5</v>
          </cell>
          <cell r="J393">
            <v>500</v>
          </cell>
          <cell r="K393">
            <v>40671</v>
          </cell>
          <cell r="L393" t="str">
            <v>31-03-21</v>
          </cell>
          <cell r="M393" t="str">
            <v>Feasiblity Study Carried Out</v>
          </cell>
        </row>
        <row r="394">
          <cell r="I394" t="str">
            <v>KORADI TPS6</v>
          </cell>
          <cell r="J394">
            <v>210</v>
          </cell>
          <cell r="K394" t="str">
            <v>30-03-82</v>
          </cell>
          <cell r="L394" t="str">
            <v>31-03-21</v>
          </cell>
          <cell r="M394" t="str">
            <v>Feasiblity Study Carried Out</v>
          </cell>
        </row>
        <row r="395">
          <cell r="I395" t="str">
            <v>KORADI TPS7</v>
          </cell>
          <cell r="J395">
            <v>210</v>
          </cell>
          <cell r="K395" t="str">
            <v>13-01-83</v>
          </cell>
          <cell r="L395" t="str">
            <v>31-03-21</v>
          </cell>
          <cell r="M395" t="str">
            <v>Feasiblity Study Carried Out</v>
          </cell>
        </row>
        <row r="396">
          <cell r="I396" t="str">
            <v>KORADI TPS8</v>
          </cell>
          <cell r="J396">
            <v>660</v>
          </cell>
          <cell r="K396" t="str">
            <v>30-03-15</v>
          </cell>
          <cell r="L396" t="str">
            <v>31-03-21</v>
          </cell>
          <cell r="M396" t="str">
            <v>Bid opened</v>
          </cell>
        </row>
        <row r="397">
          <cell r="I397" t="str">
            <v>KORADI TPS9</v>
          </cell>
          <cell r="J397">
            <v>660</v>
          </cell>
          <cell r="K397" t="str">
            <v>15-03-16</v>
          </cell>
          <cell r="L397" t="str">
            <v>31-03-21</v>
          </cell>
          <cell r="M397" t="str">
            <v>Bid opened</v>
          </cell>
        </row>
        <row r="398">
          <cell r="I398" t="str">
            <v>KORADI TPS10</v>
          </cell>
          <cell r="J398">
            <v>660</v>
          </cell>
          <cell r="K398" t="str">
            <v>28-12-16</v>
          </cell>
          <cell r="L398" t="str">
            <v>31-12-20</v>
          </cell>
          <cell r="M398" t="str">
            <v>Bid opened</v>
          </cell>
        </row>
        <row r="399">
          <cell r="I399" t="str">
            <v>NASIK TPS3</v>
          </cell>
          <cell r="J399">
            <v>210</v>
          </cell>
          <cell r="K399" t="str">
            <v>26-04-79</v>
          </cell>
          <cell r="L399" t="str">
            <v>31-03-21</v>
          </cell>
          <cell r="M399" t="str">
            <v>Feasiblity Study Carried Out</v>
          </cell>
        </row>
        <row r="400">
          <cell r="I400" t="str">
            <v>NASIK TPS4</v>
          </cell>
          <cell r="J400">
            <v>210</v>
          </cell>
          <cell r="K400">
            <v>29501</v>
          </cell>
          <cell r="L400" t="str">
            <v>31-03-21</v>
          </cell>
          <cell r="M400" t="str">
            <v>Feasiblity Study Carried Out</v>
          </cell>
        </row>
        <row r="401">
          <cell r="I401" t="str">
            <v>NASIK TPS5</v>
          </cell>
          <cell r="J401">
            <v>210</v>
          </cell>
          <cell r="K401" t="str">
            <v>30-01-81</v>
          </cell>
          <cell r="L401" t="str">
            <v>31-03-21</v>
          </cell>
          <cell r="M401" t="str">
            <v>Feasiblity Study Carried Out</v>
          </cell>
        </row>
        <row r="402">
          <cell r="I402" t="str">
            <v>PARLI TPS6</v>
          </cell>
          <cell r="J402">
            <v>250</v>
          </cell>
          <cell r="K402" t="str">
            <v>16-02-07</v>
          </cell>
          <cell r="L402" t="str">
            <v>31-03-21</v>
          </cell>
          <cell r="M402" t="str">
            <v>Feasiblity Study Carried Out</v>
          </cell>
        </row>
        <row r="403">
          <cell r="I403" t="str">
            <v>PARLI TPS7</v>
          </cell>
          <cell r="J403">
            <v>250</v>
          </cell>
          <cell r="K403">
            <v>40453</v>
          </cell>
          <cell r="L403" t="str">
            <v>31-03-21</v>
          </cell>
          <cell r="M403" t="str">
            <v>Feasiblity Study Carried Out</v>
          </cell>
        </row>
        <row r="404">
          <cell r="I404" t="str">
            <v>PARLI TPS8</v>
          </cell>
          <cell r="J404">
            <v>250</v>
          </cell>
          <cell r="K404" t="str">
            <v>30-03-16</v>
          </cell>
          <cell r="L404" t="str">
            <v>31-03-21</v>
          </cell>
          <cell r="M404" t="str">
            <v>Feasiblity Study Carried Out</v>
          </cell>
        </row>
        <row r="405">
          <cell r="I405" t="str">
            <v>MAUDA TPS1</v>
          </cell>
          <cell r="J405">
            <v>500</v>
          </cell>
          <cell r="K405" t="str">
            <v>19-04-12</v>
          </cell>
          <cell r="L405" t="str">
            <v>31-12-21</v>
          </cell>
          <cell r="M405" t="str">
            <v>Bid Awarded</v>
          </cell>
        </row>
        <row r="406">
          <cell r="I406" t="str">
            <v>MAUDA TPS2</v>
          </cell>
          <cell r="J406">
            <v>500</v>
          </cell>
          <cell r="K406" t="str">
            <v>29-03-13</v>
          </cell>
          <cell r="L406" t="str">
            <v>31-12-21</v>
          </cell>
          <cell r="M406" t="str">
            <v>Bid Awarded</v>
          </cell>
        </row>
        <row r="407">
          <cell r="I407" t="str">
            <v>MAUDA TPS3</v>
          </cell>
          <cell r="J407">
            <v>660</v>
          </cell>
          <cell r="K407" t="str">
            <v>28-03-16</v>
          </cell>
          <cell r="L407" t="str">
            <v>31-12-21</v>
          </cell>
          <cell r="M407" t="str">
            <v>Bid Awarded</v>
          </cell>
        </row>
        <row r="408">
          <cell r="I408" t="str">
            <v>MAUDA TPS4</v>
          </cell>
          <cell r="J408">
            <v>660</v>
          </cell>
          <cell r="K408" t="str">
            <v>18-03-17</v>
          </cell>
          <cell r="L408" t="str">
            <v>31-12-20</v>
          </cell>
          <cell r="M408" t="str">
            <v>Bid Awarded</v>
          </cell>
        </row>
        <row r="409">
          <cell r="I409" t="str">
            <v>SOLAPUR STPS1</v>
          </cell>
          <cell r="J409">
            <v>660</v>
          </cell>
          <cell r="K409">
            <v>42920</v>
          </cell>
          <cell r="L409" t="str">
            <v>31-12-20</v>
          </cell>
          <cell r="M409" t="str">
            <v>Bid Awarded</v>
          </cell>
        </row>
        <row r="410">
          <cell r="I410" t="str">
            <v>NASIK (P) TPS1</v>
          </cell>
          <cell r="J410">
            <v>270</v>
          </cell>
          <cell r="K410" t="str">
            <v>25-02-14</v>
          </cell>
          <cell r="L410" t="str">
            <v>31-03-21</v>
          </cell>
          <cell r="M410" t="str">
            <v>Bids under Evaluation</v>
          </cell>
        </row>
        <row r="411">
          <cell r="I411" t="str">
            <v>NASIK (P) TPS2</v>
          </cell>
          <cell r="J411">
            <v>270</v>
          </cell>
          <cell r="K411" t="str">
            <v>15-02-17</v>
          </cell>
          <cell r="L411" t="str">
            <v>31-03-21</v>
          </cell>
          <cell r="M411" t="str">
            <v>Feasability study under progress</v>
          </cell>
        </row>
        <row r="412">
          <cell r="I412" t="str">
            <v>NASIK (P) TPS3</v>
          </cell>
          <cell r="J412">
            <v>270</v>
          </cell>
          <cell r="K412" t="str">
            <v>14-04-17</v>
          </cell>
          <cell r="L412" t="str">
            <v>31-12-22</v>
          </cell>
          <cell r="M412" t="str">
            <v>Feasability study under progress</v>
          </cell>
        </row>
        <row r="413">
          <cell r="I413" t="str">
            <v>NASIK (P) TPS4</v>
          </cell>
          <cell r="J413">
            <v>270</v>
          </cell>
          <cell r="K413" t="str">
            <v>19-05-17</v>
          </cell>
          <cell r="L413" t="str">
            <v>31-12-22</v>
          </cell>
          <cell r="M413" t="str">
            <v>Feasability study under progress</v>
          </cell>
        </row>
        <row r="414">
          <cell r="I414" t="str">
            <v>NASIK (P) TPS5</v>
          </cell>
          <cell r="J414">
            <v>270</v>
          </cell>
          <cell r="K414" t="str">
            <v>30-05-17</v>
          </cell>
          <cell r="L414" t="str">
            <v>31-12-22</v>
          </cell>
          <cell r="M414" t="str">
            <v>Feasability study under progress</v>
          </cell>
        </row>
        <row r="415">
          <cell r="I415" t="str">
            <v>BUTIBORI TPP1</v>
          </cell>
          <cell r="J415">
            <v>300</v>
          </cell>
          <cell r="K415" t="str">
            <v>17-08-12</v>
          </cell>
          <cell r="L415" t="str">
            <v>30-06-21</v>
          </cell>
          <cell r="M415" t="str">
            <v>NIT issued</v>
          </cell>
        </row>
        <row r="416">
          <cell r="I416" t="str">
            <v>BUTIBORI TPP2</v>
          </cell>
          <cell r="J416">
            <v>300</v>
          </cell>
          <cell r="K416" t="str">
            <v>19-03-13</v>
          </cell>
          <cell r="L416" t="str">
            <v>31-03-21</v>
          </cell>
          <cell r="M416" t="str">
            <v>NIT issued</v>
          </cell>
        </row>
        <row r="417">
          <cell r="I417" t="str">
            <v>WARDHA WARORA TPP1</v>
          </cell>
          <cell r="J417">
            <v>135</v>
          </cell>
          <cell r="K417">
            <v>40304</v>
          </cell>
          <cell r="L417" t="str">
            <v>30-09-21</v>
          </cell>
          <cell r="M417" t="str">
            <v>Feasibility Study completed.</v>
          </cell>
        </row>
        <row r="418">
          <cell r="I418" t="str">
            <v>WARDHA WARORA TPP2</v>
          </cell>
          <cell r="J418">
            <v>135</v>
          </cell>
          <cell r="K418">
            <v>40461</v>
          </cell>
          <cell r="L418" t="str">
            <v>30-09-21</v>
          </cell>
          <cell r="M418" t="str">
            <v>Feasibility Study completed.</v>
          </cell>
        </row>
        <row r="419">
          <cell r="I419" t="str">
            <v>WARDHA WARORA TPP3</v>
          </cell>
          <cell r="J419">
            <v>135</v>
          </cell>
          <cell r="K419" t="str">
            <v>21-01-11</v>
          </cell>
          <cell r="L419" t="str">
            <v>31-12-21</v>
          </cell>
          <cell r="M419" t="str">
            <v>Feasibility Study completed.</v>
          </cell>
        </row>
        <row r="420">
          <cell r="I420" t="str">
            <v>WARDHA WARORA TPP4</v>
          </cell>
          <cell r="J420">
            <v>135</v>
          </cell>
          <cell r="K420" t="str">
            <v>30-04-11</v>
          </cell>
          <cell r="L420" t="str">
            <v>31-12-21</v>
          </cell>
          <cell r="M420" t="str">
            <v>Feasibility Study completed.</v>
          </cell>
        </row>
        <row r="421">
          <cell r="I421" t="str">
            <v>KUDGI STPP3</v>
          </cell>
          <cell r="J421">
            <v>800</v>
          </cell>
          <cell r="K421">
            <v>43437</v>
          </cell>
          <cell r="L421" t="str">
            <v>31-12-22</v>
          </cell>
          <cell r="M421" t="str">
            <v>Bid Awarded</v>
          </cell>
        </row>
        <row r="422">
          <cell r="I422" t="str">
            <v>LARA TPP1</v>
          </cell>
          <cell r="J422">
            <v>800</v>
          </cell>
          <cell r="K422" t="str">
            <v>23-03-18</v>
          </cell>
          <cell r="L422" t="str">
            <v>31-12-22</v>
          </cell>
          <cell r="M422" t="str">
            <v>Bid Awarded</v>
          </cell>
        </row>
        <row r="423">
          <cell r="I423" t="str">
            <v>Meja STPP1</v>
          </cell>
          <cell r="J423">
            <v>660</v>
          </cell>
          <cell r="K423" t="str">
            <v>31-03-18</v>
          </cell>
          <cell r="L423" t="str">
            <v>31-12-22</v>
          </cell>
          <cell r="M423" t="str">
            <v>Bid Awarded</v>
          </cell>
        </row>
        <row r="424">
          <cell r="I424" t="str">
            <v>RAYALSEEMA TPS6</v>
          </cell>
          <cell r="J424">
            <v>600</v>
          </cell>
          <cell r="K424">
            <v>43437</v>
          </cell>
          <cell r="L424" t="str">
            <v>31-12-22</v>
          </cell>
          <cell r="M424" t="str">
            <v>Commitment yet to be received</v>
          </cell>
        </row>
        <row r="425">
          <cell r="I425" t="str">
            <v>BARAUNI TPS8</v>
          </cell>
          <cell r="J425">
            <v>250</v>
          </cell>
          <cell r="K425">
            <v>43405</v>
          </cell>
          <cell r="L425" t="str">
            <v>31-12-22</v>
          </cell>
          <cell r="M425" t="str">
            <v>NIT issued</v>
          </cell>
        </row>
        <row r="426">
          <cell r="I426" t="str">
            <v>BARAUNI TPS9</v>
          </cell>
          <cell r="J426">
            <v>250</v>
          </cell>
          <cell r="K426" t="str">
            <v>31-03-18</v>
          </cell>
          <cell r="L426" t="str">
            <v>31-12-22</v>
          </cell>
          <cell r="M426" t="str">
            <v>NIT issued</v>
          </cell>
        </row>
        <row r="427">
          <cell r="I427" t="str">
            <v>AKALTARA TPS3</v>
          </cell>
          <cell r="J427">
            <v>600</v>
          </cell>
          <cell r="K427" t="str">
            <v>18-01-18</v>
          </cell>
          <cell r="L427" t="str">
            <v>31-12-22</v>
          </cell>
          <cell r="M427" t="str">
            <v>Feasiblity Study Completed</v>
          </cell>
        </row>
        <row r="428">
          <cell r="I428" t="str">
            <v>BINJKOTE  TPP2</v>
          </cell>
          <cell r="J428">
            <v>300</v>
          </cell>
          <cell r="K428" t="str">
            <v>28-03-18</v>
          </cell>
          <cell r="L428" t="str">
            <v>30-09-20</v>
          </cell>
          <cell r="M428" t="str">
            <v>Feasibility study under progress</v>
          </cell>
        </row>
        <row r="429">
          <cell r="I429" t="str">
            <v>UCHPINDA TPP3</v>
          </cell>
          <cell r="J429">
            <v>360</v>
          </cell>
          <cell r="K429">
            <v>43078</v>
          </cell>
          <cell r="L429" t="str">
            <v>31-12-22</v>
          </cell>
          <cell r="M429" t="str">
            <v>Feasibility study completed</v>
          </cell>
        </row>
        <row r="430">
          <cell r="I430" t="str">
            <v>SHIRPUR TPP1</v>
          </cell>
          <cell r="J430">
            <v>150</v>
          </cell>
          <cell r="K430" t="str">
            <v>28-09-17</v>
          </cell>
          <cell r="L430" t="str">
            <v>31-12-22</v>
          </cell>
          <cell r="M430" t="str">
            <v>Feasibility study under progress</v>
          </cell>
        </row>
        <row r="431">
          <cell r="I431" t="str">
            <v>Inradtiao nP (o wHearld TiaP )P L imit2</v>
          </cell>
          <cell r="J431">
            <v>150</v>
          </cell>
          <cell r="K431" t="str">
            <v>31-12-17</v>
          </cell>
          <cell r="L431" t="str">
            <v>31-12-22</v>
          </cell>
        </row>
        <row r="432">
          <cell r="I432" t="str">
            <v>ROPAR TPS3</v>
          </cell>
          <cell r="J432">
            <v>210</v>
          </cell>
          <cell r="K432" t="str">
            <v>31-03-88</v>
          </cell>
          <cell r="L432" t="str">
            <v>31-12-19</v>
          </cell>
          <cell r="M432" t="str">
            <v>NIT issued</v>
          </cell>
        </row>
        <row r="433">
          <cell r="I433" t="str">
            <v>ROPAR TPS4</v>
          </cell>
          <cell r="J433">
            <v>210</v>
          </cell>
          <cell r="K433" t="str">
            <v>29-01-89</v>
          </cell>
          <cell r="L433" t="str">
            <v>31-12-19</v>
          </cell>
          <cell r="M433" t="str">
            <v>NIT issued</v>
          </cell>
        </row>
        <row r="434">
          <cell r="I434" t="str">
            <v>ROPAR TPS6</v>
          </cell>
          <cell r="J434">
            <v>210</v>
          </cell>
          <cell r="K434" t="str">
            <v>30-03-93</v>
          </cell>
          <cell r="L434" t="str">
            <v>31-12-19</v>
          </cell>
          <cell r="M434" t="str">
            <v>NIT issued</v>
          </cell>
        </row>
        <row r="435">
          <cell r="I435" t="str">
            <v>ROPAR TPS5</v>
          </cell>
          <cell r="J435">
            <v>210</v>
          </cell>
          <cell r="K435" t="str">
            <v>29-03-92</v>
          </cell>
          <cell r="L435" t="str">
            <v>31-12-19</v>
          </cell>
          <cell r="M435" t="str">
            <v>NIT issued</v>
          </cell>
        </row>
        <row r="436">
          <cell r="I436" t="str">
            <v>TANDA STPS1</v>
          </cell>
          <cell r="J436">
            <v>110</v>
          </cell>
          <cell r="K436" t="str">
            <v>21-03-88</v>
          </cell>
          <cell r="L436" t="str">
            <v>31-12-20</v>
          </cell>
          <cell r="M436" t="str">
            <v>Bid Awarded</v>
          </cell>
        </row>
        <row r="437">
          <cell r="I437" t="str">
            <v>TANDA STPS2</v>
          </cell>
          <cell r="J437">
            <v>110</v>
          </cell>
          <cell r="K437">
            <v>32815</v>
          </cell>
          <cell r="L437">
            <v>44197</v>
          </cell>
          <cell r="M437" t="str">
            <v>Bid Awarded</v>
          </cell>
        </row>
        <row r="438">
          <cell r="I438" t="str">
            <v>TANDA STPS3</v>
          </cell>
          <cell r="J438">
            <v>110</v>
          </cell>
          <cell r="K438" t="str">
            <v>28-03-90</v>
          </cell>
          <cell r="L438">
            <v>44197</v>
          </cell>
          <cell r="M438" t="str">
            <v>NIT issued</v>
          </cell>
        </row>
        <row r="439">
          <cell r="I439" t="str">
            <v>TANDA STPS4</v>
          </cell>
          <cell r="J439">
            <v>110</v>
          </cell>
          <cell r="K439" t="str">
            <v>20-02-98</v>
          </cell>
          <cell r="L439">
            <v>44197</v>
          </cell>
          <cell r="M439" t="str">
            <v>NIT issued</v>
          </cell>
        </row>
        <row r="440">
          <cell r="I440" t="str">
            <v>KHARGONE STPP1</v>
          </cell>
          <cell r="J440">
            <v>660</v>
          </cell>
          <cell r="K440" t="str">
            <v>29-09-19</v>
          </cell>
          <cell r="L440" t="str">
            <v>31-07-21</v>
          </cell>
          <cell r="M440" t="str">
            <v>Bid Awarded</v>
          </cell>
        </row>
        <row r="441">
          <cell r="I441" t="str">
            <v>BONGAIGAON TPS1</v>
          </cell>
          <cell r="J441">
            <v>250</v>
          </cell>
          <cell r="K441" t="str">
            <v>22-06-15</v>
          </cell>
          <cell r="L441" t="str">
            <v>30-12-22</v>
          </cell>
          <cell r="M441" t="str">
            <v>Bid Awarded</v>
          </cell>
        </row>
        <row r="442">
          <cell r="I442" t="str">
            <v>BONGAIGAON TPS2</v>
          </cell>
          <cell r="J442">
            <v>250</v>
          </cell>
          <cell r="K442" t="str">
            <v>22-03-17</v>
          </cell>
          <cell r="L442" t="str">
            <v>30-12-22</v>
          </cell>
          <cell r="M442" t="str">
            <v>Bid Awarded</v>
          </cell>
        </row>
        <row r="443">
          <cell r="I443" t="str">
            <v>BONGAIGAON TPS3</v>
          </cell>
          <cell r="J443">
            <v>250</v>
          </cell>
          <cell r="K443" t="str">
            <v>23-03-19</v>
          </cell>
          <cell r="L443" t="str">
            <v>30-12-22</v>
          </cell>
          <cell r="M443" t="str">
            <v>Bid Awarded</v>
          </cell>
        </row>
        <row r="444">
          <cell r="I444" t="str">
            <v>TALCHER (OLD) TPS1</v>
          </cell>
          <cell r="J444">
            <v>60</v>
          </cell>
          <cell r="K444" t="str">
            <v>17-12-67</v>
          </cell>
          <cell r="L444" t="str">
            <v>31-12-21</v>
          </cell>
          <cell r="M444" t="str">
            <v>NIT issued</v>
          </cell>
        </row>
        <row r="445">
          <cell r="I445" t="str">
            <v>TALCHER (OLD) TPS2</v>
          </cell>
          <cell r="J445">
            <v>60</v>
          </cell>
          <cell r="K445" t="str">
            <v>28-03-68</v>
          </cell>
          <cell r="L445">
            <v>44562</v>
          </cell>
          <cell r="M445" t="str">
            <v>NIT issued</v>
          </cell>
        </row>
        <row r="446">
          <cell r="I446" t="str">
            <v>TALCHER (OLD) TPS3</v>
          </cell>
          <cell r="J446">
            <v>60</v>
          </cell>
          <cell r="K446">
            <v>25149</v>
          </cell>
          <cell r="L446">
            <v>44562</v>
          </cell>
          <cell r="M446" t="str">
            <v>NIT issued</v>
          </cell>
        </row>
        <row r="447">
          <cell r="I447" t="str">
            <v>TALCHER (OLD) TPS4</v>
          </cell>
          <cell r="J447">
            <v>60</v>
          </cell>
          <cell r="K447">
            <v>25511</v>
          </cell>
          <cell r="L447">
            <v>44562</v>
          </cell>
          <cell r="M447" t="str">
            <v>NIT issued</v>
          </cell>
        </row>
        <row r="448">
          <cell r="I448" t="str">
            <v>TALCHER (OLD) TPS5</v>
          </cell>
          <cell r="J448">
            <v>110</v>
          </cell>
          <cell r="K448" t="str">
            <v>24-03-82</v>
          </cell>
          <cell r="L448">
            <v>44562</v>
          </cell>
          <cell r="M448" t="str">
            <v>NIT issued</v>
          </cell>
        </row>
        <row r="449">
          <cell r="I449" t="str">
            <v>TALCHER (OLD) TPS6</v>
          </cell>
          <cell r="J449">
            <v>110</v>
          </cell>
          <cell r="K449" t="str">
            <v>24-03-83</v>
          </cell>
          <cell r="L449">
            <v>44562</v>
          </cell>
          <cell r="M449" t="str">
            <v>NIT issued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1"/>
      <sheetName val="Table 2"/>
    </sheetNames>
    <sheetDataSet>
      <sheetData sheetId="0"/>
      <sheetData sheetId="1">
        <row r="2">
          <cell r="J2" t="str">
            <v>BARH II4</v>
          </cell>
          <cell r="K2">
            <v>660</v>
          </cell>
          <cell r="L2">
            <v>41598</v>
          </cell>
          <cell r="M2">
            <v>44469</v>
          </cell>
          <cell r="N2" t="str">
            <v>Bid Awarded</v>
          </cell>
        </row>
        <row r="3">
          <cell r="J3" t="str">
            <v>BARH II5</v>
          </cell>
          <cell r="K3">
            <v>660</v>
          </cell>
          <cell r="L3">
            <v>42097</v>
          </cell>
          <cell r="M3">
            <v>44561</v>
          </cell>
          <cell r="N3" t="str">
            <v>Bid Awarded</v>
          </cell>
        </row>
        <row r="4">
          <cell r="J4" t="str">
            <v>KAHALGAON TPS1</v>
          </cell>
          <cell r="K4">
            <v>210</v>
          </cell>
          <cell r="L4">
            <v>70219</v>
          </cell>
          <cell r="M4">
            <v>44926</v>
          </cell>
          <cell r="N4" t="str">
            <v>Bid Awarded</v>
          </cell>
        </row>
        <row r="5">
          <cell r="J5" t="str">
            <v>KAHALGAON TPS2</v>
          </cell>
          <cell r="K5">
            <v>210</v>
          </cell>
          <cell r="L5">
            <v>70935</v>
          </cell>
          <cell r="M5">
            <v>44926</v>
          </cell>
          <cell r="N5" t="str">
            <v>Bid Awarded</v>
          </cell>
        </row>
        <row r="6">
          <cell r="J6" t="str">
            <v>KAHALGAON TPS3</v>
          </cell>
          <cell r="K6">
            <v>210</v>
          </cell>
          <cell r="L6">
            <v>71307</v>
          </cell>
          <cell r="M6">
            <v>44926</v>
          </cell>
          <cell r="N6" t="str">
            <v>Bid Awarded</v>
          </cell>
        </row>
        <row r="7">
          <cell r="J7" t="str">
            <v>KAHALGAON TPS4</v>
          </cell>
          <cell r="K7">
            <v>210</v>
          </cell>
          <cell r="L7">
            <v>71667</v>
          </cell>
          <cell r="M7">
            <v>44926</v>
          </cell>
          <cell r="N7" t="str">
            <v>Bid Awarded</v>
          </cell>
        </row>
        <row r="8">
          <cell r="J8" t="str">
            <v>KAHALGAON TPS5</v>
          </cell>
          <cell r="K8">
            <v>500</v>
          </cell>
          <cell r="L8">
            <v>39172</v>
          </cell>
          <cell r="M8">
            <v>44561</v>
          </cell>
          <cell r="N8" t="str">
            <v>Bid Awarded</v>
          </cell>
        </row>
        <row r="9">
          <cell r="J9" t="str">
            <v>KAHALGAON TPS6</v>
          </cell>
          <cell r="K9">
            <v>500</v>
          </cell>
          <cell r="L9">
            <v>39523</v>
          </cell>
          <cell r="M9">
            <v>44561</v>
          </cell>
          <cell r="N9" t="str">
            <v>Bid Awarded</v>
          </cell>
        </row>
        <row r="10">
          <cell r="J10" t="str">
            <v>KAHALGAON TPS7</v>
          </cell>
          <cell r="K10">
            <v>500</v>
          </cell>
          <cell r="L10">
            <v>40025</v>
          </cell>
          <cell r="M10">
            <v>44561</v>
          </cell>
          <cell r="N10" t="str">
            <v>Bid Awarded</v>
          </cell>
        </row>
        <row r="11">
          <cell r="J11" t="str">
            <v>NABI NAGAR TPP1</v>
          </cell>
          <cell r="K11">
            <v>250</v>
          </cell>
          <cell r="L11">
            <v>42449</v>
          </cell>
          <cell r="M11">
            <v>44561</v>
          </cell>
          <cell r="N11" t="str">
            <v>Bid Awarded</v>
          </cell>
        </row>
        <row r="12">
          <cell r="J12" t="str">
            <v>NABI NAGAR TPP2</v>
          </cell>
          <cell r="K12">
            <v>250</v>
          </cell>
          <cell r="L12">
            <v>42829</v>
          </cell>
          <cell r="M12">
            <v>44926</v>
          </cell>
          <cell r="N12" t="str">
            <v>Bid Awarded</v>
          </cell>
        </row>
        <row r="13">
          <cell r="J13" t="str">
            <v>MUZAFFARPUR TPS1</v>
          </cell>
          <cell r="K13">
            <v>110</v>
          </cell>
          <cell r="L13">
            <v>67662</v>
          </cell>
          <cell r="M13">
            <v>44196</v>
          </cell>
          <cell r="N13" t="str">
            <v>NIT issued</v>
          </cell>
        </row>
        <row r="14">
          <cell r="J14" t="str">
            <v>MUZAFFARPUR TPS2</v>
          </cell>
          <cell r="K14">
            <v>110</v>
          </cell>
          <cell r="L14">
            <v>68013</v>
          </cell>
          <cell r="M14">
            <v>44196</v>
          </cell>
          <cell r="N14" t="str">
            <v>NIT issued</v>
          </cell>
        </row>
        <row r="15">
          <cell r="J15" t="str">
            <v>MUZAFFARPUR TPS3</v>
          </cell>
          <cell r="K15">
            <v>195</v>
          </cell>
          <cell r="L15">
            <v>42094</v>
          </cell>
          <cell r="M15">
            <v>44926</v>
          </cell>
          <cell r="N15" t="str">
            <v>NIT issued</v>
          </cell>
        </row>
        <row r="16">
          <cell r="J16" t="str">
            <v>MUZAFFARPUR TPS4</v>
          </cell>
          <cell r="K16">
            <v>195</v>
          </cell>
          <cell r="L16">
            <v>42818</v>
          </cell>
          <cell r="M16">
            <v>44926</v>
          </cell>
          <cell r="N16" t="str">
            <v>NIT issued</v>
          </cell>
        </row>
        <row r="17">
          <cell r="J17" t="str">
            <v>MAHADEV PRASAD STPP1</v>
          </cell>
          <cell r="K17">
            <v>270</v>
          </cell>
          <cell r="L17">
            <v>41232</v>
          </cell>
          <cell r="M17">
            <v>44742</v>
          </cell>
          <cell r="N17" t="str">
            <v>Complies with new Norms</v>
          </cell>
        </row>
        <row r="18">
          <cell r="J18" t="str">
            <v>MAHADEV PRASAD STPP2</v>
          </cell>
          <cell r="K18">
            <v>270</v>
          </cell>
          <cell r="L18">
            <v>41362</v>
          </cell>
          <cell r="M18">
            <v>44742</v>
          </cell>
          <cell r="N18" t="str">
            <v>Complies with new Norms</v>
          </cell>
        </row>
        <row r="19">
          <cell r="J19" t="str">
            <v>BOKARO A TPS1</v>
          </cell>
          <cell r="K19">
            <v>500</v>
          </cell>
          <cell r="L19">
            <v>42451</v>
          </cell>
          <cell r="M19">
            <v>44561</v>
          </cell>
          <cell r="N19" t="str">
            <v>Bid Awarded</v>
          </cell>
        </row>
        <row r="20">
          <cell r="J20" t="str">
            <v>CHANDRAPURA(DVC)7</v>
          </cell>
          <cell r="K20">
            <v>250</v>
          </cell>
          <cell r="L20">
            <v>39914</v>
          </cell>
          <cell r="M20">
            <v>44926</v>
          </cell>
          <cell r="N20" t="str">
            <v>Bid opened</v>
          </cell>
        </row>
        <row r="21">
          <cell r="J21" t="str">
            <v>CHANDRAPURA(DVC)8</v>
          </cell>
          <cell r="K21">
            <v>250</v>
          </cell>
          <cell r="L21">
            <v>40268</v>
          </cell>
          <cell r="M21">
            <v>44926</v>
          </cell>
          <cell r="N21" t="str">
            <v>Bid opened</v>
          </cell>
        </row>
        <row r="22">
          <cell r="J22" t="str">
            <v>KODARMA TPS1</v>
          </cell>
          <cell r="K22">
            <v>500</v>
          </cell>
          <cell r="L22">
            <v>40744</v>
          </cell>
          <cell r="M22">
            <v>44561</v>
          </cell>
          <cell r="N22" t="str">
            <v>Bid Awarded</v>
          </cell>
        </row>
        <row r="23">
          <cell r="J23" t="str">
            <v>KODARMA TPS2</v>
          </cell>
          <cell r="K23">
            <v>500</v>
          </cell>
          <cell r="L23">
            <v>41320</v>
          </cell>
          <cell r="M23">
            <v>44561</v>
          </cell>
          <cell r="N23" t="str">
            <v>Bid Awarded</v>
          </cell>
        </row>
        <row r="24">
          <cell r="J24" t="str">
            <v>JOJOBERA TPS2</v>
          </cell>
          <cell r="K24">
            <v>120</v>
          </cell>
          <cell r="L24">
            <v>36923</v>
          </cell>
          <cell r="M24">
            <v>44196</v>
          </cell>
          <cell r="N24" t="str">
            <v>Bid Awarded</v>
          </cell>
        </row>
        <row r="25">
          <cell r="J25" t="str">
            <v>JOJOBERA TPS3</v>
          </cell>
          <cell r="K25">
            <v>120</v>
          </cell>
          <cell r="L25">
            <v>37288</v>
          </cell>
          <cell r="M25">
            <v>44196</v>
          </cell>
          <cell r="N25" t="str">
            <v>Bid Awarded</v>
          </cell>
        </row>
        <row r="26">
          <cell r="J26" t="str">
            <v>MAITHON RB TPP1</v>
          </cell>
          <cell r="K26">
            <v>525</v>
          </cell>
          <cell r="L26">
            <v>40552</v>
          </cell>
          <cell r="M26">
            <v>44469</v>
          </cell>
          <cell r="N26" t="str">
            <v>Bid Awarded</v>
          </cell>
        </row>
        <row r="27">
          <cell r="J27" t="str">
            <v>MAITHON RB TPP2</v>
          </cell>
          <cell r="K27">
            <v>525</v>
          </cell>
          <cell r="L27">
            <v>41114</v>
          </cell>
          <cell r="M27">
            <v>44561</v>
          </cell>
          <cell r="N27" t="str">
            <v>Bid Awarded</v>
          </cell>
        </row>
        <row r="28">
          <cell r="J28" t="str">
            <v>TENUGHAT TPS1</v>
          </cell>
          <cell r="K28">
            <v>210</v>
          </cell>
          <cell r="L28">
            <v>70963</v>
          </cell>
          <cell r="M28">
            <v>44196</v>
          </cell>
          <cell r="N28" t="str">
            <v>Feasiblity Study Completed</v>
          </cell>
        </row>
        <row r="29">
          <cell r="J29" t="str">
            <v>TENUGHAT TPS2</v>
          </cell>
          <cell r="K29">
            <v>210</v>
          </cell>
          <cell r="L29">
            <v>71873</v>
          </cell>
          <cell r="M29">
            <v>44196</v>
          </cell>
          <cell r="N29" t="str">
            <v>Feasiblity Study Completed</v>
          </cell>
        </row>
        <row r="30">
          <cell r="J30" t="str">
            <v>KAMALANGA TPS1</v>
          </cell>
          <cell r="K30">
            <v>350</v>
          </cell>
          <cell r="L30">
            <v>41362</v>
          </cell>
          <cell r="M30">
            <v>44561</v>
          </cell>
          <cell r="N30" t="str">
            <v>Bid opened</v>
          </cell>
        </row>
        <row r="31">
          <cell r="J31" t="str">
            <v>KAMALANGA TPS2</v>
          </cell>
          <cell r="K31">
            <v>350</v>
          </cell>
          <cell r="L31">
            <v>41545</v>
          </cell>
          <cell r="M31">
            <v>44561</v>
          </cell>
          <cell r="N31" t="str">
            <v>Bid opened</v>
          </cell>
        </row>
        <row r="32">
          <cell r="J32" t="str">
            <v>KAMALANGA TPS3</v>
          </cell>
          <cell r="K32">
            <v>350</v>
          </cell>
          <cell r="L32">
            <v>41719</v>
          </cell>
          <cell r="M32">
            <v>44469</v>
          </cell>
          <cell r="N32" t="str">
            <v>Bid opened</v>
          </cell>
        </row>
        <row r="33">
          <cell r="J33" t="str">
            <v>INDBHARATH TUTICORIN TPP1</v>
          </cell>
          <cell r="K33">
            <v>350</v>
          </cell>
          <cell r="L33">
            <v>42425</v>
          </cell>
          <cell r="M33">
            <v>44651</v>
          </cell>
          <cell r="N33" t="str">
            <v>Feasibility Study started</v>
          </cell>
        </row>
        <row r="34">
          <cell r="J34" t="str">
            <v>DERANG TPP1</v>
          </cell>
          <cell r="K34">
            <v>600</v>
          </cell>
          <cell r="L34">
            <v>41916</v>
          </cell>
          <cell r="M34">
            <v>44286</v>
          </cell>
          <cell r="N34" t="str">
            <v>Technical specification prep</v>
          </cell>
        </row>
        <row r="35">
          <cell r="J35" t="str">
            <v>DERANG TPP2</v>
          </cell>
          <cell r="K35">
            <v>600</v>
          </cell>
          <cell r="L35">
            <v>42028</v>
          </cell>
          <cell r="M35">
            <v>44286</v>
          </cell>
          <cell r="N35" t="str">
            <v>Technical specification prep</v>
          </cell>
        </row>
        <row r="36">
          <cell r="J36" t="str">
            <v>TALCHER STPS1</v>
          </cell>
          <cell r="K36">
            <v>500</v>
          </cell>
          <cell r="L36">
            <v>71274</v>
          </cell>
          <cell r="M36">
            <v>44561</v>
          </cell>
          <cell r="N36" t="str">
            <v>Bid Awarded</v>
          </cell>
        </row>
        <row r="37">
          <cell r="J37" t="str">
            <v>TALCHER STPS2</v>
          </cell>
          <cell r="K37">
            <v>500</v>
          </cell>
          <cell r="L37">
            <v>71676</v>
          </cell>
          <cell r="M37">
            <v>44561</v>
          </cell>
          <cell r="N37" t="str">
            <v>Bid Awarded</v>
          </cell>
        </row>
        <row r="38">
          <cell r="J38" t="str">
            <v>TALCHER STPS3</v>
          </cell>
          <cell r="K38">
            <v>500</v>
          </cell>
          <cell r="L38">
            <v>37673</v>
          </cell>
          <cell r="M38">
            <v>44561</v>
          </cell>
          <cell r="N38" t="str">
            <v>Bid Awarded</v>
          </cell>
        </row>
        <row r="39">
          <cell r="J39" t="str">
            <v>TALCHER STPS4</v>
          </cell>
          <cell r="K39">
            <v>500</v>
          </cell>
          <cell r="L39">
            <v>37919</v>
          </cell>
          <cell r="M39">
            <v>44561</v>
          </cell>
          <cell r="N39" t="str">
            <v>Bid Awarded</v>
          </cell>
        </row>
        <row r="40">
          <cell r="J40" t="str">
            <v>TALCHER STPS5</v>
          </cell>
          <cell r="K40">
            <v>500</v>
          </cell>
          <cell r="L40">
            <v>38120</v>
          </cell>
          <cell r="M40">
            <v>44561</v>
          </cell>
          <cell r="N40" t="str">
            <v>Bid Awarded</v>
          </cell>
        </row>
        <row r="41">
          <cell r="J41" t="str">
            <v>TALCHER STPS6</v>
          </cell>
          <cell r="K41">
            <v>500</v>
          </cell>
          <cell r="L41">
            <v>38505</v>
          </cell>
          <cell r="M41">
            <v>44561</v>
          </cell>
          <cell r="N41" t="str">
            <v>Bid Awarded</v>
          </cell>
        </row>
        <row r="42">
          <cell r="J42" t="str">
            <v>IB VALLEY TPS1</v>
          </cell>
          <cell r="K42">
            <v>210</v>
          </cell>
          <cell r="L42">
            <v>70896</v>
          </cell>
          <cell r="M42">
            <v>44469</v>
          </cell>
          <cell r="N42" t="str">
            <v>Feasibility study completed</v>
          </cell>
        </row>
        <row r="43">
          <cell r="J43" t="str">
            <v>IB VALLEY TPS2</v>
          </cell>
          <cell r="K43">
            <v>210</v>
          </cell>
          <cell r="L43">
            <v>71519</v>
          </cell>
          <cell r="M43">
            <v>44469</v>
          </cell>
          <cell r="N43" t="str">
            <v>Feasibility study completed</v>
          </cell>
        </row>
        <row r="44">
          <cell r="J44" t="str">
            <v>STERLITE TPP2</v>
          </cell>
          <cell r="K44">
            <v>600</v>
          </cell>
          <cell r="L44">
            <v>40541</v>
          </cell>
          <cell r="M44">
            <v>44651</v>
          </cell>
          <cell r="N44" t="str">
            <v>Feasibility Study started</v>
          </cell>
        </row>
        <row r="45">
          <cell r="J45" t="str">
            <v>BUDGE BUDGE TPS1</v>
          </cell>
          <cell r="K45">
            <v>250</v>
          </cell>
          <cell r="L45">
            <v>72214</v>
          </cell>
          <cell r="M45">
            <v>44926</v>
          </cell>
          <cell r="N45" t="str">
            <v>NIT issued</v>
          </cell>
        </row>
        <row r="46">
          <cell r="J46" t="str">
            <v>BUDGE BUDGE TPS2</v>
          </cell>
          <cell r="K46">
            <v>250</v>
          </cell>
          <cell r="L46">
            <v>72839</v>
          </cell>
          <cell r="M46">
            <v>44926</v>
          </cell>
          <cell r="N46" t="str">
            <v>NIT issued</v>
          </cell>
        </row>
        <row r="47">
          <cell r="J47" t="str">
            <v>BUDGE BUDGE TPS3</v>
          </cell>
          <cell r="K47">
            <v>250</v>
          </cell>
          <cell r="L47">
            <v>40085</v>
          </cell>
          <cell r="M47">
            <v>44926</v>
          </cell>
          <cell r="N47" t="str">
            <v>NIT issued</v>
          </cell>
        </row>
        <row r="48">
          <cell r="J48" t="str">
            <v>SOUTHERN REPL. TPS1</v>
          </cell>
          <cell r="K48">
            <v>68</v>
          </cell>
          <cell r="L48">
            <v>70040</v>
          </cell>
          <cell r="M48">
            <v>44651</v>
          </cell>
          <cell r="N48" t="str">
            <v>Feasibility Study completed</v>
          </cell>
        </row>
        <row r="49">
          <cell r="J49" t="str">
            <v>SOUTHERN REPL. TPS2</v>
          </cell>
          <cell r="K49">
            <v>68</v>
          </cell>
          <cell r="L49">
            <v>69740</v>
          </cell>
          <cell r="M49">
            <v>44561</v>
          </cell>
          <cell r="N49" t="str">
            <v>Feasibility Study completed</v>
          </cell>
        </row>
        <row r="50">
          <cell r="J50" t="str">
            <v>D.P.L. TPS7</v>
          </cell>
          <cell r="K50">
            <v>300</v>
          </cell>
          <cell r="L50">
            <v>39410</v>
          </cell>
          <cell r="M50">
            <v>44742</v>
          </cell>
          <cell r="N50" t="str">
            <v>NIT issued</v>
          </cell>
        </row>
        <row r="51">
          <cell r="J51" t="str">
            <v>D.P.L. TPS8</v>
          </cell>
          <cell r="K51">
            <v>250</v>
          </cell>
          <cell r="L51">
            <v>41729</v>
          </cell>
          <cell r="M51">
            <v>44651</v>
          </cell>
          <cell r="N51" t="str">
            <v>NIT issued</v>
          </cell>
        </row>
        <row r="52">
          <cell r="J52" t="str">
            <v>DURGAPUR STEEL TPS1</v>
          </cell>
          <cell r="K52">
            <v>500</v>
          </cell>
          <cell r="L52">
            <v>40753</v>
          </cell>
          <cell r="M52">
            <v>44377</v>
          </cell>
          <cell r="N52" t="str">
            <v>Bid Awarded</v>
          </cell>
        </row>
        <row r="53">
          <cell r="J53" t="str">
            <v>DURGAPUR STEEL TPS2</v>
          </cell>
          <cell r="K53">
            <v>500</v>
          </cell>
          <cell r="L53">
            <v>40991</v>
          </cell>
          <cell r="M53">
            <v>44377</v>
          </cell>
          <cell r="N53" t="str">
            <v>Bid Awarded</v>
          </cell>
        </row>
        <row r="54">
          <cell r="J54" t="str">
            <v>MEJIA TPS1</v>
          </cell>
          <cell r="K54">
            <v>210</v>
          </cell>
          <cell r="L54">
            <v>71592</v>
          </cell>
          <cell r="M54">
            <v>44926</v>
          </cell>
          <cell r="N54" t="str">
            <v>Bid opened</v>
          </cell>
        </row>
        <row r="55">
          <cell r="J55" t="str">
            <v>MEJIA TPS2</v>
          </cell>
          <cell r="K55">
            <v>210</v>
          </cell>
          <cell r="L55">
            <v>72038</v>
          </cell>
          <cell r="M55">
            <v>44926</v>
          </cell>
          <cell r="N55" t="str">
            <v>Bid opened</v>
          </cell>
        </row>
        <row r="56">
          <cell r="J56" t="str">
            <v>MEJIA TPS3</v>
          </cell>
          <cell r="K56">
            <v>210</v>
          </cell>
          <cell r="L56">
            <v>72404</v>
          </cell>
          <cell r="M56">
            <v>44926</v>
          </cell>
          <cell r="N56" t="str">
            <v>Bid opened</v>
          </cell>
        </row>
        <row r="57">
          <cell r="J57" t="str">
            <v>MEJIA TPS4</v>
          </cell>
          <cell r="K57">
            <v>210</v>
          </cell>
          <cell r="L57">
            <v>38331</v>
          </cell>
          <cell r="M57">
            <v>44926</v>
          </cell>
          <cell r="N57" t="str">
            <v>Bid opened</v>
          </cell>
        </row>
        <row r="58">
          <cell r="J58" t="str">
            <v>MEJIA TPS5</v>
          </cell>
          <cell r="K58">
            <v>250</v>
          </cell>
          <cell r="L58">
            <v>39092</v>
          </cell>
          <cell r="M58">
            <v>44926</v>
          </cell>
          <cell r="N58" t="str">
            <v>Bid opened</v>
          </cell>
        </row>
        <row r="59">
          <cell r="J59" t="str">
            <v>MEJIA TPS6</v>
          </cell>
          <cell r="K59">
            <v>250</v>
          </cell>
          <cell r="L59">
            <v>39172</v>
          </cell>
          <cell r="M59">
            <v>44926</v>
          </cell>
          <cell r="N59" t="str">
            <v>Bid opened</v>
          </cell>
        </row>
        <row r="60">
          <cell r="J60" t="str">
            <v>MEJIA TPS7</v>
          </cell>
          <cell r="K60">
            <v>500</v>
          </cell>
          <cell r="L60">
            <v>40451</v>
          </cell>
          <cell r="M60">
            <v>44469</v>
          </cell>
          <cell r="N60" t="str">
            <v>Bid Awarded</v>
          </cell>
        </row>
        <row r="61">
          <cell r="J61" t="str">
            <v>MEJIA TPS8</v>
          </cell>
          <cell r="K61">
            <v>500</v>
          </cell>
          <cell r="L61">
            <v>40628</v>
          </cell>
          <cell r="M61">
            <v>44469</v>
          </cell>
          <cell r="N61" t="str">
            <v>Bid Awarded</v>
          </cell>
        </row>
        <row r="62">
          <cell r="J62" t="str">
            <v>RAGHUNATHPUR TPP1</v>
          </cell>
          <cell r="K62">
            <v>600</v>
          </cell>
          <cell r="L62">
            <v>41875</v>
          </cell>
          <cell r="M62">
            <v>44561</v>
          </cell>
          <cell r="N62" t="str">
            <v>Bid Awarded</v>
          </cell>
        </row>
        <row r="63">
          <cell r="J63" t="str">
            <v>RAGHUNATHPUR TPP2</v>
          </cell>
          <cell r="K63">
            <v>600</v>
          </cell>
          <cell r="L63">
            <v>42387</v>
          </cell>
          <cell r="M63">
            <v>44561</v>
          </cell>
          <cell r="N63" t="str">
            <v>Bid Awarded</v>
          </cell>
        </row>
        <row r="64">
          <cell r="J64" t="str">
            <v>HALDIA TPP1</v>
          </cell>
          <cell r="K64">
            <v>300</v>
          </cell>
          <cell r="L64">
            <v>42018</v>
          </cell>
          <cell r="M64">
            <v>44926</v>
          </cell>
          <cell r="N64" t="str">
            <v>NIT issued</v>
          </cell>
        </row>
        <row r="65">
          <cell r="J65" t="str">
            <v>HALDIA TPP2</v>
          </cell>
          <cell r="K65">
            <v>300</v>
          </cell>
          <cell r="L65">
            <v>42051</v>
          </cell>
          <cell r="M65">
            <v>44926</v>
          </cell>
          <cell r="N65" t="str">
            <v>NIT issued</v>
          </cell>
        </row>
        <row r="66">
          <cell r="J66" t="str">
            <v>India Power TPP1</v>
          </cell>
          <cell r="K66">
            <v>150</v>
          </cell>
          <cell r="L66">
            <v>42922</v>
          </cell>
          <cell r="M66">
            <v>44926</v>
          </cell>
          <cell r="N66" t="str">
            <v>Feasibility Study started</v>
          </cell>
        </row>
        <row r="67">
          <cell r="J67" t="str">
            <v>FARAKKA STPS1</v>
          </cell>
          <cell r="K67">
            <v>200</v>
          </cell>
          <cell r="L67">
            <v>67938</v>
          </cell>
          <cell r="M67">
            <v>44926</v>
          </cell>
          <cell r="N67" t="str">
            <v>Bid Awarded</v>
          </cell>
        </row>
        <row r="68">
          <cell r="J68" t="str">
            <v>FARAKKA STPS2</v>
          </cell>
          <cell r="K68">
            <v>200</v>
          </cell>
          <cell r="L68">
            <v>68295</v>
          </cell>
          <cell r="M68">
            <v>44926</v>
          </cell>
          <cell r="N68" t="str">
            <v>Bid Awarded</v>
          </cell>
        </row>
        <row r="69">
          <cell r="J69" t="str">
            <v>FARAKKA STPS3</v>
          </cell>
          <cell r="K69">
            <v>200</v>
          </cell>
          <cell r="L69">
            <v>68461</v>
          </cell>
          <cell r="M69">
            <v>44926</v>
          </cell>
          <cell r="N69" t="str">
            <v>Bid Awarded</v>
          </cell>
        </row>
        <row r="70">
          <cell r="J70" t="str">
            <v>FARAKKA STPS4</v>
          </cell>
          <cell r="K70">
            <v>500</v>
          </cell>
          <cell r="L70">
            <v>70397</v>
          </cell>
          <cell r="M70">
            <v>44561</v>
          </cell>
          <cell r="N70" t="str">
            <v>Bid Awarded</v>
          </cell>
        </row>
        <row r="71">
          <cell r="J71" t="str">
            <v>FARAKKA STPS5</v>
          </cell>
          <cell r="K71">
            <v>500</v>
          </cell>
          <cell r="L71">
            <v>70906</v>
          </cell>
          <cell r="M71">
            <v>44561</v>
          </cell>
          <cell r="N71" t="str">
            <v>Bid Awarded</v>
          </cell>
        </row>
        <row r="72">
          <cell r="J72" t="str">
            <v>FARAKKA STPS6</v>
          </cell>
          <cell r="K72">
            <v>500</v>
          </cell>
          <cell r="L72">
            <v>40727</v>
          </cell>
          <cell r="M72">
            <v>44561</v>
          </cell>
          <cell r="N72" t="str">
            <v>Bid Awarded</v>
          </cell>
        </row>
        <row r="73">
          <cell r="J73" t="str">
            <v>KOLAGHAT TPS1</v>
          </cell>
          <cell r="K73">
            <v>210</v>
          </cell>
          <cell r="L73">
            <v>70510</v>
          </cell>
          <cell r="M73">
            <v>44742</v>
          </cell>
          <cell r="N73" t="str">
            <v>Feasibility Study started</v>
          </cell>
        </row>
        <row r="74">
          <cell r="J74" t="str">
            <v>KOLAGHAT TPS2</v>
          </cell>
          <cell r="K74">
            <v>210</v>
          </cell>
          <cell r="L74">
            <v>69623</v>
          </cell>
          <cell r="M74">
            <v>44286</v>
          </cell>
          <cell r="N74" t="str">
            <v>Feasibility Study started</v>
          </cell>
        </row>
        <row r="75">
          <cell r="J75" t="str">
            <v>KOLAGHAT TPS3</v>
          </cell>
          <cell r="K75">
            <v>210</v>
          </cell>
          <cell r="L75">
            <v>67922</v>
          </cell>
          <cell r="M75">
            <v>44469</v>
          </cell>
          <cell r="N75" t="str">
            <v>Feasibility Study started</v>
          </cell>
        </row>
        <row r="76">
          <cell r="J76" t="str">
            <v>KOLAGHAT TPS4</v>
          </cell>
          <cell r="K76">
            <v>210</v>
          </cell>
          <cell r="L76">
            <v>67230</v>
          </cell>
          <cell r="M76">
            <v>44651</v>
          </cell>
          <cell r="N76" t="str">
            <v>Feasibility Study started</v>
          </cell>
        </row>
        <row r="77">
          <cell r="J77" t="str">
            <v>KOLAGHAT TPS5</v>
          </cell>
          <cell r="K77">
            <v>210</v>
          </cell>
          <cell r="L77">
            <v>70856</v>
          </cell>
          <cell r="M77">
            <v>44377</v>
          </cell>
          <cell r="N77" t="str">
            <v>Feasibility Study started</v>
          </cell>
        </row>
        <row r="78">
          <cell r="J78" t="str">
            <v>KOLAGHAT TPS6</v>
          </cell>
          <cell r="K78">
            <v>210</v>
          </cell>
          <cell r="L78">
            <v>69839</v>
          </cell>
          <cell r="M78">
            <v>44561</v>
          </cell>
          <cell r="N78" t="str">
            <v>Feasibility Study started</v>
          </cell>
        </row>
        <row r="79">
          <cell r="J79" t="str">
            <v>BAKRESWAR TPS1</v>
          </cell>
          <cell r="K79">
            <v>210</v>
          </cell>
          <cell r="L79">
            <v>36859</v>
          </cell>
          <cell r="M79">
            <v>44742</v>
          </cell>
          <cell r="N79" t="str">
            <v>Bid opened</v>
          </cell>
        </row>
        <row r="80">
          <cell r="J80" t="str">
            <v>BAKRESWAR TPS2</v>
          </cell>
          <cell r="K80">
            <v>210</v>
          </cell>
          <cell r="L80">
            <v>36895</v>
          </cell>
          <cell r="M80">
            <v>44742</v>
          </cell>
          <cell r="N80" t="str">
            <v>Bid opened</v>
          </cell>
        </row>
        <row r="81">
          <cell r="J81" t="str">
            <v>BAKRESWAR TPS3</v>
          </cell>
          <cell r="K81">
            <v>210</v>
          </cell>
          <cell r="L81">
            <v>37196</v>
          </cell>
          <cell r="M81">
            <v>44742</v>
          </cell>
          <cell r="N81" t="str">
            <v>Bid opened</v>
          </cell>
        </row>
        <row r="82">
          <cell r="J82" t="str">
            <v>BAKRESWAR TPS4</v>
          </cell>
          <cell r="K82">
            <v>210</v>
          </cell>
          <cell r="L82">
            <v>40028</v>
          </cell>
          <cell r="M82">
            <v>44742</v>
          </cell>
          <cell r="N82" t="str">
            <v>Bid opened</v>
          </cell>
        </row>
        <row r="83">
          <cell r="J83" t="str">
            <v>BAKRESWAR TPS5</v>
          </cell>
          <cell r="K83">
            <v>210</v>
          </cell>
          <cell r="L83">
            <v>39991</v>
          </cell>
          <cell r="M83">
            <v>44742</v>
          </cell>
          <cell r="N83" t="str">
            <v>Bid opened</v>
          </cell>
        </row>
        <row r="84">
          <cell r="J84" t="str">
            <v>SAGARDIGHI TPS1</v>
          </cell>
          <cell r="K84">
            <v>300</v>
          </cell>
          <cell r="L84">
            <v>39649</v>
          </cell>
          <cell r="M84">
            <v>44196</v>
          </cell>
          <cell r="N84" t="str">
            <v>Tender specification made</v>
          </cell>
        </row>
        <row r="85">
          <cell r="J85" t="str">
            <v>SAGARDIGHI TPS2</v>
          </cell>
          <cell r="K85">
            <v>300</v>
          </cell>
          <cell r="L85">
            <v>39437</v>
          </cell>
          <cell r="M85">
            <v>44286</v>
          </cell>
          <cell r="N85" t="str">
            <v>Tender specification made</v>
          </cell>
        </row>
        <row r="86">
          <cell r="J86" t="str">
            <v>SAGARDIGHI TPS3</v>
          </cell>
          <cell r="K86">
            <v>500</v>
          </cell>
          <cell r="L86">
            <v>42352</v>
          </cell>
          <cell r="M86">
            <v>44561</v>
          </cell>
          <cell r="N86" t="str">
            <v>Bid opened</v>
          </cell>
        </row>
        <row r="87">
          <cell r="J87" t="str">
            <v>SAGARDIGHI TPS4</v>
          </cell>
          <cell r="K87">
            <v>500</v>
          </cell>
          <cell r="L87">
            <v>42719</v>
          </cell>
          <cell r="M87">
            <v>43921</v>
          </cell>
          <cell r="N87" t="str">
            <v>Bid opened</v>
          </cell>
        </row>
        <row r="88">
          <cell r="J88" t="str">
            <v>SANTALDIH TPS5</v>
          </cell>
          <cell r="K88">
            <v>250</v>
          </cell>
          <cell r="L88">
            <v>39274</v>
          </cell>
          <cell r="M88">
            <v>44286</v>
          </cell>
          <cell r="N88" t="str">
            <v>Bid opened</v>
          </cell>
        </row>
        <row r="89">
          <cell r="J89" t="str">
            <v>SANTALDIH TPS6</v>
          </cell>
          <cell r="K89">
            <v>250</v>
          </cell>
          <cell r="L89">
            <v>40723</v>
          </cell>
          <cell r="M89">
            <v>44561</v>
          </cell>
          <cell r="N89" t="str">
            <v>Bid opened</v>
          </cell>
        </row>
        <row r="90">
          <cell r="J90" t="str">
            <v>MAHATMA GANDHI TPS1</v>
          </cell>
          <cell r="K90">
            <v>660</v>
          </cell>
          <cell r="L90">
            <v>41244</v>
          </cell>
          <cell r="M90">
            <v>43830</v>
          </cell>
          <cell r="N90" t="str">
            <v>FGD commissioned</v>
          </cell>
        </row>
        <row r="91">
          <cell r="J91" t="str">
            <v>MAHATMA GANDHI TPS2</v>
          </cell>
          <cell r="K91">
            <v>660</v>
          </cell>
          <cell r="L91">
            <v>41217</v>
          </cell>
          <cell r="M91">
            <v>43830</v>
          </cell>
          <cell r="N91" t="str">
            <v>FGD commissioned</v>
          </cell>
        </row>
        <row r="92">
          <cell r="J92" t="str">
            <v>PANIPAT TPS6</v>
          </cell>
          <cell r="K92">
            <v>210</v>
          </cell>
          <cell r="L92">
            <v>36981</v>
          </cell>
          <cell r="M92">
            <v>44316</v>
          </cell>
          <cell r="N92" t="str">
            <v>NIT issued</v>
          </cell>
        </row>
        <row r="93">
          <cell r="J93" t="str">
            <v>PANIPAT TPS7</v>
          </cell>
          <cell r="K93">
            <v>250</v>
          </cell>
          <cell r="L93">
            <v>38258</v>
          </cell>
          <cell r="M93">
            <v>44255</v>
          </cell>
          <cell r="N93" t="str">
            <v>NIT issued</v>
          </cell>
        </row>
        <row r="94">
          <cell r="J94" t="str">
            <v>PANIPAT TPS8</v>
          </cell>
          <cell r="K94">
            <v>250</v>
          </cell>
          <cell r="L94">
            <v>38380</v>
          </cell>
          <cell r="M94">
            <v>44196</v>
          </cell>
          <cell r="N94" t="str">
            <v>NIT issued</v>
          </cell>
        </row>
        <row r="95">
          <cell r="J95" t="str">
            <v>RAJIV GANDHI TPS1</v>
          </cell>
          <cell r="K95">
            <v>600</v>
          </cell>
          <cell r="L95">
            <v>40268</v>
          </cell>
          <cell r="M95">
            <v>44681</v>
          </cell>
          <cell r="N95" t="str">
            <v>NIT issued</v>
          </cell>
        </row>
        <row r="96">
          <cell r="J96" t="str">
            <v>RAJIV GANDHI TPS2</v>
          </cell>
          <cell r="K96">
            <v>600</v>
          </cell>
          <cell r="L96">
            <v>40188</v>
          </cell>
          <cell r="M96">
            <v>44620</v>
          </cell>
          <cell r="N96" t="str">
            <v>NIT issued</v>
          </cell>
        </row>
        <row r="97">
          <cell r="J97" t="str">
            <v>YAMUNA NAGAR TPS1</v>
          </cell>
          <cell r="K97">
            <v>300</v>
          </cell>
          <cell r="L97">
            <v>39093</v>
          </cell>
          <cell r="M97">
            <v>44561</v>
          </cell>
          <cell r="N97" t="str">
            <v>NIT issued</v>
          </cell>
        </row>
        <row r="98">
          <cell r="J98" t="str">
            <v>YAMUNA NAGAR TPS2</v>
          </cell>
          <cell r="K98">
            <v>300</v>
          </cell>
          <cell r="L98">
            <v>39536</v>
          </cell>
          <cell r="M98">
            <v>44500</v>
          </cell>
          <cell r="N98" t="str">
            <v>NIT issued</v>
          </cell>
        </row>
        <row r="99">
          <cell r="J99" t="str">
            <v>INDIRA GANDHI STPP1</v>
          </cell>
          <cell r="K99">
            <v>500</v>
          </cell>
          <cell r="L99">
            <v>40482</v>
          </cell>
          <cell r="M99">
            <v>44135</v>
          </cell>
          <cell r="N99" t="str">
            <v>Bid Awarded</v>
          </cell>
        </row>
        <row r="100">
          <cell r="J100" t="str">
            <v>INDIRA GANDHI STPP2</v>
          </cell>
          <cell r="K100">
            <v>500</v>
          </cell>
          <cell r="L100">
            <v>40674</v>
          </cell>
          <cell r="M100">
            <v>43951</v>
          </cell>
          <cell r="N100" t="str">
            <v>Bid Awarded</v>
          </cell>
        </row>
        <row r="101">
          <cell r="J101" t="str">
            <v>INDIRA GANDHI STPP3</v>
          </cell>
          <cell r="K101">
            <v>500</v>
          </cell>
          <cell r="L101">
            <v>41101</v>
          </cell>
          <cell r="M101">
            <v>43890</v>
          </cell>
          <cell r="N101" t="str">
            <v>Bid Awarded</v>
          </cell>
        </row>
        <row r="102">
          <cell r="J102" t="str">
            <v>GOINDWAL SAHIB1</v>
          </cell>
          <cell r="K102">
            <v>270</v>
          </cell>
          <cell r="L102">
            <v>42414</v>
          </cell>
          <cell r="M102">
            <v>43951</v>
          </cell>
          <cell r="N102" t="str">
            <v>Bid opened</v>
          </cell>
        </row>
        <row r="103">
          <cell r="J103" t="str">
            <v>GOINDWAL SAHIB2</v>
          </cell>
          <cell r="K103">
            <v>270</v>
          </cell>
          <cell r="L103">
            <v>42444</v>
          </cell>
          <cell r="M103">
            <v>43889</v>
          </cell>
          <cell r="N103" t="str">
            <v>Bid opened</v>
          </cell>
        </row>
        <row r="104">
          <cell r="J104" t="str">
            <v>RAJPURA TPS1</v>
          </cell>
          <cell r="K104">
            <v>700</v>
          </cell>
          <cell r="L104">
            <v>41663</v>
          </cell>
          <cell r="M104">
            <v>44316</v>
          </cell>
          <cell r="N104" t="str">
            <v>Bid Awarded</v>
          </cell>
        </row>
        <row r="105">
          <cell r="J105" t="str">
            <v>RAJPURA TPS2</v>
          </cell>
          <cell r="K105">
            <v>700</v>
          </cell>
          <cell r="L105">
            <v>41797</v>
          </cell>
          <cell r="M105">
            <v>44255</v>
          </cell>
          <cell r="N105" t="str">
            <v>Bid Awarded</v>
          </cell>
        </row>
        <row r="106">
          <cell r="J106" t="str">
            <v>GH TPS (LEH.MOH.)1</v>
          </cell>
          <cell r="K106">
            <v>210</v>
          </cell>
          <cell r="L106">
            <v>72318</v>
          </cell>
          <cell r="M106">
            <v>44681</v>
          </cell>
          <cell r="N106" t="str">
            <v>Retendering to be done</v>
          </cell>
        </row>
        <row r="107">
          <cell r="J107" t="str">
            <v>GH TPS (LEH.MOH.)2</v>
          </cell>
          <cell r="K107">
            <v>210</v>
          </cell>
          <cell r="L107">
            <v>72609</v>
          </cell>
          <cell r="M107">
            <v>44681</v>
          </cell>
          <cell r="N107" t="str">
            <v>Retendering to be done</v>
          </cell>
        </row>
        <row r="108">
          <cell r="J108" t="str">
            <v>GH TPS (LEH.MOH.)3</v>
          </cell>
          <cell r="K108">
            <v>250</v>
          </cell>
          <cell r="L108">
            <v>39508</v>
          </cell>
          <cell r="M108">
            <v>44620</v>
          </cell>
          <cell r="N108" t="str">
            <v>Retendering to be done</v>
          </cell>
        </row>
        <row r="109">
          <cell r="J109" t="str">
            <v>GH TPS (LEH.MOH.)4</v>
          </cell>
          <cell r="K109">
            <v>250</v>
          </cell>
          <cell r="L109">
            <v>39660</v>
          </cell>
          <cell r="M109">
            <v>44620</v>
          </cell>
          <cell r="N109" t="str">
            <v>Retendering to be done</v>
          </cell>
        </row>
        <row r="110">
          <cell r="J110" t="str">
            <v>TALWANDI SABO TPS1</v>
          </cell>
          <cell r="K110">
            <v>660</v>
          </cell>
          <cell r="L110">
            <v>41807</v>
          </cell>
          <cell r="M110">
            <v>44255</v>
          </cell>
          <cell r="N110" t="str">
            <v>Bid Awarded</v>
          </cell>
        </row>
        <row r="111">
          <cell r="J111" t="str">
            <v>TALWANDI SABO TPS2</v>
          </cell>
          <cell r="K111">
            <v>660</v>
          </cell>
          <cell r="L111">
            <v>42302</v>
          </cell>
          <cell r="M111">
            <v>44196</v>
          </cell>
          <cell r="N111" t="str">
            <v>Bid Awarded</v>
          </cell>
        </row>
        <row r="112">
          <cell r="J112" t="str">
            <v>TALWANDI SABO TPS3</v>
          </cell>
          <cell r="K112">
            <v>660</v>
          </cell>
          <cell r="L112">
            <v>42458</v>
          </cell>
          <cell r="M112">
            <v>44135</v>
          </cell>
          <cell r="N112" t="str">
            <v>Bid Awarded</v>
          </cell>
        </row>
        <row r="113">
          <cell r="J113" t="str">
            <v>KAWAI TPS1</v>
          </cell>
          <cell r="K113">
            <v>660</v>
          </cell>
          <cell r="L113">
            <v>41422</v>
          </cell>
          <cell r="M113">
            <v>44074</v>
          </cell>
          <cell r="N113" t="str">
            <v>NIT issued</v>
          </cell>
        </row>
        <row r="114">
          <cell r="J114" t="str">
            <v>KAWAI TPS2</v>
          </cell>
          <cell r="K114">
            <v>660</v>
          </cell>
          <cell r="L114">
            <v>41632</v>
          </cell>
          <cell r="M114">
            <v>44012</v>
          </cell>
          <cell r="N114" t="str">
            <v>NIT issued</v>
          </cell>
        </row>
        <row r="115">
          <cell r="J115" t="str">
            <v>CHHABRA TPS1</v>
          </cell>
          <cell r="K115">
            <v>250</v>
          </cell>
          <cell r="L115">
            <v>40116</v>
          </cell>
          <cell r="M115">
            <v>44561</v>
          </cell>
          <cell r="N115" t="str">
            <v>Tender specification made</v>
          </cell>
        </row>
        <row r="116">
          <cell r="J116" t="str">
            <v>CHHABRA TPS2</v>
          </cell>
          <cell r="K116">
            <v>250</v>
          </cell>
          <cell r="L116">
            <v>40273</v>
          </cell>
          <cell r="M116">
            <v>44500</v>
          </cell>
          <cell r="N116" t="str">
            <v>Tender specification made</v>
          </cell>
        </row>
        <row r="117">
          <cell r="J117" t="str">
            <v>CHHABRA TPS3</v>
          </cell>
          <cell r="K117">
            <v>250</v>
          </cell>
          <cell r="L117">
            <v>41531</v>
          </cell>
          <cell r="M117">
            <v>44439</v>
          </cell>
          <cell r="N117" t="str">
            <v>Tender specification made</v>
          </cell>
        </row>
        <row r="118">
          <cell r="J118" t="str">
            <v>CHHABRA TPS4</v>
          </cell>
          <cell r="K118">
            <v>250</v>
          </cell>
          <cell r="L118">
            <v>41820</v>
          </cell>
          <cell r="M118">
            <v>44439</v>
          </cell>
          <cell r="N118" t="str">
            <v>Tender specification made</v>
          </cell>
        </row>
        <row r="119">
          <cell r="J119" t="str">
            <v>CHHABRA TPS5</v>
          </cell>
          <cell r="K119">
            <v>660</v>
          </cell>
          <cell r="L119">
            <v>42829</v>
          </cell>
          <cell r="M119">
            <v>43951</v>
          </cell>
          <cell r="N119" t="str">
            <v>Bid opened</v>
          </cell>
        </row>
        <row r="120">
          <cell r="J120" t="str">
            <v>KALISINDH TPS1</v>
          </cell>
          <cell r="K120">
            <v>600</v>
          </cell>
          <cell r="L120">
            <v>41675</v>
          </cell>
          <cell r="M120">
            <v>44377</v>
          </cell>
          <cell r="N120" t="str">
            <v>Bid opened</v>
          </cell>
        </row>
        <row r="121">
          <cell r="J121" t="str">
            <v>KALISINDH TPS2</v>
          </cell>
          <cell r="K121">
            <v>600</v>
          </cell>
          <cell r="L121">
            <v>42161</v>
          </cell>
          <cell r="M121">
            <v>44316</v>
          </cell>
          <cell r="N121" t="str">
            <v>Bid opened</v>
          </cell>
        </row>
        <row r="122">
          <cell r="J122" t="str">
            <v>KOTA TPS5</v>
          </cell>
          <cell r="K122">
            <v>210</v>
          </cell>
          <cell r="L122">
            <v>70944</v>
          </cell>
          <cell r="M122">
            <v>44926</v>
          </cell>
          <cell r="N122" t="str">
            <v>Tender specification made</v>
          </cell>
        </row>
        <row r="123">
          <cell r="J123" t="str">
            <v>KOTA TPS6</v>
          </cell>
          <cell r="K123">
            <v>195</v>
          </cell>
          <cell r="L123">
            <v>37832</v>
          </cell>
          <cell r="M123">
            <v>44926</v>
          </cell>
          <cell r="N123" t="str">
            <v>Tender specification made</v>
          </cell>
        </row>
        <row r="124">
          <cell r="J124" t="str">
            <v>KOTA TPS7</v>
          </cell>
          <cell r="K124">
            <v>195</v>
          </cell>
          <cell r="L124">
            <v>40055</v>
          </cell>
          <cell r="M124">
            <v>44865</v>
          </cell>
          <cell r="N124" t="str">
            <v>Tender specification made</v>
          </cell>
        </row>
        <row r="125">
          <cell r="J125" t="str">
            <v>SURATGARH TPS1</v>
          </cell>
          <cell r="K125">
            <v>250</v>
          </cell>
          <cell r="L125">
            <v>72598</v>
          </cell>
          <cell r="M125">
            <v>44926</v>
          </cell>
          <cell r="N125" t="str">
            <v>Tender specification made</v>
          </cell>
        </row>
        <row r="126">
          <cell r="J126" t="str">
            <v>SURATGARH TPS2</v>
          </cell>
          <cell r="K126">
            <v>250</v>
          </cell>
          <cell r="L126">
            <v>36613</v>
          </cell>
          <cell r="M126">
            <v>44865</v>
          </cell>
          <cell r="N126" t="str">
            <v>Tender specification made</v>
          </cell>
        </row>
        <row r="127">
          <cell r="J127" t="str">
            <v>SURATGARH TPS3</v>
          </cell>
          <cell r="K127">
            <v>250</v>
          </cell>
          <cell r="L127">
            <v>37193</v>
          </cell>
          <cell r="M127">
            <v>44804</v>
          </cell>
          <cell r="N127" t="str">
            <v>Tender specification made</v>
          </cell>
        </row>
        <row r="128">
          <cell r="J128" t="str">
            <v>SURATGARH TPS4</v>
          </cell>
          <cell r="K128">
            <v>250</v>
          </cell>
          <cell r="L128">
            <v>37340</v>
          </cell>
          <cell r="M128">
            <v>44742</v>
          </cell>
          <cell r="N128" t="str">
            <v>Tender specification made</v>
          </cell>
        </row>
        <row r="129">
          <cell r="J129" t="str">
            <v>SURATGARH TPS5</v>
          </cell>
          <cell r="K129">
            <v>250</v>
          </cell>
          <cell r="L129">
            <v>37802</v>
          </cell>
          <cell r="M129">
            <v>44681</v>
          </cell>
          <cell r="N129" t="str">
            <v>Tender specification made</v>
          </cell>
        </row>
        <row r="130">
          <cell r="J130" t="str">
            <v>SURATGARH TPS6</v>
          </cell>
          <cell r="K130">
            <v>250</v>
          </cell>
          <cell r="L130">
            <v>40054</v>
          </cell>
          <cell r="M130">
            <v>44620</v>
          </cell>
          <cell r="N130" t="str">
            <v>Tender specification made</v>
          </cell>
        </row>
        <row r="131">
          <cell r="J131" t="str">
            <v>LALITPUR TPS2</v>
          </cell>
          <cell r="K131">
            <v>660</v>
          </cell>
          <cell r="L131">
            <v>42583</v>
          </cell>
          <cell r="M131">
            <v>44255</v>
          </cell>
          <cell r="N131" t="str">
            <v>Bid opened</v>
          </cell>
        </row>
        <row r="132">
          <cell r="J132" t="str">
            <v>LALITPUR TPS3</v>
          </cell>
          <cell r="K132">
            <v>660</v>
          </cell>
          <cell r="L132">
            <v>42373</v>
          </cell>
          <cell r="M132">
            <v>44500</v>
          </cell>
          <cell r="N132" t="str">
            <v>Bid opened</v>
          </cell>
        </row>
        <row r="133">
          <cell r="J133" t="str">
            <v>LALITPUR TPS1</v>
          </cell>
          <cell r="K133">
            <v>660</v>
          </cell>
          <cell r="L133">
            <v>42455</v>
          </cell>
          <cell r="M133">
            <v>44196</v>
          </cell>
          <cell r="N133" t="str">
            <v>Bid opened</v>
          </cell>
        </row>
        <row r="134">
          <cell r="J134" t="str">
            <v>ANPARA C TPS1</v>
          </cell>
          <cell r="K134">
            <v>600</v>
          </cell>
          <cell r="L134">
            <v>40887</v>
          </cell>
          <cell r="M134">
            <v>44561</v>
          </cell>
          <cell r="N134" t="str">
            <v>Tender specification made</v>
          </cell>
        </row>
        <row r="135">
          <cell r="J135" t="str">
            <v>ANPARA C TPS2</v>
          </cell>
          <cell r="K135">
            <v>600</v>
          </cell>
          <cell r="L135">
            <v>40926</v>
          </cell>
          <cell r="M135">
            <v>44561</v>
          </cell>
          <cell r="N135" t="str">
            <v>Tender specification made</v>
          </cell>
        </row>
        <row r="136">
          <cell r="J136" t="str">
            <v>DADRI (NCTPP)1</v>
          </cell>
          <cell r="K136">
            <v>210</v>
          </cell>
          <cell r="L136">
            <v>70118</v>
          </cell>
          <cell r="M136">
            <v>43830</v>
          </cell>
          <cell r="N136" t="str">
            <v>FGD commissioned</v>
          </cell>
        </row>
        <row r="137">
          <cell r="J137" t="str">
            <v>DADRI (NCTPP)2</v>
          </cell>
          <cell r="K137">
            <v>210</v>
          </cell>
          <cell r="L137">
            <v>70481</v>
          </cell>
          <cell r="M137">
            <v>43830</v>
          </cell>
          <cell r="N137" t="str">
            <v>FGD commissioned</v>
          </cell>
        </row>
        <row r="138">
          <cell r="J138" t="str">
            <v>DADRI (NCTPP)3</v>
          </cell>
          <cell r="K138">
            <v>210</v>
          </cell>
          <cell r="L138">
            <v>70576</v>
          </cell>
          <cell r="M138">
            <v>43830</v>
          </cell>
          <cell r="N138" t="str">
            <v>FGD commissioned</v>
          </cell>
        </row>
        <row r="139">
          <cell r="J139" t="str">
            <v>DADRI (NCTPP)4</v>
          </cell>
          <cell r="K139">
            <v>210</v>
          </cell>
          <cell r="L139">
            <v>70942</v>
          </cell>
          <cell r="M139">
            <v>43830</v>
          </cell>
          <cell r="N139" t="str">
            <v>FGD commissioned</v>
          </cell>
        </row>
        <row r="140">
          <cell r="J140" t="str">
            <v>DADRI (NCTPP)5</v>
          </cell>
          <cell r="K140">
            <v>490</v>
          </cell>
          <cell r="L140">
            <v>40203</v>
          </cell>
          <cell r="M140">
            <v>43951</v>
          </cell>
          <cell r="N140" t="str">
            <v>Bid Awarded</v>
          </cell>
        </row>
        <row r="141">
          <cell r="J141" t="str">
            <v>DADRI (NCTPP)6</v>
          </cell>
          <cell r="K141">
            <v>490</v>
          </cell>
          <cell r="L141">
            <v>40375</v>
          </cell>
          <cell r="M141">
            <v>43889</v>
          </cell>
          <cell r="N141" t="str">
            <v>Bid Awarded</v>
          </cell>
        </row>
        <row r="142">
          <cell r="J142" t="str">
            <v>RIHAND STPS1</v>
          </cell>
          <cell r="K142">
            <v>500</v>
          </cell>
          <cell r="L142">
            <v>68758</v>
          </cell>
          <cell r="M142">
            <v>44561</v>
          </cell>
          <cell r="N142" t="str">
            <v>NIT issued</v>
          </cell>
        </row>
        <row r="143">
          <cell r="J143" t="str">
            <v>RIHAND STPS2</v>
          </cell>
          <cell r="K143">
            <v>500</v>
          </cell>
          <cell r="L143">
            <v>69160</v>
          </cell>
          <cell r="M143">
            <v>44561</v>
          </cell>
          <cell r="N143" t="str">
            <v>NIT issued</v>
          </cell>
        </row>
        <row r="144">
          <cell r="J144" t="str">
            <v>RIHAND STPS3</v>
          </cell>
          <cell r="K144">
            <v>500</v>
          </cell>
          <cell r="L144">
            <v>38383</v>
          </cell>
          <cell r="M144">
            <v>44499</v>
          </cell>
          <cell r="N144" t="str">
            <v>Bid Awarded</v>
          </cell>
        </row>
        <row r="145">
          <cell r="J145" t="str">
            <v>RIHAND STPS4</v>
          </cell>
          <cell r="K145">
            <v>500</v>
          </cell>
          <cell r="L145">
            <v>38619</v>
          </cell>
          <cell r="M145">
            <v>44316</v>
          </cell>
          <cell r="N145" t="str">
            <v>Bid Awarded</v>
          </cell>
        </row>
        <row r="146">
          <cell r="J146" t="str">
            <v>RIHAND STPS5</v>
          </cell>
          <cell r="K146">
            <v>500</v>
          </cell>
          <cell r="L146">
            <v>41054</v>
          </cell>
          <cell r="M146">
            <v>44255</v>
          </cell>
          <cell r="N146" t="str">
            <v>Bid Awarded</v>
          </cell>
        </row>
        <row r="147">
          <cell r="J147" t="str">
            <v>RIHAND STPS6</v>
          </cell>
          <cell r="K147">
            <v>500</v>
          </cell>
          <cell r="L147">
            <v>41564</v>
          </cell>
          <cell r="M147">
            <v>44196</v>
          </cell>
          <cell r="N147" t="str">
            <v>Bid Awarded</v>
          </cell>
        </row>
        <row r="148">
          <cell r="J148" t="str">
            <v>SINGRAULI STPS1</v>
          </cell>
          <cell r="K148">
            <v>200</v>
          </cell>
          <cell r="L148">
            <v>66521</v>
          </cell>
          <cell r="M148">
            <v>44561</v>
          </cell>
          <cell r="N148" t="str">
            <v>Bid Awarded</v>
          </cell>
        </row>
        <row r="149">
          <cell r="J149" t="str">
            <v>SINGRAULI STPS2</v>
          </cell>
          <cell r="K149">
            <v>200</v>
          </cell>
          <cell r="L149">
            <v>66805</v>
          </cell>
          <cell r="M149">
            <v>44561</v>
          </cell>
          <cell r="N149" t="str">
            <v>Bid Awarded</v>
          </cell>
        </row>
        <row r="150">
          <cell r="J150" t="str">
            <v>SINGRAULI STPS3</v>
          </cell>
          <cell r="K150">
            <v>200</v>
          </cell>
          <cell r="L150">
            <v>66928</v>
          </cell>
          <cell r="M150">
            <v>44439</v>
          </cell>
          <cell r="N150" t="str">
            <v>Bid Awarded</v>
          </cell>
        </row>
        <row r="151">
          <cell r="J151" t="str">
            <v>SINGRAULI STPS4</v>
          </cell>
          <cell r="K151">
            <v>200</v>
          </cell>
          <cell r="L151">
            <v>66883</v>
          </cell>
          <cell r="M151">
            <v>44439</v>
          </cell>
          <cell r="N151" t="str">
            <v>Bid Awarded</v>
          </cell>
        </row>
        <row r="152">
          <cell r="J152" t="str">
            <v>SINGRAULI STPS5</v>
          </cell>
          <cell r="K152">
            <v>200</v>
          </cell>
          <cell r="L152">
            <v>67263</v>
          </cell>
          <cell r="M152">
            <v>44316</v>
          </cell>
          <cell r="N152" t="str">
            <v>Bid Awarded</v>
          </cell>
        </row>
        <row r="153">
          <cell r="J153" t="str">
            <v>SINGRAULI STPS6</v>
          </cell>
          <cell r="K153">
            <v>500</v>
          </cell>
          <cell r="L153">
            <v>68294</v>
          </cell>
          <cell r="M153">
            <v>44255</v>
          </cell>
          <cell r="N153" t="str">
            <v>Bid Awarded</v>
          </cell>
        </row>
        <row r="154">
          <cell r="J154" t="str">
            <v>SINGRAULI STPS7</v>
          </cell>
          <cell r="K154">
            <v>500</v>
          </cell>
          <cell r="L154">
            <v>68630</v>
          </cell>
          <cell r="M154">
            <v>44196</v>
          </cell>
          <cell r="N154" t="str">
            <v>Bid Awarded</v>
          </cell>
        </row>
        <row r="155">
          <cell r="J155" t="str">
            <v>UNCHAHAR STPS1</v>
          </cell>
          <cell r="K155">
            <v>210</v>
          </cell>
          <cell r="L155">
            <v>68993</v>
          </cell>
          <cell r="M155">
            <v>44926</v>
          </cell>
          <cell r="N155" t="str">
            <v>Bid Awarded</v>
          </cell>
        </row>
        <row r="156">
          <cell r="J156" t="str">
            <v>UNCHAHAR STPS2</v>
          </cell>
          <cell r="K156">
            <v>210</v>
          </cell>
          <cell r="L156">
            <v>69114</v>
          </cell>
          <cell r="M156">
            <v>44926</v>
          </cell>
          <cell r="N156" t="str">
            <v>Bid Awarded</v>
          </cell>
        </row>
        <row r="157">
          <cell r="J157" t="str">
            <v>UNCHAHAR STPS3</v>
          </cell>
          <cell r="K157">
            <v>210</v>
          </cell>
          <cell r="L157">
            <v>72712</v>
          </cell>
          <cell r="M157">
            <v>44865</v>
          </cell>
          <cell r="N157" t="str">
            <v>Bid Awarded</v>
          </cell>
        </row>
        <row r="158">
          <cell r="J158" t="str">
            <v>UNCHAHAR STPS4</v>
          </cell>
          <cell r="K158">
            <v>210</v>
          </cell>
          <cell r="L158">
            <v>72980</v>
          </cell>
          <cell r="M158">
            <v>44865</v>
          </cell>
          <cell r="N158" t="str">
            <v>Bid Awarded</v>
          </cell>
        </row>
        <row r="159">
          <cell r="J159" t="str">
            <v>UNCHAHAR STPS5</v>
          </cell>
          <cell r="K159">
            <v>210</v>
          </cell>
          <cell r="L159">
            <v>38988</v>
          </cell>
          <cell r="M159">
            <v>44681</v>
          </cell>
          <cell r="N159" t="str">
            <v>Bid Awarded</v>
          </cell>
        </row>
        <row r="160">
          <cell r="J160" t="str">
            <v>UNCHAHAR STPS6</v>
          </cell>
          <cell r="K160">
            <v>500</v>
          </cell>
          <cell r="L160">
            <v>42825</v>
          </cell>
          <cell r="M160">
            <v>44074</v>
          </cell>
          <cell r="N160" t="str">
            <v>Bid Awarded</v>
          </cell>
        </row>
        <row r="161">
          <cell r="J161" t="str">
            <v>BARA TPP1</v>
          </cell>
          <cell r="K161">
            <v>660</v>
          </cell>
          <cell r="L161">
            <v>42729</v>
          </cell>
          <cell r="M161">
            <v>43951</v>
          </cell>
          <cell r="N161" t="str">
            <v>Bid opened</v>
          </cell>
        </row>
        <row r="162">
          <cell r="J162" t="str">
            <v>BARA TPP2</v>
          </cell>
          <cell r="K162">
            <v>660</v>
          </cell>
          <cell r="L162">
            <v>42164</v>
          </cell>
          <cell r="M162">
            <v>44012</v>
          </cell>
          <cell r="N162" t="str">
            <v>Bid opened</v>
          </cell>
        </row>
        <row r="163">
          <cell r="J163" t="str">
            <v>BARA TPP3</v>
          </cell>
          <cell r="K163">
            <v>660</v>
          </cell>
          <cell r="L163">
            <v>42877</v>
          </cell>
          <cell r="M163">
            <v>43890</v>
          </cell>
          <cell r="N163" t="str">
            <v>Bid opened</v>
          </cell>
        </row>
        <row r="164">
          <cell r="J164" t="str">
            <v>ROSA TPP PH-I1</v>
          </cell>
          <cell r="K164">
            <v>300</v>
          </cell>
          <cell r="L164">
            <v>40453</v>
          </cell>
          <cell r="M164">
            <v>44561</v>
          </cell>
          <cell r="N164" t="str">
            <v>Bid Awarded</v>
          </cell>
        </row>
        <row r="165">
          <cell r="J165" t="str">
            <v>ROSA TPP PH-I2</v>
          </cell>
          <cell r="K165">
            <v>300</v>
          </cell>
          <cell r="L165">
            <v>40355</v>
          </cell>
          <cell r="M165">
            <v>44561</v>
          </cell>
          <cell r="N165" t="str">
            <v>Bid Awarded</v>
          </cell>
        </row>
        <row r="166">
          <cell r="J166" t="str">
            <v>ROSA TPP PH-I3</v>
          </cell>
          <cell r="K166">
            <v>300</v>
          </cell>
          <cell r="L166">
            <v>40905</v>
          </cell>
          <cell r="M166">
            <v>44500</v>
          </cell>
          <cell r="N166" t="str">
            <v>Bid Awarded</v>
          </cell>
        </row>
        <row r="167">
          <cell r="J167" t="str">
            <v>ROSA TPP PH-I4</v>
          </cell>
          <cell r="K167">
            <v>300</v>
          </cell>
          <cell r="L167">
            <v>40996</v>
          </cell>
          <cell r="M167">
            <v>44500</v>
          </cell>
          <cell r="N167" t="str">
            <v>Bid Awarded</v>
          </cell>
        </row>
        <row r="168">
          <cell r="J168" t="str">
            <v>ANPARA TPS1</v>
          </cell>
          <cell r="K168">
            <v>210</v>
          </cell>
          <cell r="L168">
            <v>68303</v>
          </cell>
          <cell r="M168">
            <v>44865</v>
          </cell>
          <cell r="N168" t="str">
            <v>Bid opened</v>
          </cell>
        </row>
        <row r="169">
          <cell r="J169" t="str">
            <v>ANPARA TPS2</v>
          </cell>
          <cell r="K169">
            <v>210</v>
          </cell>
          <cell r="L169">
            <v>68310</v>
          </cell>
          <cell r="M169">
            <v>44804</v>
          </cell>
          <cell r="N169" t="str">
            <v>Bid opened</v>
          </cell>
        </row>
        <row r="170">
          <cell r="J170" t="str">
            <v>ANPARA TPS3</v>
          </cell>
          <cell r="K170">
            <v>210</v>
          </cell>
          <cell r="L170">
            <v>69037</v>
          </cell>
          <cell r="M170">
            <v>44742</v>
          </cell>
          <cell r="N170" t="str">
            <v>Bid opened</v>
          </cell>
        </row>
        <row r="171">
          <cell r="J171" t="str">
            <v>ANPARA TPS4</v>
          </cell>
          <cell r="K171">
            <v>500</v>
          </cell>
          <cell r="L171">
            <v>70862</v>
          </cell>
          <cell r="M171">
            <v>44561</v>
          </cell>
          <cell r="N171" t="str">
            <v>Bid opened</v>
          </cell>
        </row>
        <row r="172">
          <cell r="J172" t="str">
            <v>ANPARA TPS5</v>
          </cell>
          <cell r="K172">
            <v>500</v>
          </cell>
          <cell r="L172">
            <v>70869</v>
          </cell>
          <cell r="M172">
            <v>44561</v>
          </cell>
          <cell r="N172" t="str">
            <v>Bid opened</v>
          </cell>
        </row>
        <row r="173">
          <cell r="J173" t="str">
            <v>ANPARA TPS6</v>
          </cell>
          <cell r="K173">
            <v>500</v>
          </cell>
          <cell r="L173">
            <v>42587</v>
          </cell>
          <cell r="M173">
            <v>44377</v>
          </cell>
          <cell r="N173" t="str">
            <v>Bid Awarded</v>
          </cell>
        </row>
        <row r="174">
          <cell r="J174" t="str">
            <v>ANPARA TPS7</v>
          </cell>
          <cell r="K174">
            <v>500</v>
          </cell>
          <cell r="L174">
            <v>42661</v>
          </cell>
          <cell r="M174">
            <v>44316</v>
          </cell>
          <cell r="N174" t="str">
            <v>Bid Awarded</v>
          </cell>
        </row>
        <row r="175">
          <cell r="J175" t="str">
            <v>HARDUAGANJ TPS8</v>
          </cell>
          <cell r="K175">
            <v>250</v>
          </cell>
          <cell r="L175">
            <v>40910</v>
          </cell>
          <cell r="M175">
            <v>44561</v>
          </cell>
          <cell r="N175" t="str">
            <v>Tender specification made</v>
          </cell>
        </row>
        <row r="176">
          <cell r="J176" t="str">
            <v>HARDUAGANJ TPS9</v>
          </cell>
          <cell r="K176">
            <v>250</v>
          </cell>
          <cell r="L176">
            <v>41557</v>
          </cell>
          <cell r="M176">
            <v>44500</v>
          </cell>
          <cell r="N176" t="str">
            <v>Tender specification made</v>
          </cell>
        </row>
        <row r="177">
          <cell r="J177" t="str">
            <v>OBRA TPS9</v>
          </cell>
          <cell r="K177">
            <v>200</v>
          </cell>
          <cell r="L177">
            <v>65820</v>
          </cell>
          <cell r="M177">
            <v>44804</v>
          </cell>
          <cell r="N177" t="str">
            <v>Feasibility Study completed</v>
          </cell>
        </row>
        <row r="178">
          <cell r="J178" t="str">
            <v>OBRA TPS10</v>
          </cell>
          <cell r="K178">
            <v>200</v>
          </cell>
          <cell r="L178">
            <v>65534</v>
          </cell>
          <cell r="M178">
            <v>44865</v>
          </cell>
          <cell r="N178" t="str">
            <v>Feasibility Study completed</v>
          </cell>
        </row>
        <row r="179">
          <cell r="J179" t="str">
            <v>OBRA TPS11</v>
          </cell>
          <cell r="K179">
            <v>200</v>
          </cell>
          <cell r="L179">
            <v>65088</v>
          </cell>
          <cell r="M179">
            <v>44926</v>
          </cell>
          <cell r="N179" t="str">
            <v>Feasibility Study completed</v>
          </cell>
        </row>
        <row r="180">
          <cell r="J180" t="str">
            <v>OBRA TPS12</v>
          </cell>
          <cell r="K180">
            <v>200</v>
          </cell>
          <cell r="L180">
            <v>66260</v>
          </cell>
          <cell r="M180">
            <v>44742</v>
          </cell>
          <cell r="N180" t="str">
            <v>Feasibility Study completed</v>
          </cell>
        </row>
        <row r="181">
          <cell r="J181" t="str">
            <v>OBRA TPS13</v>
          </cell>
          <cell r="K181">
            <v>200</v>
          </cell>
          <cell r="L181">
            <v>66686</v>
          </cell>
          <cell r="M181">
            <v>44681</v>
          </cell>
          <cell r="N181" t="str">
            <v>Feasibility Study completed</v>
          </cell>
        </row>
        <row r="182">
          <cell r="J182" t="str">
            <v>PARICHHA TPS3</v>
          </cell>
          <cell r="K182">
            <v>210</v>
          </cell>
          <cell r="L182">
            <v>39045</v>
          </cell>
          <cell r="M182">
            <v>44681</v>
          </cell>
          <cell r="N182" t="str">
            <v>Tender specification made</v>
          </cell>
        </row>
        <row r="183">
          <cell r="J183" t="str">
            <v>PARICHHA TPS4</v>
          </cell>
          <cell r="K183">
            <v>210</v>
          </cell>
          <cell r="L183">
            <v>39094</v>
          </cell>
          <cell r="M183">
            <v>44681</v>
          </cell>
          <cell r="N183" t="str">
            <v>Tender specification made</v>
          </cell>
        </row>
        <row r="184">
          <cell r="J184" t="str">
            <v>PARICHHA TPS5</v>
          </cell>
          <cell r="K184">
            <v>250</v>
          </cell>
          <cell r="L184">
            <v>41107</v>
          </cell>
          <cell r="M184">
            <v>44620</v>
          </cell>
          <cell r="N184" t="str">
            <v>Tender specification made</v>
          </cell>
        </row>
        <row r="185">
          <cell r="J185" t="str">
            <v>PARICHHA TPS6</v>
          </cell>
          <cell r="K185">
            <v>250</v>
          </cell>
          <cell r="L185">
            <v>41382</v>
          </cell>
          <cell r="M185">
            <v>44561</v>
          </cell>
          <cell r="N185" t="str">
            <v>Tender specification made</v>
          </cell>
        </row>
        <row r="186">
          <cell r="J186" t="str">
            <v>DR. N TATA RAO TPS7</v>
          </cell>
          <cell r="K186">
            <v>500</v>
          </cell>
          <cell r="L186">
            <v>40035</v>
          </cell>
          <cell r="M186">
            <v>44196</v>
          </cell>
          <cell r="N186" t="str">
            <v>Feasibility Study completed</v>
          </cell>
        </row>
        <row r="187">
          <cell r="J187" t="str">
            <v>RAYALSEEMA TPS1</v>
          </cell>
          <cell r="K187">
            <v>210</v>
          </cell>
          <cell r="L187">
            <v>70949</v>
          </cell>
          <cell r="M187">
            <v>44561</v>
          </cell>
          <cell r="N187" t="str">
            <v>Feasibility Study completed</v>
          </cell>
        </row>
        <row r="188">
          <cell r="J188" t="str">
            <v>RAYALSEEMA TPS2</v>
          </cell>
          <cell r="K188">
            <v>210</v>
          </cell>
          <cell r="L188">
            <v>71280</v>
          </cell>
          <cell r="M188">
            <v>44469</v>
          </cell>
          <cell r="N188" t="str">
            <v>Feasibility Study completed</v>
          </cell>
        </row>
        <row r="189">
          <cell r="J189" t="str">
            <v>RAYALSEEMA TPS3</v>
          </cell>
          <cell r="K189">
            <v>210</v>
          </cell>
          <cell r="L189">
            <v>39107</v>
          </cell>
          <cell r="M189">
            <v>44104</v>
          </cell>
          <cell r="N189" t="str">
            <v>Feasibility Study completed</v>
          </cell>
        </row>
        <row r="190">
          <cell r="J190" t="str">
            <v>RAYALSEEMA TPS4</v>
          </cell>
          <cell r="K190">
            <v>210</v>
          </cell>
          <cell r="L190">
            <v>39406</v>
          </cell>
          <cell r="M190">
            <v>44377</v>
          </cell>
          <cell r="N190" t="str">
            <v>Feasibility Study completed</v>
          </cell>
        </row>
        <row r="191">
          <cell r="J191" t="str">
            <v>RAYALSEEMA TPS5</v>
          </cell>
          <cell r="K191">
            <v>210</v>
          </cell>
          <cell r="L191">
            <v>40543</v>
          </cell>
          <cell r="M191">
            <v>44012</v>
          </cell>
          <cell r="N191" t="str">
            <v>Feasibility Study completed</v>
          </cell>
        </row>
        <row r="192">
          <cell r="J192" t="str">
            <v>DAMODARAN SANJEEVAIAH TPS1</v>
          </cell>
          <cell r="K192">
            <v>800</v>
          </cell>
          <cell r="L192">
            <v>41879</v>
          </cell>
          <cell r="M192">
            <v>44196</v>
          </cell>
          <cell r="N192" t="str">
            <v>Feasibility Study completed</v>
          </cell>
        </row>
        <row r="193">
          <cell r="J193" t="str">
            <v>DAMODARAN SANJEEVAIAH TPS2</v>
          </cell>
          <cell r="K193">
            <v>800</v>
          </cell>
          <cell r="L193">
            <v>42080</v>
          </cell>
          <cell r="M193">
            <v>43830</v>
          </cell>
          <cell r="N193" t="str">
            <v>Feasibility Study completed</v>
          </cell>
        </row>
        <row r="194">
          <cell r="J194" t="str">
            <v>VIZAG TPS1</v>
          </cell>
          <cell r="K194">
            <v>520</v>
          </cell>
          <cell r="L194">
            <v>42365</v>
          </cell>
          <cell r="M194">
            <v>44012</v>
          </cell>
          <cell r="N194" t="str">
            <v>Feasibility Study completed</v>
          </cell>
        </row>
        <row r="195">
          <cell r="J195" t="str">
            <v>VIZAG TPS2</v>
          </cell>
          <cell r="K195">
            <v>520</v>
          </cell>
          <cell r="L195">
            <v>42459</v>
          </cell>
          <cell r="M195">
            <v>43738</v>
          </cell>
          <cell r="N195" t="str">
            <v>Feasibility Study completed</v>
          </cell>
        </row>
        <row r="196">
          <cell r="J196" t="str">
            <v>SIMHADRI STPP1</v>
          </cell>
          <cell r="K196">
            <v>500</v>
          </cell>
          <cell r="L196">
            <v>37309</v>
          </cell>
          <cell r="M196">
            <v>44561</v>
          </cell>
          <cell r="N196" t="str">
            <v>Bid Awarded</v>
          </cell>
        </row>
        <row r="197">
          <cell r="J197" t="str">
            <v>SIMHADRI STPP2</v>
          </cell>
          <cell r="K197">
            <v>500</v>
          </cell>
          <cell r="L197">
            <v>37492</v>
          </cell>
          <cell r="M197">
            <v>44561</v>
          </cell>
          <cell r="N197" t="str">
            <v>Bid Awarded</v>
          </cell>
        </row>
        <row r="198">
          <cell r="J198" t="str">
            <v>SIMHADRI STPP3</v>
          </cell>
          <cell r="K198">
            <v>500</v>
          </cell>
          <cell r="L198">
            <v>40631</v>
          </cell>
          <cell r="M198">
            <v>44561</v>
          </cell>
          <cell r="N198" t="str">
            <v>Bid Awarded</v>
          </cell>
        </row>
        <row r="199">
          <cell r="J199" t="str">
            <v>SIMHADRI STPP4</v>
          </cell>
          <cell r="K199">
            <v>500</v>
          </cell>
          <cell r="L199">
            <v>40998</v>
          </cell>
          <cell r="M199">
            <v>44561</v>
          </cell>
          <cell r="N199" t="str">
            <v>Bid Awarded</v>
          </cell>
        </row>
        <row r="200">
          <cell r="J200" t="str">
            <v>SEMBCORP GAYATRI P. LTD1</v>
          </cell>
          <cell r="K200">
            <v>660</v>
          </cell>
          <cell r="L200">
            <v>42715</v>
          </cell>
          <cell r="M200">
            <v>44561</v>
          </cell>
          <cell r="N200" t="str">
            <v>NIT issued</v>
          </cell>
        </row>
        <row r="201">
          <cell r="J201" t="str">
            <v>SEMBCORP GAYATRI P. LTD2</v>
          </cell>
          <cell r="K201">
            <v>660</v>
          </cell>
          <cell r="L201">
            <v>42781</v>
          </cell>
          <cell r="M201">
            <v>44469</v>
          </cell>
          <cell r="N201" t="str">
            <v>Bid opened</v>
          </cell>
        </row>
        <row r="202">
          <cell r="J202" t="str">
            <v>PAINAMPURAM TPP1</v>
          </cell>
          <cell r="K202">
            <v>660</v>
          </cell>
          <cell r="L202">
            <v>42187</v>
          </cell>
          <cell r="M202">
            <v>44561</v>
          </cell>
          <cell r="N202" t="str">
            <v>Bid Opened</v>
          </cell>
        </row>
        <row r="203">
          <cell r="J203" t="str">
            <v>PAINAMPURAM TPP2</v>
          </cell>
          <cell r="K203">
            <v>660</v>
          </cell>
          <cell r="L203">
            <v>42072</v>
          </cell>
          <cell r="M203">
            <v>44469</v>
          </cell>
          <cell r="N203" t="str">
            <v>Bid Opened</v>
          </cell>
        </row>
        <row r="204">
          <cell r="J204" t="str">
            <v>UDUPI TPP1</v>
          </cell>
          <cell r="K204">
            <v>600</v>
          </cell>
          <cell r="L204">
            <v>40382</v>
          </cell>
          <cell r="M204">
            <v>44651</v>
          </cell>
          <cell r="N204" t="str">
            <v>NIT issued</v>
          </cell>
        </row>
        <row r="205">
          <cell r="J205" t="str">
            <v>UDUPI TPP2</v>
          </cell>
          <cell r="K205">
            <v>600</v>
          </cell>
          <cell r="L205">
            <v>40649</v>
          </cell>
          <cell r="M205">
            <v>44742</v>
          </cell>
          <cell r="N205" t="str">
            <v>NIT issued</v>
          </cell>
        </row>
        <row r="206">
          <cell r="J206" t="str">
            <v>TORANGALLU TPS(SBU-II)1</v>
          </cell>
          <cell r="K206">
            <v>300</v>
          </cell>
          <cell r="L206">
            <v>39926</v>
          </cell>
          <cell r="M206">
            <v>44742</v>
          </cell>
          <cell r="N206" t="str">
            <v>Discussions with vendor is i</v>
          </cell>
        </row>
        <row r="207">
          <cell r="J207" t="str">
            <v>TORANGALLU TPS(SBU-II)2</v>
          </cell>
          <cell r="K207">
            <v>300</v>
          </cell>
          <cell r="L207">
            <v>40049</v>
          </cell>
          <cell r="M207">
            <v>44834</v>
          </cell>
          <cell r="N207" t="str">
            <v>Discussions with vendor is i</v>
          </cell>
        </row>
        <row r="208">
          <cell r="J208" t="str">
            <v>BELLARY TPS1</v>
          </cell>
          <cell r="K208">
            <v>500</v>
          </cell>
          <cell r="L208">
            <v>39153</v>
          </cell>
          <cell r="M208">
            <v>44196</v>
          </cell>
          <cell r="N208" t="str">
            <v>NIT issued</v>
          </cell>
        </row>
        <row r="209">
          <cell r="J209" t="str">
            <v>BELLARY TPS2</v>
          </cell>
          <cell r="K209">
            <v>500</v>
          </cell>
          <cell r="L209">
            <v>40991</v>
          </cell>
          <cell r="M209">
            <v>44377</v>
          </cell>
          <cell r="N209" t="str">
            <v>NIT issued</v>
          </cell>
        </row>
        <row r="210">
          <cell r="J210" t="str">
            <v>BELLARY TPS3</v>
          </cell>
          <cell r="K210">
            <v>700</v>
          </cell>
          <cell r="L210">
            <v>42372</v>
          </cell>
          <cell r="M210">
            <v>44561</v>
          </cell>
          <cell r="N210" t="str">
            <v>NIT issued</v>
          </cell>
        </row>
        <row r="211">
          <cell r="J211" t="str">
            <v>RAICHUR TPS1</v>
          </cell>
          <cell r="K211">
            <v>210</v>
          </cell>
          <cell r="L211">
            <v>67660</v>
          </cell>
          <cell r="M211">
            <v>44286</v>
          </cell>
          <cell r="N211" t="str">
            <v>Bid Awarded</v>
          </cell>
        </row>
        <row r="212">
          <cell r="J212" t="str">
            <v>RAICHUR TPS2</v>
          </cell>
          <cell r="K212">
            <v>210</v>
          </cell>
          <cell r="L212">
            <v>67971</v>
          </cell>
          <cell r="M212">
            <v>44377</v>
          </cell>
          <cell r="N212" t="str">
            <v>Bid Awarded</v>
          </cell>
        </row>
        <row r="213">
          <cell r="J213" t="str">
            <v>RAICHUR TPS3</v>
          </cell>
          <cell r="K213">
            <v>210</v>
          </cell>
          <cell r="L213">
            <v>69852</v>
          </cell>
          <cell r="M213">
            <v>44469</v>
          </cell>
          <cell r="N213" t="str">
            <v>Bid Awarded</v>
          </cell>
        </row>
        <row r="214">
          <cell r="J214" t="str">
            <v>RAICHUR TPS4</v>
          </cell>
          <cell r="K214">
            <v>210</v>
          </cell>
          <cell r="L214">
            <v>71131</v>
          </cell>
          <cell r="M214">
            <v>44561</v>
          </cell>
          <cell r="N214" t="str">
            <v>Bid Awarded</v>
          </cell>
        </row>
        <row r="215">
          <cell r="J215" t="str">
            <v>RAICHUR TPS5</v>
          </cell>
          <cell r="K215">
            <v>210</v>
          </cell>
          <cell r="L215">
            <v>72716</v>
          </cell>
          <cell r="M215">
            <v>44651</v>
          </cell>
          <cell r="N215" t="str">
            <v>Bid Awarded</v>
          </cell>
        </row>
        <row r="216">
          <cell r="J216" t="str">
            <v>RAICHUR TPS6</v>
          </cell>
          <cell r="K216">
            <v>210</v>
          </cell>
          <cell r="L216">
            <v>72888</v>
          </cell>
          <cell r="M216">
            <v>44742</v>
          </cell>
          <cell r="N216" t="str">
            <v>Bid Awarded</v>
          </cell>
        </row>
        <row r="217">
          <cell r="J217" t="str">
            <v>RAICHUR TPS7</v>
          </cell>
          <cell r="K217">
            <v>210</v>
          </cell>
          <cell r="L217">
            <v>37572</v>
          </cell>
          <cell r="M217">
            <v>44834</v>
          </cell>
          <cell r="N217" t="str">
            <v>Bid Awarded</v>
          </cell>
        </row>
        <row r="218">
          <cell r="J218" t="str">
            <v>RAICHUR TPS8</v>
          </cell>
          <cell r="K218">
            <v>250</v>
          </cell>
          <cell r="L218">
            <v>40355</v>
          </cell>
          <cell r="M218">
            <v>44926</v>
          </cell>
          <cell r="N218" t="str">
            <v>Bid Awarded</v>
          </cell>
        </row>
        <row r="219">
          <cell r="J219" t="str">
            <v>YERMARUS TPS1</v>
          </cell>
          <cell r="K219">
            <v>800</v>
          </cell>
          <cell r="L219">
            <v>42458</v>
          </cell>
          <cell r="M219">
            <v>44561</v>
          </cell>
          <cell r="N219" t="str">
            <v>Bid Awarded</v>
          </cell>
        </row>
        <row r="220">
          <cell r="J220" t="str">
            <v>YERMARUS TPS2</v>
          </cell>
          <cell r="K220">
            <v>800</v>
          </cell>
          <cell r="L220">
            <v>42823</v>
          </cell>
          <cell r="M220">
            <v>44561</v>
          </cell>
          <cell r="N220" t="str">
            <v>Bid Awarded</v>
          </cell>
        </row>
        <row r="221">
          <cell r="J221" t="str">
            <v>KUDGI STPP1</v>
          </cell>
          <cell r="K221">
            <v>800</v>
          </cell>
          <cell r="L221">
            <v>42729</v>
          </cell>
          <cell r="M221">
            <v>44742</v>
          </cell>
          <cell r="N221" t="str">
            <v>Bid Awarded</v>
          </cell>
        </row>
        <row r="222">
          <cell r="J222" t="str">
            <v>KUDGI STPP2</v>
          </cell>
          <cell r="K222">
            <v>800</v>
          </cell>
          <cell r="L222">
            <v>42817</v>
          </cell>
          <cell r="M222">
            <v>44834</v>
          </cell>
          <cell r="N222" t="str">
            <v>Bid Awarded</v>
          </cell>
        </row>
        <row r="223">
          <cell r="J223" t="str">
            <v>MUTHIARA TPP1</v>
          </cell>
          <cell r="K223">
            <v>600</v>
          </cell>
          <cell r="L223">
            <v>41682</v>
          </cell>
          <cell r="M223">
            <v>44834</v>
          </cell>
          <cell r="N223" t="str">
            <v>Feasiblity Study Completed</v>
          </cell>
        </row>
        <row r="224">
          <cell r="J224" t="str">
            <v>MUTHIARA TPP2</v>
          </cell>
          <cell r="K224">
            <v>600</v>
          </cell>
          <cell r="L224">
            <v>42401</v>
          </cell>
          <cell r="M224">
            <v>44926</v>
          </cell>
          <cell r="N224" t="str">
            <v>Feasiblity Study Completed</v>
          </cell>
        </row>
        <row r="225">
          <cell r="J225" t="str">
            <v>NEYVELI (EXT) TPS1</v>
          </cell>
          <cell r="K225">
            <v>210</v>
          </cell>
          <cell r="L225">
            <v>37550</v>
          </cell>
          <cell r="M225">
            <v>44377</v>
          </cell>
          <cell r="N225" t="str">
            <v>Bid opened</v>
          </cell>
        </row>
        <row r="226">
          <cell r="J226" t="str">
            <v>NEYVELI (EXT) TPS2</v>
          </cell>
          <cell r="K226">
            <v>210</v>
          </cell>
          <cell r="L226">
            <v>37824</v>
          </cell>
          <cell r="M226">
            <v>44561</v>
          </cell>
          <cell r="N226" t="str">
            <v>Bid opened</v>
          </cell>
        </row>
        <row r="227">
          <cell r="J227" t="str">
            <v>NEYVELI TPS-II1</v>
          </cell>
          <cell r="K227">
            <v>210</v>
          </cell>
          <cell r="L227">
            <v>68684</v>
          </cell>
          <cell r="M227">
            <v>44561</v>
          </cell>
          <cell r="N227" t="str">
            <v>Bid opened</v>
          </cell>
        </row>
        <row r="228">
          <cell r="J228" t="str">
            <v>NEYVELI TPS-II2</v>
          </cell>
          <cell r="K228">
            <v>210</v>
          </cell>
          <cell r="L228">
            <v>68455</v>
          </cell>
          <cell r="M228">
            <v>44469</v>
          </cell>
          <cell r="N228" t="str">
            <v>Bid opened</v>
          </cell>
        </row>
        <row r="229">
          <cell r="J229" t="str">
            <v>NEYVELI TPS-II3</v>
          </cell>
          <cell r="K229">
            <v>210</v>
          </cell>
          <cell r="L229">
            <v>68390</v>
          </cell>
          <cell r="M229">
            <v>44377</v>
          </cell>
          <cell r="N229" t="str">
            <v>Bid opened</v>
          </cell>
        </row>
        <row r="230">
          <cell r="J230" t="str">
            <v>NEYVELI TPS-II4</v>
          </cell>
          <cell r="K230">
            <v>210</v>
          </cell>
          <cell r="L230">
            <v>69852</v>
          </cell>
          <cell r="M230">
            <v>44651</v>
          </cell>
          <cell r="N230" t="str">
            <v>Bid opened</v>
          </cell>
        </row>
        <row r="231">
          <cell r="J231" t="str">
            <v>NEYVELI TPS-II5</v>
          </cell>
          <cell r="K231">
            <v>210</v>
          </cell>
          <cell r="L231">
            <v>70128</v>
          </cell>
          <cell r="M231">
            <v>44742</v>
          </cell>
          <cell r="N231" t="str">
            <v>Bid opened</v>
          </cell>
        </row>
        <row r="232">
          <cell r="J232" t="str">
            <v>NEYVELI TPS-II6</v>
          </cell>
          <cell r="K232">
            <v>210</v>
          </cell>
          <cell r="L232">
            <v>70432</v>
          </cell>
          <cell r="M232">
            <v>44834</v>
          </cell>
          <cell r="N232" t="str">
            <v>Bid opened</v>
          </cell>
        </row>
        <row r="233">
          <cell r="J233" t="str">
            <v>NEYVELI TPS-II7</v>
          </cell>
          <cell r="K233">
            <v>210</v>
          </cell>
          <cell r="L233">
            <v>70664</v>
          </cell>
          <cell r="M233">
            <v>44926</v>
          </cell>
          <cell r="N233" t="str">
            <v>Bid opened</v>
          </cell>
        </row>
        <row r="234">
          <cell r="J234" t="str">
            <v>VALLUR TPP1</v>
          </cell>
          <cell r="K234">
            <v>500</v>
          </cell>
          <cell r="L234">
            <v>40996</v>
          </cell>
          <cell r="M234">
            <v>44561</v>
          </cell>
          <cell r="N234" t="str">
            <v>Bid Awarded</v>
          </cell>
        </row>
        <row r="235">
          <cell r="J235" t="str">
            <v>VALLUR TPP2</v>
          </cell>
          <cell r="K235">
            <v>500</v>
          </cell>
          <cell r="L235">
            <v>41333</v>
          </cell>
          <cell r="M235">
            <v>44561</v>
          </cell>
          <cell r="N235" t="str">
            <v>Bid Awarded</v>
          </cell>
        </row>
        <row r="236">
          <cell r="J236" t="str">
            <v>VALLUR TPP3</v>
          </cell>
          <cell r="K236">
            <v>500</v>
          </cell>
          <cell r="L236">
            <v>41698</v>
          </cell>
          <cell r="M236">
            <v>44561</v>
          </cell>
          <cell r="N236" t="str">
            <v>Bid Awarded</v>
          </cell>
        </row>
        <row r="237">
          <cell r="J237" t="str">
            <v>NTPL TUTICORIN (JV) TPP1</v>
          </cell>
          <cell r="K237">
            <v>500</v>
          </cell>
          <cell r="L237">
            <v>42280</v>
          </cell>
          <cell r="M237">
            <v>44561</v>
          </cell>
          <cell r="N237" t="str">
            <v>Bid Awarded</v>
          </cell>
        </row>
        <row r="238">
          <cell r="J238" t="str">
            <v>NTPL TUTICORIN (JV) TPP2</v>
          </cell>
          <cell r="K238">
            <v>500</v>
          </cell>
          <cell r="L238">
            <v>42254</v>
          </cell>
          <cell r="M238">
            <v>44012</v>
          </cell>
          <cell r="N238" t="str">
            <v>Bid Awarded</v>
          </cell>
        </row>
        <row r="239">
          <cell r="J239" t="str">
            <v>NEYVELI TPS (Z)2</v>
          </cell>
          <cell r="K239">
            <v>250</v>
          </cell>
          <cell r="L239">
            <v>37550</v>
          </cell>
          <cell r="M239">
            <v>44012</v>
          </cell>
          <cell r="N239" t="str">
            <v>Bid Awarded</v>
          </cell>
        </row>
        <row r="240">
          <cell r="J240" t="str">
            <v>NORTH CHENNAI TPS4</v>
          </cell>
          <cell r="K240">
            <v>600</v>
          </cell>
          <cell r="L240">
            <v>41520</v>
          </cell>
          <cell r="M240">
            <v>43830</v>
          </cell>
          <cell r="N240" t="str">
            <v>Requsted for FGD impleme</v>
          </cell>
        </row>
        <row r="241">
          <cell r="J241" t="str">
            <v>NORTH CHENNAI TPS5</v>
          </cell>
          <cell r="K241">
            <v>600</v>
          </cell>
          <cell r="L241">
            <v>41530</v>
          </cell>
          <cell r="M241">
            <v>44104</v>
          </cell>
          <cell r="N241" t="str">
            <v>Requsted for FGD impleme</v>
          </cell>
        </row>
        <row r="242">
          <cell r="J242" t="str">
            <v>NORTH CHENNAI TPS1</v>
          </cell>
          <cell r="K242">
            <v>210</v>
          </cell>
          <cell r="L242">
            <v>71157</v>
          </cell>
          <cell r="M242">
            <v>44926</v>
          </cell>
          <cell r="N242" t="str">
            <v>Feasibility Study completed</v>
          </cell>
        </row>
        <row r="243">
          <cell r="J243" t="str">
            <v>NORTH CHENNAI TPS2</v>
          </cell>
          <cell r="K243">
            <v>210</v>
          </cell>
          <cell r="L243">
            <v>71310</v>
          </cell>
          <cell r="M243">
            <v>44742</v>
          </cell>
          <cell r="N243" t="str">
            <v>Feasibility Study completed</v>
          </cell>
        </row>
        <row r="244">
          <cell r="J244" t="str">
            <v>NORTH CHENNAI TPS3</v>
          </cell>
          <cell r="K244">
            <v>210</v>
          </cell>
          <cell r="L244">
            <v>71644</v>
          </cell>
          <cell r="M244">
            <v>44651</v>
          </cell>
          <cell r="N244" t="str">
            <v>Feasibility Study completed</v>
          </cell>
        </row>
        <row r="245">
          <cell r="J245" t="str">
            <v>RAMAGUNDEM STPS1</v>
          </cell>
          <cell r="K245">
            <v>200</v>
          </cell>
          <cell r="L245">
            <v>67141</v>
          </cell>
          <cell r="M245">
            <v>44651</v>
          </cell>
          <cell r="N245" t="str">
            <v>Bid Awarded</v>
          </cell>
        </row>
        <row r="246">
          <cell r="J246" t="str">
            <v>RAMAGUNDEM STPS2</v>
          </cell>
          <cell r="K246">
            <v>200</v>
          </cell>
          <cell r="L246">
            <v>67356</v>
          </cell>
          <cell r="M246">
            <v>44651</v>
          </cell>
          <cell r="N246" t="str">
            <v>Bid Awarded</v>
          </cell>
        </row>
        <row r="247">
          <cell r="J247" t="str">
            <v>RAMAGUNDEM STPS3</v>
          </cell>
          <cell r="K247">
            <v>200</v>
          </cell>
          <cell r="L247">
            <v>67554</v>
          </cell>
          <cell r="M247">
            <v>44742</v>
          </cell>
          <cell r="N247" t="str">
            <v>Bid Awarded</v>
          </cell>
        </row>
        <row r="248">
          <cell r="J248" t="str">
            <v>RAMAGUNDEM STPS4</v>
          </cell>
          <cell r="K248">
            <v>500</v>
          </cell>
          <cell r="L248">
            <v>68845</v>
          </cell>
          <cell r="M248">
            <v>44742</v>
          </cell>
          <cell r="N248" t="str">
            <v>Bid Awarded</v>
          </cell>
        </row>
        <row r="249">
          <cell r="J249" t="str">
            <v>RAMAGUNDEM STPS5</v>
          </cell>
          <cell r="K249">
            <v>500</v>
          </cell>
          <cell r="L249">
            <v>69118</v>
          </cell>
          <cell r="M249">
            <v>44834</v>
          </cell>
          <cell r="N249" t="str">
            <v>Bid Awarded</v>
          </cell>
        </row>
        <row r="250">
          <cell r="J250" t="str">
            <v>RAMAGUNDEM STPS6</v>
          </cell>
          <cell r="K250">
            <v>500</v>
          </cell>
          <cell r="L250">
            <v>69322</v>
          </cell>
          <cell r="M250">
            <v>44834</v>
          </cell>
          <cell r="N250" t="str">
            <v>Bid Awarded</v>
          </cell>
        </row>
        <row r="251">
          <cell r="J251" t="str">
            <v>RAMAGUNDEM STPS7</v>
          </cell>
          <cell r="K251">
            <v>500</v>
          </cell>
          <cell r="L251">
            <v>38256</v>
          </cell>
          <cell r="M251">
            <v>44926</v>
          </cell>
          <cell r="N251" t="str">
            <v>Bid Awarded</v>
          </cell>
        </row>
        <row r="252">
          <cell r="J252" t="str">
            <v>SINGARENI TPP1</v>
          </cell>
          <cell r="K252">
            <v>600</v>
          </cell>
          <cell r="L252">
            <v>42638</v>
          </cell>
          <cell r="M252">
            <v>43830</v>
          </cell>
          <cell r="N252" t="str">
            <v>NIT issued</v>
          </cell>
        </row>
        <row r="253">
          <cell r="J253" t="str">
            <v>SINGARENI TPP2</v>
          </cell>
          <cell r="K253">
            <v>600</v>
          </cell>
          <cell r="L253">
            <v>42412</v>
          </cell>
          <cell r="M253">
            <v>43738</v>
          </cell>
          <cell r="N253" t="str">
            <v>NIT issued</v>
          </cell>
        </row>
        <row r="254">
          <cell r="J254" t="str">
            <v>KAKATIYA TPS1</v>
          </cell>
          <cell r="K254">
            <v>500</v>
          </cell>
          <cell r="L254">
            <v>40325</v>
          </cell>
          <cell r="M254">
            <v>43921</v>
          </cell>
          <cell r="N254" t="str">
            <v>Feasibility Study completed</v>
          </cell>
        </row>
        <row r="255">
          <cell r="J255" t="str">
            <v>KAKATIYA TPS2</v>
          </cell>
          <cell r="K255">
            <v>600</v>
          </cell>
          <cell r="L255">
            <v>42369</v>
          </cell>
          <cell r="M255">
            <v>44012</v>
          </cell>
          <cell r="N255" t="str">
            <v>Feasibility Study completed</v>
          </cell>
        </row>
        <row r="256">
          <cell r="J256" t="str">
            <v>KOTHAGUDEM NEW TPS11</v>
          </cell>
          <cell r="K256">
            <v>500</v>
          </cell>
          <cell r="L256">
            <v>40720</v>
          </cell>
          <cell r="M256">
            <v>43738</v>
          </cell>
          <cell r="N256" t="str">
            <v>Feasibility Study completed</v>
          </cell>
        </row>
        <row r="257">
          <cell r="J257" t="str">
            <v>BALCO TPS1</v>
          </cell>
          <cell r="K257">
            <v>300</v>
          </cell>
          <cell r="L257">
            <v>42100</v>
          </cell>
          <cell r="M257">
            <v>44469</v>
          </cell>
          <cell r="N257" t="str">
            <v>Tender specification made</v>
          </cell>
        </row>
        <row r="258">
          <cell r="J258" t="str">
            <v>BALCO TPS2</v>
          </cell>
          <cell r="K258">
            <v>300</v>
          </cell>
          <cell r="L258">
            <v>42453</v>
          </cell>
          <cell r="M258">
            <v>44377</v>
          </cell>
          <cell r="N258" t="str">
            <v>Tender specification made</v>
          </cell>
        </row>
        <row r="259">
          <cell r="J259" t="str">
            <v>MARWA TPS1</v>
          </cell>
          <cell r="K259">
            <v>500</v>
          </cell>
          <cell r="L259">
            <v>41728</v>
          </cell>
          <cell r="M259">
            <v>44377</v>
          </cell>
          <cell r="N259" t="str">
            <v>NIT issued</v>
          </cell>
        </row>
        <row r="260">
          <cell r="J260" t="str">
            <v>MARWA TPS2</v>
          </cell>
          <cell r="K260">
            <v>500</v>
          </cell>
          <cell r="L260">
            <v>42566</v>
          </cell>
          <cell r="M260">
            <v>44286</v>
          </cell>
          <cell r="N260" t="str">
            <v>NIT issued</v>
          </cell>
        </row>
        <row r="261">
          <cell r="J261" t="str">
            <v>DSPM TPS1</v>
          </cell>
          <cell r="K261">
            <v>250</v>
          </cell>
          <cell r="L261">
            <v>39171</v>
          </cell>
          <cell r="M261">
            <v>44377</v>
          </cell>
          <cell r="N261" t="str">
            <v>NIT issued</v>
          </cell>
        </row>
        <row r="262">
          <cell r="J262" t="str">
            <v>DSPM TPS2</v>
          </cell>
          <cell r="K262">
            <v>250</v>
          </cell>
          <cell r="L262">
            <v>39398</v>
          </cell>
          <cell r="M262">
            <v>44469</v>
          </cell>
          <cell r="N262" t="str">
            <v>NIT issued</v>
          </cell>
        </row>
        <row r="263">
          <cell r="J263" t="str">
            <v>KORBA-WEST TPS5</v>
          </cell>
          <cell r="K263">
            <v>500</v>
          </cell>
          <cell r="L263">
            <v>41355</v>
          </cell>
          <cell r="M263">
            <v>44469</v>
          </cell>
          <cell r="N263" t="str">
            <v>NIT issued</v>
          </cell>
        </row>
        <row r="264">
          <cell r="J264" t="str">
            <v>BARADARHA TPS1</v>
          </cell>
          <cell r="K264">
            <v>600</v>
          </cell>
          <cell r="L264">
            <v>41693</v>
          </cell>
          <cell r="M264">
            <v>44377</v>
          </cell>
          <cell r="N264" t="str">
            <v>Bid Awarded</v>
          </cell>
        </row>
        <row r="265">
          <cell r="J265" t="str">
            <v>BARADARHA TPS2</v>
          </cell>
          <cell r="K265">
            <v>600</v>
          </cell>
          <cell r="L265">
            <v>42087</v>
          </cell>
          <cell r="M265">
            <v>44104</v>
          </cell>
          <cell r="N265" t="str">
            <v>Bid Awarded</v>
          </cell>
        </row>
        <row r="266">
          <cell r="J266" t="str">
            <v>RAIKHEDA TPP1</v>
          </cell>
          <cell r="K266">
            <v>685</v>
          </cell>
          <cell r="L266">
            <v>42059</v>
          </cell>
          <cell r="M266">
            <v>44012</v>
          </cell>
          <cell r="N266" t="str">
            <v>GCEL is under stressed ass</v>
          </cell>
        </row>
        <row r="267">
          <cell r="J267" t="str">
            <v>RAIKHEDA TPP2</v>
          </cell>
          <cell r="K267">
            <v>685</v>
          </cell>
          <cell r="L267">
            <v>42457</v>
          </cell>
          <cell r="M267">
            <v>44104</v>
          </cell>
          <cell r="N267" t="str">
            <v>GCEL is under stressed ass</v>
          </cell>
        </row>
        <row r="268">
          <cell r="J268" t="str">
            <v>AVANTHA BHANDAR1</v>
          </cell>
          <cell r="K268">
            <v>600</v>
          </cell>
          <cell r="L268">
            <v>41729</v>
          </cell>
          <cell r="M268">
            <v>44651</v>
          </cell>
          <cell r="N268" t="str">
            <v>Tender specification made</v>
          </cell>
        </row>
        <row r="269">
          <cell r="J269" t="str">
            <v>AKALTARA TPS1</v>
          </cell>
          <cell r="K269">
            <v>600</v>
          </cell>
          <cell r="L269">
            <v>41499</v>
          </cell>
          <cell r="M269">
            <v>44561</v>
          </cell>
          <cell r="N269" t="str">
            <v>Feasiblity Study Completed</v>
          </cell>
        </row>
        <row r="270">
          <cell r="J270" t="str">
            <v>AKALTARA TPS2</v>
          </cell>
          <cell r="K270">
            <v>600</v>
          </cell>
          <cell r="L270">
            <v>41873</v>
          </cell>
          <cell r="M270">
            <v>44561</v>
          </cell>
          <cell r="N270" t="str">
            <v>Feasiblity Study Completed</v>
          </cell>
        </row>
        <row r="271">
          <cell r="J271" t="str">
            <v>PATHADI TPS1</v>
          </cell>
          <cell r="K271">
            <v>300</v>
          </cell>
          <cell r="L271">
            <v>39909</v>
          </cell>
          <cell r="M271">
            <v>44286</v>
          </cell>
          <cell r="N271" t="str">
            <v>Tender specification made</v>
          </cell>
        </row>
        <row r="272">
          <cell r="J272" t="str">
            <v>PATHADI TPS2</v>
          </cell>
          <cell r="K272">
            <v>300</v>
          </cell>
          <cell r="L272">
            <v>40262</v>
          </cell>
          <cell r="M272">
            <v>44286</v>
          </cell>
          <cell r="N272" t="str">
            <v>Tender specification made</v>
          </cell>
        </row>
        <row r="273">
          <cell r="J273" t="str">
            <v>OP JINDAL TPS1</v>
          </cell>
          <cell r="K273">
            <v>250</v>
          </cell>
          <cell r="L273">
            <v>39122</v>
          </cell>
          <cell r="M273">
            <v>44651</v>
          </cell>
          <cell r="N273" t="str">
            <v>NIT issued</v>
          </cell>
        </row>
        <row r="274">
          <cell r="J274" t="str">
            <v>OP JINDAL TPS2</v>
          </cell>
          <cell r="K274">
            <v>250</v>
          </cell>
          <cell r="L274">
            <v>39723</v>
          </cell>
          <cell r="M274">
            <v>44651</v>
          </cell>
          <cell r="N274" t="str">
            <v>NIT issued</v>
          </cell>
        </row>
        <row r="275">
          <cell r="J275" t="str">
            <v>OP JINDAL TPS3</v>
          </cell>
          <cell r="K275">
            <v>250</v>
          </cell>
          <cell r="L275">
            <v>39602</v>
          </cell>
          <cell r="M275">
            <v>44742</v>
          </cell>
          <cell r="N275" t="str">
            <v>NIT issued</v>
          </cell>
        </row>
        <row r="276">
          <cell r="J276" t="str">
            <v>OP JINDAL TPS4</v>
          </cell>
          <cell r="K276">
            <v>250</v>
          </cell>
          <cell r="L276">
            <v>39616</v>
          </cell>
          <cell r="M276">
            <v>44742</v>
          </cell>
          <cell r="N276" t="str">
            <v>NIT issued</v>
          </cell>
        </row>
        <row r="277">
          <cell r="J277" t="str">
            <v>OP JINDAL TPS21</v>
          </cell>
          <cell r="K277">
            <v>600</v>
          </cell>
          <cell r="L277">
            <v>41915</v>
          </cell>
          <cell r="M277">
            <v>44286</v>
          </cell>
          <cell r="N277" t="str">
            <v>Bid opened</v>
          </cell>
        </row>
        <row r="278">
          <cell r="J278" t="str">
            <v>OP JINDAL TPS22</v>
          </cell>
          <cell r="K278">
            <v>600</v>
          </cell>
          <cell r="L278">
            <v>41728</v>
          </cell>
          <cell r="M278">
            <v>44561</v>
          </cell>
          <cell r="N278" t="str">
            <v>Bid opened</v>
          </cell>
        </row>
        <row r="279">
          <cell r="J279" t="str">
            <v>OP JINDAL TPS23</v>
          </cell>
          <cell r="K279">
            <v>600</v>
          </cell>
          <cell r="L279">
            <v>42186</v>
          </cell>
          <cell r="M279">
            <v>44651</v>
          </cell>
          <cell r="N279" t="str">
            <v>Bid opened</v>
          </cell>
        </row>
        <row r="280">
          <cell r="J280" t="str">
            <v>OP JINDAL TPS24</v>
          </cell>
          <cell r="K280">
            <v>600</v>
          </cell>
          <cell r="L280">
            <v>42091</v>
          </cell>
          <cell r="M280">
            <v>44742</v>
          </cell>
          <cell r="N280" t="str">
            <v>Bid opened</v>
          </cell>
        </row>
        <row r="281">
          <cell r="J281" t="str">
            <v>KORBA STPS1</v>
          </cell>
          <cell r="K281">
            <v>200</v>
          </cell>
          <cell r="L281">
            <v>66900</v>
          </cell>
          <cell r="M281">
            <v>44926</v>
          </cell>
          <cell r="N281" t="str">
            <v>Bid Awarded</v>
          </cell>
        </row>
        <row r="282">
          <cell r="J282" t="str">
            <v>KORBA STPS2</v>
          </cell>
          <cell r="K282">
            <v>200</v>
          </cell>
          <cell r="L282">
            <v>67145</v>
          </cell>
          <cell r="M282">
            <v>44926</v>
          </cell>
          <cell r="N282" t="str">
            <v>Bid Awarded</v>
          </cell>
        </row>
        <row r="283">
          <cell r="J283" t="str">
            <v>KORBA STPS3</v>
          </cell>
          <cell r="K283">
            <v>200</v>
          </cell>
          <cell r="L283">
            <v>67283</v>
          </cell>
          <cell r="M283">
            <v>44926</v>
          </cell>
          <cell r="N283" t="str">
            <v>Bid Awarded</v>
          </cell>
        </row>
        <row r="284">
          <cell r="J284" t="str">
            <v>KORBA STPS4</v>
          </cell>
          <cell r="K284">
            <v>500</v>
          </cell>
          <cell r="L284">
            <v>68453</v>
          </cell>
          <cell r="M284">
            <v>44561</v>
          </cell>
          <cell r="N284" t="str">
            <v>Bid Awarded</v>
          </cell>
        </row>
        <row r="285">
          <cell r="J285" t="str">
            <v>KORBA STPS5</v>
          </cell>
          <cell r="K285">
            <v>500</v>
          </cell>
          <cell r="L285">
            <v>68752</v>
          </cell>
          <cell r="M285">
            <v>44561</v>
          </cell>
          <cell r="N285" t="str">
            <v>Bid Awarded</v>
          </cell>
        </row>
        <row r="286">
          <cell r="J286" t="str">
            <v>KORBA STPS6</v>
          </cell>
          <cell r="K286">
            <v>500</v>
          </cell>
          <cell r="L286">
            <v>69090</v>
          </cell>
          <cell r="M286">
            <v>44561</v>
          </cell>
          <cell r="N286" t="str">
            <v>Bid Awarded</v>
          </cell>
        </row>
        <row r="287">
          <cell r="J287" t="str">
            <v>KORBA STPS7</v>
          </cell>
          <cell r="K287">
            <v>500</v>
          </cell>
          <cell r="L287">
            <v>40507</v>
          </cell>
          <cell r="M287">
            <v>44561</v>
          </cell>
          <cell r="N287" t="str">
            <v>Bid Awarded</v>
          </cell>
        </row>
        <row r="288">
          <cell r="J288" t="str">
            <v>SIPAT STPS4</v>
          </cell>
          <cell r="K288">
            <v>500</v>
          </cell>
          <cell r="L288">
            <v>39619</v>
          </cell>
          <cell r="M288">
            <v>44561</v>
          </cell>
          <cell r="N288" t="str">
            <v>NIT issued</v>
          </cell>
        </row>
        <row r="289">
          <cell r="J289" t="str">
            <v>SIPAT STPS5</v>
          </cell>
          <cell r="K289">
            <v>500</v>
          </cell>
          <cell r="L289">
            <v>39814</v>
          </cell>
          <cell r="M289">
            <v>44561</v>
          </cell>
          <cell r="N289" t="str">
            <v>NIT issued</v>
          </cell>
        </row>
        <row r="290">
          <cell r="J290" t="str">
            <v>SIPAT STPS1</v>
          </cell>
          <cell r="K290">
            <v>660</v>
          </cell>
          <cell r="L290">
            <v>40553</v>
          </cell>
          <cell r="M290">
            <v>44926</v>
          </cell>
          <cell r="N290" t="str">
            <v>Bid Awarded</v>
          </cell>
        </row>
        <row r="291">
          <cell r="J291" t="str">
            <v>SIPAT STPS2</v>
          </cell>
          <cell r="K291">
            <v>660</v>
          </cell>
          <cell r="L291">
            <v>41054</v>
          </cell>
          <cell r="M291">
            <v>44926</v>
          </cell>
          <cell r="N291" t="str">
            <v>Bid Awarded</v>
          </cell>
        </row>
        <row r="292">
          <cell r="J292" t="str">
            <v>SIPAT STPS3</v>
          </cell>
          <cell r="K292">
            <v>660</v>
          </cell>
          <cell r="L292">
            <v>41122</v>
          </cell>
          <cell r="M292">
            <v>44561</v>
          </cell>
          <cell r="N292" t="str">
            <v>Bid Awarded</v>
          </cell>
        </row>
        <row r="293">
          <cell r="J293" t="str">
            <v>BHILAI TPS1</v>
          </cell>
          <cell r="K293">
            <v>250</v>
          </cell>
          <cell r="L293">
            <v>39558</v>
          </cell>
          <cell r="M293">
            <v>44926</v>
          </cell>
          <cell r="N293" t="str">
            <v>Bid Awarded</v>
          </cell>
        </row>
        <row r="294">
          <cell r="J294" t="str">
            <v>BHILAI TPS2</v>
          </cell>
          <cell r="K294">
            <v>250</v>
          </cell>
          <cell r="L294">
            <v>40154</v>
          </cell>
          <cell r="M294">
            <v>44926</v>
          </cell>
          <cell r="N294" t="str">
            <v>Bid Awarded</v>
          </cell>
        </row>
        <row r="295">
          <cell r="J295" t="str">
            <v>UCHPINDA TPP1</v>
          </cell>
          <cell r="K295">
            <v>360</v>
          </cell>
          <cell r="L295">
            <v>42305</v>
          </cell>
          <cell r="M295">
            <v>44651</v>
          </cell>
          <cell r="N295" t="str">
            <v>Feasibility Study completed</v>
          </cell>
        </row>
        <row r="296">
          <cell r="J296" t="str">
            <v>UCHPINDA TPP2</v>
          </cell>
          <cell r="K296">
            <v>360</v>
          </cell>
          <cell r="L296">
            <v>42397</v>
          </cell>
          <cell r="M296">
            <v>44561</v>
          </cell>
          <cell r="N296" t="str">
            <v>Feasibility Study completed</v>
          </cell>
        </row>
        <row r="297">
          <cell r="J297" t="str">
            <v>UCHPINDA TPP3</v>
          </cell>
          <cell r="K297">
            <v>360</v>
          </cell>
          <cell r="L297">
            <v>43078</v>
          </cell>
          <cell r="M297">
            <v>44926</v>
          </cell>
          <cell r="N297" t="str">
            <v>Feasibility Study completed</v>
          </cell>
        </row>
        <row r="298">
          <cell r="J298" t="str">
            <v>BINJKOTE TPP1</v>
          </cell>
          <cell r="K298">
            <v>300</v>
          </cell>
          <cell r="L298">
            <v>42850</v>
          </cell>
          <cell r="M298">
            <v>44104</v>
          </cell>
          <cell r="N298" t="str">
            <v>Bid opened</v>
          </cell>
        </row>
        <row r="299">
          <cell r="J299" t="str">
            <v>NAWAPARA TPP2</v>
          </cell>
          <cell r="K299">
            <v>300</v>
          </cell>
          <cell r="L299">
            <v>42843</v>
          </cell>
          <cell r="M299">
            <v>44104</v>
          </cell>
          <cell r="N299" t="str">
            <v>Feasibility study completed</v>
          </cell>
        </row>
        <row r="300">
          <cell r="J300" t="str">
            <v>MUNDRA TPS1</v>
          </cell>
          <cell r="K300">
            <v>330</v>
          </cell>
          <cell r="L300">
            <v>39911</v>
          </cell>
          <cell r="M300">
            <v>44926</v>
          </cell>
          <cell r="N300" t="str">
            <v>NIT issued</v>
          </cell>
        </row>
        <row r="301">
          <cell r="J301" t="str">
            <v>MUNDRA TPS2</v>
          </cell>
          <cell r="K301">
            <v>330</v>
          </cell>
          <cell r="L301">
            <v>40254</v>
          </cell>
          <cell r="M301">
            <v>44926</v>
          </cell>
          <cell r="N301" t="str">
            <v>NIT issued</v>
          </cell>
        </row>
        <row r="302">
          <cell r="J302" t="str">
            <v>MUNDRA TPS3</v>
          </cell>
          <cell r="K302">
            <v>330</v>
          </cell>
          <cell r="L302">
            <v>40217</v>
          </cell>
          <cell r="M302">
            <v>44834</v>
          </cell>
          <cell r="N302" t="str">
            <v>NIT issued</v>
          </cell>
        </row>
        <row r="303">
          <cell r="J303" t="str">
            <v>MUNDRA TPS4</v>
          </cell>
          <cell r="K303">
            <v>330</v>
          </cell>
          <cell r="L303">
            <v>40532</v>
          </cell>
          <cell r="M303">
            <v>44834</v>
          </cell>
          <cell r="N303" t="str">
            <v>NIT issued</v>
          </cell>
        </row>
        <row r="304">
          <cell r="J304" t="str">
            <v>MUNDRA TPS5</v>
          </cell>
          <cell r="K304">
            <v>660</v>
          </cell>
          <cell r="L304">
            <v>40538</v>
          </cell>
          <cell r="M304">
            <v>44742</v>
          </cell>
          <cell r="N304" t="str">
            <v>NIT issued</v>
          </cell>
        </row>
        <row r="305">
          <cell r="J305" t="str">
            <v>MUNDRA TPS6</v>
          </cell>
          <cell r="K305">
            <v>660</v>
          </cell>
          <cell r="L305">
            <v>40744</v>
          </cell>
          <cell r="M305">
            <v>44651</v>
          </cell>
          <cell r="N305" t="str">
            <v>NIT issued</v>
          </cell>
        </row>
        <row r="306">
          <cell r="J306" t="str">
            <v>SALAYA TPP1</v>
          </cell>
          <cell r="K306">
            <v>600</v>
          </cell>
          <cell r="L306">
            <v>41000</v>
          </cell>
          <cell r="M306">
            <v>44377</v>
          </cell>
          <cell r="N306" t="str">
            <v>Tender specification made</v>
          </cell>
        </row>
        <row r="307">
          <cell r="J307" t="str">
            <v>SALAYA TPP2</v>
          </cell>
          <cell r="K307">
            <v>600</v>
          </cell>
          <cell r="L307">
            <v>41075</v>
          </cell>
          <cell r="M307">
            <v>44286</v>
          </cell>
          <cell r="N307" t="str">
            <v>Tender specification made</v>
          </cell>
        </row>
        <row r="308">
          <cell r="J308" t="str">
            <v>GANDHI NAGAR TPS3</v>
          </cell>
          <cell r="K308">
            <v>210</v>
          </cell>
          <cell r="L308">
            <v>69477</v>
          </cell>
          <cell r="M308">
            <v>44561</v>
          </cell>
          <cell r="N308" t="str">
            <v>Feasibility Study completed</v>
          </cell>
        </row>
        <row r="309">
          <cell r="J309" t="str">
            <v>GANDHI NAGAR TPS4</v>
          </cell>
          <cell r="K309">
            <v>210</v>
          </cell>
          <cell r="L309">
            <v>69964</v>
          </cell>
          <cell r="M309">
            <v>44561</v>
          </cell>
          <cell r="N309" t="str">
            <v>Feasibility Study completed</v>
          </cell>
        </row>
        <row r="310">
          <cell r="J310" t="str">
            <v>GANDHI NAGAR TPS5</v>
          </cell>
          <cell r="K310">
            <v>210</v>
          </cell>
          <cell r="L310">
            <v>72396</v>
          </cell>
          <cell r="M310">
            <v>44561</v>
          </cell>
          <cell r="N310" t="str">
            <v>Feasibility Study completed</v>
          </cell>
        </row>
        <row r="311">
          <cell r="J311" t="str">
            <v>KUTCH LIG. TPS1</v>
          </cell>
          <cell r="K311">
            <v>70</v>
          </cell>
          <cell r="L311">
            <v>69486</v>
          </cell>
          <cell r="M311">
            <v>44561</v>
          </cell>
          <cell r="N311" t="str">
            <v>LoI Placed</v>
          </cell>
        </row>
        <row r="312">
          <cell r="J312" t="str">
            <v>KUTCH LIG. TPS2</v>
          </cell>
          <cell r="K312">
            <v>70</v>
          </cell>
          <cell r="L312">
            <v>69847</v>
          </cell>
          <cell r="M312">
            <v>44561</v>
          </cell>
          <cell r="N312" t="str">
            <v>LoI Placed</v>
          </cell>
        </row>
        <row r="313">
          <cell r="J313" t="str">
            <v>KUTCH LIG. TPS3</v>
          </cell>
          <cell r="K313">
            <v>75</v>
          </cell>
          <cell r="L313">
            <v>72045</v>
          </cell>
          <cell r="M313">
            <v>44561</v>
          </cell>
          <cell r="N313" t="str">
            <v>Feasibility Study completed</v>
          </cell>
        </row>
        <row r="314">
          <cell r="J314" t="str">
            <v>SIKKA REP. TPS3</v>
          </cell>
          <cell r="K314">
            <v>250</v>
          </cell>
          <cell r="L314">
            <v>42092</v>
          </cell>
          <cell r="M314">
            <v>44592</v>
          </cell>
          <cell r="N314" t="str">
            <v>Bid opened</v>
          </cell>
        </row>
        <row r="315">
          <cell r="J315" t="str">
            <v>SIKKA REP. TPS4</v>
          </cell>
          <cell r="K315">
            <v>250</v>
          </cell>
          <cell r="L315">
            <v>42272</v>
          </cell>
          <cell r="M315">
            <v>44592</v>
          </cell>
          <cell r="N315" t="str">
            <v>Bid opened</v>
          </cell>
        </row>
        <row r="316">
          <cell r="J316" t="str">
            <v>UKAI TPS3</v>
          </cell>
          <cell r="K316">
            <v>200</v>
          </cell>
          <cell r="L316">
            <v>65401</v>
          </cell>
          <cell r="M316">
            <v>44561</v>
          </cell>
          <cell r="N316" t="str">
            <v>Feasibility Study completed</v>
          </cell>
        </row>
        <row r="317">
          <cell r="J317" t="str">
            <v>UKAI TPS4</v>
          </cell>
          <cell r="K317">
            <v>200</v>
          </cell>
          <cell r="L317">
            <v>65467</v>
          </cell>
          <cell r="M317">
            <v>44561</v>
          </cell>
          <cell r="N317" t="str">
            <v>Feasibility Study completed</v>
          </cell>
        </row>
        <row r="318">
          <cell r="J318" t="str">
            <v>UKAI TPS5</v>
          </cell>
          <cell r="K318">
            <v>210</v>
          </cell>
          <cell r="L318">
            <v>67602</v>
          </cell>
          <cell r="M318">
            <v>44561</v>
          </cell>
          <cell r="N318" t="str">
            <v>Feasibility Study completed</v>
          </cell>
        </row>
        <row r="319">
          <cell r="J319" t="str">
            <v>UKAI TPS6</v>
          </cell>
          <cell r="K319">
            <v>500</v>
          </cell>
          <cell r="L319">
            <v>41397</v>
          </cell>
          <cell r="M319">
            <v>44651</v>
          </cell>
          <cell r="N319" t="str">
            <v>NIT issued</v>
          </cell>
        </row>
        <row r="320">
          <cell r="J320" t="str">
            <v>WANAKBORI TPS1</v>
          </cell>
          <cell r="K320">
            <v>210</v>
          </cell>
          <cell r="L320">
            <v>66558</v>
          </cell>
          <cell r="M320">
            <v>44561</v>
          </cell>
          <cell r="N320" t="str">
            <v>Feasibility Study completed</v>
          </cell>
        </row>
        <row r="321">
          <cell r="J321" t="str">
            <v>WANAKBORI TPS2</v>
          </cell>
          <cell r="K321">
            <v>210</v>
          </cell>
          <cell r="L321">
            <v>66856</v>
          </cell>
          <cell r="M321">
            <v>44561</v>
          </cell>
          <cell r="N321" t="str">
            <v>Feasibility Study completed</v>
          </cell>
        </row>
        <row r="322">
          <cell r="J322" t="str">
            <v>WANAKBORI TPS3</v>
          </cell>
          <cell r="K322">
            <v>210</v>
          </cell>
          <cell r="L322">
            <v>67281</v>
          </cell>
          <cell r="M322">
            <v>44561</v>
          </cell>
          <cell r="N322" t="str">
            <v>Feasibility Study completed</v>
          </cell>
        </row>
        <row r="323">
          <cell r="J323" t="str">
            <v>WANAKBORI TPS4</v>
          </cell>
          <cell r="K323">
            <v>210</v>
          </cell>
          <cell r="L323">
            <v>68183</v>
          </cell>
          <cell r="M323">
            <v>44561</v>
          </cell>
          <cell r="N323" t="str">
            <v>Feasibility Study completed</v>
          </cell>
        </row>
        <row r="324">
          <cell r="J324" t="str">
            <v>WANAKBORI TPS5</v>
          </cell>
          <cell r="K324">
            <v>210</v>
          </cell>
          <cell r="L324">
            <v>68203</v>
          </cell>
          <cell r="M324">
            <v>44561</v>
          </cell>
          <cell r="N324" t="str">
            <v>Feasibility Study completed</v>
          </cell>
        </row>
        <row r="325">
          <cell r="J325" t="str">
            <v>WANAKBORI TPS6</v>
          </cell>
          <cell r="K325">
            <v>210</v>
          </cell>
          <cell r="L325">
            <v>68624</v>
          </cell>
          <cell r="M325">
            <v>44561</v>
          </cell>
          <cell r="N325" t="str">
            <v>Feasibility Study completed</v>
          </cell>
        </row>
        <row r="326">
          <cell r="J326" t="str">
            <v>WANAKBORI TPS7</v>
          </cell>
          <cell r="K326">
            <v>210</v>
          </cell>
          <cell r="L326">
            <v>72685</v>
          </cell>
          <cell r="M326">
            <v>44561</v>
          </cell>
          <cell r="N326" t="str">
            <v>Feasibility Study completed</v>
          </cell>
        </row>
        <row r="327">
          <cell r="J327" t="str">
            <v>MUNDRA UMTPP1</v>
          </cell>
          <cell r="K327">
            <v>800</v>
          </cell>
          <cell r="L327">
            <v>41093</v>
          </cell>
          <cell r="M327">
            <v>44012</v>
          </cell>
          <cell r="N327" t="str">
            <v>Bid Awarded</v>
          </cell>
        </row>
        <row r="328">
          <cell r="J328" t="str">
            <v>MUNDRA UMTPP2</v>
          </cell>
          <cell r="K328">
            <v>800</v>
          </cell>
          <cell r="L328">
            <v>41120</v>
          </cell>
          <cell r="M328">
            <v>44286</v>
          </cell>
          <cell r="N328" t="str">
            <v>Bid Awarded</v>
          </cell>
        </row>
        <row r="329">
          <cell r="J329" t="str">
            <v>MUNDRA UMTPP3</v>
          </cell>
          <cell r="K329">
            <v>800</v>
          </cell>
          <cell r="L329">
            <v>41209</v>
          </cell>
          <cell r="M329">
            <v>44377</v>
          </cell>
          <cell r="N329" t="str">
            <v>Bid Awarded</v>
          </cell>
        </row>
        <row r="330">
          <cell r="J330" t="str">
            <v>MUNDRA UMTPP4</v>
          </cell>
          <cell r="K330">
            <v>800</v>
          </cell>
          <cell r="L330">
            <v>41295</v>
          </cell>
          <cell r="M330">
            <v>44651</v>
          </cell>
          <cell r="N330" t="str">
            <v>Bid Awarded</v>
          </cell>
        </row>
        <row r="331">
          <cell r="J331" t="str">
            <v>MUNDRA UMTPP5</v>
          </cell>
          <cell r="K331">
            <v>800</v>
          </cell>
          <cell r="L331">
            <v>41355</v>
          </cell>
          <cell r="M331">
            <v>44651</v>
          </cell>
          <cell r="N331" t="str">
            <v>Bid Awarded</v>
          </cell>
        </row>
        <row r="332">
          <cell r="J332" t="str">
            <v>SABARMATI (D-F STATIONS) TPP1</v>
          </cell>
          <cell r="K332">
            <v>120</v>
          </cell>
          <cell r="L332">
            <v>65359</v>
          </cell>
          <cell r="M332">
            <v>44926</v>
          </cell>
          <cell r="N332" t="str">
            <v>NIT issued</v>
          </cell>
        </row>
        <row r="333">
          <cell r="J333" t="str">
            <v>SABARMATI (D-F STATIONS) TPP2</v>
          </cell>
          <cell r="K333">
            <v>121</v>
          </cell>
          <cell r="L333">
            <v>67572</v>
          </cell>
          <cell r="M333">
            <v>44926</v>
          </cell>
          <cell r="N333" t="str">
            <v>NIT issued</v>
          </cell>
        </row>
        <row r="334">
          <cell r="J334" t="str">
            <v>SABARMATI (D-F STATIONS) TPP3</v>
          </cell>
          <cell r="K334">
            <v>121</v>
          </cell>
          <cell r="L334">
            <v>68939</v>
          </cell>
          <cell r="M334">
            <v>44926</v>
          </cell>
          <cell r="N334" t="str">
            <v>NIT issued</v>
          </cell>
        </row>
        <row r="335">
          <cell r="J335" t="str">
            <v>MAHAN TPP1</v>
          </cell>
          <cell r="K335">
            <v>600</v>
          </cell>
          <cell r="L335">
            <v>41329</v>
          </cell>
          <cell r="M335">
            <v>44196</v>
          </cell>
          <cell r="N335" t="str">
            <v>Feasibility study under proc</v>
          </cell>
        </row>
        <row r="336">
          <cell r="J336" t="str">
            <v>NIGRI TPP1</v>
          </cell>
          <cell r="K336">
            <v>660</v>
          </cell>
          <cell r="L336">
            <v>41880</v>
          </cell>
          <cell r="M336">
            <v>44012</v>
          </cell>
          <cell r="N336" t="str">
            <v>NIT issued</v>
          </cell>
        </row>
        <row r="337">
          <cell r="J337" t="str">
            <v>NIGRI TPP2</v>
          </cell>
          <cell r="K337">
            <v>660</v>
          </cell>
          <cell r="L337">
            <v>42062</v>
          </cell>
          <cell r="M337">
            <v>44104</v>
          </cell>
          <cell r="N337" t="str">
            <v>NIT issued</v>
          </cell>
        </row>
        <row r="338">
          <cell r="J338" t="str">
            <v>SEIONI TPP1</v>
          </cell>
          <cell r="K338">
            <v>600</v>
          </cell>
          <cell r="L338">
            <v>42451</v>
          </cell>
          <cell r="M338">
            <v>43921</v>
          </cell>
          <cell r="N338" t="str">
            <v>Feasibility Study completed</v>
          </cell>
        </row>
        <row r="339">
          <cell r="J339" t="str">
            <v>ANUPPUR TPP1</v>
          </cell>
          <cell r="K339">
            <v>600</v>
          </cell>
          <cell r="L339">
            <v>42114</v>
          </cell>
          <cell r="M339">
            <v>44651</v>
          </cell>
          <cell r="N339" t="str">
            <v>Bid opened</v>
          </cell>
        </row>
        <row r="340">
          <cell r="J340" t="str">
            <v>ANUPPUR TPP2</v>
          </cell>
          <cell r="K340">
            <v>600</v>
          </cell>
          <cell r="L340">
            <v>42459</v>
          </cell>
          <cell r="M340">
            <v>44742</v>
          </cell>
          <cell r="N340" t="str">
            <v>Bid opened</v>
          </cell>
        </row>
        <row r="341">
          <cell r="J341" t="str">
            <v>AMARKANTAK TPS5</v>
          </cell>
          <cell r="K341">
            <v>210</v>
          </cell>
          <cell r="L341">
            <v>39614</v>
          </cell>
          <cell r="M341">
            <v>44286</v>
          </cell>
          <cell r="N341" t="str">
            <v>Feasbility Study completed</v>
          </cell>
        </row>
        <row r="342">
          <cell r="J342" t="str">
            <v>SANJAY GANDHI TPS1</v>
          </cell>
          <cell r="K342">
            <v>210</v>
          </cell>
          <cell r="L342">
            <v>70579</v>
          </cell>
          <cell r="M342">
            <v>44286</v>
          </cell>
          <cell r="N342" t="str">
            <v>Feasbility Study completed</v>
          </cell>
        </row>
        <row r="343">
          <cell r="J343" t="str">
            <v>SANJAY GANDHI TPS2</v>
          </cell>
          <cell r="K343">
            <v>210</v>
          </cell>
          <cell r="L343">
            <v>70580</v>
          </cell>
          <cell r="M343">
            <v>44286</v>
          </cell>
          <cell r="N343" t="str">
            <v>Feasbility Study completed</v>
          </cell>
        </row>
        <row r="344">
          <cell r="J344" t="str">
            <v>SANJAY GANDHI TPS3</v>
          </cell>
          <cell r="K344">
            <v>210</v>
          </cell>
          <cell r="L344">
            <v>72744</v>
          </cell>
          <cell r="M344">
            <v>44377</v>
          </cell>
          <cell r="N344" t="str">
            <v>Feasbility Study completed</v>
          </cell>
        </row>
        <row r="345">
          <cell r="J345" t="str">
            <v>SANJAY GANDHI TPS4</v>
          </cell>
          <cell r="K345">
            <v>210</v>
          </cell>
          <cell r="L345">
            <v>73012</v>
          </cell>
          <cell r="M345">
            <v>44377</v>
          </cell>
          <cell r="N345" t="str">
            <v>Feasbility Study completed</v>
          </cell>
        </row>
        <row r="346">
          <cell r="J346" t="str">
            <v>SANJAY GANDHI TPS5</v>
          </cell>
          <cell r="K346">
            <v>500</v>
          </cell>
          <cell r="L346">
            <v>39251</v>
          </cell>
          <cell r="M346">
            <v>44286</v>
          </cell>
          <cell r="N346" t="str">
            <v>Feasbility Study completed</v>
          </cell>
        </row>
        <row r="347">
          <cell r="J347" t="str">
            <v>SATPURA TPS10</v>
          </cell>
          <cell r="K347">
            <v>250</v>
          </cell>
          <cell r="L347">
            <v>41355</v>
          </cell>
          <cell r="M347">
            <v>44286</v>
          </cell>
          <cell r="N347" t="str">
            <v>Feasbility Study completed</v>
          </cell>
        </row>
        <row r="348">
          <cell r="J348" t="str">
            <v>SATPURA TPS11</v>
          </cell>
          <cell r="K348">
            <v>250</v>
          </cell>
          <cell r="L348">
            <v>41633</v>
          </cell>
          <cell r="M348">
            <v>44286</v>
          </cell>
          <cell r="N348" t="str">
            <v>Feasbility Study completed</v>
          </cell>
        </row>
        <row r="349">
          <cell r="J349" t="str">
            <v>SHREE SINGAJI TPP1</v>
          </cell>
          <cell r="K349">
            <v>600</v>
          </cell>
          <cell r="L349">
            <v>41596</v>
          </cell>
          <cell r="M349">
            <v>44286</v>
          </cell>
          <cell r="N349" t="str">
            <v>Bid opened</v>
          </cell>
        </row>
        <row r="350">
          <cell r="J350" t="str">
            <v>SHREE SINGAJI TPP2</v>
          </cell>
          <cell r="K350">
            <v>600</v>
          </cell>
          <cell r="L350">
            <v>41927</v>
          </cell>
          <cell r="M350">
            <v>44286</v>
          </cell>
          <cell r="N350" t="str">
            <v>Bid opened</v>
          </cell>
        </row>
        <row r="351">
          <cell r="J351" t="str">
            <v>SHREE SINGAJI TPP3</v>
          </cell>
          <cell r="K351">
            <v>660</v>
          </cell>
          <cell r="L351">
            <v>43422</v>
          </cell>
          <cell r="M351">
            <v>44834</v>
          </cell>
          <cell r="N351" t="str">
            <v>Bid opened</v>
          </cell>
        </row>
        <row r="352">
          <cell r="J352" t="str">
            <v>SHREE SINGAJI TPP4</v>
          </cell>
          <cell r="K352">
            <v>660</v>
          </cell>
          <cell r="L352">
            <v>43551</v>
          </cell>
          <cell r="M352">
            <v>44834</v>
          </cell>
          <cell r="N352" t="str">
            <v>Bid opened</v>
          </cell>
        </row>
        <row r="353">
          <cell r="J353" t="str">
            <v>VINDHYACHAL STPS1</v>
          </cell>
          <cell r="K353">
            <v>210</v>
          </cell>
          <cell r="L353">
            <v>68585</v>
          </cell>
          <cell r="M353">
            <v>44926</v>
          </cell>
          <cell r="N353" t="str">
            <v>Bid Awarded</v>
          </cell>
        </row>
        <row r="354">
          <cell r="J354" t="str">
            <v>VINDHYACHAL STPS2</v>
          </cell>
          <cell r="K354">
            <v>210</v>
          </cell>
          <cell r="L354">
            <v>68872</v>
          </cell>
          <cell r="M354">
            <v>44926</v>
          </cell>
          <cell r="N354" t="str">
            <v>Bid Awarded</v>
          </cell>
        </row>
        <row r="355">
          <cell r="J355" t="str">
            <v>VINDHYACHAL STPS3</v>
          </cell>
          <cell r="K355">
            <v>210</v>
          </cell>
          <cell r="L355">
            <v>69094</v>
          </cell>
          <cell r="M355">
            <v>44926</v>
          </cell>
          <cell r="N355" t="str">
            <v>Bid Awarded</v>
          </cell>
        </row>
        <row r="356">
          <cell r="J356" t="str">
            <v>VINDHYACHAL STPS4</v>
          </cell>
          <cell r="K356">
            <v>210</v>
          </cell>
          <cell r="L356">
            <v>69393</v>
          </cell>
          <cell r="M356">
            <v>44926</v>
          </cell>
          <cell r="N356" t="str">
            <v>Bid Awarded</v>
          </cell>
        </row>
        <row r="357">
          <cell r="J357" t="str">
            <v>VINDHYACHAL STPS5</v>
          </cell>
          <cell r="K357">
            <v>210</v>
          </cell>
          <cell r="L357">
            <v>69488</v>
          </cell>
          <cell r="M357">
            <v>44926</v>
          </cell>
          <cell r="N357" t="str">
            <v>Bid Awarded</v>
          </cell>
        </row>
        <row r="358">
          <cell r="J358" t="str">
            <v>VINDHYACHAL STPS6</v>
          </cell>
          <cell r="K358">
            <v>210</v>
          </cell>
          <cell r="L358">
            <v>69765</v>
          </cell>
          <cell r="M358">
            <v>44926</v>
          </cell>
          <cell r="N358" t="str">
            <v>Bid Awarded</v>
          </cell>
        </row>
        <row r="359">
          <cell r="J359" t="str">
            <v>VINDHYACHAL STPS7</v>
          </cell>
          <cell r="K359">
            <v>500</v>
          </cell>
          <cell r="L359">
            <v>72747</v>
          </cell>
          <cell r="M359">
            <v>44377</v>
          </cell>
          <cell r="N359" t="str">
            <v>Bid Awarded</v>
          </cell>
        </row>
        <row r="360">
          <cell r="J360" t="str">
            <v>VINDHYACHAL STPS8</v>
          </cell>
          <cell r="K360">
            <v>500</v>
          </cell>
          <cell r="L360">
            <v>36582</v>
          </cell>
          <cell r="M360">
            <v>44377</v>
          </cell>
          <cell r="N360" t="str">
            <v>Bid Awarded</v>
          </cell>
        </row>
        <row r="361">
          <cell r="J361" t="str">
            <v>VINDHYACHAL STPS9</v>
          </cell>
          <cell r="K361">
            <v>500</v>
          </cell>
          <cell r="L361">
            <v>38925</v>
          </cell>
          <cell r="M361">
            <v>44469</v>
          </cell>
          <cell r="N361" t="str">
            <v>Bid Awarded</v>
          </cell>
        </row>
        <row r="362">
          <cell r="J362" t="str">
            <v>VINDHYACHAL STPS10</v>
          </cell>
          <cell r="K362">
            <v>500</v>
          </cell>
          <cell r="L362">
            <v>39297</v>
          </cell>
          <cell r="M362">
            <v>44469</v>
          </cell>
          <cell r="N362" t="str">
            <v>Bid Awarded</v>
          </cell>
        </row>
        <row r="363">
          <cell r="J363" t="str">
            <v>VINDHYACHAL STPS11</v>
          </cell>
          <cell r="K363">
            <v>500</v>
          </cell>
          <cell r="L363">
            <v>41074</v>
          </cell>
          <cell r="M363">
            <v>44561</v>
          </cell>
          <cell r="N363" t="str">
            <v>Bid Awarded</v>
          </cell>
        </row>
        <row r="364">
          <cell r="J364" t="str">
            <v>VINDHYACHAL STPS12</v>
          </cell>
          <cell r="K364">
            <v>500</v>
          </cell>
          <cell r="L364">
            <v>41355</v>
          </cell>
          <cell r="M364">
            <v>44561</v>
          </cell>
          <cell r="N364" t="str">
            <v>Bid Awarded</v>
          </cell>
        </row>
        <row r="365">
          <cell r="J365" t="str">
            <v>SASAN UMPTPP1</v>
          </cell>
          <cell r="K365">
            <v>660</v>
          </cell>
          <cell r="L365">
            <v>41424</v>
          </cell>
          <cell r="M365">
            <v>44469</v>
          </cell>
          <cell r="N365" t="str">
            <v>Bid Awarded</v>
          </cell>
        </row>
        <row r="366">
          <cell r="J366" t="str">
            <v>SASAN UMPTPP2</v>
          </cell>
          <cell r="K366">
            <v>660</v>
          </cell>
          <cell r="L366">
            <v>41626</v>
          </cell>
          <cell r="M366">
            <v>44377</v>
          </cell>
          <cell r="N366" t="str">
            <v>Bid Awarded</v>
          </cell>
        </row>
        <row r="367">
          <cell r="J367" t="str">
            <v>SASAN UMPTPP3</v>
          </cell>
          <cell r="K367">
            <v>660</v>
          </cell>
          <cell r="L367">
            <v>41780</v>
          </cell>
          <cell r="M367">
            <v>44651</v>
          </cell>
          <cell r="N367" t="str">
            <v>Bid Awarded</v>
          </cell>
        </row>
        <row r="368">
          <cell r="J368" t="str">
            <v>SASAN UMPTPP4</v>
          </cell>
          <cell r="K368">
            <v>660</v>
          </cell>
          <cell r="L368">
            <v>41723</v>
          </cell>
          <cell r="M368">
            <v>44651</v>
          </cell>
          <cell r="N368" t="str">
            <v>Bid Awarded</v>
          </cell>
        </row>
        <row r="369">
          <cell r="J369" t="str">
            <v>SASAN UMPTPP5</v>
          </cell>
          <cell r="K369">
            <v>660</v>
          </cell>
          <cell r="L369">
            <v>41875</v>
          </cell>
          <cell r="M369">
            <v>44561</v>
          </cell>
          <cell r="N369" t="str">
            <v>Bid Awarded</v>
          </cell>
        </row>
        <row r="370">
          <cell r="J370" t="str">
            <v>SASAN UMPTPP6</v>
          </cell>
          <cell r="K370">
            <v>660</v>
          </cell>
          <cell r="L370">
            <v>42082</v>
          </cell>
          <cell r="M370">
            <v>44469</v>
          </cell>
          <cell r="N370" t="str">
            <v>Bid Awarded</v>
          </cell>
        </row>
        <row r="371">
          <cell r="J371" t="str">
            <v>TIRORA TPS1</v>
          </cell>
          <cell r="K371">
            <v>660</v>
          </cell>
          <cell r="L371">
            <v>41222</v>
          </cell>
          <cell r="M371">
            <v>44651</v>
          </cell>
          <cell r="N371" t="str">
            <v>NIT issued</v>
          </cell>
        </row>
        <row r="372">
          <cell r="J372" t="str">
            <v>TIRORA TPS2</v>
          </cell>
          <cell r="K372">
            <v>660</v>
          </cell>
          <cell r="L372">
            <v>41358</v>
          </cell>
          <cell r="M372">
            <v>44561</v>
          </cell>
          <cell r="N372" t="str">
            <v>NIT issued</v>
          </cell>
        </row>
        <row r="373">
          <cell r="J373" t="str">
            <v>TIRORA TPS3</v>
          </cell>
          <cell r="K373">
            <v>660</v>
          </cell>
          <cell r="L373">
            <v>41553</v>
          </cell>
          <cell r="M373">
            <v>44206</v>
          </cell>
          <cell r="N373" t="str">
            <v>NIT issued</v>
          </cell>
        </row>
        <row r="374">
          <cell r="J374" t="str">
            <v>TIRORA TPS4</v>
          </cell>
          <cell r="K374">
            <v>660</v>
          </cell>
          <cell r="L374">
            <v>41721</v>
          </cell>
          <cell r="M374">
            <v>44203</v>
          </cell>
          <cell r="N374" t="str">
            <v>NIT issued</v>
          </cell>
        </row>
        <row r="375">
          <cell r="J375" t="str">
            <v>TIRORA TPS5</v>
          </cell>
          <cell r="K375">
            <v>660</v>
          </cell>
          <cell r="L375">
            <v>41907</v>
          </cell>
          <cell r="M375">
            <v>44286</v>
          </cell>
          <cell r="N375" t="str">
            <v>NIT issued</v>
          </cell>
        </row>
        <row r="376">
          <cell r="J376" t="str">
            <v>DHARIWAL TPS1</v>
          </cell>
          <cell r="K376">
            <v>300</v>
          </cell>
          <cell r="L376">
            <v>41344</v>
          </cell>
          <cell r="M376">
            <v>44651</v>
          </cell>
          <cell r="N376" t="str">
            <v>NIT issued</v>
          </cell>
        </row>
        <row r="377">
          <cell r="J377" t="str">
            <v>DHARIWAL TPS2</v>
          </cell>
          <cell r="K377">
            <v>300</v>
          </cell>
          <cell r="L377">
            <v>41787</v>
          </cell>
          <cell r="M377">
            <v>44651</v>
          </cell>
          <cell r="N377" t="str">
            <v>NIT issued</v>
          </cell>
        </row>
        <row r="378">
          <cell r="J378" t="str">
            <v>GMR WARORA TPS1</v>
          </cell>
          <cell r="K378">
            <v>300</v>
          </cell>
          <cell r="L378">
            <v>41457</v>
          </cell>
          <cell r="M378">
            <v>44651</v>
          </cell>
          <cell r="N378" t="str">
            <v>Bid opened</v>
          </cell>
        </row>
        <row r="379">
          <cell r="J379" t="str">
            <v>GMR WARORA TPS2</v>
          </cell>
          <cell r="K379">
            <v>300</v>
          </cell>
          <cell r="L379">
            <v>41513</v>
          </cell>
          <cell r="M379">
            <v>44651</v>
          </cell>
          <cell r="N379" t="str">
            <v>Bid opened</v>
          </cell>
        </row>
        <row r="380">
          <cell r="J380" t="str">
            <v>BHUSAWAL TPS3</v>
          </cell>
          <cell r="K380">
            <v>210</v>
          </cell>
          <cell r="L380">
            <v>66737</v>
          </cell>
          <cell r="M380">
            <v>44286</v>
          </cell>
          <cell r="N380" t="str">
            <v>Feasiblity Study Carried Ou</v>
          </cell>
        </row>
        <row r="381">
          <cell r="J381" t="str">
            <v>BHUSAWAL TPS4</v>
          </cell>
          <cell r="K381">
            <v>500</v>
          </cell>
          <cell r="L381">
            <v>41093</v>
          </cell>
          <cell r="M381">
            <v>44286</v>
          </cell>
          <cell r="N381" t="str">
            <v>Bid opened</v>
          </cell>
        </row>
        <row r="382">
          <cell r="J382" t="str">
            <v>BHUSAWAL TPS5</v>
          </cell>
          <cell r="K382">
            <v>500</v>
          </cell>
          <cell r="L382">
            <v>40998</v>
          </cell>
          <cell r="M382">
            <v>44286</v>
          </cell>
          <cell r="N382" t="str">
            <v>Bid opened</v>
          </cell>
        </row>
        <row r="383">
          <cell r="J383" t="str">
            <v>CHANDRAPUR STPS3</v>
          </cell>
          <cell r="K383">
            <v>210</v>
          </cell>
          <cell r="L383">
            <v>67636</v>
          </cell>
          <cell r="M383">
            <v>44286</v>
          </cell>
          <cell r="N383" t="str">
            <v>Feasiblity Study Carried Ou</v>
          </cell>
        </row>
        <row r="384">
          <cell r="J384" t="str">
            <v>CHANDRAPUR STPS4</v>
          </cell>
          <cell r="K384">
            <v>210</v>
          </cell>
          <cell r="L384">
            <v>68152</v>
          </cell>
          <cell r="M384">
            <v>44286</v>
          </cell>
          <cell r="N384" t="str">
            <v>Feasiblity Study Carried Ou</v>
          </cell>
        </row>
        <row r="385">
          <cell r="J385" t="str">
            <v>CHANDRAPUR STPS5</v>
          </cell>
          <cell r="K385">
            <v>500</v>
          </cell>
          <cell r="L385">
            <v>69844</v>
          </cell>
          <cell r="M385">
            <v>44286</v>
          </cell>
          <cell r="N385" t="str">
            <v>Bid opened</v>
          </cell>
        </row>
        <row r="386">
          <cell r="J386" t="str">
            <v>CHANDRAPUR STPS6</v>
          </cell>
          <cell r="K386">
            <v>500</v>
          </cell>
          <cell r="L386">
            <v>70436</v>
          </cell>
          <cell r="M386">
            <v>44286</v>
          </cell>
          <cell r="N386" t="str">
            <v>Bid opened</v>
          </cell>
        </row>
        <row r="387">
          <cell r="J387" t="str">
            <v>CHANDRAPUR STPS7</v>
          </cell>
          <cell r="K387">
            <v>500</v>
          </cell>
          <cell r="L387">
            <v>71965</v>
          </cell>
          <cell r="M387">
            <v>44286</v>
          </cell>
          <cell r="N387" t="str">
            <v>Bid opened</v>
          </cell>
        </row>
        <row r="388">
          <cell r="J388" t="str">
            <v>CHANDRAPUR STPS8</v>
          </cell>
          <cell r="K388">
            <v>500</v>
          </cell>
          <cell r="L388">
            <v>42092</v>
          </cell>
          <cell r="M388">
            <v>44286</v>
          </cell>
          <cell r="N388" t="str">
            <v>Bid opened</v>
          </cell>
        </row>
        <row r="389">
          <cell r="J389" t="str">
            <v>CHANDRAPUR STPS9</v>
          </cell>
          <cell r="K389">
            <v>500</v>
          </cell>
          <cell r="L389">
            <v>42450</v>
          </cell>
          <cell r="M389">
            <v>43921</v>
          </cell>
          <cell r="N389" t="str">
            <v>Bid opened</v>
          </cell>
        </row>
        <row r="390">
          <cell r="J390" t="str">
            <v>KHAPARKHEDA TPS1</v>
          </cell>
          <cell r="K390">
            <v>210</v>
          </cell>
          <cell r="L390">
            <v>69118</v>
          </cell>
          <cell r="M390">
            <v>44286</v>
          </cell>
          <cell r="N390" t="str">
            <v>Feasiblity Study Carried Ou</v>
          </cell>
        </row>
        <row r="391">
          <cell r="J391" t="str">
            <v>KHAPARKHEDA TPS2</v>
          </cell>
          <cell r="K391">
            <v>210</v>
          </cell>
          <cell r="L391">
            <v>69611</v>
          </cell>
          <cell r="M391">
            <v>44286</v>
          </cell>
          <cell r="N391" t="str">
            <v>Feasiblity Study Carried Ou</v>
          </cell>
        </row>
        <row r="392">
          <cell r="J392" t="str">
            <v>KHAPARKHEDA TPS3</v>
          </cell>
          <cell r="K392">
            <v>210</v>
          </cell>
          <cell r="L392">
            <v>36677</v>
          </cell>
          <cell r="M392">
            <v>44286</v>
          </cell>
          <cell r="N392" t="str">
            <v>Feasiblity Study Carried Ou</v>
          </cell>
        </row>
        <row r="393">
          <cell r="J393" t="str">
            <v>KHAPARKHEDA TPS4</v>
          </cell>
          <cell r="K393">
            <v>210</v>
          </cell>
          <cell r="L393">
            <v>37073</v>
          </cell>
          <cell r="M393">
            <v>44286</v>
          </cell>
          <cell r="N393" t="str">
            <v>Feasiblity Study Carried Ou</v>
          </cell>
        </row>
        <row r="394">
          <cell r="J394" t="str">
            <v>KHAPARKHEDA TPS5</v>
          </cell>
          <cell r="K394">
            <v>500</v>
          </cell>
          <cell r="L394">
            <v>40671</v>
          </cell>
          <cell r="M394">
            <v>44286</v>
          </cell>
          <cell r="N394" t="str">
            <v>Bid opened</v>
          </cell>
        </row>
        <row r="395">
          <cell r="J395" t="str">
            <v>KORADI TPS6</v>
          </cell>
          <cell r="K395">
            <v>210</v>
          </cell>
          <cell r="L395">
            <v>66565</v>
          </cell>
          <cell r="M395">
            <v>44286</v>
          </cell>
          <cell r="N395" t="str">
            <v>Feasiblity Study Carried Ou</v>
          </cell>
        </row>
        <row r="396">
          <cell r="J396" t="str">
            <v>KORADI TPS7</v>
          </cell>
          <cell r="K396">
            <v>210</v>
          </cell>
          <cell r="L396">
            <v>66854</v>
          </cell>
          <cell r="M396">
            <v>44286</v>
          </cell>
          <cell r="N396" t="str">
            <v>Feasiblity Study Carried Ou</v>
          </cell>
        </row>
        <row r="397">
          <cell r="J397" t="str">
            <v>KORADI TPS8</v>
          </cell>
          <cell r="K397">
            <v>660</v>
          </cell>
          <cell r="L397">
            <v>42093</v>
          </cell>
          <cell r="M397">
            <v>44286</v>
          </cell>
          <cell r="N397" t="str">
            <v>Bid opened</v>
          </cell>
        </row>
        <row r="398">
          <cell r="J398" t="str">
            <v>KORADI TPS9</v>
          </cell>
          <cell r="K398">
            <v>660</v>
          </cell>
          <cell r="L398">
            <v>42444</v>
          </cell>
          <cell r="M398">
            <v>44286</v>
          </cell>
          <cell r="N398" t="str">
            <v>Bid opened</v>
          </cell>
        </row>
        <row r="399">
          <cell r="J399" t="str">
            <v>KORADI TPS10</v>
          </cell>
          <cell r="K399">
            <v>660</v>
          </cell>
          <cell r="L399">
            <v>42732</v>
          </cell>
          <cell r="M399">
            <v>44196</v>
          </cell>
          <cell r="N399" t="str">
            <v>Bid opened</v>
          </cell>
        </row>
        <row r="400">
          <cell r="J400" t="str">
            <v>NASIK TPS3</v>
          </cell>
          <cell r="K400">
            <v>210</v>
          </cell>
          <cell r="L400">
            <v>65496</v>
          </cell>
          <cell r="M400">
            <v>44286</v>
          </cell>
          <cell r="N400" t="str">
            <v>Feasiblity Study Carried Ou</v>
          </cell>
        </row>
        <row r="401">
          <cell r="J401" t="str">
            <v>NASIK TPS4</v>
          </cell>
          <cell r="K401">
            <v>210</v>
          </cell>
          <cell r="L401">
            <v>66026</v>
          </cell>
          <cell r="M401">
            <v>44286</v>
          </cell>
          <cell r="N401" t="str">
            <v>Feasiblity Study Carried Ou</v>
          </cell>
        </row>
        <row r="402">
          <cell r="J402" t="str">
            <v>NASIK TPS5</v>
          </cell>
          <cell r="K402">
            <v>210</v>
          </cell>
          <cell r="L402">
            <v>66141</v>
          </cell>
          <cell r="M402">
            <v>44286</v>
          </cell>
          <cell r="N402" t="str">
            <v>Feasiblity Study Carried Ou</v>
          </cell>
        </row>
        <row r="403">
          <cell r="J403" t="str">
            <v>PARLI TPS6</v>
          </cell>
          <cell r="K403">
            <v>250</v>
          </cell>
          <cell r="L403">
            <v>39129</v>
          </cell>
          <cell r="M403">
            <v>44286</v>
          </cell>
          <cell r="N403" t="str">
            <v>Feasiblity Study Carried Ou</v>
          </cell>
        </row>
        <row r="404">
          <cell r="J404" t="str">
            <v>PARLI TPS7</v>
          </cell>
          <cell r="K404">
            <v>250</v>
          </cell>
          <cell r="L404">
            <v>40453</v>
          </cell>
          <cell r="M404">
            <v>44286</v>
          </cell>
          <cell r="N404" t="str">
            <v>Feasiblity Study Carried Ou</v>
          </cell>
        </row>
        <row r="405">
          <cell r="J405" t="str">
            <v>PARLI TPS8</v>
          </cell>
          <cell r="K405">
            <v>250</v>
          </cell>
          <cell r="L405">
            <v>42459</v>
          </cell>
          <cell r="M405">
            <v>44286</v>
          </cell>
          <cell r="N405" t="str">
            <v>Feasiblity Study Carried Ou</v>
          </cell>
        </row>
        <row r="406">
          <cell r="J406" t="str">
            <v>MAUDA TPS1</v>
          </cell>
          <cell r="K406">
            <v>500</v>
          </cell>
          <cell r="L406">
            <v>41018</v>
          </cell>
          <cell r="M406">
            <v>44561</v>
          </cell>
          <cell r="N406" t="str">
            <v>Bid Awarded</v>
          </cell>
        </row>
        <row r="407">
          <cell r="J407" t="str">
            <v>MAUDA TPS2</v>
          </cell>
          <cell r="K407">
            <v>500</v>
          </cell>
          <cell r="L407">
            <v>41362</v>
          </cell>
          <cell r="M407">
            <v>44561</v>
          </cell>
          <cell r="N407" t="str">
            <v>Bid Awarded</v>
          </cell>
        </row>
        <row r="408">
          <cell r="J408" t="str">
            <v>MAUDA TPS3</v>
          </cell>
          <cell r="K408">
            <v>660</v>
          </cell>
          <cell r="L408">
            <v>42457</v>
          </cell>
          <cell r="M408">
            <v>44561</v>
          </cell>
          <cell r="N408" t="str">
            <v>Bid Awarded</v>
          </cell>
        </row>
        <row r="409">
          <cell r="J409" t="str">
            <v>MAUDA TPS4</v>
          </cell>
          <cell r="K409">
            <v>660</v>
          </cell>
          <cell r="L409">
            <v>42812</v>
          </cell>
          <cell r="M409">
            <v>44196</v>
          </cell>
          <cell r="N409" t="str">
            <v>Bid Awarded</v>
          </cell>
        </row>
        <row r="410">
          <cell r="J410" t="str">
            <v>SOLAPUR STPS1</v>
          </cell>
          <cell r="K410">
            <v>660</v>
          </cell>
          <cell r="L410">
            <v>42920</v>
          </cell>
          <cell r="M410">
            <v>44196</v>
          </cell>
          <cell r="N410" t="str">
            <v>Bid Awarded</v>
          </cell>
        </row>
        <row r="411">
          <cell r="J411" t="str">
            <v>NASIK (P) TPS1</v>
          </cell>
          <cell r="K411">
            <v>270</v>
          </cell>
          <cell r="L411">
            <v>41695</v>
          </cell>
          <cell r="M411">
            <v>44286</v>
          </cell>
          <cell r="N411" t="str">
            <v>Bids under Evaluation</v>
          </cell>
        </row>
        <row r="412">
          <cell r="J412" t="str">
            <v>NASIK (P) TPS2</v>
          </cell>
          <cell r="K412">
            <v>270</v>
          </cell>
          <cell r="L412">
            <v>42781</v>
          </cell>
          <cell r="M412">
            <v>44286</v>
          </cell>
          <cell r="N412" t="str">
            <v>Feasability study under pro</v>
          </cell>
        </row>
        <row r="413">
          <cell r="J413" t="str">
            <v>NASIK (P) TPS3</v>
          </cell>
          <cell r="K413">
            <v>270</v>
          </cell>
          <cell r="L413">
            <v>42839</v>
          </cell>
          <cell r="M413">
            <v>44926</v>
          </cell>
          <cell r="N413" t="str">
            <v>Feasability study under pro</v>
          </cell>
        </row>
        <row r="414">
          <cell r="J414" t="str">
            <v>NASIK (P) TPS4</v>
          </cell>
          <cell r="K414">
            <v>270</v>
          </cell>
          <cell r="L414">
            <v>42874</v>
          </cell>
          <cell r="M414">
            <v>44926</v>
          </cell>
          <cell r="N414" t="str">
            <v>Feasability study under pro</v>
          </cell>
        </row>
        <row r="415">
          <cell r="J415" t="str">
            <v>NASIK (P) TPS5</v>
          </cell>
          <cell r="K415">
            <v>270</v>
          </cell>
          <cell r="L415">
            <v>42885</v>
          </cell>
          <cell r="M415">
            <v>44926</v>
          </cell>
          <cell r="N415" t="str">
            <v>Feasability study under pro</v>
          </cell>
        </row>
        <row r="416">
          <cell r="J416" t="str">
            <v>BUTIBORI TPP1</v>
          </cell>
          <cell r="K416">
            <v>300</v>
          </cell>
          <cell r="L416">
            <v>41138</v>
          </cell>
          <cell r="M416">
            <v>44377</v>
          </cell>
          <cell r="N416" t="str">
            <v>NIT issued</v>
          </cell>
        </row>
        <row r="417">
          <cell r="J417" t="str">
            <v>BUTIBORI TPP2</v>
          </cell>
          <cell r="K417">
            <v>300</v>
          </cell>
          <cell r="L417">
            <v>41352</v>
          </cell>
          <cell r="M417">
            <v>44286</v>
          </cell>
          <cell r="N417" t="str">
            <v>NIT issued</v>
          </cell>
        </row>
        <row r="418">
          <cell r="J418" t="str">
            <v>WARDHA WARORA TPP1</v>
          </cell>
          <cell r="K418">
            <v>135</v>
          </cell>
          <cell r="L418">
            <v>40304</v>
          </cell>
          <cell r="M418">
            <v>44469</v>
          </cell>
          <cell r="N418" t="str">
            <v>NIT issued</v>
          </cell>
        </row>
        <row r="419">
          <cell r="J419" t="str">
            <v>WARDHA WARORA TPP2</v>
          </cell>
          <cell r="K419">
            <v>135</v>
          </cell>
          <cell r="L419">
            <v>40461</v>
          </cell>
          <cell r="M419">
            <v>44469</v>
          </cell>
          <cell r="N419" t="str">
            <v>NIT issued</v>
          </cell>
        </row>
        <row r="420">
          <cell r="J420" t="str">
            <v>WARDHA WARORA TPP3</v>
          </cell>
          <cell r="K420">
            <v>135</v>
          </cell>
          <cell r="L420">
            <v>40564</v>
          </cell>
          <cell r="M420">
            <v>44561</v>
          </cell>
          <cell r="N420" t="str">
            <v>NIT issued</v>
          </cell>
        </row>
        <row r="421">
          <cell r="J421" t="str">
            <v>WARDHA WARORA TPP4</v>
          </cell>
          <cell r="K421">
            <v>135</v>
          </cell>
          <cell r="L421">
            <v>40663</v>
          </cell>
          <cell r="M421">
            <v>44561</v>
          </cell>
          <cell r="N421" t="str">
            <v>NIT issued</v>
          </cell>
        </row>
        <row r="422">
          <cell r="J422" t="str">
            <v>KUDGI STPP3</v>
          </cell>
          <cell r="K422">
            <v>800</v>
          </cell>
          <cell r="L422">
            <v>43437</v>
          </cell>
          <cell r="M422">
            <v>44926</v>
          </cell>
          <cell r="N422" t="str">
            <v>Bid Awarded</v>
          </cell>
        </row>
        <row r="423">
          <cell r="J423" t="str">
            <v>LARA TPP1</v>
          </cell>
          <cell r="K423">
            <v>800</v>
          </cell>
          <cell r="L423">
            <v>43182</v>
          </cell>
          <cell r="M423">
            <v>44926</v>
          </cell>
          <cell r="N423" t="str">
            <v>Bid Awarded</v>
          </cell>
        </row>
        <row r="424">
          <cell r="J424" t="str">
            <v>Meja STPP1</v>
          </cell>
          <cell r="K424">
            <v>660</v>
          </cell>
          <cell r="L424">
            <v>43190</v>
          </cell>
          <cell r="M424">
            <v>44926</v>
          </cell>
          <cell r="N424" t="str">
            <v>Bid Awarded</v>
          </cell>
        </row>
        <row r="425">
          <cell r="J425" t="str">
            <v>RAYALSEEMA TPS6</v>
          </cell>
          <cell r="K425">
            <v>600</v>
          </cell>
          <cell r="L425">
            <v>43437</v>
          </cell>
          <cell r="M425">
            <v>44926</v>
          </cell>
          <cell r="N425" t="str">
            <v>Feasibility Study completed</v>
          </cell>
        </row>
        <row r="426">
          <cell r="J426" t="str">
            <v>BARAUNI TPS8</v>
          </cell>
          <cell r="K426">
            <v>250</v>
          </cell>
          <cell r="L426">
            <v>43405</v>
          </cell>
          <cell r="M426">
            <v>44926</v>
          </cell>
          <cell r="N426" t="str">
            <v>NIT issued</v>
          </cell>
        </row>
        <row r="427">
          <cell r="J427" t="str">
            <v>BARAUNI TPS9</v>
          </cell>
          <cell r="K427">
            <v>250</v>
          </cell>
          <cell r="L427">
            <v>43190</v>
          </cell>
          <cell r="M427">
            <v>44926</v>
          </cell>
          <cell r="N427" t="str">
            <v>NIT issued</v>
          </cell>
        </row>
        <row r="428">
          <cell r="J428" t="str">
            <v>AKALTARA TPS3</v>
          </cell>
          <cell r="K428">
            <v>600</v>
          </cell>
          <cell r="L428">
            <v>43118</v>
          </cell>
          <cell r="M428">
            <v>44926</v>
          </cell>
          <cell r="N428" t="str">
            <v>NIT issued</v>
          </cell>
        </row>
        <row r="429">
          <cell r="J429" t="str">
            <v>BINJKOTE TPP2</v>
          </cell>
          <cell r="K429">
            <v>300</v>
          </cell>
          <cell r="L429">
            <v>43187</v>
          </cell>
          <cell r="M429">
            <v>44104</v>
          </cell>
          <cell r="N429" t="str">
            <v>Bid opened</v>
          </cell>
        </row>
        <row r="430">
          <cell r="J430" t="str">
            <v>SHIRPUR TPP1</v>
          </cell>
          <cell r="K430">
            <v>150</v>
          </cell>
          <cell r="L430">
            <v>43006</v>
          </cell>
          <cell r="M430">
            <v>44926</v>
          </cell>
          <cell r="N430" t="str">
            <v>Feasability study under prog</v>
          </cell>
        </row>
        <row r="431">
          <cell r="J431" t="str">
            <v>India Power TPP2</v>
          </cell>
          <cell r="K431">
            <v>150</v>
          </cell>
          <cell r="L431">
            <v>43100</v>
          </cell>
          <cell r="M431">
            <v>44926</v>
          </cell>
          <cell r="N431" t="str">
            <v>Feasability study under prog</v>
          </cell>
        </row>
        <row r="432">
          <cell r="J432" t="str">
            <v>ROPAR TPS3</v>
          </cell>
          <cell r="K432">
            <v>210</v>
          </cell>
          <cell r="L432">
            <v>68758</v>
          </cell>
          <cell r="M432">
            <v>43830</v>
          </cell>
          <cell r="N432" t="str">
            <v>NIT issued</v>
          </cell>
        </row>
        <row r="433">
          <cell r="J433" t="str">
            <v>ROPAR TPS4</v>
          </cell>
          <cell r="K433">
            <v>210</v>
          </cell>
          <cell r="L433">
            <v>69062</v>
          </cell>
          <cell r="M433">
            <v>43830</v>
          </cell>
          <cell r="N433" t="str">
            <v>NIT issued</v>
          </cell>
        </row>
        <row r="434">
          <cell r="J434" t="str">
            <v>ROPAR TPS6</v>
          </cell>
          <cell r="K434">
            <v>210</v>
          </cell>
          <cell r="L434">
            <v>70583</v>
          </cell>
          <cell r="M434">
            <v>43830</v>
          </cell>
          <cell r="N434" t="str">
            <v>NIT issued</v>
          </cell>
        </row>
        <row r="435">
          <cell r="J435" t="str">
            <v>ROPAR TPS5</v>
          </cell>
          <cell r="K435">
            <v>210</v>
          </cell>
          <cell r="L435">
            <v>70217</v>
          </cell>
          <cell r="M435">
            <v>43830</v>
          </cell>
          <cell r="N435" t="str">
            <v>NIT issued</v>
          </cell>
        </row>
        <row r="436">
          <cell r="J436" t="str">
            <v>TANDA STPS1</v>
          </cell>
          <cell r="K436">
            <v>110</v>
          </cell>
          <cell r="L436">
            <v>68748</v>
          </cell>
          <cell r="M436">
            <v>44196</v>
          </cell>
          <cell r="N436" t="str">
            <v>Bid Awarded</v>
          </cell>
        </row>
        <row r="437">
          <cell r="J437" t="str">
            <v>TANDA STPS2</v>
          </cell>
          <cell r="K437">
            <v>110</v>
          </cell>
          <cell r="L437">
            <v>69340</v>
          </cell>
          <cell r="M437">
            <v>44197</v>
          </cell>
          <cell r="N437" t="str">
            <v>Bid Awarded</v>
          </cell>
        </row>
        <row r="438">
          <cell r="J438" t="str">
            <v>TANDA STPS3</v>
          </cell>
          <cell r="K438">
            <v>110</v>
          </cell>
          <cell r="L438">
            <v>69485</v>
          </cell>
          <cell r="M438">
            <v>44197</v>
          </cell>
          <cell r="N438" t="str">
            <v>NIT issued</v>
          </cell>
        </row>
        <row r="439">
          <cell r="J439" t="str">
            <v>TANDA STPS4</v>
          </cell>
          <cell r="K439">
            <v>110</v>
          </cell>
          <cell r="L439">
            <v>72371</v>
          </cell>
          <cell r="M439">
            <v>44197</v>
          </cell>
          <cell r="N439" t="str">
            <v>NIT issued</v>
          </cell>
        </row>
        <row r="440">
          <cell r="J440" t="str">
            <v>KHARGONE STPP1</v>
          </cell>
          <cell r="K440">
            <v>660</v>
          </cell>
          <cell r="L440">
            <v>43737</v>
          </cell>
          <cell r="M440">
            <v>44408</v>
          </cell>
          <cell r="N440" t="str">
            <v>Bid Awarded</v>
          </cell>
        </row>
        <row r="441">
          <cell r="J441" t="str">
            <v>BONGAIGAON TPS1</v>
          </cell>
          <cell r="K441">
            <v>250</v>
          </cell>
          <cell r="L441">
            <v>42177</v>
          </cell>
          <cell r="M441">
            <v>44925</v>
          </cell>
          <cell r="N441" t="str">
            <v>Bid Awarded</v>
          </cell>
        </row>
        <row r="442">
          <cell r="J442" t="str">
            <v>BONGAIGAON TPS2</v>
          </cell>
          <cell r="K442">
            <v>250</v>
          </cell>
          <cell r="L442">
            <v>42816</v>
          </cell>
          <cell r="M442">
            <v>44925</v>
          </cell>
          <cell r="N442" t="str">
            <v>Bid Awarded</v>
          </cell>
        </row>
        <row r="443">
          <cell r="J443" t="str">
            <v>BONGAIGAON TPS3</v>
          </cell>
          <cell r="K443">
            <v>250</v>
          </cell>
          <cell r="L443">
            <v>43547</v>
          </cell>
          <cell r="M443">
            <v>44925</v>
          </cell>
          <cell r="N443" t="str">
            <v>Bid Awarded</v>
          </cell>
        </row>
        <row r="444">
          <cell r="J444" t="str">
            <v>TALCHER (OLD) TPS1</v>
          </cell>
          <cell r="K444">
            <v>60</v>
          </cell>
          <cell r="L444">
            <v>61348</v>
          </cell>
          <cell r="M444">
            <v>44561</v>
          </cell>
          <cell r="N444" t="str">
            <v>NIT issued</v>
          </cell>
        </row>
        <row r="445">
          <cell r="J445" t="str">
            <v>TALCHER (OLD) TPS2</v>
          </cell>
          <cell r="K445">
            <v>60</v>
          </cell>
          <cell r="L445">
            <v>61450</v>
          </cell>
          <cell r="M445">
            <v>44562</v>
          </cell>
          <cell r="N445" t="str">
            <v>NIT issued</v>
          </cell>
        </row>
        <row r="446">
          <cell r="J446" t="str">
            <v>TALCHER (OLD) TPS3</v>
          </cell>
          <cell r="K446">
            <v>60</v>
          </cell>
          <cell r="L446">
            <v>61674</v>
          </cell>
          <cell r="M446">
            <v>44562</v>
          </cell>
          <cell r="N446" t="str">
            <v>NIT issued</v>
          </cell>
        </row>
        <row r="447">
          <cell r="J447" t="str">
            <v>TALCHER (OLD) TPS4</v>
          </cell>
          <cell r="K447">
            <v>60</v>
          </cell>
          <cell r="L447">
            <v>62036</v>
          </cell>
          <cell r="M447">
            <v>44562</v>
          </cell>
          <cell r="N447" t="str">
            <v>NIT issued</v>
          </cell>
        </row>
        <row r="448">
          <cell r="J448" t="str">
            <v>TALCHER (OLD) TPS5</v>
          </cell>
          <cell r="K448">
            <v>110</v>
          </cell>
          <cell r="L448">
            <v>66559</v>
          </cell>
          <cell r="M448">
            <v>44562</v>
          </cell>
          <cell r="N448" t="str">
            <v>NIT issued</v>
          </cell>
        </row>
        <row r="449">
          <cell r="J449" t="str">
            <v>TALCHER (OLD) TPS6</v>
          </cell>
          <cell r="K449">
            <v>110</v>
          </cell>
          <cell r="L449">
            <v>66924</v>
          </cell>
          <cell r="M449">
            <v>44562</v>
          </cell>
          <cell r="N449" t="str">
            <v>NIT issued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Sheet3"/>
      <sheetName val="CEA-SEVA name match"/>
      <sheetName val="Sheet4"/>
      <sheetName val="Import-Domestic share"/>
      <sheetName val="Master CEA data"/>
    </sheetNames>
    <sheetDataSet>
      <sheetData sheetId="0"/>
      <sheetData sheetId="1"/>
      <sheetData sheetId="2"/>
      <sheetData sheetId="3"/>
      <sheetData sheetId="4">
        <row r="208">
          <cell r="A208" t="str">
            <v>AKALTARA TPS</v>
          </cell>
          <cell r="B208">
            <v>542.09</v>
          </cell>
          <cell r="C208">
            <v>11825.439999999999</v>
          </cell>
          <cell r="D208">
            <v>12836.32</v>
          </cell>
          <cell r="E208">
            <v>12367.529999999999</v>
          </cell>
          <cell r="F208">
            <v>4.3831710939856224E-2</v>
          </cell>
        </row>
        <row r="209">
          <cell r="A209" t="str">
            <v>AKRIMOTA LIG TPS</v>
          </cell>
          <cell r="B209"/>
          <cell r="C209">
            <v>0</v>
          </cell>
          <cell r="D209"/>
          <cell r="E209">
            <v>0</v>
          </cell>
          <cell r="F209" t="e">
            <v>#DIV/0!</v>
          </cell>
        </row>
        <row r="210">
          <cell r="A210" t="str">
            <v>AMARKANTAK TPS</v>
          </cell>
          <cell r="B210">
            <v>0</v>
          </cell>
          <cell r="C210">
            <v>2384.4000000000005</v>
          </cell>
          <cell r="D210">
            <v>2342.5299999999997</v>
          </cell>
          <cell r="E210">
            <v>2384.4000000000005</v>
          </cell>
          <cell r="F210">
            <v>0</v>
          </cell>
        </row>
        <row r="211">
          <cell r="A211" t="str">
            <v>AMRAVATI TPS</v>
          </cell>
          <cell r="B211">
            <v>195.9</v>
          </cell>
          <cell r="C211">
            <v>6608.07</v>
          </cell>
          <cell r="D211">
            <v>6324.33</v>
          </cell>
          <cell r="E211">
            <v>6803.9699999999993</v>
          </cell>
          <cell r="F211">
            <v>2.8792014074136132E-2</v>
          </cell>
        </row>
        <row r="212">
          <cell r="A212" t="str">
            <v>ANPARA C TPS</v>
          </cell>
          <cell r="B212">
            <v>0</v>
          </cell>
          <cell r="C212">
            <v>12357.66</v>
          </cell>
          <cell r="D212">
            <v>12151.089999999998</v>
          </cell>
          <cell r="E212">
            <v>12357.66</v>
          </cell>
          <cell r="F212">
            <v>0</v>
          </cell>
        </row>
        <row r="213">
          <cell r="A213" t="str">
            <v>ANPARA TPS</v>
          </cell>
          <cell r="B213">
            <v>0</v>
          </cell>
          <cell r="C213">
            <v>29523.519999999997</v>
          </cell>
          <cell r="D213">
            <v>29218.05</v>
          </cell>
          <cell r="E213">
            <v>29523.519999999997</v>
          </cell>
          <cell r="F213">
            <v>0</v>
          </cell>
        </row>
        <row r="214">
          <cell r="A214" t="str">
            <v>ANUPPUR TPP</v>
          </cell>
          <cell r="B214">
            <v>32</v>
          </cell>
          <cell r="C214">
            <v>10914</v>
          </cell>
          <cell r="D214">
            <v>10900</v>
          </cell>
          <cell r="E214">
            <v>10946</v>
          </cell>
          <cell r="F214">
            <v>2.9234423533710946E-3</v>
          </cell>
        </row>
        <row r="215">
          <cell r="A215" t="str">
            <v>AVANTHA BHANDAR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 t="e">
            <v>#DIV/0!</v>
          </cell>
        </row>
        <row r="216">
          <cell r="A216" t="str">
            <v>BADARPUR TPS</v>
          </cell>
          <cell r="B216">
            <v>0</v>
          </cell>
          <cell r="C216">
            <v>1149</v>
          </cell>
          <cell r="D216">
            <v>1180</v>
          </cell>
          <cell r="E216">
            <v>1149</v>
          </cell>
          <cell r="F216">
            <v>0</v>
          </cell>
        </row>
        <row r="217">
          <cell r="A217" t="str">
            <v>BAKRESWAR TPS</v>
          </cell>
          <cell r="B217">
            <v>7</v>
          </cell>
          <cell r="C217">
            <v>10336.539999999999</v>
          </cell>
          <cell r="D217">
            <v>10178.99</v>
          </cell>
          <cell r="E217">
            <v>10343.539999999999</v>
          </cell>
          <cell r="F217">
            <v>6.7675089959530303E-4</v>
          </cell>
        </row>
        <row r="218">
          <cell r="A218" t="str">
            <v>BALCO TPS</v>
          </cell>
          <cell r="B218">
            <v>730.29</v>
          </cell>
          <cell r="C218">
            <v>3976.2499999999995</v>
          </cell>
          <cell r="D218">
            <v>4617.0200000000004</v>
          </cell>
          <cell r="E218">
            <v>4706.5399999999991</v>
          </cell>
          <cell r="F218">
            <v>0.15516494069953726</v>
          </cell>
        </row>
        <row r="219">
          <cell r="A219" t="str">
            <v>BANDAKHAR TPP</v>
          </cell>
          <cell r="B219">
            <v>32.5</v>
          </cell>
          <cell r="C219">
            <v>3982.5800000000004</v>
          </cell>
          <cell r="D219">
            <v>4092.07</v>
          </cell>
          <cell r="E219">
            <v>4015.0800000000004</v>
          </cell>
          <cell r="F219">
            <v>8.0944837960887448E-3</v>
          </cell>
        </row>
        <row r="220">
          <cell r="A220" t="str">
            <v>BANDEL TPS</v>
          </cell>
          <cell r="B220">
            <v>0</v>
          </cell>
          <cell r="C220">
            <v>2699.5699999999997</v>
          </cell>
          <cell r="D220">
            <v>2561.0700000000002</v>
          </cell>
          <cell r="E220">
            <v>2699.5699999999997</v>
          </cell>
          <cell r="F220">
            <v>0</v>
          </cell>
        </row>
        <row r="221">
          <cell r="A221" t="str">
            <v>BARA TPP</v>
          </cell>
          <cell r="B221">
            <v>0</v>
          </cell>
          <cell r="C221">
            <v>12562.31</v>
          </cell>
          <cell r="D221">
            <v>12307.809999999998</v>
          </cell>
          <cell r="E221">
            <v>12562.31</v>
          </cell>
          <cell r="F221">
            <v>0</v>
          </cell>
        </row>
        <row r="222">
          <cell r="A222" t="str">
            <v>BARADARHA TPS</v>
          </cell>
          <cell r="B222">
            <v>0</v>
          </cell>
          <cell r="C222">
            <v>11197.479999999998</v>
          </cell>
          <cell r="D222">
            <v>10922.53</v>
          </cell>
          <cell r="E222">
            <v>11197.479999999998</v>
          </cell>
          <cell r="F222">
            <v>0</v>
          </cell>
        </row>
        <row r="223">
          <cell r="A223" t="str">
            <v>BARAUNI TPS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 t="e">
            <v>#DIV/0!</v>
          </cell>
        </row>
        <row r="224">
          <cell r="A224" t="str">
            <v>BARH II</v>
          </cell>
          <cell r="B224">
            <v>69</v>
          </cell>
          <cell r="C224">
            <v>14446.59</v>
          </cell>
          <cell r="D224">
            <v>13793.839999999998</v>
          </cell>
          <cell r="E224">
            <v>14515.59</v>
          </cell>
          <cell r="F224">
            <v>4.7535098469989852E-3</v>
          </cell>
        </row>
        <row r="225">
          <cell r="A225" t="str">
            <v>BARKHERA TPS</v>
          </cell>
          <cell r="B225">
            <v>0</v>
          </cell>
          <cell r="C225">
            <v>227.72000000000003</v>
          </cell>
          <cell r="D225">
            <v>237.44</v>
          </cell>
          <cell r="E225">
            <v>227.72000000000003</v>
          </cell>
          <cell r="F225">
            <v>0</v>
          </cell>
        </row>
        <row r="226">
          <cell r="A226" t="str">
            <v>BARSINGSAR LIGNITE</v>
          </cell>
          <cell r="B226"/>
          <cell r="C226">
            <v>0</v>
          </cell>
          <cell r="D226"/>
          <cell r="E226">
            <v>0</v>
          </cell>
          <cell r="F226" t="e">
            <v>#DIV/0!</v>
          </cell>
        </row>
        <row r="227">
          <cell r="A227" t="str">
            <v>BELA TPS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 t="e">
            <v>#DIV/0!</v>
          </cell>
        </row>
        <row r="228">
          <cell r="A228" t="str">
            <v>BELLARY TPS</v>
          </cell>
          <cell r="B228">
            <v>0</v>
          </cell>
          <cell r="C228">
            <v>7191.909999999998</v>
          </cell>
          <cell r="D228">
            <v>6905.6399999999994</v>
          </cell>
          <cell r="E228">
            <v>7191.909999999998</v>
          </cell>
          <cell r="F228">
            <v>0</v>
          </cell>
        </row>
        <row r="229">
          <cell r="A229" t="str">
            <v>BHAVNAGAR TPP</v>
          </cell>
          <cell r="B229"/>
          <cell r="C229">
            <v>0</v>
          </cell>
          <cell r="D229"/>
          <cell r="E229">
            <v>0</v>
          </cell>
          <cell r="F229" t="e">
            <v>#DIV/0!</v>
          </cell>
        </row>
        <row r="230">
          <cell r="A230" t="str">
            <v>BHILAI TPS</v>
          </cell>
          <cell r="B230">
            <v>0</v>
          </cell>
          <cell r="C230">
            <v>5580.2999999999993</v>
          </cell>
          <cell r="D230">
            <v>5101.7999999999993</v>
          </cell>
          <cell r="E230">
            <v>5580.2999999999993</v>
          </cell>
          <cell r="F230">
            <v>0</v>
          </cell>
        </row>
        <row r="231">
          <cell r="A231" t="str">
            <v>BHUSAWAL TPS</v>
          </cell>
          <cell r="B231">
            <v>458.74999999999994</v>
          </cell>
          <cell r="C231">
            <v>11438.99</v>
          </cell>
          <cell r="D231">
            <v>11575.04</v>
          </cell>
          <cell r="E231">
            <v>11897.74</v>
          </cell>
          <cell r="F231">
            <v>3.8557742899071587E-2</v>
          </cell>
        </row>
        <row r="232">
          <cell r="A232" t="str">
            <v>BINA TPS</v>
          </cell>
          <cell r="B232">
            <v>0</v>
          </cell>
          <cell r="C232">
            <v>4262.079999999999</v>
          </cell>
          <cell r="D232">
            <v>4202.3500000000004</v>
          </cell>
          <cell r="E232">
            <v>4262.079999999999</v>
          </cell>
          <cell r="F232">
            <v>0</v>
          </cell>
        </row>
        <row r="233">
          <cell r="A233" t="str">
            <v>BINJKOTE  TPP</v>
          </cell>
          <cell r="B233">
            <v>0</v>
          </cell>
          <cell r="C233">
            <v>2950.4</v>
          </cell>
          <cell r="D233">
            <v>3076.24</v>
          </cell>
          <cell r="E233">
            <v>2950.4</v>
          </cell>
          <cell r="F233">
            <v>0</v>
          </cell>
        </row>
        <row r="234">
          <cell r="A234" t="str">
            <v>BOKARO A TPS</v>
          </cell>
          <cell r="B234">
            <v>0</v>
          </cell>
          <cell r="C234">
            <v>851.75</v>
          </cell>
          <cell r="D234">
            <v>759.15000000000009</v>
          </cell>
          <cell r="E234">
            <v>851.75</v>
          </cell>
          <cell r="F234">
            <v>0</v>
          </cell>
        </row>
        <row r="235">
          <cell r="A235" t="str">
            <v>BOKARO B TPS</v>
          </cell>
          <cell r="B235">
            <v>0</v>
          </cell>
          <cell r="C235">
            <v>4031.3500000000004</v>
          </cell>
          <cell r="D235">
            <v>3880.9000000000005</v>
          </cell>
          <cell r="E235">
            <v>4031.3500000000004</v>
          </cell>
          <cell r="F235">
            <v>0</v>
          </cell>
        </row>
        <row r="236">
          <cell r="A236" t="str">
            <v>BONGAIGAON TPS</v>
          </cell>
          <cell r="B236">
            <v>39</v>
          </cell>
          <cell r="C236">
            <v>4848.55</v>
          </cell>
          <cell r="D236">
            <v>4516.9999999999991</v>
          </cell>
          <cell r="E236">
            <v>4887.55</v>
          </cell>
          <cell r="F236">
            <v>7.979458010659737E-3</v>
          </cell>
        </row>
        <row r="237">
          <cell r="A237" t="str">
            <v>BUDGE BUDGE TPS</v>
          </cell>
          <cell r="B237">
            <v>0</v>
          </cell>
          <cell r="C237">
            <v>8369.9799999999941</v>
          </cell>
          <cell r="D237">
            <v>8224.02</v>
          </cell>
          <cell r="E237">
            <v>8369.9799999999941</v>
          </cell>
          <cell r="F237">
            <v>0</v>
          </cell>
        </row>
        <row r="238">
          <cell r="A238" t="str">
            <v>BUTIBORI TPP</v>
          </cell>
          <cell r="B238">
            <v>81.77</v>
          </cell>
          <cell r="C238">
            <v>2439.44</v>
          </cell>
          <cell r="D238">
            <v>2569.46</v>
          </cell>
          <cell r="E238">
            <v>2521.21</v>
          </cell>
          <cell r="F238">
            <v>3.243283978724501E-2</v>
          </cell>
        </row>
        <row r="239">
          <cell r="A239" t="str">
            <v>CHAKABURA TPP</v>
          </cell>
          <cell r="B239"/>
          <cell r="C239">
            <v>0</v>
          </cell>
          <cell r="D239"/>
          <cell r="E239">
            <v>0</v>
          </cell>
          <cell r="F239" t="e">
            <v>#DIV/0!</v>
          </cell>
        </row>
        <row r="240">
          <cell r="A240" t="str">
            <v>CHANDRAPUR STPS</v>
          </cell>
          <cell r="B240">
            <v>937.14</v>
          </cell>
          <cell r="C240">
            <v>27223.089999999997</v>
          </cell>
          <cell r="D240">
            <v>27632.360000000008</v>
          </cell>
          <cell r="E240">
            <v>28160.229999999996</v>
          </cell>
          <cell r="F240">
            <v>3.3278847509413102E-2</v>
          </cell>
        </row>
        <row r="241">
          <cell r="A241" t="str">
            <v>CHANDRAPUR(ASSAM) TPS</v>
          </cell>
          <cell r="B241"/>
          <cell r="C241">
            <v>0</v>
          </cell>
          <cell r="D241"/>
          <cell r="E241">
            <v>0</v>
          </cell>
          <cell r="F241" t="e">
            <v>#DIV/0!</v>
          </cell>
        </row>
        <row r="242">
          <cell r="A242" t="str">
            <v>CHANDRAPURA(DVC)</v>
          </cell>
          <cell r="B242">
            <v>0</v>
          </cell>
          <cell r="C242">
            <v>5350</v>
          </cell>
          <cell r="D242">
            <v>5021.3500000000004</v>
          </cell>
          <cell r="E242">
            <v>5350</v>
          </cell>
          <cell r="F242">
            <v>0</v>
          </cell>
        </row>
        <row r="243">
          <cell r="A243" t="str">
            <v>CHHABRA TPS</v>
          </cell>
          <cell r="B243">
            <v>0</v>
          </cell>
          <cell r="C243">
            <v>16887.239999999998</v>
          </cell>
          <cell r="D243">
            <v>12650.399999999998</v>
          </cell>
          <cell r="E243">
            <v>16887.239999999998</v>
          </cell>
          <cell r="F243">
            <v>0</v>
          </cell>
        </row>
        <row r="244">
          <cell r="A244" t="str">
            <v>CHINAKURI TPS</v>
          </cell>
          <cell r="B244"/>
          <cell r="C244">
            <v>0</v>
          </cell>
          <cell r="D244"/>
          <cell r="E244">
            <v>0</v>
          </cell>
          <cell r="F244" t="e">
            <v>#DIV/0!</v>
          </cell>
        </row>
        <row r="245">
          <cell r="A245" t="str">
            <v>D.P.L. TPS</v>
          </cell>
          <cell r="B245">
            <v>0</v>
          </cell>
          <cell r="C245">
            <v>3806.1100000000006</v>
          </cell>
          <cell r="D245">
            <v>3757.0199999999995</v>
          </cell>
          <cell r="E245">
            <v>3806.1100000000006</v>
          </cell>
          <cell r="F245">
            <v>0</v>
          </cell>
        </row>
        <row r="246">
          <cell r="A246" t="str">
            <v>DADRI (NCTPP)</v>
          </cell>
          <cell r="B246">
            <v>346.42</v>
          </cell>
          <cell r="C246">
            <v>14959.140000000001</v>
          </cell>
          <cell r="D246">
            <v>14485.640000000001</v>
          </cell>
          <cell r="E246">
            <v>15305.560000000001</v>
          </cell>
          <cell r="F246">
            <v>2.2633605042873307E-2</v>
          </cell>
        </row>
        <row r="247">
          <cell r="A247" t="str">
            <v>DAHANU TPS</v>
          </cell>
          <cell r="B247">
            <v>1513.0499999999997</v>
          </cell>
          <cell r="C247">
            <v>3839.0899999999997</v>
          </cell>
          <cell r="D247">
            <v>4916.1399999999994</v>
          </cell>
          <cell r="E247">
            <v>5352.1399999999994</v>
          </cell>
          <cell r="F247">
            <v>0.28270000411050533</v>
          </cell>
        </row>
        <row r="248">
          <cell r="A248" t="str">
            <v>DAMODARAN SANJEEVAIAH TPS</v>
          </cell>
          <cell r="B248">
            <v>1251.98</v>
          </cell>
          <cell r="C248">
            <v>9139.0499999999975</v>
          </cell>
          <cell r="D248">
            <v>10318.14</v>
          </cell>
          <cell r="E248">
            <v>10391.029999999997</v>
          </cell>
          <cell r="F248">
            <v>0.12048661201055144</v>
          </cell>
        </row>
        <row r="249">
          <cell r="A249" t="str">
            <v>DARLIPALI STPS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 t="e">
            <v>#DIV/0!</v>
          </cell>
        </row>
        <row r="250">
          <cell r="A250" t="str">
            <v>DERANG TPP</v>
          </cell>
          <cell r="B250">
            <v>10.01</v>
          </cell>
          <cell r="C250">
            <v>9592.8999999999978</v>
          </cell>
          <cell r="D250">
            <v>9016.31</v>
          </cell>
          <cell r="E250">
            <v>9602.909999999998</v>
          </cell>
          <cell r="F250">
            <v>1.0423923581497694E-3</v>
          </cell>
        </row>
        <row r="251">
          <cell r="A251" t="str">
            <v>DHARIWAL TPS</v>
          </cell>
          <cell r="B251">
            <v>121.49</v>
          </cell>
          <cell r="C251">
            <v>3972.7100000000005</v>
          </cell>
          <cell r="D251">
            <v>3949.5999999999995</v>
          </cell>
          <cell r="E251">
            <v>4094.2000000000003</v>
          </cell>
          <cell r="F251">
            <v>2.9673684724732544E-2</v>
          </cell>
        </row>
        <row r="252">
          <cell r="A252" t="str">
            <v>DR. N TATA RAO TPS</v>
          </cell>
          <cell r="B252">
            <v>0</v>
          </cell>
          <cell r="C252">
            <v>21687.22</v>
          </cell>
          <cell r="D252">
            <v>21619.159999999996</v>
          </cell>
          <cell r="E252">
            <v>21687.22</v>
          </cell>
          <cell r="F252">
            <v>0</v>
          </cell>
        </row>
        <row r="253">
          <cell r="A253" t="str">
            <v>DSPM TPS</v>
          </cell>
          <cell r="B253">
            <v>0</v>
          </cell>
          <cell r="C253">
            <v>6190.22</v>
          </cell>
          <cell r="D253">
            <v>6182.92</v>
          </cell>
          <cell r="E253">
            <v>6190.22</v>
          </cell>
          <cell r="F253">
            <v>0</v>
          </cell>
        </row>
        <row r="254">
          <cell r="A254" t="str">
            <v>DURGAPUR STEEL TPS</v>
          </cell>
          <cell r="B254">
            <v>0</v>
          </cell>
          <cell r="C254">
            <v>10338.94</v>
          </cell>
          <cell r="D254">
            <v>9769.5999999999985</v>
          </cell>
          <cell r="E254">
            <v>10338.94</v>
          </cell>
          <cell r="F254">
            <v>0</v>
          </cell>
        </row>
        <row r="255">
          <cell r="A255" t="str">
            <v>DURGAPUR TPS</v>
          </cell>
          <cell r="B255">
            <v>0</v>
          </cell>
          <cell r="C255">
            <v>1617.2200000000003</v>
          </cell>
          <cell r="D255">
            <v>1442.1499999999999</v>
          </cell>
          <cell r="E255">
            <v>1617.2200000000003</v>
          </cell>
          <cell r="F255">
            <v>0</v>
          </cell>
        </row>
        <row r="256">
          <cell r="A256" t="str">
            <v>FARAKKA STPS</v>
          </cell>
          <cell r="B256">
            <v>254</v>
          </cell>
          <cell r="C256">
            <v>22810.49</v>
          </cell>
          <cell r="D256">
            <v>22781.229999999996</v>
          </cell>
          <cell r="E256">
            <v>23064.49</v>
          </cell>
          <cell r="F256">
            <v>1.1012599888399872E-2</v>
          </cell>
        </row>
        <row r="257">
          <cell r="A257" t="str">
            <v>GADARWARA TPP</v>
          </cell>
          <cell r="B257">
            <v>0</v>
          </cell>
          <cell r="C257">
            <v>470.29999999999995</v>
          </cell>
          <cell r="D257">
            <v>422.27</v>
          </cell>
          <cell r="E257">
            <v>470.29999999999995</v>
          </cell>
          <cell r="F257">
            <v>0</v>
          </cell>
        </row>
        <row r="258">
          <cell r="A258" t="str">
            <v>GANDHI NAGAR TPS</v>
          </cell>
          <cell r="B258">
            <v>481.07000000000005</v>
          </cell>
          <cell r="C258">
            <v>4348.130000000001</v>
          </cell>
          <cell r="D258">
            <v>4878.8900000000012</v>
          </cell>
          <cell r="E258">
            <v>4829.2000000000007</v>
          </cell>
          <cell r="F258">
            <v>9.9616913774538227E-2</v>
          </cell>
        </row>
        <row r="259">
          <cell r="A259" t="str">
            <v>GEPL TPP PH-I</v>
          </cell>
          <cell r="B259"/>
          <cell r="C259">
            <v>0</v>
          </cell>
          <cell r="D259"/>
          <cell r="E259">
            <v>0</v>
          </cell>
          <cell r="F259" t="e">
            <v>#DIV/0!</v>
          </cell>
        </row>
        <row r="260">
          <cell r="A260" t="str">
            <v>GH TPS (LEH.MOH.)</v>
          </cell>
          <cell r="B260">
            <v>0</v>
          </cell>
          <cell r="C260">
            <v>3350.5000000000009</v>
          </cell>
          <cell r="D260">
            <v>3258.3300000000004</v>
          </cell>
          <cell r="E260">
            <v>3350.5000000000009</v>
          </cell>
          <cell r="F260">
            <v>0</v>
          </cell>
        </row>
        <row r="261">
          <cell r="A261" t="str">
            <v>GIRAL TPS</v>
          </cell>
          <cell r="B261"/>
          <cell r="C261">
            <v>0</v>
          </cell>
          <cell r="D261"/>
          <cell r="E261">
            <v>0</v>
          </cell>
          <cell r="F261" t="e">
            <v>#DIV/0!</v>
          </cell>
        </row>
        <row r="262">
          <cell r="A262" t="str">
            <v>GMR WARORA TPS</v>
          </cell>
          <cell r="B262">
            <v>52.929999999999993</v>
          </cell>
          <cell r="C262">
            <v>6098.33</v>
          </cell>
          <cell r="D262">
            <v>6103.6699999999992</v>
          </cell>
          <cell r="E262">
            <v>6151.26</v>
          </cell>
          <cell r="F262">
            <v>8.6047411424651186E-3</v>
          </cell>
        </row>
        <row r="263">
          <cell r="A263" t="str">
            <v>GND TPS(BHATINDA)</v>
          </cell>
          <cell r="B263">
            <v>0</v>
          </cell>
          <cell r="C263">
            <v>0</v>
          </cell>
          <cell r="D263">
            <v>31</v>
          </cell>
          <cell r="E263">
            <v>0</v>
          </cell>
          <cell r="F263" t="e">
            <v>#DIV/0!</v>
          </cell>
        </row>
        <row r="264">
          <cell r="A264" t="str">
            <v>GOINDWAL SAHIB</v>
          </cell>
          <cell r="B264">
            <v>102.44000000000001</v>
          </cell>
          <cell r="C264">
            <v>3442.6600000000008</v>
          </cell>
          <cell r="D264">
            <v>3284.7100000000005</v>
          </cell>
          <cell r="E264">
            <v>3545.1000000000008</v>
          </cell>
          <cell r="F264">
            <v>2.8896222955628895E-2</v>
          </cell>
        </row>
        <row r="265">
          <cell r="A265" t="str">
            <v>HALDIA TPP</v>
          </cell>
          <cell r="B265">
            <v>170.65</v>
          </cell>
          <cell r="C265">
            <v>7303.08</v>
          </cell>
          <cell r="D265">
            <v>7358.72</v>
          </cell>
          <cell r="E265">
            <v>7473.73</v>
          </cell>
          <cell r="F265">
            <v>2.2833310809997152E-2</v>
          </cell>
        </row>
        <row r="266">
          <cell r="A266" t="str">
            <v>HARDUAGANJ TPS</v>
          </cell>
          <cell r="B266">
            <v>0</v>
          </cell>
          <cell r="C266">
            <v>5310.52</v>
          </cell>
          <cell r="D266">
            <v>5193.63</v>
          </cell>
          <cell r="E266">
            <v>5310.52</v>
          </cell>
          <cell r="F266">
            <v>0</v>
          </cell>
        </row>
        <row r="267">
          <cell r="A267" t="str">
            <v>HIRANMAYE TPP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 t="e">
            <v>#DIV/0!</v>
          </cell>
        </row>
        <row r="268">
          <cell r="A268" t="str">
            <v>IB VALLEY TPS</v>
          </cell>
          <cell r="B268">
            <v>0</v>
          </cell>
          <cell r="C268">
            <v>7977.0500000000011</v>
          </cell>
          <cell r="D268">
            <v>7852.5999999999995</v>
          </cell>
          <cell r="E268">
            <v>7977.0500000000011</v>
          </cell>
          <cell r="F268">
            <v>0</v>
          </cell>
        </row>
        <row r="269">
          <cell r="A269" t="str">
            <v>INDBHARATH TUTICORIN TPP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 t="e">
            <v>#DIV/0!</v>
          </cell>
        </row>
        <row r="270">
          <cell r="A270" t="str">
            <v>INDIRA GANDHI STPP</v>
          </cell>
          <cell r="B270">
            <v>495.21000000000004</v>
          </cell>
          <cell r="C270">
            <v>10176.300000000003</v>
          </cell>
          <cell r="D270">
            <v>9794.0599999999977</v>
          </cell>
          <cell r="E270">
            <v>10671.510000000002</v>
          </cell>
          <cell r="F270">
            <v>4.6404866790173083E-2</v>
          </cell>
        </row>
        <row r="271">
          <cell r="A271" t="str">
            <v>ITPCL TPP</v>
          </cell>
          <cell r="B271">
            <v>8187.77</v>
          </cell>
          <cell r="C271">
            <v>0</v>
          </cell>
          <cell r="D271">
            <v>7979.670000000001</v>
          </cell>
          <cell r="E271">
            <v>8187.77</v>
          </cell>
          <cell r="F271">
            <v>1</v>
          </cell>
        </row>
        <row r="272">
          <cell r="A272" t="str">
            <v>JALIPA KAPURDI TPP</v>
          </cell>
          <cell r="B272"/>
          <cell r="C272">
            <v>0</v>
          </cell>
          <cell r="D272"/>
          <cell r="E272">
            <v>0</v>
          </cell>
          <cell r="F272" t="e">
            <v>#DIV/0!</v>
          </cell>
        </row>
        <row r="273">
          <cell r="A273" t="str">
            <v>JOJOBERA TPS</v>
          </cell>
          <cell r="B273">
            <v>148</v>
          </cell>
          <cell r="C273">
            <v>2411.3500000000004</v>
          </cell>
          <cell r="D273">
            <v>2449.84</v>
          </cell>
          <cell r="E273">
            <v>2559.3500000000004</v>
          </cell>
          <cell r="F273">
            <v>5.782718268310312E-2</v>
          </cell>
        </row>
        <row r="274">
          <cell r="A274" t="str">
            <v>JSW RATNAGIRI TPP</v>
          </cell>
          <cell r="B274">
            <v>8059.3499999999985</v>
          </cell>
          <cell r="C274">
            <v>0</v>
          </cell>
          <cell r="D274">
            <v>8067.63</v>
          </cell>
          <cell r="E274">
            <v>8059.3499999999985</v>
          </cell>
          <cell r="F274">
            <v>1</v>
          </cell>
        </row>
        <row r="275">
          <cell r="A275" t="str">
            <v>KAHALGAON TPS</v>
          </cell>
          <cell r="B275">
            <v>0</v>
          </cell>
          <cell r="C275">
            <v>31466.010000000002</v>
          </cell>
          <cell r="D275">
            <v>31066.01</v>
          </cell>
          <cell r="E275">
            <v>31466.010000000002</v>
          </cell>
          <cell r="F275">
            <v>0</v>
          </cell>
        </row>
        <row r="276">
          <cell r="A276" t="str">
            <v>KAKATIYA TPS</v>
          </cell>
          <cell r="B276">
            <v>0</v>
          </cell>
          <cell r="C276">
            <v>10294.230000000001</v>
          </cell>
          <cell r="D276">
            <v>10246.99</v>
          </cell>
          <cell r="E276">
            <v>10294.230000000001</v>
          </cell>
          <cell r="F276">
            <v>0</v>
          </cell>
        </row>
        <row r="277">
          <cell r="A277" t="str">
            <v>KALISINDH TPS</v>
          </cell>
          <cell r="B277">
            <v>0</v>
          </cell>
          <cell r="C277">
            <v>8736.9699999999993</v>
          </cell>
          <cell r="D277">
            <v>8692.7199999999993</v>
          </cell>
          <cell r="E277">
            <v>8736.9699999999993</v>
          </cell>
          <cell r="F277">
            <v>0</v>
          </cell>
        </row>
        <row r="278">
          <cell r="A278" t="str">
            <v>KAMALANGA TPS</v>
          </cell>
          <cell r="B278">
            <v>489.14</v>
          </cell>
          <cell r="C278">
            <v>10163.48</v>
          </cell>
          <cell r="D278">
            <v>10711.619999999997</v>
          </cell>
          <cell r="E278">
            <v>10652.619999999999</v>
          </cell>
          <cell r="F278">
            <v>4.5917342400273363E-2</v>
          </cell>
        </row>
        <row r="279">
          <cell r="A279" t="str">
            <v>KASAIPALLI TPP</v>
          </cell>
          <cell r="B279"/>
          <cell r="C279">
            <v>0</v>
          </cell>
          <cell r="D279"/>
          <cell r="E279">
            <v>0</v>
          </cell>
          <cell r="F279" t="e">
            <v>#DIV/0!</v>
          </cell>
        </row>
        <row r="280">
          <cell r="A280" t="str">
            <v>KATGHORA TPP</v>
          </cell>
          <cell r="B280"/>
          <cell r="C280">
            <v>0</v>
          </cell>
          <cell r="D280"/>
          <cell r="E280">
            <v>0</v>
          </cell>
          <cell r="F280" t="e">
            <v>#DIV/0!</v>
          </cell>
        </row>
        <row r="281">
          <cell r="A281" t="str">
            <v>KAWAI TPS</v>
          </cell>
          <cell r="B281">
            <v>1463.35</v>
          </cell>
          <cell r="C281">
            <v>8597.5099999999984</v>
          </cell>
          <cell r="D281">
            <v>9578.6000000000022</v>
          </cell>
          <cell r="E281">
            <v>10060.859999999999</v>
          </cell>
          <cell r="F281">
            <v>0.14544979256246485</v>
          </cell>
        </row>
        <row r="282">
          <cell r="A282" t="str">
            <v>KHAMBARKHERA TPS</v>
          </cell>
          <cell r="B282">
            <v>0</v>
          </cell>
          <cell r="C282">
            <v>193.36999999999995</v>
          </cell>
          <cell r="D282">
            <v>209.44999999999996</v>
          </cell>
          <cell r="E282">
            <v>193.36999999999995</v>
          </cell>
          <cell r="F282">
            <v>0</v>
          </cell>
        </row>
        <row r="283">
          <cell r="A283" t="str">
            <v>KHAPARKHEDA TPS</v>
          </cell>
          <cell r="B283">
            <v>362.34</v>
          </cell>
          <cell r="C283">
            <v>14557.849999999999</v>
          </cell>
          <cell r="D283">
            <v>14554.840000000002</v>
          </cell>
          <cell r="E283">
            <v>14920.189999999999</v>
          </cell>
          <cell r="F283">
            <v>2.4285213526101211E-2</v>
          </cell>
        </row>
        <row r="284">
          <cell r="A284" t="str">
            <v>KHARGONE STPP</v>
          </cell>
          <cell r="B284">
            <v>0</v>
          </cell>
          <cell r="C284">
            <v>116</v>
          </cell>
          <cell r="D284">
            <v>189</v>
          </cell>
          <cell r="E284">
            <v>116</v>
          </cell>
          <cell r="F284">
            <v>0</v>
          </cell>
        </row>
        <row r="285">
          <cell r="A285" t="str">
            <v>KODARMA TPS</v>
          </cell>
          <cell r="B285">
            <v>0</v>
          </cell>
          <cell r="C285">
            <v>9635.6500000000015</v>
          </cell>
          <cell r="D285">
            <v>9240.35</v>
          </cell>
          <cell r="E285">
            <v>9635.6500000000015</v>
          </cell>
          <cell r="F285">
            <v>0</v>
          </cell>
        </row>
        <row r="286">
          <cell r="A286" t="str">
            <v>KOLAGHAT TPS</v>
          </cell>
          <cell r="B286">
            <v>11.15</v>
          </cell>
          <cell r="C286">
            <v>8235.33</v>
          </cell>
          <cell r="D286">
            <v>8253.8600000000024</v>
          </cell>
          <cell r="E286">
            <v>8246.48</v>
          </cell>
          <cell r="F286">
            <v>1.3520920441206432E-3</v>
          </cell>
        </row>
        <row r="287">
          <cell r="A287" t="str">
            <v>KORADI TPS</v>
          </cell>
          <cell r="B287">
            <v>1185.1600000000001</v>
          </cell>
          <cell r="C287">
            <v>15400.039999999999</v>
          </cell>
          <cell r="D287">
            <v>16210.259999999998</v>
          </cell>
          <cell r="E287">
            <v>16585.2</v>
          </cell>
          <cell r="F287">
            <v>7.1458891059498833E-2</v>
          </cell>
        </row>
        <row r="288">
          <cell r="A288" t="str">
            <v>KORBA STPS</v>
          </cell>
          <cell r="B288">
            <v>0</v>
          </cell>
          <cell r="C288">
            <v>33134.18</v>
          </cell>
          <cell r="D288">
            <v>32493.120000000003</v>
          </cell>
          <cell r="E288">
            <v>33134.18</v>
          </cell>
          <cell r="F288">
            <v>0</v>
          </cell>
        </row>
        <row r="289">
          <cell r="A289" t="str">
            <v>KORBA-II</v>
          </cell>
          <cell r="B289">
            <v>0</v>
          </cell>
          <cell r="C289">
            <v>2741.4099999999994</v>
          </cell>
          <cell r="D289">
            <v>2680.3900000000003</v>
          </cell>
          <cell r="E289">
            <v>2741.4099999999994</v>
          </cell>
          <cell r="F289">
            <v>0</v>
          </cell>
        </row>
        <row r="290">
          <cell r="A290" t="str">
            <v>KORBA-III</v>
          </cell>
          <cell r="B290">
            <v>0</v>
          </cell>
          <cell r="C290">
            <v>605.12</v>
          </cell>
          <cell r="D290">
            <v>600.84</v>
          </cell>
          <cell r="E290">
            <v>605.12</v>
          </cell>
          <cell r="F290">
            <v>0</v>
          </cell>
        </row>
        <row r="291">
          <cell r="A291" t="str">
            <v>KORBA-WEST TPS</v>
          </cell>
          <cell r="B291">
            <v>0</v>
          </cell>
          <cell r="C291">
            <v>15935.199999999999</v>
          </cell>
          <cell r="D291">
            <v>15446.78</v>
          </cell>
          <cell r="E291">
            <v>15935.199999999999</v>
          </cell>
          <cell r="F291">
            <v>0</v>
          </cell>
        </row>
        <row r="292">
          <cell r="A292" t="str">
            <v>KOTA TPS</v>
          </cell>
          <cell r="B292">
            <v>0</v>
          </cell>
          <cell r="C292">
            <v>13361.89</v>
          </cell>
          <cell r="D292">
            <v>13346.05</v>
          </cell>
          <cell r="E292">
            <v>13361.89</v>
          </cell>
          <cell r="F292">
            <v>0</v>
          </cell>
        </row>
        <row r="293">
          <cell r="A293" t="str">
            <v>KOTHAGUDEM NEW TPS</v>
          </cell>
          <cell r="B293">
            <v>0</v>
          </cell>
          <cell r="C293">
            <v>13070.720000000003</v>
          </cell>
          <cell r="D293">
            <v>12841.149999999996</v>
          </cell>
          <cell r="E293">
            <v>13070.720000000003</v>
          </cell>
          <cell r="F293">
            <v>0</v>
          </cell>
        </row>
        <row r="294">
          <cell r="A294" t="str">
            <v>KOTHAGUDEM STAGE-7 TPS</v>
          </cell>
          <cell r="B294">
            <v>0</v>
          </cell>
          <cell r="C294">
            <v>2625.2000000000007</v>
          </cell>
          <cell r="D294">
            <v>2767.5099999999998</v>
          </cell>
          <cell r="E294">
            <v>2625.2000000000007</v>
          </cell>
          <cell r="F294">
            <v>0</v>
          </cell>
        </row>
        <row r="295">
          <cell r="A295" t="str">
            <v>KOTHAGUDEM TPS</v>
          </cell>
          <cell r="B295">
            <v>0</v>
          </cell>
          <cell r="C295">
            <v>7966.3500000000013</v>
          </cell>
          <cell r="D295">
            <v>7681.89</v>
          </cell>
          <cell r="E295">
            <v>7966.3500000000013</v>
          </cell>
          <cell r="F295">
            <v>0</v>
          </cell>
        </row>
        <row r="296">
          <cell r="A296" t="str">
            <v>KUDGI STPP</v>
          </cell>
          <cell r="B296">
            <v>384.88</v>
          </cell>
          <cell r="C296">
            <v>7484.58</v>
          </cell>
          <cell r="D296">
            <v>7816.83</v>
          </cell>
          <cell r="E296">
            <v>7869.46</v>
          </cell>
          <cell r="F296">
            <v>4.8908057223748518E-2</v>
          </cell>
        </row>
        <row r="297">
          <cell r="A297" t="str">
            <v>KUNDARKI TPS</v>
          </cell>
          <cell r="B297">
            <v>0</v>
          </cell>
          <cell r="C297">
            <v>284.22000000000003</v>
          </cell>
          <cell r="D297">
            <v>287.65999999999997</v>
          </cell>
          <cell r="E297">
            <v>284.22000000000003</v>
          </cell>
          <cell r="F297">
            <v>0</v>
          </cell>
        </row>
        <row r="298">
          <cell r="A298" t="str">
            <v>KUTCH LIG. TPS</v>
          </cell>
          <cell r="B298"/>
          <cell r="C298">
            <v>0</v>
          </cell>
          <cell r="D298"/>
          <cell r="E298">
            <v>0</v>
          </cell>
          <cell r="F298" t="e">
            <v>#DIV/0!</v>
          </cell>
        </row>
        <row r="299">
          <cell r="A299" t="str">
            <v>LALITPUR TPS</v>
          </cell>
          <cell r="B299">
            <v>0</v>
          </cell>
          <cell r="C299">
            <v>10757.31</v>
          </cell>
          <cell r="D299">
            <v>10443.6</v>
          </cell>
          <cell r="E299">
            <v>10757.31</v>
          </cell>
          <cell r="F299">
            <v>0</v>
          </cell>
        </row>
        <row r="300">
          <cell r="A300" t="str">
            <v>LARA TPP</v>
          </cell>
          <cell r="B300">
            <v>0</v>
          </cell>
          <cell r="C300">
            <v>2175.4700000000003</v>
          </cell>
          <cell r="D300">
            <v>2151.54</v>
          </cell>
          <cell r="E300">
            <v>2175.4700000000003</v>
          </cell>
          <cell r="F300">
            <v>0</v>
          </cell>
        </row>
        <row r="301">
          <cell r="A301" t="str">
            <v>MAHADEV PRASAD STPP</v>
          </cell>
          <cell r="B301">
            <v>7.71</v>
          </cell>
          <cell r="C301">
            <v>4687.1000000000004</v>
          </cell>
          <cell r="D301">
            <v>4710.6600000000008</v>
          </cell>
          <cell r="E301">
            <v>4694.8100000000004</v>
          </cell>
          <cell r="F301">
            <v>1.6422389830472372E-3</v>
          </cell>
        </row>
        <row r="302">
          <cell r="A302" t="str">
            <v>MAHAN TPP</v>
          </cell>
          <cell r="B302">
            <v>0</v>
          </cell>
          <cell r="C302">
            <v>5326.15</v>
          </cell>
          <cell r="D302">
            <v>5047.9999999999991</v>
          </cell>
          <cell r="E302">
            <v>5326.15</v>
          </cell>
          <cell r="F302">
            <v>0</v>
          </cell>
        </row>
        <row r="303">
          <cell r="A303" t="str">
            <v>MAHATMA GANDHI TPS</v>
          </cell>
          <cell r="B303">
            <v>0</v>
          </cell>
          <cell r="C303">
            <v>10747.54</v>
          </cell>
          <cell r="D303">
            <v>10447.740000000002</v>
          </cell>
          <cell r="E303">
            <v>10747.54</v>
          </cell>
          <cell r="F303">
            <v>0</v>
          </cell>
        </row>
        <row r="304">
          <cell r="A304" t="str">
            <v>MAITHON RB TPP</v>
          </cell>
          <cell r="B304">
            <v>178.58000000000004</v>
          </cell>
          <cell r="C304">
            <v>9745.0799999999981</v>
          </cell>
          <cell r="D304">
            <v>9774.2699999999986</v>
          </cell>
          <cell r="E304">
            <v>9923.659999999998</v>
          </cell>
          <cell r="F304">
            <v>1.7995376705771868E-2</v>
          </cell>
        </row>
        <row r="305">
          <cell r="A305" t="str">
            <v>MAQSOODPUR TPS</v>
          </cell>
          <cell r="B305">
            <v>0</v>
          </cell>
          <cell r="C305">
            <v>212.29</v>
          </cell>
          <cell r="D305">
            <v>225.66999999999996</v>
          </cell>
          <cell r="E305">
            <v>212.29</v>
          </cell>
          <cell r="F305">
            <v>0</v>
          </cell>
        </row>
        <row r="306">
          <cell r="A306" t="str">
            <v>MARWA TPS</v>
          </cell>
          <cell r="B306">
            <v>0</v>
          </cell>
          <cell r="C306">
            <v>9119.17</v>
          </cell>
          <cell r="D306">
            <v>9158.6699999999983</v>
          </cell>
          <cell r="E306">
            <v>9119.17</v>
          </cell>
          <cell r="F306">
            <v>0</v>
          </cell>
        </row>
        <row r="307">
          <cell r="A307" t="str">
            <v>MAUDA TPS</v>
          </cell>
          <cell r="B307">
            <v>545.18999999999994</v>
          </cell>
          <cell r="C307">
            <v>17847.93</v>
          </cell>
          <cell r="D307">
            <v>17736.579999999998</v>
          </cell>
          <cell r="E307">
            <v>18393.12</v>
          </cell>
          <cell r="F307">
            <v>2.9640974451316578E-2</v>
          </cell>
        </row>
        <row r="308">
          <cell r="A308" t="str">
            <v>MEJA STPP</v>
          </cell>
          <cell r="B308">
            <v>0</v>
          </cell>
          <cell r="C308">
            <v>791.37</v>
          </cell>
          <cell r="D308">
            <v>617.78</v>
          </cell>
          <cell r="E308">
            <v>791.37</v>
          </cell>
          <cell r="F308">
            <v>0</v>
          </cell>
        </row>
        <row r="309">
          <cell r="A309" t="str">
            <v>MEJIA TPS</v>
          </cell>
          <cell r="B309">
            <v>0</v>
          </cell>
          <cell r="C309">
            <v>20730.32</v>
          </cell>
          <cell r="D309">
            <v>19923.219999999998</v>
          </cell>
          <cell r="E309">
            <v>20730.32</v>
          </cell>
          <cell r="F309">
            <v>0</v>
          </cell>
        </row>
        <row r="310">
          <cell r="A310" t="str">
            <v>METTUR TPS</v>
          </cell>
          <cell r="B310">
            <v>1855.48</v>
          </cell>
          <cell r="C310">
            <v>7135.2300000000005</v>
          </cell>
          <cell r="D310">
            <v>8890.7700000000023</v>
          </cell>
          <cell r="E310">
            <v>8990.7100000000009</v>
          </cell>
          <cell r="F310">
            <v>0.20637747185706132</v>
          </cell>
        </row>
        <row r="311">
          <cell r="A311" t="str">
            <v>METTUR TPS EXT</v>
          </cell>
          <cell r="B311">
            <v>1415.3899999999999</v>
          </cell>
          <cell r="C311">
            <v>3377.4299999999994</v>
          </cell>
          <cell r="D311">
            <v>4773.3499999999995</v>
          </cell>
          <cell r="E311">
            <v>4792.82</v>
          </cell>
          <cell r="F311">
            <v>0.29531465817618852</v>
          </cell>
        </row>
        <row r="312">
          <cell r="A312" t="str">
            <v>MIHAN TPS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 t="e">
            <v>#DIV/0!</v>
          </cell>
        </row>
        <row r="313">
          <cell r="A313" t="str">
            <v>MUNDRA TPS</v>
          </cell>
          <cell r="B313">
            <v>33137.18</v>
          </cell>
          <cell r="C313">
            <v>0</v>
          </cell>
          <cell r="D313">
            <v>33077.020000000004</v>
          </cell>
          <cell r="E313">
            <v>33137.18</v>
          </cell>
          <cell r="F313">
            <v>1</v>
          </cell>
        </row>
        <row r="314">
          <cell r="A314" t="str">
            <v>MUNDRA UMTPP</v>
          </cell>
          <cell r="B314">
            <v>28036.95</v>
          </cell>
          <cell r="C314">
            <v>0</v>
          </cell>
          <cell r="D314">
            <v>27348.300000000003</v>
          </cell>
          <cell r="E314">
            <v>28036.95</v>
          </cell>
          <cell r="F314">
            <v>1</v>
          </cell>
        </row>
        <row r="315">
          <cell r="A315" t="str">
            <v>MUTHIARA TPP</v>
          </cell>
          <cell r="B315">
            <v>5497.1299999999992</v>
          </cell>
          <cell r="C315">
            <v>0</v>
          </cell>
          <cell r="D315">
            <v>5390.54</v>
          </cell>
          <cell r="E315">
            <v>5497.1299999999992</v>
          </cell>
          <cell r="F315">
            <v>1</v>
          </cell>
        </row>
        <row r="316">
          <cell r="A316" t="str">
            <v>MUZAFFARPUR TPS</v>
          </cell>
          <cell r="B316">
            <v>0</v>
          </cell>
          <cell r="C316">
            <v>4950.9900000000007</v>
          </cell>
          <cell r="D316">
            <v>4884.0300000000007</v>
          </cell>
          <cell r="E316">
            <v>4950.9900000000007</v>
          </cell>
          <cell r="F316">
            <v>0</v>
          </cell>
        </row>
        <row r="317">
          <cell r="A317" t="str">
            <v>NABI NAGAR TPP</v>
          </cell>
          <cell r="B317">
            <v>0</v>
          </cell>
          <cell r="C317">
            <v>5155.0999999999995</v>
          </cell>
          <cell r="D317">
            <v>5026.420000000001</v>
          </cell>
          <cell r="E317">
            <v>5155.0999999999995</v>
          </cell>
          <cell r="F317">
            <v>0</v>
          </cell>
        </row>
        <row r="318">
          <cell r="A318" t="str">
            <v>NABINAGAR STPP</v>
          </cell>
          <cell r="B318">
            <v>0</v>
          </cell>
          <cell r="C318">
            <v>1095.2</v>
          </cell>
          <cell r="D318">
            <v>924.27</v>
          </cell>
          <cell r="E318">
            <v>1095.2</v>
          </cell>
          <cell r="F318">
            <v>0</v>
          </cell>
        </row>
        <row r="319">
          <cell r="A319" t="str">
            <v>NASIK (P) TPS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 t="e">
            <v>#DIV/0!</v>
          </cell>
        </row>
        <row r="320">
          <cell r="A320" t="str">
            <v>NASIK TPS</v>
          </cell>
          <cell r="B320">
            <v>0</v>
          </cell>
          <cell r="C320">
            <v>5017.8499999999995</v>
          </cell>
          <cell r="D320">
            <v>4880.199999999998</v>
          </cell>
          <cell r="E320">
            <v>5017.8499999999995</v>
          </cell>
          <cell r="F320">
            <v>0</v>
          </cell>
        </row>
        <row r="321">
          <cell r="A321" t="str">
            <v>NAWAPARA TPP</v>
          </cell>
          <cell r="B321">
            <v>0.17</v>
          </cell>
          <cell r="C321">
            <v>5364.58</v>
          </cell>
          <cell r="D321">
            <v>5389.56</v>
          </cell>
          <cell r="E321">
            <v>5364.75</v>
          </cell>
          <cell r="F321">
            <v>3.1688335896360502E-5</v>
          </cell>
        </row>
        <row r="322">
          <cell r="A322" t="str">
            <v>NEYVELI (EXT) TPS</v>
          </cell>
          <cell r="B322"/>
          <cell r="C322">
            <v>0</v>
          </cell>
          <cell r="D322"/>
          <cell r="E322">
            <v>0</v>
          </cell>
          <cell r="F322" t="e">
            <v>#DIV/0!</v>
          </cell>
        </row>
        <row r="323">
          <cell r="A323" t="str">
            <v>NEYVELI NEW TPP</v>
          </cell>
          <cell r="B323"/>
          <cell r="C323">
            <v>0</v>
          </cell>
          <cell r="D323"/>
          <cell r="E323">
            <v>0</v>
          </cell>
          <cell r="F323" t="e">
            <v>#DIV/0!</v>
          </cell>
        </row>
        <row r="324">
          <cell r="A324" t="str">
            <v>NEYVELI TPS (Z)</v>
          </cell>
          <cell r="B324"/>
          <cell r="C324">
            <v>0</v>
          </cell>
          <cell r="D324"/>
          <cell r="E324">
            <v>0</v>
          </cell>
          <cell r="F324" t="e">
            <v>#DIV/0!</v>
          </cell>
        </row>
        <row r="325">
          <cell r="A325" t="str">
            <v>NEYVELI TPS- I</v>
          </cell>
          <cell r="B325"/>
          <cell r="C325">
            <v>0</v>
          </cell>
          <cell r="D325"/>
          <cell r="E325">
            <v>0</v>
          </cell>
          <cell r="F325" t="e">
            <v>#DIV/0!</v>
          </cell>
        </row>
        <row r="326">
          <cell r="A326" t="str">
            <v>NEYVELI TPS-II</v>
          </cell>
          <cell r="B326"/>
          <cell r="C326">
            <v>0</v>
          </cell>
          <cell r="D326"/>
          <cell r="E326">
            <v>0</v>
          </cell>
          <cell r="F326" t="e">
            <v>#DIV/0!</v>
          </cell>
        </row>
        <row r="327">
          <cell r="A327" t="str">
            <v>NEYVELI TPS-II EXP</v>
          </cell>
          <cell r="B327"/>
          <cell r="C327">
            <v>0</v>
          </cell>
          <cell r="D327"/>
          <cell r="E327">
            <v>0</v>
          </cell>
          <cell r="F327" t="e">
            <v>#DIV/0!</v>
          </cell>
        </row>
        <row r="328">
          <cell r="A328" t="str">
            <v>NIGRI TPP</v>
          </cell>
          <cell r="B328">
            <v>0</v>
          </cell>
          <cell r="C328">
            <v>9817.239999999998</v>
          </cell>
          <cell r="D328">
            <v>9327.1799999999985</v>
          </cell>
          <cell r="E328">
            <v>9817.239999999998</v>
          </cell>
          <cell r="F328">
            <v>0</v>
          </cell>
        </row>
        <row r="329">
          <cell r="A329" t="str">
            <v>NIWARI TPP</v>
          </cell>
          <cell r="B329"/>
          <cell r="C329">
            <v>0</v>
          </cell>
          <cell r="D329"/>
          <cell r="E329">
            <v>0</v>
          </cell>
          <cell r="F329" t="e">
            <v>#DIV/0!</v>
          </cell>
        </row>
        <row r="330">
          <cell r="A330" t="str">
            <v>NORTH CHENNAI TPS</v>
          </cell>
          <cell r="B330">
            <v>3086.2099999999996</v>
          </cell>
          <cell r="C330">
            <v>14333.16</v>
          </cell>
          <cell r="D330">
            <v>17283.75</v>
          </cell>
          <cell r="E330">
            <v>17419.37</v>
          </cell>
          <cell r="F330">
            <v>0.17717116061028612</v>
          </cell>
        </row>
        <row r="331">
          <cell r="A331" t="str">
            <v>NTPL TUTICORIN (JV) TPP</v>
          </cell>
          <cell r="B331">
            <v>1426.8600000000001</v>
          </cell>
          <cell r="C331">
            <v>6668.6799999999976</v>
          </cell>
          <cell r="D331">
            <v>8000.2399999999989</v>
          </cell>
          <cell r="E331">
            <v>8095.5399999999972</v>
          </cell>
          <cell r="F331">
            <v>0.17625260328526579</v>
          </cell>
        </row>
        <row r="332">
          <cell r="A332" t="str">
            <v>OBRA TPS</v>
          </cell>
          <cell r="B332">
            <v>0</v>
          </cell>
          <cell r="C332">
            <v>7069.99</v>
          </cell>
          <cell r="D332">
            <v>6678.71</v>
          </cell>
          <cell r="E332">
            <v>7069.99</v>
          </cell>
          <cell r="F332">
            <v>0</v>
          </cell>
        </row>
        <row r="333">
          <cell r="A333" t="str">
            <v>OP JINDAL TPS</v>
          </cell>
          <cell r="B333">
            <v>240.97</v>
          </cell>
          <cell r="C333">
            <v>5228.6400000000003</v>
          </cell>
          <cell r="D333">
            <v>5255.66</v>
          </cell>
          <cell r="E333">
            <v>5469.6100000000006</v>
          </cell>
          <cell r="F333">
            <v>4.4056157568821169E-2</v>
          </cell>
        </row>
        <row r="334">
          <cell r="A334" t="str">
            <v>OP JINDAL TPS2</v>
          </cell>
          <cell r="B334">
            <v>114.11</v>
          </cell>
          <cell r="C334">
            <v>13229.48</v>
          </cell>
          <cell r="D334">
            <v>13267.310000000001</v>
          </cell>
          <cell r="E334">
            <v>13343.59</v>
          </cell>
          <cell r="F334">
            <v>8.5516716266012364E-3</v>
          </cell>
        </row>
        <row r="335">
          <cell r="A335" t="str">
            <v>PAINAMPURAM TPP</v>
          </cell>
          <cell r="B335">
            <v>6638.11</v>
          </cell>
          <cell r="C335">
            <v>6240.4299999999994</v>
          </cell>
          <cell r="D335">
            <v>12877.75</v>
          </cell>
          <cell r="E335">
            <v>12878.539999999999</v>
          </cell>
          <cell r="F335">
            <v>0.51543963834409801</v>
          </cell>
        </row>
        <row r="336">
          <cell r="A336" t="str">
            <v>PANIPAT TPS</v>
          </cell>
          <cell r="B336">
            <v>0</v>
          </cell>
          <cell r="C336">
            <v>4714.3499999999995</v>
          </cell>
          <cell r="D336">
            <v>4410.0599999999995</v>
          </cell>
          <cell r="E336">
            <v>4714.3499999999995</v>
          </cell>
          <cell r="F336">
            <v>0</v>
          </cell>
        </row>
        <row r="337">
          <cell r="A337" t="str">
            <v>PANKI TPS</v>
          </cell>
          <cell r="B337">
            <v>0</v>
          </cell>
          <cell r="C337">
            <v>7</v>
          </cell>
          <cell r="D337">
            <v>70</v>
          </cell>
          <cell r="E337">
            <v>7</v>
          </cell>
          <cell r="F337">
            <v>0</v>
          </cell>
        </row>
        <row r="338">
          <cell r="A338" t="str">
            <v>PARAS TPS</v>
          </cell>
          <cell r="B338">
            <v>0</v>
          </cell>
          <cell r="C338">
            <v>5083.91</v>
          </cell>
          <cell r="D338">
            <v>4877.6900000000005</v>
          </cell>
          <cell r="E338">
            <v>5083.91</v>
          </cell>
          <cell r="F338">
            <v>0</v>
          </cell>
        </row>
        <row r="339">
          <cell r="A339" t="str">
            <v>PARICHHA TPS</v>
          </cell>
          <cell r="B339">
            <v>0</v>
          </cell>
          <cell r="C339">
            <v>8573.7799999999988</v>
          </cell>
          <cell r="D339">
            <v>8440.32</v>
          </cell>
          <cell r="E339">
            <v>8573.7799999999988</v>
          </cell>
          <cell r="F339">
            <v>0</v>
          </cell>
        </row>
        <row r="340">
          <cell r="A340" t="str">
            <v>PARLI TPS</v>
          </cell>
          <cell r="B340">
            <v>0</v>
          </cell>
          <cell r="C340">
            <v>5131.4099999999971</v>
          </cell>
          <cell r="D340">
            <v>5095.4400000000014</v>
          </cell>
          <cell r="E340">
            <v>5131.4099999999971</v>
          </cell>
          <cell r="F340">
            <v>0</v>
          </cell>
        </row>
        <row r="341">
          <cell r="A341" t="str">
            <v>PATHADI TPS</v>
          </cell>
          <cell r="B341">
            <v>0</v>
          </cell>
          <cell r="C341">
            <v>6336.22</v>
          </cell>
          <cell r="D341">
            <v>6269.9300000000012</v>
          </cell>
          <cell r="E341">
            <v>6336.22</v>
          </cell>
          <cell r="F341">
            <v>0</v>
          </cell>
        </row>
        <row r="342">
          <cell r="A342" t="str">
            <v>PATRATU TPS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 t="e">
            <v>#DIV/0!</v>
          </cell>
        </row>
        <row r="343">
          <cell r="A343" t="str">
            <v>RAGHUNATHPUR TPP</v>
          </cell>
          <cell r="B343">
            <v>0</v>
          </cell>
          <cell r="C343">
            <v>6006.9600000000009</v>
          </cell>
          <cell r="D343">
            <v>5623.5</v>
          </cell>
          <cell r="E343">
            <v>6006.9600000000009</v>
          </cell>
          <cell r="F343">
            <v>0</v>
          </cell>
        </row>
        <row r="344">
          <cell r="A344" t="str">
            <v>RAICHUR TPS</v>
          </cell>
          <cell r="B344">
            <v>0</v>
          </cell>
          <cell r="C344">
            <v>15139.909999999994</v>
          </cell>
          <cell r="D344">
            <v>15001.769999999997</v>
          </cell>
          <cell r="E344">
            <v>15139.909999999994</v>
          </cell>
          <cell r="F344">
            <v>0</v>
          </cell>
        </row>
        <row r="345">
          <cell r="A345" t="str">
            <v>RAIKHEDA TPP</v>
          </cell>
          <cell r="B345">
            <v>7.18</v>
          </cell>
          <cell r="C345">
            <v>5267.91</v>
          </cell>
          <cell r="D345">
            <v>5224.0300000000007</v>
          </cell>
          <cell r="E345">
            <v>5275.09</v>
          </cell>
          <cell r="F345">
            <v>1.3611142179564709E-3</v>
          </cell>
        </row>
        <row r="346">
          <cell r="A346" t="str">
            <v>RAJGHAT TPS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 t="e">
            <v>#DIV/0!</v>
          </cell>
        </row>
        <row r="347">
          <cell r="A347" t="str">
            <v>RAJIV GANDHI TPS</v>
          </cell>
          <cell r="B347">
            <v>0</v>
          </cell>
          <cell r="C347">
            <v>6564.4299999999967</v>
          </cell>
          <cell r="D347">
            <v>6251.920000000001</v>
          </cell>
          <cell r="E347">
            <v>6564.4299999999967</v>
          </cell>
          <cell r="F347">
            <v>0</v>
          </cell>
        </row>
        <row r="348">
          <cell r="A348" t="str">
            <v>RAJPURA TPS</v>
          </cell>
          <cell r="B348">
            <v>2230.88</v>
          </cell>
          <cell r="C348">
            <v>9752.010000000002</v>
          </cell>
          <cell r="D348">
            <v>11697.650000000003</v>
          </cell>
          <cell r="E348">
            <v>11982.890000000003</v>
          </cell>
          <cell r="F348">
            <v>0.18617211707693215</v>
          </cell>
        </row>
        <row r="349">
          <cell r="A349" t="str">
            <v>RAMAGUNDEM - B TPS</v>
          </cell>
          <cell r="B349">
            <v>0</v>
          </cell>
          <cell r="C349">
            <v>580.6</v>
          </cell>
          <cell r="D349">
            <v>712.34</v>
          </cell>
          <cell r="E349">
            <v>580.6</v>
          </cell>
          <cell r="F349">
            <v>0</v>
          </cell>
        </row>
        <row r="350">
          <cell r="A350" t="str">
            <v>RAMAGUNDEM STPS</v>
          </cell>
          <cell r="B350">
            <v>0</v>
          </cell>
          <cell r="C350">
            <v>27793.969999999998</v>
          </cell>
          <cell r="D350">
            <v>27302.399999999998</v>
          </cell>
          <cell r="E350">
            <v>27793.969999999998</v>
          </cell>
          <cell r="F350">
            <v>0</v>
          </cell>
        </row>
        <row r="351">
          <cell r="A351" t="str">
            <v>RATIJA TPS</v>
          </cell>
          <cell r="B351"/>
          <cell r="C351">
            <v>0</v>
          </cell>
          <cell r="D351"/>
          <cell r="E351">
            <v>0</v>
          </cell>
          <cell r="F351" t="e">
            <v>#DIV/0!</v>
          </cell>
        </row>
        <row r="352">
          <cell r="A352" t="str">
            <v>RAYALSEEMA TPS</v>
          </cell>
          <cell r="B352">
            <v>0</v>
          </cell>
          <cell r="C352">
            <v>12576.589999999997</v>
          </cell>
          <cell r="D352">
            <v>12101.130000000001</v>
          </cell>
          <cell r="E352">
            <v>12576.589999999997</v>
          </cell>
          <cell r="F352">
            <v>0</v>
          </cell>
        </row>
        <row r="353">
          <cell r="A353" t="str">
            <v>RIHAND STPS</v>
          </cell>
          <cell r="B353">
            <v>0</v>
          </cell>
          <cell r="C353">
            <v>34299.040000000001</v>
          </cell>
          <cell r="D353">
            <v>34305.799999999996</v>
          </cell>
          <cell r="E353">
            <v>34299.040000000001</v>
          </cell>
          <cell r="F353">
            <v>0</v>
          </cell>
        </row>
        <row r="354">
          <cell r="A354" t="str">
            <v>ROPAR TPS</v>
          </cell>
          <cell r="B354">
            <v>0</v>
          </cell>
          <cell r="C354">
            <v>2434.0499999999997</v>
          </cell>
          <cell r="D354">
            <v>2651.64</v>
          </cell>
          <cell r="E354">
            <v>2434.0499999999997</v>
          </cell>
          <cell r="F354">
            <v>0</v>
          </cell>
        </row>
        <row r="355">
          <cell r="A355" t="str">
            <v>ROSA TPP PH-I</v>
          </cell>
          <cell r="B355">
            <v>0</v>
          </cell>
          <cell r="C355">
            <v>9038.73</v>
          </cell>
          <cell r="D355">
            <v>8695.32</v>
          </cell>
          <cell r="E355">
            <v>9038.73</v>
          </cell>
          <cell r="F355">
            <v>0</v>
          </cell>
        </row>
        <row r="356">
          <cell r="A356" t="str">
            <v>SABARMATI (C-STATION) TPP</v>
          </cell>
          <cell r="B356">
            <v>881.59</v>
          </cell>
          <cell r="C356">
            <v>1958.81</v>
          </cell>
          <cell r="D356">
            <v>2817.9100000000003</v>
          </cell>
          <cell r="E356">
            <v>2840.4</v>
          </cell>
          <cell r="F356">
            <v>0.31037529925362622</v>
          </cell>
        </row>
        <row r="357">
          <cell r="A357" t="str">
            <v>SABARMATI (D-F STATIONS) TPP</v>
          </cell>
          <cell r="B357">
            <v>160.14000000000001</v>
          </cell>
          <cell r="C357">
            <v>498.96</v>
          </cell>
          <cell r="D357">
            <v>634.68999999999994</v>
          </cell>
          <cell r="E357">
            <v>659.1</v>
          </cell>
          <cell r="F357">
            <v>0.24296768320436962</v>
          </cell>
        </row>
        <row r="358">
          <cell r="A358" t="str">
            <v>SAGARDIGHI TPS</v>
          </cell>
          <cell r="B358">
            <v>6.3</v>
          </cell>
          <cell r="C358">
            <v>9630.91</v>
          </cell>
          <cell r="D358">
            <v>9503.32</v>
          </cell>
          <cell r="E358">
            <v>9637.2099999999991</v>
          </cell>
          <cell r="F358">
            <v>6.5371616889120401E-4</v>
          </cell>
        </row>
        <row r="359">
          <cell r="A359" t="str">
            <v>SALAYA TPP</v>
          </cell>
          <cell r="B359">
            <v>2268.42</v>
          </cell>
          <cell r="C359">
            <v>0</v>
          </cell>
          <cell r="D359">
            <v>2271.42</v>
          </cell>
          <cell r="E359">
            <v>2268.42</v>
          </cell>
          <cell r="F359">
            <v>1</v>
          </cell>
        </row>
        <row r="360">
          <cell r="A360" t="str">
            <v>SALORA TPP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 t="e">
            <v>#DIV/0!</v>
          </cell>
        </row>
        <row r="361">
          <cell r="A361" t="str">
            <v>SANJAY GANDHI TPS</v>
          </cell>
          <cell r="B361">
            <v>0</v>
          </cell>
          <cell r="C361">
            <v>12596.479999999998</v>
          </cell>
          <cell r="D361">
            <v>12658.369999999997</v>
          </cell>
          <cell r="E361">
            <v>12596.479999999998</v>
          </cell>
          <cell r="F361">
            <v>0</v>
          </cell>
        </row>
        <row r="362">
          <cell r="A362" t="str">
            <v>SANTALDIH TPS</v>
          </cell>
          <cell r="B362">
            <v>3.3</v>
          </cell>
          <cell r="C362">
            <v>5406.8599999999988</v>
          </cell>
          <cell r="D362">
            <v>5506.29</v>
          </cell>
          <cell r="E362">
            <v>5410.1599999999989</v>
          </cell>
          <cell r="F362">
            <v>6.0996347612639931E-4</v>
          </cell>
        </row>
        <row r="363">
          <cell r="A363" t="str">
            <v>SASAN UMPTPP</v>
          </cell>
          <cell r="B363">
            <v>0</v>
          </cell>
          <cell r="C363">
            <v>44419.3</v>
          </cell>
          <cell r="D363">
            <v>44272.200000000004</v>
          </cell>
          <cell r="E363">
            <v>44419.3</v>
          </cell>
          <cell r="F363">
            <v>0</v>
          </cell>
        </row>
        <row r="364">
          <cell r="A364" t="str">
            <v>SATPURA TPS</v>
          </cell>
          <cell r="B364">
            <v>0</v>
          </cell>
          <cell r="C364">
            <v>10620.64</v>
          </cell>
          <cell r="D364">
            <v>11417.36</v>
          </cell>
          <cell r="E364">
            <v>10620.64</v>
          </cell>
          <cell r="F364">
            <v>0</v>
          </cell>
        </row>
        <row r="365">
          <cell r="A365" t="str">
            <v>SEIONI TPP</v>
          </cell>
          <cell r="B365">
            <v>0</v>
          </cell>
          <cell r="C365">
            <v>4576.3100000000013</v>
          </cell>
          <cell r="D365">
            <v>4525.7399999999989</v>
          </cell>
          <cell r="E365">
            <v>4576.3100000000013</v>
          </cell>
          <cell r="F365">
            <v>0</v>
          </cell>
        </row>
        <row r="366">
          <cell r="A366" t="str">
            <v>SEMBCORP GAYATRI P. LTD</v>
          </cell>
          <cell r="B366">
            <v>11515.740000000002</v>
          </cell>
          <cell r="C366">
            <v>0</v>
          </cell>
          <cell r="D366">
            <v>11295.149999999998</v>
          </cell>
          <cell r="E366">
            <v>11515.740000000002</v>
          </cell>
          <cell r="F366">
            <v>1</v>
          </cell>
        </row>
        <row r="367">
          <cell r="A367" t="str">
            <v>SHIRPUR TPP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 t="e">
            <v>#DIV/0!</v>
          </cell>
        </row>
        <row r="368">
          <cell r="A368" t="str">
            <v>SHREE SINGAJI TPP</v>
          </cell>
          <cell r="B368">
            <v>32.28</v>
          </cell>
          <cell r="C368">
            <v>13324.639999999998</v>
          </cell>
          <cell r="D368">
            <v>13290.960000000001</v>
          </cell>
          <cell r="E368">
            <v>13356.919999999998</v>
          </cell>
          <cell r="F368">
            <v>2.4167248138043805E-3</v>
          </cell>
        </row>
        <row r="369">
          <cell r="A369" t="str">
            <v>SIKKA REP. TPS</v>
          </cell>
          <cell r="B369">
            <v>3239.2800000000011</v>
          </cell>
          <cell r="C369">
            <v>0.28000000000000003</v>
          </cell>
          <cell r="D369">
            <v>3284.25</v>
          </cell>
          <cell r="E369">
            <v>3239.5600000000013</v>
          </cell>
          <cell r="F369">
            <v>0.99991356850930369</v>
          </cell>
        </row>
        <row r="370">
          <cell r="A370" t="str">
            <v>SIMHADRI STPP</v>
          </cell>
          <cell r="B370">
            <v>333.64000000000004</v>
          </cell>
          <cell r="C370">
            <v>20268.21</v>
          </cell>
          <cell r="D370">
            <v>20149.060000000005</v>
          </cell>
          <cell r="E370">
            <v>20601.849999999999</v>
          </cell>
          <cell r="F370">
            <v>1.6194662129857273E-2</v>
          </cell>
        </row>
        <row r="371">
          <cell r="A371" t="str">
            <v>SIMHAPURI TPS</v>
          </cell>
          <cell r="B371">
            <v>66</v>
          </cell>
          <cell r="C371">
            <v>0</v>
          </cell>
          <cell r="D371">
            <v>63</v>
          </cell>
          <cell r="E371">
            <v>66</v>
          </cell>
          <cell r="F371">
            <v>1</v>
          </cell>
        </row>
        <row r="372">
          <cell r="A372" t="str">
            <v>SINGARENI TPP</v>
          </cell>
          <cell r="B372">
            <v>0</v>
          </cell>
          <cell r="C372">
            <v>13674.219999999998</v>
          </cell>
          <cell r="D372">
            <v>13630.820000000003</v>
          </cell>
          <cell r="E372">
            <v>13674.219999999998</v>
          </cell>
          <cell r="F372">
            <v>0</v>
          </cell>
        </row>
        <row r="373">
          <cell r="A373" t="str">
            <v>SINGRAULI STPS</v>
          </cell>
          <cell r="B373">
            <v>0</v>
          </cell>
          <cell r="C373">
            <v>23958.820000000003</v>
          </cell>
          <cell r="D373">
            <v>24039.600000000002</v>
          </cell>
          <cell r="E373">
            <v>23958.820000000003</v>
          </cell>
          <cell r="F373">
            <v>0</v>
          </cell>
        </row>
        <row r="374">
          <cell r="A374" t="str">
            <v>SIPAT STPS</v>
          </cell>
          <cell r="B374">
            <v>101.4</v>
          </cell>
          <cell r="C374">
            <v>33908.21</v>
          </cell>
          <cell r="D374">
            <v>34025.08</v>
          </cell>
          <cell r="E374">
            <v>34009.61</v>
          </cell>
          <cell r="F374">
            <v>2.9815102260802168E-3</v>
          </cell>
        </row>
        <row r="375">
          <cell r="A375" t="str">
            <v>SOLAPUR STPS</v>
          </cell>
          <cell r="B375">
            <v>203.42</v>
          </cell>
          <cell r="C375">
            <v>3049.8300000000004</v>
          </cell>
          <cell r="D375">
            <v>2495.94</v>
          </cell>
          <cell r="E375">
            <v>3253.2500000000005</v>
          </cell>
          <cell r="F375">
            <v>6.2528240989779438E-2</v>
          </cell>
        </row>
        <row r="376">
          <cell r="A376" t="str">
            <v>SOUTHERN REPL. TPS</v>
          </cell>
          <cell r="B376">
            <v>0</v>
          </cell>
          <cell r="C376">
            <v>539.37000000000012</v>
          </cell>
          <cell r="D376">
            <v>520.55000000000007</v>
          </cell>
          <cell r="E376">
            <v>539.37000000000012</v>
          </cell>
          <cell r="F376">
            <v>0</v>
          </cell>
        </row>
        <row r="377">
          <cell r="A377" t="str">
            <v>STERLITE TPP</v>
          </cell>
          <cell r="B377">
            <v>73.039999999999992</v>
          </cell>
          <cell r="C377">
            <v>979.00000000000011</v>
          </cell>
          <cell r="D377">
            <v>1515.1599999999999</v>
          </cell>
          <cell r="E377">
            <v>1052.0400000000002</v>
          </cell>
          <cell r="F377">
            <v>6.9427017984107053E-2</v>
          </cell>
        </row>
        <row r="378">
          <cell r="A378" t="str">
            <v>SURAT LIG. TPS</v>
          </cell>
          <cell r="B378"/>
          <cell r="C378">
            <v>0</v>
          </cell>
          <cell r="D378"/>
          <cell r="E378">
            <v>0</v>
          </cell>
          <cell r="F378" t="e">
            <v>#DIV/0!</v>
          </cell>
        </row>
        <row r="379">
          <cell r="A379" t="str">
            <v>SURATGARH TPS</v>
          </cell>
          <cell r="B379">
            <v>0</v>
          </cell>
          <cell r="C379">
            <v>9863.4500000000025</v>
          </cell>
          <cell r="D379">
            <v>9683.6400000000031</v>
          </cell>
          <cell r="E379">
            <v>9863.4500000000025</v>
          </cell>
          <cell r="F379">
            <v>0</v>
          </cell>
        </row>
        <row r="380">
          <cell r="A380" t="str">
            <v>SVPL TPP</v>
          </cell>
          <cell r="B380"/>
          <cell r="C380">
            <v>0</v>
          </cell>
          <cell r="D380"/>
          <cell r="E380">
            <v>0</v>
          </cell>
          <cell r="F380" t="e">
            <v>#DIV/0!</v>
          </cell>
        </row>
        <row r="381">
          <cell r="A381" t="str">
            <v>SWASTIK KORBA TPP</v>
          </cell>
          <cell r="B381"/>
          <cell r="C381">
            <v>0</v>
          </cell>
          <cell r="D381"/>
          <cell r="E381">
            <v>0</v>
          </cell>
          <cell r="F381" t="e">
            <v>#DIV/0!</v>
          </cell>
        </row>
        <row r="382">
          <cell r="A382" t="str">
            <v>TALCHER (OLD) TPS</v>
          </cell>
          <cell r="B382">
            <v>0</v>
          </cell>
          <cell r="C382">
            <v>7186.57</v>
          </cell>
          <cell r="D382">
            <v>7359.43</v>
          </cell>
          <cell r="E382">
            <v>7186.57</v>
          </cell>
          <cell r="F382">
            <v>0</v>
          </cell>
        </row>
        <row r="383">
          <cell r="A383" t="str">
            <v>TALCHER STPS</v>
          </cell>
          <cell r="B383">
            <v>966.56</v>
          </cell>
          <cell r="C383">
            <v>40336.489999999983</v>
          </cell>
          <cell r="D383">
            <v>41193.1</v>
          </cell>
          <cell r="E383">
            <v>41303.049999999981</v>
          </cell>
          <cell r="F383">
            <v>2.3401661620630933E-2</v>
          </cell>
        </row>
        <row r="384">
          <cell r="A384" t="str">
            <v>TALWANDI SABO TPS</v>
          </cell>
          <cell r="B384">
            <v>2587.2800000000007</v>
          </cell>
          <cell r="C384">
            <v>13817.239999999998</v>
          </cell>
          <cell r="D384">
            <v>16004.94</v>
          </cell>
          <cell r="E384">
            <v>16404.519999999997</v>
          </cell>
          <cell r="F384">
            <v>0.15771750712608484</v>
          </cell>
        </row>
        <row r="385">
          <cell r="A385" t="str">
            <v>TANDA STPS</v>
          </cell>
          <cell r="B385">
            <v>0</v>
          </cell>
          <cell r="C385">
            <v>6092.96</v>
          </cell>
          <cell r="D385">
            <v>5437.16</v>
          </cell>
          <cell r="E385">
            <v>6092.96</v>
          </cell>
          <cell r="F385">
            <v>0</v>
          </cell>
        </row>
        <row r="386">
          <cell r="A386" t="str">
            <v>TENUGHAT TPS</v>
          </cell>
          <cell r="B386">
            <v>0</v>
          </cell>
          <cell r="C386">
            <v>2952.6500000000005</v>
          </cell>
          <cell r="D386">
            <v>3647.0200000000004</v>
          </cell>
          <cell r="E386">
            <v>2952.6500000000005</v>
          </cell>
          <cell r="F386">
            <v>0</v>
          </cell>
        </row>
        <row r="387">
          <cell r="A387" t="str">
            <v>THAMMINAPATNAM TPS</v>
          </cell>
          <cell r="B387">
            <v>95</v>
          </cell>
          <cell r="C387">
            <v>0</v>
          </cell>
          <cell r="D387">
            <v>157</v>
          </cell>
          <cell r="E387">
            <v>95</v>
          </cell>
          <cell r="F387">
            <v>1</v>
          </cell>
        </row>
        <row r="388">
          <cell r="A388" t="str">
            <v>TIRORA TPS</v>
          </cell>
          <cell r="B388">
            <v>1470.86</v>
          </cell>
          <cell r="C388">
            <v>31126.670000000002</v>
          </cell>
          <cell r="D388">
            <v>32367.670000000006</v>
          </cell>
          <cell r="E388">
            <v>32597.530000000002</v>
          </cell>
          <cell r="F388">
            <v>4.5121823647374507E-2</v>
          </cell>
        </row>
        <row r="389">
          <cell r="A389" t="str">
            <v>TITAGARH TPS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 t="e">
            <v>#DIV/0!</v>
          </cell>
        </row>
        <row r="390">
          <cell r="A390" t="str">
            <v>TORANGALLU TPS(SBU-I)</v>
          </cell>
          <cell r="B390">
            <v>879.0100000000001</v>
          </cell>
          <cell r="C390">
            <v>0</v>
          </cell>
          <cell r="D390">
            <v>879.0100000000001</v>
          </cell>
          <cell r="E390">
            <v>879.0100000000001</v>
          </cell>
          <cell r="F390">
            <v>1</v>
          </cell>
        </row>
        <row r="391">
          <cell r="A391" t="str">
            <v>TORANGALLU TPS(SBU-II)</v>
          </cell>
          <cell r="B391">
            <v>2222.1</v>
          </cell>
          <cell r="C391">
            <v>125.91999999999999</v>
          </cell>
          <cell r="D391">
            <v>2382.96</v>
          </cell>
          <cell r="E391">
            <v>2348.02</v>
          </cell>
          <cell r="F391">
            <v>0.94637183669645064</v>
          </cell>
        </row>
        <row r="392">
          <cell r="A392" t="str">
            <v>TROMBAY TPS</v>
          </cell>
          <cell r="B392">
            <v>5548.0999999999995</v>
          </cell>
          <cell r="C392">
            <v>0</v>
          </cell>
          <cell r="D392">
            <v>5634.35</v>
          </cell>
          <cell r="E392">
            <v>5548.0999999999995</v>
          </cell>
          <cell r="F392">
            <v>1</v>
          </cell>
        </row>
        <row r="393">
          <cell r="A393" t="str">
            <v>TUTICORIN TPS</v>
          </cell>
          <cell r="B393">
            <v>1999</v>
          </cell>
          <cell r="C393">
            <v>8185.7999999999984</v>
          </cell>
          <cell r="D393">
            <v>10193.490000000002</v>
          </cell>
          <cell r="E393">
            <v>10184.799999999999</v>
          </cell>
          <cell r="F393">
            <v>0.19627287722881157</v>
          </cell>
        </row>
        <row r="394">
          <cell r="A394" t="str">
            <v>UCHPINDA TPP</v>
          </cell>
          <cell r="B394">
            <v>0</v>
          </cell>
          <cell r="C394">
            <v>3345.16</v>
          </cell>
          <cell r="D394">
            <v>3367.7099999999996</v>
          </cell>
          <cell r="E394">
            <v>3345.16</v>
          </cell>
          <cell r="F394">
            <v>0</v>
          </cell>
        </row>
        <row r="395">
          <cell r="A395" t="str">
            <v>UDUPI TPP</v>
          </cell>
          <cell r="B395">
            <v>4811.699999999998</v>
          </cell>
          <cell r="C395">
            <v>0</v>
          </cell>
          <cell r="D395">
            <v>4655.0400000000009</v>
          </cell>
          <cell r="E395">
            <v>4811.699999999998</v>
          </cell>
          <cell r="F395">
            <v>1</v>
          </cell>
        </row>
        <row r="396">
          <cell r="A396" t="str">
            <v>UKAI TPS</v>
          </cell>
          <cell r="B396">
            <v>1010.7</v>
          </cell>
          <cell r="C396">
            <v>9332.6200000000008</v>
          </cell>
          <cell r="D396">
            <v>10251.720000000001</v>
          </cell>
          <cell r="E396">
            <v>10343.320000000002</v>
          </cell>
          <cell r="F396">
            <v>9.7715240367696243E-2</v>
          </cell>
        </row>
        <row r="397">
          <cell r="A397" t="str">
            <v>UNCHAHAR STPS</v>
          </cell>
          <cell r="B397">
            <v>149.84</v>
          </cell>
          <cell r="C397">
            <v>13038.169999999998</v>
          </cell>
          <cell r="D397">
            <v>12549.389999999998</v>
          </cell>
          <cell r="E397">
            <v>13188.009999999998</v>
          </cell>
          <cell r="F397">
            <v>1.1361835485414404E-2</v>
          </cell>
        </row>
        <row r="398">
          <cell r="A398" t="str">
            <v>UTKAL TPP (IND BARATH)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 t="e">
            <v>#DIV/0!</v>
          </cell>
        </row>
        <row r="399">
          <cell r="A399" t="str">
            <v>UTRAULA TPS</v>
          </cell>
          <cell r="B399">
            <v>0</v>
          </cell>
          <cell r="C399">
            <v>280.91000000000003</v>
          </cell>
          <cell r="D399">
            <v>278.81999999999994</v>
          </cell>
          <cell r="E399">
            <v>280.91000000000003</v>
          </cell>
          <cell r="F399">
            <v>0</v>
          </cell>
        </row>
        <row r="400">
          <cell r="A400" t="str">
            <v>VALLUR TPP</v>
          </cell>
          <cell r="B400">
            <v>0</v>
          </cell>
          <cell r="C400">
            <v>11659.439999999999</v>
          </cell>
          <cell r="D400">
            <v>11688.039999999999</v>
          </cell>
          <cell r="E400">
            <v>11659.439999999999</v>
          </cell>
          <cell r="F400">
            <v>0</v>
          </cell>
        </row>
        <row r="401">
          <cell r="A401" t="str">
            <v>VINDHYACHAL STPS</v>
          </cell>
          <cell r="B401">
            <v>0</v>
          </cell>
          <cell r="C401">
            <v>60240.000000000007</v>
          </cell>
          <cell r="D401">
            <v>60670.36</v>
          </cell>
          <cell r="E401">
            <v>60240.000000000007</v>
          </cell>
          <cell r="F401">
            <v>0</v>
          </cell>
        </row>
        <row r="402">
          <cell r="A402" t="str">
            <v>VIZAG TPS</v>
          </cell>
          <cell r="B402">
            <v>182.18999999999997</v>
          </cell>
          <cell r="C402">
            <v>3534.96</v>
          </cell>
          <cell r="D402">
            <v>3876.26</v>
          </cell>
          <cell r="E402">
            <v>3717.15</v>
          </cell>
          <cell r="F402">
            <v>4.9013357007384684E-2</v>
          </cell>
        </row>
        <row r="403">
          <cell r="A403" t="str">
            <v>WANAKBORI TPS</v>
          </cell>
          <cell r="B403">
            <v>1232.0000000000002</v>
          </cell>
          <cell r="C403">
            <v>10422.16</v>
          </cell>
          <cell r="D403">
            <v>11827.060000000001</v>
          </cell>
          <cell r="E403">
            <v>11654.16</v>
          </cell>
          <cell r="F403">
            <v>0.10571332468406133</v>
          </cell>
        </row>
        <row r="404">
          <cell r="A404" t="str">
            <v>WARDHA WARORA TPP</v>
          </cell>
          <cell r="B404">
            <v>0</v>
          </cell>
          <cell r="C404">
            <v>1273.29</v>
          </cell>
          <cell r="D404">
            <v>1263.46</v>
          </cell>
          <cell r="E404">
            <v>1273.29</v>
          </cell>
          <cell r="F404">
            <v>0</v>
          </cell>
        </row>
        <row r="405">
          <cell r="A405" t="str">
            <v>YAMUNA NAGAR TPS</v>
          </cell>
          <cell r="B405">
            <v>0</v>
          </cell>
          <cell r="C405">
            <v>5145.22</v>
          </cell>
          <cell r="D405">
            <v>5282.5</v>
          </cell>
          <cell r="E405">
            <v>5145.22</v>
          </cell>
          <cell r="F405">
            <v>0</v>
          </cell>
        </row>
        <row r="406">
          <cell r="A406" t="str">
            <v>YERMARUS TPS</v>
          </cell>
          <cell r="B406">
            <v>0</v>
          </cell>
          <cell r="C406">
            <v>2503.8399999999997</v>
          </cell>
          <cell r="D406">
            <v>1047.7700000000002</v>
          </cell>
          <cell r="E406">
            <v>2503.8399999999997</v>
          </cell>
          <cell r="F406">
            <v>0</v>
          </cell>
        </row>
      </sheetData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Sheet5"/>
      <sheetName val="Plant-company wise GCV"/>
      <sheetName val="Sheet1"/>
      <sheetName val="Sheet3"/>
      <sheetName val="Pivot-2"/>
      <sheetName val="Sheet4"/>
      <sheetName val="Company-wise transport share"/>
      <sheetName val="Subsidiary wise dispatch"/>
      <sheetName val="Coal seva grades"/>
      <sheetName val="GCV"/>
    </sheetNames>
    <sheetDataSet>
      <sheetData sheetId="0"/>
      <sheetData sheetId="1"/>
      <sheetData sheetId="2"/>
      <sheetData sheetId="3">
        <row r="2">
          <cell r="A2" t="str">
            <v>AKALTARA TPS</v>
          </cell>
          <cell r="B2">
            <v>4278.737156592154</v>
          </cell>
        </row>
        <row r="3">
          <cell r="A3" t="str">
            <v>AMARKANTAK TPS</v>
          </cell>
          <cell r="B3">
            <v>5056.6263269448709</v>
          </cell>
        </row>
        <row r="4">
          <cell r="A4" t="str">
            <v>AMRAVATI TPS</v>
          </cell>
          <cell r="B4">
            <v>4155.5830998548772</v>
          </cell>
        </row>
        <row r="5">
          <cell r="A5" t="str">
            <v>ANPARA C TPS</v>
          </cell>
          <cell r="B5">
            <v>4906.6842902887674</v>
          </cell>
        </row>
        <row r="6">
          <cell r="A6" t="str">
            <v>ANPARA TPS</v>
          </cell>
          <cell r="B6">
            <v>4489.130228333277</v>
          </cell>
        </row>
        <row r="7">
          <cell r="A7" t="str">
            <v>ANUPPUR TPP</v>
          </cell>
          <cell r="B7">
            <v>4224.4439803059058</v>
          </cell>
        </row>
        <row r="8">
          <cell r="A8" t="str">
            <v>BADARPUR TPS</v>
          </cell>
          <cell r="B8">
            <v>4139.6261020213879</v>
          </cell>
        </row>
        <row r="9">
          <cell r="A9" t="str">
            <v>BAJAJ ENERGY ALL PLANTS</v>
          </cell>
          <cell r="B9">
            <v>4343.5829958119175</v>
          </cell>
        </row>
        <row r="10">
          <cell r="A10" t="str">
            <v>BAKRESWAR TPS</v>
          </cell>
          <cell r="B10">
            <v>5557.5965462998529</v>
          </cell>
        </row>
        <row r="11">
          <cell r="A11" t="str">
            <v>BALCO TPS</v>
          </cell>
          <cell r="B11">
            <v>4143.7448173085222</v>
          </cell>
        </row>
        <row r="12">
          <cell r="A12" t="str">
            <v>BANDAKHAR TPP</v>
          </cell>
          <cell r="B12">
            <v>4177.6787465273401</v>
          </cell>
        </row>
        <row r="13">
          <cell r="A13" t="str">
            <v>BANDEL TPS</v>
          </cell>
          <cell r="B13">
            <v>4586.181931037725</v>
          </cell>
        </row>
        <row r="14">
          <cell r="A14" t="str">
            <v>BARA TPP</v>
          </cell>
          <cell r="B14">
            <v>4551.2533987170345</v>
          </cell>
        </row>
        <row r="15">
          <cell r="A15" t="str">
            <v>BARADARHA TPS</v>
          </cell>
          <cell r="B15">
            <v>4078.467496506757</v>
          </cell>
        </row>
        <row r="16">
          <cell r="A16" t="str">
            <v>BARAUNI TPS</v>
          </cell>
          <cell r="B16">
            <v>5758.6620017898322</v>
          </cell>
        </row>
        <row r="17">
          <cell r="A17" t="str">
            <v>BARH I AND II</v>
          </cell>
          <cell r="B17">
            <v>4609.6348976204881</v>
          </cell>
        </row>
        <row r="18">
          <cell r="A18" t="str">
            <v>BELLARY TPS</v>
          </cell>
          <cell r="B18">
            <v>3444.2880509129841</v>
          </cell>
        </row>
        <row r="19">
          <cell r="A19" t="str">
            <v>BHILAI TPS</v>
          </cell>
          <cell r="B19">
            <v>4964.8722111397574</v>
          </cell>
        </row>
        <row r="20">
          <cell r="A20" t="str">
            <v>BHUSAWAL TPS</v>
          </cell>
          <cell r="B20">
            <v>4322.3508239512021</v>
          </cell>
        </row>
        <row r="21">
          <cell r="A21" t="str">
            <v>BINA TPS</v>
          </cell>
          <cell r="B21">
            <v>4277.3231583782317</v>
          </cell>
        </row>
        <row r="22">
          <cell r="A22" t="str">
            <v>BINJKOTE  TPP</v>
          </cell>
          <cell r="B22">
            <v>4066.1018218212434</v>
          </cell>
        </row>
        <row r="23">
          <cell r="A23" t="str">
            <v>BOKARO A AND B TPS</v>
          </cell>
          <cell r="B23">
            <v>4346.3011253610339</v>
          </cell>
        </row>
        <row r="24">
          <cell r="A24" t="str">
            <v>BONGAIGAON TPS</v>
          </cell>
          <cell r="B24">
            <v>6008.0677716880546</v>
          </cell>
        </row>
        <row r="25">
          <cell r="A25" t="str">
            <v>BUDGE BUDGE TPS</v>
          </cell>
          <cell r="B25">
            <v>5224.4837192155401</v>
          </cell>
        </row>
        <row r="26">
          <cell r="A26" t="str">
            <v>BUTIBORI TPP</v>
          </cell>
          <cell r="B26">
            <v>4181.3154366406134</v>
          </cell>
        </row>
        <row r="27">
          <cell r="A27" t="str">
            <v>CESC ALL PLANTS</v>
          </cell>
          <cell r="B27">
            <v>4097.4363074299117</v>
          </cell>
        </row>
        <row r="28">
          <cell r="A28" t="str">
            <v>CHANDRAPUR STPS</v>
          </cell>
          <cell r="B28">
            <v>4181.7775798896982</v>
          </cell>
        </row>
        <row r="29">
          <cell r="A29" t="str">
            <v>CHANDRAPURA(DVC)</v>
          </cell>
          <cell r="B29">
            <v>4370.6903687474232</v>
          </cell>
        </row>
        <row r="30">
          <cell r="A30" t="str">
            <v>CHHABRA TPS</v>
          </cell>
          <cell r="B30">
            <v>4431.9195703193527</v>
          </cell>
        </row>
        <row r="31">
          <cell r="A31" t="str">
            <v>D.P.L. TPS</v>
          </cell>
          <cell r="B31">
            <v>4748.6608735611362</v>
          </cell>
        </row>
        <row r="32">
          <cell r="A32" t="str">
            <v>DADRI (NCTPP)</v>
          </cell>
          <cell r="B32">
            <v>4720.1743382080467</v>
          </cell>
        </row>
        <row r="33">
          <cell r="A33" t="str">
            <v>DAHANU TPS</v>
          </cell>
          <cell r="B33">
            <v>4174.1482421463261</v>
          </cell>
        </row>
        <row r="34">
          <cell r="A34" t="str">
            <v>DAMODARAN SANJEEVAIAH TPS</v>
          </cell>
          <cell r="B34">
            <v>3758.421560030215</v>
          </cell>
        </row>
        <row r="35">
          <cell r="A35" t="str">
            <v>DERANG TPP</v>
          </cell>
          <cell r="B35">
            <v>3527.8043365648145</v>
          </cell>
        </row>
        <row r="36">
          <cell r="A36" t="str">
            <v>DHARIWAL TPS</v>
          </cell>
          <cell r="B36">
            <v>4216.925562565174</v>
          </cell>
        </row>
        <row r="37">
          <cell r="A37" t="str">
            <v>DR. N TATA RAO TPS</v>
          </cell>
          <cell r="B37">
            <v>3570.8193390001843</v>
          </cell>
        </row>
        <row r="38">
          <cell r="A38" t="str">
            <v>DURGAPUR STEEL TPS</v>
          </cell>
          <cell r="B38">
            <v>5266.8791658938981</v>
          </cell>
        </row>
        <row r="39">
          <cell r="A39" t="str">
            <v>DURGAPUR TPS</v>
          </cell>
          <cell r="B39">
            <v>5482.5040185064399</v>
          </cell>
        </row>
        <row r="40">
          <cell r="A40" t="str">
            <v>ENNORE TPS</v>
          </cell>
          <cell r="B40">
            <v>5871.3558422597744</v>
          </cell>
        </row>
        <row r="41">
          <cell r="A41" t="str">
            <v>FARAKKA STPS</v>
          </cell>
          <cell r="B41">
            <v>4851.0661749297096</v>
          </cell>
        </row>
        <row r="42">
          <cell r="A42" t="str">
            <v>GADARWARA TPP</v>
          </cell>
          <cell r="B42">
            <v>4150</v>
          </cell>
        </row>
        <row r="43">
          <cell r="A43" t="str">
            <v>GANDHI NAGAR TPS</v>
          </cell>
          <cell r="B43">
            <v>4336.1948282896601</v>
          </cell>
        </row>
        <row r="44">
          <cell r="A44" t="str">
            <v>GH TPS (LEH.MOH.)</v>
          </cell>
          <cell r="B44">
            <v>4139.2333940270883</v>
          </cell>
        </row>
        <row r="45">
          <cell r="A45" t="str">
            <v>GMR WARORA TPS</v>
          </cell>
          <cell r="B45">
            <v>4139.0512402826553</v>
          </cell>
        </row>
        <row r="46">
          <cell r="A46" t="str">
            <v>GOINDWAL SAHIB</v>
          </cell>
          <cell r="B46">
            <v>4176.8205095355825</v>
          </cell>
        </row>
        <row r="47">
          <cell r="A47" t="str">
            <v>HALDIA TPP</v>
          </cell>
          <cell r="B47">
            <v>3851.7614253672486</v>
          </cell>
        </row>
        <row r="48">
          <cell r="A48" t="str">
            <v>HARDUAGANJ TPS</v>
          </cell>
          <cell r="B48">
            <v>4392.3142633875859</v>
          </cell>
        </row>
        <row r="49">
          <cell r="A49" t="str">
            <v>IB VALLEY TPS</v>
          </cell>
          <cell r="B49">
            <v>3249.9999999999991</v>
          </cell>
        </row>
        <row r="50">
          <cell r="A50" t="str">
            <v>INDIRA GANDHI STPP</v>
          </cell>
          <cell r="B50">
            <v>4719.459059717552</v>
          </cell>
        </row>
        <row r="51">
          <cell r="A51" t="str">
            <v>INLAND TONAGATU</v>
          </cell>
          <cell r="B51">
            <v>4071.1802308119727</v>
          </cell>
        </row>
        <row r="52">
          <cell r="A52" t="str">
            <v>JOJOBERA TPS</v>
          </cell>
          <cell r="B52">
            <v>4994.293828166733</v>
          </cell>
        </row>
        <row r="53">
          <cell r="A53" t="str">
            <v>KAHALGAON TPS</v>
          </cell>
          <cell r="B53">
            <v>3765.3709320470821</v>
          </cell>
        </row>
        <row r="54">
          <cell r="A54" t="str">
            <v>KALISINDH TPS</v>
          </cell>
          <cell r="B54">
            <v>4738.2241258517897</v>
          </cell>
        </row>
        <row r="55">
          <cell r="A55" t="str">
            <v>KAMALANGA TPS</v>
          </cell>
          <cell r="B55">
            <v>3738.8192144385098</v>
          </cell>
        </row>
        <row r="56">
          <cell r="A56" t="str">
            <v>KAWAI TPS</v>
          </cell>
          <cell r="B56">
            <v>4464.8009541834754</v>
          </cell>
        </row>
        <row r="57">
          <cell r="A57" t="str">
            <v>KHAPARKHEDA TPS</v>
          </cell>
          <cell r="B57">
            <v>3857.7399408815058</v>
          </cell>
        </row>
        <row r="58">
          <cell r="A58" t="str">
            <v>KODARMA TPS</v>
          </cell>
          <cell r="B58">
            <v>4299.8158738405682</v>
          </cell>
        </row>
        <row r="59">
          <cell r="A59" t="str">
            <v>KOLAGHAT TPS</v>
          </cell>
          <cell r="B59">
            <v>4239.6313955759369</v>
          </cell>
        </row>
        <row r="60">
          <cell r="A60" t="str">
            <v>KORADI TPS</v>
          </cell>
          <cell r="B60">
            <v>4074.6339921065437</v>
          </cell>
        </row>
        <row r="61">
          <cell r="A61" t="str">
            <v>KORBA STPS</v>
          </cell>
          <cell r="B61">
            <v>4155.9961352898499</v>
          </cell>
        </row>
        <row r="62">
          <cell r="A62" t="str">
            <v>KORBA-II</v>
          </cell>
          <cell r="B62">
            <v>3547.3256431276363</v>
          </cell>
        </row>
        <row r="63">
          <cell r="A63" t="str">
            <v>KORBA-III</v>
          </cell>
          <cell r="B63">
            <v>4166.4599943700105</v>
          </cell>
        </row>
        <row r="64">
          <cell r="A64" t="str">
            <v>KORBA-WEST TPS</v>
          </cell>
          <cell r="B64">
            <v>4151.0935953175876</v>
          </cell>
        </row>
        <row r="65">
          <cell r="A65" t="str">
            <v>KOTA TPS</v>
          </cell>
          <cell r="B65">
            <v>4487.1438342904594</v>
          </cell>
        </row>
        <row r="66">
          <cell r="A66" t="str">
            <v>KUDGI STPP</v>
          </cell>
          <cell r="B66">
            <v>5971.1338194728896</v>
          </cell>
        </row>
        <row r="67">
          <cell r="A67" t="str">
            <v>LALITPUR TPS</v>
          </cell>
          <cell r="B67">
            <v>4654.2305857680822</v>
          </cell>
        </row>
        <row r="68">
          <cell r="A68" t="str">
            <v>LANCO VIDARBHA TPP</v>
          </cell>
          <cell r="B68">
            <v>4150</v>
          </cell>
        </row>
        <row r="69">
          <cell r="A69" t="str">
            <v>LARA TPP</v>
          </cell>
          <cell r="B69">
            <v>6550</v>
          </cell>
        </row>
        <row r="70">
          <cell r="A70" t="str">
            <v>MAHADEV PRASAD STPP</v>
          </cell>
          <cell r="B70">
            <v>4233.7133886263427</v>
          </cell>
        </row>
        <row r="71">
          <cell r="A71" t="str">
            <v>MAHAN TPP</v>
          </cell>
          <cell r="B71">
            <v>5025.2936966908019</v>
          </cell>
        </row>
        <row r="72">
          <cell r="A72" t="str">
            <v>MAHATMA GANDHI TPS</v>
          </cell>
          <cell r="B72">
            <v>4508.0282802258562</v>
          </cell>
        </row>
        <row r="73">
          <cell r="A73" t="str">
            <v>MAITHON RB TPP</v>
          </cell>
          <cell r="B73">
            <v>4435.1082949840093</v>
          </cell>
        </row>
        <row r="74">
          <cell r="A74" t="str">
            <v>MARWA TPS</v>
          </cell>
          <cell r="B74">
            <v>4202.034650864076</v>
          </cell>
        </row>
        <row r="75">
          <cell r="A75" t="str">
            <v>MAUDA TPS</v>
          </cell>
          <cell r="B75">
            <v>4186.0271478899185</v>
          </cell>
        </row>
        <row r="76">
          <cell r="A76" t="str">
            <v>MEJA STPP</v>
          </cell>
          <cell r="B76">
            <v>4188.277643991325</v>
          </cell>
        </row>
        <row r="77">
          <cell r="A77" t="str">
            <v>MEJIA TPS</v>
          </cell>
          <cell r="B77">
            <v>4593.4601504233742</v>
          </cell>
        </row>
        <row r="78">
          <cell r="A78" t="str">
            <v>METTUR TPS</v>
          </cell>
          <cell r="B78">
            <v>3767.4534735980392</v>
          </cell>
        </row>
        <row r="79">
          <cell r="A79" t="str">
            <v>MUNDRA TPS</v>
          </cell>
          <cell r="B79">
            <v>3274.1621759038899</v>
          </cell>
        </row>
        <row r="80">
          <cell r="A80" t="str">
            <v>MUZAFFARPUR TPS</v>
          </cell>
          <cell r="B80">
            <v>4619.7784590181791</v>
          </cell>
        </row>
        <row r="81">
          <cell r="A81" t="str">
            <v>NABI NAGAR TPP</v>
          </cell>
          <cell r="B81">
            <v>4277.0682910128971</v>
          </cell>
        </row>
        <row r="82">
          <cell r="A82" t="str">
            <v>NABINAGAR STPP</v>
          </cell>
          <cell r="B82">
            <v>3947.4147273821336</v>
          </cell>
        </row>
        <row r="83">
          <cell r="A83" t="str">
            <v>NASIK TPS</v>
          </cell>
          <cell r="B83">
            <v>4367.1653169000492</v>
          </cell>
        </row>
        <row r="84">
          <cell r="A84" t="str">
            <v>NAWAPARA TPP</v>
          </cell>
          <cell r="B84">
            <v>4150.0000000000009</v>
          </cell>
        </row>
        <row r="85">
          <cell r="A85" t="str">
            <v>NIGRI TPP</v>
          </cell>
          <cell r="B85">
            <v>4483.8642343935417</v>
          </cell>
        </row>
        <row r="86">
          <cell r="A86" t="str">
            <v>NORTH CHENNAI TPS</v>
          </cell>
          <cell r="B86">
            <v>3742.0720109048975</v>
          </cell>
        </row>
        <row r="87">
          <cell r="A87" t="str">
            <v>NSPCL-Captive</v>
          </cell>
          <cell r="B87">
            <v>4073.0321246637996</v>
          </cell>
        </row>
        <row r="88">
          <cell r="A88" t="str">
            <v>OBRA TPS</v>
          </cell>
          <cell r="B88">
            <v>4563.1398382003654</v>
          </cell>
        </row>
        <row r="89">
          <cell r="A89" t="str">
            <v>OP JINDAL TPS2</v>
          </cell>
          <cell r="B89">
            <v>3909.3367396089129</v>
          </cell>
        </row>
        <row r="90">
          <cell r="A90" t="str">
            <v>PAINAMPURAM TPP</v>
          </cell>
          <cell r="B90">
            <v>3743.6770082031862</v>
          </cell>
        </row>
        <row r="91">
          <cell r="A91" t="str">
            <v>PANIPAT TPS</v>
          </cell>
          <cell r="B91">
            <v>4311.1880532682781</v>
          </cell>
        </row>
        <row r="92">
          <cell r="A92" t="str">
            <v>PANKI TPS</v>
          </cell>
          <cell r="B92">
            <v>4331.3575335161595</v>
          </cell>
        </row>
        <row r="93">
          <cell r="A93" t="str">
            <v>PARAS TPS</v>
          </cell>
          <cell r="B93">
            <v>4369.4126749544839</v>
          </cell>
        </row>
        <row r="94">
          <cell r="A94" t="str">
            <v>PARICHHA TPS</v>
          </cell>
          <cell r="B94">
            <v>4403.3417366147551</v>
          </cell>
        </row>
        <row r="95">
          <cell r="A95" t="str">
            <v>PARLI TPS</v>
          </cell>
          <cell r="B95">
            <v>4199.9465172602941</v>
          </cell>
        </row>
        <row r="96">
          <cell r="A96" t="str">
            <v>PATHADI TPS</v>
          </cell>
          <cell r="B96">
            <v>4145.9303839930444</v>
          </cell>
        </row>
        <row r="97">
          <cell r="A97" t="str">
            <v>PATHADI TPS STAGE I AND II</v>
          </cell>
          <cell r="B97">
            <v>4507.3415627255745</v>
          </cell>
        </row>
        <row r="98">
          <cell r="A98" t="str">
            <v>RAGHUNATHPUR TPP</v>
          </cell>
          <cell r="B98">
            <v>4737.2075889474336</v>
          </cell>
        </row>
        <row r="99">
          <cell r="A99" t="str">
            <v>RAICHUR TPS</v>
          </cell>
          <cell r="B99">
            <v>3982.4507996977022</v>
          </cell>
        </row>
        <row r="100">
          <cell r="A100" t="str">
            <v>RAIKHEDA TPP</v>
          </cell>
          <cell r="B100">
            <v>4150.0000000000009</v>
          </cell>
        </row>
        <row r="101">
          <cell r="A101" t="str">
            <v>RAJIV GANDHI TPS</v>
          </cell>
          <cell r="B101">
            <v>4387.1619690176503</v>
          </cell>
        </row>
        <row r="102">
          <cell r="A102" t="str">
            <v>RAJPURA TPS</v>
          </cell>
          <cell r="B102">
            <v>4207.6468129984778</v>
          </cell>
        </row>
        <row r="103">
          <cell r="A103" t="str">
            <v>RAYALSEEMA TPS</v>
          </cell>
          <cell r="B103">
            <v>3705.8725734969948</v>
          </cell>
        </row>
        <row r="104">
          <cell r="A104" t="str">
            <v>RIHAND STPS</v>
          </cell>
          <cell r="B104">
            <v>4451.988614696289</v>
          </cell>
        </row>
        <row r="105">
          <cell r="A105" t="str">
            <v>ROPAR TPS</v>
          </cell>
          <cell r="B105">
            <v>4279.8296499506378</v>
          </cell>
        </row>
        <row r="106">
          <cell r="A106" t="str">
            <v>ROSA TPP PH-I</v>
          </cell>
          <cell r="B106">
            <v>4422.9034140906479</v>
          </cell>
        </row>
        <row r="107">
          <cell r="A107" t="str">
            <v>SABARMATI ALL STATIONS TPP</v>
          </cell>
          <cell r="B107">
            <v>5320.6600744065117</v>
          </cell>
        </row>
        <row r="108">
          <cell r="A108" t="str">
            <v>SAGARDIGHI TPS</v>
          </cell>
          <cell r="B108">
            <v>5845.9241366186579</v>
          </cell>
        </row>
        <row r="109">
          <cell r="A109" t="str">
            <v>SANJAY GANDHI TPS</v>
          </cell>
          <cell r="B109">
            <v>4871.520386436875</v>
          </cell>
        </row>
        <row r="110">
          <cell r="A110" t="str">
            <v>SANTALDIH TPS</v>
          </cell>
          <cell r="B110">
            <v>4325.6992027808037</v>
          </cell>
        </row>
        <row r="111">
          <cell r="A111" t="str">
            <v>SATPURA TPS</v>
          </cell>
          <cell r="B111">
            <v>4403.1973598778304</v>
          </cell>
        </row>
        <row r="112">
          <cell r="A112" t="str">
            <v>SEIONI TPP</v>
          </cell>
          <cell r="B112">
            <v>3900.6255417210209</v>
          </cell>
        </row>
        <row r="113">
          <cell r="A113" t="str">
            <v>SHREE SINGAJI TPP</v>
          </cell>
          <cell r="B113">
            <v>4300.9021962880979</v>
          </cell>
        </row>
        <row r="114">
          <cell r="A114" t="str">
            <v>SIKKA REP. TPS</v>
          </cell>
          <cell r="B114">
            <v>4150</v>
          </cell>
        </row>
        <row r="115">
          <cell r="A115" t="str">
            <v>SIMHADRI STPP</v>
          </cell>
          <cell r="B115">
            <v>4308.9715608505721</v>
          </cell>
        </row>
        <row r="116">
          <cell r="A116" t="str">
            <v>SINGRAULI STPS</v>
          </cell>
          <cell r="B116">
            <v>4449.6383069062995</v>
          </cell>
        </row>
        <row r="117">
          <cell r="A117" t="str">
            <v>SIPAT STPS</v>
          </cell>
          <cell r="B117">
            <v>4199.473567201816</v>
          </cell>
        </row>
        <row r="118">
          <cell r="A118" t="str">
            <v>SOLAPUR STPS</v>
          </cell>
          <cell r="B118">
            <v>3881.3351862889454</v>
          </cell>
        </row>
        <row r="119">
          <cell r="A119" t="str">
            <v>SOUTHERN REPL. TPS</v>
          </cell>
          <cell r="B119">
            <v>5319.5897342946537</v>
          </cell>
        </row>
        <row r="120">
          <cell r="A120" t="str">
            <v>STERLITE TPP</v>
          </cell>
          <cell r="B120">
            <v>3526.9894260214323</v>
          </cell>
        </row>
        <row r="121">
          <cell r="A121" t="str">
            <v>SURATGARH TPS</v>
          </cell>
          <cell r="B121">
            <v>4596.7279021980594</v>
          </cell>
        </row>
        <row r="122">
          <cell r="A122" t="str">
            <v>TALCHER (OLD) TPS</v>
          </cell>
          <cell r="B122">
            <v>4012.015183713771</v>
          </cell>
        </row>
        <row r="123">
          <cell r="A123" t="str">
            <v>TALCHER STPS</v>
          </cell>
          <cell r="B123">
            <v>3454.6714611127372</v>
          </cell>
        </row>
        <row r="124">
          <cell r="A124" t="str">
            <v>TALWANDI SABO TPS</v>
          </cell>
          <cell r="B124">
            <v>3376.5727014317126</v>
          </cell>
        </row>
        <row r="125">
          <cell r="A125" t="str">
            <v>TANDA STPS</v>
          </cell>
          <cell r="B125">
            <v>4351.5922565188512</v>
          </cell>
        </row>
        <row r="126">
          <cell r="A126" t="str">
            <v>TENUGHAT TPS</v>
          </cell>
          <cell r="B126">
            <v>4422.0869502399582</v>
          </cell>
        </row>
        <row r="127">
          <cell r="A127" t="str">
            <v>TIRORA TPS</v>
          </cell>
          <cell r="B127">
            <v>4252.0261447065277</v>
          </cell>
        </row>
        <row r="128">
          <cell r="A128" t="str">
            <v>TUTICORIN TPS</v>
          </cell>
          <cell r="B128">
            <v>4189.0812125130678</v>
          </cell>
        </row>
        <row r="129">
          <cell r="A129" t="str">
            <v>UCHPINDA TPP</v>
          </cell>
          <cell r="B129">
            <v>4145.8985534158601</v>
          </cell>
        </row>
        <row r="130">
          <cell r="A130" t="str">
            <v>UKAI TPS</v>
          </cell>
          <cell r="B130">
            <v>4242.1006374980961</v>
          </cell>
        </row>
        <row r="131">
          <cell r="A131" t="str">
            <v>UNCHAHAR STPS</v>
          </cell>
          <cell r="B131">
            <v>4316.9523179673752</v>
          </cell>
        </row>
        <row r="132">
          <cell r="A132" t="str">
            <v>VALLUR TPP</v>
          </cell>
          <cell r="B132">
            <v>4203.8995242621295</v>
          </cell>
        </row>
        <row r="133">
          <cell r="A133" t="str">
            <v>VINDHYACHAL STPS</v>
          </cell>
          <cell r="B133">
            <v>4450.5827544825906</v>
          </cell>
        </row>
        <row r="134">
          <cell r="A134" t="str">
            <v>VIZAG TPS</v>
          </cell>
          <cell r="B134">
            <v>3678.2479553474091</v>
          </cell>
        </row>
        <row r="135">
          <cell r="A135" t="str">
            <v>WANAKBORI TPS</v>
          </cell>
          <cell r="B135">
            <v>4360.0292448303944</v>
          </cell>
        </row>
        <row r="136">
          <cell r="A136" t="str">
            <v>WARDHA WARORA TPP</v>
          </cell>
          <cell r="B136">
            <v>5623.0572008300906</v>
          </cell>
        </row>
        <row r="137">
          <cell r="A137" t="str">
            <v>YAMUNA NAGAR TPS</v>
          </cell>
          <cell r="B137">
            <v>4241.3688440613269</v>
          </cell>
        </row>
      </sheetData>
      <sheetData sheetId="4"/>
      <sheetData sheetId="5"/>
      <sheetData sheetId="6"/>
      <sheetData sheetId="7"/>
      <sheetData sheetId="8">
        <row r="3">
          <cell r="A3" t="str">
            <v>AKALTARA TPS</v>
          </cell>
          <cell r="B3">
            <v>3798.2799999999897</v>
          </cell>
          <cell r="E3">
            <v>1098211.2399999991</v>
          </cell>
          <cell r="H3">
            <v>5560368.4499999955</v>
          </cell>
          <cell r="J3">
            <v>6662377.9699999951</v>
          </cell>
          <cell r="K3">
            <v>5.7010875352663198E-4</v>
          </cell>
          <cell r="L3">
            <v>0</v>
          </cell>
          <cell r="M3">
            <v>0</v>
          </cell>
          <cell r="N3">
            <v>0.16483772685145329</v>
          </cell>
          <cell r="O3">
            <v>0</v>
          </cell>
          <cell r="P3">
            <v>0</v>
          </cell>
          <cell r="Q3">
            <v>0.83459216439502004</v>
          </cell>
          <cell r="R3">
            <v>0</v>
          </cell>
        </row>
        <row r="4">
          <cell r="A4" t="str">
            <v>AMARKANTAK TPS</v>
          </cell>
          <cell r="C4">
            <v>4471.96</v>
          </cell>
          <cell r="H4">
            <v>2291509.8299999973</v>
          </cell>
          <cell r="J4">
            <v>2295981.7899999972</v>
          </cell>
          <cell r="K4">
            <v>0</v>
          </cell>
          <cell r="L4">
            <v>1.9477332178666825E-3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0.99805226678213332</v>
          </cell>
          <cell r="R4">
            <v>0</v>
          </cell>
        </row>
        <row r="5">
          <cell r="A5" t="str">
            <v>AMRAVATI TPS</v>
          </cell>
          <cell r="H5">
            <v>8794840.6700000018</v>
          </cell>
          <cell r="I5">
            <v>81363.819999999905</v>
          </cell>
          <cell r="J5">
            <v>8876204.4900000021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0.99083348968676133</v>
          </cell>
          <cell r="R5">
            <v>9.1665103132386131E-3</v>
          </cell>
        </row>
        <row r="6">
          <cell r="A6" t="str">
            <v>ANPARA C TPS</v>
          </cell>
          <cell r="F6">
            <v>9245638.1799999867</v>
          </cell>
          <cell r="J6">
            <v>9245638.1799999867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1</v>
          </cell>
          <cell r="P6">
            <v>0</v>
          </cell>
          <cell r="Q6">
            <v>0</v>
          </cell>
          <cell r="R6">
            <v>0</v>
          </cell>
        </row>
        <row r="7">
          <cell r="A7" t="str">
            <v>ANPARA TPS</v>
          </cell>
          <cell r="F7">
            <v>27582512.557999972</v>
          </cell>
          <cell r="J7">
            <v>27582512.557999972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1</v>
          </cell>
          <cell r="P7">
            <v>0</v>
          </cell>
          <cell r="Q7">
            <v>0</v>
          </cell>
          <cell r="R7">
            <v>0</v>
          </cell>
        </row>
        <row r="8">
          <cell r="A8" t="str">
            <v>ANUPPUR TPP</v>
          </cell>
          <cell r="C8">
            <v>54663.669999999991</v>
          </cell>
          <cell r="H8">
            <v>4861720.4149999879</v>
          </cell>
          <cell r="J8">
            <v>4916384.0849999879</v>
          </cell>
          <cell r="K8">
            <v>0</v>
          </cell>
          <cell r="L8">
            <v>1.1118673613556807E-2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0.98888132638644322</v>
          </cell>
          <cell r="R8">
            <v>0</v>
          </cell>
        </row>
        <row r="9">
          <cell r="A9" t="str">
            <v>BADARPUR TPS</v>
          </cell>
          <cell r="C9">
            <v>798009.0699999996</v>
          </cell>
          <cell r="D9">
            <v>7458.51</v>
          </cell>
          <cell r="J9">
            <v>805467.57999999961</v>
          </cell>
          <cell r="K9">
            <v>0</v>
          </cell>
          <cell r="L9">
            <v>0.99074014872206273</v>
          </cell>
          <cell r="M9">
            <v>9.2598512779372248E-3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A10" t="str">
            <v>BAJAJ ENERGY ALL PLANTS</v>
          </cell>
          <cell r="C10">
            <v>975880.73999999976</v>
          </cell>
          <cell r="F10">
            <v>147292.44</v>
          </cell>
          <cell r="J10">
            <v>1123173.1799999997</v>
          </cell>
          <cell r="K10">
            <v>0</v>
          </cell>
          <cell r="L10">
            <v>0.86886043699868265</v>
          </cell>
          <cell r="M10">
            <v>0</v>
          </cell>
          <cell r="N10">
            <v>0</v>
          </cell>
          <cell r="O10">
            <v>0.13113956300131743</v>
          </cell>
          <cell r="P10">
            <v>0</v>
          </cell>
          <cell r="Q10">
            <v>0</v>
          </cell>
          <cell r="R10">
            <v>0</v>
          </cell>
        </row>
        <row r="11">
          <cell r="A11" t="str">
            <v>BAKRESWAR TPS</v>
          </cell>
          <cell r="B11">
            <v>552360.82999999973</v>
          </cell>
          <cell r="C11">
            <v>211887.98999999996</v>
          </cell>
          <cell r="D11">
            <v>7014673.709999986</v>
          </cell>
          <cell r="E11">
            <v>1040819.4099999997</v>
          </cell>
          <cell r="J11">
            <v>8819741.9399999846</v>
          </cell>
          <cell r="K11">
            <v>6.2627776839466201E-2</v>
          </cell>
          <cell r="L11">
            <v>2.4024284547264241E-2</v>
          </cell>
          <cell r="M11">
            <v>0.79533774998409967</v>
          </cell>
          <cell r="N11">
            <v>0.11801018862916997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BALCO TPS</v>
          </cell>
          <cell r="H12">
            <v>2267257.0409999983</v>
          </cell>
          <cell r="J12">
            <v>2267257.0409999983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</v>
          </cell>
          <cell r="R12">
            <v>0</v>
          </cell>
        </row>
        <row r="13">
          <cell r="A13" t="str">
            <v>BANDAKHAR TPP</v>
          </cell>
          <cell r="H13">
            <v>1960730.1199999982</v>
          </cell>
          <cell r="J13">
            <v>1960730.1199999982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</v>
          </cell>
          <cell r="R13">
            <v>0</v>
          </cell>
        </row>
        <row r="14">
          <cell r="A14" t="str">
            <v>BANDEL TPS</v>
          </cell>
          <cell r="B14">
            <v>216544.07999999987</v>
          </cell>
          <cell r="D14">
            <v>645368.46999999927</v>
          </cell>
          <cell r="E14">
            <v>666907.4</v>
          </cell>
          <cell r="J14">
            <v>1528819.9499999993</v>
          </cell>
          <cell r="K14">
            <v>0.14164132277316238</v>
          </cell>
          <cell r="L14">
            <v>0</v>
          </cell>
          <cell r="M14">
            <v>0.42213503951201026</v>
          </cell>
          <cell r="N14">
            <v>0.43622363771482725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BARA TPP</v>
          </cell>
          <cell r="B15">
            <v>114421.01</v>
          </cell>
          <cell r="C15">
            <v>857079.37599999935</v>
          </cell>
          <cell r="D15">
            <v>68623.179999999993</v>
          </cell>
          <cell r="F15">
            <v>8361235.3399999859</v>
          </cell>
          <cell r="H15">
            <v>50378.229999999901</v>
          </cell>
          <cell r="J15">
            <v>9451737.135999985</v>
          </cell>
          <cell r="K15">
            <v>1.2105818047371496E-2</v>
          </cell>
          <cell r="L15">
            <v>9.0679561192570257E-2</v>
          </cell>
          <cell r="M15">
            <v>7.260377538286217E-3</v>
          </cell>
          <cell r="N15">
            <v>0</v>
          </cell>
          <cell r="O15">
            <v>0.88462419338277276</v>
          </cell>
          <cell r="P15">
            <v>0</v>
          </cell>
          <cell r="Q15">
            <v>5.330049838999245E-3</v>
          </cell>
          <cell r="R15">
            <v>0</v>
          </cell>
        </row>
        <row r="16">
          <cell r="A16" t="str">
            <v>BARADARHA TPS</v>
          </cell>
          <cell r="B16">
            <v>53683.509999999878</v>
          </cell>
          <cell r="C16">
            <v>163669.51999999981</v>
          </cell>
          <cell r="D16">
            <v>19135.3</v>
          </cell>
          <cell r="E16">
            <v>770872.68999999959</v>
          </cell>
          <cell r="H16">
            <v>2535190.010999999</v>
          </cell>
          <cell r="J16">
            <v>3542551.0309999986</v>
          </cell>
          <cell r="K16">
            <v>1.5153912965608286E-2</v>
          </cell>
          <cell r="L16">
            <v>4.6201033822171604E-2</v>
          </cell>
          <cell r="M16">
            <v>5.4015594503937035E-3</v>
          </cell>
          <cell r="N16">
            <v>0.21760383499186914</v>
          </cell>
          <cell r="O16">
            <v>0</v>
          </cell>
          <cell r="P16">
            <v>0</v>
          </cell>
          <cell r="Q16">
            <v>0.71563965876995717</v>
          </cell>
          <cell r="R16">
            <v>0</v>
          </cell>
        </row>
        <row r="17">
          <cell r="A17" t="str">
            <v>BARAUNI TPS</v>
          </cell>
          <cell r="D17">
            <v>72587.839999999997</v>
          </cell>
          <cell r="J17">
            <v>72587.839999999997</v>
          </cell>
          <cell r="K17">
            <v>0</v>
          </cell>
          <cell r="L17">
            <v>0</v>
          </cell>
          <cell r="M17">
            <v>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A18" t="str">
            <v>BARH I AND II</v>
          </cell>
          <cell r="B18">
            <v>11367.66</v>
          </cell>
          <cell r="C18">
            <v>1892311.3599999943</v>
          </cell>
          <cell r="D18">
            <v>2238604.7399999984</v>
          </cell>
          <cell r="E18">
            <v>7796.56</v>
          </cell>
          <cell r="J18">
            <v>4150080.3199999924</v>
          </cell>
          <cell r="K18">
            <v>2.7391421667713701E-3</v>
          </cell>
          <cell r="L18">
            <v>0.45596981602515052</v>
          </cell>
          <cell r="M18">
            <v>0.53941238901130528</v>
          </cell>
          <cell r="N18">
            <v>1.8786527967728621E-3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BELLARY TPS</v>
          </cell>
          <cell r="E19">
            <v>30263.399999999991</v>
          </cell>
          <cell r="J19">
            <v>30263.399999999991</v>
          </cell>
          <cell r="K19">
            <v>0</v>
          </cell>
          <cell r="L19">
            <v>0</v>
          </cell>
          <cell r="M19">
            <v>0</v>
          </cell>
          <cell r="N19">
            <v>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A20" t="str">
            <v>BHILAI TPS</v>
          </cell>
          <cell r="D20">
            <v>507238.7899999998</v>
          </cell>
          <cell r="H20">
            <v>476878.29</v>
          </cell>
          <cell r="J20">
            <v>984117.07999999984</v>
          </cell>
          <cell r="K20">
            <v>0</v>
          </cell>
          <cell r="L20">
            <v>0</v>
          </cell>
          <cell r="M20">
            <v>0.51542524797964073</v>
          </cell>
          <cell r="N20">
            <v>0</v>
          </cell>
          <cell r="O20">
            <v>0</v>
          </cell>
          <cell r="P20">
            <v>0</v>
          </cell>
          <cell r="Q20">
            <v>0.48457475202035927</v>
          </cell>
          <cell r="R20">
            <v>0</v>
          </cell>
        </row>
        <row r="21">
          <cell r="A21" t="str">
            <v>BHUSAWAL TPS</v>
          </cell>
          <cell r="H21">
            <v>200547.57</v>
          </cell>
          <cell r="I21">
            <v>10893945.569999991</v>
          </cell>
          <cell r="J21">
            <v>11094493.139999991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1.8076316553565435E-2</v>
          </cell>
          <cell r="R21">
            <v>0.98192368344643455</v>
          </cell>
        </row>
        <row r="22">
          <cell r="A22" t="str">
            <v>BINA TPS</v>
          </cell>
          <cell r="B22">
            <v>46506.819999999789</v>
          </cell>
          <cell r="C22">
            <v>1384500.115</v>
          </cell>
          <cell r="F22">
            <v>257548.10999999987</v>
          </cell>
          <cell r="H22">
            <v>1167495.2299999995</v>
          </cell>
          <cell r="J22">
            <v>2856050.2749999994</v>
          </cell>
          <cell r="K22">
            <v>1.6283613915024586E-2</v>
          </cell>
          <cell r="L22">
            <v>0.48476041445033746</v>
          </cell>
          <cell r="M22">
            <v>0</v>
          </cell>
          <cell r="N22">
            <v>0</v>
          </cell>
          <cell r="O22">
            <v>9.017632226379485E-2</v>
          </cell>
          <cell r="P22">
            <v>0</v>
          </cell>
          <cell r="Q22">
            <v>0.40877964937084299</v>
          </cell>
          <cell r="R22">
            <v>0</v>
          </cell>
        </row>
        <row r="23">
          <cell r="A23" t="str">
            <v>BINJKOTE  TPP</v>
          </cell>
          <cell r="B23">
            <v>6469.2600000000011</v>
          </cell>
          <cell r="E23">
            <v>74705.05999999991</v>
          </cell>
          <cell r="H23">
            <v>523236.78999999986</v>
          </cell>
          <cell r="J23">
            <v>604411.10999999975</v>
          </cell>
          <cell r="K23">
            <v>1.0703410134204852E-2</v>
          </cell>
          <cell r="L23">
            <v>0</v>
          </cell>
          <cell r="M23">
            <v>0</v>
          </cell>
          <cell r="N23">
            <v>0.12359974653675698</v>
          </cell>
          <cell r="O23">
            <v>0</v>
          </cell>
          <cell r="P23">
            <v>0</v>
          </cell>
          <cell r="Q23">
            <v>0.86569684332903818</v>
          </cell>
          <cell r="R23">
            <v>0</v>
          </cell>
        </row>
        <row r="24">
          <cell r="A24" t="str">
            <v>BOKARO A AND B TPS</v>
          </cell>
          <cell r="B24">
            <v>39942.489999999991</v>
          </cell>
          <cell r="C24">
            <v>3084333.98</v>
          </cell>
          <cell r="J24">
            <v>3124276.4699999997</v>
          </cell>
          <cell r="K24">
            <v>1.2784556803322848E-2</v>
          </cell>
          <cell r="L24">
            <v>0.9872154431966772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A25" t="str">
            <v>BONGAIGAON TPS</v>
          </cell>
          <cell r="C25">
            <v>82450.104999999996</v>
          </cell>
          <cell r="D25">
            <v>1599380.3259999992</v>
          </cell>
          <cell r="G25">
            <v>843532.4</v>
          </cell>
          <cell r="J25">
            <v>2525362.8309999993</v>
          </cell>
          <cell r="K25">
            <v>0</v>
          </cell>
          <cell r="L25">
            <v>3.2648815444611262E-2</v>
          </cell>
          <cell r="M25">
            <v>0.63332694469359585</v>
          </cell>
          <cell r="N25">
            <v>0</v>
          </cell>
          <cell r="O25">
            <v>0</v>
          </cell>
          <cell r="P25">
            <v>0.33402423986179286</v>
          </cell>
          <cell r="Q25">
            <v>0</v>
          </cell>
          <cell r="R25">
            <v>0</v>
          </cell>
        </row>
        <row r="26">
          <cell r="A26" t="str">
            <v>BUDGE BUDGE TPS</v>
          </cell>
          <cell r="B26">
            <v>889503.0059999997</v>
          </cell>
          <cell r="D26">
            <v>2173685.6979999985</v>
          </cell>
          <cell r="E26">
            <v>19705.62</v>
          </cell>
          <cell r="J26">
            <v>3082894.3239999982</v>
          </cell>
          <cell r="K26">
            <v>0.28852854250478688</v>
          </cell>
          <cell r="L26">
            <v>0</v>
          </cell>
          <cell r="M26">
            <v>0.70507953551248603</v>
          </cell>
          <cell r="N26">
            <v>6.3919219827270378E-3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A27" t="str">
            <v>BUTIBORI TPP</v>
          </cell>
          <cell r="I27">
            <v>1549502.68</v>
          </cell>
          <cell r="J27">
            <v>1549502.68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</v>
          </cell>
        </row>
        <row r="28">
          <cell r="A28" t="str">
            <v>CESC ALL PLANTS</v>
          </cell>
          <cell r="C28">
            <v>103191</v>
          </cell>
          <cell r="J28">
            <v>103191</v>
          </cell>
          <cell r="K28">
            <v>0</v>
          </cell>
          <cell r="L28">
            <v>1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A29" t="str">
            <v>CHANDRAPUR STPS</v>
          </cell>
          <cell r="E29">
            <v>3944.58</v>
          </cell>
          <cell r="H29">
            <v>218771.98999999982</v>
          </cell>
          <cell r="I29">
            <v>21929936.97609999</v>
          </cell>
          <cell r="J29">
            <v>22152653.546099991</v>
          </cell>
          <cell r="K29">
            <v>0</v>
          </cell>
          <cell r="L29">
            <v>0</v>
          </cell>
          <cell r="M29">
            <v>0</v>
          </cell>
          <cell r="N29">
            <v>1.7806354402605864E-4</v>
          </cell>
          <cell r="O29">
            <v>0</v>
          </cell>
          <cell r="P29">
            <v>0</v>
          </cell>
          <cell r="Q29">
            <v>9.875656184697339E-3</v>
          </cell>
          <cell r="R29">
            <v>0.98994628027127662</v>
          </cell>
        </row>
        <row r="30">
          <cell r="A30" t="str">
            <v>CHANDRAPURA(DVC)</v>
          </cell>
          <cell r="B30">
            <v>889910.17999999935</v>
          </cell>
          <cell r="C30">
            <v>2488320.0899999985</v>
          </cell>
          <cell r="J30">
            <v>3378230.2699999977</v>
          </cell>
          <cell r="K30">
            <v>0.26342496185140157</v>
          </cell>
          <cell r="L30">
            <v>0.73657503814859848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CHHABRA TPS</v>
          </cell>
          <cell r="H31">
            <v>5315117.7100000018</v>
          </cell>
          <cell r="J31">
            <v>5315117.7100000018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</v>
          </cell>
          <cell r="R31">
            <v>0</v>
          </cell>
        </row>
        <row r="32">
          <cell r="A32" t="str">
            <v>D.P.L. TPS</v>
          </cell>
          <cell r="B32">
            <v>1723090.9199999981</v>
          </cell>
          <cell r="D32">
            <v>880959.35299999896</v>
          </cell>
          <cell r="E32">
            <v>532203.53999999969</v>
          </cell>
          <cell r="J32">
            <v>3136253.8129999968</v>
          </cell>
          <cell r="K32">
            <v>0.54941054606539264</v>
          </cell>
          <cell r="L32">
            <v>0</v>
          </cell>
          <cell r="M32">
            <v>0.28089542668656448</v>
          </cell>
          <cell r="N32">
            <v>0.16969402724804283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A33" t="str">
            <v>DADRI (NCTPP)</v>
          </cell>
          <cell r="B33">
            <v>2001613.0899999966</v>
          </cell>
          <cell r="C33">
            <v>4448906.5899999961</v>
          </cell>
          <cell r="D33">
            <v>2768876.4339999976</v>
          </cell>
          <cell r="F33">
            <v>149236.49000000002</v>
          </cell>
          <cell r="J33">
            <v>9368632.6039999891</v>
          </cell>
          <cell r="K33">
            <v>0.21365050531978347</v>
          </cell>
          <cell r="L33">
            <v>0.47487256444451786</v>
          </cell>
          <cell r="M33">
            <v>0.29554755224554441</v>
          </cell>
          <cell r="N33">
            <v>0</v>
          </cell>
          <cell r="O33">
            <v>1.5929377990154366E-2</v>
          </cell>
          <cell r="P33">
            <v>0</v>
          </cell>
          <cell r="Q33">
            <v>0</v>
          </cell>
          <cell r="R33">
            <v>0</v>
          </cell>
        </row>
        <row r="34">
          <cell r="A34" t="str">
            <v>DAHANU TPS</v>
          </cell>
          <cell r="H34">
            <v>5029742.8799999887</v>
          </cell>
          <cell r="J34">
            <v>5029742.8799999887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0</v>
          </cell>
        </row>
        <row r="35">
          <cell r="A35" t="str">
            <v>DAMODARAN SANJEEVAIAH TPS</v>
          </cell>
          <cell r="E35">
            <v>11145954.509999983</v>
          </cell>
          <cell r="J35">
            <v>11145954.509999983</v>
          </cell>
          <cell r="K35">
            <v>0</v>
          </cell>
          <cell r="L35">
            <v>0</v>
          </cell>
          <cell r="M35">
            <v>0</v>
          </cell>
          <cell r="N35">
            <v>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DERANG TPP</v>
          </cell>
          <cell r="E36">
            <v>6266265.7499999944</v>
          </cell>
          <cell r="H36">
            <v>883.75</v>
          </cell>
          <cell r="J36">
            <v>6267149.4999999944</v>
          </cell>
          <cell r="K36">
            <v>0</v>
          </cell>
          <cell r="L36">
            <v>0</v>
          </cell>
          <cell r="M36">
            <v>0</v>
          </cell>
          <cell r="N36">
            <v>0.99985898692858688</v>
          </cell>
          <cell r="O36">
            <v>0</v>
          </cell>
          <cell r="P36">
            <v>0</v>
          </cell>
          <cell r="Q36">
            <v>1.4101307141308833E-4</v>
          </cell>
          <cell r="R36">
            <v>0</v>
          </cell>
        </row>
        <row r="37">
          <cell r="A37" t="str">
            <v>DHARIWAL TPS</v>
          </cell>
          <cell r="H37">
            <v>1947435.0899999987</v>
          </cell>
          <cell r="I37">
            <v>481802.56999999954</v>
          </cell>
          <cell r="J37">
            <v>2429237.6599999983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0.8016651157960395</v>
          </cell>
          <cell r="R37">
            <v>0.19833488420396048</v>
          </cell>
        </row>
        <row r="38">
          <cell r="A38" t="str">
            <v>DR. N TATA RAO TPS</v>
          </cell>
          <cell r="E38">
            <v>8201392.801111104</v>
          </cell>
          <cell r="J38">
            <v>8201392.801111104</v>
          </cell>
          <cell r="K38">
            <v>0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A39" t="str">
            <v>DURGAPUR STEEL TPS</v>
          </cell>
          <cell r="B39">
            <v>2455985.5399999991</v>
          </cell>
          <cell r="D39">
            <v>5101701.9799999977</v>
          </cell>
          <cell r="E39">
            <v>984026.67999999947</v>
          </cell>
          <cell r="J39">
            <v>8541714.1999999955</v>
          </cell>
          <cell r="K39">
            <v>0.28752841437846288</v>
          </cell>
          <cell r="L39">
            <v>0</v>
          </cell>
          <cell r="M39">
            <v>0.59726910319710769</v>
          </cell>
          <cell r="N39">
            <v>0.11520248242442951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</row>
        <row r="40">
          <cell r="A40" t="str">
            <v>DURGAPUR TPS</v>
          </cell>
          <cell r="B40">
            <v>184964.5</v>
          </cell>
          <cell r="C40">
            <v>173201.49999999988</v>
          </cell>
          <cell r="D40">
            <v>775685.57999999903</v>
          </cell>
          <cell r="E40">
            <v>18149.810000000001</v>
          </cell>
          <cell r="J40">
            <v>1152001.389999999</v>
          </cell>
          <cell r="K40">
            <v>0.16055926807518883</v>
          </cell>
          <cell r="L40">
            <v>0.15034834289566268</v>
          </cell>
          <cell r="M40">
            <v>0.67333736463633931</v>
          </cell>
          <cell r="N40">
            <v>1.5755024392809125E-2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A41" t="str">
            <v>ENNORE TPS</v>
          </cell>
          <cell r="D41">
            <v>5182010.5529999938</v>
          </cell>
          <cell r="E41">
            <v>542947.03999999969</v>
          </cell>
          <cell r="J41">
            <v>5724957.5929999938</v>
          </cell>
          <cell r="K41">
            <v>0</v>
          </cell>
          <cell r="L41">
            <v>0</v>
          </cell>
          <cell r="M41">
            <v>0.90516138658147072</v>
          </cell>
          <cell r="N41">
            <v>9.4838613418529172E-2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A42" t="str">
            <v>FARAKKA STPS</v>
          </cell>
          <cell r="B42">
            <v>933862.32999999973</v>
          </cell>
          <cell r="D42">
            <v>23133285.761999995</v>
          </cell>
          <cell r="E42">
            <v>11031.919999999998</v>
          </cell>
          <cell r="G42">
            <v>449187</v>
          </cell>
          <cell r="J42">
            <v>24527367.011999995</v>
          </cell>
          <cell r="K42">
            <v>3.8074300007135228E-2</v>
          </cell>
          <cell r="L42">
            <v>0</v>
          </cell>
          <cell r="M42">
            <v>0.94316221348512674</v>
          </cell>
          <cell r="N42">
            <v>4.4978003528069849E-4</v>
          </cell>
          <cell r="O42">
            <v>0</v>
          </cell>
          <cell r="P42">
            <v>1.8313706472457301E-2</v>
          </cell>
          <cell r="Q42">
            <v>0</v>
          </cell>
          <cell r="R42">
            <v>0</v>
          </cell>
        </row>
        <row r="43">
          <cell r="A43" t="str">
            <v>GADARWARA TPP</v>
          </cell>
          <cell r="I43">
            <v>51473.659999999996</v>
          </cell>
          <cell r="J43">
            <v>51473.659999999996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1</v>
          </cell>
        </row>
        <row r="44">
          <cell r="A44" t="str">
            <v>GANDHI NAGAR TPS</v>
          </cell>
          <cell r="H44">
            <v>4356384.7199999923</v>
          </cell>
          <cell r="I44">
            <v>885700.81999999972</v>
          </cell>
          <cell r="J44">
            <v>5242085.5399999917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0.83104037253081509</v>
          </cell>
          <cell r="R44">
            <v>0.16895962746918494</v>
          </cell>
        </row>
        <row r="45">
          <cell r="A45" t="str">
            <v>GH TPS (LEH.MOH.)</v>
          </cell>
          <cell r="B45">
            <v>303691.54999999976</v>
          </cell>
          <cell r="C45">
            <v>2197378.7099999986</v>
          </cell>
          <cell r="J45">
            <v>2501070.2599999984</v>
          </cell>
          <cell r="K45">
            <v>0.12142463762693334</v>
          </cell>
          <cell r="L45">
            <v>0.87857536237306666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A46" t="str">
            <v>GMR WARORA TPS</v>
          </cell>
          <cell r="H46">
            <v>3739802.4709999925</v>
          </cell>
          <cell r="I46">
            <v>105699.95</v>
          </cell>
          <cell r="J46">
            <v>3845502.4209999926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0.97251335757252921</v>
          </cell>
          <cell r="R46">
            <v>2.748664242747078E-2</v>
          </cell>
        </row>
        <row r="47">
          <cell r="A47" t="str">
            <v>GOINDWAL SAHIB</v>
          </cell>
          <cell r="B47">
            <v>3624.0399999999991</v>
          </cell>
          <cell r="C47">
            <v>1126266.3749999988</v>
          </cell>
          <cell r="F47">
            <v>90055.199999999793</v>
          </cell>
          <cell r="J47">
            <v>1219945.6149999986</v>
          </cell>
          <cell r="K47">
            <v>2.9706570157227896E-3</v>
          </cell>
          <cell r="L47">
            <v>0.92321031458439251</v>
          </cell>
          <cell r="M47">
            <v>0</v>
          </cell>
          <cell r="N47">
            <v>0</v>
          </cell>
          <cell r="O47">
            <v>7.3819028399884773E-2</v>
          </cell>
          <cell r="P47">
            <v>0</v>
          </cell>
          <cell r="Q47">
            <v>0</v>
          </cell>
          <cell r="R47">
            <v>0</v>
          </cell>
        </row>
        <row r="48">
          <cell r="A48" t="str">
            <v>HALDIA TPP</v>
          </cell>
          <cell r="B48">
            <v>354915.30999999988</v>
          </cell>
          <cell r="C48">
            <v>318055.92</v>
          </cell>
          <cell r="D48">
            <v>109600.32999999999</v>
          </cell>
          <cell r="E48">
            <v>3153842.1699999985</v>
          </cell>
          <cell r="J48">
            <v>3936413.7299999986</v>
          </cell>
          <cell r="K48">
            <v>9.0162095334425124E-2</v>
          </cell>
          <cell r="L48">
            <v>8.0798397174577499E-2</v>
          </cell>
          <cell r="M48">
            <v>2.7842685631522788E-2</v>
          </cell>
          <cell r="N48">
            <v>0.8011968218594745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HARDUAGANJ TPS</v>
          </cell>
          <cell r="B49">
            <v>968667.85999999917</v>
          </cell>
          <cell r="C49">
            <v>3828765.8999999994</v>
          </cell>
          <cell r="F49">
            <v>7741.77</v>
          </cell>
          <cell r="J49">
            <v>4805175.5299999984</v>
          </cell>
          <cell r="K49">
            <v>0.20158844436636</v>
          </cell>
          <cell r="L49">
            <v>0.79680042406276064</v>
          </cell>
          <cell r="M49">
            <v>0</v>
          </cell>
          <cell r="N49">
            <v>0</v>
          </cell>
          <cell r="O49">
            <v>1.6111315708793688E-3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IB VALLEY TPS</v>
          </cell>
          <cell r="E50">
            <v>5980013.5999999922</v>
          </cell>
          <cell r="J50">
            <v>5980013.5999999922</v>
          </cell>
          <cell r="K50">
            <v>0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A51" t="str">
            <v>INDIRA GANDHI STPP</v>
          </cell>
          <cell r="C51">
            <v>3884326.7099999958</v>
          </cell>
          <cell r="D51">
            <v>1993678.6299999994</v>
          </cell>
          <cell r="F51">
            <v>3431306.1929999976</v>
          </cell>
          <cell r="J51">
            <v>9309311.5329999924</v>
          </cell>
          <cell r="K51">
            <v>0</v>
          </cell>
          <cell r="L51">
            <v>0.41725176950311421</v>
          </cell>
          <cell r="M51">
            <v>0.21415962103456668</v>
          </cell>
          <cell r="N51">
            <v>0</v>
          </cell>
          <cell r="O51">
            <v>0.36858860946231914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INLAND TONAGATU</v>
          </cell>
          <cell r="C52">
            <v>26869.489999999991</v>
          </cell>
          <cell r="J52">
            <v>26869.489999999991</v>
          </cell>
          <cell r="K52">
            <v>0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JOJOBERA TPS</v>
          </cell>
          <cell r="B53">
            <v>152205.36000000002</v>
          </cell>
          <cell r="C53">
            <v>31451.57</v>
          </cell>
          <cell r="D53">
            <v>46241.859999999899</v>
          </cell>
          <cell r="J53">
            <v>229898.78999999992</v>
          </cell>
          <cell r="K53">
            <v>0.66205376722513443</v>
          </cell>
          <cell r="L53">
            <v>0.13680615717899172</v>
          </cell>
          <cell r="M53">
            <v>0.2011400755958738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A54" t="str">
            <v>KAHALGAON TPS</v>
          </cell>
          <cell r="D54">
            <v>32318674.981999986</v>
          </cell>
          <cell r="J54">
            <v>32318674.981999986</v>
          </cell>
          <cell r="K54">
            <v>0</v>
          </cell>
          <cell r="L54">
            <v>0</v>
          </cell>
          <cell r="M54">
            <v>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A55" t="str">
            <v>KALISINDH TPS</v>
          </cell>
          <cell r="H55">
            <v>115216.16</v>
          </cell>
          <cell r="J55">
            <v>115216.16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</v>
          </cell>
          <cell r="R55">
            <v>0</v>
          </cell>
        </row>
        <row r="56">
          <cell r="A56" t="str">
            <v>KAMALANGA TPS</v>
          </cell>
          <cell r="E56">
            <v>7618515.6249999888</v>
          </cell>
          <cell r="J56">
            <v>7618515.6249999888</v>
          </cell>
          <cell r="K56">
            <v>0</v>
          </cell>
          <cell r="L56">
            <v>0</v>
          </cell>
          <cell r="M56">
            <v>0</v>
          </cell>
          <cell r="N56">
            <v>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A57" t="str">
            <v>KAWAI TPS</v>
          </cell>
          <cell r="E57">
            <v>1321248.6899999995</v>
          </cell>
          <cell r="F57">
            <v>4837585.2849999955</v>
          </cell>
          <cell r="H57">
            <v>1634203.9649999989</v>
          </cell>
          <cell r="J57">
            <v>7793037.9399999939</v>
          </cell>
          <cell r="K57">
            <v>0</v>
          </cell>
          <cell r="L57">
            <v>0</v>
          </cell>
          <cell r="M57">
            <v>0</v>
          </cell>
          <cell r="N57">
            <v>0.16954218626580952</v>
          </cell>
          <cell r="O57">
            <v>0.62075731213493868</v>
          </cell>
          <cell r="P57">
            <v>0</v>
          </cell>
          <cell r="Q57">
            <v>0.20970050159925183</v>
          </cell>
          <cell r="R57">
            <v>0</v>
          </cell>
        </row>
        <row r="58">
          <cell r="A58" t="str">
            <v>KHAPARKHEDA TPS</v>
          </cell>
          <cell r="E58">
            <v>3433754.1199999978</v>
          </cell>
          <cell r="H58">
            <v>564795.25999999954</v>
          </cell>
          <cell r="I58">
            <v>7281098.7899999982</v>
          </cell>
          <cell r="J58">
            <v>11279648.169999994</v>
          </cell>
          <cell r="K58">
            <v>0</v>
          </cell>
          <cell r="L58">
            <v>0</v>
          </cell>
          <cell r="M58">
            <v>0</v>
          </cell>
          <cell r="N58">
            <v>0.30442032129447166</v>
          </cell>
          <cell r="O58">
            <v>0</v>
          </cell>
          <cell r="P58">
            <v>0</v>
          </cell>
          <cell r="Q58">
            <v>5.0072063550897071E-2</v>
          </cell>
          <cell r="R58">
            <v>0.6455076151546314</v>
          </cell>
        </row>
        <row r="59">
          <cell r="A59" t="str">
            <v>KODARMA TPS</v>
          </cell>
          <cell r="B59">
            <v>2389547.0599999973</v>
          </cell>
          <cell r="C59">
            <v>5347217.9599999916</v>
          </cell>
          <cell r="D59">
            <v>23311.03</v>
          </cell>
          <cell r="J59">
            <v>7760076.0499999886</v>
          </cell>
          <cell r="K59">
            <v>0.30792830438820257</v>
          </cell>
          <cell r="L59">
            <v>0.68906772634013036</v>
          </cell>
          <cell r="M59">
            <v>3.0039692716671293E-3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A60" t="str">
            <v>KOLAGHAT TPS</v>
          </cell>
          <cell r="B60">
            <v>1239289.7900000007</v>
          </cell>
          <cell r="C60">
            <v>493875.2300000001</v>
          </cell>
          <cell r="D60">
            <v>932521.51079999923</v>
          </cell>
          <cell r="E60">
            <v>1788176.1599999997</v>
          </cell>
          <cell r="J60">
            <v>4453862.6908</v>
          </cell>
          <cell r="K60">
            <v>0.27825056047639407</v>
          </cell>
          <cell r="L60">
            <v>0.11088694562141756</v>
          </cell>
          <cell r="M60">
            <v>0.20937365508061953</v>
          </cell>
          <cell r="N60">
            <v>0.40148883882156877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KORADI TPS</v>
          </cell>
          <cell r="E61">
            <v>1400399.5299999991</v>
          </cell>
          <cell r="H61">
            <v>2027509.4699999981</v>
          </cell>
          <cell r="I61">
            <v>5410120.0639999965</v>
          </cell>
          <cell r="J61">
            <v>8838029.0639999937</v>
          </cell>
          <cell r="K61">
            <v>0</v>
          </cell>
          <cell r="L61">
            <v>0</v>
          </cell>
          <cell r="M61">
            <v>0</v>
          </cell>
          <cell r="N61">
            <v>0.1584515642412013</v>
          </cell>
          <cell r="O61">
            <v>0</v>
          </cell>
          <cell r="P61">
            <v>0</v>
          </cell>
          <cell r="Q61">
            <v>0.22940742277694773</v>
          </cell>
          <cell r="R61">
            <v>0.61214101298185097</v>
          </cell>
        </row>
        <row r="62">
          <cell r="A62" t="str">
            <v>KORBA STPS</v>
          </cell>
          <cell r="H62">
            <v>34315696.369999975</v>
          </cell>
          <cell r="J62">
            <v>34315696.369999975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</v>
          </cell>
          <cell r="R62">
            <v>0</v>
          </cell>
        </row>
        <row r="63">
          <cell r="A63" t="str">
            <v>KORBA-II</v>
          </cell>
          <cell r="H63">
            <v>3705346.9199999911</v>
          </cell>
          <cell r="J63">
            <v>3705346.9199999911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1</v>
          </cell>
          <cell r="R63">
            <v>0</v>
          </cell>
        </row>
        <row r="64">
          <cell r="A64" t="str">
            <v>KORBA-III</v>
          </cell>
          <cell r="H64">
            <v>5435928.0439999867</v>
          </cell>
          <cell r="J64">
            <v>5435928.0439999867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</v>
          </cell>
          <cell r="R64">
            <v>0</v>
          </cell>
        </row>
        <row r="65">
          <cell r="A65" t="str">
            <v>KORBA-WEST TPS</v>
          </cell>
          <cell r="H65">
            <v>16459470.619999999</v>
          </cell>
          <cell r="J65">
            <v>16459470.619999999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</v>
          </cell>
          <cell r="R65">
            <v>0</v>
          </cell>
        </row>
        <row r="66">
          <cell r="A66" t="str">
            <v>KOTA TPS</v>
          </cell>
          <cell r="F66">
            <v>5612929.8199999891</v>
          </cell>
          <cell r="H66">
            <v>6432011.6499999966</v>
          </cell>
          <cell r="J66">
            <v>12044941.469999986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0.46599892859421221</v>
          </cell>
          <cell r="P66">
            <v>0</v>
          </cell>
          <cell r="Q66">
            <v>0.53400107140578779</v>
          </cell>
          <cell r="R66">
            <v>0</v>
          </cell>
        </row>
        <row r="67">
          <cell r="A67" t="str">
            <v>KUDGI STPP</v>
          </cell>
          <cell r="D67">
            <v>117573.92</v>
          </cell>
          <cell r="J67">
            <v>117573.92</v>
          </cell>
          <cell r="K67">
            <v>0</v>
          </cell>
          <cell r="L67">
            <v>0</v>
          </cell>
          <cell r="M67">
            <v>1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LALITPUR TPS</v>
          </cell>
          <cell r="C68">
            <v>2110237.5549999988</v>
          </cell>
          <cell r="E68">
            <v>15047.810000000001</v>
          </cell>
          <cell r="F68">
            <v>3123480.752999994</v>
          </cell>
          <cell r="H68">
            <v>1510793.8099999989</v>
          </cell>
          <cell r="I68">
            <v>709571.33000000007</v>
          </cell>
          <cell r="J68">
            <v>7469131.257999992</v>
          </cell>
          <cell r="K68">
            <v>0</v>
          </cell>
          <cell r="L68">
            <v>0.28252784455217311</v>
          </cell>
          <cell r="M68">
            <v>0</v>
          </cell>
          <cell r="N68">
            <v>2.0146666968642014E-3</v>
          </cell>
          <cell r="O68">
            <v>0.4181852808724596</v>
          </cell>
          <cell r="P68">
            <v>0</v>
          </cell>
          <cell r="Q68">
            <v>0.20227169101919679</v>
          </cell>
          <cell r="R68">
            <v>9.5000516859306328E-2</v>
          </cell>
        </row>
        <row r="69">
          <cell r="A69" t="str">
            <v>LANCO VIDARBHA TPP</v>
          </cell>
          <cell r="H69">
            <v>4340.38</v>
          </cell>
          <cell r="J69">
            <v>4340.38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</v>
          </cell>
          <cell r="R69">
            <v>0</v>
          </cell>
        </row>
        <row r="70">
          <cell r="A70" t="str">
            <v>LARA TPP</v>
          </cell>
          <cell r="H70">
            <v>15586.85</v>
          </cell>
          <cell r="J70">
            <v>15586.85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1</v>
          </cell>
          <cell r="R70">
            <v>0</v>
          </cell>
        </row>
        <row r="71">
          <cell r="A71" t="str">
            <v>MAHADEV PRASAD STPP</v>
          </cell>
          <cell r="B71">
            <v>800748.23399999947</v>
          </cell>
          <cell r="C71">
            <v>1440981.9799999991</v>
          </cell>
          <cell r="J71">
            <v>2241730.2139999988</v>
          </cell>
          <cell r="K71">
            <v>0.357200982080353</v>
          </cell>
          <cell r="L71">
            <v>0.64279901791964689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MAHAN TPP</v>
          </cell>
          <cell r="C72">
            <v>27764.469999999987</v>
          </cell>
          <cell r="F72">
            <v>1784982.2059999984</v>
          </cell>
          <cell r="J72">
            <v>1812746.6759999983</v>
          </cell>
          <cell r="K72">
            <v>0</v>
          </cell>
          <cell r="L72">
            <v>1.5316243779447986E-2</v>
          </cell>
          <cell r="M72">
            <v>0</v>
          </cell>
          <cell r="N72">
            <v>0</v>
          </cell>
          <cell r="O72">
            <v>0.98468375622055204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MAHATMA GANDHI TPS</v>
          </cell>
          <cell r="B73">
            <v>1983443.2899999986</v>
          </cell>
          <cell r="C73">
            <v>4831423.9099999908</v>
          </cell>
          <cell r="D73">
            <v>1114999.1199999987</v>
          </cell>
          <cell r="F73">
            <v>1126323.73</v>
          </cell>
          <cell r="J73">
            <v>9056190.0499999896</v>
          </cell>
          <cell r="K73">
            <v>0.21901520165204583</v>
          </cell>
          <cell r="L73">
            <v>0.53349409446194174</v>
          </cell>
          <cell r="M73">
            <v>0.12312011053699122</v>
          </cell>
          <cell r="N73">
            <v>0</v>
          </cell>
          <cell r="O73">
            <v>0.12437059334902112</v>
          </cell>
          <cell r="P73">
            <v>0</v>
          </cell>
          <cell r="Q73">
            <v>0</v>
          </cell>
          <cell r="R73">
            <v>0</v>
          </cell>
        </row>
        <row r="74">
          <cell r="A74" t="str">
            <v>MAITHON RB TPP</v>
          </cell>
          <cell r="B74">
            <v>3697153.3359999964</v>
          </cell>
          <cell r="C74">
            <v>2646701.2859999998</v>
          </cell>
          <cell r="D74">
            <v>13164</v>
          </cell>
          <cell r="J74">
            <v>6357018.6219999958</v>
          </cell>
          <cell r="K74">
            <v>0.58158604777483358</v>
          </cell>
          <cell r="L74">
            <v>0.41634317018365369</v>
          </cell>
          <cell r="M74">
            <v>2.0707820415127942E-3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A75" t="str">
            <v>MARWA TPS</v>
          </cell>
          <cell r="H75">
            <v>7909226.9509999864</v>
          </cell>
          <cell r="J75">
            <v>7909226.9509999864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</v>
          </cell>
          <cell r="R75">
            <v>0</v>
          </cell>
        </row>
        <row r="76">
          <cell r="A76" t="str">
            <v>MAUDA TPS</v>
          </cell>
          <cell r="B76">
            <v>747916.67999999947</v>
          </cell>
          <cell r="C76">
            <v>46317.749999999993</v>
          </cell>
          <cell r="D76">
            <v>105460.55999999988</v>
          </cell>
          <cell r="E76">
            <v>2409821.2999999966</v>
          </cell>
          <cell r="F76">
            <v>1468284.7109999997</v>
          </cell>
          <cell r="H76">
            <v>989272.85999999929</v>
          </cell>
          <cell r="I76">
            <v>4469438.843999994</v>
          </cell>
          <cell r="J76">
            <v>10236512.704999989</v>
          </cell>
          <cell r="K76">
            <v>7.3063620546739733E-2</v>
          </cell>
          <cell r="L76">
            <v>4.5247587078533344E-3</v>
          </cell>
          <cell r="M76">
            <v>1.0302391355259887E-2</v>
          </cell>
          <cell r="N76">
            <v>0.23541428311058782</v>
          </cell>
          <cell r="O76">
            <v>0.14343602682999856</v>
          </cell>
          <cell r="P76">
            <v>0</v>
          </cell>
          <cell r="Q76">
            <v>9.6641589622293189E-2</v>
          </cell>
          <cell r="R76">
            <v>0.43661732982726748</v>
          </cell>
        </row>
        <row r="77">
          <cell r="A77" t="str">
            <v>MEJA STPP</v>
          </cell>
          <cell r="H77">
            <v>356343.16999999975</v>
          </cell>
          <cell r="J77">
            <v>356343.16999999975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0</v>
          </cell>
        </row>
        <row r="78">
          <cell r="A78" t="str">
            <v>MEJIA TPS</v>
          </cell>
          <cell r="B78">
            <v>9463915.5499999933</v>
          </cell>
          <cell r="C78">
            <v>222663.99999999997</v>
          </cell>
          <cell r="D78">
            <v>4690531.8499999959</v>
          </cell>
          <cell r="E78">
            <v>748115.5399999998</v>
          </cell>
          <cell r="J78">
            <v>15125226.939999988</v>
          </cell>
          <cell r="K78">
            <v>0.62570403654386431</v>
          </cell>
          <cell r="L78">
            <v>1.4721365893105742E-2</v>
          </cell>
          <cell r="M78">
            <v>0.31011315523441657</v>
          </cell>
          <cell r="N78">
            <v>4.9461442328613443E-2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A79" t="str">
            <v>METTUR TPS</v>
          </cell>
          <cell r="E79">
            <v>9134437.619999988</v>
          </cell>
          <cell r="I79">
            <v>11372.76</v>
          </cell>
          <cell r="J79">
            <v>9145810.3799999878</v>
          </cell>
          <cell r="K79">
            <v>0</v>
          </cell>
          <cell r="L79">
            <v>0</v>
          </cell>
          <cell r="M79">
            <v>0</v>
          </cell>
          <cell r="N79">
            <v>0.99875650603637378</v>
          </cell>
          <cell r="O79">
            <v>0</v>
          </cell>
          <cell r="P79">
            <v>0</v>
          </cell>
          <cell r="Q79">
            <v>0</v>
          </cell>
          <cell r="R79">
            <v>1.243493963626219E-3</v>
          </cell>
        </row>
        <row r="80">
          <cell r="A80" t="str">
            <v>MUNDRA TPS</v>
          </cell>
          <cell r="E80">
            <v>5378450.5599999912</v>
          </cell>
          <cell r="H80">
            <v>55540.92</v>
          </cell>
          <cell r="J80">
            <v>5433991.4799999911</v>
          </cell>
          <cell r="K80">
            <v>0</v>
          </cell>
          <cell r="L80">
            <v>0</v>
          </cell>
          <cell r="M80">
            <v>0</v>
          </cell>
          <cell r="N80">
            <v>0.98977898287024912</v>
          </cell>
          <cell r="O80">
            <v>0</v>
          </cell>
          <cell r="P80">
            <v>0</v>
          </cell>
          <cell r="Q80">
            <v>1.0221017129750834E-2</v>
          </cell>
          <cell r="R80">
            <v>0</v>
          </cell>
        </row>
        <row r="81">
          <cell r="A81" t="str">
            <v>MUZAFFARPUR TPS</v>
          </cell>
          <cell r="C81">
            <v>3592282.3699999945</v>
          </cell>
          <cell r="D81">
            <v>800792.40999999922</v>
          </cell>
          <cell r="J81">
            <v>4393074.7799999937</v>
          </cell>
          <cell r="K81">
            <v>0</v>
          </cell>
          <cell r="L81">
            <v>0.8177148238755908</v>
          </cell>
          <cell r="M81">
            <v>0.18228517612440923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A82" t="str">
            <v>NABI NAGAR TPP</v>
          </cell>
          <cell r="C82">
            <v>4081587.1399999931</v>
          </cell>
          <cell r="J82">
            <v>4081587.1399999931</v>
          </cell>
          <cell r="K82">
            <v>0</v>
          </cell>
          <cell r="L82">
            <v>1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A83" t="str">
            <v>NABINAGAR STPP</v>
          </cell>
          <cell r="C83">
            <v>225962.6299999998</v>
          </cell>
          <cell r="J83">
            <v>225962.6299999998</v>
          </cell>
          <cell r="K83">
            <v>0</v>
          </cell>
          <cell r="L83">
            <v>1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A84" t="str">
            <v>NASIK TPS</v>
          </cell>
          <cell r="H84">
            <v>160441.84</v>
          </cell>
          <cell r="I84">
            <v>4590254.8569999943</v>
          </cell>
          <cell r="J84">
            <v>4750696.6969999941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3.3772275990870355E-2</v>
          </cell>
          <cell r="R84">
            <v>0.96622772400912971</v>
          </cell>
        </row>
        <row r="85">
          <cell r="A85" t="str">
            <v>NAWAPARA TPP</v>
          </cell>
          <cell r="H85">
            <v>1658013.9999999986</v>
          </cell>
          <cell r="J85">
            <v>1658013.9999999986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1</v>
          </cell>
          <cell r="R85">
            <v>0</v>
          </cell>
        </row>
        <row r="86">
          <cell r="A86" t="str">
            <v>NIGRI TPP</v>
          </cell>
          <cell r="B86">
            <v>68641.679999999789</v>
          </cell>
          <cell r="F86">
            <v>1608041.7299999972</v>
          </cell>
          <cell r="J86">
            <v>1676683.4099999969</v>
          </cell>
          <cell r="K86">
            <v>4.0938962949481274E-2</v>
          </cell>
          <cell r="L86">
            <v>0</v>
          </cell>
          <cell r="M86">
            <v>0</v>
          </cell>
          <cell r="N86">
            <v>0</v>
          </cell>
          <cell r="O86">
            <v>0.95906103705051882</v>
          </cell>
          <cell r="P86">
            <v>0</v>
          </cell>
          <cell r="Q86">
            <v>0</v>
          </cell>
          <cell r="R86">
            <v>0</v>
          </cell>
        </row>
        <row r="87">
          <cell r="A87" t="str">
            <v>NORTH CHENNAI TPS</v>
          </cell>
          <cell r="E87">
            <v>11649037.339999974</v>
          </cell>
          <cell r="J87">
            <v>11649037.339999974</v>
          </cell>
          <cell r="K87">
            <v>0</v>
          </cell>
          <cell r="L87">
            <v>0</v>
          </cell>
          <cell r="M87">
            <v>0</v>
          </cell>
          <cell r="N87">
            <v>1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A88" t="str">
            <v>NSPCL-Captive</v>
          </cell>
          <cell r="H88">
            <v>3326122.2799999905</v>
          </cell>
          <cell r="J88">
            <v>3326122.2799999905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</v>
          </cell>
          <cell r="R88">
            <v>0</v>
          </cell>
        </row>
        <row r="89">
          <cell r="A89" t="str">
            <v>OBRA TPS</v>
          </cell>
          <cell r="B89">
            <v>44675</v>
          </cell>
          <cell r="F89">
            <v>6603573.5299999882</v>
          </cell>
          <cell r="J89">
            <v>6648248.5299999882</v>
          </cell>
          <cell r="K89">
            <v>6.7198149705754275E-3</v>
          </cell>
          <cell r="L89">
            <v>0</v>
          </cell>
          <cell r="M89">
            <v>0</v>
          </cell>
          <cell r="N89">
            <v>0</v>
          </cell>
          <cell r="O89">
            <v>0.99328018502942461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OP JINDAL TPS2</v>
          </cell>
          <cell r="E90">
            <v>1501422.3599999999</v>
          </cell>
          <cell r="H90">
            <v>1543173.739999997</v>
          </cell>
          <cell r="J90">
            <v>3044596.0999999968</v>
          </cell>
          <cell r="K90">
            <v>0</v>
          </cell>
          <cell r="L90">
            <v>0</v>
          </cell>
          <cell r="M90">
            <v>0</v>
          </cell>
          <cell r="N90">
            <v>0.49314336308845741</v>
          </cell>
          <cell r="O90">
            <v>0</v>
          </cell>
          <cell r="P90">
            <v>0</v>
          </cell>
          <cell r="Q90">
            <v>0.50685663691154259</v>
          </cell>
          <cell r="R90">
            <v>0</v>
          </cell>
        </row>
        <row r="91">
          <cell r="A91" t="str">
            <v>PAINAMPURAM TPP</v>
          </cell>
          <cell r="E91">
            <v>5424194.2899999935</v>
          </cell>
          <cell r="J91">
            <v>5424194.2899999935</v>
          </cell>
          <cell r="K91">
            <v>0</v>
          </cell>
          <cell r="L91">
            <v>0</v>
          </cell>
          <cell r="M91">
            <v>0</v>
          </cell>
          <cell r="N91">
            <v>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A92" t="str">
            <v>PANIPAT TPS</v>
          </cell>
          <cell r="B92">
            <v>1991954.0099999974</v>
          </cell>
          <cell r="C92">
            <v>2360398.0499999984</v>
          </cell>
          <cell r="D92">
            <v>22631.05</v>
          </cell>
          <cell r="E92">
            <v>50227.040000000001</v>
          </cell>
          <cell r="F92">
            <v>69337.109999999986</v>
          </cell>
          <cell r="I92">
            <v>256186.01999999987</v>
          </cell>
          <cell r="J92">
            <v>4750733.2799999956</v>
          </cell>
          <cell r="K92">
            <v>0.41929401054483095</v>
          </cell>
          <cell r="L92">
            <v>0.49684920429799428</v>
          </cell>
          <cell r="M92">
            <v>4.7636961846024787E-3</v>
          </cell>
          <cell r="N92">
            <v>1.057248156015192E-2</v>
          </cell>
          <cell r="O92">
            <v>1.4595033211378276E-2</v>
          </cell>
          <cell r="P92">
            <v>0</v>
          </cell>
          <cell r="Q92">
            <v>0</v>
          </cell>
          <cell r="R92">
            <v>5.3925574201042097E-2</v>
          </cell>
        </row>
        <row r="93">
          <cell r="A93" t="str">
            <v>PANKI TPS</v>
          </cell>
          <cell r="B93">
            <v>7070.4699999999903</v>
          </cell>
          <cell r="J93">
            <v>7070.4699999999903</v>
          </cell>
          <cell r="K93">
            <v>1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PARAS TPS</v>
          </cell>
          <cell r="I94">
            <v>4729761.5200000014</v>
          </cell>
          <cell r="J94">
            <v>4729761.5200000014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1</v>
          </cell>
        </row>
        <row r="95">
          <cell r="A95" t="str">
            <v>PARICHHA TPS</v>
          </cell>
          <cell r="B95">
            <v>3328231.9499999983</v>
          </cell>
          <cell r="C95">
            <v>2076208.8199999982</v>
          </cell>
          <cell r="F95">
            <v>3061840.9399999981</v>
          </cell>
          <cell r="H95">
            <v>163668.47</v>
          </cell>
          <cell r="J95">
            <v>8629950.179999996</v>
          </cell>
          <cell r="K95">
            <v>0.38566062150778258</v>
          </cell>
          <cell r="L95">
            <v>0.24058178514305156</v>
          </cell>
          <cell r="M95">
            <v>0</v>
          </cell>
          <cell r="N95">
            <v>0</v>
          </cell>
          <cell r="O95">
            <v>0.35479242361049174</v>
          </cell>
          <cell r="P95">
            <v>0</v>
          </cell>
          <cell r="Q95">
            <v>1.896516973867398E-2</v>
          </cell>
          <cell r="R95">
            <v>0</v>
          </cell>
        </row>
        <row r="96">
          <cell r="A96" t="str">
            <v>PARLI TPS</v>
          </cell>
          <cell r="E96">
            <v>4164.8500000000004</v>
          </cell>
          <cell r="I96">
            <v>3110572.7439999953</v>
          </cell>
          <cell r="J96">
            <v>3114737.5939999954</v>
          </cell>
          <cell r="K96">
            <v>0</v>
          </cell>
          <cell r="L96">
            <v>0</v>
          </cell>
          <cell r="M96">
            <v>0</v>
          </cell>
          <cell r="N96">
            <v>1.3371431378434143E-3</v>
          </cell>
          <cell r="O96">
            <v>0</v>
          </cell>
          <cell r="P96">
            <v>0</v>
          </cell>
          <cell r="Q96">
            <v>0</v>
          </cell>
          <cell r="R96">
            <v>0.9986628568621565</v>
          </cell>
        </row>
        <row r="97">
          <cell r="A97" t="str">
            <v>PATHADI TPS</v>
          </cell>
          <cell r="H97">
            <v>3620820.4839999946</v>
          </cell>
          <cell r="J97">
            <v>3620820.4839999946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1</v>
          </cell>
          <cell r="R97">
            <v>0</v>
          </cell>
        </row>
        <row r="98">
          <cell r="A98" t="str">
            <v>PATHADI TPS STAGE I AND II</v>
          </cell>
          <cell r="H98">
            <v>92748.849999999831</v>
          </cell>
          <cell r="J98">
            <v>92748.849999999831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</v>
          </cell>
          <cell r="R98">
            <v>0</v>
          </cell>
        </row>
        <row r="99">
          <cell r="A99" t="str">
            <v>RAGHUNATHPUR TPP</v>
          </cell>
          <cell r="B99">
            <v>1624947.0170000002</v>
          </cell>
          <cell r="C99">
            <v>1385878.2449999996</v>
          </cell>
          <cell r="D99">
            <v>1060929.6000000001</v>
          </cell>
          <cell r="J99">
            <v>4071754.8620000002</v>
          </cell>
          <cell r="K99">
            <v>0.39907781093723421</v>
          </cell>
          <cell r="L99">
            <v>0.34036387060867213</v>
          </cell>
          <cell r="M99">
            <v>0.26055831845409361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A100" t="str">
            <v>RAICHUR TPS</v>
          </cell>
          <cell r="E100">
            <v>5713097.1399999885</v>
          </cell>
          <cell r="I100">
            <v>2990131.4469999997</v>
          </cell>
          <cell r="J100">
            <v>8703228.5869999882</v>
          </cell>
          <cell r="K100">
            <v>0</v>
          </cell>
          <cell r="L100">
            <v>0</v>
          </cell>
          <cell r="M100">
            <v>0</v>
          </cell>
          <cell r="N100">
            <v>0.6564342281591502</v>
          </cell>
          <cell r="O100">
            <v>0</v>
          </cell>
          <cell r="P100">
            <v>0</v>
          </cell>
          <cell r="Q100">
            <v>0</v>
          </cell>
          <cell r="R100">
            <v>0.3435657718408498</v>
          </cell>
        </row>
        <row r="101">
          <cell r="A101" t="str">
            <v>RAIKHEDA TPP</v>
          </cell>
          <cell r="H101">
            <v>2489.2399999999898</v>
          </cell>
          <cell r="J101">
            <v>2489.2399999999898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</v>
          </cell>
          <cell r="R101">
            <v>0</v>
          </cell>
        </row>
        <row r="102">
          <cell r="A102" t="str">
            <v>RAJIV GANDHI TPS</v>
          </cell>
          <cell r="B102">
            <v>621001.09999999963</v>
          </cell>
          <cell r="C102">
            <v>1355741.9699999983</v>
          </cell>
          <cell r="D102">
            <v>602085.99999999988</v>
          </cell>
          <cell r="E102">
            <v>1281065.969999999</v>
          </cell>
          <cell r="F102">
            <v>2335473.089999998</v>
          </cell>
          <cell r="J102">
            <v>6195368.1299999952</v>
          </cell>
          <cell r="K102">
            <v>0.10023635189536349</v>
          </cell>
          <cell r="L102">
            <v>0.21883154342920369</v>
          </cell>
          <cell r="M102">
            <v>9.7183248414973583E-2</v>
          </cell>
          <cell r="N102">
            <v>0.20677802240623272</v>
          </cell>
          <cell r="O102">
            <v>0.37697083385422647</v>
          </cell>
          <cell r="P102">
            <v>0</v>
          </cell>
          <cell r="Q102">
            <v>0</v>
          </cell>
          <cell r="R102">
            <v>0</v>
          </cell>
        </row>
        <row r="103">
          <cell r="A103" t="str">
            <v>RAJPURA TPS</v>
          </cell>
          <cell r="B103">
            <v>276389.3699999997</v>
          </cell>
          <cell r="C103">
            <v>184733.29999999961</v>
          </cell>
          <cell r="H103">
            <v>8998785.269999994</v>
          </cell>
          <cell r="J103">
            <v>9459907.9399999939</v>
          </cell>
          <cell r="K103">
            <v>2.9216919631038174E-2</v>
          </cell>
          <cell r="L103">
            <v>1.952802301794913E-2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0.95125505735101268</v>
          </cell>
          <cell r="R103">
            <v>0</v>
          </cell>
        </row>
        <row r="104">
          <cell r="A104" t="str">
            <v>RAYALSEEMA TPS</v>
          </cell>
          <cell r="E104">
            <v>3441868.2899999996</v>
          </cell>
          <cell r="J104">
            <v>3441868.2899999996</v>
          </cell>
          <cell r="K104">
            <v>0</v>
          </cell>
          <cell r="L104">
            <v>0</v>
          </cell>
          <cell r="M104">
            <v>0</v>
          </cell>
          <cell r="N104">
            <v>1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RIHAND STPS</v>
          </cell>
          <cell r="F105">
            <v>35674619.689999953</v>
          </cell>
          <cell r="J105">
            <v>35674619.689999953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</row>
        <row r="106">
          <cell r="A106" t="str">
            <v>ROPAR TPS</v>
          </cell>
          <cell r="B106">
            <v>890492.64999999944</v>
          </cell>
          <cell r="C106">
            <v>791310.65999999992</v>
          </cell>
          <cell r="H106">
            <v>1129904.7099999993</v>
          </cell>
          <cell r="J106">
            <v>2811708.0199999986</v>
          </cell>
          <cell r="K106">
            <v>0.31670879183251749</v>
          </cell>
          <cell r="L106">
            <v>0.28143415118899873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0.40185705697848378</v>
          </cell>
          <cell r="R106">
            <v>0</v>
          </cell>
        </row>
        <row r="107">
          <cell r="A107" t="str">
            <v>ROSA TPP PH-I</v>
          </cell>
          <cell r="C107">
            <v>7829105.2499999953</v>
          </cell>
          <cell r="J107">
            <v>7829105.2499999953</v>
          </cell>
          <cell r="K107">
            <v>0</v>
          </cell>
          <cell r="L107">
            <v>1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SABARMATI ALL STATIONS TPP</v>
          </cell>
          <cell r="H108">
            <v>2472525.7999999947</v>
          </cell>
          <cell r="J108">
            <v>2472525.7999999947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1</v>
          </cell>
          <cell r="R108">
            <v>0</v>
          </cell>
        </row>
        <row r="109">
          <cell r="A109" t="str">
            <v>SAGARDIGHI TPS</v>
          </cell>
          <cell r="B109">
            <v>749719.41999999981</v>
          </cell>
          <cell r="C109">
            <v>169230.20999999979</v>
          </cell>
          <cell r="D109">
            <v>5345182.0179999936</v>
          </cell>
          <cell r="J109">
            <v>6264131.6479999935</v>
          </cell>
          <cell r="K109">
            <v>0.11968449293995434</v>
          </cell>
          <cell r="L109">
            <v>2.7015749270536397E-2</v>
          </cell>
          <cell r="M109">
            <v>0.85329975778950917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A110" t="str">
            <v>SANJAY GANDHI TPS</v>
          </cell>
          <cell r="H110">
            <v>11823817.78999999</v>
          </cell>
          <cell r="J110">
            <v>11823817.78999999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1</v>
          </cell>
          <cell r="R110">
            <v>0</v>
          </cell>
        </row>
        <row r="111">
          <cell r="A111" t="str">
            <v>SANTALDIH TPS</v>
          </cell>
          <cell r="B111">
            <v>5023910.1899999892</v>
          </cell>
          <cell r="C111">
            <v>117537.24</v>
          </cell>
          <cell r="D111">
            <v>82641.490000000005</v>
          </cell>
          <cell r="J111">
            <v>5224088.9199999897</v>
          </cell>
          <cell r="K111">
            <v>0.9616815997841015</v>
          </cell>
          <cell r="L111">
            <v>2.2499088702341657E-2</v>
          </cell>
          <cell r="M111">
            <v>1.5819311513556734E-2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A112" t="str">
            <v>SATPURA TPS</v>
          </cell>
          <cell r="H112">
            <v>3852841.2999999952</v>
          </cell>
          <cell r="I112">
            <v>7721897.6139999945</v>
          </cell>
          <cell r="J112">
            <v>11574738.91399999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0.33286636775364925</v>
          </cell>
          <cell r="R112">
            <v>0.66713363224635081</v>
          </cell>
        </row>
        <row r="113">
          <cell r="A113" t="str">
            <v>SEIONI TPP</v>
          </cell>
          <cell r="E113">
            <v>822718.66999999958</v>
          </cell>
          <cell r="H113">
            <v>2054154.1899999985</v>
          </cell>
          <cell r="J113">
            <v>2876872.859999998</v>
          </cell>
          <cell r="K113">
            <v>0</v>
          </cell>
          <cell r="L113">
            <v>0</v>
          </cell>
          <cell r="M113">
            <v>0</v>
          </cell>
          <cell r="N113">
            <v>0.28597672196052493</v>
          </cell>
          <cell r="O113">
            <v>0</v>
          </cell>
          <cell r="P113">
            <v>0</v>
          </cell>
          <cell r="Q113">
            <v>0.71402327803947507</v>
          </cell>
          <cell r="R113">
            <v>0</v>
          </cell>
        </row>
        <row r="114">
          <cell r="A114" t="str">
            <v>SHREE SINGAJI TPP</v>
          </cell>
          <cell r="F114">
            <v>1383047.5999999987</v>
          </cell>
          <cell r="H114">
            <v>7944538.7099999785</v>
          </cell>
          <cell r="I114">
            <v>4214291.1739999885</v>
          </cell>
          <cell r="J114">
            <v>13541877.483999964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0.10213115586329155</v>
          </cell>
          <cell r="P114">
            <v>0</v>
          </cell>
          <cell r="Q114">
            <v>0.58666449459365078</v>
          </cell>
          <cell r="R114">
            <v>0.31120434954305776</v>
          </cell>
        </row>
        <row r="115">
          <cell r="A115" t="str">
            <v>SIKKA REP. TPS</v>
          </cell>
          <cell r="H115">
            <v>7994.63</v>
          </cell>
          <cell r="J115">
            <v>7994.63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1</v>
          </cell>
          <cell r="R115">
            <v>0</v>
          </cell>
        </row>
        <row r="116">
          <cell r="A116" t="str">
            <v>SIMHADRI STPP</v>
          </cell>
          <cell r="C116">
            <v>166884.91</v>
          </cell>
          <cell r="D116">
            <v>4178617.8299999954</v>
          </cell>
          <cell r="E116">
            <v>10436394.539999986</v>
          </cell>
          <cell r="F116">
            <v>2560.71</v>
          </cell>
          <cell r="J116">
            <v>14784457.989999983</v>
          </cell>
          <cell r="K116">
            <v>0</v>
          </cell>
          <cell r="L116">
            <v>1.1287861219726743E-2</v>
          </cell>
          <cell r="M116">
            <v>0.28263584859359459</v>
          </cell>
          <cell r="N116">
            <v>0.70590308735423568</v>
          </cell>
          <cell r="O116">
            <v>1.7320283244282822E-4</v>
          </cell>
          <cell r="P116">
            <v>0</v>
          </cell>
          <cell r="Q116">
            <v>0</v>
          </cell>
          <cell r="R116">
            <v>0</v>
          </cell>
        </row>
        <row r="117">
          <cell r="A117" t="str">
            <v>SINGRAULI STPS</v>
          </cell>
          <cell r="F117">
            <v>28580949.373999991</v>
          </cell>
          <cell r="J117">
            <v>28580949.373999991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</row>
        <row r="118">
          <cell r="A118" t="str">
            <v>SIPAT STPS</v>
          </cell>
          <cell r="F118">
            <v>26287.945</v>
          </cell>
          <cell r="H118">
            <v>33144071.70999996</v>
          </cell>
          <cell r="J118">
            <v>33170359.65499996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7.9251311331613697E-4</v>
          </cell>
          <cell r="P118">
            <v>0</v>
          </cell>
          <cell r="Q118">
            <v>0.99920748688668382</v>
          </cell>
          <cell r="R118">
            <v>0</v>
          </cell>
        </row>
        <row r="119">
          <cell r="A119" t="str">
            <v>SOLAPUR STPS</v>
          </cell>
          <cell r="B119">
            <v>566888.12999999989</v>
          </cell>
          <cell r="E119">
            <v>869434.34999999951</v>
          </cell>
          <cell r="F119">
            <v>27388.46</v>
          </cell>
          <cell r="H119">
            <v>3418.24</v>
          </cell>
          <cell r="I119">
            <v>55008.37999999999</v>
          </cell>
          <cell r="J119">
            <v>1522137.5599999994</v>
          </cell>
          <cell r="K119">
            <v>0.37242897415920811</v>
          </cell>
          <cell r="L119">
            <v>0</v>
          </cell>
          <cell r="M119">
            <v>0</v>
          </cell>
          <cell r="N119">
            <v>0.57119302016303963</v>
          </cell>
          <cell r="O119">
            <v>1.7993419727452234E-2</v>
          </cell>
          <cell r="P119">
            <v>0</v>
          </cell>
          <cell r="Q119">
            <v>2.2456840234597463E-3</v>
          </cell>
          <cell r="R119">
            <v>3.6138901926840314E-2</v>
          </cell>
        </row>
        <row r="120">
          <cell r="A120" t="str">
            <v>SOUTHERN REPL. TPS</v>
          </cell>
          <cell r="B120">
            <v>230800.50899999958</v>
          </cell>
          <cell r="D120">
            <v>478495.74999999959</v>
          </cell>
          <cell r="J120">
            <v>709296.25899999915</v>
          </cell>
          <cell r="K120">
            <v>0.32539366459565644</v>
          </cell>
          <cell r="L120">
            <v>0</v>
          </cell>
          <cell r="M120">
            <v>0.67460633540434356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STERLITE TPP</v>
          </cell>
          <cell r="E121">
            <v>338315.42</v>
          </cell>
          <cell r="J121">
            <v>338315.42</v>
          </cell>
          <cell r="K121">
            <v>0</v>
          </cell>
          <cell r="L121">
            <v>0</v>
          </cell>
          <cell r="M121">
            <v>0</v>
          </cell>
          <cell r="N121">
            <v>1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</row>
        <row r="122">
          <cell r="A122" t="str">
            <v>SURATGARH TPS</v>
          </cell>
          <cell r="F122">
            <v>1695632.6599999985</v>
          </cell>
          <cell r="H122">
            <v>4401870.2900000028</v>
          </cell>
          <cell r="J122">
            <v>6097502.9500000011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0.27808640256582379</v>
          </cell>
          <cell r="P122">
            <v>0</v>
          </cell>
          <cell r="Q122">
            <v>0.72191359743417627</v>
          </cell>
          <cell r="R122">
            <v>0</v>
          </cell>
        </row>
        <row r="123">
          <cell r="A123" t="str">
            <v>TALCHER (OLD) TPS</v>
          </cell>
          <cell r="D123">
            <v>902535.56999999937</v>
          </cell>
          <cell r="E123">
            <v>7377351.8099999893</v>
          </cell>
          <cell r="J123">
            <v>8279887.3799999887</v>
          </cell>
          <cell r="K123">
            <v>0</v>
          </cell>
          <cell r="L123">
            <v>0</v>
          </cell>
          <cell r="M123">
            <v>0.10900336303849589</v>
          </cell>
          <cell r="N123">
            <v>0.89099663696150411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</row>
        <row r="124">
          <cell r="A124" t="str">
            <v>TALCHER STPS</v>
          </cell>
          <cell r="D124">
            <v>217779.9499999999</v>
          </cell>
          <cell r="E124">
            <v>36876718.562999986</v>
          </cell>
          <cell r="J124">
            <v>37094498.512999989</v>
          </cell>
          <cell r="K124">
            <v>0</v>
          </cell>
          <cell r="L124">
            <v>0</v>
          </cell>
          <cell r="M124">
            <v>5.8709501066223505E-3</v>
          </cell>
          <cell r="N124">
            <v>0.99412904989337758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A125" t="str">
            <v>TALWANDI SABO TPS</v>
          </cell>
          <cell r="E125">
            <v>11814242.43999999</v>
          </cell>
          <cell r="J125">
            <v>11814242.43999999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A126" t="str">
            <v>TANDA STPS</v>
          </cell>
          <cell r="C126">
            <v>3861815.5599999963</v>
          </cell>
          <cell r="J126">
            <v>3861815.5599999963</v>
          </cell>
          <cell r="K126">
            <v>0</v>
          </cell>
          <cell r="L126">
            <v>1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A127" t="str">
            <v>TENUGHAT TPS</v>
          </cell>
          <cell r="C127">
            <v>1813387.7499999981</v>
          </cell>
          <cell r="J127">
            <v>1813387.7499999981</v>
          </cell>
          <cell r="K127">
            <v>0</v>
          </cell>
          <cell r="L127">
            <v>1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</row>
        <row r="128">
          <cell r="A128" t="str">
            <v>TIRORA TPS</v>
          </cell>
          <cell r="E128">
            <v>796673.31999999913</v>
          </cell>
          <cell r="H128">
            <v>10193702.979999982</v>
          </cell>
          <cell r="I128">
            <v>3475149.239999997</v>
          </cell>
          <cell r="J128">
            <v>14465525.539999977</v>
          </cell>
          <cell r="K128">
            <v>0</v>
          </cell>
          <cell r="L128">
            <v>0</v>
          </cell>
          <cell r="M128">
            <v>0</v>
          </cell>
          <cell r="N128">
            <v>5.5073928548053319E-2</v>
          </cell>
          <cell r="O128">
            <v>0</v>
          </cell>
          <cell r="P128">
            <v>0</v>
          </cell>
          <cell r="Q128">
            <v>0.70468943225134961</v>
          </cell>
          <cell r="R128">
            <v>0.2402366392005971</v>
          </cell>
        </row>
        <row r="129">
          <cell r="A129" t="str">
            <v>TUTICORIN TPS</v>
          </cell>
          <cell r="C129">
            <v>1124610.9500000002</v>
          </cell>
          <cell r="D129">
            <v>1747179.6299999983</v>
          </cell>
          <cell r="E129">
            <v>8225890.3799999934</v>
          </cell>
          <cell r="J129">
            <v>11097680.959999992</v>
          </cell>
          <cell r="K129">
            <v>0</v>
          </cell>
          <cell r="L129">
            <v>0.10133747348238789</v>
          </cell>
          <cell r="M129">
            <v>0.15743646229310954</v>
          </cell>
          <cell r="N129">
            <v>0.74122606422450255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A130" t="str">
            <v>UCHPINDA TPP</v>
          </cell>
          <cell r="E130">
            <v>27457.460000000003</v>
          </cell>
          <cell r="H130">
            <v>1752456.9799999993</v>
          </cell>
          <cell r="J130">
            <v>1779914.4399999992</v>
          </cell>
          <cell r="K130">
            <v>0</v>
          </cell>
          <cell r="L130">
            <v>0</v>
          </cell>
          <cell r="M130">
            <v>0</v>
          </cell>
          <cell r="N130">
            <v>1.5426280827296404E-2</v>
          </cell>
          <cell r="O130">
            <v>0</v>
          </cell>
          <cell r="P130">
            <v>0</v>
          </cell>
          <cell r="Q130">
            <v>0.98457371917270364</v>
          </cell>
          <cell r="R130">
            <v>0</v>
          </cell>
        </row>
        <row r="131">
          <cell r="A131" t="str">
            <v>UKAI TPS</v>
          </cell>
          <cell r="H131">
            <v>9360338.6899999864</v>
          </cell>
          <cell r="I131">
            <v>1613509.7159999991</v>
          </cell>
          <cell r="J131">
            <v>10973848.405999985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0.85296774146088927</v>
          </cell>
          <cell r="R131">
            <v>0.14703225853911084</v>
          </cell>
        </row>
        <row r="132">
          <cell r="A132" t="str">
            <v>UNCHAHAR STPS</v>
          </cell>
          <cell r="B132">
            <v>3593087.1199999959</v>
          </cell>
          <cell r="C132">
            <v>4440337.52999999</v>
          </cell>
          <cell r="D132">
            <v>289044.2399999997</v>
          </cell>
          <cell r="F132">
            <v>124984.32999999999</v>
          </cell>
          <cell r="J132">
            <v>8447453.2199999839</v>
          </cell>
          <cell r="K132">
            <v>0.42534560730009024</v>
          </cell>
          <cell r="L132">
            <v>0.52564215679669646</v>
          </cell>
          <cell r="M132">
            <v>3.4216731655366331E-2</v>
          </cell>
          <cell r="N132">
            <v>0</v>
          </cell>
          <cell r="O132">
            <v>1.4795504247847167E-2</v>
          </cell>
          <cell r="P132">
            <v>0</v>
          </cell>
          <cell r="Q132">
            <v>0</v>
          </cell>
          <cell r="R132">
            <v>0</v>
          </cell>
        </row>
        <row r="133">
          <cell r="A133" t="str">
            <v>VALLUR TPP</v>
          </cell>
          <cell r="C133">
            <v>330163.7799999998</v>
          </cell>
          <cell r="D133">
            <v>1676126.667999998</v>
          </cell>
          <cell r="E133">
            <v>6557491.1199999861</v>
          </cell>
          <cell r="J133">
            <v>8563781.5679999832</v>
          </cell>
          <cell r="K133">
            <v>0</v>
          </cell>
          <cell r="L133">
            <v>3.8553503189959044E-2</v>
          </cell>
          <cell r="M133">
            <v>0.19572272537439867</v>
          </cell>
          <cell r="N133">
            <v>0.76572377143564241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VINDHYACHAL STPS</v>
          </cell>
          <cell r="F134">
            <v>60450592.921099886</v>
          </cell>
          <cell r="J134">
            <v>60450592.921099886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</row>
        <row r="135">
          <cell r="A135" t="str">
            <v>VIZAG TPS</v>
          </cell>
          <cell r="E135">
            <v>2921722.509999997</v>
          </cell>
          <cell r="J135">
            <v>2921722.509999997</v>
          </cell>
          <cell r="K135">
            <v>0</v>
          </cell>
          <cell r="L135">
            <v>0</v>
          </cell>
          <cell r="M135">
            <v>0</v>
          </cell>
          <cell r="N135">
            <v>1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WANAKBORI TPS</v>
          </cell>
          <cell r="H136">
            <v>13937844.792999994</v>
          </cell>
          <cell r="I136">
            <v>1170916.7899999993</v>
          </cell>
          <cell r="J136">
            <v>15108761.582999993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0.92250080964163961</v>
          </cell>
          <cell r="R136">
            <v>7.749919035836042E-2</v>
          </cell>
        </row>
        <row r="137">
          <cell r="A137" t="str">
            <v>WARDHA WARORA TPP</v>
          </cell>
          <cell r="H137">
            <v>58475.55</v>
          </cell>
          <cell r="J137">
            <v>58475.55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1</v>
          </cell>
          <cell r="R137">
            <v>0</v>
          </cell>
        </row>
        <row r="138">
          <cell r="A138" t="str">
            <v>YAMUNA NAGAR TPS</v>
          </cell>
          <cell r="B138">
            <v>457870.34999999974</v>
          </cell>
          <cell r="C138">
            <v>2944681.0899999966</v>
          </cell>
          <cell r="D138">
            <v>56324.599999999897</v>
          </cell>
          <cell r="F138">
            <v>60571.38</v>
          </cell>
          <cell r="J138">
            <v>3519447.4199999962</v>
          </cell>
          <cell r="K138">
            <v>0.13009722702434925</v>
          </cell>
          <cell r="L138">
            <v>0.8366884736695398</v>
          </cell>
          <cell r="M138">
            <v>1.6003819144995199E-2</v>
          </cell>
          <cell r="N138">
            <v>0</v>
          </cell>
          <cell r="O138">
            <v>1.7210480161115763E-2</v>
          </cell>
          <cell r="P138">
            <v>0</v>
          </cell>
          <cell r="Q138">
            <v>0</v>
          </cell>
          <cell r="R138">
            <v>0</v>
          </cell>
        </row>
      </sheetData>
      <sheetData sheetId="9"/>
      <sheetData sheetId="1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AKALTARA TPS2</v>
          </cell>
          <cell r="B2" t="str">
            <v>AKALTARA TPS</v>
          </cell>
          <cell r="C2" t="str">
            <v>AKALTARA TPS</v>
          </cell>
          <cell r="D2" t="str">
            <v>Chhatisgarh</v>
          </cell>
          <cell r="E2" t="str">
            <v>PVT SECTOR</v>
          </cell>
          <cell r="F2" t="str">
            <v xml:space="preserve"> 0-5 years</v>
          </cell>
          <cell r="G2">
            <v>2.3381245722108099</v>
          </cell>
          <cell r="H2">
            <v>600</v>
          </cell>
          <cell r="I2">
            <v>0.6352213702943118</v>
          </cell>
          <cell r="K2">
            <v>8.0030636155213206E-2</v>
          </cell>
          <cell r="L2">
            <v>2.4868647268903099</v>
          </cell>
        </row>
        <row r="3">
          <cell r="A3" t="str">
            <v>AKALTARA TPS3</v>
          </cell>
          <cell r="B3" t="str">
            <v>AKALTARA TPS</v>
          </cell>
          <cell r="C3" t="str">
            <v>AKALTARA TPS</v>
          </cell>
          <cell r="D3" t="str">
            <v>Chhatisgarh</v>
          </cell>
          <cell r="E3" t="str">
            <v>PVT SECTOR</v>
          </cell>
          <cell r="F3" t="str">
            <v xml:space="preserve"> 5-10 years</v>
          </cell>
          <cell r="G3">
            <v>6.7570157426420199</v>
          </cell>
          <cell r="H3">
            <v>600</v>
          </cell>
          <cell r="I3">
            <v>0.27086440555889024</v>
          </cell>
          <cell r="K3">
            <v>8.0030636155213206E-2</v>
          </cell>
          <cell r="L3">
            <v>2.4868647268903099</v>
          </cell>
        </row>
        <row r="4">
          <cell r="A4" t="str">
            <v>AKALTARA TPS4</v>
          </cell>
          <cell r="B4" t="str">
            <v>AKALTARA TPS</v>
          </cell>
          <cell r="C4" t="str">
            <v>AKALTARA TPS</v>
          </cell>
          <cell r="D4" t="str">
            <v>Chhatisgarh</v>
          </cell>
          <cell r="E4" t="str">
            <v>PVT SECTOR</v>
          </cell>
          <cell r="F4" t="str">
            <v xml:space="preserve"> 5-10 years</v>
          </cell>
          <cell r="G4">
            <v>5.7577002053388</v>
          </cell>
          <cell r="H4">
            <v>600</v>
          </cell>
          <cell r="I4">
            <v>0.69709262096370139</v>
          </cell>
          <cell r="K4">
            <v>8.0030636155213206E-2</v>
          </cell>
          <cell r="L4">
            <v>2.4868647268903099</v>
          </cell>
        </row>
        <row r="5">
          <cell r="A5" t="str">
            <v>AMARKANTAK TPS3</v>
          </cell>
          <cell r="B5" t="str">
            <v>AMARKANTAK TPS</v>
          </cell>
          <cell r="C5" t="str">
            <v>AMARKANTAK TPS</v>
          </cell>
          <cell r="D5" t="str">
            <v>Madhya Pradesh</v>
          </cell>
          <cell r="E5" t="str">
            <v>STATE SECTOR</v>
          </cell>
          <cell r="F5" t="str">
            <v xml:space="preserve"> 10-15 years</v>
          </cell>
          <cell r="G5">
            <v>11.9233401779603</v>
          </cell>
          <cell r="H5">
            <v>210</v>
          </cell>
          <cell r="I5">
            <v>0.9117231448691191</v>
          </cell>
          <cell r="K5">
            <v>9.414842901808744E-2</v>
          </cell>
          <cell r="L5">
            <v>1.6859649122806799</v>
          </cell>
        </row>
        <row r="6">
          <cell r="A6" t="str">
            <v>AMRAVATI TPS1</v>
          </cell>
          <cell r="B6" t="str">
            <v>AMRAVATI TPS</v>
          </cell>
          <cell r="C6" t="str">
            <v>AMRAVATI TPS</v>
          </cell>
          <cell r="D6" t="str">
            <v>Maharashtra</v>
          </cell>
          <cell r="E6" t="str">
            <v>PVT SECTOR</v>
          </cell>
          <cell r="F6" t="str">
            <v xml:space="preserve"> 5-10 years</v>
          </cell>
          <cell r="G6">
            <v>7.1759069130732298</v>
          </cell>
          <cell r="H6">
            <v>270</v>
          </cell>
          <cell r="I6">
            <v>0.31847038425018515</v>
          </cell>
          <cell r="K6">
            <v>8.9360960918391241E-2</v>
          </cell>
          <cell r="L6">
            <v>3.0295164835164798</v>
          </cell>
        </row>
        <row r="7">
          <cell r="A7" t="str">
            <v>AMRAVATI TPS2</v>
          </cell>
          <cell r="B7" t="str">
            <v>AMRAVATI TPS</v>
          </cell>
          <cell r="C7" t="str">
            <v>AMRAVATI TPS</v>
          </cell>
          <cell r="D7" t="str">
            <v>Maharashtra</v>
          </cell>
          <cell r="E7" t="str">
            <v>PVT SECTOR</v>
          </cell>
          <cell r="F7" t="str">
            <v xml:space="preserve"> 5-10 years</v>
          </cell>
          <cell r="G7">
            <v>6.2532511978097096</v>
          </cell>
          <cell r="H7">
            <v>270</v>
          </cell>
          <cell r="I7">
            <v>0.41382930107731941</v>
          </cell>
          <cell r="K7">
            <v>8.9360960918391241E-2</v>
          </cell>
          <cell r="L7">
            <v>3.0295164835164798</v>
          </cell>
        </row>
        <row r="8">
          <cell r="A8" t="str">
            <v>AMRAVATI TPS3</v>
          </cell>
          <cell r="B8" t="str">
            <v>AMRAVATI TPS</v>
          </cell>
          <cell r="C8" t="str">
            <v>AMRAVATI TPS</v>
          </cell>
          <cell r="D8" t="str">
            <v>Maharashtra</v>
          </cell>
          <cell r="E8" t="str">
            <v>PVT SECTOR</v>
          </cell>
          <cell r="F8" t="str">
            <v xml:space="preserve"> 5-10 years</v>
          </cell>
          <cell r="G8">
            <v>5.3388090349075901</v>
          </cell>
          <cell r="H8">
            <v>270</v>
          </cell>
          <cell r="I8">
            <v>0.36643067193790591</v>
          </cell>
          <cell r="K8">
            <v>8.9360960918391241E-2</v>
          </cell>
          <cell r="L8">
            <v>3.0295164835164798</v>
          </cell>
        </row>
        <row r="9">
          <cell r="A9" t="str">
            <v>AMRAVATI TPS4</v>
          </cell>
          <cell r="B9" t="str">
            <v>AMRAVATI TPS</v>
          </cell>
          <cell r="C9" t="str">
            <v>AMRAVATI TPS</v>
          </cell>
          <cell r="D9" t="str">
            <v>Maharashtra</v>
          </cell>
          <cell r="E9" t="str">
            <v>PVT SECTOR</v>
          </cell>
          <cell r="F9" t="str">
            <v xml:space="preserve"> 5-10 years</v>
          </cell>
          <cell r="G9">
            <v>5.1772758384667998</v>
          </cell>
          <cell r="H9">
            <v>270</v>
          </cell>
          <cell r="I9">
            <v>0.30964994207699076</v>
          </cell>
          <cell r="K9">
            <v>8.9360960918391241E-2</v>
          </cell>
          <cell r="L9">
            <v>3.0295164835164798</v>
          </cell>
        </row>
        <row r="10">
          <cell r="A10" t="str">
            <v>AMRAVATI TPS5</v>
          </cell>
          <cell r="B10" t="str">
            <v>AMRAVATI TPS</v>
          </cell>
          <cell r="C10" t="str">
            <v>AMRAVATI TPS</v>
          </cell>
          <cell r="D10" t="str">
            <v>Maharashtra</v>
          </cell>
          <cell r="E10" t="str">
            <v>PVT SECTOR</v>
          </cell>
          <cell r="F10" t="str">
            <v xml:space="preserve"> 5-10 years</v>
          </cell>
          <cell r="G10">
            <v>5.1772758384667998</v>
          </cell>
          <cell r="H10">
            <v>270</v>
          </cell>
          <cell r="I10">
            <v>0.33050491128931481</v>
          </cell>
          <cell r="K10">
            <v>8.9360960918391241E-2</v>
          </cell>
          <cell r="L10">
            <v>3.0295164835164798</v>
          </cell>
        </row>
        <row r="11">
          <cell r="A11" t="str">
            <v>ANPARA C TPS1</v>
          </cell>
          <cell r="B11" t="str">
            <v>ANPARA C TPS</v>
          </cell>
          <cell r="C11" t="str">
            <v>ANPARA C TPS</v>
          </cell>
          <cell r="D11" t="str">
            <v>Uttar Pardesh</v>
          </cell>
          <cell r="E11" t="str">
            <v>PVT SECTOR</v>
          </cell>
          <cell r="F11" t="str">
            <v xml:space="preserve"> 5-10 years</v>
          </cell>
          <cell r="G11">
            <v>8.5913757700205302</v>
          </cell>
          <cell r="H11">
            <v>600</v>
          </cell>
          <cell r="I11">
            <v>0.77630405403416669</v>
          </cell>
          <cell r="K11">
            <v>6.2540016954501773E-2</v>
          </cell>
          <cell r="L11">
            <v>1.88077850877192</v>
          </cell>
        </row>
        <row r="12">
          <cell r="A12" t="str">
            <v>ANPARA C TPS2</v>
          </cell>
          <cell r="B12" t="str">
            <v>ANPARA C TPS</v>
          </cell>
          <cell r="C12" t="str">
            <v>ANPARA C TPS</v>
          </cell>
          <cell r="D12" t="str">
            <v>Uttar Pardesh</v>
          </cell>
          <cell r="E12" t="str">
            <v>PVT SECTOR</v>
          </cell>
          <cell r="F12" t="str">
            <v xml:space="preserve"> 5-10 years</v>
          </cell>
          <cell r="G12">
            <v>8.33949349760438</v>
          </cell>
          <cell r="H12">
            <v>600</v>
          </cell>
          <cell r="I12">
            <v>0.78427533495476387</v>
          </cell>
          <cell r="K12">
            <v>6.2540016954501773E-2</v>
          </cell>
          <cell r="L12">
            <v>1.88077850877192</v>
          </cell>
        </row>
        <row r="13">
          <cell r="A13" t="str">
            <v>ANPARA TPS1</v>
          </cell>
          <cell r="B13" t="str">
            <v>ANPARA TPS</v>
          </cell>
          <cell r="C13" t="str">
            <v>ANPARA - A</v>
          </cell>
          <cell r="D13" t="str">
            <v>Uttar Pardesh</v>
          </cell>
          <cell r="E13" t="str">
            <v>STATE SECTOR</v>
          </cell>
          <cell r="F13" t="str">
            <v xml:space="preserve"> 30-35 years</v>
          </cell>
          <cell r="G13">
            <v>34.176591375770002</v>
          </cell>
          <cell r="H13">
            <v>210</v>
          </cell>
          <cell r="I13">
            <v>0.80642386645137099</v>
          </cell>
          <cell r="J13">
            <v>0.74653061224489792</v>
          </cell>
          <cell r="K13">
            <v>9.3255770253987805E-2</v>
          </cell>
          <cell r="L13">
            <v>1.71796052631579</v>
          </cell>
        </row>
        <row r="14">
          <cell r="A14" t="str">
            <v>ANPARA TPS2</v>
          </cell>
          <cell r="B14" t="str">
            <v>ANPARA TPS</v>
          </cell>
          <cell r="C14" t="str">
            <v>ANPARA - A</v>
          </cell>
          <cell r="D14" t="str">
            <v>Uttar Pardesh</v>
          </cell>
          <cell r="E14" t="str">
            <v>STATE SECTOR</v>
          </cell>
          <cell r="F14" t="str">
            <v xml:space="preserve"> 30-35 years</v>
          </cell>
          <cell r="G14">
            <v>33.2539356605065</v>
          </cell>
          <cell r="H14">
            <v>210</v>
          </cell>
          <cell r="I14">
            <v>0.77194518516136312</v>
          </cell>
          <cell r="J14">
            <v>0.74653061224489792</v>
          </cell>
          <cell r="K14">
            <v>9.3255770253987805E-2</v>
          </cell>
          <cell r="L14">
            <v>1.71796052631579</v>
          </cell>
        </row>
        <row r="15">
          <cell r="A15" t="str">
            <v>ANPARA TPS3</v>
          </cell>
          <cell r="B15" t="str">
            <v>ANPARA TPS</v>
          </cell>
          <cell r="C15" t="str">
            <v>ANPARA - A</v>
          </cell>
          <cell r="D15" t="str">
            <v>Uttar Pardesh</v>
          </cell>
          <cell r="E15" t="str">
            <v>STATE SECTOR</v>
          </cell>
          <cell r="F15" t="str">
            <v xml:space="preserve"> 30-35 years</v>
          </cell>
          <cell r="G15">
            <v>32.175222450376403</v>
          </cell>
          <cell r="H15">
            <v>210</v>
          </cell>
          <cell r="I15">
            <v>0.82806661917331348</v>
          </cell>
          <cell r="J15">
            <v>0.74653061224489792</v>
          </cell>
          <cell r="K15">
            <v>9.3255770253987805E-2</v>
          </cell>
          <cell r="L15">
            <v>1.71796052631579</v>
          </cell>
        </row>
        <row r="16">
          <cell r="A16" t="str">
            <v>ANPARA TPS4</v>
          </cell>
          <cell r="B16" t="str">
            <v>ANPARA TPS</v>
          </cell>
          <cell r="C16" t="str">
            <v>ANPARA - B</v>
          </cell>
          <cell r="D16" t="str">
            <v>Uttar Pardesh</v>
          </cell>
          <cell r="E16" t="str">
            <v>STATE SECTOR</v>
          </cell>
          <cell r="F16" t="str">
            <v xml:space="preserve"> 25-30 years</v>
          </cell>
          <cell r="G16">
            <v>26.841889117043099</v>
          </cell>
          <cell r="H16">
            <v>500</v>
          </cell>
          <cell r="I16">
            <v>0.91906908293165013</v>
          </cell>
          <cell r="J16">
            <v>0.66170886075949364</v>
          </cell>
          <cell r="K16">
            <v>9.3255770253987805E-2</v>
          </cell>
          <cell r="L16">
            <v>1.48842105263157</v>
          </cell>
        </row>
        <row r="17">
          <cell r="A17" t="str">
            <v>ANPARA TPS5</v>
          </cell>
          <cell r="B17" t="str">
            <v>ANPARA TPS</v>
          </cell>
          <cell r="C17" t="str">
            <v>ANPARA - B</v>
          </cell>
          <cell r="D17" t="str">
            <v>Uttar Pardesh</v>
          </cell>
          <cell r="E17" t="str">
            <v>STATE SECTOR</v>
          </cell>
          <cell r="F17" t="str">
            <v xml:space="preserve"> 25-30 years</v>
          </cell>
          <cell r="G17">
            <v>25.842573579739899</v>
          </cell>
          <cell r="H17">
            <v>500</v>
          </cell>
          <cell r="I17">
            <v>0.77722865032661248</v>
          </cell>
          <cell r="J17">
            <v>0.66170886075949364</v>
          </cell>
          <cell r="K17">
            <v>9.3255770253987805E-2</v>
          </cell>
          <cell r="L17">
            <v>1.48842105263157</v>
          </cell>
        </row>
        <row r="18">
          <cell r="A18" t="str">
            <v>ANPARA TPS6</v>
          </cell>
          <cell r="B18" t="str">
            <v>ANPARA TPS</v>
          </cell>
          <cell r="C18" t="str">
            <v>ANPARA - D</v>
          </cell>
          <cell r="D18" t="str">
            <v>Uttar Pardesh</v>
          </cell>
          <cell r="E18" t="str">
            <v>STATE SECTOR</v>
          </cell>
          <cell r="F18" t="str">
            <v xml:space="preserve"> 0-5 years</v>
          </cell>
          <cell r="G18">
            <v>4.9253935660506496</v>
          </cell>
          <cell r="H18">
            <v>600</v>
          </cell>
          <cell r="I18">
            <v>0.66090639290569719</v>
          </cell>
          <cell r="J18"/>
          <cell r="K18">
            <v>9.3255770253987805E-2</v>
          </cell>
          <cell r="L18">
            <v>1.39269736842105</v>
          </cell>
        </row>
        <row r="19">
          <cell r="A19" t="str">
            <v>ANPARA TPS7</v>
          </cell>
          <cell r="B19" t="str">
            <v>ANPARA TPS</v>
          </cell>
          <cell r="C19" t="str">
            <v>ANPARA - D</v>
          </cell>
          <cell r="D19" t="str">
            <v>Uttar Pardesh</v>
          </cell>
          <cell r="E19" t="str">
            <v>STATE SECTOR</v>
          </cell>
          <cell r="F19" t="str">
            <v xml:space="preserve"> 0-5 years</v>
          </cell>
          <cell r="G19">
            <v>4.1752224503764497</v>
          </cell>
          <cell r="H19">
            <v>600</v>
          </cell>
          <cell r="I19">
            <v>0.50475270687055762</v>
          </cell>
          <cell r="J19"/>
          <cell r="K19">
            <v>9.3255770253987805E-2</v>
          </cell>
          <cell r="L19">
            <v>1.39269736842105</v>
          </cell>
        </row>
        <row r="20">
          <cell r="A20" t="str">
            <v>ANUPPUR TPP1</v>
          </cell>
          <cell r="B20" t="str">
            <v>ANUPPUR TPP</v>
          </cell>
          <cell r="C20" t="str">
            <v>ANUPPUR TPP</v>
          </cell>
          <cell r="D20" t="str">
            <v>Madhya Pradesh</v>
          </cell>
          <cell r="E20" t="str">
            <v>PVT SECTOR</v>
          </cell>
          <cell r="F20" t="str">
            <v xml:space="preserve"> 0-5 years</v>
          </cell>
          <cell r="G20">
            <v>5.0924024640657004</v>
          </cell>
          <cell r="H20">
            <v>600</v>
          </cell>
          <cell r="I20">
            <v>0.61182865123315966</v>
          </cell>
          <cell r="J20">
            <v>0.75494842486757741</v>
          </cell>
          <cell r="K20">
            <v>6.7965223168433342E-2</v>
          </cell>
          <cell r="L20">
            <v>2.1630853042415898</v>
          </cell>
        </row>
        <row r="21">
          <cell r="A21" t="str">
            <v>ANUPPUR TPP2</v>
          </cell>
          <cell r="B21" t="str">
            <v>ANUPPUR TPP</v>
          </cell>
          <cell r="C21" t="str">
            <v>ANUPPUR TPP</v>
          </cell>
          <cell r="D21" t="str">
            <v>Madhya Pradesh</v>
          </cell>
          <cell r="E21" t="str">
            <v>PVT SECTOR</v>
          </cell>
          <cell r="F21" t="str">
            <v xml:space="preserve"> 0-5 years</v>
          </cell>
          <cell r="G21">
            <v>4.1752224503764497</v>
          </cell>
          <cell r="H21">
            <v>600</v>
          </cell>
          <cell r="I21">
            <v>0.63842380622551398</v>
          </cell>
          <cell r="J21">
            <v>0.75494842486757741</v>
          </cell>
          <cell r="K21">
            <v>6.7965223168433342E-2</v>
          </cell>
          <cell r="L21">
            <v>2.1630853042415898</v>
          </cell>
        </row>
        <row r="22">
          <cell r="A22" t="str">
            <v>AVANTHA BHANDAR1</v>
          </cell>
          <cell r="B22" t="str">
            <v>AVANTHA BHANDAR</v>
          </cell>
          <cell r="C22" t="str">
            <v>AVANTHA BHANDAR</v>
          </cell>
          <cell r="D22" t="str">
            <v>Chhatisgarh</v>
          </cell>
          <cell r="E22" t="str">
            <v>PVT SECTOR</v>
          </cell>
          <cell r="F22" t="str">
            <v xml:space="preserve"> 5-10 years</v>
          </cell>
          <cell r="G22">
            <v>6.1765913757700197</v>
          </cell>
          <cell r="H22">
            <v>600</v>
          </cell>
          <cell r="I22">
            <v>1.0413626650081111E-2</v>
          </cell>
          <cell r="J22"/>
          <cell r="K22">
            <v>5.5651687553528041E-2</v>
          </cell>
          <cell r="L22">
            <v>1.72394366197184</v>
          </cell>
        </row>
        <row r="23">
          <cell r="A23" t="str">
            <v>BAKRESWAR TPS1</v>
          </cell>
          <cell r="B23" t="str">
            <v>BAKRESWAR TPS</v>
          </cell>
          <cell r="C23" t="str">
            <v>BAKRESWAR TPS UNIT 1-3</v>
          </cell>
          <cell r="D23" t="str">
            <v>West Bengal</v>
          </cell>
          <cell r="E23" t="str">
            <v>STATE SECTOR</v>
          </cell>
          <cell r="F23" t="str">
            <v xml:space="preserve"> 10-15 years</v>
          </cell>
          <cell r="G23">
            <v>10.924024640657001</v>
          </cell>
          <cell r="H23">
            <v>210</v>
          </cell>
          <cell r="I23">
            <v>0.78782254416631747</v>
          </cell>
          <cell r="J23">
            <v>0.81198402130492675</v>
          </cell>
          <cell r="K23">
            <v>9.8262750849406444E-2</v>
          </cell>
          <cell r="L23">
            <v>2.6019247787610902</v>
          </cell>
        </row>
        <row r="24">
          <cell r="A24" t="str">
            <v>BAKRESWAR TPS2</v>
          </cell>
          <cell r="B24" t="str">
            <v>BAKRESWAR TPS</v>
          </cell>
          <cell r="C24" t="str">
            <v>BAKRESWAR TPS UNIT 1-3</v>
          </cell>
          <cell r="D24" t="str">
            <v>West Bengal</v>
          </cell>
          <cell r="E24" t="str">
            <v>STATE SECTOR</v>
          </cell>
          <cell r="F24" t="str">
            <v xml:space="preserve"> 20-25 years</v>
          </cell>
          <cell r="G24">
            <v>20.843258042436599</v>
          </cell>
          <cell r="H24">
            <v>210</v>
          </cell>
          <cell r="I24">
            <v>0.79492671944359516</v>
          </cell>
          <cell r="J24">
            <v>0.81198402130492675</v>
          </cell>
          <cell r="K24">
            <v>9.8262750849406444E-2</v>
          </cell>
          <cell r="L24">
            <v>2.6019247787610902</v>
          </cell>
        </row>
        <row r="25">
          <cell r="A25" t="str">
            <v>BAKRESWAR TPS3</v>
          </cell>
          <cell r="B25" t="str">
            <v>BAKRESWAR TPS</v>
          </cell>
          <cell r="C25" t="str">
            <v>BAKRESWAR TPS UNIT 1-3</v>
          </cell>
          <cell r="D25" t="str">
            <v>West Bengal</v>
          </cell>
          <cell r="E25" t="str">
            <v>STATE SECTOR</v>
          </cell>
          <cell r="F25" t="str">
            <v xml:space="preserve"> 15-20 years</v>
          </cell>
          <cell r="G25">
            <v>20.008213552361301</v>
          </cell>
          <cell r="H25">
            <v>210</v>
          </cell>
          <cell r="I25">
            <v>0.74135983521950599</v>
          </cell>
          <cell r="J25">
            <v>0.81198402130492675</v>
          </cell>
          <cell r="K25">
            <v>9.8262750849406444E-2</v>
          </cell>
          <cell r="L25">
            <v>2.6019247787610902</v>
          </cell>
        </row>
        <row r="26">
          <cell r="A26" t="str">
            <v>BAKRESWAR TPS4</v>
          </cell>
          <cell r="B26" t="str">
            <v>BAKRESWAR TPS</v>
          </cell>
          <cell r="C26" t="str">
            <v>BAKRESWAR TPS UNIT 4-5</v>
          </cell>
          <cell r="D26" t="str">
            <v>West Bengal</v>
          </cell>
          <cell r="E26" t="str">
            <v>STATE SECTOR</v>
          </cell>
          <cell r="F26" t="str">
            <v xml:space="preserve"> 15-20 years</v>
          </cell>
          <cell r="G26">
            <v>19.175906913073199</v>
          </cell>
          <cell r="H26">
            <v>210</v>
          </cell>
          <cell r="I26">
            <v>0.79544835682181936</v>
          </cell>
          <cell r="J26">
            <v>0.81198402130492675</v>
          </cell>
          <cell r="K26">
            <v>9.8262750849406444E-2</v>
          </cell>
          <cell r="L26">
            <v>2.60192477876108</v>
          </cell>
        </row>
        <row r="27">
          <cell r="A27" t="str">
            <v>BAKRESWAR TPS5</v>
          </cell>
          <cell r="B27" t="str">
            <v>BAKRESWAR TPS</v>
          </cell>
          <cell r="C27" t="str">
            <v>BAKRESWAR TPS UNIT 4-5</v>
          </cell>
          <cell r="D27" t="str">
            <v>West Bengal</v>
          </cell>
          <cell r="E27" t="str">
            <v>STATE SECTOR</v>
          </cell>
          <cell r="F27" t="str">
            <v xml:space="preserve"> 10-15 years</v>
          </cell>
          <cell r="G27">
            <v>12.4243668720054</v>
          </cell>
          <cell r="H27">
            <v>210</v>
          </cell>
          <cell r="I27">
            <v>0.74778302474740865</v>
          </cell>
          <cell r="J27">
            <v>0.81198402130492675</v>
          </cell>
          <cell r="K27">
            <v>9.8262750849406444E-2</v>
          </cell>
          <cell r="L27">
            <v>2.60192477876108</v>
          </cell>
        </row>
        <row r="28">
          <cell r="A28" t="str">
            <v>BALCO TPS1</v>
          </cell>
          <cell r="B28" t="str">
            <v>BALCO TPS</v>
          </cell>
          <cell r="C28" t="str">
            <v>BALCO TPS</v>
          </cell>
          <cell r="D28" t="str">
            <v>Chhatisgarh</v>
          </cell>
          <cell r="E28" t="str">
            <v>PVT SECTOR</v>
          </cell>
          <cell r="F28" t="str">
            <v xml:space="preserve"> 0-5 years</v>
          </cell>
          <cell r="G28">
            <v>4.9253935660506496</v>
          </cell>
          <cell r="H28">
            <v>300</v>
          </cell>
          <cell r="I28">
            <v>0.60880845503366954</v>
          </cell>
          <cell r="J28"/>
          <cell r="K28">
            <v>9.4685999964455439E-2</v>
          </cell>
          <cell r="L28">
            <v>2.0554190436769999</v>
          </cell>
        </row>
        <row r="29">
          <cell r="A29" t="str">
            <v>BALCO TPS2</v>
          </cell>
          <cell r="B29" t="str">
            <v>BALCO TPS</v>
          </cell>
          <cell r="C29" t="str">
            <v>BALCO TPS</v>
          </cell>
          <cell r="D29" t="str">
            <v>Chhatisgarh</v>
          </cell>
          <cell r="E29" t="str">
            <v>PVT SECTOR</v>
          </cell>
          <cell r="F29" t="str">
            <v xml:space="preserve"> 0-5 years</v>
          </cell>
          <cell r="G29">
            <v>4.1752224503764497</v>
          </cell>
          <cell r="H29">
            <v>300</v>
          </cell>
          <cell r="I29">
            <v>0.4858731133750403</v>
          </cell>
          <cell r="J29"/>
          <cell r="K29">
            <v>9.4685999964455439E-2</v>
          </cell>
          <cell r="L29">
            <v>2.0554190436769999</v>
          </cell>
        </row>
        <row r="30">
          <cell r="A30" t="str">
            <v>BANDAKHAR TPP1</v>
          </cell>
          <cell r="B30" t="str">
            <v>BANDAKHAR TPP</v>
          </cell>
          <cell r="C30" t="str">
            <v>BANDAKHAR TPP</v>
          </cell>
          <cell r="D30" t="str">
            <v>Chhatisgarh</v>
          </cell>
          <cell r="E30" t="str">
            <v>PVT SECTOR</v>
          </cell>
          <cell r="F30" t="str">
            <v xml:space="preserve"> 0-5 years</v>
          </cell>
          <cell r="G30">
            <v>4.8432580424366796</v>
          </cell>
          <cell r="H30">
            <v>300</v>
          </cell>
          <cell r="I30">
            <v>0.83089808747596661</v>
          </cell>
          <cell r="J30"/>
          <cell r="K30">
            <v>8.8068952930357491E-2</v>
          </cell>
          <cell r="L30">
            <v>1.6513321248306001</v>
          </cell>
        </row>
        <row r="31">
          <cell r="A31" t="str">
            <v>BANDEL TPS1</v>
          </cell>
          <cell r="B31" t="str">
            <v>BANDEL TPS</v>
          </cell>
          <cell r="C31" t="str">
            <v>BANDEL TPS</v>
          </cell>
          <cell r="D31" t="str">
            <v>West Bengal</v>
          </cell>
          <cell r="E31" t="str">
            <v>STATE SECTOR</v>
          </cell>
          <cell r="F31" t="str">
            <v xml:space="preserve"> 45+ years</v>
          </cell>
          <cell r="G31">
            <v>54.672142368240898</v>
          </cell>
          <cell r="H31">
            <v>60</v>
          </cell>
          <cell r="I31">
            <v>0.3606232435657486</v>
          </cell>
          <cell r="J31">
            <v>0.999722145040289</v>
          </cell>
          <cell r="K31">
            <v>0.1207682612530637</v>
          </cell>
          <cell r="L31">
            <v>3.65917714285714</v>
          </cell>
        </row>
        <row r="32">
          <cell r="A32" t="str">
            <v>BANDEL TPS2</v>
          </cell>
          <cell r="B32" t="str">
            <v>BANDEL TPS</v>
          </cell>
          <cell r="C32" t="str">
            <v>BANDEL TPS</v>
          </cell>
          <cell r="D32" t="str">
            <v>West Bengal</v>
          </cell>
          <cell r="E32" t="str">
            <v>STATE SECTOR</v>
          </cell>
          <cell r="F32" t="str">
            <v xml:space="preserve"> 45+ years</v>
          </cell>
          <cell r="G32">
            <v>54.590006844626899</v>
          </cell>
          <cell r="H32">
            <v>60</v>
          </cell>
          <cell r="I32">
            <v>0.37175087840104515</v>
          </cell>
          <cell r="J32">
            <v>0.999722145040289</v>
          </cell>
          <cell r="K32">
            <v>0.1207682612530637</v>
          </cell>
          <cell r="L32">
            <v>3.65917714285714</v>
          </cell>
        </row>
        <row r="33">
          <cell r="A33" t="str">
            <v>BANDEL TPS5</v>
          </cell>
          <cell r="B33" t="str">
            <v>BANDEL TPS</v>
          </cell>
          <cell r="C33" t="str">
            <v>BANDEL TPS</v>
          </cell>
          <cell r="D33" t="str">
            <v>West Bengal</v>
          </cell>
          <cell r="E33" t="str">
            <v>STATE SECTOR</v>
          </cell>
          <cell r="F33" t="str">
            <v xml:space="preserve"> 35-40 years</v>
          </cell>
          <cell r="G33">
            <v>37.590691307323702</v>
          </cell>
          <cell r="H33">
            <v>210</v>
          </cell>
          <cell r="I33">
            <v>0.48294712711640875</v>
          </cell>
          <cell r="J33">
            <v>0.999722145040289</v>
          </cell>
          <cell r="K33">
            <v>0.1207682612530637</v>
          </cell>
          <cell r="L33">
            <v>3.65917714285714</v>
          </cell>
        </row>
        <row r="34">
          <cell r="A34" t="str">
            <v>BARA TPP1</v>
          </cell>
          <cell r="B34" t="str">
            <v>BARA TPP</v>
          </cell>
          <cell r="C34" t="str">
            <v>BARA TPP</v>
          </cell>
          <cell r="D34" t="str">
            <v>Uttar Pardesh</v>
          </cell>
          <cell r="E34" t="str">
            <v>PVT SECTOR</v>
          </cell>
          <cell r="F34" t="str">
            <v xml:space="preserve"> 0-5 years</v>
          </cell>
          <cell r="G34">
            <v>3.4223134839151199</v>
          </cell>
          <cell r="H34">
            <v>660</v>
          </cell>
          <cell r="I34">
            <v>0.56229419816131876</v>
          </cell>
          <cell r="J34"/>
          <cell r="K34">
            <v>7.2032085285824013E-2</v>
          </cell>
          <cell r="L34">
            <v>2.3263157894736799</v>
          </cell>
        </row>
        <row r="35">
          <cell r="A35" t="str">
            <v>BARA TPP2</v>
          </cell>
          <cell r="B35" t="str">
            <v>BARA TPP</v>
          </cell>
          <cell r="C35" t="str">
            <v>BARA TPP</v>
          </cell>
          <cell r="D35" t="str">
            <v>Uttar Pardesh</v>
          </cell>
          <cell r="E35" t="str">
            <v>PVT SECTOR</v>
          </cell>
          <cell r="F35" t="str">
            <v xml:space="preserve"> 0-5 years</v>
          </cell>
          <cell r="G35">
            <v>4.6735112936344896</v>
          </cell>
          <cell r="H35">
            <v>660</v>
          </cell>
          <cell r="I35">
            <v>0.33807644665697034</v>
          </cell>
          <cell r="J35"/>
          <cell r="K35">
            <v>7.2032085285824013E-2</v>
          </cell>
          <cell r="L35">
            <v>2.3263157894736799</v>
          </cell>
        </row>
        <row r="36">
          <cell r="A36" t="str">
            <v>BARA TPP3</v>
          </cell>
          <cell r="B36" t="str">
            <v>BARA TPP</v>
          </cell>
          <cell r="C36" t="str">
            <v>BARA TPP</v>
          </cell>
          <cell r="D36" t="str">
            <v>Uttar Pardesh</v>
          </cell>
          <cell r="E36" t="str">
            <v>PVT SECTOR</v>
          </cell>
          <cell r="F36" t="str">
            <v xml:space="preserve"> 0-5 years</v>
          </cell>
          <cell r="G36">
            <v>3.0088980150581701</v>
          </cell>
          <cell r="H36">
            <v>660</v>
          </cell>
          <cell r="I36">
            <v>0.46042392482258521</v>
          </cell>
          <cell r="J36"/>
          <cell r="K36">
            <v>7.2032085285824013E-2</v>
          </cell>
          <cell r="L36">
            <v>2.3263157894736799</v>
          </cell>
        </row>
        <row r="37">
          <cell r="A37" t="str">
            <v>BARADARHA TPS1</v>
          </cell>
          <cell r="B37" t="str">
            <v>BARADARHA TPS</v>
          </cell>
          <cell r="C37" t="str">
            <v>BARADARHA TPS</v>
          </cell>
          <cell r="D37" t="str">
            <v>Chhatisgarh</v>
          </cell>
          <cell r="E37" t="str">
            <v>PVT SECTOR</v>
          </cell>
          <cell r="F37" t="str">
            <v xml:space="preserve"> 5-10 years</v>
          </cell>
          <cell r="G37">
            <v>6.2532511978097096</v>
          </cell>
          <cell r="H37">
            <v>600</v>
          </cell>
          <cell r="I37">
            <v>0.62179770815578128</v>
          </cell>
          <cell r="J37"/>
          <cell r="K37">
            <v>5.7818434756539937E-2</v>
          </cell>
          <cell r="L37">
            <v>1.7560228523892201</v>
          </cell>
        </row>
        <row r="38">
          <cell r="A38" t="str">
            <v>BARADARHA TPS2</v>
          </cell>
          <cell r="B38" t="str">
            <v>BARADARHA TPS</v>
          </cell>
          <cell r="C38" t="str">
            <v>BARADARHA TPS</v>
          </cell>
          <cell r="D38" t="str">
            <v>Chhatisgarh</v>
          </cell>
          <cell r="E38" t="str">
            <v>PVT SECTOR</v>
          </cell>
          <cell r="F38" t="str">
            <v xml:space="preserve"> 5-10 years</v>
          </cell>
          <cell r="G38">
            <v>5.1772758384667998</v>
          </cell>
          <cell r="H38">
            <v>600</v>
          </cell>
          <cell r="I38">
            <v>0.59280092464442014</v>
          </cell>
          <cell r="J38"/>
          <cell r="K38">
            <v>5.7818434756539937E-2</v>
          </cell>
          <cell r="L38">
            <v>1.7560228523892201</v>
          </cell>
        </row>
        <row r="39">
          <cell r="A39" t="str">
            <v>BARAUNI TPS7</v>
          </cell>
          <cell r="B39" t="str">
            <v>BARAUNI TPS</v>
          </cell>
          <cell r="C39" t="str">
            <v>BARAUNI TPS</v>
          </cell>
          <cell r="D39" t="str">
            <v>Bihar</v>
          </cell>
          <cell r="E39" t="str">
            <v>CENTRAL SECTOR</v>
          </cell>
          <cell r="F39" t="str">
            <v xml:space="preserve"> 0-5 years</v>
          </cell>
          <cell r="G39">
            <v>3.4962354551676902</v>
          </cell>
          <cell r="H39">
            <v>110</v>
          </cell>
          <cell r="I39">
            <v>5.6867127897439015E-2</v>
          </cell>
          <cell r="J39">
            <v>0.77728008431512785</v>
          </cell>
          <cell r="K39">
            <v>0.09</v>
          </cell>
          <cell r="L39">
            <v>3.04</v>
          </cell>
        </row>
        <row r="40">
          <cell r="A40" t="str">
            <v>BARAUNI TPS8</v>
          </cell>
          <cell r="B40" t="str">
            <v>BARAUNI TPS</v>
          </cell>
          <cell r="C40" t="str">
            <v>BARAUNI TPS</v>
          </cell>
          <cell r="D40" t="str">
            <v>Bihar</v>
          </cell>
          <cell r="E40" t="str">
            <v>CENTRAL SECTOR</v>
          </cell>
          <cell r="F40" t="str">
            <v xml:space="preserve"> 0-5 years</v>
          </cell>
          <cell r="G40">
            <v>2.3381245722108099</v>
          </cell>
          <cell r="H40">
            <v>250</v>
          </cell>
          <cell r="I40">
            <v>1.20163358147229E-2</v>
          </cell>
          <cell r="J40">
            <v>0.79678480137696461</v>
          </cell>
          <cell r="K40">
            <v>0.09</v>
          </cell>
          <cell r="L40"/>
        </row>
        <row r="41">
          <cell r="A41" t="str">
            <v>BARH II4</v>
          </cell>
          <cell r="B41" t="str">
            <v>BARH II</v>
          </cell>
          <cell r="C41" t="str">
            <v>BARH II</v>
          </cell>
          <cell r="D41" t="str">
            <v>Bihar</v>
          </cell>
          <cell r="E41" t="str">
            <v>CENTRAL SECTOR</v>
          </cell>
          <cell r="F41" t="str">
            <v xml:space="preserve"> 5-10 years</v>
          </cell>
          <cell r="G41">
            <v>6.5051334702258696</v>
          </cell>
          <cell r="H41">
            <v>660</v>
          </cell>
          <cell r="I41">
            <v>0.76879185454102905</v>
          </cell>
          <cell r="J41"/>
          <cell r="K41">
            <v>7.8938602528921195E-2</v>
          </cell>
          <cell r="L41">
            <v>2.3142443367293999</v>
          </cell>
        </row>
        <row r="42">
          <cell r="A42" t="str">
            <v>BARH II5</v>
          </cell>
          <cell r="B42" t="str">
            <v>BARH II</v>
          </cell>
          <cell r="C42" t="str">
            <v>BARH II</v>
          </cell>
          <cell r="D42" t="str">
            <v>Bihar</v>
          </cell>
          <cell r="E42" t="str">
            <v>CENTRAL SECTOR</v>
          </cell>
          <cell r="F42" t="str">
            <v xml:space="preserve"> 5-10 years</v>
          </cell>
          <cell r="G42">
            <v>5.1772758384667998</v>
          </cell>
          <cell r="H42">
            <v>660</v>
          </cell>
          <cell r="I42">
            <v>0.79384212539310606</v>
          </cell>
          <cell r="J42"/>
          <cell r="K42">
            <v>7.8938602528921195E-2</v>
          </cell>
          <cell r="L42">
            <v>2.3142443367293999</v>
          </cell>
        </row>
        <row r="43">
          <cell r="A43" t="str">
            <v>BARKHERA TPS1</v>
          </cell>
          <cell r="B43" t="str">
            <v>BARKHERA TPS</v>
          </cell>
          <cell r="C43" t="str">
            <v>BARKHERA TPS</v>
          </cell>
          <cell r="D43" t="str">
            <v>Uttar Pardesh</v>
          </cell>
          <cell r="E43" t="str">
            <v>PVT SECTOR</v>
          </cell>
          <cell r="F43" t="str">
            <v xml:space="preserve"> 5-10 years</v>
          </cell>
          <cell r="G43">
            <v>8.5065023956194299</v>
          </cell>
          <cell r="H43">
            <v>45</v>
          </cell>
          <cell r="I43">
            <v>0.16599666704595001</v>
          </cell>
          <cell r="J43"/>
          <cell r="K43">
            <v>0.10106329868235293</v>
          </cell>
          <cell r="L43">
            <v>3.7346710526316</v>
          </cell>
        </row>
        <row r="44">
          <cell r="A44" t="str">
            <v>BARKHERA TPS2</v>
          </cell>
          <cell r="B44" t="str">
            <v>BARKHERA TPS</v>
          </cell>
          <cell r="C44" t="str">
            <v>BARKHERA TPS</v>
          </cell>
          <cell r="D44" t="str">
            <v>Uttar Pardesh</v>
          </cell>
          <cell r="E44" t="str">
            <v>PVT SECTOR</v>
          </cell>
          <cell r="F44" t="str">
            <v xml:space="preserve"> 5-10 years</v>
          </cell>
          <cell r="G44">
            <v>8.33949349760438</v>
          </cell>
          <cell r="H44">
            <v>45</v>
          </cell>
          <cell r="I44">
            <v>0.14017378297396205</v>
          </cell>
          <cell r="J44"/>
          <cell r="K44">
            <v>0.10106329868235293</v>
          </cell>
          <cell r="L44">
            <v>3.7346710526316</v>
          </cell>
        </row>
        <row r="45">
          <cell r="A45" t="str">
            <v>BELA TPS1</v>
          </cell>
          <cell r="B45" t="str">
            <v>BELA TPS</v>
          </cell>
          <cell r="C45">
            <v>0</v>
          </cell>
          <cell r="D45" t="str">
            <v>Maharashtra</v>
          </cell>
          <cell r="E45" t="str">
            <v>PVT SECTOR</v>
          </cell>
          <cell r="F45" t="str">
            <v xml:space="preserve"> 5-10 years</v>
          </cell>
          <cell r="G45">
            <v>7.1759069130732298</v>
          </cell>
          <cell r="H45">
            <v>270</v>
          </cell>
          <cell r="I45">
            <v>2.8690124563033641E-2</v>
          </cell>
          <cell r="J45"/>
          <cell r="K45">
            <v>9.4448436788302656E-2</v>
          </cell>
          <cell r="L45"/>
        </row>
        <row r="46">
          <cell r="A46" t="str">
            <v>BELLARY TPS1</v>
          </cell>
          <cell r="B46" t="str">
            <v>BELLARY TPS</v>
          </cell>
          <cell r="C46" t="str">
            <v>BELLARY TPS UNIT 1</v>
          </cell>
          <cell r="D46" t="str">
            <v>Karnataka</v>
          </cell>
          <cell r="E46" t="str">
            <v>STATE SECTOR</v>
          </cell>
          <cell r="F46" t="str">
            <v xml:space="preserve"> 10-15 years</v>
          </cell>
          <cell r="G46">
            <v>12.4243668720054</v>
          </cell>
          <cell r="H46">
            <v>500</v>
          </cell>
          <cell r="I46">
            <v>0.32939362585412335</v>
          </cell>
          <cell r="J46"/>
          <cell r="K46">
            <v>6.6702414133670743E-2</v>
          </cell>
          <cell r="L46">
            <v>3.8664301801801799</v>
          </cell>
        </row>
        <row r="47">
          <cell r="A47" t="str">
            <v>BELLARY TPS2</v>
          </cell>
          <cell r="B47" t="str">
            <v>BELLARY TPS</v>
          </cell>
          <cell r="C47" t="str">
            <v>BELLARY TPS UNIT 2</v>
          </cell>
          <cell r="D47" t="str">
            <v>Karnataka</v>
          </cell>
          <cell r="E47" t="str">
            <v>STATE SECTOR</v>
          </cell>
          <cell r="F47" t="str">
            <v xml:space="preserve"> 5-10 years</v>
          </cell>
          <cell r="G47">
            <v>8.1752224503764506</v>
          </cell>
          <cell r="H47">
            <v>500</v>
          </cell>
          <cell r="I47">
            <v>0.43364948885004417</v>
          </cell>
          <cell r="J47"/>
          <cell r="K47">
            <v>6.6702414133670743E-2</v>
          </cell>
          <cell r="L47">
            <v>3.5768181818181799</v>
          </cell>
        </row>
        <row r="48">
          <cell r="A48" t="str">
            <v>BELLARY TPS3</v>
          </cell>
          <cell r="B48" t="str">
            <v>BELLARY TPS</v>
          </cell>
          <cell r="C48" t="str">
            <v>BELLARY TPS UNIT 3</v>
          </cell>
          <cell r="D48" t="str">
            <v>Karnataka</v>
          </cell>
          <cell r="E48" t="str">
            <v>STATE SECTOR</v>
          </cell>
          <cell r="F48" t="str">
            <v xml:space="preserve"> 0-5 years</v>
          </cell>
          <cell r="G48">
            <v>4.1752224503764497</v>
          </cell>
          <cell r="H48">
            <v>700</v>
          </cell>
          <cell r="I48">
            <v>0.16989100317855477</v>
          </cell>
          <cell r="J48"/>
          <cell r="K48">
            <v>6.6702414133670743E-2</v>
          </cell>
          <cell r="L48">
            <v>4.3600000000000003</v>
          </cell>
        </row>
        <row r="49">
          <cell r="A49" t="str">
            <v>BHILAI TPS1</v>
          </cell>
          <cell r="B49" t="str">
            <v>BHILAI TPS</v>
          </cell>
          <cell r="C49" t="str">
            <v>BHILAI TPS</v>
          </cell>
          <cell r="D49" t="str">
            <v>Chhatisgarh</v>
          </cell>
          <cell r="E49" t="str">
            <v>CENTRAL SECTOR</v>
          </cell>
          <cell r="F49" t="str">
            <v xml:space="preserve"> 10-15 years</v>
          </cell>
          <cell r="G49">
            <v>12.090349075975301</v>
          </cell>
          <cell r="H49">
            <v>250</v>
          </cell>
          <cell r="I49">
            <v>0.74051026187239166</v>
          </cell>
          <cell r="J49">
            <v>0.60262116716122649</v>
          </cell>
          <cell r="K49">
            <v>8.0634482570770813E-2</v>
          </cell>
          <cell r="L49">
            <v>2.5478971205186798</v>
          </cell>
        </row>
        <row r="50">
          <cell r="A50" t="str">
            <v>BHILAI TPS2</v>
          </cell>
          <cell r="B50" t="str">
            <v>BHILAI TPS</v>
          </cell>
          <cell r="C50" t="str">
            <v>BHILAI TPS</v>
          </cell>
          <cell r="D50" t="str">
            <v>Chhatisgarh</v>
          </cell>
          <cell r="E50" t="str">
            <v>CENTRAL SECTOR</v>
          </cell>
          <cell r="F50" t="str">
            <v xml:space="preserve"> 10-15 years</v>
          </cell>
          <cell r="G50">
            <v>10.841889117043101</v>
          </cell>
          <cell r="H50">
            <v>250</v>
          </cell>
          <cell r="I50">
            <v>0.76174879532757167</v>
          </cell>
          <cell r="J50">
            <v>0.60262116716122649</v>
          </cell>
          <cell r="K50">
            <v>8.0634482570770813E-2</v>
          </cell>
          <cell r="L50">
            <v>2.5478971205186798</v>
          </cell>
        </row>
        <row r="51">
          <cell r="A51" t="str">
            <v>BHUSAWAL TPS3</v>
          </cell>
          <cell r="B51" t="str">
            <v>BHUSAWAL TPS</v>
          </cell>
          <cell r="C51" t="str">
            <v>BHUSAWAL TPS UNIT 2-3</v>
          </cell>
          <cell r="D51" t="str">
            <v>Maharashtra</v>
          </cell>
          <cell r="E51" t="str">
            <v>STATE SECTOR</v>
          </cell>
          <cell r="F51" t="str">
            <v xml:space="preserve"> 35-40 years</v>
          </cell>
          <cell r="G51">
            <v>37.672826830937701</v>
          </cell>
          <cell r="H51">
            <v>210</v>
          </cell>
          <cell r="I51">
            <v>0.11945986358124167</v>
          </cell>
          <cell r="J51">
            <v>0.97201672563525254</v>
          </cell>
          <cell r="K51">
            <v>6.8124170867604139E-2</v>
          </cell>
          <cell r="L51">
            <v>3.0690329670329701</v>
          </cell>
        </row>
        <row r="52">
          <cell r="A52" t="str">
            <v>BHUSAWAL TPS4</v>
          </cell>
          <cell r="B52" t="str">
            <v>BHUSAWAL TPS</v>
          </cell>
          <cell r="C52" t="str">
            <v>BHUSAWAL TPS UNIT 4-5</v>
          </cell>
          <cell r="D52" t="str">
            <v>Maharashtra</v>
          </cell>
          <cell r="E52" t="str">
            <v>STATE SECTOR</v>
          </cell>
          <cell r="F52" t="str">
            <v xml:space="preserve"> 5-10 years</v>
          </cell>
          <cell r="G52">
            <v>8.1752224503764506</v>
          </cell>
          <cell r="H52">
            <v>500</v>
          </cell>
          <cell r="I52">
            <v>0.69021110993402424</v>
          </cell>
          <cell r="J52">
            <v>1.0931341385886841</v>
          </cell>
          <cell r="K52">
            <v>6.8124170867604139E-2</v>
          </cell>
          <cell r="L52">
            <v>2.7322637362637301</v>
          </cell>
        </row>
        <row r="53">
          <cell r="A53" t="str">
            <v>BHUSAWAL TPS5</v>
          </cell>
          <cell r="B53" t="str">
            <v>BHUSAWAL TPS</v>
          </cell>
          <cell r="C53" t="str">
            <v>BHUSAWAL TPS UNIT 4-5</v>
          </cell>
          <cell r="D53" t="str">
            <v>Maharashtra</v>
          </cell>
          <cell r="E53" t="str">
            <v>STATE SECTOR</v>
          </cell>
          <cell r="F53" t="str">
            <v xml:space="preserve"> 5-10 years</v>
          </cell>
          <cell r="G53">
            <v>8.1752224503764506</v>
          </cell>
          <cell r="H53">
            <v>500</v>
          </cell>
          <cell r="I53">
            <v>0.69700316923271577</v>
          </cell>
          <cell r="J53">
            <v>1.0931341385886841</v>
          </cell>
          <cell r="K53">
            <v>6.8124170867604139E-2</v>
          </cell>
          <cell r="L53">
            <v>2.7322637362637301</v>
          </cell>
        </row>
        <row r="54">
          <cell r="A54" t="str">
            <v>BINA TPS1</v>
          </cell>
          <cell r="B54" t="str">
            <v>BINA TPS</v>
          </cell>
          <cell r="C54" t="str">
            <v>BINA TPS</v>
          </cell>
          <cell r="D54" t="str">
            <v>Madhya Pradesh</v>
          </cell>
          <cell r="E54" t="str">
            <v>PVT SECTOR</v>
          </cell>
          <cell r="F54" t="str">
            <v xml:space="preserve"> 5-10 years</v>
          </cell>
          <cell r="G54">
            <v>7.7563312799452397</v>
          </cell>
          <cell r="H54">
            <v>250</v>
          </cell>
          <cell r="I54">
            <v>0.61014295649487005</v>
          </cell>
          <cell r="J54">
            <v>0.91170323928944619</v>
          </cell>
          <cell r="K54">
            <v>8.3913060272884019E-2</v>
          </cell>
          <cell r="L54">
            <v>2.7985632183907998</v>
          </cell>
        </row>
        <row r="55">
          <cell r="A55" t="str">
            <v>BINA TPS2</v>
          </cell>
          <cell r="B55" t="str">
            <v>BINA TPS</v>
          </cell>
          <cell r="C55" t="str">
            <v>BINA TPS</v>
          </cell>
          <cell r="D55" t="str">
            <v>Madhya Pradesh</v>
          </cell>
          <cell r="E55" t="str">
            <v>PVT SECTOR</v>
          </cell>
          <cell r="F55" t="str">
            <v xml:space="preserve"> 5-10 years</v>
          </cell>
          <cell r="G55">
            <v>7.1759069130732298</v>
          </cell>
          <cell r="H55">
            <v>250</v>
          </cell>
          <cell r="I55">
            <v>0.53807568006191331</v>
          </cell>
          <cell r="J55">
            <v>0.91170323928944619</v>
          </cell>
          <cell r="K55">
            <v>8.3913060272884019E-2</v>
          </cell>
          <cell r="L55">
            <v>2.7985632183907998</v>
          </cell>
        </row>
        <row r="56">
          <cell r="A56" t="str">
            <v>BINJKOTE  TPP1</v>
          </cell>
          <cell r="B56" t="str">
            <v>BINJKOTE  TPP</v>
          </cell>
          <cell r="C56">
            <v>0</v>
          </cell>
          <cell r="D56" t="str">
            <v>Chhatisgarh</v>
          </cell>
          <cell r="E56" t="str">
            <v>PVT SECTOR</v>
          </cell>
          <cell r="F56" t="str">
            <v xml:space="preserve"> 0-5 years</v>
          </cell>
          <cell r="G56">
            <v>3.0910335386721401</v>
          </cell>
          <cell r="H56">
            <v>300</v>
          </cell>
          <cell r="I56">
            <v>0.35035059952955694</v>
          </cell>
          <cell r="J56"/>
          <cell r="K56">
            <v>0.11609507686426573</v>
          </cell>
          <cell r="L56"/>
        </row>
        <row r="57">
          <cell r="A57" t="str">
            <v>BINJKOTE  TPP2</v>
          </cell>
          <cell r="B57" t="str">
            <v>BINJKOTE  TPP</v>
          </cell>
          <cell r="C57">
            <v>0</v>
          </cell>
          <cell r="D57" t="str">
            <v>Chhatisgarh</v>
          </cell>
          <cell r="E57" t="str">
            <v>PVT SECTOR</v>
          </cell>
          <cell r="F57" t="str">
            <v xml:space="preserve"> 0-5 years</v>
          </cell>
          <cell r="G57">
            <v>2.0917180013689198</v>
          </cell>
          <cell r="H57">
            <v>300</v>
          </cell>
          <cell r="I57">
            <v>0.40377928016278608</v>
          </cell>
          <cell r="J57"/>
          <cell r="K57">
            <v>0.11609507686426573</v>
          </cell>
          <cell r="L57"/>
        </row>
        <row r="58">
          <cell r="A58" t="str">
            <v>BOKARO A TPS1</v>
          </cell>
          <cell r="B58" t="str">
            <v>BOKARO A TPS</v>
          </cell>
          <cell r="C58">
            <v>0</v>
          </cell>
          <cell r="D58" t="str">
            <v>Jharkhand</v>
          </cell>
          <cell r="E58" t="str">
            <v>CENTRAL SECTOR</v>
          </cell>
          <cell r="F58" t="str">
            <v xml:space="preserve"> 0-5 years</v>
          </cell>
          <cell r="G58">
            <v>4.1752224503764497</v>
          </cell>
          <cell r="H58">
            <v>500</v>
          </cell>
          <cell r="I58">
            <v>0.66869912838633094</v>
          </cell>
          <cell r="J58">
            <v>0.6898460057747835</v>
          </cell>
          <cell r="K58">
            <v>6.4777032841771623E-2</v>
          </cell>
          <cell r="L58"/>
        </row>
        <row r="59">
          <cell r="A59" t="str">
            <v>BOKARO B TPS3</v>
          </cell>
          <cell r="B59" t="str">
            <v>BOKARO B TPS</v>
          </cell>
          <cell r="C59">
            <v>0</v>
          </cell>
          <cell r="D59" t="str">
            <v>Jharkhand</v>
          </cell>
          <cell r="E59" t="str">
            <v>CENTRAL SECTOR</v>
          </cell>
          <cell r="F59" t="str">
            <v xml:space="preserve"> 25-30 years</v>
          </cell>
          <cell r="G59">
            <v>26.757015742642</v>
          </cell>
          <cell r="H59">
            <v>210</v>
          </cell>
          <cell r="I59">
            <v>0.21676486215752575</v>
          </cell>
          <cell r="J59">
            <v>0.54036384309266627</v>
          </cell>
          <cell r="K59">
            <v>0.17551275347161696</v>
          </cell>
          <cell r="L59"/>
        </row>
        <row r="60">
          <cell r="A60" t="str">
            <v>BONGAIGAON TPS1</v>
          </cell>
          <cell r="B60" t="str">
            <v>BONGAIGAON TPS</v>
          </cell>
          <cell r="C60" t="str">
            <v>BONGAIGAON TPS</v>
          </cell>
          <cell r="D60" t="str">
            <v>Assam</v>
          </cell>
          <cell r="E60" t="str">
            <v>CENTRAL SECTOR</v>
          </cell>
          <cell r="F60" t="str">
            <v xml:space="preserve"> 0-5 years</v>
          </cell>
          <cell r="G60">
            <v>4.9253935660506496</v>
          </cell>
          <cell r="H60">
            <v>250</v>
          </cell>
          <cell r="I60">
            <v>0.66346499233659506</v>
          </cell>
          <cell r="J60">
            <v>0.9998398462524023</v>
          </cell>
          <cell r="K60">
            <v>0.06</v>
          </cell>
          <cell r="L60">
            <v>2.9718826799528202</v>
          </cell>
        </row>
        <row r="61">
          <cell r="A61" t="str">
            <v>BONGAIGAON TPS2</v>
          </cell>
          <cell r="B61" t="str">
            <v>BONGAIGAON TPS</v>
          </cell>
          <cell r="C61" t="str">
            <v>BONGAIGAON TPS</v>
          </cell>
          <cell r="D61" t="str">
            <v>Assam</v>
          </cell>
          <cell r="E61" t="str">
            <v>CENTRAL SECTOR</v>
          </cell>
          <cell r="F61" t="str">
            <v xml:space="preserve"> 0-5 years</v>
          </cell>
          <cell r="G61">
            <v>3.1074606433949299</v>
          </cell>
          <cell r="H61">
            <v>250</v>
          </cell>
          <cell r="I61">
            <v>0.59498356998664004</v>
          </cell>
          <cell r="J61"/>
          <cell r="K61">
            <v>0.06</v>
          </cell>
          <cell r="L61">
            <v>2.9718826799528202</v>
          </cell>
        </row>
        <row r="62">
          <cell r="A62" t="str">
            <v>BONGAIGAON TPS3</v>
          </cell>
          <cell r="B62" t="str">
            <v>BONGAIGAON TPS</v>
          </cell>
          <cell r="C62" t="str">
            <v>BONGAIGAON TPS</v>
          </cell>
          <cell r="D62" t="str">
            <v>Assam</v>
          </cell>
          <cell r="E62" t="str">
            <v>CENTRAL SECTOR</v>
          </cell>
          <cell r="F62" t="str">
            <v xml:space="preserve"> 0-5 years</v>
          </cell>
          <cell r="G62">
            <v>1.3388090349075901</v>
          </cell>
          <cell r="H62">
            <v>250</v>
          </cell>
          <cell r="I62">
            <v>0.49649108696272165</v>
          </cell>
          <cell r="J62"/>
          <cell r="K62">
            <v>0.06</v>
          </cell>
          <cell r="L62">
            <v>2.9718826799528202</v>
          </cell>
        </row>
        <row r="63">
          <cell r="A63" t="str">
            <v>BUDGE BUDGE TPS1</v>
          </cell>
          <cell r="B63" t="str">
            <v>BUDGE BUDGE TPS</v>
          </cell>
          <cell r="C63" t="str">
            <v>BUDGE BUDGE TPS</v>
          </cell>
          <cell r="D63" t="str">
            <v>West Bengal</v>
          </cell>
          <cell r="E63" t="str">
            <v>PVT SECTOR</v>
          </cell>
          <cell r="F63" t="str">
            <v xml:space="preserve"> 20-25 years</v>
          </cell>
          <cell r="G63">
            <v>22.672142368240898</v>
          </cell>
          <cell r="H63">
            <v>250</v>
          </cell>
          <cell r="I63">
            <v>0.90199457892661339</v>
          </cell>
          <cell r="J63">
            <v>0.85057471264367812</v>
          </cell>
          <cell r="K63">
            <v>8.0053382136410028E-2</v>
          </cell>
          <cell r="L63"/>
        </row>
        <row r="64">
          <cell r="A64" t="str">
            <v>BUDGE BUDGE TPS2</v>
          </cell>
          <cell r="B64" t="str">
            <v>BUDGE BUDGE TPS</v>
          </cell>
          <cell r="C64" t="str">
            <v>BUDGE BUDGE TPS</v>
          </cell>
          <cell r="D64" t="str">
            <v>West Bengal</v>
          </cell>
          <cell r="E64" t="str">
            <v>PVT SECTOR</v>
          </cell>
          <cell r="F64" t="str">
            <v xml:space="preserve"> 20-25 years</v>
          </cell>
          <cell r="G64">
            <v>21.177275838466802</v>
          </cell>
          <cell r="H64">
            <v>250</v>
          </cell>
          <cell r="I64">
            <v>0.83546095944641485</v>
          </cell>
          <cell r="J64">
            <v>0.85057471264367812</v>
          </cell>
          <cell r="K64">
            <v>8.0053382136410028E-2</v>
          </cell>
          <cell r="L64"/>
        </row>
        <row r="65">
          <cell r="A65" t="str">
            <v>BUDGE BUDGE TPS3</v>
          </cell>
          <cell r="B65" t="str">
            <v>BUDGE BUDGE TPS</v>
          </cell>
          <cell r="C65" t="str">
            <v>BUDGE BUDGE TPS</v>
          </cell>
          <cell r="D65" t="str">
            <v>West Bengal</v>
          </cell>
          <cell r="E65" t="str">
            <v>PVT SECTOR</v>
          </cell>
          <cell r="F65" t="str">
            <v xml:space="preserve"> 10-15 years</v>
          </cell>
          <cell r="G65">
            <v>10.6721423682409</v>
          </cell>
          <cell r="H65">
            <v>250</v>
          </cell>
          <cell r="I65">
            <v>0.93339052502723829</v>
          </cell>
          <cell r="J65">
            <v>0.85057471264367812</v>
          </cell>
          <cell r="K65">
            <v>8.0053382136410028E-2</v>
          </cell>
          <cell r="L65"/>
        </row>
        <row r="66">
          <cell r="A66" t="str">
            <v>BUTIBORI TPP1</v>
          </cell>
          <cell r="B66" t="str">
            <v>BUTIBORI TPP</v>
          </cell>
          <cell r="C66" t="str">
            <v>BUTIBORI TPP</v>
          </cell>
          <cell r="D66" t="str">
            <v>Maharashtra</v>
          </cell>
          <cell r="E66" t="str">
            <v>PVT SECTOR</v>
          </cell>
          <cell r="F66" t="str">
            <v xml:space="preserve"> 5-10 years</v>
          </cell>
          <cell r="G66">
            <v>7.7563312799452397</v>
          </cell>
          <cell r="H66">
            <v>300</v>
          </cell>
          <cell r="I66">
            <v>0.22892321636523333</v>
          </cell>
          <cell r="J66">
            <v>0.88813204086979303</v>
          </cell>
          <cell r="K66">
            <v>8.5770417782561448E-2</v>
          </cell>
          <cell r="L66">
            <v>2.4630549450549402</v>
          </cell>
        </row>
        <row r="67">
          <cell r="A67" t="str">
            <v>BUTIBORI TPP2</v>
          </cell>
          <cell r="B67" t="str">
            <v>BUTIBORI TPP</v>
          </cell>
          <cell r="C67" t="str">
            <v>BUTIBORI TPP</v>
          </cell>
          <cell r="D67" t="str">
            <v>Maharashtra</v>
          </cell>
          <cell r="E67" t="str">
            <v>PVT SECTOR</v>
          </cell>
          <cell r="F67" t="str">
            <v xml:space="preserve"> 5-10 years</v>
          </cell>
          <cell r="G67">
            <v>7.1759069130732298</v>
          </cell>
          <cell r="H67">
            <v>300</v>
          </cell>
          <cell r="I67">
            <v>0.42600631397712085</v>
          </cell>
          <cell r="J67">
            <v>0.88813204086979303</v>
          </cell>
          <cell r="K67">
            <v>8.5770417782561448E-2</v>
          </cell>
          <cell r="L67">
            <v>2.4630549450549402</v>
          </cell>
        </row>
        <row r="68">
          <cell r="A68" t="str">
            <v>CHAKABURA TPP2</v>
          </cell>
          <cell r="B68" t="str">
            <v>CHAKABURA TPP</v>
          </cell>
          <cell r="C68">
            <v>0</v>
          </cell>
          <cell r="D68" t="str">
            <v>Chhatisgarh</v>
          </cell>
          <cell r="E68" t="str">
            <v>PVT SECTOR</v>
          </cell>
          <cell r="F68" t="str">
            <v xml:space="preserve"> 5-10 years</v>
          </cell>
          <cell r="G68">
            <v>6.1765913757700197</v>
          </cell>
          <cell r="H68">
            <v>30</v>
          </cell>
          <cell r="I68">
            <v>0.89898017505749173</v>
          </cell>
          <cell r="J68"/>
          <cell r="L68"/>
        </row>
        <row r="69">
          <cell r="A69" t="str">
            <v>CHANDRAPUR STPS3</v>
          </cell>
          <cell r="B69" t="str">
            <v>CHANDRAPUR STPS</v>
          </cell>
          <cell r="C69" t="str">
            <v>CHANDRAPUR UNITS 3-7</v>
          </cell>
          <cell r="D69" t="str">
            <v>Maharashtra</v>
          </cell>
          <cell r="E69" t="str">
            <v>STATE SECTOR</v>
          </cell>
          <cell r="F69" t="str">
            <v xml:space="preserve"> 30-35 years</v>
          </cell>
          <cell r="G69">
            <v>35.008898015058101</v>
          </cell>
          <cell r="H69">
            <v>210</v>
          </cell>
          <cell r="I69">
            <v>0.40668558501500002</v>
          </cell>
          <cell r="J69">
            <v>0.69994058229352352</v>
          </cell>
          <cell r="K69">
            <v>7.096074531932961E-2</v>
          </cell>
          <cell r="L69">
            <v>2.3100000000000298</v>
          </cell>
        </row>
        <row r="70">
          <cell r="A70" t="str">
            <v>CHANDRAPUR STPS4</v>
          </cell>
          <cell r="B70" t="str">
            <v>CHANDRAPUR STPS</v>
          </cell>
          <cell r="C70" t="str">
            <v>CHANDRAPUR UNITS 3-7</v>
          </cell>
          <cell r="D70" t="str">
            <v>Maharashtra</v>
          </cell>
          <cell r="E70" t="str">
            <v>STATE SECTOR</v>
          </cell>
          <cell r="F70" t="str">
            <v xml:space="preserve"> 30-35 years</v>
          </cell>
          <cell r="G70">
            <v>34.176591375770002</v>
          </cell>
          <cell r="H70">
            <v>210</v>
          </cell>
          <cell r="I70">
            <v>0.45041746312705361</v>
          </cell>
          <cell r="J70">
            <v>0.69994058229352352</v>
          </cell>
          <cell r="K70">
            <v>7.096074531932961E-2</v>
          </cell>
          <cell r="L70">
            <v>2.3100000000000298</v>
          </cell>
        </row>
        <row r="71">
          <cell r="A71" t="str">
            <v>CHANDRAPUR STPS5</v>
          </cell>
          <cell r="B71" t="str">
            <v>CHANDRAPUR STPS</v>
          </cell>
          <cell r="C71" t="str">
            <v>CHANDRAPUR UNITS 3-7</v>
          </cell>
          <cell r="D71" t="str">
            <v>Maharashtra</v>
          </cell>
          <cell r="E71" t="str">
            <v>STATE SECTOR</v>
          </cell>
          <cell r="F71" t="str">
            <v xml:space="preserve"> 25-30 years</v>
          </cell>
          <cell r="G71">
            <v>29.177275838466802</v>
          </cell>
          <cell r="H71">
            <v>500</v>
          </cell>
          <cell r="I71">
            <v>0.61266395866071</v>
          </cell>
          <cell r="J71">
            <v>0.69994058229352352</v>
          </cell>
          <cell r="K71">
            <v>7.096074531932961E-2</v>
          </cell>
          <cell r="L71">
            <v>2.3100000000000298</v>
          </cell>
        </row>
        <row r="72">
          <cell r="A72" t="str">
            <v>CHANDRAPUR STPS6</v>
          </cell>
          <cell r="B72" t="str">
            <v>CHANDRAPUR STPS</v>
          </cell>
          <cell r="C72" t="str">
            <v>CHANDRAPUR UNITS 3-7</v>
          </cell>
          <cell r="D72" t="str">
            <v>Maharashtra</v>
          </cell>
          <cell r="E72" t="str">
            <v>STATE SECTOR</v>
          </cell>
          <cell r="F72" t="str">
            <v xml:space="preserve"> 25-30 years</v>
          </cell>
          <cell r="G72">
            <v>28.175222450376399</v>
          </cell>
          <cell r="H72">
            <v>500</v>
          </cell>
          <cell r="I72">
            <v>0.4896267827127142</v>
          </cell>
          <cell r="J72">
            <v>0.69994058229352352</v>
          </cell>
          <cell r="K72">
            <v>7.096074531932961E-2</v>
          </cell>
          <cell r="L72">
            <v>2.3100000000000298</v>
          </cell>
        </row>
        <row r="73">
          <cell r="A73" t="str">
            <v>CHANDRAPUR STPS7</v>
          </cell>
          <cell r="B73" t="str">
            <v>CHANDRAPUR STPS</v>
          </cell>
          <cell r="C73" t="str">
            <v>CHANDRAPUR UNITS 3-7</v>
          </cell>
          <cell r="D73" t="str">
            <v>Maharashtra</v>
          </cell>
          <cell r="E73" t="str">
            <v>STATE SECTOR</v>
          </cell>
          <cell r="F73" t="str">
            <v xml:space="preserve"> 20-25 years</v>
          </cell>
          <cell r="G73">
            <v>22.590006844626899</v>
          </cell>
          <cell r="H73">
            <v>500</v>
          </cell>
          <cell r="I73">
            <v>0.56035945102141671</v>
          </cell>
          <cell r="J73">
            <v>0.69994058229352352</v>
          </cell>
          <cell r="K73">
            <v>7.096074531932961E-2</v>
          </cell>
          <cell r="L73">
            <v>2.3100000000000298</v>
          </cell>
        </row>
        <row r="74">
          <cell r="A74" t="str">
            <v>CHANDRAPUR STPS8</v>
          </cell>
          <cell r="B74" t="str">
            <v>CHANDRAPUR STPS</v>
          </cell>
          <cell r="C74" t="str">
            <v>CHANDRAPUR UNITS 8-9</v>
          </cell>
          <cell r="D74" t="str">
            <v>Maharashtra</v>
          </cell>
          <cell r="E74" t="str">
            <v>STATE SECTOR</v>
          </cell>
          <cell r="F74" t="str">
            <v xml:space="preserve"> 5-10 years</v>
          </cell>
          <cell r="G74">
            <v>5.1772758384667998</v>
          </cell>
          <cell r="H74">
            <v>500</v>
          </cell>
          <cell r="I74">
            <v>0.71303710080381744</v>
          </cell>
          <cell r="J74">
            <v>0.85511111111111116</v>
          </cell>
          <cell r="K74">
            <v>7.096074531932961E-2</v>
          </cell>
          <cell r="L74">
            <v>2.23661538461538</v>
          </cell>
        </row>
        <row r="75">
          <cell r="A75" t="str">
            <v>CHANDRAPUR STPS9</v>
          </cell>
          <cell r="B75" t="str">
            <v>CHANDRAPUR STPS</v>
          </cell>
          <cell r="C75" t="str">
            <v>CHANDRAPUR UNITS 8-9</v>
          </cell>
          <cell r="D75" t="str">
            <v>Maharashtra</v>
          </cell>
          <cell r="E75" t="str">
            <v>STATE SECTOR</v>
          </cell>
          <cell r="F75" t="str">
            <v xml:space="preserve"> 0-5 years</v>
          </cell>
          <cell r="G75">
            <v>4.1752224503764497</v>
          </cell>
          <cell r="H75">
            <v>500</v>
          </cell>
          <cell r="I75">
            <v>0.74091905556438331</v>
          </cell>
          <cell r="J75">
            <v>0.85511111111111116</v>
          </cell>
          <cell r="K75">
            <v>7.096074531932961E-2</v>
          </cell>
          <cell r="L75">
            <v>2.23661538461538</v>
          </cell>
        </row>
        <row r="76">
          <cell r="A76" t="str">
            <v>CHANDRAPURA(DVC)7</v>
          </cell>
          <cell r="B76" t="str">
            <v>CHANDRAPURA(DVC)</v>
          </cell>
          <cell r="C76" t="str">
            <v>CHANDRAPURA(DVC)</v>
          </cell>
          <cell r="D76" t="str">
            <v>Jharkhand</v>
          </cell>
          <cell r="E76" t="str">
            <v>CENTRAL SECTOR</v>
          </cell>
          <cell r="F76" t="str">
            <v xml:space="preserve"> 10-15 years</v>
          </cell>
          <cell r="G76">
            <v>10.5051334702258</v>
          </cell>
          <cell r="H76">
            <v>250</v>
          </cell>
          <cell r="I76">
            <v>0.83187027928852997</v>
          </cell>
          <cell r="J76">
            <v>0.51855526890255998</v>
          </cell>
          <cell r="K76">
            <v>9.1459561477170895E-2</v>
          </cell>
          <cell r="L76">
            <v>2.0353399122806999</v>
          </cell>
        </row>
        <row r="77">
          <cell r="A77" t="str">
            <v>CHANDRAPURA(DVC)8</v>
          </cell>
          <cell r="B77" t="str">
            <v>CHANDRAPURA(DVC)</v>
          </cell>
          <cell r="C77" t="str">
            <v>CHANDRAPURA(DVC)</v>
          </cell>
          <cell r="D77" t="str">
            <v>Jharkhand</v>
          </cell>
          <cell r="E77" t="str">
            <v>CENTRAL SECTOR</v>
          </cell>
          <cell r="F77" t="str">
            <v xml:space="preserve"> 10-15 years</v>
          </cell>
          <cell r="G77">
            <v>10.17659137577</v>
          </cell>
          <cell r="H77">
            <v>250</v>
          </cell>
          <cell r="I77">
            <v>0.79981902395390669</v>
          </cell>
          <cell r="J77">
            <v>0.51855526890255998</v>
          </cell>
          <cell r="K77">
            <v>9.1459561477170895E-2</v>
          </cell>
          <cell r="L77">
            <v>2.0353399122806999</v>
          </cell>
        </row>
        <row r="78">
          <cell r="A78" t="str">
            <v>CHHABRA TPS1</v>
          </cell>
          <cell r="B78" t="str">
            <v>CHHABRA TPS</v>
          </cell>
          <cell r="C78" t="str">
            <v>CHHABRA TPS UNIT 1-4</v>
          </cell>
          <cell r="D78" t="str">
            <v>Rajasthan</v>
          </cell>
          <cell r="E78" t="str">
            <v>STATE SECTOR</v>
          </cell>
          <cell r="F78" t="str">
            <v xml:space="preserve"> 10-15 years</v>
          </cell>
          <cell r="G78">
            <v>10.590006844626901</v>
          </cell>
          <cell r="H78">
            <v>250</v>
          </cell>
          <cell r="I78">
            <v>0.85517772768513833</v>
          </cell>
          <cell r="J78">
            <v>0.91893830703012913</v>
          </cell>
          <cell r="L78">
            <v>2.3395933263816402</v>
          </cell>
        </row>
        <row r="79">
          <cell r="A79" t="str">
            <v>CHHABRA TPS2</v>
          </cell>
          <cell r="B79" t="str">
            <v>CHHABRA TPS</v>
          </cell>
          <cell r="C79" t="str">
            <v>CHHABRA TPS UNIT 1-4</v>
          </cell>
          <cell r="D79" t="str">
            <v>Rajasthan</v>
          </cell>
          <cell r="E79" t="str">
            <v>STATE SECTOR</v>
          </cell>
          <cell r="F79" t="str">
            <v xml:space="preserve"> 5-10 years</v>
          </cell>
          <cell r="G79">
            <v>10.009582477754901</v>
          </cell>
          <cell r="H79">
            <v>250</v>
          </cell>
          <cell r="I79">
            <v>0.80455240635467329</v>
          </cell>
          <cell r="J79">
            <v>0.91893830703012913</v>
          </cell>
          <cell r="L79">
            <v>2.3395933263816402</v>
          </cell>
        </row>
        <row r="80">
          <cell r="A80" t="str">
            <v>CHHABRA TPS3</v>
          </cell>
          <cell r="B80" t="str">
            <v>CHHABRA TPS</v>
          </cell>
          <cell r="C80" t="str">
            <v>CHHABRA TPS UNIT 1-4</v>
          </cell>
          <cell r="D80" t="str">
            <v>Rajasthan</v>
          </cell>
          <cell r="E80" t="str">
            <v>STATE SECTOR</v>
          </cell>
          <cell r="F80" t="str">
            <v xml:space="preserve"> 5-10 years</v>
          </cell>
          <cell r="G80">
            <v>6.6721423682409302</v>
          </cell>
          <cell r="H80">
            <v>250</v>
          </cell>
          <cell r="I80">
            <v>0.72873790605935662</v>
          </cell>
          <cell r="J80">
            <v>0.90887629839471196</v>
          </cell>
          <cell r="L80">
            <v>2.3395933263816402</v>
          </cell>
        </row>
        <row r="81">
          <cell r="A81" t="str">
            <v>CHHABRA TPS4</v>
          </cell>
          <cell r="B81" t="str">
            <v>CHHABRA TPS</v>
          </cell>
          <cell r="C81" t="str">
            <v>CHHABRA TPS UNIT 1-4</v>
          </cell>
          <cell r="D81" t="str">
            <v>Rajasthan</v>
          </cell>
          <cell r="E81" t="str">
            <v>STATE SECTOR</v>
          </cell>
          <cell r="F81" t="str">
            <v xml:space="preserve"> 5-10 years</v>
          </cell>
          <cell r="G81">
            <v>5.9247091033538597</v>
          </cell>
          <cell r="H81">
            <v>250</v>
          </cell>
          <cell r="I81">
            <v>0.8200820217833199</v>
          </cell>
          <cell r="J81">
            <v>0.90887629839471196</v>
          </cell>
          <cell r="L81">
            <v>2.3395933263816402</v>
          </cell>
        </row>
        <row r="82">
          <cell r="A82" t="str">
            <v>CHHABRA TPS5</v>
          </cell>
          <cell r="B82" t="str">
            <v>CHHABRA TPS</v>
          </cell>
          <cell r="C82" t="str">
            <v>CHHABRA TPS UNIT 5</v>
          </cell>
          <cell r="D82" t="str">
            <v>Rajasthan</v>
          </cell>
          <cell r="E82" t="str">
            <v>STATE SECTOR</v>
          </cell>
          <cell r="F82" t="str">
            <v xml:space="preserve"> 0-5 years</v>
          </cell>
          <cell r="G82">
            <v>3.0910335386721401</v>
          </cell>
          <cell r="H82">
            <v>660</v>
          </cell>
          <cell r="I82">
            <v>0.44531428898248482</v>
          </cell>
          <cell r="J82">
            <v>0.91324300699300698</v>
          </cell>
          <cell r="L82">
            <v>2.1333236151603598</v>
          </cell>
        </row>
        <row r="83">
          <cell r="A83" t="str">
            <v>CHHABRA TPS6</v>
          </cell>
          <cell r="B83" t="str">
            <v>CHHABRA TPS</v>
          </cell>
          <cell r="C83" t="str">
            <v>CHHABRA TPS UNIT 6</v>
          </cell>
          <cell r="D83" t="str">
            <v>Rajasthan</v>
          </cell>
          <cell r="E83" t="str">
            <v>STATE SECTOR</v>
          </cell>
          <cell r="F83" t="str">
            <v xml:space="preserve"> 0-5 years</v>
          </cell>
          <cell r="G83">
            <v>1.06776180698151</v>
          </cell>
          <cell r="H83">
            <v>660</v>
          </cell>
          <cell r="I83">
            <v>0.61117356055292105</v>
          </cell>
          <cell r="J83">
            <v>0.91324300699300698</v>
          </cell>
          <cell r="L83">
            <v>2.1394704049844102</v>
          </cell>
        </row>
        <row r="84">
          <cell r="A84" t="str">
            <v>D.P.L. TPS7</v>
          </cell>
          <cell r="B84" t="str">
            <v>D.P.L. TPS</v>
          </cell>
          <cell r="C84">
            <v>0</v>
          </cell>
          <cell r="D84" t="str">
            <v>West Bengal</v>
          </cell>
          <cell r="E84" t="str">
            <v>STATE SECTOR</v>
          </cell>
          <cell r="F84" t="str">
            <v xml:space="preserve"> 10-15 years</v>
          </cell>
          <cell r="G84">
            <v>12.4435318275154</v>
          </cell>
          <cell r="H84">
            <v>300</v>
          </cell>
          <cell r="I84">
            <v>0.4035943447599028</v>
          </cell>
          <cell r="J84"/>
          <cell r="K84">
            <v>0.12054583600181658</v>
          </cell>
          <cell r="L84"/>
        </row>
        <row r="85">
          <cell r="A85" t="str">
            <v>D.P.L. TPS8</v>
          </cell>
          <cell r="B85" t="str">
            <v>D.P.L. TPS</v>
          </cell>
          <cell r="C85">
            <v>0</v>
          </cell>
          <cell r="D85" t="str">
            <v>West Bengal</v>
          </cell>
          <cell r="E85" t="str">
            <v>STATE SECTOR</v>
          </cell>
          <cell r="F85" t="str">
            <v xml:space="preserve"> 5-10 years</v>
          </cell>
          <cell r="G85">
            <v>6.1765913757700197</v>
          </cell>
          <cell r="H85">
            <v>250</v>
          </cell>
          <cell r="I85">
            <v>0.56067329048547332</v>
          </cell>
          <cell r="J85"/>
          <cell r="K85">
            <v>0.12054583600181658</v>
          </cell>
          <cell r="L85"/>
        </row>
        <row r="86">
          <cell r="A86" t="str">
            <v>DADRI (NCTPP)1</v>
          </cell>
          <cell r="B86" t="str">
            <v>DADRI (NCTPP)</v>
          </cell>
          <cell r="C86" t="str">
            <v>DADRI (NCTPP) UNIT 1-4</v>
          </cell>
          <cell r="D86" t="str">
            <v>Uttar Pardesh</v>
          </cell>
          <cell r="E86" t="str">
            <v>CENTRAL SECTOR</v>
          </cell>
          <cell r="F86" t="str">
            <v xml:space="preserve"> 25-30 years</v>
          </cell>
          <cell r="G86">
            <v>28.4243668720054</v>
          </cell>
          <cell r="H86">
            <v>210</v>
          </cell>
          <cell r="I86">
            <v>0.48011283288085521</v>
          </cell>
          <cell r="J86"/>
          <cell r="K86">
            <v>6.6665772632952203E-2</v>
          </cell>
          <cell r="L86">
            <v>3.74965388589795</v>
          </cell>
        </row>
        <row r="87">
          <cell r="A87" t="str">
            <v>DADRI (NCTPP)2</v>
          </cell>
          <cell r="B87" t="str">
            <v>DADRI (NCTPP)</v>
          </cell>
          <cell r="C87" t="str">
            <v>DADRI (NCTPP) UNIT 1-4</v>
          </cell>
          <cell r="D87" t="str">
            <v>Uttar Pardesh</v>
          </cell>
          <cell r="E87" t="str">
            <v>CENTRAL SECTOR</v>
          </cell>
          <cell r="F87" t="str">
            <v xml:space="preserve"> 25-30 years</v>
          </cell>
          <cell r="G87">
            <v>27.422313483915101</v>
          </cell>
          <cell r="H87">
            <v>210</v>
          </cell>
          <cell r="I87">
            <v>0.44513134309670638</v>
          </cell>
          <cell r="J87"/>
          <cell r="K87">
            <v>6.6665772632952203E-2</v>
          </cell>
          <cell r="L87">
            <v>3.74965388589795</v>
          </cell>
        </row>
        <row r="88">
          <cell r="A88" t="str">
            <v>DADRI (NCTPP)3</v>
          </cell>
          <cell r="B88" t="str">
            <v>DADRI (NCTPP)</v>
          </cell>
          <cell r="C88" t="str">
            <v>DADRI (NCTPP) UNIT 1-4</v>
          </cell>
          <cell r="D88" t="str">
            <v>Uttar Pardesh</v>
          </cell>
          <cell r="E88" t="str">
            <v>CENTRAL SECTOR</v>
          </cell>
          <cell r="F88" t="str">
            <v xml:space="preserve"> 25-30 years</v>
          </cell>
          <cell r="G88">
            <v>27.175906913073199</v>
          </cell>
          <cell r="H88">
            <v>210</v>
          </cell>
          <cell r="I88">
            <v>0.51648347569777986</v>
          </cell>
          <cell r="J88"/>
          <cell r="K88">
            <v>6.6665772632952203E-2</v>
          </cell>
          <cell r="L88">
            <v>3.74965388589795</v>
          </cell>
        </row>
        <row r="89">
          <cell r="A89" t="str">
            <v>DADRI (NCTPP)4</v>
          </cell>
          <cell r="B89" t="str">
            <v>DADRI (NCTPP)</v>
          </cell>
          <cell r="C89" t="str">
            <v>DADRI (NCTPP) UNIT 1-4</v>
          </cell>
          <cell r="D89" t="str">
            <v>Uttar Pardesh</v>
          </cell>
          <cell r="E89" t="str">
            <v>CENTRAL SECTOR</v>
          </cell>
          <cell r="F89" t="str">
            <v xml:space="preserve"> 25-30 years</v>
          </cell>
          <cell r="G89">
            <v>26.176591375769998</v>
          </cell>
          <cell r="H89">
            <v>210</v>
          </cell>
          <cell r="I89">
            <v>0.56937993435679568</v>
          </cell>
          <cell r="J89"/>
          <cell r="K89">
            <v>6.6665772632952203E-2</v>
          </cell>
          <cell r="L89">
            <v>3.74965388589795</v>
          </cell>
        </row>
        <row r="90">
          <cell r="A90" t="str">
            <v>DADRI (NCTPP)5</v>
          </cell>
          <cell r="B90" t="str">
            <v>DADRI (NCTPP)</v>
          </cell>
          <cell r="C90" t="str">
            <v>DADRI (NCTPP) UNIT 5-6</v>
          </cell>
          <cell r="D90" t="str">
            <v>Uttar Pardesh</v>
          </cell>
          <cell r="E90" t="str">
            <v>CENTRAL SECTOR</v>
          </cell>
          <cell r="F90" t="str">
            <v xml:space="preserve"> 10-15 years</v>
          </cell>
          <cell r="G90">
            <v>10.3381245722108</v>
          </cell>
          <cell r="H90">
            <v>490</v>
          </cell>
          <cell r="I90">
            <v>0.65189019166305606</v>
          </cell>
          <cell r="J90"/>
          <cell r="K90">
            <v>6.6665772632952203E-2</v>
          </cell>
          <cell r="L90">
            <v>3.4837512968941802</v>
          </cell>
        </row>
        <row r="91">
          <cell r="A91" t="str">
            <v>DADRI (NCTPP)6</v>
          </cell>
          <cell r="B91" t="str">
            <v>DADRI (NCTPP)</v>
          </cell>
          <cell r="C91" t="str">
            <v>DADRI (NCTPP) UNIT 5-6</v>
          </cell>
          <cell r="D91" t="str">
            <v>Uttar Pardesh</v>
          </cell>
          <cell r="E91" t="str">
            <v>CENTRAL SECTOR</v>
          </cell>
          <cell r="F91" t="str">
            <v xml:space="preserve"> 5-10 years</v>
          </cell>
          <cell r="G91">
            <v>9.8425735797399003</v>
          </cell>
          <cell r="H91">
            <v>490</v>
          </cell>
          <cell r="I91">
            <v>0.58915024241150082</v>
          </cell>
          <cell r="J91"/>
          <cell r="K91">
            <v>6.6665772632952203E-2</v>
          </cell>
          <cell r="L91">
            <v>3.4837512968941802</v>
          </cell>
        </row>
        <row r="92">
          <cell r="A92" t="str">
            <v>DAHANU TPS1</v>
          </cell>
          <cell r="B92" t="str">
            <v>DAHANU TPS</v>
          </cell>
          <cell r="C92" t="str">
            <v>DAHANU TPS</v>
          </cell>
          <cell r="D92" t="str">
            <v>Maharashtra</v>
          </cell>
          <cell r="E92" t="str">
            <v>PVT SECTOR</v>
          </cell>
          <cell r="F92" t="str">
            <v xml:space="preserve"> 25-30 years</v>
          </cell>
          <cell r="G92">
            <v>25.338809034907499</v>
          </cell>
          <cell r="H92">
            <v>250</v>
          </cell>
          <cell r="I92">
            <v>0.79768339834839497</v>
          </cell>
          <cell r="J92">
            <v>1.238956342030483</v>
          </cell>
          <cell r="K92">
            <v>9.2649498418971077E-2</v>
          </cell>
          <cell r="L92">
            <v>3.3866153846153799</v>
          </cell>
        </row>
        <row r="93">
          <cell r="A93" t="str">
            <v>DAHANU TPS2</v>
          </cell>
          <cell r="B93" t="str">
            <v>DAHANU TPS</v>
          </cell>
          <cell r="C93" t="str">
            <v>DAHANU TPS</v>
          </cell>
          <cell r="D93" t="str">
            <v>Maharashtra</v>
          </cell>
          <cell r="E93" t="str">
            <v>PVT SECTOR</v>
          </cell>
          <cell r="F93" t="str">
            <v xml:space="preserve"> 25-30 years</v>
          </cell>
          <cell r="G93">
            <v>25.177275838466802</v>
          </cell>
          <cell r="H93">
            <v>250</v>
          </cell>
          <cell r="I93">
            <v>0.75418125780650502</v>
          </cell>
          <cell r="J93">
            <v>1.238956342030483</v>
          </cell>
          <cell r="K93">
            <v>9.2649498418971077E-2</v>
          </cell>
          <cell r="L93">
            <v>3.3866153846153799</v>
          </cell>
        </row>
        <row r="94">
          <cell r="A94" t="str">
            <v>DAMODARAN SANJEEVAIAH TPS1</v>
          </cell>
          <cell r="B94" t="str">
            <v>DAMODARAN SANJEEVAIAH TPS</v>
          </cell>
          <cell r="C94" t="str">
            <v>DAMODARAN SANJEEVAIAH TPS</v>
          </cell>
          <cell r="D94" t="str">
            <v>Andhra Pradesh</v>
          </cell>
          <cell r="E94" t="str">
            <v>STATE SECTOR</v>
          </cell>
          <cell r="F94" t="str">
            <v xml:space="preserve"> 5-10 years</v>
          </cell>
          <cell r="G94">
            <v>5.7577002053388</v>
          </cell>
          <cell r="H94">
            <v>800</v>
          </cell>
          <cell r="I94">
            <v>0.44318361513290311</v>
          </cell>
          <cell r="J94"/>
          <cell r="K94">
            <v>7.43080715713893E-2</v>
          </cell>
          <cell r="L94">
            <v>3.1773464912280698</v>
          </cell>
        </row>
        <row r="95">
          <cell r="A95" t="str">
            <v>DAMODARAN SANJEEVAIAH TPS2</v>
          </cell>
          <cell r="B95" t="str">
            <v>DAMODARAN SANJEEVAIAH TPS</v>
          </cell>
          <cell r="C95" t="str">
            <v>DAMODARAN SANJEEVAIAH TPS</v>
          </cell>
          <cell r="D95" t="str">
            <v>Andhra Pradesh</v>
          </cell>
          <cell r="E95" t="str">
            <v>STATE SECTOR</v>
          </cell>
          <cell r="F95" t="str">
            <v xml:space="preserve"> 5-10 years</v>
          </cell>
          <cell r="G95">
            <v>5.1772758384667998</v>
          </cell>
          <cell r="H95">
            <v>800</v>
          </cell>
          <cell r="I95">
            <v>0.48038168563366457</v>
          </cell>
          <cell r="J95"/>
          <cell r="K95">
            <v>7.43080715713893E-2</v>
          </cell>
          <cell r="L95">
            <v>3.1773464912280698</v>
          </cell>
        </row>
        <row r="96">
          <cell r="A96" t="str">
            <v>DARLIPALI STPS1</v>
          </cell>
          <cell r="B96" t="str">
            <v>DARLIPALI STPS</v>
          </cell>
          <cell r="C96" t="str">
            <v>DARLIPALI STPS</v>
          </cell>
          <cell r="D96" t="str">
            <v>Odisha</v>
          </cell>
          <cell r="E96" t="str">
            <v>CENTRAL SECTOR</v>
          </cell>
          <cell r="F96" t="str">
            <v xml:space="preserve"> 0-5 years</v>
          </cell>
          <cell r="G96">
            <v>0.34223134839151198</v>
          </cell>
          <cell r="H96">
            <v>800</v>
          </cell>
          <cell r="I96">
            <v>5.8579749103942194E-3</v>
          </cell>
          <cell r="J96"/>
          <cell r="L96"/>
        </row>
        <row r="97">
          <cell r="A97" t="str">
            <v>DERANG TPP1</v>
          </cell>
          <cell r="B97" t="str">
            <v>DERANG TPP</v>
          </cell>
          <cell r="C97" t="str">
            <v>DERANG TPP</v>
          </cell>
          <cell r="D97" t="str">
            <v>Odisha</v>
          </cell>
          <cell r="E97" t="str">
            <v>PVT SECTOR</v>
          </cell>
          <cell r="F97" t="str">
            <v xml:space="preserve"> 5-10 years</v>
          </cell>
          <cell r="G97">
            <v>6.0917180013689203</v>
          </cell>
          <cell r="H97">
            <v>600</v>
          </cell>
          <cell r="I97">
            <v>0.48737016383197568</v>
          </cell>
          <cell r="J97"/>
          <cell r="K97">
            <v>5.9866711601157967E-2</v>
          </cell>
          <cell r="L97">
            <v>0.995304347826095</v>
          </cell>
        </row>
        <row r="98">
          <cell r="A98" t="str">
            <v>DERANG TPP2</v>
          </cell>
          <cell r="B98" t="str">
            <v>DERANG TPP</v>
          </cell>
          <cell r="C98" t="str">
            <v>DERANG TPP</v>
          </cell>
          <cell r="D98" t="str">
            <v>Odisha</v>
          </cell>
          <cell r="E98" t="str">
            <v>PVT SECTOR</v>
          </cell>
          <cell r="F98" t="str">
            <v xml:space="preserve"> 5-10 years</v>
          </cell>
          <cell r="G98">
            <v>5.3388090349075901</v>
          </cell>
          <cell r="H98">
            <v>600</v>
          </cell>
          <cell r="I98">
            <v>0.34875205036659584</v>
          </cell>
          <cell r="J98"/>
          <cell r="K98">
            <v>5.9866711601157967E-2</v>
          </cell>
          <cell r="L98">
            <v>0.995304347826095</v>
          </cell>
        </row>
        <row r="99">
          <cell r="A99" t="str">
            <v>DHARIWAL TPS1</v>
          </cell>
          <cell r="B99" t="str">
            <v>DHARIWAL TPS</v>
          </cell>
          <cell r="C99" t="str">
            <v>DHARIWAL TPS</v>
          </cell>
          <cell r="D99" t="str">
            <v>Maharashtra</v>
          </cell>
          <cell r="E99" t="str">
            <v>PVT SECTOR</v>
          </cell>
          <cell r="F99" t="str">
            <v xml:space="preserve"> 5-10 years</v>
          </cell>
          <cell r="G99">
            <v>6.5051334702258696</v>
          </cell>
          <cell r="H99">
            <v>300</v>
          </cell>
          <cell r="I99">
            <v>0.35417789495961804</v>
          </cell>
          <cell r="J99"/>
          <cell r="K99">
            <v>8.4082972715828666E-2</v>
          </cell>
          <cell r="L99">
            <v>1.9895573317595701</v>
          </cell>
        </row>
        <row r="100">
          <cell r="A100" t="str">
            <v>DHARIWAL TPS2</v>
          </cell>
          <cell r="B100" t="str">
            <v>DHARIWAL TPS</v>
          </cell>
          <cell r="C100" t="str">
            <v>DHARIWAL TPS</v>
          </cell>
          <cell r="D100" t="str">
            <v>Maharashtra</v>
          </cell>
          <cell r="E100" t="str">
            <v>PVT SECTOR</v>
          </cell>
          <cell r="F100" t="str">
            <v xml:space="preserve"> 5-10 years</v>
          </cell>
          <cell r="G100">
            <v>6.00958247775496</v>
          </cell>
          <cell r="H100">
            <v>300</v>
          </cell>
          <cell r="I100">
            <v>0.79029549950818612</v>
          </cell>
          <cell r="J100"/>
          <cell r="K100">
            <v>8.4082972715828666E-2</v>
          </cell>
          <cell r="L100">
            <v>1.9895573317595701</v>
          </cell>
        </row>
        <row r="101">
          <cell r="A101" t="str">
            <v>DR. N TATA RAO TPS1</v>
          </cell>
          <cell r="B101" t="str">
            <v>DR. N TATA RAO TPS</v>
          </cell>
          <cell r="C101" t="str">
            <v>DR. N TATA RAO TPS UNIT 1-6</v>
          </cell>
          <cell r="D101" t="str">
            <v>Andhra Pradesh</v>
          </cell>
          <cell r="E101" t="str">
            <v>STATE SECTOR</v>
          </cell>
          <cell r="F101" t="str">
            <v xml:space="preserve"> 40-45 years</v>
          </cell>
          <cell r="G101">
            <v>40.5065023956194</v>
          </cell>
          <cell r="H101">
            <v>210</v>
          </cell>
          <cell r="I101">
            <v>0.55964352153129959</v>
          </cell>
          <cell r="J101">
            <v>1.0087719298245614</v>
          </cell>
          <cell r="K101">
            <v>8.8971276393347468E-2</v>
          </cell>
          <cell r="L101">
            <v>3.0966922234391698</v>
          </cell>
        </row>
        <row r="102">
          <cell r="A102" t="str">
            <v>DR. N TATA RAO TPS2</v>
          </cell>
          <cell r="B102" t="str">
            <v>DR. N TATA RAO TPS</v>
          </cell>
          <cell r="C102" t="str">
            <v>DR. N TATA RAO TPS UNIT 1-6</v>
          </cell>
          <cell r="D102" t="str">
            <v>Andhra Pradesh</v>
          </cell>
          <cell r="E102" t="str">
            <v>STATE SECTOR</v>
          </cell>
          <cell r="F102" t="str">
            <v xml:space="preserve"> 35-40 years</v>
          </cell>
          <cell r="G102">
            <v>39.564681724845997</v>
          </cell>
          <cell r="H102">
            <v>210</v>
          </cell>
          <cell r="I102">
            <v>0.62997986127163697</v>
          </cell>
          <cell r="J102">
            <v>1.0087719298245614</v>
          </cell>
          <cell r="K102">
            <v>8.8971276393347468E-2</v>
          </cell>
          <cell r="L102">
            <v>3.0966922234391698</v>
          </cell>
        </row>
        <row r="103">
          <cell r="A103" t="str">
            <v>DR. N TATA RAO TPS3</v>
          </cell>
          <cell r="B103" t="str">
            <v>DR. N TATA RAO TPS</v>
          </cell>
          <cell r="C103" t="str">
            <v>DR. N TATA RAO TPS UNIT 1-6</v>
          </cell>
          <cell r="D103" t="str">
            <v>Andhra Pradesh</v>
          </cell>
          <cell r="E103" t="str">
            <v>STATE SECTOR</v>
          </cell>
          <cell r="F103" t="str">
            <v xml:space="preserve"> 30-35 years</v>
          </cell>
          <cell r="G103">
            <v>30.579055441478399</v>
          </cell>
          <cell r="H103">
            <v>210</v>
          </cell>
          <cell r="I103">
            <v>0.7477616790604068</v>
          </cell>
          <cell r="J103">
            <v>1.0087719298245614</v>
          </cell>
          <cell r="K103">
            <v>8.8971276393347468E-2</v>
          </cell>
          <cell r="L103">
            <v>3.0966922234391698</v>
          </cell>
        </row>
        <row r="104">
          <cell r="A104" t="str">
            <v>DR. N TATA RAO TPS4</v>
          </cell>
          <cell r="B104" t="str">
            <v>DR. N TATA RAO TPS</v>
          </cell>
          <cell r="C104" t="str">
            <v>DR. N TATA RAO TPS UNIT 1-6</v>
          </cell>
          <cell r="D104" t="str">
            <v>Andhra Pradesh</v>
          </cell>
          <cell r="E104" t="str">
            <v>STATE SECTOR</v>
          </cell>
          <cell r="F104" t="str">
            <v xml:space="preserve"> 25-30 years</v>
          </cell>
          <cell r="G104">
            <v>29.6974674880219</v>
          </cell>
          <cell r="H104">
            <v>210</v>
          </cell>
          <cell r="I104">
            <v>0.7781354064124445</v>
          </cell>
          <cell r="J104">
            <v>1.0087719298245614</v>
          </cell>
          <cell r="K104">
            <v>8.8971276393347468E-2</v>
          </cell>
          <cell r="L104">
            <v>3.0966922234391698</v>
          </cell>
        </row>
        <row r="105">
          <cell r="A105" t="str">
            <v>DR. N TATA RAO TPS5</v>
          </cell>
          <cell r="B105" t="str">
            <v>DR. N TATA RAO TPS</v>
          </cell>
          <cell r="C105" t="str">
            <v>DR. N TATA RAO TPS UNIT 1-6</v>
          </cell>
          <cell r="D105" t="str">
            <v>Andhra Pradesh</v>
          </cell>
          <cell r="E105" t="str">
            <v>STATE SECTOR</v>
          </cell>
          <cell r="F105" t="str">
            <v xml:space="preserve"> 25-30 years</v>
          </cell>
          <cell r="G105">
            <v>26.094455852155999</v>
          </cell>
          <cell r="H105">
            <v>210</v>
          </cell>
          <cell r="I105">
            <v>0.77274121451818845</v>
          </cell>
          <cell r="J105">
            <v>1.0087719298245614</v>
          </cell>
          <cell r="K105">
            <v>8.8971276393347468E-2</v>
          </cell>
          <cell r="L105">
            <v>3.0966922234391698</v>
          </cell>
        </row>
        <row r="106">
          <cell r="A106" t="str">
            <v>DR. N TATA RAO TPS6</v>
          </cell>
          <cell r="B106" t="str">
            <v>DR. N TATA RAO TPS</v>
          </cell>
          <cell r="C106" t="str">
            <v>DR. N TATA RAO TPS UNIT 1-6</v>
          </cell>
          <cell r="D106" t="str">
            <v>Andhra Pradesh</v>
          </cell>
          <cell r="E106" t="str">
            <v>STATE SECTOR</v>
          </cell>
          <cell r="F106" t="str">
            <v xml:space="preserve"> 25-30 years</v>
          </cell>
          <cell r="G106">
            <v>25.190965092402401</v>
          </cell>
          <cell r="H106">
            <v>210</v>
          </cell>
          <cell r="I106">
            <v>0.75920497999535319</v>
          </cell>
          <cell r="J106">
            <v>1.0087719298245614</v>
          </cell>
          <cell r="K106">
            <v>8.8971276393347468E-2</v>
          </cell>
          <cell r="L106">
            <v>3.0966922234391698</v>
          </cell>
        </row>
        <row r="107">
          <cell r="A107" t="str">
            <v>DR. N TATA RAO TPS7</v>
          </cell>
          <cell r="B107" t="str">
            <v>DR. N TATA RAO TPS</v>
          </cell>
          <cell r="C107" t="str">
            <v>DR. N TATA RAO TPS UNIT 7</v>
          </cell>
          <cell r="D107" t="str">
            <v>Andhra Pradesh</v>
          </cell>
          <cell r="E107" t="str">
            <v>STATE SECTOR</v>
          </cell>
          <cell r="F107" t="str">
            <v xml:space="preserve"> 10-15 years</v>
          </cell>
          <cell r="G107">
            <v>10.590006844626901</v>
          </cell>
          <cell r="H107">
            <v>500</v>
          </cell>
          <cell r="I107">
            <v>0.71974602683359246</v>
          </cell>
          <cell r="J107">
            <v>1.0084925690021231</v>
          </cell>
          <cell r="K107">
            <v>8.8971276393347468E-2</v>
          </cell>
          <cell r="L107">
            <v>2.77143640350877</v>
          </cell>
        </row>
        <row r="108">
          <cell r="A108" t="str">
            <v>DSPM TPS1</v>
          </cell>
          <cell r="B108" t="str">
            <v>DSPM TPS</v>
          </cell>
          <cell r="C108" t="str">
            <v>DSPM TPS</v>
          </cell>
          <cell r="D108" t="str">
            <v>Chhatisgarh</v>
          </cell>
          <cell r="E108" t="str">
            <v>STATE SECTOR</v>
          </cell>
          <cell r="F108" t="str">
            <v xml:space="preserve"> 10-15 years</v>
          </cell>
          <cell r="G108">
            <v>13.1772758384668</v>
          </cell>
          <cell r="H108">
            <v>250</v>
          </cell>
          <cell r="I108">
            <v>0.87849132816592157</v>
          </cell>
          <cell r="J108">
            <v>0.50777604976671853</v>
          </cell>
          <cell r="L108">
            <v>1.4870285087719299</v>
          </cell>
        </row>
        <row r="109">
          <cell r="A109" t="str">
            <v>DSPM TPS2</v>
          </cell>
          <cell r="B109" t="str">
            <v>DSPM TPS</v>
          </cell>
          <cell r="C109" t="str">
            <v>DSPM TPS</v>
          </cell>
          <cell r="D109" t="str">
            <v>Chhatisgarh</v>
          </cell>
          <cell r="E109" t="str">
            <v>STATE SECTOR</v>
          </cell>
          <cell r="F109" t="str">
            <v xml:space="preserve"> 10-15 years</v>
          </cell>
          <cell r="G109">
            <v>12.4243668720054</v>
          </cell>
          <cell r="H109">
            <v>250</v>
          </cell>
          <cell r="I109">
            <v>0.89956542175021004</v>
          </cell>
          <cell r="J109">
            <v>0.50777604976671853</v>
          </cell>
          <cell r="L109">
            <v>1.4870285087719299</v>
          </cell>
        </row>
        <row r="110">
          <cell r="A110" t="str">
            <v>DURGAPUR STEEL TPS1</v>
          </cell>
          <cell r="B110" t="str">
            <v>DURGAPUR STEEL TPS</v>
          </cell>
          <cell r="C110" t="str">
            <v>DURGAPUR STEEL TPS</v>
          </cell>
          <cell r="D110" t="str">
            <v>West Bengal</v>
          </cell>
          <cell r="E110" t="str">
            <v>CENTRAL SECTOR</v>
          </cell>
          <cell r="F110" t="str">
            <v xml:space="preserve"> 5-10 years</v>
          </cell>
          <cell r="G110">
            <v>8.8432580424366805</v>
          </cell>
          <cell r="H110">
            <v>500</v>
          </cell>
          <cell r="I110">
            <v>0.69768015366868497</v>
          </cell>
          <cell r="J110">
            <v>0.70896983940462199</v>
          </cell>
          <cell r="K110">
            <v>5.4428108538354968E-2</v>
          </cell>
          <cell r="L110">
            <v>2.17</v>
          </cell>
        </row>
        <row r="111">
          <cell r="A111" t="str">
            <v>DURGAPUR STEEL TPS2</v>
          </cell>
          <cell r="B111" t="str">
            <v>DURGAPUR STEEL TPS</v>
          </cell>
          <cell r="C111" t="str">
            <v>DURGAPUR STEEL TPS</v>
          </cell>
          <cell r="D111" t="str">
            <v>West Bengal</v>
          </cell>
          <cell r="E111" t="str">
            <v>CENTRAL SECTOR</v>
          </cell>
          <cell r="F111" t="str">
            <v xml:space="preserve"> 5-10 years</v>
          </cell>
          <cell r="G111">
            <v>8.1752224503764506</v>
          </cell>
          <cell r="H111">
            <v>500</v>
          </cell>
          <cell r="I111">
            <v>0.76825189709612673</v>
          </cell>
          <cell r="J111">
            <v>0.70896983940462199</v>
          </cell>
          <cell r="K111">
            <v>5.4428108538354968E-2</v>
          </cell>
          <cell r="L111">
            <v>2.17</v>
          </cell>
        </row>
        <row r="112">
          <cell r="A112" t="str">
            <v>DURGAPUR TPS4</v>
          </cell>
          <cell r="B112" t="str">
            <v>DURGAPUR TPS</v>
          </cell>
          <cell r="C112" t="str">
            <v>DURGAPUR TPS</v>
          </cell>
          <cell r="D112" t="str">
            <v>West Bengal</v>
          </cell>
          <cell r="E112" t="str">
            <v>CENTRAL SECTOR</v>
          </cell>
          <cell r="F112" t="str">
            <v xml:space="preserve"> 35-40 years</v>
          </cell>
          <cell r="G112">
            <v>37.672826830937701</v>
          </cell>
          <cell r="H112">
            <v>220</v>
          </cell>
          <cell r="I112">
            <v>0.41161877742411557</v>
          </cell>
          <cell r="J112"/>
          <cell r="K112">
            <v>0.12433386465223378</v>
          </cell>
          <cell r="L112">
            <v>2.68880829015544</v>
          </cell>
        </row>
        <row r="113">
          <cell r="A113" t="str">
            <v>FARAKKA STPS1</v>
          </cell>
          <cell r="B113" t="str">
            <v>FARAKKA STPS</v>
          </cell>
          <cell r="C113" t="str">
            <v>FARAKKA STPS UNIT 1-5</v>
          </cell>
          <cell r="D113" t="str">
            <v>West Bengal</v>
          </cell>
          <cell r="E113" t="str">
            <v>CENTRAL SECTOR</v>
          </cell>
          <cell r="F113" t="str">
            <v xml:space="preserve"> 30-35 years</v>
          </cell>
          <cell r="G113">
            <v>34.338124572210802</v>
          </cell>
          <cell r="H113">
            <v>200</v>
          </cell>
          <cell r="I113">
            <v>0.7796218505926521</v>
          </cell>
          <cell r="J113">
            <v>0.77032640949554898</v>
          </cell>
          <cell r="K113">
            <v>7.0380830688675913E-2</v>
          </cell>
          <cell r="L113">
            <v>2.5607556530671198</v>
          </cell>
        </row>
        <row r="114">
          <cell r="A114" t="str">
            <v>FARAKKA STPS2</v>
          </cell>
          <cell r="B114" t="str">
            <v>FARAKKA STPS</v>
          </cell>
          <cell r="C114" t="str">
            <v>FARAKKA STPS UNIT 1-5</v>
          </cell>
          <cell r="D114" t="str">
            <v>West Bengal</v>
          </cell>
          <cell r="E114" t="str">
            <v>CENTRAL SECTOR</v>
          </cell>
          <cell r="F114" t="str">
            <v xml:space="preserve"> 30-35 years</v>
          </cell>
          <cell r="G114">
            <v>33.423682409308597</v>
          </cell>
          <cell r="H114">
            <v>200</v>
          </cell>
          <cell r="I114">
            <v>0.79441215106732288</v>
          </cell>
          <cell r="J114">
            <v>0.77032640949554898</v>
          </cell>
          <cell r="K114">
            <v>7.0380830688675913E-2</v>
          </cell>
          <cell r="L114">
            <v>2.5607556530671198</v>
          </cell>
        </row>
        <row r="115">
          <cell r="A115" t="str">
            <v>FARAKKA STPS3</v>
          </cell>
          <cell r="B115" t="str">
            <v>FARAKKA STPS</v>
          </cell>
          <cell r="C115" t="str">
            <v>FARAKKA STPS UNIT 1-5</v>
          </cell>
          <cell r="D115" t="str">
            <v>West Bengal</v>
          </cell>
          <cell r="E115" t="str">
            <v>CENTRAL SECTOR</v>
          </cell>
          <cell r="F115" t="str">
            <v xml:space="preserve"> 30-35 years</v>
          </cell>
          <cell r="G115">
            <v>32.758384668035497</v>
          </cell>
          <cell r="H115">
            <v>200</v>
          </cell>
          <cell r="I115">
            <v>0.76360324394094581</v>
          </cell>
          <cell r="J115">
            <v>0.77032640949554898</v>
          </cell>
          <cell r="K115">
            <v>7.0380830688675913E-2</v>
          </cell>
          <cell r="L115">
            <v>2.5607556530671198</v>
          </cell>
        </row>
        <row r="116">
          <cell r="A116" t="str">
            <v>FARAKKA STPS4</v>
          </cell>
          <cell r="B116" t="str">
            <v>FARAKKA STPS</v>
          </cell>
          <cell r="C116" t="str">
            <v>FARAKKA STPS UNIT 1-5</v>
          </cell>
          <cell r="D116" t="str">
            <v>West Bengal</v>
          </cell>
          <cell r="E116" t="str">
            <v>CENTRAL SECTOR</v>
          </cell>
          <cell r="F116" t="str">
            <v xml:space="preserve"> 25-30 years</v>
          </cell>
          <cell r="G116">
            <v>27.671457905544099</v>
          </cell>
          <cell r="H116">
            <v>500</v>
          </cell>
          <cell r="I116">
            <v>0.75767318721271659</v>
          </cell>
          <cell r="J116">
            <v>0.77032640949554898</v>
          </cell>
          <cell r="K116">
            <v>7.0380830688675913E-2</v>
          </cell>
          <cell r="L116">
            <v>2.5607556530671198</v>
          </cell>
        </row>
        <row r="117">
          <cell r="A117" t="str">
            <v>FARAKKA STPS5</v>
          </cell>
          <cell r="B117" t="str">
            <v>FARAKKA STPS</v>
          </cell>
          <cell r="C117" t="str">
            <v>FARAKKA STPS UNIT 1-5</v>
          </cell>
          <cell r="D117" t="str">
            <v>West Bengal</v>
          </cell>
          <cell r="E117" t="str">
            <v>CENTRAL SECTOR</v>
          </cell>
          <cell r="F117" t="str">
            <v xml:space="preserve"> 25-30 years</v>
          </cell>
          <cell r="G117">
            <v>26.2532511978097</v>
          </cell>
          <cell r="H117">
            <v>500</v>
          </cell>
          <cell r="I117">
            <v>0.78086559034574843</v>
          </cell>
          <cell r="J117">
            <v>0.77032640949554898</v>
          </cell>
          <cell r="K117">
            <v>7.0380830688675913E-2</v>
          </cell>
          <cell r="L117">
            <v>2.5607556530671198</v>
          </cell>
        </row>
        <row r="118">
          <cell r="A118" t="str">
            <v>FARAKKA STPS6</v>
          </cell>
          <cell r="B118" t="str">
            <v>FARAKKA STPS</v>
          </cell>
          <cell r="C118" t="str">
            <v>FARAKKA STPS UNIT 6</v>
          </cell>
          <cell r="D118" t="str">
            <v>West Bengal</v>
          </cell>
          <cell r="E118" t="str">
            <v>CENTRAL SECTOR</v>
          </cell>
          <cell r="F118" t="str">
            <v xml:space="preserve"> 5-10 years</v>
          </cell>
          <cell r="G118">
            <v>9.1772758384667998</v>
          </cell>
          <cell r="H118">
            <v>500</v>
          </cell>
          <cell r="I118">
            <v>0.72470492507842332</v>
          </cell>
          <cell r="J118">
            <v>0.77032640949554898</v>
          </cell>
          <cell r="K118">
            <v>7.0380830688675913E-2</v>
          </cell>
          <cell r="L118">
            <v>2.54430372795444</v>
          </cell>
        </row>
        <row r="119">
          <cell r="A119" t="str">
            <v>GADARWARA TPP1</v>
          </cell>
          <cell r="B119" t="str">
            <v>GADARWARA TPP</v>
          </cell>
          <cell r="C119" t="str">
            <v>GADARWARA TPP</v>
          </cell>
          <cell r="D119" t="str">
            <v>Madhya Pradesh</v>
          </cell>
          <cell r="E119" t="str">
            <v>CENTRAL SECTOR</v>
          </cell>
          <cell r="F119" t="str">
            <v xml:space="preserve"> 0-5 years</v>
          </cell>
          <cell r="G119">
            <v>1.06776180698151</v>
          </cell>
          <cell r="H119">
            <v>800</v>
          </cell>
          <cell r="I119">
            <v>0.17192735645426094</v>
          </cell>
          <cell r="J119"/>
          <cell r="L119">
            <v>3.3710578127253199</v>
          </cell>
        </row>
        <row r="120">
          <cell r="A120" t="str">
            <v>GANDHI NAGAR TPS3</v>
          </cell>
          <cell r="B120" t="str">
            <v>GANDHI NAGAR TPS</v>
          </cell>
          <cell r="C120" t="str">
            <v>GANDHI NAGAR TPS UNIT 3-4</v>
          </cell>
          <cell r="D120" t="str">
            <v>Gujarat</v>
          </cell>
          <cell r="E120" t="str">
            <v>STATE SECTOR</v>
          </cell>
          <cell r="F120" t="str">
            <v xml:space="preserve"> 30-35 years</v>
          </cell>
          <cell r="G120">
            <v>30.176591375769998</v>
          </cell>
          <cell r="H120">
            <v>210</v>
          </cell>
          <cell r="I120">
            <v>0.49978666257289878</v>
          </cell>
          <cell r="J120"/>
          <cell r="K120">
            <v>0.10218427974471911</v>
          </cell>
          <cell r="L120">
            <v>3.9891337719298301</v>
          </cell>
        </row>
        <row r="121">
          <cell r="A121" t="str">
            <v>GANDHI NAGAR TPS4</v>
          </cell>
          <cell r="B121" t="str">
            <v>GANDHI NAGAR TPS</v>
          </cell>
          <cell r="C121" t="str">
            <v>GANDHI NAGAR TPS UNIT 3-4</v>
          </cell>
          <cell r="D121" t="str">
            <v>Gujarat</v>
          </cell>
          <cell r="E121" t="str">
            <v>STATE SECTOR</v>
          </cell>
          <cell r="F121" t="str">
            <v xml:space="preserve"> 25-30 years</v>
          </cell>
          <cell r="G121">
            <v>28.843258042436599</v>
          </cell>
          <cell r="H121">
            <v>210</v>
          </cell>
          <cell r="I121">
            <v>0.48391182053713694</v>
          </cell>
          <cell r="J121"/>
          <cell r="K121">
            <v>0.10218427974471911</v>
          </cell>
          <cell r="L121">
            <v>3.9891337719298301</v>
          </cell>
        </row>
        <row r="122">
          <cell r="A122" t="str">
            <v>GANDHI NAGAR TPS5</v>
          </cell>
          <cell r="B122" t="str">
            <v>GANDHI NAGAR TPS</v>
          </cell>
          <cell r="C122" t="str">
            <v>GANDHI NAGAR TPS UNIT 5</v>
          </cell>
          <cell r="D122" t="str">
            <v>Gujarat</v>
          </cell>
          <cell r="E122" t="str">
            <v>STATE SECTOR</v>
          </cell>
          <cell r="F122" t="str">
            <v xml:space="preserve"> 20-25 years</v>
          </cell>
          <cell r="G122">
            <v>22.176591375769998</v>
          </cell>
          <cell r="H122">
            <v>210</v>
          </cell>
          <cell r="I122">
            <v>0.73412776569862304</v>
          </cell>
          <cell r="J122"/>
          <cell r="K122">
            <v>0.10218427974471911</v>
          </cell>
          <cell r="L122">
            <v>3.7800986842105</v>
          </cell>
        </row>
        <row r="123">
          <cell r="A123" t="str">
            <v>GH TPS (LEH.MOH.)1</v>
          </cell>
          <cell r="B123" t="str">
            <v>GH TPS (LEH.MOH.)</v>
          </cell>
          <cell r="C123" t="str">
            <v>GH TPS (LEH.MOH.)</v>
          </cell>
          <cell r="D123" t="str">
            <v>Punjab</v>
          </cell>
          <cell r="E123" t="str">
            <v>STATE SECTOR</v>
          </cell>
          <cell r="F123" t="str">
            <v xml:space="preserve"> 20-25 years</v>
          </cell>
          <cell r="G123">
            <v>22.4229979466119</v>
          </cell>
          <cell r="H123">
            <v>210</v>
          </cell>
          <cell r="I123">
            <v>0.22347343623314089</v>
          </cell>
          <cell r="J123">
            <v>1.264992686494393</v>
          </cell>
          <cell r="K123">
            <v>0.11114699610484161</v>
          </cell>
          <cell r="L123">
            <v>3.6100000000000301</v>
          </cell>
        </row>
        <row r="124">
          <cell r="A124" t="str">
            <v>GH TPS (LEH.MOH.)2</v>
          </cell>
          <cell r="B124" t="str">
            <v>GH TPS (LEH.MOH.)</v>
          </cell>
          <cell r="C124" t="str">
            <v>GH TPS (LEH.MOH.)</v>
          </cell>
          <cell r="D124" t="str">
            <v>Punjab</v>
          </cell>
          <cell r="E124" t="str">
            <v>STATE SECTOR</v>
          </cell>
          <cell r="F124" t="str">
            <v xml:space="preserve"> 20-25 years</v>
          </cell>
          <cell r="G124">
            <v>21.590691307323699</v>
          </cell>
          <cell r="H124">
            <v>210</v>
          </cell>
          <cell r="I124">
            <v>0.22551028588216071</v>
          </cell>
          <cell r="J124">
            <v>1.264992686494393</v>
          </cell>
          <cell r="K124">
            <v>0.11114699610484161</v>
          </cell>
          <cell r="L124">
            <v>3.6100000000000301</v>
          </cell>
        </row>
        <row r="125">
          <cell r="A125" t="str">
            <v>GH TPS (LEH.MOH.)3</v>
          </cell>
          <cell r="B125" t="str">
            <v>GH TPS (LEH.MOH.)</v>
          </cell>
          <cell r="C125" t="str">
            <v>GH TPS (LEH.MOH.)</v>
          </cell>
          <cell r="D125" t="str">
            <v>Punjab</v>
          </cell>
          <cell r="E125" t="str">
            <v>STATE SECTOR</v>
          </cell>
          <cell r="F125" t="str">
            <v xml:space="preserve"> 10-15 years</v>
          </cell>
          <cell r="G125">
            <v>12.3394934976043</v>
          </cell>
          <cell r="H125">
            <v>250</v>
          </cell>
          <cell r="I125">
            <v>0.29636827750998995</v>
          </cell>
          <cell r="J125">
            <v>1.264992686494393</v>
          </cell>
          <cell r="K125">
            <v>0.11114699610484161</v>
          </cell>
          <cell r="L125">
            <v>3.6100000000000301</v>
          </cell>
        </row>
        <row r="126">
          <cell r="A126" t="str">
            <v>GH TPS (LEH.MOH.)4</v>
          </cell>
          <cell r="B126" t="str">
            <v>GH TPS (LEH.MOH.)</v>
          </cell>
          <cell r="C126" t="str">
            <v>GH TPS (LEH.MOH.)</v>
          </cell>
          <cell r="D126" t="str">
            <v>Punjab</v>
          </cell>
          <cell r="E126" t="str">
            <v>STATE SECTOR</v>
          </cell>
          <cell r="F126" t="str">
            <v xml:space="preserve"> 10-15 years</v>
          </cell>
          <cell r="G126">
            <v>11.841204654346299</v>
          </cell>
          <cell r="H126">
            <v>250</v>
          </cell>
          <cell r="I126">
            <v>0.22256405603521834</v>
          </cell>
          <cell r="J126">
            <v>1.264992686494393</v>
          </cell>
          <cell r="K126">
            <v>0.11114699610484161</v>
          </cell>
          <cell r="L126">
            <v>3.6100000000000301</v>
          </cell>
        </row>
        <row r="127">
          <cell r="A127" t="str">
            <v>GMR WARORA TPS1</v>
          </cell>
          <cell r="B127" t="str">
            <v>GMR WARORA TPS</v>
          </cell>
          <cell r="C127" t="str">
            <v>GMR WARORA TPS</v>
          </cell>
          <cell r="D127" t="str">
            <v>Maharashtra</v>
          </cell>
          <cell r="E127" t="str">
            <v>PVT SECTOR</v>
          </cell>
          <cell r="F127" t="str">
            <v xml:space="preserve"> 5-10 years</v>
          </cell>
          <cell r="G127">
            <v>7.2525667351129304</v>
          </cell>
          <cell r="H127">
            <v>300</v>
          </cell>
          <cell r="I127">
            <v>0.77694293887682364</v>
          </cell>
          <cell r="J127"/>
          <cell r="K127">
            <v>8.7066312766907406E-2</v>
          </cell>
          <cell r="L127">
            <v>1.9006111999999999</v>
          </cell>
        </row>
        <row r="128">
          <cell r="A128" t="str">
            <v>GMR WARORA TPS2</v>
          </cell>
          <cell r="B128" t="str">
            <v>GMR WARORA TPS</v>
          </cell>
          <cell r="C128" t="str">
            <v>GMR WARORA TPS</v>
          </cell>
          <cell r="D128" t="str">
            <v>Maharashtra</v>
          </cell>
          <cell r="E128" t="str">
            <v>PVT SECTOR</v>
          </cell>
          <cell r="F128" t="str">
            <v xml:space="preserve"> 5-10 years</v>
          </cell>
          <cell r="G128">
            <v>6.7570157426420199</v>
          </cell>
          <cell r="H128">
            <v>300</v>
          </cell>
          <cell r="I128">
            <v>0.73198090568984164</v>
          </cell>
          <cell r="J128"/>
          <cell r="K128">
            <v>8.7066312766907406E-2</v>
          </cell>
          <cell r="L128">
            <v>1.9006111999999999</v>
          </cell>
        </row>
        <row r="129">
          <cell r="A129" t="str">
            <v>GOINDWAL SAHIB1</v>
          </cell>
          <cell r="B129" t="str">
            <v>GOINDWAL SAHIB</v>
          </cell>
          <cell r="C129" t="str">
            <v>GOINDWAL SAHIB</v>
          </cell>
          <cell r="D129" t="str">
            <v>Punjab</v>
          </cell>
          <cell r="E129" t="str">
            <v>PVT SECTOR</v>
          </cell>
          <cell r="F129" t="str">
            <v xml:space="preserve"> 0-5 years</v>
          </cell>
          <cell r="G129">
            <v>4.2546201232032796</v>
          </cell>
          <cell r="H129">
            <v>270</v>
          </cell>
          <cell r="I129">
            <v>0.39470365794919904</v>
          </cell>
          <cell r="J129"/>
          <cell r="K129">
            <v>0.10288394721047496</v>
          </cell>
          <cell r="L129">
            <v>2.9400000000000199</v>
          </cell>
        </row>
        <row r="130">
          <cell r="A130" t="str">
            <v>GOINDWAL SAHIB2</v>
          </cell>
          <cell r="B130" t="str">
            <v>GOINDWAL SAHIB</v>
          </cell>
          <cell r="C130" t="str">
            <v>GOINDWAL SAHIB</v>
          </cell>
          <cell r="D130" t="str">
            <v>Punjab</v>
          </cell>
          <cell r="E130" t="str">
            <v>PVT SECTOR</v>
          </cell>
          <cell r="F130" t="str">
            <v xml:space="preserve"> 0-5 years</v>
          </cell>
          <cell r="G130">
            <v>4.1752224503764497</v>
          </cell>
          <cell r="H130">
            <v>270</v>
          </cell>
          <cell r="I130">
            <v>0.41588620036262963</v>
          </cell>
          <cell r="J130"/>
          <cell r="K130">
            <v>0.10288394721047496</v>
          </cell>
          <cell r="L130">
            <v>2.9400000000000199</v>
          </cell>
        </row>
        <row r="131">
          <cell r="A131" t="str">
            <v>HALDIA TPP1</v>
          </cell>
          <cell r="B131" t="str">
            <v>HALDIA TPP</v>
          </cell>
          <cell r="C131" t="str">
            <v>HALDIA TPP</v>
          </cell>
          <cell r="D131" t="str">
            <v>West Bengal</v>
          </cell>
          <cell r="E131" t="str">
            <v>PVT SECTOR</v>
          </cell>
          <cell r="F131" t="str">
            <v xml:space="preserve"> 5-10 years</v>
          </cell>
          <cell r="G131">
            <v>5.3388090349075901</v>
          </cell>
          <cell r="H131">
            <v>300</v>
          </cell>
          <cell r="I131">
            <v>0.85703171819933754</v>
          </cell>
          <cell r="J131">
            <v>1.0511182108626198</v>
          </cell>
          <cell r="K131">
            <v>7.8501687626901739E-2</v>
          </cell>
          <cell r="L131"/>
        </row>
        <row r="132">
          <cell r="A132" t="str">
            <v>HALDIA TPP2</v>
          </cell>
          <cell r="B132" t="str">
            <v>HALDIA TPP</v>
          </cell>
          <cell r="C132" t="str">
            <v>HALDIA TPP</v>
          </cell>
          <cell r="D132" t="str">
            <v>West Bengal</v>
          </cell>
          <cell r="E132" t="str">
            <v>PVT SECTOR</v>
          </cell>
          <cell r="F132" t="str">
            <v xml:space="preserve"> 5-10 years</v>
          </cell>
          <cell r="G132">
            <v>5.2539356605065004</v>
          </cell>
          <cell r="H132">
            <v>300</v>
          </cell>
          <cell r="I132">
            <v>0.86689660928721668</v>
          </cell>
          <cell r="J132">
            <v>1.0511182108626198</v>
          </cell>
          <cell r="K132">
            <v>7.8501687626901739E-2</v>
          </cell>
          <cell r="L132"/>
        </row>
        <row r="133">
          <cell r="A133" t="str">
            <v>HARDUAGANJ TPS7</v>
          </cell>
          <cell r="B133" t="str">
            <v>HARDUAGANJ TPS</v>
          </cell>
          <cell r="C133" t="str">
            <v>HARDUAGANJ TPS UNIT 7</v>
          </cell>
          <cell r="D133" t="str">
            <v>Uttar Pardesh</v>
          </cell>
          <cell r="E133" t="str">
            <v>STATE SECTOR</v>
          </cell>
          <cell r="F133" t="str">
            <v xml:space="preserve"> 40-45 years</v>
          </cell>
          <cell r="G133">
            <v>42.176591375770002</v>
          </cell>
          <cell r="H133">
            <v>105</v>
          </cell>
          <cell r="I133">
            <v>0.2107839528173151</v>
          </cell>
          <cell r="J133">
            <v>1.0727314181486549</v>
          </cell>
          <cell r="K133">
            <v>8.6582291374875858E-2</v>
          </cell>
          <cell r="L133">
            <v>3.47353070175435</v>
          </cell>
        </row>
        <row r="134">
          <cell r="A134" t="str">
            <v>HARDUAGANJ TPS8</v>
          </cell>
          <cell r="B134" t="str">
            <v>HARDUAGANJ TPS</v>
          </cell>
          <cell r="C134" t="str">
            <v>HARDUAGANJ TPS UNIT 8-9</v>
          </cell>
          <cell r="D134" t="str">
            <v>Uttar Pardesh</v>
          </cell>
          <cell r="E134" t="str">
            <v>STATE SECTOR</v>
          </cell>
          <cell r="F134" t="str">
            <v xml:space="preserve"> 5-10 years</v>
          </cell>
          <cell r="G134">
            <v>8.6735112936344905</v>
          </cell>
          <cell r="H134">
            <v>250</v>
          </cell>
          <cell r="I134">
            <v>0.69630948475966836</v>
          </cell>
          <cell r="J134">
            <v>1.0727314181486549</v>
          </cell>
          <cell r="K134">
            <v>8.6582291374875858E-2</v>
          </cell>
          <cell r="L134">
            <v>2.8019846491228102</v>
          </cell>
        </row>
        <row r="135">
          <cell r="A135" t="str">
            <v>HARDUAGANJ TPS9</v>
          </cell>
          <cell r="B135" t="str">
            <v>HARDUAGANJ TPS</v>
          </cell>
          <cell r="C135" t="str">
            <v>HARDUAGANJ TPS UNIT 8-9</v>
          </cell>
          <cell r="D135" t="str">
            <v>Uttar Pardesh</v>
          </cell>
          <cell r="E135" t="str">
            <v>STATE SECTOR</v>
          </cell>
          <cell r="F135" t="str">
            <v xml:space="preserve"> 5-10 years</v>
          </cell>
          <cell r="G135">
            <v>8.00821355236139</v>
          </cell>
          <cell r="H135">
            <v>250</v>
          </cell>
          <cell r="I135">
            <v>0.73029028117661499</v>
          </cell>
          <cell r="J135">
            <v>1.0727314181486549</v>
          </cell>
          <cell r="K135">
            <v>8.6582291374875858E-2</v>
          </cell>
          <cell r="L135">
            <v>2.8019846491228102</v>
          </cell>
        </row>
        <row r="136">
          <cell r="A136" t="str">
            <v>IB VALLEY TPS1</v>
          </cell>
          <cell r="B136" t="str">
            <v>IB VALLEY TPS</v>
          </cell>
          <cell r="C136" t="str">
            <v>IB VALLEY TPS UNIT 1-2</v>
          </cell>
          <cell r="D136" t="str">
            <v>Odisha</v>
          </cell>
          <cell r="E136" t="str">
            <v>STATE SECTOR</v>
          </cell>
          <cell r="F136" t="str">
            <v xml:space="preserve"> 25-30 years</v>
          </cell>
          <cell r="G136">
            <v>25.924709103353798</v>
          </cell>
          <cell r="H136">
            <v>210</v>
          </cell>
          <cell r="I136">
            <v>0.75934995122276783</v>
          </cell>
          <cell r="J136">
            <v>0.48096774193548386</v>
          </cell>
          <cell r="K136">
            <v>0.10945422612917571</v>
          </cell>
          <cell r="L136">
            <v>1.3351511758118599</v>
          </cell>
        </row>
        <row r="137">
          <cell r="A137" t="str">
            <v>IB VALLEY TPS2</v>
          </cell>
          <cell r="B137" t="str">
            <v>IB VALLEY TPS</v>
          </cell>
          <cell r="C137" t="str">
            <v>IB VALLEY TPS UNIT 1-2</v>
          </cell>
          <cell r="D137" t="str">
            <v>Odisha</v>
          </cell>
          <cell r="E137" t="str">
            <v>STATE SECTOR</v>
          </cell>
          <cell r="F137" t="str">
            <v xml:space="preserve"> 20-25 years</v>
          </cell>
          <cell r="G137">
            <v>24.591375770020498</v>
          </cell>
          <cell r="H137">
            <v>210</v>
          </cell>
          <cell r="I137">
            <v>0.76149251724682931</v>
          </cell>
          <cell r="J137">
            <v>0.48096774193548386</v>
          </cell>
          <cell r="K137">
            <v>0.10945422612917571</v>
          </cell>
          <cell r="L137">
            <v>1.3351511758118599</v>
          </cell>
        </row>
        <row r="138">
          <cell r="A138" t="str">
            <v>IB VALLEY TPS3</v>
          </cell>
          <cell r="B138" t="str">
            <v>IB VALLEY TPS</v>
          </cell>
          <cell r="C138" t="str">
            <v>IB VALLEY TPS UNIT 3-4</v>
          </cell>
          <cell r="D138" t="str">
            <v>Odisha</v>
          </cell>
          <cell r="E138" t="str">
            <v>STATE SECTOR</v>
          </cell>
          <cell r="F138" t="str">
            <v xml:space="preserve"> 0-5 years</v>
          </cell>
          <cell r="G138">
            <v>0.84052019164955505</v>
          </cell>
          <cell r="H138">
            <v>660</v>
          </cell>
          <cell r="I138">
            <v>0.46087687334037442</v>
          </cell>
          <cell r="J138"/>
          <cell r="K138">
            <v>0.10945422612917571</v>
          </cell>
          <cell r="L138">
            <v>1.51</v>
          </cell>
        </row>
        <row r="139">
          <cell r="A139" t="str">
            <v>IB VALLEY TPS4</v>
          </cell>
          <cell r="B139" t="str">
            <v>IB VALLEY TPS</v>
          </cell>
          <cell r="C139" t="str">
            <v>IB VALLEY TPS UNIT 3-4</v>
          </cell>
          <cell r="D139" t="str">
            <v>Odisha</v>
          </cell>
          <cell r="E139" t="str">
            <v>STATE SECTOR</v>
          </cell>
          <cell r="F139" t="str">
            <v xml:space="preserve"> 0-5 years</v>
          </cell>
          <cell r="G139">
            <v>0.67898699520876105</v>
          </cell>
          <cell r="H139">
            <v>660</v>
          </cell>
          <cell r="I139">
            <v>0.50071275951420524</v>
          </cell>
          <cell r="J139"/>
          <cell r="K139">
            <v>0.10945422612917571</v>
          </cell>
          <cell r="L139">
            <v>1.51</v>
          </cell>
        </row>
        <row r="140">
          <cell r="A140" t="str">
            <v>INDIRA GANDHI STPP1</v>
          </cell>
          <cell r="B140" t="str">
            <v>INDIRA GANDHI STPP</v>
          </cell>
          <cell r="C140" t="str">
            <v>INDIRA GANDHI STPP</v>
          </cell>
          <cell r="D140" t="str">
            <v>Haryana</v>
          </cell>
          <cell r="E140" t="str">
            <v>CENTRAL SECTOR</v>
          </cell>
          <cell r="F140" t="str">
            <v xml:space="preserve"> 5-10 years</v>
          </cell>
          <cell r="G140">
            <v>9.5906913073237501</v>
          </cell>
          <cell r="H140">
            <v>500</v>
          </cell>
          <cell r="I140">
            <v>0.43200111955196252</v>
          </cell>
          <cell r="J140">
            <v>0.91827018448720488</v>
          </cell>
          <cell r="K140">
            <v>6.5600274643046297E-2</v>
          </cell>
          <cell r="L140">
            <v>3.40206647723695</v>
          </cell>
        </row>
        <row r="141">
          <cell r="A141" t="str">
            <v>INDIRA GANDHI STPP2</v>
          </cell>
          <cell r="B141" t="str">
            <v>INDIRA GANDHI STPP</v>
          </cell>
          <cell r="C141" t="str">
            <v>INDIRA GANDHI STPP</v>
          </cell>
          <cell r="D141" t="str">
            <v>Haryana</v>
          </cell>
          <cell r="E141" t="str">
            <v>CENTRAL SECTOR</v>
          </cell>
          <cell r="F141" t="str">
            <v xml:space="preserve"> 5-10 years</v>
          </cell>
          <cell r="G141">
            <v>8.5065023956194299</v>
          </cell>
          <cell r="H141">
            <v>500</v>
          </cell>
          <cell r="I141">
            <v>0.43848040488844081</v>
          </cell>
          <cell r="J141">
            <v>0.91827018448720488</v>
          </cell>
          <cell r="K141">
            <v>6.5600274643046297E-2</v>
          </cell>
          <cell r="L141">
            <v>3.40206647723695</v>
          </cell>
        </row>
        <row r="142">
          <cell r="A142" t="str">
            <v>INDIRA GANDHI STPP3</v>
          </cell>
          <cell r="B142" t="str">
            <v>INDIRA GANDHI STPP</v>
          </cell>
          <cell r="C142" t="str">
            <v>INDIRA GANDHI STPP</v>
          </cell>
          <cell r="D142" t="str">
            <v>Haryana</v>
          </cell>
          <cell r="E142" t="str">
            <v>CENTRAL SECTOR</v>
          </cell>
          <cell r="F142" t="str">
            <v xml:space="preserve"> 5-10 years</v>
          </cell>
          <cell r="G142">
            <v>7.5044490075290797</v>
          </cell>
          <cell r="H142">
            <v>500</v>
          </cell>
          <cell r="I142">
            <v>0.53257943464519586</v>
          </cell>
          <cell r="J142">
            <v>0.91827018448720488</v>
          </cell>
          <cell r="K142">
            <v>6.5600274643046297E-2</v>
          </cell>
          <cell r="L142">
            <v>3.40206647723695</v>
          </cell>
        </row>
        <row r="143">
          <cell r="A143" t="str">
            <v>ITPCL TPP1</v>
          </cell>
          <cell r="B143" t="str">
            <v>ITPCL TPP</v>
          </cell>
          <cell r="C143" t="str">
            <v>ITPCL TPP UNIT 1</v>
          </cell>
          <cell r="D143" t="str">
            <v>Tamil Nadu</v>
          </cell>
          <cell r="E143" t="str">
            <v>PVT SECTOR</v>
          </cell>
          <cell r="F143" t="str">
            <v xml:space="preserve"> 0-5 years</v>
          </cell>
          <cell r="G143">
            <v>4.6735112936344896</v>
          </cell>
          <cell r="H143">
            <v>600</v>
          </cell>
          <cell r="I143">
            <v>0.594400281855339</v>
          </cell>
          <cell r="J143"/>
          <cell r="K143">
            <v>7.3246042254860019E-2</v>
          </cell>
          <cell r="L143">
            <v>2.8668850574712499</v>
          </cell>
        </row>
        <row r="144">
          <cell r="A144" t="str">
            <v>ITPCL TPP2</v>
          </cell>
          <cell r="B144" t="str">
            <v>ITPCL TPP</v>
          </cell>
          <cell r="C144" t="str">
            <v>ITPCL TPP UNIT 2</v>
          </cell>
          <cell r="D144" t="str">
            <v>Tamil Nadu</v>
          </cell>
          <cell r="E144" t="str">
            <v>PVT SECTOR</v>
          </cell>
          <cell r="F144" t="str">
            <v xml:space="preserve"> 0-5 years</v>
          </cell>
          <cell r="G144">
            <v>4.0903490759753502</v>
          </cell>
          <cell r="H144">
            <v>600</v>
          </cell>
          <cell r="I144">
            <v>0.61723545739877494</v>
          </cell>
          <cell r="J144"/>
          <cell r="K144">
            <v>7.3246042254860019E-2</v>
          </cell>
          <cell r="L144">
            <v>4.0228947368421002</v>
          </cell>
        </row>
        <row r="145">
          <cell r="A145" t="str">
            <v>JOJOBERA TPS2</v>
          </cell>
          <cell r="B145" t="str">
            <v>JOJOBERA TPS</v>
          </cell>
          <cell r="C145">
            <v>0</v>
          </cell>
          <cell r="D145" t="str">
            <v>Jharkhand</v>
          </cell>
          <cell r="E145" t="str">
            <v>PVT SECTOR</v>
          </cell>
          <cell r="F145" t="str">
            <v xml:space="preserve"> 15-20 years</v>
          </cell>
          <cell r="G145">
            <v>19.337440109513999</v>
          </cell>
          <cell r="H145">
            <v>120</v>
          </cell>
          <cell r="I145">
            <v>0.72321095379914924</v>
          </cell>
          <cell r="J145">
            <v>1.1008606777837546</v>
          </cell>
          <cell r="L145"/>
        </row>
        <row r="146">
          <cell r="A146" t="str">
            <v>JOJOBERA TPS3</v>
          </cell>
          <cell r="B146" t="str">
            <v>JOJOBERA TPS</v>
          </cell>
          <cell r="C146">
            <v>0</v>
          </cell>
          <cell r="D146" t="str">
            <v>Jharkhand</v>
          </cell>
          <cell r="E146" t="str">
            <v>PVT SECTOR</v>
          </cell>
          <cell r="F146" t="str">
            <v xml:space="preserve"> 15-20 years</v>
          </cell>
          <cell r="G146">
            <v>18.338124572210798</v>
          </cell>
          <cell r="H146">
            <v>120</v>
          </cell>
          <cell r="I146">
            <v>0.72059455667231609</v>
          </cell>
          <cell r="J146">
            <v>1.1183144246353323</v>
          </cell>
          <cell r="L146"/>
        </row>
        <row r="147">
          <cell r="A147" t="str">
            <v>JSW RATNAGIRI TPP1</v>
          </cell>
          <cell r="B147" t="str">
            <v>JSW RATNAGIRI TPP</v>
          </cell>
          <cell r="C147" t="str">
            <v>JSW RATNAGIRI TPP UNIT 1</v>
          </cell>
          <cell r="D147" t="str">
            <v>Maharashtra</v>
          </cell>
          <cell r="E147" t="str">
            <v>PVT SECTOR</v>
          </cell>
          <cell r="F147" t="str">
            <v xml:space="preserve"> 5-10 years</v>
          </cell>
          <cell r="G147">
            <v>9.7577002053388</v>
          </cell>
          <cell r="H147">
            <v>300</v>
          </cell>
          <cell r="I147">
            <v>0.83802919576396806</v>
          </cell>
          <cell r="J147"/>
          <cell r="K147">
            <v>9.0376126869674167E-2</v>
          </cell>
          <cell r="L147">
            <v>2.0656483516483499</v>
          </cell>
        </row>
        <row r="148">
          <cell r="A148" t="str">
            <v>JSW RATNAGIRI TPP2</v>
          </cell>
          <cell r="B148" t="str">
            <v>JSW RATNAGIRI TPP</v>
          </cell>
          <cell r="C148">
            <v>0</v>
          </cell>
          <cell r="D148" t="str">
            <v>Maharashtra</v>
          </cell>
          <cell r="E148" t="str">
            <v>PVT SECTOR</v>
          </cell>
          <cell r="F148" t="str">
            <v xml:space="preserve"> 5-10 years</v>
          </cell>
          <cell r="G148">
            <v>9.4236824093086895</v>
          </cell>
          <cell r="H148">
            <v>300</v>
          </cell>
          <cell r="I148">
            <v>0.65452038429606663</v>
          </cell>
          <cell r="J148"/>
          <cell r="K148">
            <v>9.0376126869674167E-2</v>
          </cell>
          <cell r="L148"/>
        </row>
        <row r="149">
          <cell r="A149" t="str">
            <v>JSW RATNAGIRI TPP3</v>
          </cell>
          <cell r="B149" t="str">
            <v>JSW RATNAGIRI TPP</v>
          </cell>
          <cell r="C149">
            <v>0</v>
          </cell>
          <cell r="D149" t="str">
            <v>Maharashtra</v>
          </cell>
          <cell r="E149" t="str">
            <v>PVT SECTOR</v>
          </cell>
          <cell r="F149" t="str">
            <v xml:space="preserve"> 5-10 years</v>
          </cell>
          <cell r="G149">
            <v>9.0102669404517393</v>
          </cell>
          <cell r="H149">
            <v>300</v>
          </cell>
          <cell r="I149">
            <v>0.74378793917600006</v>
          </cell>
          <cell r="J149"/>
          <cell r="K149">
            <v>9.0376126869674167E-2</v>
          </cell>
          <cell r="L149"/>
        </row>
        <row r="150">
          <cell r="A150" t="str">
            <v>JSW RATNAGIRI TPP4</v>
          </cell>
          <cell r="B150" t="str">
            <v>JSW RATNAGIRI TPP</v>
          </cell>
          <cell r="C150">
            <v>0</v>
          </cell>
          <cell r="D150" t="str">
            <v>Maharashtra</v>
          </cell>
          <cell r="E150" t="str">
            <v>PVT SECTOR</v>
          </cell>
          <cell r="F150" t="str">
            <v xml:space="preserve"> 5-10 years</v>
          </cell>
          <cell r="G150">
            <v>8.5913757700205302</v>
          </cell>
          <cell r="H150">
            <v>300</v>
          </cell>
          <cell r="I150">
            <v>0.74778122696097782</v>
          </cell>
          <cell r="J150"/>
          <cell r="K150">
            <v>9.0376126869674167E-2</v>
          </cell>
          <cell r="L150">
            <v>2.0699999999999998</v>
          </cell>
        </row>
        <row r="151">
          <cell r="A151" t="str">
            <v>KAHALGAON TPS1</v>
          </cell>
          <cell r="B151" t="str">
            <v>KAHALGAON TPS</v>
          </cell>
          <cell r="C151" t="str">
            <v>KAHALGAON TPS UNIT 1-4</v>
          </cell>
          <cell r="D151" t="str">
            <v>Bihar</v>
          </cell>
          <cell r="E151" t="str">
            <v>CENTRAL SECTOR</v>
          </cell>
          <cell r="F151" t="str">
            <v xml:space="preserve"> 25-30 years</v>
          </cell>
          <cell r="G151">
            <v>28.175222450376399</v>
          </cell>
          <cell r="H151">
            <v>210</v>
          </cell>
          <cell r="I151">
            <v>0.78331569104385323</v>
          </cell>
          <cell r="J151">
            <v>0.73061013443640122</v>
          </cell>
          <cell r="K151">
            <v>7.2417181230320551E-2</v>
          </cell>
          <cell r="L151">
            <v>2.3605548789303299</v>
          </cell>
        </row>
        <row r="152">
          <cell r="A152" t="str">
            <v>KAHALGAON TPS2</v>
          </cell>
          <cell r="B152" t="str">
            <v>KAHALGAON TPS</v>
          </cell>
          <cell r="C152" t="str">
            <v>KAHALGAON TPS UNIT 1-4</v>
          </cell>
          <cell r="D152" t="str">
            <v>Bihar</v>
          </cell>
          <cell r="E152" t="str">
            <v>CENTRAL SECTOR</v>
          </cell>
          <cell r="F152" t="str">
            <v xml:space="preserve"> 25-30 years</v>
          </cell>
          <cell r="G152">
            <v>26.176591375769998</v>
          </cell>
          <cell r="H152">
            <v>210</v>
          </cell>
          <cell r="I152">
            <v>0.80569315266623409</v>
          </cell>
          <cell r="J152">
            <v>0.73061013443640122</v>
          </cell>
          <cell r="K152">
            <v>7.2417181230320551E-2</v>
          </cell>
          <cell r="L152">
            <v>2.3605548789303299</v>
          </cell>
        </row>
        <row r="153">
          <cell r="A153" t="str">
            <v>KAHALGAON TPS3</v>
          </cell>
          <cell r="B153" t="str">
            <v>KAHALGAON TPS</v>
          </cell>
          <cell r="C153" t="str">
            <v>KAHALGAON TPS UNIT 1-4</v>
          </cell>
          <cell r="D153" t="str">
            <v>Bihar</v>
          </cell>
          <cell r="E153" t="str">
            <v>CENTRAL SECTOR</v>
          </cell>
          <cell r="F153" t="str">
            <v xml:space="preserve"> 25-30 years</v>
          </cell>
          <cell r="G153">
            <v>25.177275838466802</v>
          </cell>
          <cell r="H153">
            <v>210</v>
          </cell>
          <cell r="I153">
            <v>0.82683020576074406</v>
          </cell>
          <cell r="J153">
            <v>0.73061013443640122</v>
          </cell>
          <cell r="K153">
            <v>7.2417181230320551E-2</v>
          </cell>
          <cell r="L153">
            <v>2.3605548789303299</v>
          </cell>
        </row>
        <row r="154">
          <cell r="A154" t="str">
            <v>KAHALGAON TPS4</v>
          </cell>
          <cell r="B154" t="str">
            <v>KAHALGAON TPS</v>
          </cell>
          <cell r="C154" t="str">
            <v>KAHALGAON TPS UNIT 1-4</v>
          </cell>
          <cell r="D154" t="str">
            <v>Bihar</v>
          </cell>
          <cell r="E154" t="str">
            <v>CENTRAL SECTOR</v>
          </cell>
          <cell r="F154" t="str">
            <v xml:space="preserve"> 20-25 years</v>
          </cell>
          <cell r="G154">
            <v>24.175222450376399</v>
          </cell>
          <cell r="H154">
            <v>210</v>
          </cell>
          <cell r="I154">
            <v>0.82887789118448807</v>
          </cell>
          <cell r="J154">
            <v>0.73061013443640122</v>
          </cell>
          <cell r="K154">
            <v>7.2417181230320551E-2</v>
          </cell>
          <cell r="L154">
            <v>2.3605548789303299</v>
          </cell>
        </row>
        <row r="155">
          <cell r="A155" t="str">
            <v>KAHALGAON TPS5</v>
          </cell>
          <cell r="B155" t="str">
            <v>KAHALGAON TPS</v>
          </cell>
          <cell r="C155" t="str">
            <v>KAHALGAON TPS UNIT 5-7</v>
          </cell>
          <cell r="D155" t="str">
            <v>Bihar</v>
          </cell>
          <cell r="E155" t="str">
            <v>CENTRAL SECTOR</v>
          </cell>
          <cell r="F155" t="str">
            <v xml:space="preserve"> 10-15 years</v>
          </cell>
          <cell r="G155">
            <v>13.1772758384668</v>
          </cell>
          <cell r="H155">
            <v>500</v>
          </cell>
          <cell r="I155">
            <v>0.82720906658485915</v>
          </cell>
          <cell r="J155">
            <v>0.72055073941866399</v>
          </cell>
          <cell r="K155">
            <v>7.2417181230320551E-2</v>
          </cell>
          <cell r="L155">
            <v>2.3116842468752798</v>
          </cell>
        </row>
        <row r="156">
          <cell r="A156" t="str">
            <v>KAHALGAON TPS6</v>
          </cell>
          <cell r="B156" t="str">
            <v>KAHALGAON TPS</v>
          </cell>
          <cell r="C156" t="str">
            <v>KAHALGAON TPS UNIT 5-7</v>
          </cell>
          <cell r="D156" t="str">
            <v>Bihar</v>
          </cell>
          <cell r="E156" t="str">
            <v>CENTRAL SECTOR</v>
          </cell>
          <cell r="F156" t="str">
            <v xml:space="preserve"> 10-15 years</v>
          </cell>
          <cell r="G156">
            <v>12.175222450376401</v>
          </cell>
          <cell r="H156">
            <v>500</v>
          </cell>
          <cell r="I156">
            <v>0.76161708100122993</v>
          </cell>
          <cell r="J156">
            <v>0.72055073941866399</v>
          </cell>
          <cell r="K156">
            <v>7.2417181230320551E-2</v>
          </cell>
          <cell r="L156">
            <v>2.3116842468752798</v>
          </cell>
        </row>
        <row r="157">
          <cell r="A157" t="str">
            <v>KAHALGAON TPS7</v>
          </cell>
          <cell r="B157" t="str">
            <v>KAHALGAON TPS</v>
          </cell>
          <cell r="C157" t="str">
            <v>KAHALGAON TPS UNIT 5-7</v>
          </cell>
          <cell r="D157" t="str">
            <v>Bihar</v>
          </cell>
          <cell r="E157" t="str">
            <v>CENTRAL SECTOR</v>
          </cell>
          <cell r="F157" t="str">
            <v xml:space="preserve"> 10-15 years</v>
          </cell>
          <cell r="G157">
            <v>10.841889117043101</v>
          </cell>
          <cell r="H157">
            <v>500</v>
          </cell>
          <cell r="I157">
            <v>0.8175466559959943</v>
          </cell>
          <cell r="J157">
            <v>0.72055073941866399</v>
          </cell>
          <cell r="K157">
            <v>7.2417181230320551E-2</v>
          </cell>
          <cell r="L157">
            <v>2.3116842468752798</v>
          </cell>
        </row>
        <row r="158">
          <cell r="A158" t="str">
            <v>KAKATIYA TPS1</v>
          </cell>
          <cell r="B158" t="str">
            <v>KAKATIYA TPS</v>
          </cell>
          <cell r="C158" t="str">
            <v>KAKATIYA TPS UNIT 1</v>
          </cell>
          <cell r="D158" t="str">
            <v>Telengana</v>
          </cell>
          <cell r="E158" t="str">
            <v>STATE SECTOR</v>
          </cell>
          <cell r="F158" t="str">
            <v xml:space="preserve"> 5-10 years</v>
          </cell>
          <cell r="G158">
            <v>10.009582477754901</v>
          </cell>
          <cell r="H158">
            <v>500</v>
          </cell>
          <cell r="I158">
            <v>0.80149749074040832</v>
          </cell>
          <cell r="J158"/>
          <cell r="K158">
            <v>5.7626698395538668E-2</v>
          </cell>
          <cell r="L158">
            <v>3.0625219298245598</v>
          </cell>
        </row>
        <row r="159">
          <cell r="A159" t="str">
            <v>KAKATIYA TPS2</v>
          </cell>
          <cell r="B159" t="str">
            <v>KAKATIYA TPS</v>
          </cell>
          <cell r="C159" t="str">
            <v>KAKATIYA TPS UNIT 2</v>
          </cell>
          <cell r="D159" t="str">
            <v>Telengana</v>
          </cell>
          <cell r="E159" t="str">
            <v>STATE SECTOR</v>
          </cell>
          <cell r="F159" t="str">
            <v xml:space="preserve"> 0-5 years</v>
          </cell>
          <cell r="G159">
            <v>4.4243668720054696</v>
          </cell>
          <cell r="H159">
            <v>600</v>
          </cell>
          <cell r="I159">
            <v>0.77809538392584709</v>
          </cell>
          <cell r="J159"/>
          <cell r="K159">
            <v>5.7626698395538668E-2</v>
          </cell>
          <cell r="L159">
            <v>2.7681469298245598</v>
          </cell>
        </row>
        <row r="160">
          <cell r="A160" t="str">
            <v>KALISINDH TPS1</v>
          </cell>
          <cell r="B160" t="str">
            <v>KALISINDH TPS</v>
          </cell>
          <cell r="C160" t="str">
            <v>KALISINDH TPS UNIT 1</v>
          </cell>
          <cell r="D160" t="str">
            <v>Rajasthan</v>
          </cell>
          <cell r="E160" t="str">
            <v>STATE SECTOR</v>
          </cell>
          <cell r="F160" t="str">
            <v xml:space="preserve"> 5-10 years</v>
          </cell>
          <cell r="G160">
            <v>6.00958247775496</v>
          </cell>
          <cell r="H160">
            <v>600</v>
          </cell>
          <cell r="I160">
            <v>0.74500499420616662</v>
          </cell>
          <cell r="J160">
            <v>0.91877007801743915</v>
          </cell>
          <cell r="K160">
            <v>6.7338649205241949E-2</v>
          </cell>
          <cell r="L160">
            <v>2.61</v>
          </cell>
        </row>
        <row r="161">
          <cell r="A161" t="str">
            <v>KALISINDH TPS2</v>
          </cell>
          <cell r="B161" t="str">
            <v>KALISINDH TPS</v>
          </cell>
          <cell r="C161" t="str">
            <v>KALISINDH TPS UNIT 2</v>
          </cell>
          <cell r="D161" t="str">
            <v>Rajasthan</v>
          </cell>
          <cell r="E161" t="str">
            <v>STATE SECTOR</v>
          </cell>
          <cell r="F161" t="str">
            <v xml:space="preserve"> 0-5 years</v>
          </cell>
          <cell r="G161">
            <v>4.9253935660506496</v>
          </cell>
          <cell r="H161">
            <v>600</v>
          </cell>
          <cell r="I161">
            <v>0.41169665194501248</v>
          </cell>
          <cell r="J161"/>
          <cell r="K161">
            <v>6.7338649205241949E-2</v>
          </cell>
          <cell r="L161">
            <v>2.61</v>
          </cell>
        </row>
        <row r="162">
          <cell r="A162" t="str">
            <v>KAMALANGA TPS1</v>
          </cell>
          <cell r="B162" t="str">
            <v>KAMALANGA TPS</v>
          </cell>
          <cell r="C162" t="str">
            <v>KAMALANGA TPS</v>
          </cell>
          <cell r="D162" t="str">
            <v>Odisha</v>
          </cell>
          <cell r="E162" t="str">
            <v>PVT SECTOR</v>
          </cell>
          <cell r="F162" t="str">
            <v xml:space="preserve"> 5-10 years</v>
          </cell>
          <cell r="G162">
            <v>7.1759069130732298</v>
          </cell>
          <cell r="H162">
            <v>350</v>
          </cell>
          <cell r="I162">
            <v>0.6294567280601524</v>
          </cell>
          <cell r="J162">
            <v>0.48273134721856048</v>
          </cell>
          <cell r="K162">
            <v>7.5971148628802138E-2</v>
          </cell>
          <cell r="L162">
            <v>1.4229028168281801</v>
          </cell>
        </row>
        <row r="163">
          <cell r="A163" t="str">
            <v>KAMALANGA TPS2</v>
          </cell>
          <cell r="B163" t="str">
            <v>KAMALANGA TPS</v>
          </cell>
          <cell r="C163" t="str">
            <v>KAMALANGA TPS</v>
          </cell>
          <cell r="D163" t="str">
            <v>Odisha</v>
          </cell>
          <cell r="E163" t="str">
            <v>PVT SECTOR</v>
          </cell>
          <cell r="F163" t="str">
            <v xml:space="preserve"> 5-10 years</v>
          </cell>
          <cell r="G163">
            <v>6.6721423682409302</v>
          </cell>
          <cell r="H163">
            <v>350</v>
          </cell>
          <cell r="I163">
            <v>0.66671829245411063</v>
          </cell>
          <cell r="J163">
            <v>0.48273134721856048</v>
          </cell>
          <cell r="K163">
            <v>7.5971148628802138E-2</v>
          </cell>
          <cell r="L163">
            <v>1.4229028168281801</v>
          </cell>
        </row>
        <row r="164">
          <cell r="A164" t="str">
            <v>KAMALANGA TPS3</v>
          </cell>
          <cell r="B164" t="str">
            <v>KAMALANGA TPS</v>
          </cell>
          <cell r="C164" t="str">
            <v>KAMALANGA TPS</v>
          </cell>
          <cell r="D164" t="str">
            <v>Odisha</v>
          </cell>
          <cell r="E164" t="str">
            <v>PVT SECTOR</v>
          </cell>
          <cell r="F164" t="str">
            <v xml:space="preserve"> 5-10 years</v>
          </cell>
          <cell r="G164">
            <v>6.1765913757700197</v>
          </cell>
          <cell r="H164">
            <v>350</v>
          </cell>
          <cell r="I164">
            <v>0.6679024307439666</v>
          </cell>
          <cell r="J164">
            <v>0.48273134721856048</v>
          </cell>
          <cell r="K164">
            <v>7.5971148628802138E-2</v>
          </cell>
          <cell r="L164">
            <v>1.4229028168281801</v>
          </cell>
        </row>
        <row r="165">
          <cell r="A165" t="str">
            <v>KASAIPALLI TPP1</v>
          </cell>
          <cell r="B165" t="str">
            <v>KASAIPALLI TPP</v>
          </cell>
          <cell r="C165" t="str">
            <v>KASAIPALLI TPP</v>
          </cell>
          <cell r="D165" t="str">
            <v>Chhatisgarh</v>
          </cell>
          <cell r="E165" t="str">
            <v>PVT SECTOR</v>
          </cell>
          <cell r="F165" t="str">
            <v xml:space="preserve"> 5-10 years</v>
          </cell>
          <cell r="G165">
            <v>8.4243668720054696</v>
          </cell>
          <cell r="H165">
            <v>135</v>
          </cell>
          <cell r="I165">
            <v>0.79260247009490747</v>
          </cell>
          <cell r="J165"/>
          <cell r="K165">
            <v>0.11279107493880862</v>
          </cell>
          <cell r="L165">
            <v>0.75762852404644498</v>
          </cell>
        </row>
        <row r="166">
          <cell r="A166" t="str">
            <v>KASAIPALLI TPP2</v>
          </cell>
          <cell r="B166" t="str">
            <v>KASAIPALLI TPP</v>
          </cell>
          <cell r="C166" t="str">
            <v>KASAIPALLI TPP</v>
          </cell>
          <cell r="D166" t="str">
            <v>Chhatisgarh</v>
          </cell>
          <cell r="E166" t="str">
            <v>PVT SECTOR</v>
          </cell>
          <cell r="F166" t="str">
            <v xml:space="preserve"> 5-10 years</v>
          </cell>
          <cell r="G166">
            <v>7.9233401779603003</v>
          </cell>
          <cell r="H166">
            <v>135</v>
          </cell>
          <cell r="I166">
            <v>0.72231786864670056</v>
          </cell>
          <cell r="J166"/>
          <cell r="K166">
            <v>0.11279107493880862</v>
          </cell>
          <cell r="L166">
            <v>0.75762852404644498</v>
          </cell>
        </row>
        <row r="167">
          <cell r="A167" t="str">
            <v>KAWAI TPS1</v>
          </cell>
          <cell r="B167" t="str">
            <v>KAWAI TPS</v>
          </cell>
          <cell r="C167" t="str">
            <v>KAWAI TPS</v>
          </cell>
          <cell r="D167" t="str">
            <v>Rajasthan</v>
          </cell>
          <cell r="E167" t="str">
            <v>PVT SECTOR</v>
          </cell>
          <cell r="F167" t="str">
            <v xml:space="preserve"> 5-10 years</v>
          </cell>
          <cell r="G167">
            <v>7.0088980150581701</v>
          </cell>
          <cell r="H167">
            <v>660</v>
          </cell>
          <cell r="I167">
            <v>0.59578506624145267</v>
          </cell>
          <cell r="J167"/>
          <cell r="K167">
            <v>5.4957824315639968E-2</v>
          </cell>
          <cell r="L167">
            <v>2.3595170142700299</v>
          </cell>
        </row>
        <row r="168">
          <cell r="A168" t="str">
            <v>KAWAI TPS2</v>
          </cell>
          <cell r="B168" t="str">
            <v>KAWAI TPS</v>
          </cell>
          <cell r="C168" t="str">
            <v>KAWAI TPS</v>
          </cell>
          <cell r="D168" t="str">
            <v>Rajasthan</v>
          </cell>
          <cell r="E168" t="str">
            <v>PVT SECTOR</v>
          </cell>
          <cell r="F168" t="str">
            <v xml:space="preserve"> 5-10 years</v>
          </cell>
          <cell r="G168">
            <v>6.4229979466118996</v>
          </cell>
          <cell r="H168">
            <v>660</v>
          </cell>
          <cell r="I168">
            <v>0.59920829522903041</v>
          </cell>
          <cell r="J168"/>
          <cell r="K168">
            <v>5.4957824315639968E-2</v>
          </cell>
          <cell r="L168">
            <v>2.3595170142700299</v>
          </cell>
        </row>
        <row r="169">
          <cell r="A169" t="str">
            <v>KHAMBARKHERA TPS1</v>
          </cell>
          <cell r="B169" t="str">
            <v>KHAMBARKHERA TPS</v>
          </cell>
          <cell r="C169" t="str">
            <v>KHAMBARKHERA TPS</v>
          </cell>
          <cell r="D169" t="str">
            <v>Uttar Pardesh</v>
          </cell>
          <cell r="E169" t="str">
            <v>PVT SECTOR</v>
          </cell>
          <cell r="F169" t="str">
            <v xml:space="preserve"> 5-10 years</v>
          </cell>
          <cell r="G169">
            <v>8.5913757700205302</v>
          </cell>
          <cell r="H169">
            <v>45</v>
          </cell>
          <cell r="I169">
            <v>0.13315430202347683</v>
          </cell>
          <cell r="J169"/>
          <cell r="K169">
            <v>0.10098421534569983</v>
          </cell>
          <cell r="L169">
            <v>3.7326535087719201</v>
          </cell>
        </row>
        <row r="170">
          <cell r="A170" t="str">
            <v>KHAMBARKHERA TPS2</v>
          </cell>
          <cell r="B170" t="str">
            <v>KHAMBARKHERA TPS</v>
          </cell>
          <cell r="C170" t="str">
            <v>KHAMBARKHERA TPS</v>
          </cell>
          <cell r="D170" t="str">
            <v>Uttar Pardesh</v>
          </cell>
          <cell r="E170" t="str">
            <v>PVT SECTOR</v>
          </cell>
          <cell r="F170" t="str">
            <v xml:space="preserve"> 5-10 years</v>
          </cell>
          <cell r="G170">
            <v>8.5065023956194299</v>
          </cell>
          <cell r="H170">
            <v>45</v>
          </cell>
          <cell r="I170">
            <v>0.13841128084049167</v>
          </cell>
          <cell r="J170"/>
          <cell r="K170">
            <v>0.10098421534569983</v>
          </cell>
          <cell r="L170">
            <v>3.7326535087719201</v>
          </cell>
        </row>
        <row r="171">
          <cell r="A171" t="str">
            <v>KHAPARKHEDA TPS1</v>
          </cell>
          <cell r="B171" t="str">
            <v>KHAPARKHEDA TPS</v>
          </cell>
          <cell r="C171" t="str">
            <v>KHAPARKHEDA TPS UNIT 1-4</v>
          </cell>
          <cell r="D171" t="str">
            <v>Maharashtra</v>
          </cell>
          <cell r="E171" t="str">
            <v>STATE SECTOR</v>
          </cell>
          <cell r="F171" t="str">
            <v xml:space="preserve"> 30-35 years</v>
          </cell>
          <cell r="G171">
            <v>31.175906913073199</v>
          </cell>
          <cell r="H171">
            <v>210</v>
          </cell>
          <cell r="I171">
            <v>0.38772934123115083</v>
          </cell>
          <cell r="J171">
            <v>0.88448509485094851</v>
          </cell>
          <cell r="K171">
            <v>8.9781177379789912E-2</v>
          </cell>
          <cell r="L171">
            <v>2.7295164835164401</v>
          </cell>
        </row>
        <row r="172">
          <cell r="A172" t="str">
            <v>KHAPARKHEDA TPS2</v>
          </cell>
          <cell r="B172" t="str">
            <v>KHAPARKHEDA TPS</v>
          </cell>
          <cell r="C172" t="str">
            <v>KHAPARKHEDA TPS UNIT 1-4</v>
          </cell>
          <cell r="D172" t="str">
            <v>Maharashtra</v>
          </cell>
          <cell r="E172" t="str">
            <v>STATE SECTOR</v>
          </cell>
          <cell r="F172" t="str">
            <v xml:space="preserve"> 30-35 years</v>
          </cell>
          <cell r="G172">
            <v>30.338124572210798</v>
          </cell>
          <cell r="H172">
            <v>210</v>
          </cell>
          <cell r="I172">
            <v>0.54415924922282943</v>
          </cell>
          <cell r="J172">
            <v>0.88448509485094851</v>
          </cell>
          <cell r="K172">
            <v>8.9781177379789912E-2</v>
          </cell>
          <cell r="L172">
            <v>2.7295164835164401</v>
          </cell>
        </row>
        <row r="173">
          <cell r="A173" t="str">
            <v>KHAPARKHEDA TPS3</v>
          </cell>
          <cell r="B173" t="str">
            <v>KHAPARKHEDA TPS</v>
          </cell>
          <cell r="C173" t="str">
            <v>KHAPARKHEDA TPS UNIT 1-4</v>
          </cell>
          <cell r="D173" t="str">
            <v>Maharashtra</v>
          </cell>
          <cell r="E173" t="str">
            <v>STATE SECTOR</v>
          </cell>
          <cell r="F173" t="str">
            <v xml:space="preserve"> 15-20 years</v>
          </cell>
          <cell r="G173">
            <v>20.008213552361301</v>
          </cell>
          <cell r="H173">
            <v>210</v>
          </cell>
          <cell r="I173">
            <v>0.54442143019331157</v>
          </cell>
          <cell r="J173">
            <v>0.88448509485094851</v>
          </cell>
          <cell r="K173">
            <v>8.9781177379789912E-2</v>
          </cell>
          <cell r="L173">
            <v>2.7295164835164401</v>
          </cell>
        </row>
        <row r="174">
          <cell r="A174" t="str">
            <v>KHAPARKHEDA TPS4</v>
          </cell>
          <cell r="B174" t="str">
            <v>KHAPARKHEDA TPS</v>
          </cell>
          <cell r="C174" t="str">
            <v>KHAPARKHEDA TPS UNIT 1-4</v>
          </cell>
          <cell r="D174" t="str">
            <v>Maharashtra</v>
          </cell>
          <cell r="E174" t="str">
            <v>STATE SECTOR</v>
          </cell>
          <cell r="F174" t="str">
            <v xml:space="preserve"> 15-20 years</v>
          </cell>
          <cell r="G174">
            <v>19.337440109513999</v>
          </cell>
          <cell r="H174">
            <v>210</v>
          </cell>
          <cell r="I174">
            <v>0.63123235386826382</v>
          </cell>
          <cell r="J174">
            <v>0.88448509485094851</v>
          </cell>
          <cell r="K174">
            <v>8.9781177379789912E-2</v>
          </cell>
          <cell r="L174">
            <v>2.7295164835164401</v>
          </cell>
        </row>
        <row r="175">
          <cell r="A175" t="str">
            <v>KHAPARKHEDA TPS5</v>
          </cell>
          <cell r="B175" t="str">
            <v>KHAPARKHEDA TPS</v>
          </cell>
          <cell r="C175" t="str">
            <v>KHAPARKHEDA TPS UNIT 5</v>
          </cell>
          <cell r="D175" t="str">
            <v>Maharashtra</v>
          </cell>
          <cell r="E175" t="str">
            <v>STATE SECTOR</v>
          </cell>
          <cell r="F175" t="str">
            <v xml:space="preserve"> 5-10 years</v>
          </cell>
          <cell r="G175">
            <v>8.7583846680355908</v>
          </cell>
          <cell r="H175">
            <v>500</v>
          </cell>
          <cell r="I175">
            <v>0.71149685198427415</v>
          </cell>
          <cell r="J175">
            <v>0.88165289256198343</v>
          </cell>
          <cell r="K175">
            <v>8.9781177379789912E-2</v>
          </cell>
          <cell r="L175">
            <v>2.3509670329670298</v>
          </cell>
        </row>
        <row r="176">
          <cell r="A176" t="str">
            <v>KHARGONE STPP1</v>
          </cell>
          <cell r="B176" t="str">
            <v>KHARGONE STPP</v>
          </cell>
          <cell r="C176" t="str">
            <v>KHARGONE STPP UNIT 1</v>
          </cell>
          <cell r="D176" t="str">
            <v>Madhya Pradesh</v>
          </cell>
          <cell r="E176" t="str">
            <v>CENTRAL SECTOR</v>
          </cell>
          <cell r="F176" t="str">
            <v xml:space="preserve"> 0-5 years</v>
          </cell>
          <cell r="G176">
            <v>0.60232717316906204</v>
          </cell>
          <cell r="H176">
            <v>660</v>
          </cell>
          <cell r="I176">
            <v>0.28220059403202707</v>
          </cell>
          <cell r="J176"/>
          <cell r="L176">
            <v>2.8299999999999899</v>
          </cell>
        </row>
        <row r="177">
          <cell r="A177" t="str">
            <v>KODARMA TPS1</v>
          </cell>
          <cell r="B177" t="str">
            <v>KODARMA TPS</v>
          </cell>
          <cell r="C177" t="str">
            <v>KODARMA TPS</v>
          </cell>
          <cell r="D177" t="str">
            <v>Jharkhand</v>
          </cell>
          <cell r="E177" t="str">
            <v>CENTRAL SECTOR</v>
          </cell>
          <cell r="F177" t="str">
            <v xml:space="preserve"> 5-10 years</v>
          </cell>
          <cell r="G177">
            <v>8.8432580424366805</v>
          </cell>
          <cell r="H177">
            <v>500</v>
          </cell>
          <cell r="I177">
            <v>0.80142073406077252</v>
          </cell>
          <cell r="J177">
            <v>0.68983050847457628</v>
          </cell>
          <cell r="K177">
            <v>8.5199811693282709E-2</v>
          </cell>
          <cell r="L177">
            <v>2.2301631812420699</v>
          </cell>
        </row>
        <row r="178">
          <cell r="A178" t="str">
            <v>KODARMA TPS2</v>
          </cell>
          <cell r="B178" t="str">
            <v>KODARMA TPS</v>
          </cell>
          <cell r="C178" t="str">
            <v>KODARMA TPS</v>
          </cell>
          <cell r="D178" t="str">
            <v>Jharkhand</v>
          </cell>
          <cell r="E178" t="str">
            <v>CENTRAL SECTOR</v>
          </cell>
          <cell r="F178" t="str">
            <v xml:space="preserve"> 5-10 years</v>
          </cell>
          <cell r="G178">
            <v>7.2525667351129304</v>
          </cell>
          <cell r="H178">
            <v>500</v>
          </cell>
          <cell r="I178">
            <v>0.67310131779284421</v>
          </cell>
          <cell r="J178">
            <v>0.68983050847457628</v>
          </cell>
          <cell r="K178">
            <v>8.5199811693282709E-2</v>
          </cell>
          <cell r="L178">
            <v>2.2301631812420699</v>
          </cell>
        </row>
        <row r="179">
          <cell r="A179" t="str">
            <v>KOLAGHAT TPS1</v>
          </cell>
          <cell r="B179" t="str">
            <v>KOLAGHAT TPS</v>
          </cell>
          <cell r="C179" t="str">
            <v>KOLAGHAT TPS</v>
          </cell>
          <cell r="D179" t="str">
            <v>West Bengal</v>
          </cell>
          <cell r="E179" t="str">
            <v>STATE SECTOR</v>
          </cell>
          <cell r="F179" t="str">
            <v xml:space="preserve"> 25-30 years</v>
          </cell>
          <cell r="G179">
            <v>27.337440109513999</v>
          </cell>
          <cell r="H179">
            <v>210</v>
          </cell>
          <cell r="I179">
            <v>0.16711051398477242</v>
          </cell>
          <cell r="J179">
            <v>0.89778434268833085</v>
          </cell>
          <cell r="K179">
            <v>0.11038497174813085</v>
          </cell>
          <cell r="L179">
            <v>3.5887610619468902</v>
          </cell>
        </row>
        <row r="180">
          <cell r="A180" t="str">
            <v>KOLAGHAT TPS2</v>
          </cell>
          <cell r="B180" t="str">
            <v>KOLAGHAT TPS</v>
          </cell>
          <cell r="C180" t="str">
            <v>KOLAGHAT TPS</v>
          </cell>
          <cell r="D180" t="str">
            <v>West Bengal</v>
          </cell>
          <cell r="E180" t="str">
            <v>STATE SECTOR</v>
          </cell>
          <cell r="F180" t="str">
            <v xml:space="preserve"> 25-30 years</v>
          </cell>
          <cell r="G180">
            <v>29.7577002053388</v>
          </cell>
          <cell r="H180">
            <v>210</v>
          </cell>
          <cell r="I180">
            <v>0.45843893683754766</v>
          </cell>
          <cell r="J180">
            <v>0.89778434268833085</v>
          </cell>
          <cell r="K180">
            <v>0.11038497174813085</v>
          </cell>
          <cell r="L180">
            <v>3.5887610619468902</v>
          </cell>
        </row>
        <row r="181">
          <cell r="A181" t="str">
            <v>KOLAGHAT TPS3</v>
          </cell>
          <cell r="B181" t="str">
            <v>KOLAGHAT TPS</v>
          </cell>
          <cell r="C181" t="str">
            <v>KOLAGHAT TPS</v>
          </cell>
          <cell r="D181" t="str">
            <v>West Bengal</v>
          </cell>
          <cell r="E181" t="str">
            <v>STATE SECTOR</v>
          </cell>
          <cell r="F181" t="str">
            <v xml:space="preserve"> 30-35 years</v>
          </cell>
          <cell r="G181">
            <v>34.4229979466119</v>
          </cell>
          <cell r="H181">
            <v>210</v>
          </cell>
          <cell r="I181">
            <v>9.1184502474824999E-3</v>
          </cell>
          <cell r="J181">
            <v>0.89778434268833085</v>
          </cell>
          <cell r="K181">
            <v>0.11038497174813085</v>
          </cell>
          <cell r="L181">
            <v>3.5887610619468902</v>
          </cell>
        </row>
        <row r="182">
          <cell r="A182" t="str">
            <v>KOLAGHAT TPS4</v>
          </cell>
          <cell r="B182" t="str">
            <v>KOLAGHAT TPS</v>
          </cell>
          <cell r="C182" t="str">
            <v>KOLAGHAT TPS</v>
          </cell>
          <cell r="D182" t="str">
            <v>West Bengal</v>
          </cell>
          <cell r="E182" t="str">
            <v>STATE SECTOR</v>
          </cell>
          <cell r="F182" t="str">
            <v xml:space="preserve"> 35-40 years</v>
          </cell>
          <cell r="G182">
            <v>36.339493497604302</v>
          </cell>
          <cell r="H182">
            <v>210</v>
          </cell>
          <cell r="I182">
            <v>0.48277161562313692</v>
          </cell>
          <cell r="J182">
            <v>0.89778434268833085</v>
          </cell>
          <cell r="K182">
            <v>0.11038497174813085</v>
          </cell>
          <cell r="L182">
            <v>3.5887610619468902</v>
          </cell>
        </row>
        <row r="183">
          <cell r="A183" t="str">
            <v>KOLAGHAT TPS5</v>
          </cell>
          <cell r="B183" t="str">
            <v>KOLAGHAT TPS</v>
          </cell>
          <cell r="C183" t="str">
            <v>KOLAGHAT TPS</v>
          </cell>
          <cell r="D183" t="str">
            <v>West Bengal</v>
          </cell>
          <cell r="E183" t="str">
            <v>STATE SECTOR</v>
          </cell>
          <cell r="F183" t="str">
            <v xml:space="preserve"> 25-30 years</v>
          </cell>
          <cell r="G183">
            <v>26.4229979466119</v>
          </cell>
          <cell r="H183">
            <v>210</v>
          </cell>
          <cell r="I183">
            <v>0.56405127910282737</v>
          </cell>
          <cell r="J183">
            <v>0.89778434268833085</v>
          </cell>
          <cell r="K183">
            <v>0.11038497174813085</v>
          </cell>
          <cell r="L183">
            <v>3.5887610619468902</v>
          </cell>
        </row>
        <row r="184">
          <cell r="A184" t="str">
            <v>KOLAGHAT TPS6</v>
          </cell>
          <cell r="B184" t="str">
            <v>KOLAGHAT TPS</v>
          </cell>
          <cell r="C184" t="str">
            <v>KOLAGHAT TPS</v>
          </cell>
          <cell r="D184" t="str">
            <v>West Bengal</v>
          </cell>
          <cell r="E184" t="str">
            <v>STATE SECTOR</v>
          </cell>
          <cell r="F184" t="str">
            <v xml:space="preserve"> 25-30 years</v>
          </cell>
          <cell r="G184">
            <v>29.177275838466802</v>
          </cell>
          <cell r="H184">
            <v>210</v>
          </cell>
          <cell r="I184">
            <v>0.51281886332788695</v>
          </cell>
          <cell r="J184">
            <v>0.89778434268833085</v>
          </cell>
          <cell r="K184">
            <v>0.11038497174813085</v>
          </cell>
          <cell r="L184">
            <v>3.5887610619468902</v>
          </cell>
        </row>
        <row r="185">
          <cell r="A185" t="str">
            <v>KORADI TPS10</v>
          </cell>
          <cell r="B185" t="str">
            <v>KORADI TPS</v>
          </cell>
          <cell r="C185" t="str">
            <v>KORADI TPS UNIT 8-10</v>
          </cell>
          <cell r="D185" t="str">
            <v>Maharashtra</v>
          </cell>
          <cell r="E185" t="str">
            <v>STATE SECTOR</v>
          </cell>
          <cell r="F185" t="str">
            <v xml:space="preserve"> 0-5 years</v>
          </cell>
          <cell r="G185">
            <v>3.4223134839151199</v>
          </cell>
          <cell r="H185">
            <v>660</v>
          </cell>
          <cell r="I185">
            <v>0.515785480183654</v>
          </cell>
          <cell r="J185">
            <v>0.99484066767830048</v>
          </cell>
          <cell r="K185">
            <v>8.2497496941869752E-2</v>
          </cell>
          <cell r="L185">
            <v>2.1859560439560699</v>
          </cell>
        </row>
        <row r="186">
          <cell r="A186" t="str">
            <v>KORADI TPS6</v>
          </cell>
          <cell r="B186" t="str">
            <v>KORADI TPS</v>
          </cell>
          <cell r="C186" t="str">
            <v>KORADI TPS UNIT 5-7</v>
          </cell>
          <cell r="D186" t="str">
            <v>Maharashtra</v>
          </cell>
          <cell r="E186" t="str">
            <v>STATE SECTOR</v>
          </cell>
          <cell r="F186" t="str">
            <v xml:space="preserve"> 35-40 years</v>
          </cell>
          <cell r="G186">
            <v>38.176591375770002</v>
          </cell>
          <cell r="H186">
            <v>210</v>
          </cell>
          <cell r="I186">
            <v>0.15539424999390436</v>
          </cell>
          <cell r="J186">
            <v>0.82209847596717467</v>
          </cell>
          <cell r="K186">
            <v>8.2497496941869752E-2</v>
          </cell>
          <cell r="L186">
            <v>2.2865934065933602</v>
          </cell>
        </row>
        <row r="187">
          <cell r="A187" t="str">
            <v>KORADI TPS7</v>
          </cell>
          <cell r="B187" t="str">
            <v>KORADI TPS</v>
          </cell>
          <cell r="C187" t="str">
            <v>KORADI TPS UNIT 5-7</v>
          </cell>
          <cell r="D187" t="str">
            <v>Maharashtra</v>
          </cell>
          <cell r="E187" t="str">
            <v>STATE SECTOR</v>
          </cell>
          <cell r="F187" t="str">
            <v xml:space="preserve"> 35-40 years</v>
          </cell>
          <cell r="G187">
            <v>37.338809034907598</v>
          </cell>
          <cell r="H187">
            <v>210</v>
          </cell>
          <cell r="I187">
            <v>9.3381250576281938E-2</v>
          </cell>
          <cell r="J187">
            <v>0.82209847596717467</v>
          </cell>
          <cell r="K187">
            <v>8.2497496941869752E-2</v>
          </cell>
          <cell r="L187">
            <v>2.2865934065933602</v>
          </cell>
        </row>
        <row r="188">
          <cell r="A188" t="str">
            <v>KORADI TPS8</v>
          </cell>
          <cell r="B188" t="str">
            <v>KORADI TPS</v>
          </cell>
          <cell r="C188" t="str">
            <v>KORADI TPS UNIT 8-10</v>
          </cell>
          <cell r="D188" t="str">
            <v>Maharashtra</v>
          </cell>
          <cell r="E188" t="str">
            <v>STATE SECTOR</v>
          </cell>
          <cell r="F188" t="str">
            <v xml:space="preserve"> 5-10 years</v>
          </cell>
          <cell r="G188">
            <v>5.1772758384667998</v>
          </cell>
          <cell r="H188">
            <v>660</v>
          </cell>
          <cell r="I188">
            <v>0.46886104458283651</v>
          </cell>
          <cell r="J188">
            <v>0.99484066767830048</v>
          </cell>
          <cell r="K188">
            <v>8.2497496941869752E-2</v>
          </cell>
          <cell r="L188">
            <v>2.1859560439560699</v>
          </cell>
        </row>
        <row r="189">
          <cell r="A189" t="str">
            <v>KORADI TPS9</v>
          </cell>
          <cell r="B189" t="str">
            <v>KORADI TPS</v>
          </cell>
          <cell r="C189" t="str">
            <v>KORADI TPS UNIT 8-10</v>
          </cell>
          <cell r="D189" t="str">
            <v>Maharashtra</v>
          </cell>
          <cell r="E189" t="str">
            <v>STATE SECTOR</v>
          </cell>
          <cell r="F189" t="str">
            <v xml:space="preserve"> 0-5 years</v>
          </cell>
          <cell r="G189">
            <v>4.1752224503764497</v>
          </cell>
          <cell r="H189">
            <v>660</v>
          </cell>
          <cell r="I189">
            <v>0.46310997129869952</v>
          </cell>
          <cell r="J189">
            <v>0.99484066767830048</v>
          </cell>
          <cell r="K189">
            <v>8.2497496941869752E-2</v>
          </cell>
          <cell r="L189">
            <v>2.1859560439560699</v>
          </cell>
        </row>
        <row r="190">
          <cell r="A190" t="str">
            <v>KORBA STPS1</v>
          </cell>
          <cell r="B190" t="str">
            <v>KORBA STPS</v>
          </cell>
          <cell r="C190" t="str">
            <v>KORBA STPS UNIT 1-6</v>
          </cell>
          <cell r="D190" t="str">
            <v>Chhatisgarh</v>
          </cell>
          <cell r="E190" t="str">
            <v>CENTRAL SECTOR</v>
          </cell>
          <cell r="F190" t="str">
            <v xml:space="preserve"> 35-40 years</v>
          </cell>
          <cell r="G190">
            <v>37.2539356605065</v>
          </cell>
          <cell r="H190">
            <v>200</v>
          </cell>
          <cell r="I190">
            <v>0.87778879089640816</v>
          </cell>
          <cell r="J190">
            <v>0.27277108433734942</v>
          </cell>
          <cell r="K190">
            <v>6.2610933454142856E-2</v>
          </cell>
          <cell r="L190">
            <v>1.31693546675523</v>
          </cell>
        </row>
        <row r="191">
          <cell r="A191" t="str">
            <v>KORBA STPS2</v>
          </cell>
          <cell r="B191" t="str">
            <v>KORBA STPS</v>
          </cell>
          <cell r="C191" t="str">
            <v>KORBA STPS UNIT 1-6</v>
          </cell>
          <cell r="D191" t="str">
            <v>Chhatisgarh</v>
          </cell>
          <cell r="E191" t="str">
            <v>CENTRAL SECTOR</v>
          </cell>
          <cell r="F191" t="str">
            <v xml:space="preserve"> 35-40 years</v>
          </cell>
          <cell r="G191">
            <v>36.591375770020498</v>
          </cell>
          <cell r="H191">
            <v>200</v>
          </cell>
          <cell r="I191">
            <v>0.85662028484765418</v>
          </cell>
          <cell r="J191">
            <v>0.27277108433734942</v>
          </cell>
          <cell r="K191">
            <v>6.2610933454142856E-2</v>
          </cell>
          <cell r="L191">
            <v>1.31693546675523</v>
          </cell>
        </row>
        <row r="192">
          <cell r="A192" t="str">
            <v>KORBA STPS3</v>
          </cell>
          <cell r="B192" t="str">
            <v>KORBA STPS</v>
          </cell>
          <cell r="C192" t="str">
            <v>KORBA STPS UNIT 1-6</v>
          </cell>
          <cell r="D192" t="str">
            <v>Chhatisgarh</v>
          </cell>
          <cell r="E192" t="str">
            <v>CENTRAL SECTOR</v>
          </cell>
          <cell r="F192" t="str">
            <v xml:space="preserve"> 35-40 years</v>
          </cell>
          <cell r="G192">
            <v>36.175222450376403</v>
          </cell>
          <cell r="H192">
            <v>200</v>
          </cell>
          <cell r="I192">
            <v>0.91811892708630427</v>
          </cell>
          <cell r="J192">
            <v>0.27277108433734942</v>
          </cell>
          <cell r="K192">
            <v>6.2610933454142856E-2</v>
          </cell>
          <cell r="L192">
            <v>1.31693546675523</v>
          </cell>
        </row>
        <row r="193">
          <cell r="A193" t="str">
            <v>KORBA STPS4</v>
          </cell>
          <cell r="B193" t="str">
            <v>KORBA STPS</v>
          </cell>
          <cell r="C193" t="str">
            <v>KORBA STPS UNIT 1-6</v>
          </cell>
          <cell r="D193" t="str">
            <v>Chhatisgarh</v>
          </cell>
          <cell r="E193" t="str">
            <v>CENTRAL SECTOR</v>
          </cell>
          <cell r="F193" t="str">
            <v xml:space="preserve"> 30-35 years</v>
          </cell>
          <cell r="G193">
            <v>33.0102669404517</v>
          </cell>
          <cell r="H193">
            <v>500</v>
          </cell>
          <cell r="I193">
            <v>0.87386850939609162</v>
          </cell>
          <cell r="J193">
            <v>0.27277108433734942</v>
          </cell>
          <cell r="K193">
            <v>6.2610933454142856E-2</v>
          </cell>
          <cell r="L193">
            <v>1.31693546675523</v>
          </cell>
        </row>
        <row r="194">
          <cell r="A194" t="str">
            <v>KORBA STPS5</v>
          </cell>
          <cell r="B194" t="str">
            <v>KORBA STPS</v>
          </cell>
          <cell r="C194" t="str">
            <v>KORBA STPS UNIT 1-6</v>
          </cell>
          <cell r="D194" t="str">
            <v>Chhatisgarh</v>
          </cell>
          <cell r="E194" t="str">
            <v>CENTRAL SECTOR</v>
          </cell>
          <cell r="F194" t="str">
            <v xml:space="preserve"> 30-35 years</v>
          </cell>
          <cell r="G194">
            <v>32.175222450376403</v>
          </cell>
          <cell r="H194">
            <v>500</v>
          </cell>
          <cell r="I194">
            <v>0.83248639449476503</v>
          </cell>
          <cell r="J194">
            <v>0.27277108433734942</v>
          </cell>
          <cell r="K194">
            <v>6.2610933454142856E-2</v>
          </cell>
          <cell r="L194">
            <v>1.31693546675523</v>
          </cell>
        </row>
        <row r="195">
          <cell r="A195" t="str">
            <v>KORBA STPS6</v>
          </cell>
          <cell r="B195" t="str">
            <v>KORBA STPS</v>
          </cell>
          <cell r="C195" t="str">
            <v>KORBA STPS UNIT 1-6</v>
          </cell>
          <cell r="D195" t="str">
            <v>Chhatisgarh</v>
          </cell>
          <cell r="E195" t="str">
            <v>CENTRAL SECTOR</v>
          </cell>
          <cell r="F195" t="str">
            <v xml:space="preserve"> 30-35 years</v>
          </cell>
          <cell r="G195">
            <v>31.2525667351129</v>
          </cell>
          <cell r="H195">
            <v>500</v>
          </cell>
          <cell r="I195">
            <v>0.88173190698095838</v>
          </cell>
          <cell r="J195">
            <v>0.27277108433734942</v>
          </cell>
          <cell r="K195">
            <v>6.2610933454142856E-2</v>
          </cell>
          <cell r="L195">
            <v>1.31693546675523</v>
          </cell>
        </row>
        <row r="196">
          <cell r="A196" t="str">
            <v>KORBA STPS7</v>
          </cell>
          <cell r="B196" t="str">
            <v>KORBA STPS</v>
          </cell>
          <cell r="C196" t="str">
            <v>KORBA STPS UNIT 7</v>
          </cell>
          <cell r="D196" t="str">
            <v>Chhatisgarh</v>
          </cell>
          <cell r="E196" t="str">
            <v>CENTRAL SECTOR</v>
          </cell>
          <cell r="F196" t="str">
            <v xml:space="preserve"> 5-10 years</v>
          </cell>
          <cell r="G196">
            <v>9.5058179329226498</v>
          </cell>
          <cell r="H196">
            <v>500</v>
          </cell>
          <cell r="I196">
            <v>0.90573937567599172</v>
          </cell>
          <cell r="J196">
            <v>0.27277108433734942</v>
          </cell>
          <cell r="K196">
            <v>6.2610933454142856E-2</v>
          </cell>
          <cell r="L196">
            <v>1.28310934240166</v>
          </cell>
        </row>
        <row r="197">
          <cell r="A197" t="str">
            <v>KORBA-II2</v>
          </cell>
          <cell r="B197" t="str">
            <v>KORBA-II</v>
          </cell>
          <cell r="C197" t="str">
            <v>KORBA EAST TPS (STG II &amp; III)</v>
          </cell>
          <cell r="D197" t="str">
            <v>Chhatisgarh</v>
          </cell>
          <cell r="E197" t="str">
            <v>STATE SECTOR</v>
          </cell>
          <cell r="F197" t="str">
            <v xml:space="preserve"> 45+ years</v>
          </cell>
          <cell r="G197">
            <v>53.0102669404517</v>
          </cell>
          <cell r="H197">
            <v>50</v>
          </cell>
          <cell r="I197">
            <v>1.384778097062575E-2</v>
          </cell>
          <cell r="J197">
            <v>1.93</v>
          </cell>
          <cell r="L197">
            <v>2.0382894736842001</v>
          </cell>
        </row>
        <row r="198">
          <cell r="A198" t="str">
            <v>KORBA-II3</v>
          </cell>
          <cell r="B198" t="str">
            <v>KORBA-II</v>
          </cell>
          <cell r="C198" t="str">
            <v>KORBA EAST TPS (STG II &amp; III)</v>
          </cell>
          <cell r="D198" t="str">
            <v>Chhatisgarh</v>
          </cell>
          <cell r="E198" t="str">
            <v>STATE SECTOR</v>
          </cell>
          <cell r="F198" t="str">
            <v xml:space="preserve"> 45+ years</v>
          </cell>
          <cell r="G198">
            <v>52.175222450376403</v>
          </cell>
          <cell r="H198">
            <v>50</v>
          </cell>
          <cell r="I198">
            <v>0.31251620351978332</v>
          </cell>
          <cell r="J198">
            <v>1.93</v>
          </cell>
          <cell r="L198">
            <v>2.0382894736842001</v>
          </cell>
        </row>
        <row r="199">
          <cell r="A199" t="str">
            <v>KORBA-II4</v>
          </cell>
          <cell r="B199" t="str">
            <v>KORBA-II</v>
          </cell>
          <cell r="C199" t="str">
            <v>KORBA EAST TPS (STG II &amp; III)</v>
          </cell>
          <cell r="D199" t="str">
            <v>Chhatisgarh</v>
          </cell>
          <cell r="E199" t="str">
            <v>STATE SECTOR</v>
          </cell>
          <cell r="F199" t="str">
            <v xml:space="preserve"> 45+ years</v>
          </cell>
          <cell r="G199">
            <v>51.589322381930103</v>
          </cell>
          <cell r="H199">
            <v>50</v>
          </cell>
          <cell r="I199">
            <v>0.25848877905197415</v>
          </cell>
          <cell r="J199">
            <v>1.93</v>
          </cell>
          <cell r="L199">
            <v>2.0382894736842001</v>
          </cell>
        </row>
        <row r="200">
          <cell r="A200" t="str">
            <v>KORBA-III1</v>
          </cell>
          <cell r="B200" t="str">
            <v>KORBA-III</v>
          </cell>
          <cell r="C200" t="str">
            <v>KORBA EAST TPS (STG II &amp; III)</v>
          </cell>
          <cell r="D200" t="str">
            <v>Chhatisgarh</v>
          </cell>
          <cell r="E200" t="str">
            <v>STATE SECTOR</v>
          </cell>
          <cell r="F200" t="str">
            <v xml:space="preserve"> 40-45 years</v>
          </cell>
          <cell r="G200">
            <v>44.090349075975297</v>
          </cell>
          <cell r="H200">
            <v>120</v>
          </cell>
          <cell r="I200">
            <v>0.63797790209531247</v>
          </cell>
          <cell r="J200">
            <v>1.93</v>
          </cell>
          <cell r="L200">
            <v>2.0382894736842001</v>
          </cell>
        </row>
        <row r="201">
          <cell r="A201" t="str">
            <v>KORBA-III2</v>
          </cell>
          <cell r="B201" t="str">
            <v>KORBA-III</v>
          </cell>
          <cell r="C201" t="str">
            <v>KORBA EAST TPS (STG II &amp; III)</v>
          </cell>
          <cell r="D201" t="str">
            <v>Chhatisgarh</v>
          </cell>
          <cell r="E201" t="str">
            <v>STATE SECTOR</v>
          </cell>
          <cell r="F201" t="str">
            <v xml:space="preserve"> 35-40 years</v>
          </cell>
          <cell r="G201">
            <v>39.0910335386721</v>
          </cell>
          <cell r="H201">
            <v>120</v>
          </cell>
          <cell r="I201">
            <v>0.62117492895790272</v>
          </cell>
          <cell r="J201">
            <v>1.93</v>
          </cell>
          <cell r="L201">
            <v>2.0382894736842001</v>
          </cell>
        </row>
        <row r="202">
          <cell r="A202" t="str">
            <v>KORBA-WEST TPS1</v>
          </cell>
          <cell r="B202" t="str">
            <v>KORBA-WEST TPS</v>
          </cell>
          <cell r="C202" t="str">
            <v>KORBA-WEST TPS UNIT 1-4</v>
          </cell>
          <cell r="D202" t="str">
            <v>Chhatisgarh</v>
          </cell>
          <cell r="E202" t="str">
            <v>STATE SECTOR</v>
          </cell>
          <cell r="F202" t="str">
            <v xml:space="preserve"> 35-40 years</v>
          </cell>
          <cell r="G202">
            <v>36.925393566050602</v>
          </cell>
          <cell r="H202">
            <v>220</v>
          </cell>
          <cell r="I202">
            <v>0.67572815020871779</v>
          </cell>
          <cell r="J202"/>
          <cell r="K202">
            <v>6.0941992912102581E-2</v>
          </cell>
          <cell r="L202">
            <v>1.5377960526315799</v>
          </cell>
        </row>
        <row r="203">
          <cell r="A203" t="str">
            <v>KORBA-WEST TPS2</v>
          </cell>
          <cell r="B203" t="str">
            <v>KORBA-WEST TPS</v>
          </cell>
          <cell r="C203" t="str">
            <v>KORBA-WEST TPS UNIT 1-4</v>
          </cell>
          <cell r="D203" t="str">
            <v>Chhatisgarh</v>
          </cell>
          <cell r="E203" t="str">
            <v>STATE SECTOR</v>
          </cell>
          <cell r="F203" t="str">
            <v xml:space="preserve"> 35-40 years</v>
          </cell>
          <cell r="G203">
            <v>36.175222450376403</v>
          </cell>
          <cell r="H203">
            <v>210</v>
          </cell>
          <cell r="I203">
            <v>0.73033587879715878</v>
          </cell>
          <cell r="J203"/>
          <cell r="K203">
            <v>6.0941992912102581E-2</v>
          </cell>
          <cell r="L203">
            <v>1.5377960526315799</v>
          </cell>
        </row>
        <row r="204">
          <cell r="A204" t="str">
            <v>KORBA-WEST TPS3</v>
          </cell>
          <cell r="B204" t="str">
            <v>KORBA-WEST TPS</v>
          </cell>
          <cell r="C204" t="str">
            <v>KORBA-WEST TPS UNIT 1-4</v>
          </cell>
          <cell r="D204" t="str">
            <v>Chhatisgarh</v>
          </cell>
          <cell r="E204" t="str">
            <v>STATE SECTOR</v>
          </cell>
          <cell r="F204" t="str">
            <v xml:space="preserve"> 35-40 years</v>
          </cell>
          <cell r="G204">
            <v>35.175906913073199</v>
          </cell>
          <cell r="H204">
            <v>210</v>
          </cell>
          <cell r="I204">
            <v>0.65048571917713294</v>
          </cell>
          <cell r="J204"/>
          <cell r="K204">
            <v>6.0941992912102581E-2</v>
          </cell>
          <cell r="L204">
            <v>1.5377960526315799</v>
          </cell>
        </row>
        <row r="205">
          <cell r="A205" t="str">
            <v>KORBA-WEST TPS4</v>
          </cell>
          <cell r="B205" t="str">
            <v>KORBA-WEST TPS</v>
          </cell>
          <cell r="C205" t="str">
            <v>KORBA-WEST TPS UNIT 1-4</v>
          </cell>
          <cell r="D205" t="str">
            <v>Chhatisgarh</v>
          </cell>
          <cell r="E205" t="str">
            <v>STATE SECTOR</v>
          </cell>
          <cell r="F205" t="str">
            <v xml:space="preserve"> 30-35 years</v>
          </cell>
          <cell r="G205">
            <v>34.176591375770002</v>
          </cell>
          <cell r="H205">
            <v>210</v>
          </cell>
          <cell r="I205">
            <v>0.75072582299738888</v>
          </cell>
          <cell r="J205"/>
          <cell r="K205">
            <v>6.0941992912102581E-2</v>
          </cell>
          <cell r="L205">
            <v>1.5377960526315799</v>
          </cell>
        </row>
        <row r="206">
          <cell r="A206" t="str">
            <v>KORBA-WEST TPS5</v>
          </cell>
          <cell r="B206" t="str">
            <v>KORBA-WEST TPS</v>
          </cell>
          <cell r="C206" t="str">
            <v>KORBA-WEST TPS UNIT 5</v>
          </cell>
          <cell r="D206" t="str">
            <v>Chhatisgarh</v>
          </cell>
          <cell r="E206" t="str">
            <v>STATE SECTOR</v>
          </cell>
          <cell r="F206" t="str">
            <v xml:space="preserve"> 5-10 years</v>
          </cell>
          <cell r="G206">
            <v>6.8418891170431202</v>
          </cell>
          <cell r="H206">
            <v>500</v>
          </cell>
          <cell r="I206">
            <v>0.86924798902071676</v>
          </cell>
          <cell r="J206">
            <v>1.26</v>
          </cell>
          <cell r="K206">
            <v>6.0941992912102581E-2</v>
          </cell>
          <cell r="L206">
            <v>1.2940899122806999</v>
          </cell>
        </row>
        <row r="207">
          <cell r="A207" t="str">
            <v>KOTA TPS1</v>
          </cell>
          <cell r="B207" t="str">
            <v>KOTA TPS</v>
          </cell>
          <cell r="C207" t="str">
            <v>KOTA TPS</v>
          </cell>
          <cell r="D207" t="str">
            <v>Rajasthan</v>
          </cell>
          <cell r="E207" t="str">
            <v>STATE SECTOR</v>
          </cell>
          <cell r="F207" t="str">
            <v xml:space="preserve"> 35-40 years</v>
          </cell>
          <cell r="G207">
            <v>37.338809034907598</v>
          </cell>
          <cell r="H207">
            <v>110</v>
          </cell>
          <cell r="I207">
            <v>0.4062041354136704</v>
          </cell>
          <cell r="J207">
            <v>1.0100827300930713</v>
          </cell>
          <cell r="K207">
            <v>0.10601035704694049</v>
          </cell>
          <cell r="L207">
            <v>2.99934138309548</v>
          </cell>
        </row>
        <row r="208">
          <cell r="A208" t="str">
            <v>KOTA TPS2</v>
          </cell>
          <cell r="B208" t="str">
            <v>KOTA TPS</v>
          </cell>
          <cell r="C208" t="str">
            <v>KOTA TPS</v>
          </cell>
          <cell r="D208" t="str">
            <v>Rajasthan</v>
          </cell>
          <cell r="E208" t="str">
            <v>STATE SECTOR</v>
          </cell>
          <cell r="F208" t="str">
            <v xml:space="preserve"> 35-40 years</v>
          </cell>
          <cell r="G208">
            <v>36.843258042436602</v>
          </cell>
          <cell r="H208">
            <v>110</v>
          </cell>
          <cell r="I208">
            <v>0.56882149117104541</v>
          </cell>
          <cell r="J208">
            <v>1.0100827300930713</v>
          </cell>
          <cell r="K208">
            <v>0.10601035704694049</v>
          </cell>
          <cell r="L208">
            <v>2.99934138309548</v>
          </cell>
        </row>
        <row r="209">
          <cell r="A209" t="str">
            <v>KOTA TPS3</v>
          </cell>
          <cell r="B209" t="str">
            <v>KOTA TPS</v>
          </cell>
          <cell r="C209" t="str">
            <v>KOTA TPS</v>
          </cell>
          <cell r="D209" t="str">
            <v>Rajasthan</v>
          </cell>
          <cell r="E209" t="str">
            <v>STATE SECTOR</v>
          </cell>
          <cell r="F209" t="str">
            <v xml:space="preserve"> 30-35 years</v>
          </cell>
          <cell r="G209">
            <v>31.671457905544099</v>
          </cell>
          <cell r="H209">
            <v>210</v>
          </cell>
          <cell r="I209">
            <v>0.68396701829830153</v>
          </cell>
          <cell r="J209">
            <v>1.0100827300930713</v>
          </cell>
          <cell r="K209">
            <v>0.10601035704694049</v>
          </cell>
          <cell r="L209">
            <v>2.99934138309548</v>
          </cell>
        </row>
        <row r="210">
          <cell r="A210" t="str">
            <v>KOTA TPS4</v>
          </cell>
          <cell r="B210" t="str">
            <v>KOTA TPS</v>
          </cell>
          <cell r="C210" t="str">
            <v>KOTA TPS</v>
          </cell>
          <cell r="D210" t="str">
            <v>Rajasthan</v>
          </cell>
          <cell r="E210" t="str">
            <v>STATE SECTOR</v>
          </cell>
          <cell r="F210" t="str">
            <v xml:space="preserve"> 30-35 years</v>
          </cell>
          <cell r="G210">
            <v>31.008898015058101</v>
          </cell>
          <cell r="H210">
            <v>210</v>
          </cell>
          <cell r="I210">
            <v>0.69111035742973814</v>
          </cell>
          <cell r="J210">
            <v>1.0100827300930713</v>
          </cell>
          <cell r="K210">
            <v>0.10601035704694049</v>
          </cell>
          <cell r="L210">
            <v>2.99934138309548</v>
          </cell>
        </row>
        <row r="211">
          <cell r="A211" t="str">
            <v>KOTA TPS5</v>
          </cell>
          <cell r="B211" t="str">
            <v>KOTA TPS</v>
          </cell>
          <cell r="C211" t="str">
            <v>KOTA TPS</v>
          </cell>
          <cell r="D211" t="str">
            <v>Rajasthan</v>
          </cell>
          <cell r="E211" t="str">
            <v>STATE SECTOR</v>
          </cell>
          <cell r="F211" t="str">
            <v xml:space="preserve"> 25-30 years</v>
          </cell>
          <cell r="G211">
            <v>26.176591375769998</v>
          </cell>
          <cell r="H211">
            <v>210</v>
          </cell>
          <cell r="I211">
            <v>0.71261484895846827</v>
          </cell>
          <cell r="J211">
            <v>1.0100827300930713</v>
          </cell>
          <cell r="K211">
            <v>0.10601035704694049</v>
          </cell>
          <cell r="L211">
            <v>2.99934138309548</v>
          </cell>
        </row>
        <row r="212">
          <cell r="A212" t="str">
            <v>KOTA TPS6</v>
          </cell>
          <cell r="B212" t="str">
            <v>KOTA TPS</v>
          </cell>
          <cell r="C212" t="str">
            <v>KOTA TPS</v>
          </cell>
          <cell r="D212" t="str">
            <v>Rajasthan</v>
          </cell>
          <cell r="E212" t="str">
            <v>STATE SECTOR</v>
          </cell>
          <cell r="F212" t="str">
            <v xml:space="preserve"> 15-20 years</v>
          </cell>
          <cell r="G212">
            <v>16.843258042436599</v>
          </cell>
          <cell r="H212">
            <v>195</v>
          </cell>
          <cell r="I212">
            <v>0.83034653149484405</v>
          </cell>
          <cell r="J212">
            <v>1.0100827300930713</v>
          </cell>
          <cell r="K212">
            <v>0.10601035704694049</v>
          </cell>
          <cell r="L212">
            <v>2.99934138309548</v>
          </cell>
        </row>
        <row r="213">
          <cell r="A213" t="str">
            <v>KOTA TPS7</v>
          </cell>
          <cell r="B213" t="str">
            <v>KOTA TPS</v>
          </cell>
          <cell r="C213" t="str">
            <v>KOTA TPS</v>
          </cell>
          <cell r="D213" t="str">
            <v>Rajasthan</v>
          </cell>
          <cell r="E213" t="str">
            <v>STATE SECTOR</v>
          </cell>
          <cell r="F213" t="str">
            <v xml:space="preserve"> 10-15 years</v>
          </cell>
          <cell r="G213">
            <v>10.757015742642</v>
          </cell>
          <cell r="H213">
            <v>195</v>
          </cell>
          <cell r="I213">
            <v>0.86533750569722434</v>
          </cell>
          <cell r="J213">
            <v>1.0100827300930713</v>
          </cell>
          <cell r="K213">
            <v>0.10601035704694049</v>
          </cell>
          <cell r="L213">
            <v>2.99934138309548</v>
          </cell>
        </row>
        <row r="214">
          <cell r="A214" t="str">
            <v>KOTHAGUDEM NEW TPS10</v>
          </cell>
          <cell r="B214" t="str">
            <v>KOTHAGUDEM NEW TPS</v>
          </cell>
          <cell r="C214" t="str">
            <v>KOTHAGUDEM NEW TPS UNIT 9-10</v>
          </cell>
          <cell r="D214" t="str">
            <v>Telangana</v>
          </cell>
          <cell r="E214" t="str">
            <v>STATE SECTOR</v>
          </cell>
          <cell r="F214" t="str">
            <v xml:space="preserve"> 20-25 years</v>
          </cell>
          <cell r="G214">
            <v>22.179329226557101</v>
          </cell>
          <cell r="H214">
            <v>250</v>
          </cell>
          <cell r="I214">
            <v>0.85548382682698487</v>
          </cell>
          <cell r="J214"/>
          <cell r="K214">
            <v>7.0000000000000007E-2</v>
          </cell>
          <cell r="L214">
            <v>2.7390789473684198</v>
          </cell>
        </row>
        <row r="215">
          <cell r="A215" t="str">
            <v>KOTHAGUDEM NEW TPS11</v>
          </cell>
          <cell r="B215" t="str">
            <v>KOTHAGUDEM NEW TPS</v>
          </cell>
          <cell r="C215" t="str">
            <v>KOTHAGUDEM NEW TPS UNIT 11</v>
          </cell>
          <cell r="D215" t="str">
            <v>Telangana</v>
          </cell>
          <cell r="E215" t="str">
            <v>STATE SECTOR</v>
          </cell>
          <cell r="F215" t="str">
            <v xml:space="preserve"> 5-10 years</v>
          </cell>
          <cell r="G215">
            <v>8.9253935660506496</v>
          </cell>
          <cell r="H215">
            <v>500</v>
          </cell>
          <cell r="I215">
            <v>0.84102828657355833</v>
          </cell>
          <cell r="J215"/>
          <cell r="K215">
            <v>7.0000000000000007E-2</v>
          </cell>
          <cell r="L215">
            <v>3.0424342105263098</v>
          </cell>
        </row>
        <row r="216">
          <cell r="A216" t="str">
            <v>KOTHAGUDEM NEW TPS9</v>
          </cell>
          <cell r="B216" t="str">
            <v>KOTHAGUDEM NEW TPS</v>
          </cell>
          <cell r="C216" t="str">
            <v>KOTHAGUDEM NEW TPS UNIT 9-10</v>
          </cell>
          <cell r="D216" t="str">
            <v>Telangana</v>
          </cell>
          <cell r="E216" t="str">
            <v>STATE SECTOR</v>
          </cell>
          <cell r="F216" t="str">
            <v xml:space="preserve"> 20-25 years</v>
          </cell>
          <cell r="G216">
            <v>23.104722792607799</v>
          </cell>
          <cell r="H216">
            <v>250</v>
          </cell>
          <cell r="I216">
            <v>0.86383426558609999</v>
          </cell>
          <cell r="J216"/>
          <cell r="K216">
            <v>7.0000000000000007E-2</v>
          </cell>
          <cell r="L216">
            <v>2.7390789473684198</v>
          </cell>
        </row>
        <row r="217">
          <cell r="A217" t="str">
            <v>KOTHAGUDEM STAGE-7 TPS12</v>
          </cell>
          <cell r="B217" t="str">
            <v>KOTHAGUDEM STAGE-7 TPS</v>
          </cell>
          <cell r="C217" t="str">
            <v>KOTHAGUDEM STAGE-7 TPS UNIT 12</v>
          </cell>
          <cell r="D217" t="str">
            <v>Telangana</v>
          </cell>
          <cell r="E217" t="str">
            <v>STATE SECTOR</v>
          </cell>
          <cell r="F217" t="str">
            <v xml:space="preserve"> 0-5 years</v>
          </cell>
          <cell r="G217">
            <v>1.9603011635865799</v>
          </cell>
          <cell r="H217">
            <v>800</v>
          </cell>
          <cell r="I217">
            <v>0.6335653367529791</v>
          </cell>
          <cell r="J217"/>
          <cell r="K217">
            <v>7.0000000000000007E-2</v>
          </cell>
          <cell r="L217">
            <v>2.62913705583756</v>
          </cell>
        </row>
        <row r="218">
          <cell r="A218" t="str">
            <v>KOTHAGUDEM TPS1</v>
          </cell>
          <cell r="B218" t="str">
            <v>KOTHAGUDEM TPS</v>
          </cell>
          <cell r="C218" t="str">
            <v>KOTHAGUDEM TPS</v>
          </cell>
          <cell r="D218" t="str">
            <v>Telengana</v>
          </cell>
          <cell r="E218" t="str">
            <v>STATE SECTOR</v>
          </cell>
          <cell r="F218" t="str">
            <v xml:space="preserve"> 45+ years</v>
          </cell>
          <cell r="G218">
            <v>53.834360027378501</v>
          </cell>
          <cell r="H218">
            <v>60</v>
          </cell>
          <cell r="I218">
            <v>0.69545582086602087</v>
          </cell>
          <cell r="J218"/>
          <cell r="K218">
            <v>0.10678657853863342</v>
          </cell>
          <cell r="L218">
            <v>3.1011564051114102</v>
          </cell>
        </row>
        <row r="219">
          <cell r="A219" t="str">
            <v>KOTHAGUDEM TPS2</v>
          </cell>
          <cell r="B219" t="str">
            <v>KOTHAGUDEM TPS</v>
          </cell>
          <cell r="C219" t="str">
            <v>KOTHAGUDEM TPS</v>
          </cell>
          <cell r="D219" t="str">
            <v>Telengana</v>
          </cell>
          <cell r="E219" t="str">
            <v>STATE SECTOR</v>
          </cell>
          <cell r="F219" t="str">
            <v xml:space="preserve"> 45+ years</v>
          </cell>
          <cell r="G219">
            <v>53.4346338124572</v>
          </cell>
          <cell r="H219">
            <v>60</v>
          </cell>
          <cell r="I219">
            <v>0.73085930550895839</v>
          </cell>
          <cell r="J219"/>
          <cell r="K219">
            <v>0.10678657853863342</v>
          </cell>
          <cell r="L219">
            <v>3.1011564051114102</v>
          </cell>
        </row>
        <row r="220">
          <cell r="A220" t="str">
            <v>KOTHAGUDEM TPS4</v>
          </cell>
          <cell r="B220" t="str">
            <v>KOTHAGUDEM TPS</v>
          </cell>
          <cell r="C220" t="str">
            <v>KOTHAGUDEM TPS</v>
          </cell>
          <cell r="D220" t="str">
            <v>Telengana</v>
          </cell>
          <cell r="E220" t="str">
            <v>STATE SECTOR</v>
          </cell>
          <cell r="F220" t="str">
            <v xml:space="preserve"> 45+ years</v>
          </cell>
          <cell r="G220">
            <v>52.824093086926702</v>
          </cell>
          <cell r="H220">
            <v>60</v>
          </cell>
          <cell r="I220">
            <v>0.76251536086048621</v>
          </cell>
          <cell r="J220"/>
          <cell r="K220">
            <v>0.10678657853863342</v>
          </cell>
          <cell r="L220">
            <v>3.1011564051114102</v>
          </cell>
        </row>
        <row r="221">
          <cell r="A221" t="str">
            <v>KOTHAGUDEM TPS5</v>
          </cell>
          <cell r="B221" t="str">
            <v>KOTHAGUDEM TPS</v>
          </cell>
          <cell r="C221" t="str">
            <v>KOTHAGUDEM TPS</v>
          </cell>
          <cell r="D221" t="str">
            <v>Telengana</v>
          </cell>
          <cell r="E221" t="str">
            <v>STATE SECTOR</v>
          </cell>
          <cell r="F221" t="str">
            <v xml:space="preserve"> 45+ years</v>
          </cell>
          <cell r="G221">
            <v>45.724845995893197</v>
          </cell>
          <cell r="H221">
            <v>120</v>
          </cell>
          <cell r="I221">
            <v>0.67164617814206595</v>
          </cell>
          <cell r="J221"/>
          <cell r="K221">
            <v>0.10678657853863342</v>
          </cell>
          <cell r="L221">
            <v>3.1011564051114102</v>
          </cell>
        </row>
        <row r="222">
          <cell r="A222" t="str">
            <v>KOTHAGUDEM TPS6</v>
          </cell>
          <cell r="B222" t="str">
            <v>KOTHAGUDEM TPS</v>
          </cell>
          <cell r="C222" t="str">
            <v>KOTHAGUDEM TPS</v>
          </cell>
          <cell r="D222" t="str">
            <v>Telengana</v>
          </cell>
          <cell r="E222" t="str">
            <v>STATE SECTOR</v>
          </cell>
          <cell r="F222" t="str">
            <v xml:space="preserve"> 40-45 years</v>
          </cell>
          <cell r="G222">
            <v>45.3744010951403</v>
          </cell>
          <cell r="H222">
            <v>120</v>
          </cell>
          <cell r="I222">
            <v>0.50615935464878825</v>
          </cell>
          <cell r="J222"/>
          <cell r="K222">
            <v>0.10678657853863342</v>
          </cell>
          <cell r="L222">
            <v>3.1011564051114102</v>
          </cell>
        </row>
        <row r="223">
          <cell r="A223" t="str">
            <v>KOTHAGUDEM TPS7</v>
          </cell>
          <cell r="B223" t="str">
            <v>KOTHAGUDEM TPS</v>
          </cell>
          <cell r="C223" t="str">
            <v>KOTHAGUDEM TPS</v>
          </cell>
          <cell r="D223" t="str">
            <v>Telengana</v>
          </cell>
          <cell r="E223" t="str">
            <v>STATE SECTOR</v>
          </cell>
          <cell r="F223" t="str">
            <v xml:space="preserve"> 40-45 years</v>
          </cell>
          <cell r="G223">
            <v>43.151266255989</v>
          </cell>
          <cell r="H223">
            <v>120</v>
          </cell>
          <cell r="I223">
            <v>0.62427421310519093</v>
          </cell>
          <cell r="J223"/>
          <cell r="K223">
            <v>0.10678657853863342</v>
          </cell>
          <cell r="L223">
            <v>3.1011564051114102</v>
          </cell>
        </row>
        <row r="224">
          <cell r="A224" t="str">
            <v>KOTHAGUDEM TPS8</v>
          </cell>
          <cell r="B224" t="str">
            <v>KOTHAGUDEM TPS</v>
          </cell>
          <cell r="C224" t="str">
            <v>KOTHAGUDEM TPS</v>
          </cell>
          <cell r="D224" t="str">
            <v>Telengana</v>
          </cell>
          <cell r="E224" t="str">
            <v>STATE SECTOR</v>
          </cell>
          <cell r="F224" t="str">
            <v xml:space="preserve"> 40-45 years</v>
          </cell>
          <cell r="G224">
            <v>42.313483915126596</v>
          </cell>
          <cell r="H224">
            <v>120</v>
          </cell>
          <cell r="I224">
            <v>0.50128223427109719</v>
          </cell>
          <cell r="J224"/>
          <cell r="K224">
            <v>0.10678657853863342</v>
          </cell>
          <cell r="L224">
            <v>3.1011564051114102</v>
          </cell>
        </row>
        <row r="225">
          <cell r="A225" t="str">
            <v>KUDGI STPP1</v>
          </cell>
          <cell r="B225" t="str">
            <v>KUDGI STPP</v>
          </cell>
          <cell r="C225" t="str">
            <v>KUDGI STPP</v>
          </cell>
          <cell r="D225" t="str">
            <v>Karnataka</v>
          </cell>
          <cell r="E225" t="str">
            <v>CENTRAL SECTOR</v>
          </cell>
          <cell r="F225" t="str">
            <v xml:space="preserve"> 0-5 years</v>
          </cell>
          <cell r="G225">
            <v>3.3566050650239498</v>
          </cell>
          <cell r="H225">
            <v>800</v>
          </cell>
          <cell r="I225">
            <v>0.33382982699398489</v>
          </cell>
          <cell r="J225">
            <v>1.52</v>
          </cell>
          <cell r="K225">
            <v>7.8813638844723796E-2</v>
          </cell>
          <cell r="L225">
            <v>3.77865221712625</v>
          </cell>
        </row>
        <row r="226">
          <cell r="A226" t="str">
            <v>KUDGI STPP2</v>
          </cell>
          <cell r="B226" t="str">
            <v>KUDGI STPP</v>
          </cell>
          <cell r="C226" t="str">
            <v>KUDGI STPP</v>
          </cell>
          <cell r="D226" t="str">
            <v>Karnataka</v>
          </cell>
          <cell r="E226" t="str">
            <v>CENTRAL SECTOR</v>
          </cell>
          <cell r="F226" t="str">
            <v xml:space="preserve"> 0-5 years</v>
          </cell>
          <cell r="G226">
            <v>3.1074606433949299</v>
          </cell>
          <cell r="H226">
            <v>800</v>
          </cell>
          <cell r="I226">
            <v>0.29070126773170935</v>
          </cell>
          <cell r="J226">
            <v>1.52</v>
          </cell>
          <cell r="K226">
            <v>7.8813638844723796E-2</v>
          </cell>
          <cell r="L226">
            <v>3.77865221712625</v>
          </cell>
        </row>
        <row r="227">
          <cell r="A227" t="str">
            <v>KUDGI STPP3</v>
          </cell>
          <cell r="B227" t="str">
            <v>KUDGI STPP</v>
          </cell>
          <cell r="C227" t="str">
            <v>KUDGI STPP</v>
          </cell>
          <cell r="D227" t="str">
            <v>Karnataka</v>
          </cell>
          <cell r="E227" t="str">
            <v>CENTRAL SECTOR</v>
          </cell>
          <cell r="F227" t="str">
            <v xml:space="preserve"> 0-5 years</v>
          </cell>
          <cell r="G227">
            <v>2.1163586584531102</v>
          </cell>
          <cell r="H227">
            <v>800</v>
          </cell>
          <cell r="I227">
            <v>0.23904959457635153</v>
          </cell>
          <cell r="J227">
            <v>1.52</v>
          </cell>
          <cell r="K227">
            <v>7.8813638844723796E-2</v>
          </cell>
          <cell r="L227">
            <v>3.77865221712625</v>
          </cell>
        </row>
        <row r="228">
          <cell r="A228" t="str">
            <v>KUNDARKI TPS1</v>
          </cell>
          <cell r="B228" t="str">
            <v>KUNDARKI TPS</v>
          </cell>
          <cell r="C228" t="str">
            <v>KUNDARKI TPS</v>
          </cell>
          <cell r="D228" t="str">
            <v>Uttar Pardesh</v>
          </cell>
          <cell r="E228" t="str">
            <v>PVT SECTOR</v>
          </cell>
          <cell r="F228" t="str">
            <v xml:space="preserve"> 5-10 years</v>
          </cell>
          <cell r="G228">
            <v>8.33949349760438</v>
          </cell>
          <cell r="H228">
            <v>45</v>
          </cell>
          <cell r="I228">
            <v>0.21122519959795927</v>
          </cell>
          <cell r="J228"/>
          <cell r="K228">
            <v>9.1179878523889146E-2</v>
          </cell>
          <cell r="L228">
            <v>3.3738486842105302</v>
          </cell>
        </row>
        <row r="229">
          <cell r="A229" t="str">
            <v>KUNDARKI TPS2</v>
          </cell>
          <cell r="B229" t="str">
            <v>KUNDARKI TPS</v>
          </cell>
          <cell r="C229" t="str">
            <v>KUNDARKI TPS</v>
          </cell>
          <cell r="D229" t="str">
            <v>Uttar Pardesh</v>
          </cell>
          <cell r="E229" t="str">
            <v>PVT SECTOR</v>
          </cell>
          <cell r="F229" t="str">
            <v xml:space="preserve"> 5-10 years</v>
          </cell>
          <cell r="G229">
            <v>8.2546201232032796</v>
          </cell>
          <cell r="H229">
            <v>45</v>
          </cell>
          <cell r="I229">
            <v>0.18363114676376296</v>
          </cell>
          <cell r="J229"/>
          <cell r="K229">
            <v>9.1179878523889146E-2</v>
          </cell>
          <cell r="L229">
            <v>3.3738486842105302</v>
          </cell>
        </row>
        <row r="230">
          <cell r="A230" t="str">
            <v>LALITPUR TPS1</v>
          </cell>
          <cell r="B230" t="str">
            <v>LALITPUR TPS</v>
          </cell>
          <cell r="C230" t="str">
            <v>LALITPUR TPS</v>
          </cell>
          <cell r="D230" t="str">
            <v>Uttar Pardesh</v>
          </cell>
          <cell r="E230" t="str">
            <v>PVT SECTOR</v>
          </cell>
          <cell r="F230" t="str">
            <v xml:space="preserve"> 0-5 years</v>
          </cell>
          <cell r="G230">
            <v>4.1752224503764497</v>
          </cell>
          <cell r="H230">
            <v>660</v>
          </cell>
          <cell r="I230">
            <v>0.38652147713071844</v>
          </cell>
          <cell r="J230"/>
          <cell r="K230">
            <v>5.6784412022982754E-2</v>
          </cell>
          <cell r="L230">
            <v>2.9009429824561401</v>
          </cell>
        </row>
        <row r="231">
          <cell r="A231" t="str">
            <v>LALITPUR TPS2</v>
          </cell>
          <cell r="B231" t="str">
            <v>LALITPUR TPS</v>
          </cell>
          <cell r="C231" t="str">
            <v>LALITPUR TPS</v>
          </cell>
          <cell r="D231" t="str">
            <v>Uttar Pardesh</v>
          </cell>
          <cell r="E231" t="str">
            <v>PVT SECTOR</v>
          </cell>
          <cell r="F231" t="str">
            <v xml:space="preserve"> 0-5 years</v>
          </cell>
          <cell r="G231">
            <v>4.33949349760438</v>
          </cell>
          <cell r="H231">
            <v>660</v>
          </cell>
          <cell r="I231">
            <v>0.34961324887856121</v>
          </cell>
          <cell r="J231"/>
          <cell r="K231">
            <v>5.6784412022982754E-2</v>
          </cell>
          <cell r="L231">
            <v>2.9009429824561401</v>
          </cell>
        </row>
        <row r="232">
          <cell r="A232" t="str">
            <v>LALITPUR TPS3</v>
          </cell>
          <cell r="B232" t="str">
            <v>LALITPUR TPS</v>
          </cell>
          <cell r="C232" t="str">
            <v>LALITPUR TPS</v>
          </cell>
          <cell r="D232" t="str">
            <v>Uttar Pardesh</v>
          </cell>
          <cell r="E232" t="str">
            <v>PVT SECTOR</v>
          </cell>
          <cell r="F232" t="str">
            <v xml:space="preserve"> 0-5 years</v>
          </cell>
          <cell r="G232">
            <v>4.0903490759753502</v>
          </cell>
          <cell r="H232">
            <v>660</v>
          </cell>
          <cell r="I232">
            <v>0.44282023605762943</v>
          </cell>
          <cell r="J232"/>
          <cell r="K232">
            <v>5.6784412022982754E-2</v>
          </cell>
          <cell r="L232">
            <v>2.9009429824561401</v>
          </cell>
        </row>
        <row r="233">
          <cell r="A233" t="str">
            <v>LARA TPP1</v>
          </cell>
          <cell r="B233" t="str">
            <v>LARA TPP</v>
          </cell>
          <cell r="C233" t="str">
            <v>LARA TPP UNIT 1</v>
          </cell>
          <cell r="D233" t="str">
            <v>Chhatisgarh</v>
          </cell>
          <cell r="E233" t="str">
            <v>CENTRAL SECTOR</v>
          </cell>
          <cell r="F233" t="str">
            <v xml:space="preserve"> 0-5 years</v>
          </cell>
          <cell r="G233">
            <v>2.0917180013689198</v>
          </cell>
          <cell r="H233">
            <v>800</v>
          </cell>
          <cell r="I233">
            <v>0.19113316259736876</v>
          </cell>
          <cell r="J233"/>
          <cell r="K233">
            <v>5.2489445057243921E-2</v>
          </cell>
          <cell r="L233">
            <v>2.4661387221164501</v>
          </cell>
        </row>
        <row r="234">
          <cell r="A234" t="str">
            <v>MAHADEV PRASAD STPP1</v>
          </cell>
          <cell r="B234" t="str">
            <v>MAHADEV PRASAD STPP</v>
          </cell>
          <cell r="C234" t="str">
            <v>MAHADEV PRASAD STPP</v>
          </cell>
          <cell r="D234" t="str">
            <v>Jharkhand</v>
          </cell>
          <cell r="E234" t="str">
            <v>PVT SECTOR</v>
          </cell>
          <cell r="F234" t="str">
            <v xml:space="preserve"> 5-10 years</v>
          </cell>
          <cell r="G234">
            <v>7.5044490075290797</v>
          </cell>
          <cell r="H234">
            <v>270</v>
          </cell>
          <cell r="I234">
            <v>0.74534322138311104</v>
          </cell>
          <cell r="J234">
            <v>1.0376138701146047</v>
          </cell>
          <cell r="K234">
            <v>8.795755336381729E-2</v>
          </cell>
          <cell r="L234">
            <v>1.87919577604358</v>
          </cell>
        </row>
        <row r="235">
          <cell r="A235" t="str">
            <v>MAHADEV PRASAD STPP2</v>
          </cell>
          <cell r="B235" t="str">
            <v>MAHADEV PRASAD STPP</v>
          </cell>
          <cell r="C235" t="str">
            <v>MAHADEV PRASAD STPP</v>
          </cell>
          <cell r="D235" t="str">
            <v>Jharkhand</v>
          </cell>
          <cell r="E235" t="str">
            <v>PVT SECTOR</v>
          </cell>
          <cell r="F235" t="str">
            <v xml:space="preserve"> 5-10 years</v>
          </cell>
          <cell r="G235">
            <v>7.1759069130732298</v>
          </cell>
          <cell r="H235">
            <v>270</v>
          </cell>
          <cell r="I235">
            <v>0.43874913892283801</v>
          </cell>
          <cell r="J235">
            <v>1.0376138701146047</v>
          </cell>
          <cell r="K235">
            <v>8.795755336381729E-2</v>
          </cell>
          <cell r="L235">
            <v>1.87919577604358</v>
          </cell>
        </row>
        <row r="236">
          <cell r="A236" t="str">
            <v>MAHAN TPP1</v>
          </cell>
          <cell r="B236" t="str">
            <v>MAHAN TPP</v>
          </cell>
          <cell r="C236">
            <v>0</v>
          </cell>
          <cell r="D236" t="str">
            <v>Madhya Pradesh</v>
          </cell>
          <cell r="E236" t="str">
            <v>PVT SECTOR</v>
          </cell>
          <cell r="F236" t="str">
            <v xml:space="preserve"> 5-10 years</v>
          </cell>
          <cell r="G236">
            <v>7.2525667351129304</v>
          </cell>
          <cell r="H236">
            <v>600</v>
          </cell>
          <cell r="I236">
            <v>0.3982640157935618</v>
          </cell>
          <cell r="J236"/>
          <cell r="K236">
            <v>9.2920955405355318E-2</v>
          </cell>
          <cell r="L236"/>
        </row>
        <row r="237">
          <cell r="A237" t="str">
            <v>MAHAN TPP2</v>
          </cell>
          <cell r="B237" t="str">
            <v>MAHAN TPP</v>
          </cell>
          <cell r="C237">
            <v>0</v>
          </cell>
          <cell r="D237" t="str">
            <v>Madhya Pradesh</v>
          </cell>
          <cell r="E237" t="str">
            <v>PVT SECTOR</v>
          </cell>
          <cell r="F237" t="str">
            <v xml:space="preserve"> 0-5 years</v>
          </cell>
          <cell r="G237">
            <v>1.67008898015058</v>
          </cell>
          <cell r="H237">
            <v>600</v>
          </cell>
          <cell r="I237">
            <v>0.32809663398376948</v>
          </cell>
          <cell r="J237"/>
          <cell r="K237">
            <v>9.2920955405355318E-2</v>
          </cell>
          <cell r="L237"/>
        </row>
        <row r="238">
          <cell r="A238" t="str">
            <v>MAHATMA GANDHI TPS1</v>
          </cell>
          <cell r="B238" t="str">
            <v>MAHATMA GANDHI TPS</v>
          </cell>
          <cell r="C238" t="str">
            <v>MAHATMA GANDHI TPS</v>
          </cell>
          <cell r="D238" t="str">
            <v>Haryana</v>
          </cell>
          <cell r="E238" t="str">
            <v>PVT SECTOR</v>
          </cell>
          <cell r="F238" t="str">
            <v xml:space="preserve"> 5-10 years</v>
          </cell>
          <cell r="G238">
            <v>8.33949349760438</v>
          </cell>
          <cell r="H238">
            <v>660</v>
          </cell>
          <cell r="I238">
            <v>0.61436659603476895</v>
          </cell>
          <cell r="J238"/>
          <cell r="K238">
            <v>6.2602876632131307E-2</v>
          </cell>
          <cell r="L238">
            <v>3.3316093229744701</v>
          </cell>
        </row>
        <row r="239">
          <cell r="A239" t="str">
            <v>MAHATMA GANDHI TPS2</v>
          </cell>
          <cell r="B239" t="str">
            <v>MAHATMA GANDHI TPS</v>
          </cell>
          <cell r="C239" t="str">
            <v>MAHATMA GANDHI TPS</v>
          </cell>
          <cell r="D239" t="str">
            <v>Haryana</v>
          </cell>
          <cell r="E239" t="str">
            <v>PVT SECTOR</v>
          </cell>
          <cell r="F239" t="str">
            <v xml:space="preserve"> 5-10 years</v>
          </cell>
          <cell r="G239">
            <v>8.0903490759753591</v>
          </cell>
          <cell r="H239">
            <v>660</v>
          </cell>
          <cell r="I239">
            <v>0.58679749519712876</v>
          </cell>
          <cell r="J239"/>
          <cell r="K239">
            <v>6.2602876632131307E-2</v>
          </cell>
          <cell r="L239">
            <v>3.3316093229744701</v>
          </cell>
        </row>
        <row r="240">
          <cell r="A240" t="str">
            <v>MAITHON RB TPP1</v>
          </cell>
          <cell r="B240" t="str">
            <v>MAITHON RB TPP</v>
          </cell>
          <cell r="C240" t="str">
            <v>MAITHON RB TPP</v>
          </cell>
          <cell r="D240" t="str">
            <v>Jharkhand</v>
          </cell>
          <cell r="E240" t="str">
            <v>PVT SECTOR</v>
          </cell>
          <cell r="F240" t="str">
            <v xml:space="preserve"> 5-10 years</v>
          </cell>
          <cell r="G240">
            <v>8.6735112936344905</v>
          </cell>
          <cell r="H240">
            <v>525</v>
          </cell>
          <cell r="I240">
            <v>0.7233558897921627</v>
          </cell>
          <cell r="J240">
            <v>0.69342919912123024</v>
          </cell>
          <cell r="K240">
            <v>5.5111041599405448E-2</v>
          </cell>
          <cell r="L240">
            <v>2.4571169686985201</v>
          </cell>
        </row>
        <row r="241">
          <cell r="A241" t="str">
            <v>MAITHON RB TPP2</v>
          </cell>
          <cell r="B241" t="str">
            <v>MAITHON RB TPP</v>
          </cell>
          <cell r="C241" t="str">
            <v>MAITHON RB TPP</v>
          </cell>
          <cell r="D241" t="str">
            <v>Jharkhand</v>
          </cell>
          <cell r="E241" t="str">
            <v>PVT SECTOR</v>
          </cell>
          <cell r="F241" t="str">
            <v xml:space="preserve"> 5-10 years</v>
          </cell>
          <cell r="G241">
            <v>7.8412046543463303</v>
          </cell>
          <cell r="H241">
            <v>525</v>
          </cell>
          <cell r="I241">
            <v>0.77495785027231356</v>
          </cell>
          <cell r="J241">
            <v>0.69342919912123024</v>
          </cell>
          <cell r="K241">
            <v>5.5111041599405448E-2</v>
          </cell>
          <cell r="L241">
            <v>2.4571169686985201</v>
          </cell>
        </row>
        <row r="242">
          <cell r="A242" t="str">
            <v>MAQSOODPUR TPS1</v>
          </cell>
          <cell r="B242" t="str">
            <v>MAQSOODPUR TPS</v>
          </cell>
          <cell r="C242" t="str">
            <v>MAQSOODPUR TPS</v>
          </cell>
          <cell r="D242" t="str">
            <v>Uttar Pardesh</v>
          </cell>
          <cell r="E242" t="str">
            <v>PVT SECTOR</v>
          </cell>
          <cell r="F242" t="str">
            <v xml:space="preserve"> 5-10 years</v>
          </cell>
          <cell r="G242">
            <v>8.5065023956194299</v>
          </cell>
          <cell r="H242">
            <v>45</v>
          </cell>
          <cell r="I242">
            <v>0.15058742959549351</v>
          </cell>
          <cell r="J242"/>
          <cell r="K242">
            <v>0.10171085784825233</v>
          </cell>
          <cell r="L242">
            <v>3.6779057017544101</v>
          </cell>
        </row>
        <row r="243">
          <cell r="A243" t="str">
            <v>MAQSOODPUR TPS2</v>
          </cell>
          <cell r="B243" t="str">
            <v>MAQSOODPUR TPS</v>
          </cell>
          <cell r="C243" t="str">
            <v>MAQSOODPUR TPS</v>
          </cell>
          <cell r="D243" t="str">
            <v>Uttar Pardesh</v>
          </cell>
          <cell r="E243" t="str">
            <v>PVT SECTOR</v>
          </cell>
          <cell r="F243" t="str">
            <v xml:space="preserve"> 5-10 years</v>
          </cell>
          <cell r="G243">
            <v>8.33949349760438</v>
          </cell>
          <cell r="H243">
            <v>45</v>
          </cell>
          <cell r="I243">
            <v>0.13889972217481111</v>
          </cell>
          <cell r="J243"/>
          <cell r="K243">
            <v>0.10171085784825233</v>
          </cell>
          <cell r="L243">
            <v>3.6779057017544101</v>
          </cell>
        </row>
        <row r="244">
          <cell r="A244" t="str">
            <v>MARWA TPS1</v>
          </cell>
          <cell r="B244" t="str">
            <v>MARWA TPS</v>
          </cell>
          <cell r="C244" t="str">
            <v>MARWA TPS</v>
          </cell>
          <cell r="D244" t="str">
            <v>Chhatisgarh</v>
          </cell>
          <cell r="E244" t="str">
            <v>STATE SECTOR</v>
          </cell>
          <cell r="F244" t="str">
            <v xml:space="preserve"> 5-10 years</v>
          </cell>
          <cell r="G244">
            <v>6.1765913757700197</v>
          </cell>
          <cell r="H244">
            <v>500</v>
          </cell>
          <cell r="I244">
            <v>0.64821024585261922</v>
          </cell>
          <cell r="J244">
            <v>0.57993987428259086</v>
          </cell>
          <cell r="K244">
            <v>6.1306523812621402E-2</v>
          </cell>
          <cell r="L244">
            <v>1.29468430034129</v>
          </cell>
        </row>
        <row r="245">
          <cell r="A245" t="str">
            <v>MARWA TPS2</v>
          </cell>
          <cell r="B245" t="str">
            <v>MARWA TPS</v>
          </cell>
          <cell r="C245" t="str">
            <v>MARWA TPS</v>
          </cell>
          <cell r="D245" t="str">
            <v>Chhatisgarh</v>
          </cell>
          <cell r="E245" t="str">
            <v>STATE SECTOR</v>
          </cell>
          <cell r="F245" t="str">
            <v xml:space="preserve"> 0-5 years</v>
          </cell>
          <cell r="G245">
            <v>3.8412046543463298</v>
          </cell>
          <cell r="H245">
            <v>500</v>
          </cell>
          <cell r="I245">
            <v>0.63787644515363917</v>
          </cell>
          <cell r="J245">
            <v>0.57993987428259086</v>
          </cell>
          <cell r="K245">
            <v>6.1306523812621402E-2</v>
          </cell>
          <cell r="L245">
            <v>1.29468430034129</v>
          </cell>
        </row>
        <row r="246">
          <cell r="A246" t="str">
            <v>MAUDA TPS1</v>
          </cell>
          <cell r="B246" t="str">
            <v>MAUDA TPS</v>
          </cell>
          <cell r="C246" t="str">
            <v>MAUDA TPS UNIT 1-2</v>
          </cell>
          <cell r="D246" t="str">
            <v>Maharashtra</v>
          </cell>
          <cell r="E246" t="str">
            <v>CENTRAL SECTOR</v>
          </cell>
          <cell r="F246" t="str">
            <v xml:space="preserve"> 5-10 years</v>
          </cell>
          <cell r="G246">
            <v>8.0903490759753591</v>
          </cell>
          <cell r="H246">
            <v>500</v>
          </cell>
          <cell r="I246">
            <v>0.61786222595947249</v>
          </cell>
          <cell r="J246">
            <v>0.83185020393029296</v>
          </cell>
          <cell r="K246">
            <v>7.3009693702312639E-2</v>
          </cell>
          <cell r="L246">
            <v>2.9910847885541001</v>
          </cell>
        </row>
        <row r="247">
          <cell r="A247" t="str">
            <v>MAUDA TPS2</v>
          </cell>
          <cell r="B247" t="str">
            <v>MAUDA TPS</v>
          </cell>
          <cell r="C247" t="str">
            <v>MAUDA TPS UNIT 1-2</v>
          </cell>
          <cell r="D247" t="str">
            <v>Maharashtra</v>
          </cell>
          <cell r="E247" t="str">
            <v>CENTRAL SECTOR</v>
          </cell>
          <cell r="F247" t="str">
            <v xml:space="preserve"> 5-10 years</v>
          </cell>
          <cell r="G247">
            <v>7.1759069130732298</v>
          </cell>
          <cell r="H247">
            <v>500</v>
          </cell>
          <cell r="I247">
            <v>0.53211521244945836</v>
          </cell>
          <cell r="J247">
            <v>0.83185020393029296</v>
          </cell>
          <cell r="K247">
            <v>7.3009693702312639E-2</v>
          </cell>
          <cell r="L247">
            <v>2.9910847885541001</v>
          </cell>
        </row>
        <row r="248">
          <cell r="A248" t="str">
            <v>MAUDA TPS3</v>
          </cell>
          <cell r="B248" t="str">
            <v>MAUDA TPS</v>
          </cell>
          <cell r="C248" t="str">
            <v>MAUDA TPS UNIT 3-4</v>
          </cell>
          <cell r="D248" t="str">
            <v>Maharashtra</v>
          </cell>
          <cell r="E248" t="str">
            <v>CENTRAL SECTOR</v>
          </cell>
          <cell r="F248" t="str">
            <v xml:space="preserve"> 0-5 years</v>
          </cell>
          <cell r="G248">
            <v>4.1752224503764497</v>
          </cell>
          <cell r="H248">
            <v>660</v>
          </cell>
          <cell r="I248">
            <v>0.50307853767426891</v>
          </cell>
          <cell r="J248">
            <v>1.0472343070229957</v>
          </cell>
          <cell r="K248">
            <v>7.3009693702312639E-2</v>
          </cell>
          <cell r="L248">
            <v>2.8954572092241402</v>
          </cell>
        </row>
        <row r="249">
          <cell r="A249" t="str">
            <v>MAUDA TPS4</v>
          </cell>
          <cell r="B249" t="str">
            <v>MAUDA TPS</v>
          </cell>
          <cell r="C249" t="str">
            <v>MAUDA TPS UNIT 3-4</v>
          </cell>
          <cell r="D249" t="str">
            <v>Maharashtra</v>
          </cell>
          <cell r="E249" t="str">
            <v>CENTRAL SECTOR</v>
          </cell>
          <cell r="F249" t="str">
            <v xml:space="preserve"> 0-5 years</v>
          </cell>
          <cell r="G249">
            <v>3.1759069130732298</v>
          </cell>
          <cell r="H249">
            <v>660</v>
          </cell>
          <cell r="I249">
            <v>0.48262447743364018</v>
          </cell>
          <cell r="J249">
            <v>1.0472343070229957</v>
          </cell>
          <cell r="K249">
            <v>7.3009693702312639E-2</v>
          </cell>
          <cell r="L249">
            <v>2.8954572092241402</v>
          </cell>
        </row>
        <row r="250">
          <cell r="A250" t="str">
            <v>MEJA STPP1</v>
          </cell>
          <cell r="B250" t="str">
            <v>MEJA STPP</v>
          </cell>
          <cell r="C250" t="str">
            <v>MEJA STPP</v>
          </cell>
          <cell r="D250" t="str">
            <v>Uttar Pardesh</v>
          </cell>
          <cell r="E250" t="str">
            <v>CENTRAL SECTOR</v>
          </cell>
          <cell r="F250" t="str">
            <v xml:space="preserve"> 0-5 years</v>
          </cell>
          <cell r="G250">
            <v>2.0917180013689198</v>
          </cell>
          <cell r="H250">
            <v>660</v>
          </cell>
          <cell r="I250">
            <v>9.7049031691387622E-2</v>
          </cell>
          <cell r="J250"/>
          <cell r="K250">
            <v>6.4933199252980744E-2</v>
          </cell>
          <cell r="L250">
            <v>3.2819118535366498</v>
          </cell>
        </row>
        <row r="251">
          <cell r="A251" t="str">
            <v>MEJIA TPS1</v>
          </cell>
          <cell r="B251" t="str">
            <v>MEJIA TPS</v>
          </cell>
          <cell r="C251" t="str">
            <v>MEJIA TPS</v>
          </cell>
          <cell r="D251" t="str">
            <v>West Bengal</v>
          </cell>
          <cell r="E251" t="str">
            <v>CENTRAL SECTOR</v>
          </cell>
          <cell r="F251" t="str">
            <v xml:space="preserve"> 20-25 years</v>
          </cell>
          <cell r="G251">
            <v>24.175222450376399</v>
          </cell>
          <cell r="H251">
            <v>210</v>
          </cell>
          <cell r="I251">
            <v>0.60486988051307344</v>
          </cell>
          <cell r="J251">
            <v>0.94851363775666564</v>
          </cell>
          <cell r="K251">
            <v>8.3678646324733194E-2</v>
          </cell>
          <cell r="L251">
            <v>2.5933434925569898</v>
          </cell>
        </row>
        <row r="252">
          <cell r="A252" t="str">
            <v>MEJIA TPS2</v>
          </cell>
          <cell r="B252" t="str">
            <v>MEJIA TPS</v>
          </cell>
          <cell r="C252" t="str">
            <v>MEJIA TPS</v>
          </cell>
          <cell r="D252" t="str">
            <v>West Bengal</v>
          </cell>
          <cell r="E252" t="str">
            <v>CENTRAL SECTOR</v>
          </cell>
          <cell r="F252" t="str">
            <v xml:space="preserve"> 20-25 years</v>
          </cell>
          <cell r="G252">
            <v>23.175906913073199</v>
          </cell>
          <cell r="H252">
            <v>210</v>
          </cell>
          <cell r="I252">
            <v>0.51050022707966669</v>
          </cell>
          <cell r="J252">
            <v>0.94851363775666564</v>
          </cell>
          <cell r="K252">
            <v>8.3678646324733194E-2</v>
          </cell>
          <cell r="L252">
            <v>2.5933434925569898</v>
          </cell>
        </row>
        <row r="253">
          <cell r="A253" t="str">
            <v>MEJIA TPS3</v>
          </cell>
          <cell r="B253" t="str">
            <v>MEJIA TPS</v>
          </cell>
          <cell r="C253" t="str">
            <v>MEJIA TPS</v>
          </cell>
          <cell r="D253" t="str">
            <v>West Bengal</v>
          </cell>
          <cell r="E253" t="str">
            <v>CENTRAL SECTOR</v>
          </cell>
          <cell r="F253" t="str">
            <v xml:space="preserve"> 20-25 years</v>
          </cell>
          <cell r="G253">
            <v>22.176591375769998</v>
          </cell>
          <cell r="H253">
            <v>210</v>
          </cell>
          <cell r="I253">
            <v>0.55636283337130754</v>
          </cell>
          <cell r="J253">
            <v>0.94851363775666564</v>
          </cell>
          <cell r="K253">
            <v>8.3678646324733194E-2</v>
          </cell>
          <cell r="L253">
            <v>2.5933434925569898</v>
          </cell>
        </row>
        <row r="254">
          <cell r="A254" t="str">
            <v>MEJIA TPS4</v>
          </cell>
          <cell r="B254" t="str">
            <v>MEJIA TPS</v>
          </cell>
          <cell r="C254" t="str">
            <v>MEJIA TPS</v>
          </cell>
          <cell r="D254" t="str">
            <v>West Bengal</v>
          </cell>
          <cell r="E254" t="str">
            <v>CENTRAL SECTOR</v>
          </cell>
          <cell r="F254" t="str">
            <v xml:space="preserve"> 15-20 years</v>
          </cell>
          <cell r="G254">
            <v>15.589322381930099</v>
          </cell>
          <cell r="H254">
            <v>210</v>
          </cell>
          <cell r="I254">
            <v>0.59232032044181748</v>
          </cell>
          <cell r="J254">
            <v>0.94851363775666564</v>
          </cell>
          <cell r="K254">
            <v>8.3678646324733194E-2</v>
          </cell>
          <cell r="L254">
            <v>2.5933434925569898</v>
          </cell>
        </row>
        <row r="255">
          <cell r="A255" t="str">
            <v>MEJIA TPS5</v>
          </cell>
          <cell r="B255" t="str">
            <v>MEJIA TPS</v>
          </cell>
          <cell r="C255" t="str">
            <v>MEJIA TPS</v>
          </cell>
          <cell r="D255" t="str">
            <v>West Bengal</v>
          </cell>
          <cell r="E255" t="str">
            <v>CENTRAL SECTOR</v>
          </cell>
          <cell r="F255" t="str">
            <v xml:space="preserve"> 10-15 years</v>
          </cell>
          <cell r="G255">
            <v>12.5913757700205</v>
          </cell>
          <cell r="H255">
            <v>250</v>
          </cell>
          <cell r="I255">
            <v>0.64395239919722669</v>
          </cell>
          <cell r="J255"/>
          <cell r="K255">
            <v>8.3678646324733194E-2</v>
          </cell>
          <cell r="L255">
            <v>2.5933434925569898</v>
          </cell>
        </row>
        <row r="256">
          <cell r="A256" t="str">
            <v>MEJIA TPS6</v>
          </cell>
          <cell r="B256" t="str">
            <v>MEJIA TPS</v>
          </cell>
          <cell r="C256" t="str">
            <v>MEJIA TPS</v>
          </cell>
          <cell r="D256" t="str">
            <v>West Bengal</v>
          </cell>
          <cell r="E256" t="str">
            <v>CENTRAL SECTOR</v>
          </cell>
          <cell r="F256" t="str">
            <v xml:space="preserve"> 10-15 years</v>
          </cell>
          <cell r="G256">
            <v>13.1772758384668</v>
          </cell>
          <cell r="H256">
            <v>250</v>
          </cell>
          <cell r="I256">
            <v>0.71871870626386669</v>
          </cell>
          <cell r="J256"/>
          <cell r="K256">
            <v>8.3678646324733194E-2</v>
          </cell>
          <cell r="L256">
            <v>2.5933434925569898</v>
          </cell>
        </row>
        <row r="257">
          <cell r="A257" t="str">
            <v>MEJIA TPS7</v>
          </cell>
          <cell r="B257" t="str">
            <v>MEJIA TPS</v>
          </cell>
          <cell r="C257" t="str">
            <v>MEJIA TPS</v>
          </cell>
          <cell r="D257" t="str">
            <v>West Bengal</v>
          </cell>
          <cell r="E257" t="str">
            <v>CENTRAL SECTOR</v>
          </cell>
          <cell r="F257" t="str">
            <v xml:space="preserve"> 5-10 years</v>
          </cell>
          <cell r="G257">
            <v>9.6728268309377103</v>
          </cell>
          <cell r="H257">
            <v>500</v>
          </cell>
          <cell r="I257">
            <v>0.64900745547336824</v>
          </cell>
          <cell r="J257">
            <v>0.61420916848581064</v>
          </cell>
          <cell r="K257">
            <v>8.3678646324733194E-2</v>
          </cell>
          <cell r="L257">
            <v>2.5933434925569898</v>
          </cell>
        </row>
        <row r="258">
          <cell r="A258" t="str">
            <v>MEJIA TPS8</v>
          </cell>
          <cell r="B258" t="str">
            <v>MEJIA TPS</v>
          </cell>
          <cell r="C258" t="str">
            <v>MEJIA TPS</v>
          </cell>
          <cell r="D258" t="str">
            <v>West Bengal</v>
          </cell>
          <cell r="E258" t="str">
            <v>CENTRAL SECTOR</v>
          </cell>
          <cell r="F258" t="str">
            <v xml:space="preserve"> 5-10 years</v>
          </cell>
          <cell r="G258">
            <v>9.1772758384667998</v>
          </cell>
          <cell r="H258">
            <v>500</v>
          </cell>
          <cell r="I258">
            <v>0.57972006629941497</v>
          </cell>
          <cell r="J258">
            <v>0.61420916848581064</v>
          </cell>
          <cell r="K258">
            <v>8.3678646324733194E-2</v>
          </cell>
          <cell r="L258">
            <v>2.5933434925569898</v>
          </cell>
        </row>
        <row r="259">
          <cell r="A259" t="str">
            <v>METTUR TPS EXT1</v>
          </cell>
          <cell r="B259" t="str">
            <v>METTUR TPS EXT</v>
          </cell>
          <cell r="C259" t="str">
            <v>METTUR TPS EXT</v>
          </cell>
          <cell r="D259" t="str">
            <v>Tamil Nadu</v>
          </cell>
          <cell r="E259" t="str">
            <v>STATE SECTOR</v>
          </cell>
          <cell r="F259" t="str">
            <v xml:space="preserve"> 5-10 years</v>
          </cell>
          <cell r="G259">
            <v>7.5893223819301801</v>
          </cell>
          <cell r="H259">
            <v>600</v>
          </cell>
          <cell r="I259">
            <v>0.54311209918967362</v>
          </cell>
          <cell r="J259">
            <v>1.1253635834787667</v>
          </cell>
          <cell r="K259">
            <v>0.08</v>
          </cell>
          <cell r="L259">
            <v>3.6438735632183898</v>
          </cell>
        </row>
        <row r="260">
          <cell r="A260" t="str">
            <v>METTUR TPS1</v>
          </cell>
          <cell r="B260" t="str">
            <v>METTUR TPS</v>
          </cell>
          <cell r="C260" t="str">
            <v>METTUR TPS</v>
          </cell>
          <cell r="D260" t="str">
            <v>Tamil Nadu</v>
          </cell>
          <cell r="E260" t="str">
            <v>STATE SECTOR</v>
          </cell>
          <cell r="F260" t="str">
            <v xml:space="preserve"> 30-35 years</v>
          </cell>
          <cell r="G260">
            <v>33.338809034907598</v>
          </cell>
          <cell r="H260">
            <v>210</v>
          </cell>
          <cell r="I260">
            <v>0.62426471505670433</v>
          </cell>
          <cell r="J260">
            <v>1.0678995307756003</v>
          </cell>
          <cell r="K260">
            <v>7.9545486780113542E-2</v>
          </cell>
          <cell r="L260">
            <v>3.5978045977011401</v>
          </cell>
        </row>
        <row r="261">
          <cell r="A261" t="str">
            <v>METTUR TPS2</v>
          </cell>
          <cell r="B261" t="str">
            <v>METTUR TPS</v>
          </cell>
          <cell r="C261" t="str">
            <v>METTUR TPS</v>
          </cell>
          <cell r="D261" t="str">
            <v>Tamil Nadu</v>
          </cell>
          <cell r="E261" t="str">
            <v>STATE SECTOR</v>
          </cell>
          <cell r="F261" t="str">
            <v xml:space="preserve"> 30-35 years</v>
          </cell>
          <cell r="G261">
            <v>32.4243668720054</v>
          </cell>
          <cell r="H261">
            <v>210</v>
          </cell>
          <cell r="I261">
            <v>0.70906287037947813</v>
          </cell>
          <cell r="J261">
            <v>1.0678995307756003</v>
          </cell>
          <cell r="K261">
            <v>7.9545486780113542E-2</v>
          </cell>
          <cell r="L261">
            <v>3.5978045977011401</v>
          </cell>
        </row>
        <row r="262">
          <cell r="A262" t="str">
            <v>METTUR TPS3</v>
          </cell>
          <cell r="B262" t="str">
            <v>METTUR TPS</v>
          </cell>
          <cell r="C262" t="str">
            <v>METTUR TPS</v>
          </cell>
          <cell r="D262" t="str">
            <v>Tamil Nadu</v>
          </cell>
          <cell r="E262" t="str">
            <v>STATE SECTOR</v>
          </cell>
          <cell r="F262" t="str">
            <v xml:space="preserve"> 30-35 years</v>
          </cell>
          <cell r="G262">
            <v>31.175906913073199</v>
          </cell>
          <cell r="H262">
            <v>210</v>
          </cell>
          <cell r="I262">
            <v>0.73038400111720037</v>
          </cell>
          <cell r="J262">
            <v>1.0678995307756003</v>
          </cell>
          <cell r="K262">
            <v>7.9545486780113542E-2</v>
          </cell>
          <cell r="L262">
            <v>3.5978045977011401</v>
          </cell>
        </row>
        <row r="263">
          <cell r="A263" t="str">
            <v>METTUR TPS4</v>
          </cell>
          <cell r="B263" t="str">
            <v>METTUR TPS</v>
          </cell>
          <cell r="C263" t="str">
            <v>METTUR TPS</v>
          </cell>
          <cell r="D263" t="str">
            <v>Tamil Nadu</v>
          </cell>
          <cell r="E263" t="str">
            <v>STATE SECTOR</v>
          </cell>
          <cell r="F263" t="str">
            <v xml:space="preserve"> 30-35 years</v>
          </cell>
          <cell r="G263">
            <v>30.176591375769998</v>
          </cell>
          <cell r="H263">
            <v>210</v>
          </cell>
          <cell r="I263">
            <v>0.74167185527353963</v>
          </cell>
          <cell r="J263">
            <v>1.0678995307756003</v>
          </cell>
          <cell r="K263">
            <v>7.9545486780113542E-2</v>
          </cell>
          <cell r="L263">
            <v>3.5978045977011401</v>
          </cell>
        </row>
        <row r="264">
          <cell r="A264" t="str">
            <v>MUNDRA TPS1</v>
          </cell>
          <cell r="B264" t="str">
            <v>MUNDRA TPS</v>
          </cell>
          <cell r="C264" t="str">
            <v>MUNDRA TPS UNIT 1-4</v>
          </cell>
          <cell r="D264" t="str">
            <v>Gujarat</v>
          </cell>
          <cell r="E264" t="str">
            <v>PVT SECTOR</v>
          </cell>
          <cell r="F264" t="str">
            <v xml:space="preserve"> 10-15 years</v>
          </cell>
          <cell r="G264">
            <v>10.757015742642</v>
          </cell>
          <cell r="H264">
            <v>330</v>
          </cell>
          <cell r="I264">
            <v>0.6747588165917664</v>
          </cell>
          <cell r="J264"/>
          <cell r="K264">
            <v>7.3165418961100362E-2</v>
          </cell>
          <cell r="L264">
            <v>2.5818872950819598</v>
          </cell>
        </row>
        <row r="265">
          <cell r="A265" t="str">
            <v>MUNDRA TPS2</v>
          </cell>
          <cell r="B265" t="str">
            <v>MUNDRA TPS</v>
          </cell>
          <cell r="C265" t="str">
            <v>MUNDRA TPS UNIT 1-4</v>
          </cell>
          <cell r="D265" t="str">
            <v>Gujarat</v>
          </cell>
          <cell r="E265" t="str">
            <v>PVT SECTOR</v>
          </cell>
          <cell r="F265" t="str">
            <v xml:space="preserve"> 10-15 years</v>
          </cell>
          <cell r="G265">
            <v>10.17659137577</v>
          </cell>
          <cell r="H265">
            <v>330</v>
          </cell>
          <cell r="I265">
            <v>0.72683906695433842</v>
          </cell>
          <cell r="J265"/>
          <cell r="K265">
            <v>7.3165418961100362E-2</v>
          </cell>
          <cell r="L265">
            <v>2.5818872950819598</v>
          </cell>
        </row>
        <row r="266">
          <cell r="A266" t="str">
            <v>MUNDRA TPS3</v>
          </cell>
          <cell r="B266" t="str">
            <v>MUNDRA TPS</v>
          </cell>
          <cell r="C266" t="str">
            <v>MUNDRA TPS UNIT 1-4</v>
          </cell>
          <cell r="D266" t="str">
            <v>Gujarat</v>
          </cell>
          <cell r="E266" t="str">
            <v>PVT SECTOR</v>
          </cell>
          <cell r="F266" t="str">
            <v xml:space="preserve"> 5-10 years</v>
          </cell>
          <cell r="G266">
            <v>9.7577002053388</v>
          </cell>
          <cell r="H266">
            <v>330</v>
          </cell>
          <cell r="I266">
            <v>0.7244156433346477</v>
          </cell>
          <cell r="J266"/>
          <cell r="K266">
            <v>7.3165418961100362E-2</v>
          </cell>
          <cell r="L266">
            <v>2.5818872950819598</v>
          </cell>
        </row>
        <row r="267">
          <cell r="A267" t="str">
            <v>MUNDRA TPS4</v>
          </cell>
          <cell r="B267" t="str">
            <v>MUNDRA TPS</v>
          </cell>
          <cell r="C267" t="str">
            <v>MUNDRA TPS UNIT 1-4</v>
          </cell>
          <cell r="D267" t="str">
            <v>Gujarat</v>
          </cell>
          <cell r="E267" t="str">
            <v>PVT SECTOR</v>
          </cell>
          <cell r="F267" t="str">
            <v xml:space="preserve"> 5-10 years</v>
          </cell>
          <cell r="G267">
            <v>9.4236824093086895</v>
          </cell>
          <cell r="H267">
            <v>330</v>
          </cell>
          <cell r="I267">
            <v>0.72236190959279278</v>
          </cell>
          <cell r="J267"/>
          <cell r="K267">
            <v>7.3165418961100362E-2</v>
          </cell>
          <cell r="L267">
            <v>2.5818872950819598</v>
          </cell>
        </row>
        <row r="268">
          <cell r="A268" t="str">
            <v>MUNDRA TPS5</v>
          </cell>
          <cell r="B268" t="str">
            <v>MUNDRA TPS</v>
          </cell>
          <cell r="C268" t="str">
            <v>MUNDRA TPS UNIT 5-6</v>
          </cell>
          <cell r="D268" t="str">
            <v>Gujarat</v>
          </cell>
          <cell r="E268" t="str">
            <v>PVT SECTOR</v>
          </cell>
          <cell r="F268" t="str">
            <v xml:space="preserve"> 5-10 years</v>
          </cell>
          <cell r="G268">
            <v>9.4236824093086895</v>
          </cell>
          <cell r="H268">
            <v>660</v>
          </cell>
          <cell r="I268">
            <v>0.49088605929383272</v>
          </cell>
          <cell r="J268"/>
          <cell r="K268">
            <v>7.3165418961100362E-2</v>
          </cell>
          <cell r="L268">
            <v>2.13298671601027</v>
          </cell>
        </row>
        <row r="269">
          <cell r="A269" t="str">
            <v>MUNDRA TPS6</v>
          </cell>
          <cell r="B269" t="str">
            <v>MUNDRA TPS</v>
          </cell>
          <cell r="C269" t="str">
            <v>MUNDRA TPS UNIT 5-6</v>
          </cell>
          <cell r="D269" t="str">
            <v>Gujarat</v>
          </cell>
          <cell r="E269" t="str">
            <v>PVT SECTOR</v>
          </cell>
          <cell r="F269" t="str">
            <v xml:space="preserve"> 5-10 years</v>
          </cell>
          <cell r="G269">
            <v>8.8432580424366805</v>
          </cell>
          <cell r="H269">
            <v>660</v>
          </cell>
          <cell r="I269">
            <v>0.40235289686195769</v>
          </cell>
          <cell r="J269"/>
          <cell r="K269">
            <v>7.3165418961100362E-2</v>
          </cell>
          <cell r="L269">
            <v>2.13298671601027</v>
          </cell>
        </row>
        <row r="270">
          <cell r="A270" t="str">
            <v>MUNDRA TPS7</v>
          </cell>
          <cell r="B270" t="str">
            <v>MUNDRA TPS</v>
          </cell>
          <cell r="C270" t="str">
            <v>MUNDRA TPS UNIT 7-9</v>
          </cell>
          <cell r="D270" t="str">
            <v>Gujarat</v>
          </cell>
          <cell r="E270" t="str">
            <v>PVT SECTOR</v>
          </cell>
          <cell r="F270" t="str">
            <v xml:space="preserve"> 5-10 years</v>
          </cell>
          <cell r="G270">
            <v>8.5065023956194299</v>
          </cell>
          <cell r="H270">
            <v>660</v>
          </cell>
          <cell r="I270">
            <v>0.66240918119699499</v>
          </cell>
          <cell r="J270"/>
          <cell r="K270">
            <v>7.3165418961100362E-2</v>
          </cell>
          <cell r="L270">
            <v>2.4808879023307799</v>
          </cell>
        </row>
        <row r="271">
          <cell r="A271" t="str">
            <v>MUNDRA TPS8</v>
          </cell>
          <cell r="B271" t="str">
            <v>MUNDRA TPS</v>
          </cell>
          <cell r="C271" t="str">
            <v>MUNDRA TPS UNIT 7-9</v>
          </cell>
          <cell r="D271" t="str">
            <v>Gujarat</v>
          </cell>
          <cell r="E271" t="str">
            <v>PVT SECTOR</v>
          </cell>
          <cell r="F271" t="str">
            <v xml:space="preserve"> 5-10 years</v>
          </cell>
          <cell r="G271">
            <v>8.1752224503764506</v>
          </cell>
          <cell r="H271">
            <v>660</v>
          </cell>
          <cell r="I271">
            <v>0.74075884940787873</v>
          </cell>
          <cell r="J271"/>
          <cell r="K271">
            <v>7.3165418961100362E-2</v>
          </cell>
          <cell r="L271">
            <v>2.4808879023307799</v>
          </cell>
        </row>
        <row r="272">
          <cell r="A272" t="str">
            <v>MUNDRA TPS9</v>
          </cell>
          <cell r="B272" t="str">
            <v>MUNDRA TPS</v>
          </cell>
          <cell r="C272" t="str">
            <v>MUNDRA TPS UNIT 7-9</v>
          </cell>
          <cell r="D272" t="str">
            <v>Gujarat</v>
          </cell>
          <cell r="E272" t="str">
            <v>PVT SECTOR</v>
          </cell>
          <cell r="F272" t="str">
            <v xml:space="preserve"> 5-10 years</v>
          </cell>
          <cell r="G272">
            <v>8.1752224503764506</v>
          </cell>
          <cell r="H272">
            <v>660</v>
          </cell>
          <cell r="I272">
            <v>0.63480709841988003</v>
          </cell>
          <cell r="J272"/>
          <cell r="K272">
            <v>7.3165418961100362E-2</v>
          </cell>
          <cell r="L272">
            <v>2.4808879023307799</v>
          </cell>
        </row>
        <row r="273">
          <cell r="A273" t="str">
            <v>MUNDRA UMTPP1</v>
          </cell>
          <cell r="B273" t="str">
            <v>MUNDRA UMTPP</v>
          </cell>
          <cell r="C273" t="str">
            <v>MUNDRA UMTPP</v>
          </cell>
          <cell r="D273" t="str">
            <v>Gujarat</v>
          </cell>
          <cell r="E273" t="str">
            <v>PVT SECTOR</v>
          </cell>
          <cell r="F273" t="str">
            <v xml:space="preserve"> 5-10 years</v>
          </cell>
          <cell r="G273">
            <v>8.1752224503764506</v>
          </cell>
          <cell r="H273">
            <v>800</v>
          </cell>
          <cell r="I273">
            <v>0.78367747912877606</v>
          </cell>
          <cell r="J273"/>
          <cell r="K273">
            <v>7.7721035120439194E-2</v>
          </cell>
          <cell r="L273">
            <v>1.7424751657907001</v>
          </cell>
        </row>
        <row r="274">
          <cell r="A274" t="str">
            <v>MUNDRA UMTPP2</v>
          </cell>
          <cell r="B274" t="str">
            <v>MUNDRA UMTPP</v>
          </cell>
          <cell r="C274" t="str">
            <v>MUNDRA UMTPP</v>
          </cell>
          <cell r="D274" t="str">
            <v>Gujarat</v>
          </cell>
          <cell r="E274" t="str">
            <v>PVT SECTOR</v>
          </cell>
          <cell r="F274" t="str">
            <v xml:space="preserve"> 5-10 years</v>
          </cell>
          <cell r="G274">
            <v>7.8412046543463303</v>
          </cell>
          <cell r="H274">
            <v>800</v>
          </cell>
          <cell r="I274">
            <v>0.83955823793411988</v>
          </cell>
          <cell r="J274"/>
          <cell r="K274">
            <v>7.7721035120439194E-2</v>
          </cell>
          <cell r="L274">
            <v>1.7424751657907001</v>
          </cell>
        </row>
        <row r="275">
          <cell r="A275" t="str">
            <v>MUNDRA UMTPP3</v>
          </cell>
          <cell r="B275" t="str">
            <v>MUNDRA UMTPP</v>
          </cell>
          <cell r="C275" t="str">
            <v>MUNDRA UMTPP</v>
          </cell>
          <cell r="D275" t="str">
            <v>Gujarat</v>
          </cell>
          <cell r="E275" t="str">
            <v>PVT SECTOR</v>
          </cell>
          <cell r="F275" t="str">
            <v xml:space="preserve"> 5-10 years</v>
          </cell>
          <cell r="G275">
            <v>7.5893223819301801</v>
          </cell>
          <cell r="H275">
            <v>800</v>
          </cell>
          <cell r="I275">
            <v>0.86996671322596342</v>
          </cell>
          <cell r="J275"/>
          <cell r="K275">
            <v>7.7721035120439194E-2</v>
          </cell>
          <cell r="L275">
            <v>1.7424751657907001</v>
          </cell>
        </row>
        <row r="276">
          <cell r="A276" t="str">
            <v>MUNDRA UMTPP4</v>
          </cell>
          <cell r="B276" t="str">
            <v>MUNDRA UMTPP</v>
          </cell>
          <cell r="C276" t="str">
            <v>MUNDRA UMTPP</v>
          </cell>
          <cell r="D276" t="str">
            <v>Gujarat</v>
          </cell>
          <cell r="E276" t="str">
            <v>PVT SECTOR</v>
          </cell>
          <cell r="F276" t="str">
            <v xml:space="preserve"> 5-10 years</v>
          </cell>
          <cell r="G276">
            <v>7.3374401095140298</v>
          </cell>
          <cell r="H276">
            <v>800</v>
          </cell>
          <cell r="I276">
            <v>0.77684044657018758</v>
          </cell>
          <cell r="J276"/>
          <cell r="K276">
            <v>7.7721035120439194E-2</v>
          </cell>
          <cell r="L276">
            <v>1.7424751657907001</v>
          </cell>
        </row>
        <row r="277">
          <cell r="A277" t="str">
            <v>MUNDRA UMTPP5</v>
          </cell>
          <cell r="B277" t="str">
            <v>MUNDRA UMTPP</v>
          </cell>
          <cell r="C277" t="str">
            <v>MUNDRA UMTPP</v>
          </cell>
          <cell r="D277" t="str">
            <v>Gujarat</v>
          </cell>
          <cell r="E277" t="str">
            <v>PVT SECTOR</v>
          </cell>
          <cell r="F277" t="str">
            <v xml:space="preserve"> 5-10 years</v>
          </cell>
          <cell r="G277">
            <v>7.1759069130732298</v>
          </cell>
          <cell r="H277">
            <v>800</v>
          </cell>
          <cell r="I277">
            <v>0.61322942875240105</v>
          </cell>
          <cell r="J277"/>
          <cell r="K277">
            <v>7.7721035120439194E-2</v>
          </cell>
          <cell r="L277">
            <v>1.7424751657907001</v>
          </cell>
        </row>
        <row r="278">
          <cell r="A278" t="str">
            <v>MUTHIARA TPP1</v>
          </cell>
          <cell r="B278" t="str">
            <v>MUTHIARA TPP</v>
          </cell>
          <cell r="C278" t="str">
            <v>MUTHIARA TPP</v>
          </cell>
          <cell r="D278" t="str">
            <v>Tamil Nadu</v>
          </cell>
          <cell r="E278" t="str">
            <v>PVT SECTOR</v>
          </cell>
          <cell r="F278" t="str">
            <v xml:space="preserve"> 5-10 years</v>
          </cell>
          <cell r="G278">
            <v>5.4236824093086904</v>
          </cell>
          <cell r="H278">
            <v>600</v>
          </cell>
          <cell r="I278">
            <v>0.33453279104041322</v>
          </cell>
          <cell r="J278"/>
          <cell r="K278">
            <v>7.2208785753758192E-2</v>
          </cell>
          <cell r="L278">
            <v>3.0330919540229901</v>
          </cell>
        </row>
        <row r="279">
          <cell r="A279" t="str">
            <v>MUTHIARA TPP2</v>
          </cell>
          <cell r="B279" t="str">
            <v>MUTHIARA TPP</v>
          </cell>
          <cell r="C279" t="str">
            <v>MUTHIARA TPP</v>
          </cell>
          <cell r="D279" t="str">
            <v>Tamil Nadu</v>
          </cell>
          <cell r="E279" t="str">
            <v>PVT SECTOR</v>
          </cell>
          <cell r="F279" t="str">
            <v xml:space="preserve"> 0-5 years</v>
          </cell>
          <cell r="G279">
            <v>4.33949349760438</v>
          </cell>
          <cell r="H279">
            <v>600</v>
          </cell>
          <cell r="I279">
            <v>0.33858053515350761</v>
          </cell>
          <cell r="J279"/>
          <cell r="K279">
            <v>7.2208785753758192E-2</v>
          </cell>
          <cell r="L279">
            <v>3.0330919540229901</v>
          </cell>
        </row>
        <row r="280">
          <cell r="A280" t="str">
            <v>MUZAFFARPUR TPS1</v>
          </cell>
          <cell r="B280" t="str">
            <v>MUZAFFARPUR TPS</v>
          </cell>
          <cell r="C280" t="str">
            <v>MUZAFFARPUR TPS UNIT 1-2</v>
          </cell>
          <cell r="D280" t="str">
            <v>Bihar</v>
          </cell>
          <cell r="E280" t="str">
            <v>CENTRAL SECTOR</v>
          </cell>
          <cell r="F280" t="str">
            <v xml:space="preserve"> 5-10 years</v>
          </cell>
          <cell r="G280">
            <v>6.5051334702258696</v>
          </cell>
          <cell r="H280">
            <v>110</v>
          </cell>
          <cell r="I280">
            <v>0.43942087269821217</v>
          </cell>
          <cell r="J280">
            <v>1.1059484299208577</v>
          </cell>
          <cell r="K280">
            <v>9.4599688742977306E-2</v>
          </cell>
          <cell r="L280">
            <v>3.3885559566787098</v>
          </cell>
        </row>
        <row r="281">
          <cell r="A281" t="str">
            <v>MUZAFFARPUR TPS2</v>
          </cell>
          <cell r="B281" t="str">
            <v>MUZAFFARPUR TPS</v>
          </cell>
          <cell r="C281" t="str">
            <v>MUZAFFARPUR TPS UNIT 1-2</v>
          </cell>
          <cell r="D281" t="str">
            <v>Bihar</v>
          </cell>
          <cell r="E281" t="str">
            <v>CENTRAL SECTOR</v>
          </cell>
          <cell r="F281" t="str">
            <v xml:space="preserve"> 5-10 years</v>
          </cell>
          <cell r="G281">
            <v>5.5058179329226498</v>
          </cell>
          <cell r="H281">
            <v>110</v>
          </cell>
          <cell r="I281">
            <v>0.33080118624204319</v>
          </cell>
          <cell r="J281">
            <v>1.1059484299208577</v>
          </cell>
          <cell r="K281">
            <v>9.4599688742977306E-2</v>
          </cell>
          <cell r="L281">
            <v>3.3885559566787098</v>
          </cell>
        </row>
        <row r="282">
          <cell r="A282" t="str">
            <v>MUZAFFARPUR TPS3</v>
          </cell>
          <cell r="B282" t="str">
            <v>MUZAFFARPUR TPS</v>
          </cell>
          <cell r="C282" t="str">
            <v>MUZAFFARPUR TPS UNIT 3-4</v>
          </cell>
          <cell r="D282" t="str">
            <v>Bihar</v>
          </cell>
          <cell r="E282" t="str">
            <v>CENTRAL SECTOR</v>
          </cell>
          <cell r="F282" t="str">
            <v xml:space="preserve"> 5-10 years</v>
          </cell>
          <cell r="G282">
            <v>5.1772758384667998</v>
          </cell>
          <cell r="H282">
            <v>195</v>
          </cell>
          <cell r="I282">
            <v>0.60101795027473925</v>
          </cell>
          <cell r="J282">
            <v>0.85341310851237417</v>
          </cell>
          <cell r="K282">
            <v>9.4599688742977306E-2</v>
          </cell>
          <cell r="L282">
            <v>2.68938639281129</v>
          </cell>
        </row>
        <row r="283">
          <cell r="A283" t="str">
            <v>MUZAFFARPUR TPS4</v>
          </cell>
          <cell r="B283" t="str">
            <v>MUZAFFARPUR TPS</v>
          </cell>
          <cell r="C283" t="str">
            <v>MUZAFFARPUR TPS UNIT 3-4</v>
          </cell>
          <cell r="D283" t="str">
            <v>Bihar</v>
          </cell>
          <cell r="E283" t="str">
            <v>CENTRAL SECTOR</v>
          </cell>
          <cell r="F283" t="str">
            <v xml:space="preserve"> 0-5 years</v>
          </cell>
          <cell r="G283">
            <v>3.1759069130732298</v>
          </cell>
          <cell r="H283">
            <v>195</v>
          </cell>
          <cell r="I283">
            <v>0.62423307341596146</v>
          </cell>
          <cell r="J283">
            <v>0.85341310851237417</v>
          </cell>
          <cell r="K283">
            <v>9.4599688742977306E-2</v>
          </cell>
          <cell r="L283">
            <v>2.68938639281129</v>
          </cell>
        </row>
        <row r="284">
          <cell r="A284" t="str">
            <v>NABI NAGAR TPP1</v>
          </cell>
          <cell r="B284" t="str">
            <v>NABI NAGAR TPP</v>
          </cell>
          <cell r="C284" t="str">
            <v>NABI NAGAR TPP</v>
          </cell>
          <cell r="D284" t="str">
            <v>Bihar</v>
          </cell>
          <cell r="E284" t="str">
            <v>CENTRAL SECTOR</v>
          </cell>
          <cell r="F284" t="str">
            <v xml:space="preserve"> 0-5 years</v>
          </cell>
          <cell r="G284">
            <v>4.1752224503764497</v>
          </cell>
          <cell r="H284">
            <v>250</v>
          </cell>
          <cell r="I284">
            <v>0.68674927294289334</v>
          </cell>
          <cell r="J284"/>
          <cell r="K284">
            <v>7.0000000000000007E-2</v>
          </cell>
          <cell r="L284">
            <v>1.97192539109506</v>
          </cell>
        </row>
        <row r="285">
          <cell r="A285" t="str">
            <v>NABI NAGAR TPP2</v>
          </cell>
          <cell r="B285" t="str">
            <v>NABI NAGAR TPP</v>
          </cell>
          <cell r="C285" t="str">
            <v>NABI NAGAR TPP</v>
          </cell>
          <cell r="D285" t="str">
            <v>Bihar</v>
          </cell>
          <cell r="E285" t="str">
            <v>CENTRAL SECTOR</v>
          </cell>
          <cell r="F285" t="str">
            <v xml:space="preserve"> 0-5 years</v>
          </cell>
          <cell r="G285">
            <v>3.0910335386721401</v>
          </cell>
          <cell r="H285">
            <v>250</v>
          </cell>
          <cell r="I285">
            <v>0.47957608247847333</v>
          </cell>
          <cell r="J285"/>
          <cell r="K285">
            <v>7.0000000000000007E-2</v>
          </cell>
          <cell r="L285">
            <v>1.97192539109506</v>
          </cell>
        </row>
        <row r="286">
          <cell r="A286" t="str">
            <v>NABI NAGAR TPP3</v>
          </cell>
          <cell r="B286" t="str">
            <v>NABI NAGAR TPP</v>
          </cell>
          <cell r="C286" t="str">
            <v>NABI NAGAR TPP</v>
          </cell>
          <cell r="D286" t="str">
            <v>Bihar</v>
          </cell>
          <cell r="E286" t="str">
            <v>CENTRAL SECTOR</v>
          </cell>
          <cell r="F286" t="str">
            <v xml:space="preserve"> 0-5 years</v>
          </cell>
          <cell r="G286">
            <v>1.2539356605065</v>
          </cell>
          <cell r="H286">
            <v>250</v>
          </cell>
          <cell r="I286">
            <v>0.71148727455957672</v>
          </cell>
          <cell r="J286"/>
          <cell r="K286">
            <v>7.0000000000000007E-2</v>
          </cell>
          <cell r="L286">
            <v>1.97192539109506</v>
          </cell>
        </row>
        <row r="287">
          <cell r="A287" t="str">
            <v>NABINAGAR STPP1</v>
          </cell>
          <cell r="B287" t="str">
            <v>NABINAGAR STPP</v>
          </cell>
          <cell r="C287" t="str">
            <v>NABINAGAR STPP</v>
          </cell>
          <cell r="D287" t="str">
            <v>Bihar</v>
          </cell>
          <cell r="E287" t="str">
            <v>CENTRAL SECTOR</v>
          </cell>
          <cell r="F287" t="str">
            <v xml:space="preserve"> 0-5 years</v>
          </cell>
          <cell r="G287">
            <v>0.81040383299110197</v>
          </cell>
          <cell r="H287">
            <v>660</v>
          </cell>
          <cell r="I287">
            <v>0.39093724485305364</v>
          </cell>
          <cell r="J287"/>
          <cell r="K287">
            <v>7.0000000000000007E-2</v>
          </cell>
          <cell r="L287">
            <v>2.0572391480183301</v>
          </cell>
        </row>
        <row r="288">
          <cell r="A288" t="str">
            <v>NASIK TPS3</v>
          </cell>
          <cell r="B288" t="str">
            <v>NASIK TPS</v>
          </cell>
          <cell r="C288" t="str">
            <v>NASIK TPS</v>
          </cell>
          <cell r="D288" t="str">
            <v>Maharashtra</v>
          </cell>
          <cell r="E288" t="str">
            <v>STATE SECTOR</v>
          </cell>
          <cell r="F288" t="str">
            <v xml:space="preserve"> 40-45 years</v>
          </cell>
          <cell r="G288">
            <v>41.0924024640657</v>
          </cell>
          <cell r="H288">
            <v>210</v>
          </cell>
          <cell r="I288">
            <v>0.43035244456411503</v>
          </cell>
          <cell r="J288">
            <v>1.0978227537565164</v>
          </cell>
          <cell r="K288">
            <v>0.10328378773749107</v>
          </cell>
          <cell r="L288">
            <v>3.27290109890115</v>
          </cell>
        </row>
        <row r="289">
          <cell r="A289" t="str">
            <v>NASIK TPS4</v>
          </cell>
          <cell r="B289" t="str">
            <v>NASIK TPS</v>
          </cell>
          <cell r="C289" t="str">
            <v>NASIK TPS</v>
          </cell>
          <cell r="D289" t="str">
            <v>Maharashtra</v>
          </cell>
          <cell r="E289" t="str">
            <v>STATE SECTOR</v>
          </cell>
          <cell r="F289" t="str">
            <v xml:space="preserve"> 35-40 years</v>
          </cell>
          <cell r="G289">
            <v>39.841204654346299</v>
          </cell>
          <cell r="H289">
            <v>210</v>
          </cell>
          <cell r="I289">
            <v>0.56347350742338886</v>
          </cell>
          <cell r="J289">
            <v>1.0978227537565164</v>
          </cell>
          <cell r="K289">
            <v>0.10328378773749107</v>
          </cell>
          <cell r="L289">
            <v>3.27290109890115</v>
          </cell>
        </row>
        <row r="290">
          <cell r="A290" t="str">
            <v>NASIK TPS5</v>
          </cell>
          <cell r="B290" t="str">
            <v>NASIK TPS</v>
          </cell>
          <cell r="C290" t="str">
            <v>NASIK TPS</v>
          </cell>
          <cell r="D290" t="str">
            <v>Maharashtra</v>
          </cell>
          <cell r="E290" t="str">
            <v>STATE SECTOR</v>
          </cell>
          <cell r="F290" t="str">
            <v xml:space="preserve"> 35-40 years</v>
          </cell>
          <cell r="G290">
            <v>39.337440109513999</v>
          </cell>
          <cell r="H290">
            <v>210</v>
          </cell>
          <cell r="I290">
            <v>0.35670371042313292</v>
          </cell>
          <cell r="J290">
            <v>1.0978227537565164</v>
          </cell>
          <cell r="K290">
            <v>0.10328378773749107</v>
          </cell>
          <cell r="L290">
            <v>3.27290109890115</v>
          </cell>
        </row>
        <row r="291">
          <cell r="A291" t="str">
            <v>NAWAPARA TPP1</v>
          </cell>
          <cell r="B291" t="str">
            <v>NAWAPARA TPP</v>
          </cell>
          <cell r="C291" t="str">
            <v>NAWAPARA TPP</v>
          </cell>
          <cell r="D291" t="str">
            <v>Chhatisgarh</v>
          </cell>
          <cell r="E291" t="str">
            <v>PVT SECTOR</v>
          </cell>
          <cell r="F291" t="str">
            <v xml:space="preserve"> 0-5 years</v>
          </cell>
          <cell r="G291">
            <v>3.7563312799452402</v>
          </cell>
          <cell r="H291">
            <v>300</v>
          </cell>
          <cell r="I291">
            <v>0.57574403953393194</v>
          </cell>
          <cell r="J291"/>
          <cell r="K291">
            <v>8.9083336269112648E-2</v>
          </cell>
          <cell r="L291">
            <v>1.6633223684210501</v>
          </cell>
        </row>
        <row r="292">
          <cell r="A292" t="str">
            <v>NAWAPARA TPP2</v>
          </cell>
          <cell r="B292" t="str">
            <v>NAWAPARA TPP</v>
          </cell>
          <cell r="C292" t="str">
            <v>NAWAPARA TPP</v>
          </cell>
          <cell r="D292" t="str">
            <v>Chhatisgarh</v>
          </cell>
          <cell r="E292" t="str">
            <v>PVT SECTOR</v>
          </cell>
          <cell r="F292" t="str">
            <v xml:space="preserve"> 0-5 years</v>
          </cell>
          <cell r="G292">
            <v>3.0910335386721401</v>
          </cell>
          <cell r="H292">
            <v>300</v>
          </cell>
          <cell r="I292">
            <v>0.53894574944873053</v>
          </cell>
          <cell r="J292"/>
          <cell r="K292">
            <v>8.9083336269112648E-2</v>
          </cell>
          <cell r="L292">
            <v>1.6633223684210501</v>
          </cell>
        </row>
        <row r="293">
          <cell r="A293" t="str">
            <v>NIGRI TPP1</v>
          </cell>
          <cell r="B293" t="str">
            <v>NIGRI TPP</v>
          </cell>
          <cell r="C293" t="str">
            <v>NIGRI TPP</v>
          </cell>
          <cell r="D293" t="str">
            <v>Madhya Pradesh</v>
          </cell>
          <cell r="E293" t="str">
            <v>PVT SECTOR</v>
          </cell>
          <cell r="F293" t="str">
            <v xml:space="preserve"> 5-10 years</v>
          </cell>
          <cell r="G293">
            <v>5.7577002053388</v>
          </cell>
          <cell r="H293">
            <v>660</v>
          </cell>
          <cell r="I293">
            <v>0.5934841518332582</v>
          </cell>
          <cell r="J293">
            <v>0.23526200873362446</v>
          </cell>
          <cell r="K293">
            <v>6.0287169912146825E-2</v>
          </cell>
          <cell r="L293">
            <v>0.61437499999999101</v>
          </cell>
        </row>
        <row r="294">
          <cell r="A294" t="str">
            <v>NIGRI TPP2</v>
          </cell>
          <cell r="B294" t="str">
            <v>NIGRI TPP</v>
          </cell>
          <cell r="C294" t="str">
            <v>NIGRI TPP</v>
          </cell>
          <cell r="D294" t="str">
            <v>Madhya Pradesh</v>
          </cell>
          <cell r="E294" t="str">
            <v>PVT SECTOR</v>
          </cell>
          <cell r="F294" t="str">
            <v xml:space="preserve"> 5-10 years</v>
          </cell>
          <cell r="G294">
            <v>5.2539356605065004</v>
          </cell>
          <cell r="H294">
            <v>660</v>
          </cell>
          <cell r="I294">
            <v>0.59550640603065652</v>
          </cell>
          <cell r="J294">
            <v>0.23526200873362446</v>
          </cell>
          <cell r="K294">
            <v>6.0287169912146825E-2</v>
          </cell>
          <cell r="L294">
            <v>0.61437499999999101</v>
          </cell>
        </row>
        <row r="295">
          <cell r="A295" t="str">
            <v>NIWARI TPP1</v>
          </cell>
          <cell r="B295" t="str">
            <v>NIWARI TPP</v>
          </cell>
          <cell r="C295">
            <v>0</v>
          </cell>
          <cell r="D295" t="str">
            <v>Madhya Pradesh</v>
          </cell>
          <cell r="E295" t="str">
            <v>PVT SECTOR</v>
          </cell>
          <cell r="F295" t="str">
            <v xml:space="preserve"> 5-10 years</v>
          </cell>
          <cell r="G295">
            <v>6.4229979466118996</v>
          </cell>
          <cell r="H295">
            <v>45</v>
          </cell>
          <cell r="I295">
            <v>0.34695512619098523</v>
          </cell>
          <cell r="J295">
            <v>0.76433121019108285</v>
          </cell>
          <cell r="K295">
            <v>0.11909037109527723</v>
          </cell>
          <cell r="L295"/>
        </row>
        <row r="296">
          <cell r="A296" t="str">
            <v>NIWARI TPP2</v>
          </cell>
          <cell r="B296" t="str">
            <v>NIWARI TPP</v>
          </cell>
          <cell r="C296">
            <v>0</v>
          </cell>
          <cell r="D296" t="str">
            <v>Madhya Pradesh</v>
          </cell>
          <cell r="E296" t="str">
            <v>PVT SECTOR</v>
          </cell>
          <cell r="F296" t="str">
            <v xml:space="preserve"> 0-5 years</v>
          </cell>
          <cell r="G296">
            <v>0.84325804243668701</v>
          </cell>
          <cell r="H296">
            <v>45</v>
          </cell>
          <cell r="I296">
            <v>6.7577658303464728E-3</v>
          </cell>
          <cell r="J296">
            <v>0.76</v>
          </cell>
          <cell r="K296">
            <v>0.11909037109527723</v>
          </cell>
          <cell r="L296"/>
        </row>
        <row r="297">
          <cell r="A297" t="str">
            <v>NORTH CHENNAI TPS1</v>
          </cell>
          <cell r="B297" t="str">
            <v>NORTH CHENNAI TPS</v>
          </cell>
          <cell r="C297" t="str">
            <v>NORTH CHENNAI TPS UNIT 1-3</v>
          </cell>
          <cell r="D297" t="str">
            <v>Tamil Nadu</v>
          </cell>
          <cell r="E297" t="str">
            <v>STATE SECTOR</v>
          </cell>
          <cell r="F297" t="str">
            <v xml:space="preserve"> 25-30 years</v>
          </cell>
          <cell r="G297">
            <v>16.383299110198401</v>
          </cell>
          <cell r="H297">
            <v>210</v>
          </cell>
          <cell r="I297">
            <v>0.63713373751104163</v>
          </cell>
          <cell r="J297">
            <v>0.86117189399465111</v>
          </cell>
          <cell r="K297">
            <v>7.8776329249988286E-2</v>
          </cell>
          <cell r="L297">
            <v>3.0684827586207</v>
          </cell>
        </row>
        <row r="298">
          <cell r="A298" t="str">
            <v>NORTH CHENNAI TPS2</v>
          </cell>
          <cell r="B298" t="str">
            <v>NORTH CHENNAI TPS</v>
          </cell>
          <cell r="C298" t="str">
            <v>NORTH CHENNAI TPS UNIT 1-3</v>
          </cell>
          <cell r="D298" t="str">
            <v>Tamil Nadu</v>
          </cell>
          <cell r="E298" t="str">
            <v>STATE SECTOR</v>
          </cell>
          <cell r="F298" t="str">
            <v xml:space="preserve"> 25-30 years</v>
          </cell>
          <cell r="G298">
            <v>15.9247091033538</v>
          </cell>
          <cell r="H298">
            <v>210</v>
          </cell>
          <cell r="I298">
            <v>0.7224147266024622</v>
          </cell>
          <cell r="J298">
            <v>0.86117189399465111</v>
          </cell>
          <cell r="K298">
            <v>7.8776329249988286E-2</v>
          </cell>
          <cell r="L298">
            <v>3.0684827586207</v>
          </cell>
        </row>
        <row r="299">
          <cell r="A299" t="str">
            <v>NORTH CHENNAI TPS3</v>
          </cell>
          <cell r="B299" t="str">
            <v>NORTH CHENNAI TPS</v>
          </cell>
          <cell r="C299" t="str">
            <v>NORTH CHENNAI TPS UNIT 1-3</v>
          </cell>
          <cell r="D299" t="str">
            <v>Tamil Nadu</v>
          </cell>
          <cell r="E299" t="str">
            <v>STATE SECTOR</v>
          </cell>
          <cell r="F299" t="str">
            <v xml:space="preserve"> 20-25 years</v>
          </cell>
          <cell r="G299">
            <v>24.2546201232032</v>
          </cell>
          <cell r="H299">
            <v>210</v>
          </cell>
          <cell r="I299">
            <v>0.71672856305877775</v>
          </cell>
          <cell r="J299">
            <v>0.86117189399465111</v>
          </cell>
          <cell r="K299">
            <v>7.8776329249988286E-2</v>
          </cell>
          <cell r="L299">
            <v>3.0684827586207</v>
          </cell>
        </row>
        <row r="300">
          <cell r="A300" t="str">
            <v>NORTH CHENNAI TPS4</v>
          </cell>
          <cell r="B300" t="str">
            <v>NORTH CHENNAI TPS</v>
          </cell>
          <cell r="C300" t="str">
            <v>NORTH CHENNAI TPS UNIT 4-5</v>
          </cell>
          <cell r="D300" t="str">
            <v>Tamil Nadu</v>
          </cell>
          <cell r="E300" t="str">
            <v>STATE SECTOR</v>
          </cell>
          <cell r="F300" t="str">
            <v xml:space="preserve"> 5-10 years</v>
          </cell>
          <cell r="G300">
            <v>6.6009582477754902</v>
          </cell>
          <cell r="H300">
            <v>600</v>
          </cell>
          <cell r="I300">
            <v>0.576578809992218</v>
          </cell>
          <cell r="J300">
            <v>0.8</v>
          </cell>
          <cell r="K300">
            <v>7.8776329249988286E-2</v>
          </cell>
          <cell r="L300">
            <v>3.1766666666666601</v>
          </cell>
        </row>
        <row r="301">
          <cell r="A301" t="str">
            <v>NORTH CHENNAI TPS5</v>
          </cell>
          <cell r="B301" t="str">
            <v>NORTH CHENNAI TPS</v>
          </cell>
          <cell r="C301" t="str">
            <v>NORTH CHENNAI TPS UNIT 4-5</v>
          </cell>
          <cell r="D301" t="str">
            <v>Tamil Nadu</v>
          </cell>
          <cell r="E301" t="str">
            <v>STATE SECTOR</v>
          </cell>
          <cell r="F301" t="str">
            <v xml:space="preserve"> 5-10 years</v>
          </cell>
          <cell r="G301">
            <v>7.1348391512662497</v>
          </cell>
          <cell r="H301">
            <v>600</v>
          </cell>
          <cell r="I301">
            <v>0.56822519967561458</v>
          </cell>
          <cell r="J301">
            <v>0.8</v>
          </cell>
          <cell r="K301">
            <v>7.8776329249988286E-2</v>
          </cell>
          <cell r="L301">
            <v>3.1766666666666601</v>
          </cell>
        </row>
        <row r="302">
          <cell r="A302" t="str">
            <v>NTPL TUTICORIN (JV) TPP1</v>
          </cell>
          <cell r="B302" t="str">
            <v>NTPL TUTICORIN (JV) TPP</v>
          </cell>
          <cell r="C302" t="str">
            <v>NTPL TUTICORIN (JV) TPP</v>
          </cell>
          <cell r="D302" t="str">
            <v>Tamil Nadu</v>
          </cell>
          <cell r="E302" t="str">
            <v>CENTRAL SECTOR</v>
          </cell>
          <cell r="F302" t="str">
            <v xml:space="preserve"> 5-10 years</v>
          </cell>
          <cell r="G302">
            <v>5.1772758384667998</v>
          </cell>
          <cell r="H302">
            <v>500</v>
          </cell>
          <cell r="I302">
            <v>0.68357893996116748</v>
          </cell>
          <cell r="J302">
            <v>0.83</v>
          </cell>
          <cell r="K302">
            <v>7.0217798966479852E-2</v>
          </cell>
          <cell r="L302">
            <v>3.1779493345128098</v>
          </cell>
        </row>
        <row r="303">
          <cell r="A303" t="str">
            <v>NTPL TUTICORIN (JV) TPP2</v>
          </cell>
          <cell r="B303" t="str">
            <v>NTPL TUTICORIN (JV) TPP</v>
          </cell>
          <cell r="C303" t="str">
            <v>NTPL TUTICORIN (JV) TPP</v>
          </cell>
          <cell r="D303" t="str">
            <v>Tamil Nadu</v>
          </cell>
          <cell r="E303" t="str">
            <v>CENTRAL SECTOR</v>
          </cell>
          <cell r="F303" t="str">
            <v xml:space="preserve"> 0-5 years</v>
          </cell>
          <cell r="G303">
            <v>4.8432580424366796</v>
          </cell>
          <cell r="H303">
            <v>500</v>
          </cell>
          <cell r="I303">
            <v>0.47051765251485494</v>
          </cell>
          <cell r="J303">
            <v>0.83</v>
          </cell>
          <cell r="K303">
            <v>7.0217798966479852E-2</v>
          </cell>
          <cell r="L303">
            <v>3.1779493345128098</v>
          </cell>
        </row>
        <row r="304">
          <cell r="A304" t="str">
            <v>OBRA TPS1</v>
          </cell>
          <cell r="B304" t="str">
            <v>OBRA TPS</v>
          </cell>
          <cell r="C304" t="str">
            <v>OBRA TPS UNIT 1-8</v>
          </cell>
          <cell r="D304" t="str">
            <v>Uttar Pardesh</v>
          </cell>
          <cell r="E304" t="str">
            <v>STATE SECTOR</v>
          </cell>
          <cell r="F304" t="str">
            <v xml:space="preserve"> 45+ years</v>
          </cell>
          <cell r="G304">
            <v>52.758384668035497</v>
          </cell>
          <cell r="H304">
            <v>50</v>
          </cell>
          <cell r="I304">
            <v>1.278399378399375</v>
          </cell>
          <cell r="J304">
            <v>0.5276649746192893</v>
          </cell>
          <cell r="K304">
            <v>9.0180179439313821E-2</v>
          </cell>
          <cell r="L304">
            <v>2.3353287197231798</v>
          </cell>
        </row>
        <row r="305">
          <cell r="A305" t="str">
            <v>OBRA TPS10</v>
          </cell>
          <cell r="B305" t="str">
            <v>OBRA TPS</v>
          </cell>
          <cell r="C305" t="str">
            <v>OBRA TPS UNIT 9-13</v>
          </cell>
          <cell r="D305" t="str">
            <v>Uttar Pardesh</v>
          </cell>
          <cell r="E305" t="str">
            <v>STATE SECTOR</v>
          </cell>
          <cell r="F305" t="str">
            <v xml:space="preserve"> 40-45 years</v>
          </cell>
          <cell r="G305">
            <v>41.338809034907598</v>
          </cell>
          <cell r="H305">
            <v>200</v>
          </cell>
          <cell r="I305">
            <v>0.62579541726992294</v>
          </cell>
          <cell r="J305">
            <v>0.53578680203045681</v>
          </cell>
          <cell r="K305">
            <v>9.0180179439313821E-2</v>
          </cell>
          <cell r="L305">
            <v>1.88889254385964</v>
          </cell>
        </row>
        <row r="306">
          <cell r="A306" t="str">
            <v>OBRA TPS11</v>
          </cell>
          <cell r="B306" t="str">
            <v>OBRA TPS</v>
          </cell>
          <cell r="C306" t="str">
            <v>OBRA TPS UNIT 9-13</v>
          </cell>
          <cell r="D306" t="str">
            <v>Uttar Pardesh</v>
          </cell>
          <cell r="E306" t="str">
            <v>STATE SECTOR</v>
          </cell>
          <cell r="F306" t="str">
            <v xml:space="preserve"> 40-45 years</v>
          </cell>
          <cell r="G306">
            <v>42.4229979466119</v>
          </cell>
          <cell r="H306">
            <v>200</v>
          </cell>
          <cell r="I306">
            <v>0.7182351797779416</v>
          </cell>
          <cell r="J306">
            <v>0.53578680203045681</v>
          </cell>
          <cell r="K306">
            <v>9.0180179439313821E-2</v>
          </cell>
          <cell r="L306">
            <v>1.88889254385964</v>
          </cell>
        </row>
        <row r="307">
          <cell r="A307" t="str">
            <v>OBRA TPS12</v>
          </cell>
          <cell r="B307" t="str">
            <v>OBRA TPS</v>
          </cell>
          <cell r="C307" t="str">
            <v>OBRA TPS UNIT 9-13</v>
          </cell>
          <cell r="D307" t="str">
            <v>Uttar Pardesh</v>
          </cell>
          <cell r="E307" t="str">
            <v>STATE SECTOR</v>
          </cell>
          <cell r="F307" t="str">
            <v xml:space="preserve"> 35-40 years</v>
          </cell>
          <cell r="G307">
            <v>39.175906913073199</v>
          </cell>
          <cell r="H307">
            <v>200</v>
          </cell>
          <cell r="I307">
            <v>8.8074583899806248E-3</v>
          </cell>
          <cell r="J307">
            <v>0.53578680203045681</v>
          </cell>
          <cell r="K307">
            <v>9.0180179439313821E-2</v>
          </cell>
          <cell r="L307">
            <v>1.88889254385964</v>
          </cell>
        </row>
        <row r="308">
          <cell r="A308" t="str">
            <v>OBRA TPS13</v>
          </cell>
          <cell r="B308" t="str">
            <v>OBRA TPS</v>
          </cell>
          <cell r="C308" t="str">
            <v>OBRA TPS UNIT 9-13</v>
          </cell>
          <cell r="D308" t="str">
            <v>Uttar Pardesh</v>
          </cell>
          <cell r="E308" t="str">
            <v>STATE SECTOR</v>
          </cell>
          <cell r="F308" t="str">
            <v xml:space="preserve"> 35-40 years</v>
          </cell>
          <cell r="G308">
            <v>37.842573579739899</v>
          </cell>
          <cell r="H308">
            <v>200</v>
          </cell>
          <cell r="I308">
            <v>8.1806233606613543E-2</v>
          </cell>
          <cell r="J308">
            <v>0.53578680203045681</v>
          </cell>
          <cell r="K308">
            <v>9.0180179439313821E-2</v>
          </cell>
          <cell r="L308">
            <v>1.88889254385964</v>
          </cell>
        </row>
        <row r="309">
          <cell r="A309" t="str">
            <v>OBRA TPS9</v>
          </cell>
          <cell r="B309" t="str">
            <v>OBRA TPS</v>
          </cell>
          <cell r="C309" t="str">
            <v>OBRA TPS UNIT 9-13</v>
          </cell>
          <cell r="D309" t="str">
            <v>Uttar Pardesh</v>
          </cell>
          <cell r="E309" t="str">
            <v>STATE SECTOR</v>
          </cell>
          <cell r="F309" t="str">
            <v xml:space="preserve"> 35-40 years</v>
          </cell>
          <cell r="G309">
            <v>39.589322381930103</v>
          </cell>
          <cell r="H309">
            <v>200</v>
          </cell>
          <cell r="I309">
            <v>0.66395480271360219</v>
          </cell>
          <cell r="J309">
            <v>0.53578680203045681</v>
          </cell>
          <cell r="K309">
            <v>9.0180179439313821E-2</v>
          </cell>
          <cell r="L309">
            <v>1.88889254385964</v>
          </cell>
        </row>
        <row r="310">
          <cell r="A310" t="str">
            <v>OP JINDAL TPS1</v>
          </cell>
          <cell r="B310" t="str">
            <v>OP JINDAL TPS</v>
          </cell>
          <cell r="C310" t="str">
            <v>OP JINDAL TPS</v>
          </cell>
          <cell r="D310" t="str">
            <v>Chhatisgarh</v>
          </cell>
          <cell r="E310" t="str">
            <v>PVT SECTOR</v>
          </cell>
          <cell r="F310" t="str">
            <v xml:space="preserve"> 10-15 years</v>
          </cell>
          <cell r="G310">
            <v>12.6735112936344</v>
          </cell>
          <cell r="H310">
            <v>250</v>
          </cell>
          <cell r="I310">
            <v>0.20757181344939338</v>
          </cell>
          <cell r="J310"/>
          <cell r="K310">
            <v>9.6900494936795964E-2</v>
          </cell>
          <cell r="L310"/>
        </row>
        <row r="311">
          <cell r="A311" t="str">
            <v>OP JINDAL TPS2</v>
          </cell>
          <cell r="B311" t="str">
            <v>OP JINDAL TPS</v>
          </cell>
          <cell r="C311" t="str">
            <v>OP JINDAL TPS</v>
          </cell>
          <cell r="D311" t="str">
            <v>Chhatisgarh</v>
          </cell>
          <cell r="E311" t="str">
            <v>PVT SECTOR</v>
          </cell>
          <cell r="F311" t="str">
            <v xml:space="preserve"> 10-15 years</v>
          </cell>
          <cell r="G311">
            <v>12.2546201232032</v>
          </cell>
          <cell r="H311">
            <v>250</v>
          </cell>
          <cell r="I311">
            <v>0.1226949504446445</v>
          </cell>
          <cell r="J311"/>
          <cell r="K311">
            <v>9.6900494936795964E-2</v>
          </cell>
          <cell r="L311"/>
        </row>
        <row r="312">
          <cell r="A312" t="str">
            <v>OP JINDAL TPS21</v>
          </cell>
          <cell r="B312" t="str">
            <v>OP JINDAL TPS2</v>
          </cell>
          <cell r="C312" t="str">
            <v>OP JINDAL TPS2</v>
          </cell>
          <cell r="D312" t="str">
            <v>Chhatisgarh</v>
          </cell>
          <cell r="E312" t="str">
            <v>PVT SECTOR</v>
          </cell>
          <cell r="F312" t="str">
            <v xml:space="preserve"> 5-10 years</v>
          </cell>
          <cell r="G312">
            <v>6.1765913757700197</v>
          </cell>
          <cell r="H312">
            <v>600</v>
          </cell>
          <cell r="I312">
            <v>0.12625300922484792</v>
          </cell>
          <cell r="J312"/>
          <cell r="K312">
            <v>5.7803709694753805E-2</v>
          </cell>
          <cell r="L312">
            <v>1.5060451098035099</v>
          </cell>
        </row>
        <row r="313">
          <cell r="A313" t="str">
            <v>OP JINDAL TPS22</v>
          </cell>
          <cell r="B313" t="str">
            <v>OP JINDAL TPS2</v>
          </cell>
          <cell r="C313" t="str">
            <v>OP JINDAL TPS2</v>
          </cell>
          <cell r="D313" t="str">
            <v>Chhatisgarh</v>
          </cell>
          <cell r="E313" t="str">
            <v>PVT SECTOR</v>
          </cell>
          <cell r="F313" t="str">
            <v xml:space="preserve"> 5-10 years</v>
          </cell>
          <cell r="G313">
            <v>6.1765913757700197</v>
          </cell>
          <cell r="H313">
            <v>600</v>
          </cell>
          <cell r="I313">
            <v>0.53434674940590277</v>
          </cell>
          <cell r="J313"/>
          <cell r="K313">
            <v>5.7803709694753805E-2</v>
          </cell>
          <cell r="L313">
            <v>1.5060451098035099</v>
          </cell>
        </row>
        <row r="314">
          <cell r="A314" t="str">
            <v>OP JINDAL TPS23</v>
          </cell>
          <cell r="B314" t="str">
            <v>OP JINDAL TPS2</v>
          </cell>
          <cell r="C314" t="str">
            <v>OP JINDAL TPS2</v>
          </cell>
          <cell r="D314" t="str">
            <v>Chhatisgarh</v>
          </cell>
          <cell r="E314" t="str">
            <v>PVT SECTOR</v>
          </cell>
          <cell r="F314" t="str">
            <v xml:space="preserve"> 5-10 years</v>
          </cell>
          <cell r="G314">
            <v>5.3388090349075901</v>
          </cell>
          <cell r="H314">
            <v>600</v>
          </cell>
          <cell r="I314">
            <v>0.47152263993616322</v>
          </cell>
          <cell r="J314"/>
          <cell r="K314">
            <v>5.7803709694753805E-2</v>
          </cell>
          <cell r="L314">
            <v>1.5060451098035099</v>
          </cell>
        </row>
        <row r="315">
          <cell r="A315" t="str">
            <v>OP JINDAL TPS24</v>
          </cell>
          <cell r="B315" t="str">
            <v>OP JINDAL TPS2</v>
          </cell>
          <cell r="C315" t="str">
            <v>OP JINDAL TPS2</v>
          </cell>
          <cell r="D315" t="str">
            <v>Chhatisgarh</v>
          </cell>
          <cell r="E315" t="str">
            <v>PVT SECTOR</v>
          </cell>
          <cell r="F315" t="str">
            <v xml:space="preserve"> 5-10 years</v>
          </cell>
          <cell r="G315">
            <v>5.1772758384667998</v>
          </cell>
          <cell r="H315">
            <v>600</v>
          </cell>
          <cell r="I315">
            <v>0.22188951732510417</v>
          </cell>
          <cell r="J315"/>
          <cell r="K315">
            <v>5.7803709694753805E-2</v>
          </cell>
          <cell r="L315">
            <v>1.5060451098035099</v>
          </cell>
        </row>
        <row r="316">
          <cell r="A316" t="str">
            <v>OP JINDAL TPS3</v>
          </cell>
          <cell r="B316" t="str">
            <v>OP JINDAL TPS</v>
          </cell>
          <cell r="C316" t="str">
            <v>OP JINDAL TPS</v>
          </cell>
          <cell r="D316" t="str">
            <v>Chhatisgarh</v>
          </cell>
          <cell r="E316" t="str">
            <v>PVT SECTOR</v>
          </cell>
          <cell r="F316" t="str">
            <v xml:space="preserve"> 10-15 years</v>
          </cell>
          <cell r="G316">
            <v>12.175222450376401</v>
          </cell>
          <cell r="H316">
            <v>250</v>
          </cell>
          <cell r="I316">
            <v>0.50291250487019667</v>
          </cell>
          <cell r="J316"/>
          <cell r="K316">
            <v>9.6900494936795964E-2</v>
          </cell>
          <cell r="L316"/>
        </row>
        <row r="317">
          <cell r="A317" t="str">
            <v>OP JINDAL TPS4</v>
          </cell>
          <cell r="B317" t="str">
            <v>OP JINDAL TPS</v>
          </cell>
          <cell r="C317" t="str">
            <v>OP JINDAL TPS</v>
          </cell>
          <cell r="D317" t="str">
            <v>Chhatisgarh</v>
          </cell>
          <cell r="E317" t="str">
            <v>PVT SECTOR</v>
          </cell>
          <cell r="F317" t="str">
            <v xml:space="preserve"> 10-15 years</v>
          </cell>
          <cell r="G317">
            <v>11.9233401779603</v>
          </cell>
          <cell r="H317">
            <v>250</v>
          </cell>
          <cell r="I317">
            <v>0.46317908708088329</v>
          </cell>
          <cell r="J317"/>
          <cell r="K317">
            <v>9.6900494936795964E-2</v>
          </cell>
          <cell r="L317"/>
        </row>
        <row r="318">
          <cell r="A318" t="str">
            <v>PAINAMPURAM TPP1</v>
          </cell>
          <cell r="B318" t="str">
            <v>PAINAMPURAM TPP</v>
          </cell>
          <cell r="C318" t="str">
            <v>PAINAMPURAM TPP</v>
          </cell>
          <cell r="D318" t="str">
            <v>Andhra Pradesh</v>
          </cell>
          <cell r="E318" t="str">
            <v>PVT SECTOR</v>
          </cell>
          <cell r="F318" t="str">
            <v xml:space="preserve"> 5-10 years</v>
          </cell>
          <cell r="G318">
            <v>5.2539356605065004</v>
          </cell>
          <cell r="H318">
            <v>660</v>
          </cell>
          <cell r="I318">
            <v>0.71045289710269566</v>
          </cell>
          <cell r="J318"/>
          <cell r="K318">
            <v>5.9223285155824042E-2</v>
          </cell>
          <cell r="L318">
            <v>2.2044338211181902</v>
          </cell>
        </row>
        <row r="319">
          <cell r="A319" t="str">
            <v>PAINAMPURAM TPP2</v>
          </cell>
          <cell r="B319" t="str">
            <v>PAINAMPURAM TPP</v>
          </cell>
          <cell r="C319" t="str">
            <v>PAINAMPURAM TPP</v>
          </cell>
          <cell r="D319" t="str">
            <v>Andhra Pradesh</v>
          </cell>
          <cell r="E319" t="str">
            <v>PVT SECTOR</v>
          </cell>
          <cell r="F319" t="str">
            <v xml:space="preserve"> 0-5 years</v>
          </cell>
          <cell r="G319">
            <v>4.6735112936344896</v>
          </cell>
          <cell r="H319">
            <v>660</v>
          </cell>
          <cell r="I319">
            <v>0.85934108065519565</v>
          </cell>
          <cell r="J319"/>
          <cell r="K319">
            <v>5.9223285155824042E-2</v>
          </cell>
          <cell r="L319">
            <v>2.2044338211181902</v>
          </cell>
        </row>
        <row r="320">
          <cell r="A320" t="str">
            <v>PANIPAT TPS5</v>
          </cell>
          <cell r="B320" t="str">
            <v>PANIPAT TPS</v>
          </cell>
          <cell r="C320" t="str">
            <v>PANIPAT TPS UNIT 5</v>
          </cell>
          <cell r="D320" t="str">
            <v>Haryana</v>
          </cell>
          <cell r="E320" t="str">
            <v>STATE SECTOR</v>
          </cell>
          <cell r="F320" t="str">
            <v xml:space="preserve"> 30-35 years</v>
          </cell>
          <cell r="G320">
            <v>31.175906913073199</v>
          </cell>
          <cell r="H320">
            <v>210</v>
          </cell>
          <cell r="I320">
            <v>5.218810070585337E-2</v>
          </cell>
          <cell r="J320"/>
          <cell r="K320">
            <v>9.6798449718982396E-2</v>
          </cell>
          <cell r="L320">
            <v>3.9239052496798998</v>
          </cell>
        </row>
        <row r="321">
          <cell r="A321" t="str">
            <v>PANIPAT TPS6</v>
          </cell>
          <cell r="B321" t="str">
            <v>PANIPAT TPS</v>
          </cell>
          <cell r="C321" t="str">
            <v>PANIPAT TPS UNIT 6</v>
          </cell>
          <cell r="D321" t="str">
            <v>Haryana</v>
          </cell>
          <cell r="E321" t="str">
            <v>STATE SECTOR</v>
          </cell>
          <cell r="F321" t="str">
            <v xml:space="preserve"> 15-20 years</v>
          </cell>
          <cell r="G321">
            <v>19.175906913073199</v>
          </cell>
          <cell r="H321">
            <v>210</v>
          </cell>
          <cell r="I321">
            <v>0.12228309085344663</v>
          </cell>
          <cell r="J321"/>
          <cell r="K321">
            <v>9.6798449718982396E-2</v>
          </cell>
          <cell r="L321">
            <v>3.81410654827974</v>
          </cell>
        </row>
        <row r="322">
          <cell r="A322" t="str">
            <v>PANIPAT TPS7</v>
          </cell>
          <cell r="B322" t="str">
            <v>PANIPAT TPS</v>
          </cell>
          <cell r="C322" t="str">
            <v>PANIPAT TPS UNIT 7</v>
          </cell>
          <cell r="D322" t="str">
            <v>Haryana</v>
          </cell>
          <cell r="E322" t="str">
            <v>STATE SECTOR</v>
          </cell>
          <cell r="F322" t="str">
            <v xml:space="preserve"> 15-20 years</v>
          </cell>
          <cell r="G322">
            <v>15.6714579055441</v>
          </cell>
          <cell r="H322">
            <v>250</v>
          </cell>
          <cell r="I322">
            <v>0.53534393531641999</v>
          </cell>
          <cell r="J322"/>
          <cell r="K322">
            <v>9.6798449718982396E-2</v>
          </cell>
          <cell r="L322">
            <v>3.5561709211986599</v>
          </cell>
        </row>
        <row r="323">
          <cell r="A323" t="str">
            <v>PANIPAT TPS8</v>
          </cell>
          <cell r="B323" t="str">
            <v>PANIPAT TPS</v>
          </cell>
          <cell r="C323" t="str">
            <v>PANIPAT TPS UNIT 8</v>
          </cell>
          <cell r="D323" t="str">
            <v>Haryana</v>
          </cell>
          <cell r="E323" t="str">
            <v>STATE SECTOR</v>
          </cell>
          <cell r="F323" t="str">
            <v xml:space="preserve"> 15-20 years</v>
          </cell>
          <cell r="G323">
            <v>15.337440109514</v>
          </cell>
          <cell r="H323">
            <v>250</v>
          </cell>
          <cell r="I323">
            <v>0.56927000123024507</v>
          </cell>
          <cell r="J323"/>
          <cell r="K323">
            <v>9.6798449718982396E-2</v>
          </cell>
          <cell r="L323">
            <v>3.5740621531631498</v>
          </cell>
        </row>
        <row r="324">
          <cell r="A324" t="str">
            <v>PARAS TPS3</v>
          </cell>
          <cell r="B324" t="str">
            <v>PARAS TPS</v>
          </cell>
          <cell r="C324" t="str">
            <v>PARAS TPS</v>
          </cell>
          <cell r="D324" t="str">
            <v>Maharashtra</v>
          </cell>
          <cell r="E324" t="str">
            <v>STATE SECTOR</v>
          </cell>
          <cell r="F324" t="str">
            <v xml:space="preserve"> 10-15 years</v>
          </cell>
          <cell r="G324">
            <v>13.0102669404517</v>
          </cell>
          <cell r="H324">
            <v>250</v>
          </cell>
          <cell r="I324">
            <v>0.53155545768078494</v>
          </cell>
          <cell r="J324">
            <v>1.0363846375974588</v>
          </cell>
          <cell r="K324">
            <v>0.10363937129574924</v>
          </cell>
          <cell r="L324">
            <v>2.24048351648351</v>
          </cell>
        </row>
        <row r="325">
          <cell r="A325" t="str">
            <v>PARAS TPS4</v>
          </cell>
          <cell r="B325" t="str">
            <v>PARAS TPS</v>
          </cell>
          <cell r="C325" t="str">
            <v>PARAS TPS</v>
          </cell>
          <cell r="D325" t="str">
            <v>Maharashtra</v>
          </cell>
          <cell r="E325" t="str">
            <v>STATE SECTOR</v>
          </cell>
          <cell r="F325" t="str">
            <v xml:space="preserve"> 10-15 years</v>
          </cell>
          <cell r="G325">
            <v>10.17659137577</v>
          </cell>
          <cell r="H325">
            <v>250</v>
          </cell>
          <cell r="I325">
            <v>0.72613495193214006</v>
          </cell>
          <cell r="J325">
            <v>1.0363846375974588</v>
          </cell>
          <cell r="K325">
            <v>0.10363937129574924</v>
          </cell>
          <cell r="L325">
            <v>2.24048351648351</v>
          </cell>
        </row>
        <row r="326">
          <cell r="A326" t="str">
            <v>PARICHHA TPS2</v>
          </cell>
          <cell r="B326" t="str">
            <v>PARICHHA TPS</v>
          </cell>
          <cell r="C326" t="str">
            <v>PARICHHA TPS UNIT 1-2</v>
          </cell>
          <cell r="D326" t="str">
            <v>Uttar Pardesh</v>
          </cell>
          <cell r="E326" t="str">
            <v>STATE SECTOR</v>
          </cell>
          <cell r="F326" t="str">
            <v xml:space="preserve"> 35-40 years</v>
          </cell>
          <cell r="G326">
            <v>35.2525667351129</v>
          </cell>
          <cell r="H326">
            <v>110</v>
          </cell>
          <cell r="I326">
            <v>0.21576221247863558</v>
          </cell>
          <cell r="J326">
            <v>1.2913928012519562</v>
          </cell>
          <cell r="K326">
            <v>0.10527848654994208</v>
          </cell>
          <cell r="L326">
            <v>3.4864035087719101</v>
          </cell>
        </row>
        <row r="327">
          <cell r="A327" t="str">
            <v>PARICHHA TPS3</v>
          </cell>
          <cell r="B327" t="str">
            <v>PARICHHA TPS</v>
          </cell>
          <cell r="C327" t="str">
            <v>PARICHHA TPS UNIT 3-4</v>
          </cell>
          <cell r="D327" t="str">
            <v>Uttar Pardesh</v>
          </cell>
          <cell r="E327" t="str">
            <v>STATE SECTOR</v>
          </cell>
          <cell r="F327" t="str">
            <v xml:space="preserve"> 10-15 years</v>
          </cell>
          <cell r="G327">
            <v>14.17659137577</v>
          </cell>
          <cell r="H327">
            <v>210</v>
          </cell>
          <cell r="I327">
            <v>0.61559487708691074</v>
          </cell>
          <cell r="J327">
            <v>1.2913928012519562</v>
          </cell>
          <cell r="K327">
            <v>0.10527848654994208</v>
          </cell>
          <cell r="L327">
            <v>2.9735605170387802</v>
          </cell>
        </row>
        <row r="328">
          <cell r="A328" t="str">
            <v>PARICHHA TPS4</v>
          </cell>
          <cell r="B328" t="str">
            <v>PARICHHA TPS</v>
          </cell>
          <cell r="C328" t="str">
            <v>PARICHHA TPS UNIT 3-4</v>
          </cell>
          <cell r="D328" t="str">
            <v>Uttar Pardesh</v>
          </cell>
          <cell r="E328" t="str">
            <v>STATE SECTOR</v>
          </cell>
          <cell r="F328" t="str">
            <v xml:space="preserve"> 10-15 years</v>
          </cell>
          <cell r="G328">
            <v>13.423682409308601</v>
          </cell>
          <cell r="H328">
            <v>210</v>
          </cell>
          <cell r="I328">
            <v>0.64197221125709725</v>
          </cell>
          <cell r="J328">
            <v>1.2913928012519562</v>
          </cell>
          <cell r="K328">
            <v>0.10527848654994208</v>
          </cell>
          <cell r="L328">
            <v>2.9735605170387802</v>
          </cell>
        </row>
        <row r="329">
          <cell r="A329" t="str">
            <v>PARICHHA TPS5</v>
          </cell>
          <cell r="B329" t="str">
            <v>PARICHHA TPS</v>
          </cell>
          <cell r="C329" t="str">
            <v>PARICHHA TPS UNIT 5-6</v>
          </cell>
          <cell r="D329" t="str">
            <v>Uttar Pardesh</v>
          </cell>
          <cell r="E329" t="str">
            <v>STATE SECTOR</v>
          </cell>
          <cell r="F329" t="str">
            <v xml:space="preserve"> 5-10 years</v>
          </cell>
          <cell r="G329">
            <v>8.00821355236139</v>
          </cell>
          <cell r="H329">
            <v>250</v>
          </cell>
          <cell r="I329">
            <v>0.43981762319685003</v>
          </cell>
          <cell r="J329">
            <v>1.2913928012519562</v>
          </cell>
          <cell r="K329">
            <v>0.10527848654994208</v>
          </cell>
          <cell r="L329">
            <v>2.7721600877192998</v>
          </cell>
        </row>
        <row r="330">
          <cell r="A330" t="str">
            <v>PARICHHA TPS6</v>
          </cell>
          <cell r="B330" t="str">
            <v>PARICHHA TPS</v>
          </cell>
          <cell r="C330" t="str">
            <v>PARICHHA TPS UNIT 5-6</v>
          </cell>
          <cell r="D330" t="str">
            <v>Uttar Pardesh</v>
          </cell>
          <cell r="E330" t="str">
            <v>STATE SECTOR</v>
          </cell>
          <cell r="F330" t="str">
            <v xml:space="preserve"> 5-10 years</v>
          </cell>
          <cell r="G330">
            <v>7.1759069130732298</v>
          </cell>
          <cell r="H330">
            <v>250</v>
          </cell>
          <cell r="I330">
            <v>0.66319363581522006</v>
          </cell>
          <cell r="J330">
            <v>1.2913928012519562</v>
          </cell>
          <cell r="K330">
            <v>0.10527848654994208</v>
          </cell>
          <cell r="L330">
            <v>2.7721600877192998</v>
          </cell>
        </row>
        <row r="331">
          <cell r="A331" t="str">
            <v>PARLI TPS6</v>
          </cell>
          <cell r="B331" t="str">
            <v>PARLI TPS</v>
          </cell>
          <cell r="C331" t="str">
            <v>PARLI TPS UNIT 6-7</v>
          </cell>
          <cell r="D331" t="str">
            <v>Maharashtra</v>
          </cell>
          <cell r="E331" t="str">
            <v>STATE SECTOR</v>
          </cell>
          <cell r="F331" t="str">
            <v xml:space="preserve"> 10-15 years</v>
          </cell>
          <cell r="G331">
            <v>13.2539356605065</v>
          </cell>
          <cell r="H331">
            <v>250</v>
          </cell>
          <cell r="I331">
            <v>0.40806132828363001</v>
          </cell>
          <cell r="J331">
            <v>1.1561668145519077</v>
          </cell>
          <cell r="K331">
            <v>0.10765374232246352</v>
          </cell>
          <cell r="L331">
            <v>3.4627692307692302</v>
          </cell>
        </row>
        <row r="332">
          <cell r="A332" t="str">
            <v>PARLI TPS7</v>
          </cell>
          <cell r="B332" t="str">
            <v>PARLI TPS</v>
          </cell>
          <cell r="C332" t="str">
            <v>PARLI TPS UNIT 6-7</v>
          </cell>
          <cell r="D332" t="str">
            <v>Maharashtra</v>
          </cell>
          <cell r="E332" t="str">
            <v>STATE SECTOR</v>
          </cell>
          <cell r="F332" t="str">
            <v xml:space="preserve"> 10-15 years</v>
          </cell>
          <cell r="G332">
            <v>10.2532511978097</v>
          </cell>
          <cell r="H332">
            <v>250</v>
          </cell>
          <cell r="I332">
            <v>0.34851120406299835</v>
          </cell>
          <cell r="J332">
            <v>1.1561668145519077</v>
          </cell>
          <cell r="K332">
            <v>0.10765374232246352</v>
          </cell>
          <cell r="L332">
            <v>3.4627692307692302</v>
          </cell>
        </row>
        <row r="333">
          <cell r="A333" t="str">
            <v>PARLI TPS8</v>
          </cell>
          <cell r="B333" t="str">
            <v>PARLI TPS</v>
          </cell>
          <cell r="C333" t="str">
            <v>PARLI TPS UNIT 8</v>
          </cell>
          <cell r="D333" t="str">
            <v>Maharashtra</v>
          </cell>
          <cell r="E333" t="str">
            <v>STATE SECTOR</v>
          </cell>
          <cell r="F333" t="str">
            <v xml:space="preserve"> 0-5 years</v>
          </cell>
          <cell r="G333">
            <v>4.1752224503764497</v>
          </cell>
          <cell r="H333">
            <v>250</v>
          </cell>
          <cell r="I333">
            <v>0.50794300663288328</v>
          </cell>
          <cell r="J333">
            <v>1.1515509601181684</v>
          </cell>
          <cell r="K333">
            <v>0.10765374232246352</v>
          </cell>
          <cell r="L333">
            <v>3.02</v>
          </cell>
        </row>
        <row r="334">
          <cell r="A334" t="str">
            <v>PATHADI TPS1</v>
          </cell>
          <cell r="B334" t="str">
            <v>PATHADI TPS</v>
          </cell>
          <cell r="C334" t="str">
            <v>PATHADI TPS</v>
          </cell>
          <cell r="D334" t="str">
            <v>Chhatisgarh</v>
          </cell>
          <cell r="E334" t="str">
            <v>PVT SECTOR</v>
          </cell>
          <cell r="F334" t="str">
            <v xml:space="preserve"> 10-15 years</v>
          </cell>
          <cell r="G334">
            <v>10.924024640657001</v>
          </cell>
          <cell r="H334">
            <v>300</v>
          </cell>
          <cell r="I334">
            <v>0.75547728307855966</v>
          </cell>
          <cell r="J334"/>
          <cell r="K334">
            <v>8.7832676734947532E-2</v>
          </cell>
          <cell r="L334">
            <v>2.0314259453038699</v>
          </cell>
        </row>
        <row r="335">
          <cell r="A335" t="str">
            <v>PATHADI TPS2</v>
          </cell>
          <cell r="B335" t="str">
            <v>PATHADI TPS</v>
          </cell>
          <cell r="C335" t="str">
            <v>PATHADI TPS</v>
          </cell>
          <cell r="D335" t="str">
            <v>Chhatisgarh</v>
          </cell>
          <cell r="E335" t="str">
            <v>PVT SECTOR</v>
          </cell>
          <cell r="F335" t="str">
            <v xml:space="preserve"> 10-15 years</v>
          </cell>
          <cell r="G335">
            <v>10.17659137577</v>
          </cell>
          <cell r="H335">
            <v>300</v>
          </cell>
          <cell r="I335">
            <v>0.72121211043884159</v>
          </cell>
          <cell r="J335"/>
          <cell r="K335">
            <v>8.7832676734947532E-2</v>
          </cell>
          <cell r="L335">
            <v>2.0314259453038699</v>
          </cell>
        </row>
        <row r="336">
          <cell r="A336" t="str">
            <v>RAGHUNATHPUR TPP1</v>
          </cell>
          <cell r="B336" t="str">
            <v>RAGHUNATHPUR TPP</v>
          </cell>
          <cell r="C336" t="str">
            <v>RAGHUNATHPUR TPP</v>
          </cell>
          <cell r="D336" t="str">
            <v>West Bengal</v>
          </cell>
          <cell r="E336" t="str">
            <v>CENTRAL SECTOR</v>
          </cell>
          <cell r="F336" t="str">
            <v xml:space="preserve"> 5-10 years</v>
          </cell>
          <cell r="G336">
            <v>5.7577002053388</v>
          </cell>
          <cell r="H336">
            <v>600</v>
          </cell>
          <cell r="I336">
            <v>0.31345226705380486</v>
          </cell>
          <cell r="J336">
            <v>0.56849315068493156</v>
          </cell>
          <cell r="K336">
            <v>7.8899454574965444E-2</v>
          </cell>
          <cell r="L336">
            <v>2.2117206507948399</v>
          </cell>
        </row>
        <row r="337">
          <cell r="A337" t="str">
            <v>RAGHUNATHPUR TPP2</v>
          </cell>
          <cell r="B337" t="str">
            <v>RAGHUNATHPUR TPP</v>
          </cell>
          <cell r="C337" t="str">
            <v>RAGHUNATHPUR TPP</v>
          </cell>
          <cell r="D337" t="str">
            <v>West Bengal</v>
          </cell>
          <cell r="E337" t="str">
            <v>CENTRAL SECTOR</v>
          </cell>
          <cell r="F337" t="str">
            <v xml:space="preserve"> 0-5 years</v>
          </cell>
          <cell r="G337">
            <v>4.33949349760438</v>
          </cell>
          <cell r="H337">
            <v>600</v>
          </cell>
          <cell r="I337">
            <v>0.39377240975873329</v>
          </cell>
          <cell r="J337">
            <v>0.56849315068493156</v>
          </cell>
          <cell r="K337">
            <v>7.8899454574965444E-2</v>
          </cell>
          <cell r="L337">
            <v>2.2117206507948399</v>
          </cell>
        </row>
        <row r="338">
          <cell r="A338" t="str">
            <v>RAICHUR TPS1</v>
          </cell>
          <cell r="B338" t="str">
            <v>RAICHUR TPS</v>
          </cell>
          <cell r="C338" t="str">
            <v>RAICHUR TPS UNIT 1-7</v>
          </cell>
          <cell r="D338" t="str">
            <v>Karnataka</v>
          </cell>
          <cell r="E338" t="str">
            <v>STATE SECTOR</v>
          </cell>
          <cell r="F338" t="str">
            <v xml:space="preserve"> 35-40 years</v>
          </cell>
          <cell r="G338">
            <v>35.175906913073199</v>
          </cell>
          <cell r="H338">
            <v>210</v>
          </cell>
          <cell r="I338">
            <v>0.44318800125015279</v>
          </cell>
          <cell r="J338"/>
          <cell r="K338">
            <v>9.2407885740745169E-2</v>
          </cell>
          <cell r="L338">
            <v>3.5867184035477</v>
          </cell>
        </row>
        <row r="339">
          <cell r="A339" t="str">
            <v>RAICHUR TPS2</v>
          </cell>
          <cell r="B339" t="str">
            <v>RAICHUR TPS</v>
          </cell>
          <cell r="C339" t="str">
            <v>RAICHUR TPS UNIT 1-7</v>
          </cell>
          <cell r="D339" t="str">
            <v>Karnataka</v>
          </cell>
          <cell r="E339" t="str">
            <v>STATE SECTOR</v>
          </cell>
          <cell r="F339" t="str">
            <v xml:space="preserve"> 30-35 years</v>
          </cell>
          <cell r="G339">
            <v>34.176591375770002</v>
          </cell>
          <cell r="H339">
            <v>210</v>
          </cell>
          <cell r="I339">
            <v>0.46448831713297423</v>
          </cell>
          <cell r="J339"/>
          <cell r="K339">
            <v>9.2407885740745169E-2</v>
          </cell>
          <cell r="L339">
            <v>3.5867184035477</v>
          </cell>
        </row>
        <row r="340">
          <cell r="A340" t="str">
            <v>RAICHUR TPS3</v>
          </cell>
          <cell r="B340" t="str">
            <v>RAICHUR TPS</v>
          </cell>
          <cell r="C340" t="str">
            <v>RAICHUR TPS UNIT 1-7</v>
          </cell>
          <cell r="D340" t="str">
            <v>Karnataka</v>
          </cell>
          <cell r="E340" t="str">
            <v>STATE SECTOR</v>
          </cell>
          <cell r="F340" t="str">
            <v xml:space="preserve"> 25-30 years</v>
          </cell>
          <cell r="G340">
            <v>29.177275838466802</v>
          </cell>
          <cell r="H340">
            <v>210</v>
          </cell>
          <cell r="I340">
            <v>0.58184191916580352</v>
          </cell>
          <cell r="J340"/>
          <cell r="K340">
            <v>9.2407885740745169E-2</v>
          </cell>
          <cell r="L340">
            <v>3.5867184035477</v>
          </cell>
        </row>
        <row r="341">
          <cell r="A341" t="str">
            <v>RAICHUR TPS4</v>
          </cell>
          <cell r="B341" t="str">
            <v>RAICHUR TPS</v>
          </cell>
          <cell r="C341" t="str">
            <v>RAICHUR TPS UNIT 1-7</v>
          </cell>
          <cell r="D341" t="str">
            <v>Karnataka</v>
          </cell>
          <cell r="E341" t="str">
            <v>STATE SECTOR</v>
          </cell>
          <cell r="F341" t="str">
            <v xml:space="preserve"> 25-30 years</v>
          </cell>
          <cell r="G341">
            <v>25.672826830937701</v>
          </cell>
          <cell r="H341">
            <v>210</v>
          </cell>
          <cell r="I341">
            <v>0.77586685752559914</v>
          </cell>
          <cell r="J341"/>
          <cell r="K341">
            <v>9.2407885740745169E-2</v>
          </cell>
          <cell r="L341">
            <v>3.5867184035477</v>
          </cell>
        </row>
        <row r="342">
          <cell r="A342" t="str">
            <v>RAICHUR TPS5</v>
          </cell>
          <cell r="B342" t="str">
            <v>RAICHUR TPS</v>
          </cell>
          <cell r="C342" t="str">
            <v>RAICHUR TPS UNIT 1-7</v>
          </cell>
          <cell r="D342" t="str">
            <v>Karnataka</v>
          </cell>
          <cell r="E342" t="str">
            <v>STATE SECTOR</v>
          </cell>
          <cell r="F342" t="str">
            <v xml:space="preserve"> 20-25 years</v>
          </cell>
          <cell r="G342">
            <v>21.338809034907499</v>
          </cell>
          <cell r="H342">
            <v>210</v>
          </cell>
          <cell r="I342">
            <v>0.72167943893455555</v>
          </cell>
          <cell r="J342"/>
          <cell r="K342">
            <v>9.2407885740745169E-2</v>
          </cell>
          <cell r="L342">
            <v>3.5867184035477</v>
          </cell>
        </row>
        <row r="343">
          <cell r="A343" t="str">
            <v>RAICHUR TPS6</v>
          </cell>
          <cell r="B343" t="str">
            <v>RAICHUR TPS</v>
          </cell>
          <cell r="C343" t="str">
            <v>RAICHUR TPS UNIT 1-7</v>
          </cell>
          <cell r="D343" t="str">
            <v>Karnataka</v>
          </cell>
          <cell r="E343" t="str">
            <v>STATE SECTOR</v>
          </cell>
          <cell r="F343" t="str">
            <v xml:space="preserve"> 20-25 years</v>
          </cell>
          <cell r="G343">
            <v>20.843258042436599</v>
          </cell>
          <cell r="H343">
            <v>210</v>
          </cell>
          <cell r="I343">
            <v>0.60663943234567264</v>
          </cell>
          <cell r="J343"/>
          <cell r="K343">
            <v>9.2407885740745169E-2</v>
          </cell>
          <cell r="L343">
            <v>3.5867184035477</v>
          </cell>
        </row>
        <row r="344">
          <cell r="A344" t="str">
            <v>RAICHUR TPS7</v>
          </cell>
          <cell r="B344" t="str">
            <v>RAICHUR TPS</v>
          </cell>
          <cell r="C344" t="str">
            <v>RAICHUR TPS UNIT 1-7</v>
          </cell>
          <cell r="D344" t="str">
            <v>Karnataka</v>
          </cell>
          <cell r="E344" t="str">
            <v>STATE SECTOR</v>
          </cell>
          <cell r="F344" t="str">
            <v xml:space="preserve"> 15-20 years</v>
          </cell>
          <cell r="G344">
            <v>17.423682409308601</v>
          </cell>
          <cell r="H344">
            <v>210</v>
          </cell>
          <cell r="I344">
            <v>0.48474360911917058</v>
          </cell>
          <cell r="J344"/>
          <cell r="K344">
            <v>9.2407885740745169E-2</v>
          </cell>
          <cell r="L344">
            <v>3.5867184035477</v>
          </cell>
        </row>
        <row r="345">
          <cell r="A345" t="str">
            <v>RAICHUR TPS8</v>
          </cell>
          <cell r="B345" t="str">
            <v>RAICHUR TPS</v>
          </cell>
          <cell r="C345" t="str">
            <v>RAICHUR TPS UNIT 8</v>
          </cell>
          <cell r="D345" t="str">
            <v>Karnataka</v>
          </cell>
          <cell r="E345" t="str">
            <v>STATE SECTOR</v>
          </cell>
          <cell r="F345" t="str">
            <v xml:space="preserve"> 5-10 years</v>
          </cell>
          <cell r="G345">
            <v>9.9247091033538606</v>
          </cell>
          <cell r="H345">
            <v>250</v>
          </cell>
          <cell r="I345">
            <v>0.7046995818304117</v>
          </cell>
          <cell r="J345"/>
          <cell r="K345">
            <v>9.2407885740745169E-2</v>
          </cell>
          <cell r="L345">
            <v>3.44135254988913</v>
          </cell>
        </row>
        <row r="346">
          <cell r="A346" t="str">
            <v>RAIKHEDA TPP1</v>
          </cell>
          <cell r="B346" t="str">
            <v>RAIKHEDA TPP</v>
          </cell>
          <cell r="C346">
            <v>0</v>
          </cell>
          <cell r="D346" t="str">
            <v>Chhatisgarh</v>
          </cell>
          <cell r="E346" t="str">
            <v>PVT SECTOR</v>
          </cell>
          <cell r="F346" t="str">
            <v xml:space="preserve"> 5-10 years</v>
          </cell>
          <cell r="G346">
            <v>5.2539356605065004</v>
          </cell>
          <cell r="H346">
            <v>685</v>
          </cell>
          <cell r="I346">
            <v>0.40413457402160524</v>
          </cell>
          <cell r="J346"/>
          <cell r="K346">
            <v>9.4685661559992765E-2</v>
          </cell>
          <cell r="L346"/>
        </row>
        <row r="347">
          <cell r="A347" t="str">
            <v>RAIKHEDA TPP2</v>
          </cell>
          <cell r="B347" t="str">
            <v>RAIKHEDA TPP</v>
          </cell>
          <cell r="C347">
            <v>0</v>
          </cell>
          <cell r="D347" t="str">
            <v>Chhatisgarh</v>
          </cell>
          <cell r="E347" t="str">
            <v>PVT SECTOR</v>
          </cell>
          <cell r="F347" t="str">
            <v xml:space="preserve"> 0-5 years</v>
          </cell>
          <cell r="G347">
            <v>4.1752224503764497</v>
          </cell>
          <cell r="H347">
            <v>685</v>
          </cell>
          <cell r="I347">
            <v>0.22309672867809185</v>
          </cell>
          <cell r="J347"/>
          <cell r="K347">
            <v>9.4685661559992765E-2</v>
          </cell>
          <cell r="L347"/>
        </row>
        <row r="348">
          <cell r="A348" t="str">
            <v>RAJIV GANDHI TPS1</v>
          </cell>
          <cell r="B348" t="str">
            <v>RAJIV GANDHI TPS</v>
          </cell>
          <cell r="C348" t="str">
            <v>RAJIV GANDHI TPS</v>
          </cell>
          <cell r="D348" t="str">
            <v>Haryana</v>
          </cell>
          <cell r="E348" t="str">
            <v>STATE SECTOR</v>
          </cell>
          <cell r="F348" t="str">
            <v xml:space="preserve"> 10-15 years</v>
          </cell>
          <cell r="G348">
            <v>10.17659137577</v>
          </cell>
          <cell r="H348">
            <v>600</v>
          </cell>
          <cell r="I348">
            <v>0.28012452483425343</v>
          </cell>
          <cell r="J348"/>
          <cell r="K348">
            <v>6.0133050822696911E-2</v>
          </cell>
          <cell r="L348">
            <v>3.5368923418423899</v>
          </cell>
        </row>
        <row r="349">
          <cell r="A349" t="str">
            <v>RAJIV GANDHI TPS2</v>
          </cell>
          <cell r="B349" t="str">
            <v>RAJIV GANDHI TPS</v>
          </cell>
          <cell r="C349" t="str">
            <v>RAJIV GANDHI TPS</v>
          </cell>
          <cell r="D349" t="str">
            <v>Haryana</v>
          </cell>
          <cell r="E349" t="str">
            <v>STATE SECTOR</v>
          </cell>
          <cell r="F349" t="str">
            <v xml:space="preserve"> 5-10 years</v>
          </cell>
          <cell r="G349">
            <v>9.5906913073237501</v>
          </cell>
          <cell r="H349">
            <v>600</v>
          </cell>
          <cell r="I349">
            <v>0.36243595076625484</v>
          </cell>
          <cell r="J349"/>
          <cell r="K349">
            <v>6.0133050822696911E-2</v>
          </cell>
          <cell r="L349">
            <v>3.5368923418423899</v>
          </cell>
        </row>
        <row r="350">
          <cell r="A350" t="str">
            <v>RAJPURA TPS1</v>
          </cell>
          <cell r="B350" t="str">
            <v>RAJPURA TPS</v>
          </cell>
          <cell r="C350" t="str">
            <v>RAJPURA TPS</v>
          </cell>
          <cell r="D350" t="str">
            <v>Punjab</v>
          </cell>
          <cell r="E350" t="str">
            <v>PVT SECTOR</v>
          </cell>
          <cell r="F350" t="str">
            <v xml:space="preserve"> 5-10 years</v>
          </cell>
          <cell r="G350">
            <v>6.3381245722108099</v>
          </cell>
          <cell r="H350">
            <v>700</v>
          </cell>
          <cell r="I350">
            <v>0.74981384358257142</v>
          </cell>
          <cell r="J350"/>
          <cell r="K350">
            <v>5.271272326947618E-2</v>
          </cell>
          <cell r="L350">
            <v>2.2599999999999998</v>
          </cell>
        </row>
        <row r="351">
          <cell r="A351" t="str">
            <v>RAJPURA TPS2</v>
          </cell>
          <cell r="B351" t="str">
            <v>RAJPURA TPS</v>
          </cell>
          <cell r="C351" t="str">
            <v>RAJPURA TPS</v>
          </cell>
          <cell r="D351" t="str">
            <v>Punjab</v>
          </cell>
          <cell r="E351" t="str">
            <v>PVT SECTOR</v>
          </cell>
          <cell r="F351" t="str">
            <v xml:space="preserve"> 5-10 years</v>
          </cell>
          <cell r="G351">
            <v>5.8425735797399003</v>
          </cell>
          <cell r="H351">
            <v>700</v>
          </cell>
          <cell r="I351">
            <v>0.74724709880303575</v>
          </cell>
          <cell r="J351"/>
          <cell r="K351">
            <v>5.271272326947618E-2</v>
          </cell>
          <cell r="L351">
            <v>2.2599999999999998</v>
          </cell>
        </row>
        <row r="352">
          <cell r="A352" t="str">
            <v>RAMAGUNDEM - B TPS1</v>
          </cell>
          <cell r="B352" t="str">
            <v>RAMAGUNDEM - B TPS</v>
          </cell>
          <cell r="C352" t="str">
            <v>RAMAGUNDEM - B TPS</v>
          </cell>
          <cell r="D352" t="str">
            <v>Telangana</v>
          </cell>
          <cell r="E352" t="str">
            <v>STATE SECTOR</v>
          </cell>
          <cell r="F352" t="str">
            <v xml:space="preserve"> 45+ years</v>
          </cell>
          <cell r="G352">
            <v>48.591375770020498</v>
          </cell>
          <cell r="H352">
            <v>62.5</v>
          </cell>
          <cell r="I352">
            <v>9.6403243240578321E-2</v>
          </cell>
          <cell r="J352"/>
          <cell r="K352">
            <v>0.11094719987198574</v>
          </cell>
          <cell r="L352">
            <v>2.97927355278093</v>
          </cell>
        </row>
        <row r="353">
          <cell r="A353" t="str">
            <v>RAMAGUNDEM STPS1</v>
          </cell>
          <cell r="B353" t="str">
            <v>RAMAGUNDEM STPS</v>
          </cell>
          <cell r="C353" t="str">
            <v>RAMAGUNDEM STPS UNIT 1-6</v>
          </cell>
          <cell r="D353" t="str">
            <v>Telangana</v>
          </cell>
          <cell r="E353" t="str">
            <v>CENTRAL SECTOR</v>
          </cell>
          <cell r="F353" t="str">
            <v xml:space="preserve"> 35-40 years</v>
          </cell>
          <cell r="G353">
            <v>36.591375770020498</v>
          </cell>
          <cell r="H353">
            <v>200</v>
          </cell>
          <cell r="I353">
            <v>0.77016604262672705</v>
          </cell>
          <cell r="J353">
            <v>0.66286966046002194</v>
          </cell>
          <cell r="K353">
            <v>6.1716058959159902E-2</v>
          </cell>
          <cell r="L353">
            <v>2.5167695715852698</v>
          </cell>
        </row>
        <row r="354">
          <cell r="A354" t="str">
            <v>RAMAGUNDEM STPS2</v>
          </cell>
          <cell r="B354" t="str">
            <v>RAMAGUNDEM STPS</v>
          </cell>
          <cell r="C354" t="str">
            <v>RAMAGUNDEM STPS UNIT 1-6</v>
          </cell>
          <cell r="D354" t="str">
            <v>Telangana</v>
          </cell>
          <cell r="E354" t="str">
            <v>CENTRAL SECTOR</v>
          </cell>
          <cell r="F354" t="str">
            <v xml:space="preserve"> 35-40 years</v>
          </cell>
          <cell r="G354">
            <v>36.008213552361397</v>
          </cell>
          <cell r="H354">
            <v>200</v>
          </cell>
          <cell r="I354">
            <v>0.81461014012126876</v>
          </cell>
          <cell r="J354">
            <v>0.66286966046002194</v>
          </cell>
          <cell r="K354">
            <v>6.1716058959159902E-2</v>
          </cell>
          <cell r="L354">
            <v>2.5167695715852698</v>
          </cell>
        </row>
        <row r="355">
          <cell r="A355" t="str">
            <v>RAMAGUNDEM STPS3</v>
          </cell>
          <cell r="B355" t="str">
            <v>RAMAGUNDEM STPS</v>
          </cell>
          <cell r="C355" t="str">
            <v>RAMAGUNDEM STPS UNIT 1-6</v>
          </cell>
          <cell r="D355" t="str">
            <v>Telangana</v>
          </cell>
          <cell r="E355" t="str">
            <v>CENTRAL SECTOR</v>
          </cell>
          <cell r="F355" t="str">
            <v xml:space="preserve"> 35-40 years</v>
          </cell>
          <cell r="G355">
            <v>35.422313483915097</v>
          </cell>
          <cell r="H355">
            <v>200</v>
          </cell>
          <cell r="I355">
            <v>0.84845782397036662</v>
          </cell>
          <cell r="J355">
            <v>0.66286966046002194</v>
          </cell>
          <cell r="K355">
            <v>6.1716058959159902E-2</v>
          </cell>
          <cell r="L355">
            <v>2.5167695715852698</v>
          </cell>
        </row>
        <row r="356">
          <cell r="A356" t="str">
            <v>RAMAGUNDEM STPS4</v>
          </cell>
          <cell r="B356" t="str">
            <v>RAMAGUNDEM STPS</v>
          </cell>
          <cell r="C356" t="str">
            <v>RAMAGUNDEM STPS UNIT 1-6</v>
          </cell>
          <cell r="D356" t="str">
            <v>Telangana</v>
          </cell>
          <cell r="E356" t="str">
            <v>CENTRAL SECTOR</v>
          </cell>
          <cell r="F356" t="str">
            <v xml:space="preserve"> 30-35 years</v>
          </cell>
          <cell r="G356">
            <v>31.923340177960299</v>
          </cell>
          <cell r="H356">
            <v>500</v>
          </cell>
          <cell r="I356">
            <v>0.75336452407436827</v>
          </cell>
          <cell r="J356">
            <v>0.66286966046002194</v>
          </cell>
          <cell r="K356">
            <v>6.1716058959159902E-2</v>
          </cell>
          <cell r="L356">
            <v>2.5167695715852698</v>
          </cell>
        </row>
        <row r="357">
          <cell r="A357" t="str">
            <v>RAMAGUNDEM STPS5</v>
          </cell>
          <cell r="B357" t="str">
            <v>RAMAGUNDEM STPS</v>
          </cell>
          <cell r="C357" t="str">
            <v>RAMAGUNDEM STPS UNIT 1-6</v>
          </cell>
          <cell r="D357" t="str">
            <v>Telangana</v>
          </cell>
          <cell r="E357" t="str">
            <v>CENTRAL SECTOR</v>
          </cell>
          <cell r="F357" t="str">
            <v xml:space="preserve"> 30-35 years</v>
          </cell>
          <cell r="G357">
            <v>31.175906913073199</v>
          </cell>
          <cell r="H357">
            <v>500</v>
          </cell>
          <cell r="I357">
            <v>0.79002498971947488</v>
          </cell>
          <cell r="J357">
            <v>0.66286966046002194</v>
          </cell>
          <cell r="K357">
            <v>6.1716058959159902E-2</v>
          </cell>
          <cell r="L357">
            <v>2.5167695715852698</v>
          </cell>
        </row>
        <row r="358">
          <cell r="A358" t="str">
            <v>RAMAGUNDEM STPS6</v>
          </cell>
          <cell r="B358" t="str">
            <v>RAMAGUNDEM STPS</v>
          </cell>
          <cell r="C358" t="str">
            <v>RAMAGUNDEM STPS UNIT 1-6</v>
          </cell>
          <cell r="D358" t="str">
            <v>Telangana</v>
          </cell>
          <cell r="E358" t="str">
            <v>CENTRAL SECTOR</v>
          </cell>
          <cell r="F358" t="str">
            <v xml:space="preserve"> 30-35 years</v>
          </cell>
          <cell r="G358">
            <v>30.590006844626899</v>
          </cell>
          <cell r="H358">
            <v>500</v>
          </cell>
          <cell r="I358">
            <v>0.80353117006607411</v>
          </cell>
          <cell r="J358">
            <v>0.66286966046002194</v>
          </cell>
          <cell r="K358">
            <v>6.1716058959159902E-2</v>
          </cell>
          <cell r="L358">
            <v>2.5167695715852698</v>
          </cell>
        </row>
        <row r="359">
          <cell r="A359" t="str">
            <v>RAMAGUNDEM STPS7</v>
          </cell>
          <cell r="B359" t="str">
            <v>RAMAGUNDEM STPS</v>
          </cell>
          <cell r="C359" t="str">
            <v>RAMAGUNDEM STPS UNIT 7</v>
          </cell>
          <cell r="D359" t="str">
            <v>Telangana</v>
          </cell>
          <cell r="E359" t="str">
            <v>CENTRAL SECTOR</v>
          </cell>
          <cell r="F359" t="str">
            <v xml:space="preserve"> 15-20 years</v>
          </cell>
          <cell r="G359">
            <v>15.6714579055441</v>
          </cell>
          <cell r="H359">
            <v>500</v>
          </cell>
          <cell r="I359">
            <v>0.84096982658947494</v>
          </cell>
          <cell r="J359">
            <v>0.7160775370581528</v>
          </cell>
          <cell r="K359">
            <v>6.1716058959159902E-2</v>
          </cell>
          <cell r="L359">
            <v>2.4794942674709901</v>
          </cell>
        </row>
        <row r="360">
          <cell r="A360" t="str">
            <v>RATIJA TPS1</v>
          </cell>
          <cell r="B360" t="str">
            <v>RATIJA TPS</v>
          </cell>
          <cell r="C360" t="str">
            <v>RATIJA TPS</v>
          </cell>
          <cell r="D360" t="str">
            <v>Chhatisgarh</v>
          </cell>
          <cell r="E360" t="str">
            <v>PVT SECTOR</v>
          </cell>
          <cell r="F360" t="str">
            <v xml:space="preserve"> 5-10 years</v>
          </cell>
          <cell r="G360">
            <v>7.2525667351129304</v>
          </cell>
          <cell r="H360">
            <v>50</v>
          </cell>
          <cell r="I360">
            <v>0.79589351126472008</v>
          </cell>
          <cell r="J360"/>
          <cell r="K360">
            <v>0.13697380423430899</v>
          </cell>
          <cell r="L360">
            <v>1.7026315789473201</v>
          </cell>
        </row>
        <row r="361">
          <cell r="A361" t="str">
            <v>RATIJA TPS2</v>
          </cell>
          <cell r="B361" t="str">
            <v>RATIJA TPS</v>
          </cell>
          <cell r="C361" t="str">
            <v>RATIJA TPS</v>
          </cell>
          <cell r="D361" t="str">
            <v>Chhatisgarh</v>
          </cell>
          <cell r="E361" t="str">
            <v>PVT SECTOR</v>
          </cell>
          <cell r="F361" t="str">
            <v xml:space="preserve"> 0-5 years</v>
          </cell>
          <cell r="G361">
            <v>3.5044490075290802</v>
          </cell>
          <cell r="H361">
            <v>50</v>
          </cell>
          <cell r="I361">
            <v>0.91863809303105015</v>
          </cell>
          <cell r="J361"/>
          <cell r="K361">
            <v>0.13697380423430899</v>
          </cell>
          <cell r="L361">
            <v>1.7026315789473201</v>
          </cell>
        </row>
        <row r="362">
          <cell r="A362" t="str">
            <v>RAYALSEEMA TPS1</v>
          </cell>
          <cell r="B362" t="str">
            <v>RAYALSEEMA TPS</v>
          </cell>
          <cell r="C362" t="str">
            <v>RAYALSEEMA TPS UNIT 1-5</v>
          </cell>
          <cell r="D362" t="str">
            <v>Andhra Pradesh</v>
          </cell>
          <cell r="E362" t="str">
            <v>STATE SECTOR</v>
          </cell>
          <cell r="F362" t="str">
            <v xml:space="preserve"> 25-30 years</v>
          </cell>
          <cell r="G362">
            <v>26.176591375769998</v>
          </cell>
          <cell r="H362">
            <v>210</v>
          </cell>
          <cell r="I362">
            <v>0.62866175032214477</v>
          </cell>
          <cell r="J362">
            <v>1.1988304093567252</v>
          </cell>
          <cell r="K362">
            <v>0.10362859790133408</v>
          </cell>
          <cell r="L362">
            <v>3.6136074561403499</v>
          </cell>
        </row>
        <row r="363">
          <cell r="A363" t="str">
            <v>RAYALSEEMA TPS2</v>
          </cell>
          <cell r="B363" t="str">
            <v>RAYALSEEMA TPS</v>
          </cell>
          <cell r="C363" t="str">
            <v>RAYALSEEMA TPS UNIT 1-5</v>
          </cell>
          <cell r="D363" t="str">
            <v>Andhra Pradesh</v>
          </cell>
          <cell r="E363" t="str">
            <v>STATE SECTOR</v>
          </cell>
          <cell r="F363" t="str">
            <v xml:space="preserve"> 25-30 years</v>
          </cell>
          <cell r="G363">
            <v>25.2539356605065</v>
          </cell>
          <cell r="H363">
            <v>210</v>
          </cell>
          <cell r="I363">
            <v>0.54155199807580956</v>
          </cell>
          <cell r="J363">
            <v>1.1988304093567252</v>
          </cell>
          <cell r="K363">
            <v>0.10362859790133408</v>
          </cell>
          <cell r="L363">
            <v>3.6136074561403499</v>
          </cell>
        </row>
        <row r="364">
          <cell r="A364" t="str">
            <v>RAYALSEEMA TPS3</v>
          </cell>
          <cell r="B364" t="str">
            <v>RAYALSEEMA TPS</v>
          </cell>
          <cell r="C364" t="str">
            <v>RAYALSEEMA TPS UNIT 1-5</v>
          </cell>
          <cell r="D364" t="str">
            <v>Andhra Pradesh</v>
          </cell>
          <cell r="E364" t="str">
            <v>STATE SECTOR</v>
          </cell>
          <cell r="F364" t="str">
            <v xml:space="preserve"> 10-15 years</v>
          </cell>
          <cell r="G364">
            <v>13.3388090349075</v>
          </cell>
          <cell r="H364">
            <v>210</v>
          </cell>
          <cell r="I364">
            <v>0.58481607510346423</v>
          </cell>
          <cell r="J364">
            <v>1.1988304093567252</v>
          </cell>
          <cell r="K364">
            <v>0.10362859790133408</v>
          </cell>
          <cell r="L364">
            <v>3.6136074561403499</v>
          </cell>
        </row>
        <row r="365">
          <cell r="A365" t="str">
            <v>RAYALSEEMA TPS4</v>
          </cell>
          <cell r="B365" t="str">
            <v>RAYALSEEMA TPS</v>
          </cell>
          <cell r="C365" t="str">
            <v>RAYALSEEMA TPS UNIT 1-5</v>
          </cell>
          <cell r="D365" t="str">
            <v>Andhra Pradesh</v>
          </cell>
          <cell r="E365" t="str">
            <v>STATE SECTOR</v>
          </cell>
          <cell r="F365" t="str">
            <v xml:space="preserve"> 10-15 years</v>
          </cell>
          <cell r="G365">
            <v>12.5065023956194</v>
          </cell>
          <cell r="H365">
            <v>210</v>
          </cell>
          <cell r="I365">
            <v>0.66355590416243049</v>
          </cell>
          <cell r="J365">
            <v>1.1988304093567252</v>
          </cell>
          <cell r="K365">
            <v>0.10362859790133408</v>
          </cell>
          <cell r="L365">
            <v>3.6136074561403499</v>
          </cell>
        </row>
        <row r="366">
          <cell r="A366" t="str">
            <v>RAYALSEEMA TPS5</v>
          </cell>
          <cell r="B366" t="str">
            <v>RAYALSEEMA TPS</v>
          </cell>
          <cell r="C366" t="str">
            <v>RAYALSEEMA TPS UNIT 1-5</v>
          </cell>
          <cell r="D366" t="str">
            <v>Andhra Pradesh</v>
          </cell>
          <cell r="E366" t="str">
            <v>STATE SECTOR</v>
          </cell>
          <cell r="F366" t="str">
            <v xml:space="preserve"> 5-10 years</v>
          </cell>
          <cell r="G366">
            <v>9.4236824093086895</v>
          </cell>
          <cell r="H366">
            <v>210</v>
          </cell>
          <cell r="I366">
            <v>0.53279562247511103</v>
          </cell>
          <cell r="J366">
            <v>1.1988304093567252</v>
          </cell>
          <cell r="K366">
            <v>0.10362859790133408</v>
          </cell>
          <cell r="L366">
            <v>3.6136074561403499</v>
          </cell>
        </row>
        <row r="367">
          <cell r="A367" t="str">
            <v>RAYALSEEMA TPS6</v>
          </cell>
          <cell r="B367" t="str">
            <v>RAYALSEEMA TPS</v>
          </cell>
          <cell r="C367" t="str">
            <v>RAYALSEEMA TPS UNIT 6</v>
          </cell>
          <cell r="D367" t="str">
            <v>Andhra Pradesh</v>
          </cell>
          <cell r="E367" t="str">
            <v>STATE SECTOR</v>
          </cell>
          <cell r="F367" t="str">
            <v xml:space="preserve"> 0-5 years</v>
          </cell>
          <cell r="G367">
            <v>2.1163586584531102</v>
          </cell>
          <cell r="H367">
            <v>600</v>
          </cell>
          <cell r="I367">
            <v>0.33249199757213538</v>
          </cell>
          <cell r="J367"/>
          <cell r="K367">
            <v>0.10362859790133408</v>
          </cell>
          <cell r="L367">
            <v>3.3901125703564698</v>
          </cell>
        </row>
        <row r="368">
          <cell r="A368" t="str">
            <v>RIHAND STPS1</v>
          </cell>
          <cell r="B368" t="str">
            <v>RIHAND STPS</v>
          </cell>
          <cell r="C368" t="str">
            <v>RIHAND STPS UNIT 1-2</v>
          </cell>
          <cell r="D368" t="str">
            <v>Uttar Pardesh</v>
          </cell>
          <cell r="E368" t="str">
            <v>CENTRAL SECTOR</v>
          </cell>
          <cell r="F368" t="str">
            <v xml:space="preserve"> 30-35 years</v>
          </cell>
          <cell r="G368">
            <v>32.175222450376403</v>
          </cell>
          <cell r="H368">
            <v>500</v>
          </cell>
          <cell r="I368">
            <v>0.87470712395018335</v>
          </cell>
          <cell r="J368">
            <v>0.37382395985782979</v>
          </cell>
          <cell r="K368">
            <v>6.6356788102148762E-2</v>
          </cell>
          <cell r="L368">
            <v>1.3827146645111901</v>
          </cell>
        </row>
        <row r="369">
          <cell r="A369" t="str">
            <v>RIHAND STPS2</v>
          </cell>
          <cell r="B369" t="str">
            <v>RIHAND STPS</v>
          </cell>
          <cell r="C369" t="str">
            <v>RIHAND STPS UNIT 1-2</v>
          </cell>
          <cell r="D369" t="str">
            <v>Uttar Pardesh</v>
          </cell>
          <cell r="E369" t="str">
            <v>CENTRAL SECTOR</v>
          </cell>
          <cell r="F369" t="str">
            <v xml:space="preserve"> 30-35 years</v>
          </cell>
          <cell r="G369">
            <v>30.841889117043099</v>
          </cell>
          <cell r="H369">
            <v>500</v>
          </cell>
          <cell r="I369">
            <v>0.83154409298435328</v>
          </cell>
          <cell r="J369">
            <v>0.37382395985782979</v>
          </cell>
          <cell r="K369">
            <v>6.6356788102148762E-2</v>
          </cell>
          <cell r="L369">
            <v>1.3827146645111901</v>
          </cell>
        </row>
        <row r="370">
          <cell r="A370" t="str">
            <v>RIHAND STPS3</v>
          </cell>
          <cell r="B370" t="str">
            <v>RIHAND STPS</v>
          </cell>
          <cell r="C370" t="str">
            <v>RIHAND STPS UNIT 3-4</v>
          </cell>
          <cell r="D370" t="str">
            <v>Uttar Pardesh</v>
          </cell>
          <cell r="E370" t="str">
            <v>CENTRAL SECTOR</v>
          </cell>
          <cell r="F370" t="str">
            <v xml:space="preserve"> 15-20 years</v>
          </cell>
          <cell r="G370">
            <v>15.337440109514</v>
          </cell>
          <cell r="H370">
            <v>500</v>
          </cell>
          <cell r="I370">
            <v>0.91709584040296677</v>
          </cell>
          <cell r="J370">
            <v>0.37382395985782979</v>
          </cell>
          <cell r="K370">
            <v>6.6356788102148762E-2</v>
          </cell>
          <cell r="L370">
            <v>1.3619855979097</v>
          </cell>
        </row>
        <row r="371">
          <cell r="A371" t="str">
            <v>RIHAND STPS4</v>
          </cell>
          <cell r="B371" t="str">
            <v>RIHAND STPS</v>
          </cell>
          <cell r="C371" t="str">
            <v>RIHAND STPS UNIT 3-4</v>
          </cell>
          <cell r="D371" t="str">
            <v>Uttar Pardesh</v>
          </cell>
          <cell r="E371" t="str">
            <v>CENTRAL SECTOR</v>
          </cell>
          <cell r="F371" t="str">
            <v xml:space="preserve"> 10-15 years</v>
          </cell>
          <cell r="G371">
            <v>14.6721423682409</v>
          </cell>
          <cell r="H371">
            <v>500</v>
          </cell>
          <cell r="I371">
            <v>0.81937532443455663</v>
          </cell>
          <cell r="J371">
            <v>0.37382395985782979</v>
          </cell>
          <cell r="K371">
            <v>6.6356788102148762E-2</v>
          </cell>
          <cell r="L371">
            <v>1.3619855979097</v>
          </cell>
        </row>
        <row r="372">
          <cell r="A372" t="str">
            <v>RIHAND STPS5</v>
          </cell>
          <cell r="B372" t="str">
            <v>RIHAND STPS</v>
          </cell>
          <cell r="C372" t="str">
            <v>RIHAND STPS UNIT 5-6</v>
          </cell>
          <cell r="D372" t="str">
            <v>Uttar Pardesh</v>
          </cell>
          <cell r="E372" t="str">
            <v>CENTRAL SECTOR</v>
          </cell>
          <cell r="F372" t="str">
            <v xml:space="preserve"> 5-10 years</v>
          </cell>
          <cell r="G372">
            <v>8.00821355236139</v>
          </cell>
          <cell r="H372">
            <v>500</v>
          </cell>
          <cell r="I372">
            <v>0.90138437696794171</v>
          </cell>
          <cell r="J372">
            <v>0.37335560659845479</v>
          </cell>
          <cell r="K372">
            <v>6.6356788102148762E-2</v>
          </cell>
          <cell r="L372">
            <v>1.3694070648985099</v>
          </cell>
        </row>
        <row r="373">
          <cell r="A373" t="str">
            <v>RIHAND STPS6</v>
          </cell>
          <cell r="B373" t="str">
            <v>RIHAND STPS</v>
          </cell>
          <cell r="C373" t="str">
            <v>RIHAND STPS UNIT 5-6</v>
          </cell>
          <cell r="D373" t="str">
            <v>Uttar Pardesh</v>
          </cell>
          <cell r="E373" t="str">
            <v>CENTRAL SECTOR</v>
          </cell>
          <cell r="F373" t="str">
            <v xml:space="preserve"> 5-10 years</v>
          </cell>
          <cell r="G373">
            <v>6.5900068446269602</v>
          </cell>
          <cell r="H373">
            <v>500</v>
          </cell>
          <cell r="I373">
            <v>0.95479927631229988</v>
          </cell>
          <cell r="J373">
            <v>0.37335560659845479</v>
          </cell>
          <cell r="K373">
            <v>6.6356788102148762E-2</v>
          </cell>
          <cell r="L373">
            <v>1.3694070648985099</v>
          </cell>
        </row>
        <row r="374">
          <cell r="A374" t="str">
            <v>ROPAR TPS3</v>
          </cell>
          <cell r="B374" t="str">
            <v>ROPAR TPS</v>
          </cell>
          <cell r="C374" t="str">
            <v>ROPAR TPS</v>
          </cell>
          <cell r="D374" t="str">
            <v>Punjab</v>
          </cell>
          <cell r="E374" t="str">
            <v>STATE SECTOR</v>
          </cell>
          <cell r="F374" t="str">
            <v xml:space="preserve"> 30-35 years</v>
          </cell>
          <cell r="G374">
            <v>32.175222450376403</v>
          </cell>
          <cell r="H374">
            <v>210</v>
          </cell>
          <cell r="I374">
            <v>0.17914588936757084</v>
          </cell>
          <cell r="J374">
            <v>1.2455931395902811</v>
          </cell>
          <cell r="K374">
            <v>8.4396929249325001E-2</v>
          </cell>
          <cell r="L374">
            <v>3.78</v>
          </cell>
        </row>
        <row r="375">
          <cell r="A375" t="str">
            <v>ROPAR TPS4</v>
          </cell>
          <cell r="B375" t="str">
            <v>ROPAR TPS</v>
          </cell>
          <cell r="C375" t="str">
            <v>ROPAR TPS</v>
          </cell>
          <cell r="D375" t="str">
            <v>Punjab</v>
          </cell>
          <cell r="E375" t="str">
            <v>STATE SECTOR</v>
          </cell>
          <cell r="F375" t="str">
            <v xml:space="preserve"> 30-35 years</v>
          </cell>
          <cell r="G375">
            <v>31.337440109513999</v>
          </cell>
          <cell r="H375">
            <v>210</v>
          </cell>
          <cell r="I375">
            <v>0.1782866898438859</v>
          </cell>
          <cell r="J375">
            <v>1.2455931395902811</v>
          </cell>
          <cell r="K375">
            <v>8.4396929249325001E-2</v>
          </cell>
          <cell r="L375">
            <v>3.78</v>
          </cell>
        </row>
        <row r="376">
          <cell r="A376" t="str">
            <v>ROPAR TPS5</v>
          </cell>
          <cell r="B376" t="str">
            <v>ROPAR TPS</v>
          </cell>
          <cell r="C376" t="str">
            <v>ROPAR TPS</v>
          </cell>
          <cell r="D376" t="str">
            <v>Punjab</v>
          </cell>
          <cell r="E376" t="str">
            <v>STATE SECTOR</v>
          </cell>
          <cell r="F376" t="str">
            <v xml:space="preserve"> 25-30 years</v>
          </cell>
          <cell r="G376">
            <v>28.175222450376399</v>
          </cell>
          <cell r="H376">
            <v>210</v>
          </cell>
          <cell r="I376">
            <v>0.22490620373102779</v>
          </cell>
          <cell r="J376">
            <v>1.2455931395902811</v>
          </cell>
          <cell r="K376">
            <v>8.4396929249325001E-2</v>
          </cell>
          <cell r="L376">
            <v>3.78</v>
          </cell>
        </row>
        <row r="377">
          <cell r="A377" t="str">
            <v>ROPAR TPS6</v>
          </cell>
          <cell r="B377" t="str">
            <v>ROPAR TPS</v>
          </cell>
          <cell r="C377" t="str">
            <v>ROPAR TPS</v>
          </cell>
          <cell r="D377" t="str">
            <v>Punjab</v>
          </cell>
          <cell r="E377" t="str">
            <v>STATE SECTOR</v>
          </cell>
          <cell r="F377" t="str">
            <v xml:space="preserve"> 25-30 years</v>
          </cell>
          <cell r="G377">
            <v>27.175906913073199</v>
          </cell>
          <cell r="H377">
            <v>210</v>
          </cell>
          <cell r="I377">
            <v>0.23526000481764683</v>
          </cell>
          <cell r="J377">
            <v>1.2455931395902811</v>
          </cell>
          <cell r="K377">
            <v>8.4396929249325001E-2</v>
          </cell>
          <cell r="L377">
            <v>3.78</v>
          </cell>
        </row>
        <row r="378">
          <cell r="A378" t="str">
            <v>ROSA TPP PH-I1</v>
          </cell>
          <cell r="B378" t="str">
            <v>ROSA TPP PH-I</v>
          </cell>
          <cell r="C378" t="str">
            <v>ROSA TPP PH-I UNIT 1-2</v>
          </cell>
          <cell r="D378" t="str">
            <v>Uttar Pardesh</v>
          </cell>
          <cell r="E378" t="str">
            <v>PVT SECTOR</v>
          </cell>
          <cell r="F378" t="str">
            <v xml:space="preserve"> 10-15 years</v>
          </cell>
          <cell r="G378">
            <v>10.2532511978097</v>
          </cell>
          <cell r="H378">
            <v>300</v>
          </cell>
          <cell r="I378">
            <v>0.53850098630858056</v>
          </cell>
          <cell r="J378"/>
          <cell r="K378">
            <v>9.6241360115922034E-2</v>
          </cell>
          <cell r="L378">
            <v>2.9649890350877199</v>
          </cell>
        </row>
        <row r="379">
          <cell r="A379" t="str">
            <v>ROSA TPP PH-I2</v>
          </cell>
          <cell r="B379" t="str">
            <v>ROSA TPP PH-I</v>
          </cell>
          <cell r="C379" t="str">
            <v>ROSA TPP PH-I UNIT 1-2</v>
          </cell>
          <cell r="D379" t="str">
            <v>Uttar Pardesh</v>
          </cell>
          <cell r="E379" t="str">
            <v>PVT SECTOR</v>
          </cell>
          <cell r="F379" t="str">
            <v xml:space="preserve"> 5-10 years</v>
          </cell>
          <cell r="G379">
            <v>9.9247091033538606</v>
          </cell>
          <cell r="H379">
            <v>300</v>
          </cell>
          <cell r="I379">
            <v>0.5743855105310347</v>
          </cell>
          <cell r="J379"/>
          <cell r="K379">
            <v>9.6241360115922034E-2</v>
          </cell>
          <cell r="L379">
            <v>2.9649890350877199</v>
          </cell>
        </row>
        <row r="380">
          <cell r="A380" t="str">
            <v>ROSA TPP PH-I3</v>
          </cell>
          <cell r="B380" t="str">
            <v>ROSA TPP PH-I</v>
          </cell>
          <cell r="C380" t="str">
            <v>ROSA TPP PH-I UNIT 3-4</v>
          </cell>
          <cell r="D380" t="str">
            <v>Uttar Pardesh</v>
          </cell>
          <cell r="E380" t="str">
            <v>PVT SECTOR</v>
          </cell>
          <cell r="F380" t="str">
            <v xml:space="preserve"> 5-10 years</v>
          </cell>
          <cell r="G380">
            <v>8.4243668720054696</v>
          </cell>
          <cell r="H380">
            <v>300</v>
          </cell>
          <cell r="I380">
            <v>0.53551217566353326</v>
          </cell>
          <cell r="J380"/>
          <cell r="K380">
            <v>9.6241360115922034E-2</v>
          </cell>
          <cell r="L380">
            <v>2.9649890350877199</v>
          </cell>
        </row>
        <row r="381">
          <cell r="A381" t="str">
            <v>ROSA TPP PH-I4</v>
          </cell>
          <cell r="B381" t="str">
            <v>ROSA TPP PH-I</v>
          </cell>
          <cell r="C381" t="str">
            <v>ROSA TPP PH-I UNIT 3-4</v>
          </cell>
          <cell r="D381" t="str">
            <v>Uttar Pardesh</v>
          </cell>
          <cell r="E381" t="str">
            <v>PVT SECTOR</v>
          </cell>
          <cell r="F381" t="str">
            <v xml:space="preserve"> 5-10 years</v>
          </cell>
          <cell r="G381">
            <v>8.1752224503764506</v>
          </cell>
          <cell r="H381">
            <v>300</v>
          </cell>
          <cell r="I381">
            <v>0.53911649851490839</v>
          </cell>
          <cell r="J381"/>
          <cell r="K381">
            <v>9.6241360115922034E-2</v>
          </cell>
          <cell r="L381">
            <v>2.9649890350877199</v>
          </cell>
        </row>
        <row r="382">
          <cell r="A382" t="str">
            <v>SABARMATI (D-F STATIONS) TPP1</v>
          </cell>
          <cell r="B382" t="str">
            <v>SABARMATI (D-F STATIONS) TPP</v>
          </cell>
          <cell r="C382" t="str">
            <v>SABARMATI (D-F STATIONS) TPP</v>
          </cell>
          <cell r="D382" t="str">
            <v>Gujarat</v>
          </cell>
          <cell r="E382" t="str">
            <v>PVT SECTOR</v>
          </cell>
          <cell r="F382" t="str">
            <v xml:space="preserve"> 40-45 years</v>
          </cell>
          <cell r="G382">
            <v>41.590691307323702</v>
          </cell>
          <cell r="H382">
            <v>120</v>
          </cell>
          <cell r="I382">
            <v>0.80685983753381596</v>
          </cell>
          <cell r="J382">
            <v>1.1399999999999999</v>
          </cell>
          <cell r="K382">
            <v>0.09</v>
          </cell>
          <cell r="L382">
            <v>3.46250913520098</v>
          </cell>
        </row>
        <row r="383">
          <cell r="A383" t="str">
            <v>SABARMATI (D-F STATIONS) TPP2</v>
          </cell>
          <cell r="B383" t="str">
            <v>SABARMATI (D-F STATIONS) TPP</v>
          </cell>
          <cell r="C383" t="str">
            <v>SABARMATI (D-F STATIONS) TPP</v>
          </cell>
          <cell r="D383" t="str">
            <v>Gujarat</v>
          </cell>
          <cell r="E383" t="str">
            <v>PVT SECTOR</v>
          </cell>
          <cell r="F383" t="str">
            <v xml:space="preserve"> 35-40 years</v>
          </cell>
          <cell r="G383">
            <v>35.422313483915097</v>
          </cell>
          <cell r="H383">
            <v>121</v>
          </cell>
          <cell r="I383">
            <v>0.81509637566288906</v>
          </cell>
          <cell r="J383">
            <v>1.1399999999999999</v>
          </cell>
          <cell r="K383">
            <v>0.09</v>
          </cell>
          <cell r="L383">
            <v>3.46250913520098</v>
          </cell>
        </row>
        <row r="384">
          <cell r="A384" t="str">
            <v>SABARMATI (D-F STATIONS) TPP3</v>
          </cell>
          <cell r="B384" t="str">
            <v>SABARMATI (D-F STATIONS) TPP</v>
          </cell>
          <cell r="C384" t="str">
            <v>SABARMATI (D-F STATIONS) TPP</v>
          </cell>
          <cell r="D384" t="str">
            <v>Gujarat</v>
          </cell>
          <cell r="E384" t="str">
            <v>PVT SECTOR</v>
          </cell>
          <cell r="F384" t="str">
            <v xml:space="preserve"> 30-35 years</v>
          </cell>
          <cell r="G384">
            <v>31.671457905544099</v>
          </cell>
          <cell r="H384">
            <v>121</v>
          </cell>
          <cell r="I384">
            <v>0.8162952483112742</v>
          </cell>
          <cell r="J384">
            <v>1.1399999999999999</v>
          </cell>
          <cell r="K384">
            <v>0.09</v>
          </cell>
          <cell r="L384">
            <v>3.46250913520098</v>
          </cell>
        </row>
        <row r="385">
          <cell r="A385" t="str">
            <v>SAGARDIGHI TPS1</v>
          </cell>
          <cell r="B385" t="str">
            <v>SAGARDIGHI TPS</v>
          </cell>
          <cell r="C385" t="str">
            <v>SAGARDIGHI TPS UNIT 1-2</v>
          </cell>
          <cell r="D385" t="str">
            <v>West Bengal</v>
          </cell>
          <cell r="E385" t="str">
            <v>STATE SECTOR</v>
          </cell>
          <cell r="F385" t="str">
            <v xml:space="preserve"> 10-15 years</v>
          </cell>
          <cell r="G385">
            <v>11.841204654346299</v>
          </cell>
          <cell r="H385">
            <v>300</v>
          </cell>
          <cell r="I385">
            <v>0.58892780556193058</v>
          </cell>
          <cell r="J385">
            <v>0.89534883720930236</v>
          </cell>
          <cell r="K385">
            <v>9.5849721553511083E-2</v>
          </cell>
          <cell r="L385">
            <v>3.1498451327433599</v>
          </cell>
        </row>
        <row r="386">
          <cell r="A386" t="str">
            <v>SAGARDIGHI TPS2</v>
          </cell>
          <cell r="B386" t="str">
            <v>SAGARDIGHI TPS</v>
          </cell>
          <cell r="C386" t="str">
            <v>SAGARDIGHI TPS UNIT 1-2</v>
          </cell>
          <cell r="D386" t="str">
            <v>West Bengal</v>
          </cell>
          <cell r="E386" t="str">
            <v>STATE SECTOR</v>
          </cell>
          <cell r="F386" t="str">
            <v xml:space="preserve"> 10-15 years</v>
          </cell>
          <cell r="G386">
            <v>12.4243668720054</v>
          </cell>
          <cell r="H386">
            <v>300</v>
          </cell>
          <cell r="I386">
            <v>0.41517891214616254</v>
          </cell>
          <cell r="J386">
            <v>0.89534883720930236</v>
          </cell>
          <cell r="K386">
            <v>9.5849721553511083E-2</v>
          </cell>
          <cell r="L386">
            <v>3.1498451327433599</v>
          </cell>
        </row>
        <row r="387">
          <cell r="A387" t="str">
            <v>SAGARDIGHI TPS3</v>
          </cell>
          <cell r="B387" t="str">
            <v>SAGARDIGHI TPS</v>
          </cell>
          <cell r="C387" t="str">
            <v>SAGARDIGHI TPS UNIT 3-4</v>
          </cell>
          <cell r="D387" t="str">
            <v>West Bengal</v>
          </cell>
          <cell r="E387" t="str">
            <v>STATE SECTOR</v>
          </cell>
          <cell r="F387" t="str">
            <v xml:space="preserve"> 0-5 years</v>
          </cell>
          <cell r="G387">
            <v>4.4243668720054696</v>
          </cell>
          <cell r="H387">
            <v>500</v>
          </cell>
          <cell r="I387">
            <v>0.45223191974697913</v>
          </cell>
          <cell r="J387">
            <v>0.89534883720930236</v>
          </cell>
          <cell r="K387">
            <v>9.5849721553511083E-2</v>
          </cell>
          <cell r="L387">
            <v>2.9959402654867202</v>
          </cell>
        </row>
        <row r="388">
          <cell r="A388" t="str">
            <v>SAGARDIGHI TPS4</v>
          </cell>
          <cell r="B388" t="str">
            <v>SAGARDIGHI TPS</v>
          </cell>
          <cell r="C388" t="str">
            <v>SAGARDIGHI TPS UNIT 3-4</v>
          </cell>
          <cell r="D388" t="str">
            <v>West Bengal</v>
          </cell>
          <cell r="E388" t="str">
            <v>STATE SECTOR</v>
          </cell>
          <cell r="F388" t="str">
            <v xml:space="preserve"> 0-5 years</v>
          </cell>
          <cell r="G388">
            <v>3.4223134839151199</v>
          </cell>
          <cell r="H388">
            <v>500</v>
          </cell>
          <cell r="I388">
            <v>0.38911284996262746</v>
          </cell>
          <cell r="J388">
            <v>0.89534883720930236</v>
          </cell>
          <cell r="K388">
            <v>9.5849721553511083E-2</v>
          </cell>
          <cell r="L388">
            <v>2.9959402654867202</v>
          </cell>
        </row>
        <row r="389">
          <cell r="A389" t="str">
            <v>SALAYA TPP1</v>
          </cell>
          <cell r="B389" t="str">
            <v>SALAYA TPP</v>
          </cell>
          <cell r="C389" t="str">
            <v>SALAYA TPP</v>
          </cell>
          <cell r="D389" t="str">
            <v>Gujarat</v>
          </cell>
          <cell r="E389" t="str">
            <v>PVT SECTOR</v>
          </cell>
          <cell r="F389" t="str">
            <v xml:space="preserve"> 5-10 years</v>
          </cell>
          <cell r="G389">
            <v>8.33949349760438</v>
          </cell>
          <cell r="H389">
            <v>600</v>
          </cell>
          <cell r="I389">
            <v>0.21215856009420556</v>
          </cell>
          <cell r="J389"/>
          <cell r="K389">
            <v>5.2816503866712272E-2</v>
          </cell>
          <cell r="L389">
            <v>2.1756250000000001</v>
          </cell>
        </row>
        <row r="390">
          <cell r="A390" t="str">
            <v>SALAYA TPP2</v>
          </cell>
          <cell r="B390" t="str">
            <v>SALAYA TPP</v>
          </cell>
          <cell r="C390" t="str">
            <v>SALAYA TPP</v>
          </cell>
          <cell r="D390" t="str">
            <v>Gujarat</v>
          </cell>
          <cell r="E390" t="str">
            <v>PVT SECTOR</v>
          </cell>
          <cell r="F390" t="str">
            <v xml:space="preserve"> 5-10 years</v>
          </cell>
          <cell r="G390">
            <v>7.9233401779603003</v>
          </cell>
          <cell r="H390">
            <v>600</v>
          </cell>
          <cell r="I390">
            <v>0.15690511748307431</v>
          </cell>
          <cell r="J390"/>
          <cell r="K390">
            <v>5.2816503866712272E-2</v>
          </cell>
          <cell r="L390">
            <v>2.1756250000000001</v>
          </cell>
        </row>
        <row r="391">
          <cell r="A391" t="str">
            <v>SANJAY GANDHI TPS1</v>
          </cell>
          <cell r="B391" t="str">
            <v>SANJAY GANDHI TPS</v>
          </cell>
          <cell r="C391" t="str">
            <v>SANJAY GANDHI TPS UNIT 1-4</v>
          </cell>
          <cell r="D391" t="str">
            <v>Madhya Pradesh</v>
          </cell>
          <cell r="E391" t="str">
            <v>STATE SECTOR</v>
          </cell>
          <cell r="F391" t="str">
            <v xml:space="preserve"> 25-30 years</v>
          </cell>
          <cell r="G391">
            <v>27.175906913073199</v>
          </cell>
          <cell r="H391">
            <v>210</v>
          </cell>
          <cell r="I391">
            <v>0.62189879512551394</v>
          </cell>
          <cell r="J391"/>
          <cell r="K391">
            <v>8.2584159496713896E-2</v>
          </cell>
          <cell r="L391">
            <v>2.1506688596491199</v>
          </cell>
        </row>
        <row r="392">
          <cell r="A392" t="str">
            <v>SANJAY GANDHI TPS2</v>
          </cell>
          <cell r="B392" t="str">
            <v>SANJAY GANDHI TPS</v>
          </cell>
          <cell r="C392" t="str">
            <v>SANJAY GANDHI TPS UNIT 1-4</v>
          </cell>
          <cell r="D392" t="str">
            <v>Madhya Pradesh</v>
          </cell>
          <cell r="E392" t="str">
            <v>STATE SECTOR</v>
          </cell>
          <cell r="F392" t="str">
            <v xml:space="preserve"> 25-30 years</v>
          </cell>
          <cell r="G392">
            <v>27.175906913073199</v>
          </cell>
          <cell r="H392">
            <v>210</v>
          </cell>
          <cell r="I392">
            <v>0.55695314280080954</v>
          </cell>
          <cell r="J392"/>
          <cell r="K392">
            <v>8.2584159496713896E-2</v>
          </cell>
          <cell r="L392">
            <v>2.1506688596491199</v>
          </cell>
        </row>
        <row r="393">
          <cell r="A393" t="str">
            <v>SANJAY GANDHI TPS3</v>
          </cell>
          <cell r="B393" t="str">
            <v>SANJAY GANDHI TPS</v>
          </cell>
          <cell r="C393" t="str">
            <v>SANJAY GANDHI TPS UNIT 1-4</v>
          </cell>
          <cell r="D393" t="str">
            <v>Madhya Pradesh</v>
          </cell>
          <cell r="E393" t="str">
            <v>STATE SECTOR</v>
          </cell>
          <cell r="F393" t="str">
            <v xml:space="preserve"> 20-25 years</v>
          </cell>
          <cell r="G393">
            <v>21.2539356605065</v>
          </cell>
          <cell r="H393">
            <v>210</v>
          </cell>
          <cell r="I393">
            <v>0.51969051668786703</v>
          </cell>
          <cell r="J393"/>
          <cell r="K393">
            <v>8.2584159496713896E-2</v>
          </cell>
          <cell r="L393">
            <v>2.1506688596491199</v>
          </cell>
        </row>
        <row r="394">
          <cell r="A394" t="str">
            <v>SANJAY GANDHI TPS4</v>
          </cell>
          <cell r="B394" t="str">
            <v>SANJAY GANDHI TPS</v>
          </cell>
          <cell r="C394" t="str">
            <v>SANJAY GANDHI TPS UNIT 1-4</v>
          </cell>
          <cell r="D394" t="str">
            <v>Madhya Pradesh</v>
          </cell>
          <cell r="E394" t="str">
            <v>STATE SECTOR</v>
          </cell>
          <cell r="F394" t="str">
            <v xml:space="preserve"> 20-25 years</v>
          </cell>
          <cell r="G394">
            <v>20.5065023956194</v>
          </cell>
          <cell r="H394">
            <v>210</v>
          </cell>
          <cell r="I394">
            <v>0.66494624314522022</v>
          </cell>
          <cell r="J394"/>
          <cell r="K394">
            <v>8.2584159496713896E-2</v>
          </cell>
          <cell r="L394">
            <v>2.1506688596491199</v>
          </cell>
        </row>
        <row r="395">
          <cell r="A395" t="str">
            <v>SANJAY GANDHI TPS5</v>
          </cell>
          <cell r="B395" t="str">
            <v>SANJAY GANDHI TPS</v>
          </cell>
          <cell r="C395" t="str">
            <v>SANJAY GANDHI TPS UNIT 5</v>
          </cell>
          <cell r="D395" t="str">
            <v>Madhya Pradesh</v>
          </cell>
          <cell r="E395" t="str">
            <v>STATE SECTOR</v>
          </cell>
          <cell r="F395" t="str">
            <v xml:space="preserve"> 10-15 years</v>
          </cell>
          <cell r="G395">
            <v>12.9253935660506</v>
          </cell>
          <cell r="H395">
            <v>500</v>
          </cell>
          <cell r="I395">
            <v>0.7927730313811342</v>
          </cell>
          <cell r="J395"/>
          <cell r="K395">
            <v>8.2584159496713896E-2</v>
          </cell>
          <cell r="L395">
            <v>2.0252083333333299</v>
          </cell>
        </row>
        <row r="396">
          <cell r="A396" t="str">
            <v>SANTALDIH TPS5</v>
          </cell>
          <cell r="B396" t="str">
            <v>SANTALDIH TPS</v>
          </cell>
          <cell r="C396" t="str">
            <v>SANTALDIH TPS</v>
          </cell>
          <cell r="D396" t="str">
            <v>West Bengal</v>
          </cell>
          <cell r="E396" t="str">
            <v>STATE SECTOR</v>
          </cell>
          <cell r="F396" t="str">
            <v xml:space="preserve"> 10-15 years</v>
          </cell>
          <cell r="G396">
            <v>11.0910335386721</v>
          </cell>
          <cell r="H396">
            <v>250</v>
          </cell>
          <cell r="I396">
            <v>0.74505864153548174</v>
          </cell>
          <cell r="J396">
            <v>0.81243441762854141</v>
          </cell>
          <cell r="K396">
            <v>8.5383480246584514E-2</v>
          </cell>
          <cell r="L396">
            <v>2.5661172566371602</v>
          </cell>
        </row>
        <row r="397">
          <cell r="A397" t="str">
            <v>SANTALDIH TPS6</v>
          </cell>
          <cell r="B397" t="str">
            <v>SANTALDIH TPS</v>
          </cell>
          <cell r="C397" t="str">
            <v>SANTALDIH TPS</v>
          </cell>
          <cell r="D397" t="str">
            <v>West Bengal</v>
          </cell>
          <cell r="E397" t="str">
            <v>STATE SECTOR</v>
          </cell>
          <cell r="F397" t="str">
            <v xml:space="preserve"> 5-10 years</v>
          </cell>
          <cell r="G397">
            <v>8.5941136208076596</v>
          </cell>
          <cell r="H397">
            <v>250</v>
          </cell>
          <cell r="I397">
            <v>0.84091430860862326</v>
          </cell>
          <cell r="J397">
            <v>0.81243441762854141</v>
          </cell>
          <cell r="K397">
            <v>8.5383480246584514E-2</v>
          </cell>
          <cell r="L397">
            <v>2.5661172566371602</v>
          </cell>
        </row>
        <row r="398">
          <cell r="A398" t="str">
            <v>SASAN UMPTPP1</v>
          </cell>
          <cell r="B398" t="str">
            <v>SASAN UMPTPP</v>
          </cell>
          <cell r="C398" t="str">
            <v>SASAN UMPTPP</v>
          </cell>
          <cell r="D398" t="str">
            <v>Madhya Pradesh</v>
          </cell>
          <cell r="E398" t="str">
            <v>PVT SECTOR</v>
          </cell>
          <cell r="F398" t="str">
            <v xml:space="preserve"> 5-10 years</v>
          </cell>
          <cell r="G398">
            <v>7.0088980150581701</v>
          </cell>
          <cell r="H398">
            <v>660</v>
          </cell>
          <cell r="I398">
            <v>0.95705514270795466</v>
          </cell>
          <cell r="J398"/>
          <cell r="K398">
            <v>5.9985033260734698E-2</v>
          </cell>
          <cell r="L398">
            <v>1.3375862509674501</v>
          </cell>
        </row>
        <row r="399">
          <cell r="A399" t="str">
            <v>SASAN UMPTPP2</v>
          </cell>
          <cell r="B399" t="str">
            <v>SASAN UMPTPP</v>
          </cell>
          <cell r="C399" t="str">
            <v>SASAN UMPTPP</v>
          </cell>
          <cell r="D399" t="str">
            <v>Madhya Pradesh</v>
          </cell>
          <cell r="E399" t="str">
            <v>PVT SECTOR</v>
          </cell>
          <cell r="F399" t="str">
            <v xml:space="preserve"> 5-10 years</v>
          </cell>
          <cell r="G399">
            <v>6.4229979466118996</v>
          </cell>
          <cell r="H399">
            <v>660</v>
          </cell>
          <cell r="I399">
            <v>0.96046733690089647</v>
          </cell>
          <cell r="J399"/>
          <cell r="K399">
            <v>5.9985033260734698E-2</v>
          </cell>
          <cell r="L399">
            <v>1.3375862509674501</v>
          </cell>
        </row>
        <row r="400">
          <cell r="A400" t="str">
            <v>SASAN UMPTPP3</v>
          </cell>
          <cell r="B400" t="str">
            <v>SASAN UMPTPP</v>
          </cell>
          <cell r="C400" t="str">
            <v>SASAN UMPTPP</v>
          </cell>
          <cell r="D400" t="str">
            <v>Madhya Pradesh</v>
          </cell>
          <cell r="E400" t="str">
            <v>PVT SECTOR</v>
          </cell>
          <cell r="F400" t="str">
            <v xml:space="preserve"> 5-10 years</v>
          </cell>
          <cell r="G400">
            <v>6.00958247775496</v>
          </cell>
          <cell r="H400">
            <v>660</v>
          </cell>
          <cell r="I400">
            <v>0.93200441626645836</v>
          </cell>
          <cell r="J400"/>
          <cell r="K400">
            <v>5.9985033260734698E-2</v>
          </cell>
          <cell r="L400">
            <v>1.3375862509674501</v>
          </cell>
        </row>
        <row r="401">
          <cell r="A401" t="str">
            <v>SASAN UMPTPP4</v>
          </cell>
          <cell r="B401" t="str">
            <v>SASAN UMPTPP</v>
          </cell>
          <cell r="C401" t="str">
            <v>SASAN UMPTPP</v>
          </cell>
          <cell r="D401" t="str">
            <v>Madhya Pradesh</v>
          </cell>
          <cell r="E401" t="str">
            <v>PVT SECTOR</v>
          </cell>
          <cell r="F401" t="str">
            <v xml:space="preserve"> 5-10 years</v>
          </cell>
          <cell r="G401">
            <v>6.1765913757700197</v>
          </cell>
          <cell r="H401">
            <v>660</v>
          </cell>
          <cell r="I401">
            <v>0.91517946693685603</v>
          </cell>
          <cell r="J401"/>
          <cell r="K401">
            <v>5.9985033260734698E-2</v>
          </cell>
          <cell r="L401">
            <v>1.3375862509674501</v>
          </cell>
        </row>
        <row r="402">
          <cell r="A402" t="str">
            <v>SASAN UMPTPP5</v>
          </cell>
          <cell r="B402" t="str">
            <v>SASAN UMPTPP</v>
          </cell>
          <cell r="C402" t="str">
            <v>SASAN UMPTPP</v>
          </cell>
          <cell r="D402" t="str">
            <v>Madhya Pradesh</v>
          </cell>
          <cell r="E402" t="str">
            <v>PVT SECTOR</v>
          </cell>
          <cell r="F402" t="str">
            <v xml:space="preserve"> 5-10 years</v>
          </cell>
          <cell r="G402">
            <v>5.7577002053388</v>
          </cell>
          <cell r="H402">
            <v>660</v>
          </cell>
          <cell r="I402">
            <v>0.98467871371886351</v>
          </cell>
          <cell r="J402"/>
          <cell r="K402">
            <v>5.9985033260734698E-2</v>
          </cell>
          <cell r="L402">
            <v>1.3375862509674501</v>
          </cell>
        </row>
        <row r="403">
          <cell r="A403" t="str">
            <v>SASAN UMPTPP6</v>
          </cell>
          <cell r="B403" t="str">
            <v>SASAN UMPTPP</v>
          </cell>
          <cell r="C403" t="str">
            <v>SASAN UMPTPP</v>
          </cell>
          <cell r="D403" t="str">
            <v>Madhya Pradesh</v>
          </cell>
          <cell r="E403" t="str">
            <v>PVT SECTOR</v>
          </cell>
          <cell r="F403" t="str">
            <v xml:space="preserve"> 5-10 years</v>
          </cell>
          <cell r="G403">
            <v>5.1772758384667998</v>
          </cell>
          <cell r="H403">
            <v>660</v>
          </cell>
          <cell r="I403">
            <v>0.9670131090699432</v>
          </cell>
          <cell r="J403"/>
          <cell r="K403">
            <v>5.9985033260734698E-2</v>
          </cell>
          <cell r="L403">
            <v>1.3375862509674501</v>
          </cell>
        </row>
        <row r="404">
          <cell r="A404" t="str">
            <v>SATPURA TPS10</v>
          </cell>
          <cell r="B404" t="str">
            <v>SATPURA TPS</v>
          </cell>
          <cell r="C404" t="str">
            <v>SATPURA TPS UNIT 10-11</v>
          </cell>
          <cell r="D404" t="str">
            <v>Madhya Pradesh</v>
          </cell>
          <cell r="E404" t="str">
            <v>STATE SECTOR</v>
          </cell>
          <cell r="F404" t="str">
            <v xml:space="preserve"> 5-10 years</v>
          </cell>
          <cell r="G404">
            <v>7.1759069130732298</v>
          </cell>
          <cell r="H404">
            <v>250</v>
          </cell>
          <cell r="I404">
            <v>0.71062352360941838</v>
          </cell>
          <cell r="J404"/>
          <cell r="K404">
            <v>0.1003219631047786</v>
          </cell>
          <cell r="L404">
            <v>2.0588377192982401</v>
          </cell>
        </row>
        <row r="405">
          <cell r="A405" t="str">
            <v>SATPURA TPS11</v>
          </cell>
          <cell r="B405" t="str">
            <v>SATPURA TPS</v>
          </cell>
          <cell r="C405" t="str">
            <v>SATPURA TPS UNIT 10-11</v>
          </cell>
          <cell r="D405" t="str">
            <v>Madhya Pradesh</v>
          </cell>
          <cell r="E405" t="str">
            <v>STATE SECTOR</v>
          </cell>
          <cell r="F405" t="str">
            <v xml:space="preserve"> 5-10 years</v>
          </cell>
          <cell r="G405">
            <v>6.4229979466118996</v>
          </cell>
          <cell r="H405">
            <v>250</v>
          </cell>
          <cell r="I405">
            <v>0.75703006999300004</v>
          </cell>
          <cell r="J405"/>
          <cell r="K405">
            <v>0.1003219631047786</v>
          </cell>
          <cell r="L405">
            <v>2.0588377192982401</v>
          </cell>
        </row>
        <row r="406">
          <cell r="A406" t="str">
            <v>SATPURA TPS6</v>
          </cell>
          <cell r="B406" t="str">
            <v>SATPURA TPS</v>
          </cell>
          <cell r="C406" t="str">
            <v>SATPURA TPS UNIT 6-9</v>
          </cell>
          <cell r="D406" t="str">
            <v>Madhya Pradesh</v>
          </cell>
          <cell r="E406" t="str">
            <v>STATE SECTOR</v>
          </cell>
          <cell r="F406" t="str">
            <v xml:space="preserve"> 40-45 years</v>
          </cell>
          <cell r="G406">
            <v>40.843258042436602</v>
          </cell>
          <cell r="H406">
            <v>200</v>
          </cell>
          <cell r="I406">
            <v>0.48036453349106251</v>
          </cell>
          <cell r="J406"/>
          <cell r="K406">
            <v>0.1003219631047786</v>
          </cell>
          <cell r="L406">
            <v>2.5310843373493599</v>
          </cell>
        </row>
        <row r="407">
          <cell r="A407" t="str">
            <v>SATPURA TPS7</v>
          </cell>
          <cell r="B407" t="str">
            <v>SATPURA TPS</v>
          </cell>
          <cell r="C407" t="str">
            <v>SATPURA TPS UNIT 6-9</v>
          </cell>
          <cell r="D407" t="str">
            <v>Madhya Pradesh</v>
          </cell>
          <cell r="E407" t="str">
            <v>STATE SECTOR</v>
          </cell>
          <cell r="F407" t="str">
            <v xml:space="preserve"> 35-40 years</v>
          </cell>
          <cell r="G407">
            <v>39.671457905544102</v>
          </cell>
          <cell r="H407">
            <v>210</v>
          </cell>
          <cell r="I407">
            <v>0.39707521536688301</v>
          </cell>
          <cell r="J407"/>
          <cell r="K407">
            <v>0.1003219631047786</v>
          </cell>
          <cell r="L407">
            <v>2.5310843373493599</v>
          </cell>
        </row>
        <row r="408">
          <cell r="A408" t="str">
            <v>SATPURA TPS8</v>
          </cell>
          <cell r="B408" t="str">
            <v>SATPURA TPS</v>
          </cell>
          <cell r="C408" t="str">
            <v>SATPURA TPS UNIT 6-9</v>
          </cell>
          <cell r="D408" t="str">
            <v>Madhya Pradesh</v>
          </cell>
          <cell r="E408" t="str">
            <v>STATE SECTOR</v>
          </cell>
          <cell r="F408" t="str">
            <v xml:space="preserve"> 35-40 years</v>
          </cell>
          <cell r="G408">
            <v>37.338809034907598</v>
          </cell>
          <cell r="H408">
            <v>210</v>
          </cell>
          <cell r="I408">
            <v>0.49660779256703175</v>
          </cell>
          <cell r="J408"/>
          <cell r="K408">
            <v>0.1003219631047786</v>
          </cell>
          <cell r="L408">
            <v>2.5310843373493599</v>
          </cell>
        </row>
        <row r="409">
          <cell r="A409" t="str">
            <v>SATPURA TPS9</v>
          </cell>
          <cell r="B409" t="str">
            <v>SATPURA TPS</v>
          </cell>
          <cell r="C409" t="str">
            <v>SATPURA TPS UNIT 6-9</v>
          </cell>
          <cell r="D409" t="str">
            <v>Madhya Pradesh</v>
          </cell>
          <cell r="E409" t="str">
            <v>STATE SECTOR</v>
          </cell>
          <cell r="F409" t="str">
            <v xml:space="preserve"> 35-40 years</v>
          </cell>
          <cell r="G409">
            <v>36.254620123203203</v>
          </cell>
          <cell r="H409">
            <v>210</v>
          </cell>
          <cell r="I409">
            <v>0.30703743668603967</v>
          </cell>
          <cell r="J409"/>
          <cell r="K409">
            <v>0.1003219631047786</v>
          </cell>
          <cell r="L409">
            <v>2.5310843373493599</v>
          </cell>
        </row>
        <row r="410">
          <cell r="A410" t="str">
            <v>SEIONI TPP1</v>
          </cell>
          <cell r="B410" t="str">
            <v>SEIONI TPP</v>
          </cell>
          <cell r="C410" t="str">
            <v>SEIONI TPP</v>
          </cell>
          <cell r="D410" t="str">
            <v>Madhya Pradesh</v>
          </cell>
          <cell r="E410" t="str">
            <v>PVT SECTOR</v>
          </cell>
          <cell r="F410" t="str">
            <v xml:space="preserve"> 0-5 years</v>
          </cell>
          <cell r="G410">
            <v>4.1752224503764497</v>
          </cell>
          <cell r="H410">
            <v>600</v>
          </cell>
          <cell r="I410">
            <v>0.48200416850586458</v>
          </cell>
          <cell r="J410">
            <v>0.86425339366515841</v>
          </cell>
          <cell r="K410">
            <v>6.5611235962542022E-2</v>
          </cell>
          <cell r="L410">
            <v>2.0769568454351699</v>
          </cell>
        </row>
        <row r="411">
          <cell r="A411" t="str">
            <v>SEMBCORP GAYATRI P. LTD1</v>
          </cell>
          <cell r="B411" t="str">
            <v>SEMBCORP GAYATRI P. LTD</v>
          </cell>
          <cell r="C411">
            <v>0</v>
          </cell>
          <cell r="D411" t="str">
            <v>Andhra Pradesh</v>
          </cell>
          <cell r="E411" t="str">
            <v>PVT SECTOR</v>
          </cell>
          <cell r="F411" t="str">
            <v xml:space="preserve"> 0-5 years</v>
          </cell>
          <cell r="G411">
            <v>3.5044490075290802</v>
          </cell>
          <cell r="H411">
            <v>660</v>
          </cell>
          <cell r="I411">
            <v>0.79529136432477909</v>
          </cell>
          <cell r="J411"/>
          <cell r="K411">
            <v>6.2368964750631896E-2</v>
          </cell>
          <cell r="L411"/>
        </row>
        <row r="412">
          <cell r="A412" t="str">
            <v>SEMBCORP GAYATRI P. LTD2</v>
          </cell>
          <cell r="B412" t="str">
            <v>SEMBCORP GAYATRI P. LTD</v>
          </cell>
          <cell r="C412">
            <v>0</v>
          </cell>
          <cell r="D412" t="str">
            <v>Andhra Pradesh</v>
          </cell>
          <cell r="E412" t="str">
            <v>PVT SECTOR</v>
          </cell>
          <cell r="F412" t="str">
            <v xml:space="preserve"> 0-5 years</v>
          </cell>
          <cell r="G412">
            <v>3.1649555099247002</v>
          </cell>
          <cell r="H412">
            <v>660</v>
          </cell>
          <cell r="I412">
            <v>0.79947265746568186</v>
          </cell>
          <cell r="J412"/>
          <cell r="K412">
            <v>6.2368964750631896E-2</v>
          </cell>
          <cell r="L412"/>
        </row>
        <row r="413">
          <cell r="A413" t="str">
            <v>SHIRPUR TPP1</v>
          </cell>
          <cell r="B413" t="str">
            <v>SHIRPUR TPP</v>
          </cell>
          <cell r="C413">
            <v>0</v>
          </cell>
          <cell r="D413" t="str">
            <v>Maharashtra</v>
          </cell>
          <cell r="E413" t="str">
            <v>PVT SECTOR</v>
          </cell>
          <cell r="F413" t="str">
            <v xml:space="preserve"> 0-5 years</v>
          </cell>
          <cell r="G413">
            <v>2.6036960985626201</v>
          </cell>
          <cell r="H413">
            <v>150</v>
          </cell>
          <cell r="I413">
            <v>2.5185185185185172E-3</v>
          </cell>
          <cell r="J413"/>
          <cell r="L413"/>
        </row>
        <row r="414">
          <cell r="A414" t="str">
            <v>SHREE SINGAJI TPP1</v>
          </cell>
          <cell r="B414" t="str">
            <v>SHREE SINGAJI TPP</v>
          </cell>
          <cell r="C414" t="str">
            <v>SHREE SINGAJI TPP UNIT 1-2</v>
          </cell>
          <cell r="D414" t="str">
            <v>Madhya Pradesh</v>
          </cell>
          <cell r="E414" t="str">
            <v>STATE SECTOR</v>
          </cell>
          <cell r="F414" t="str">
            <v xml:space="preserve"> 5-10 years</v>
          </cell>
          <cell r="G414">
            <v>6.5051334702258696</v>
          </cell>
          <cell r="H414">
            <v>600</v>
          </cell>
          <cell r="I414">
            <v>0.51281763124423196</v>
          </cell>
          <cell r="J414"/>
          <cell r="L414">
            <v>2.6436184210526301</v>
          </cell>
        </row>
        <row r="415">
          <cell r="A415" t="str">
            <v>SHREE SINGAJI TPP2</v>
          </cell>
          <cell r="B415" t="str">
            <v>SHREE SINGAJI TPP</v>
          </cell>
          <cell r="C415" t="str">
            <v>SHREE SINGAJI TPP UNIT 1-2</v>
          </cell>
          <cell r="D415" t="str">
            <v>Madhya Pradesh</v>
          </cell>
          <cell r="E415" t="str">
            <v>STATE SECTOR</v>
          </cell>
          <cell r="F415" t="str">
            <v xml:space="preserve"> 5-10 years</v>
          </cell>
          <cell r="G415">
            <v>5.5906913073237501</v>
          </cell>
          <cell r="H415">
            <v>600</v>
          </cell>
          <cell r="I415">
            <v>0.48362332593809515</v>
          </cell>
          <cell r="J415"/>
          <cell r="L415">
            <v>2.6436184210526301</v>
          </cell>
        </row>
        <row r="416">
          <cell r="A416" t="str">
            <v>SHREE SINGAJI TPP3</v>
          </cell>
          <cell r="B416" t="str">
            <v>SHREE SINGAJI TPP</v>
          </cell>
          <cell r="C416" t="str">
            <v>SHREE SINGAJI TPP UNIT 3-4</v>
          </cell>
          <cell r="D416" t="str">
            <v>Madhya Pradesh</v>
          </cell>
          <cell r="E416" t="str">
            <v>STATE SECTOR</v>
          </cell>
          <cell r="F416" t="str">
            <v xml:space="preserve"> 0-5 years</v>
          </cell>
          <cell r="G416">
            <v>1.45379876796714</v>
          </cell>
          <cell r="H416">
            <v>660</v>
          </cell>
          <cell r="I416">
            <v>0.48589889523994384</v>
          </cell>
          <cell r="J416"/>
          <cell r="L416"/>
        </row>
        <row r="417">
          <cell r="A417" t="str">
            <v>SHREE SINGAJI TPP4</v>
          </cell>
          <cell r="B417" t="str">
            <v>SHREE SINGAJI TPP</v>
          </cell>
          <cell r="C417" t="str">
            <v>SHREE SINGAJI TPP UNIT 3-4</v>
          </cell>
          <cell r="D417" t="str">
            <v>Madhya Pradesh</v>
          </cell>
          <cell r="E417" t="str">
            <v>STATE SECTOR</v>
          </cell>
          <cell r="F417" t="str">
            <v xml:space="preserve"> 0-5 years</v>
          </cell>
          <cell r="G417">
            <v>1.06776180698151</v>
          </cell>
          <cell r="H417">
            <v>660</v>
          </cell>
          <cell r="I417">
            <v>0.36873574241419826</v>
          </cell>
          <cell r="J417"/>
          <cell r="L417"/>
        </row>
        <row r="418">
          <cell r="A418" t="str">
            <v>SIKKA REP. TPS3</v>
          </cell>
          <cell r="B418" t="str">
            <v>SIKKA REP. TPS</v>
          </cell>
          <cell r="C418" t="str">
            <v>SIKKA REP. TPS UNIT 3-4</v>
          </cell>
          <cell r="D418" t="str">
            <v>Gujarat</v>
          </cell>
          <cell r="E418" t="str">
            <v>STATE SECTOR</v>
          </cell>
          <cell r="F418" t="str">
            <v xml:space="preserve"> 5-10 years</v>
          </cell>
          <cell r="G418">
            <v>5.1772758384667998</v>
          </cell>
          <cell r="H418">
            <v>250</v>
          </cell>
          <cell r="I418">
            <v>0.65122717112716</v>
          </cell>
          <cell r="J418"/>
          <cell r="K418">
            <v>9.4899722296610672E-2</v>
          </cell>
          <cell r="L418">
            <v>3.8088925438596402</v>
          </cell>
        </row>
        <row r="419">
          <cell r="A419" t="str">
            <v>SIKKA REP. TPS4</v>
          </cell>
          <cell r="B419" t="str">
            <v>SIKKA REP. TPS</v>
          </cell>
          <cell r="C419" t="str">
            <v>SIKKA REP. TPS UNIT 3-4</v>
          </cell>
          <cell r="D419" t="str">
            <v>Gujarat</v>
          </cell>
          <cell r="E419" t="str">
            <v>STATE SECTOR</v>
          </cell>
          <cell r="F419" t="str">
            <v xml:space="preserve"> 0-5 years</v>
          </cell>
          <cell r="G419">
            <v>4.6735112936344896</v>
          </cell>
          <cell r="H419">
            <v>250</v>
          </cell>
          <cell r="I419">
            <v>0.60938017007860334</v>
          </cell>
          <cell r="J419"/>
          <cell r="K419">
            <v>9.4899722296610672E-2</v>
          </cell>
          <cell r="L419">
            <v>3.8088925438596402</v>
          </cell>
        </row>
        <row r="420">
          <cell r="A420" t="str">
            <v>SIMHADRI STPP1</v>
          </cell>
          <cell r="B420" t="str">
            <v>SIMHADRI STPP</v>
          </cell>
          <cell r="C420" t="str">
            <v>SIMHADRI STPP UNIT 1-2</v>
          </cell>
          <cell r="D420" t="str">
            <v>Andhra Pradesh</v>
          </cell>
          <cell r="E420" t="str">
            <v>CENTRAL SECTOR</v>
          </cell>
          <cell r="F420" t="str">
            <v xml:space="preserve"> 15-20 years</v>
          </cell>
          <cell r="G420">
            <v>18.2532511978097</v>
          </cell>
          <cell r="H420">
            <v>500</v>
          </cell>
          <cell r="I420">
            <v>0.64647128908663909</v>
          </cell>
          <cell r="J420">
            <v>0.83302141817425657</v>
          </cell>
          <cell r="K420">
            <v>5.6962700163683135E-2</v>
          </cell>
          <cell r="L420">
            <v>2.9691264912280801</v>
          </cell>
        </row>
        <row r="421">
          <cell r="A421" t="str">
            <v>SIMHADRI STPP2</v>
          </cell>
          <cell r="B421" t="str">
            <v>SIMHADRI STPP</v>
          </cell>
          <cell r="C421" t="str">
            <v>SIMHADRI STPP UNIT 1-2</v>
          </cell>
          <cell r="D421" t="str">
            <v>Andhra Pradesh</v>
          </cell>
          <cell r="E421" t="str">
            <v>CENTRAL SECTOR</v>
          </cell>
          <cell r="F421" t="str">
            <v xml:space="preserve"> 15-20 years</v>
          </cell>
          <cell r="G421">
            <v>17.7577002053388</v>
          </cell>
          <cell r="H421">
            <v>500</v>
          </cell>
          <cell r="I421">
            <v>0.68137391803650083</v>
          </cell>
          <cell r="J421">
            <v>0.83302141817425657</v>
          </cell>
          <cell r="K421">
            <v>5.6962700163683135E-2</v>
          </cell>
          <cell r="L421">
            <v>2.9691264912280801</v>
          </cell>
        </row>
        <row r="422">
          <cell r="A422" t="str">
            <v>SIMHADRI STPP3</v>
          </cell>
          <cell r="B422" t="str">
            <v>SIMHADRI STPP</v>
          </cell>
          <cell r="C422" t="str">
            <v>SIMHADRI STPP UNIT 3-4</v>
          </cell>
          <cell r="D422" t="str">
            <v>Andhra Pradesh</v>
          </cell>
          <cell r="E422" t="str">
            <v>CENTRAL SECTOR</v>
          </cell>
          <cell r="F422" t="str">
            <v xml:space="preserve"> 5-10 years</v>
          </cell>
          <cell r="G422">
            <v>9.1772758384667998</v>
          </cell>
          <cell r="H422">
            <v>500</v>
          </cell>
          <cell r="I422">
            <v>0.64471818429942662</v>
          </cell>
          <cell r="J422">
            <v>0.84657650042265431</v>
          </cell>
          <cell r="K422">
            <v>5.6962700163683135E-2</v>
          </cell>
          <cell r="L422">
            <v>2.9592455722167998</v>
          </cell>
        </row>
        <row r="423">
          <cell r="A423" t="str">
            <v>SIMHADRI STPP4</v>
          </cell>
          <cell r="B423" t="str">
            <v>SIMHADRI STPP</v>
          </cell>
          <cell r="C423" t="str">
            <v>SIMHADRI STPP UNIT 3-4</v>
          </cell>
          <cell r="D423" t="str">
            <v>Andhra Pradesh</v>
          </cell>
          <cell r="E423" t="str">
            <v>CENTRAL SECTOR</v>
          </cell>
          <cell r="F423" t="str">
            <v xml:space="preserve"> 5-10 years</v>
          </cell>
          <cell r="G423">
            <v>8.1752224503764506</v>
          </cell>
          <cell r="H423">
            <v>500</v>
          </cell>
          <cell r="I423">
            <v>0.6826857415058466</v>
          </cell>
          <cell r="J423">
            <v>0.84657650042265431</v>
          </cell>
          <cell r="K423">
            <v>5.6962700163683135E-2</v>
          </cell>
          <cell r="L423">
            <v>2.9592455722167998</v>
          </cell>
        </row>
        <row r="424">
          <cell r="A424" t="str">
            <v>SIMHAPURI TPS2</v>
          </cell>
          <cell r="B424" t="str">
            <v>SIMHAPURI TPS</v>
          </cell>
          <cell r="C424">
            <v>0</v>
          </cell>
          <cell r="D424" t="str">
            <v>Andhra Pradesh</v>
          </cell>
          <cell r="E424" t="str">
            <v>PVT SECTOR</v>
          </cell>
          <cell r="F424" t="str">
            <v xml:space="preserve"> 5-10 years</v>
          </cell>
          <cell r="G424">
            <v>7.8412046543463303</v>
          </cell>
          <cell r="H424">
            <v>150</v>
          </cell>
          <cell r="I424">
            <v>5.9408602150537492E-3</v>
          </cell>
          <cell r="J424"/>
          <cell r="K424">
            <v>0.10923025650701258</v>
          </cell>
          <cell r="L424"/>
        </row>
        <row r="425">
          <cell r="A425" t="str">
            <v>SIMHAPURI TPS3</v>
          </cell>
          <cell r="B425" t="str">
            <v>SIMHAPURI TPS</v>
          </cell>
          <cell r="C425">
            <v>0</v>
          </cell>
          <cell r="D425" t="str">
            <v>Andhra Pradesh</v>
          </cell>
          <cell r="E425" t="str">
            <v>PVT SECTOR</v>
          </cell>
          <cell r="F425" t="str">
            <v xml:space="preserve"> 5-10 years</v>
          </cell>
          <cell r="G425">
            <v>6.2532511978097096</v>
          </cell>
          <cell r="H425">
            <v>150</v>
          </cell>
          <cell r="I425">
            <v>2.1282807260954998E-2</v>
          </cell>
          <cell r="J425"/>
          <cell r="K425">
            <v>0.10923025650701258</v>
          </cell>
          <cell r="L425"/>
        </row>
        <row r="426">
          <cell r="A426" t="str">
            <v>SINGARENI TPP1</v>
          </cell>
          <cell r="B426" t="str">
            <v>SINGARENI TPP</v>
          </cell>
          <cell r="C426" t="str">
            <v>SINGARENI TPP</v>
          </cell>
          <cell r="D426" t="str">
            <v>Telengana</v>
          </cell>
          <cell r="E426" t="str">
            <v>STATE SECTOR</v>
          </cell>
          <cell r="F426" t="str">
            <v xml:space="preserve"> 0-5 years</v>
          </cell>
          <cell r="G426">
            <v>4.1752224503764497</v>
          </cell>
          <cell r="H426">
            <v>600</v>
          </cell>
          <cell r="I426">
            <v>0.87153641931167358</v>
          </cell>
          <cell r="J426">
            <v>0.68765133171912829</v>
          </cell>
          <cell r="K426">
            <v>5.8057563443709923E-2</v>
          </cell>
          <cell r="L426">
            <v>2.3885855263157798</v>
          </cell>
        </row>
        <row r="427">
          <cell r="A427" t="str">
            <v>SINGARENI TPP2</v>
          </cell>
          <cell r="B427" t="str">
            <v>SINGARENI TPP</v>
          </cell>
          <cell r="C427" t="str">
            <v>SINGARENI TPP</v>
          </cell>
          <cell r="D427" t="str">
            <v>Telengana</v>
          </cell>
          <cell r="E427" t="str">
            <v>STATE SECTOR</v>
          </cell>
          <cell r="F427" t="str">
            <v xml:space="preserve"> 0-5 years</v>
          </cell>
          <cell r="G427">
            <v>3.4250513347022502</v>
          </cell>
          <cell r="H427">
            <v>600</v>
          </cell>
          <cell r="I427">
            <v>0.86487598820117362</v>
          </cell>
          <cell r="J427">
            <v>0.68765133171912829</v>
          </cell>
          <cell r="K427">
            <v>5.8057563443709923E-2</v>
          </cell>
          <cell r="L427">
            <v>2.3885855263157798</v>
          </cell>
        </row>
        <row r="428">
          <cell r="A428" t="str">
            <v>SINGRAULI STPS1</v>
          </cell>
          <cell r="B428" t="str">
            <v>SINGRAULI STPS</v>
          </cell>
          <cell r="C428" t="str">
            <v>SINGRAULI STPS</v>
          </cell>
          <cell r="D428" t="str">
            <v>Uttar Pardesh</v>
          </cell>
          <cell r="E428" t="str">
            <v>CENTRAL SECTOR</v>
          </cell>
          <cell r="F428" t="str">
            <v xml:space="preserve"> 35-40 years</v>
          </cell>
          <cell r="G428">
            <v>38.253251197809703</v>
          </cell>
          <cell r="H428">
            <v>200</v>
          </cell>
          <cell r="I428">
            <v>0.81691760300245408</v>
          </cell>
          <cell r="J428">
            <v>0.33547695605573419</v>
          </cell>
          <cell r="K428">
            <v>7.690693382449007E-2</v>
          </cell>
          <cell r="L428">
            <v>1.42529597105324</v>
          </cell>
        </row>
        <row r="429">
          <cell r="A429" t="str">
            <v>SINGRAULI STPS2</v>
          </cell>
          <cell r="B429" t="str">
            <v>SINGRAULI STPS</v>
          </cell>
          <cell r="C429" t="str">
            <v>SINGRAULI STPS</v>
          </cell>
          <cell r="D429" t="str">
            <v>Uttar Pardesh</v>
          </cell>
          <cell r="E429" t="str">
            <v>CENTRAL SECTOR</v>
          </cell>
          <cell r="F429" t="str">
            <v xml:space="preserve"> 35-40 years</v>
          </cell>
          <cell r="G429">
            <v>37.505817932922596</v>
          </cell>
          <cell r="H429">
            <v>200</v>
          </cell>
          <cell r="I429">
            <v>0.86465607380481457</v>
          </cell>
          <cell r="J429">
            <v>0.33547695605573419</v>
          </cell>
          <cell r="K429">
            <v>7.690693382449007E-2</v>
          </cell>
          <cell r="L429">
            <v>1.42529597105324</v>
          </cell>
        </row>
        <row r="430">
          <cell r="A430" t="str">
            <v>SINGRAULI STPS3</v>
          </cell>
          <cell r="B430" t="str">
            <v>SINGRAULI STPS</v>
          </cell>
          <cell r="C430" t="str">
            <v>SINGRAULI STPS</v>
          </cell>
          <cell r="D430" t="str">
            <v>Uttar Pardesh</v>
          </cell>
          <cell r="E430" t="str">
            <v>CENTRAL SECTOR</v>
          </cell>
          <cell r="F430" t="str">
            <v xml:space="preserve"> 35-40 years</v>
          </cell>
          <cell r="G430">
            <v>37.177275838466798</v>
          </cell>
          <cell r="H430">
            <v>200</v>
          </cell>
          <cell r="I430">
            <v>0.82384066566467085</v>
          </cell>
          <cell r="J430">
            <v>0.33547695605573419</v>
          </cell>
          <cell r="K430">
            <v>7.690693382449007E-2</v>
          </cell>
          <cell r="L430">
            <v>1.42529597105324</v>
          </cell>
        </row>
        <row r="431">
          <cell r="A431" t="str">
            <v>SINGRAULI STPS4</v>
          </cell>
          <cell r="B431" t="str">
            <v>SINGRAULI STPS</v>
          </cell>
          <cell r="C431" t="str">
            <v>SINGRAULI STPS</v>
          </cell>
          <cell r="D431" t="str">
            <v>Uttar Pardesh</v>
          </cell>
          <cell r="E431" t="str">
            <v>CENTRAL SECTOR</v>
          </cell>
          <cell r="F431" t="str">
            <v xml:space="preserve"> 35-40 years</v>
          </cell>
          <cell r="G431">
            <v>36.5065023956194</v>
          </cell>
          <cell r="H431">
            <v>200</v>
          </cell>
          <cell r="I431">
            <v>0.86040622976881875</v>
          </cell>
          <cell r="J431">
            <v>0.33547695605573419</v>
          </cell>
          <cell r="K431">
            <v>7.690693382449007E-2</v>
          </cell>
          <cell r="L431">
            <v>1.42529597105324</v>
          </cell>
        </row>
        <row r="432">
          <cell r="A432" t="str">
            <v>SINGRAULI STPS5</v>
          </cell>
          <cell r="B432" t="str">
            <v>SINGRAULI STPS</v>
          </cell>
          <cell r="C432" t="str">
            <v>SINGRAULI STPS</v>
          </cell>
          <cell r="D432" t="str">
            <v>Uttar Pardesh</v>
          </cell>
          <cell r="E432" t="str">
            <v>CENTRAL SECTOR</v>
          </cell>
          <cell r="F432" t="str">
            <v xml:space="preserve"> 35-40 years</v>
          </cell>
          <cell r="G432">
            <v>36.254620123203203</v>
          </cell>
          <cell r="H432">
            <v>200</v>
          </cell>
          <cell r="I432">
            <v>0.79294628989588534</v>
          </cell>
          <cell r="J432">
            <v>0.33547695605573419</v>
          </cell>
          <cell r="K432">
            <v>7.690693382449007E-2</v>
          </cell>
          <cell r="L432">
            <v>1.42529597105324</v>
          </cell>
        </row>
        <row r="433">
          <cell r="A433" t="str">
            <v>SINGRAULI STPS6</v>
          </cell>
          <cell r="B433" t="str">
            <v>SINGRAULI STPS</v>
          </cell>
          <cell r="C433" t="str">
            <v>SINGRAULI STPS</v>
          </cell>
          <cell r="D433" t="str">
            <v>Uttar Pardesh</v>
          </cell>
          <cell r="E433" t="str">
            <v>CENTRAL SECTOR</v>
          </cell>
          <cell r="F433" t="str">
            <v xml:space="preserve"> 30-35 years</v>
          </cell>
          <cell r="G433">
            <v>33.423682409308597</v>
          </cell>
          <cell r="H433">
            <v>500</v>
          </cell>
          <cell r="I433">
            <v>0.86693612133705</v>
          </cell>
          <cell r="J433">
            <v>0.33547695605573419</v>
          </cell>
          <cell r="K433">
            <v>7.690693382449007E-2</v>
          </cell>
          <cell r="L433">
            <v>1.42529597105324</v>
          </cell>
        </row>
        <row r="434">
          <cell r="A434" t="str">
            <v>SINGRAULI STPS7</v>
          </cell>
          <cell r="B434" t="str">
            <v>SINGRAULI STPS</v>
          </cell>
          <cell r="C434" t="str">
            <v>SINGRAULI STPS</v>
          </cell>
          <cell r="D434" t="str">
            <v>Uttar Pardesh</v>
          </cell>
          <cell r="E434" t="str">
            <v>CENTRAL SECTOR</v>
          </cell>
          <cell r="F434" t="str">
            <v xml:space="preserve"> 30-35 years</v>
          </cell>
          <cell r="G434">
            <v>32.5065023956194</v>
          </cell>
          <cell r="H434">
            <v>500</v>
          </cell>
          <cell r="I434">
            <v>0.88246688111716654</v>
          </cell>
          <cell r="J434">
            <v>0.33547695605573419</v>
          </cell>
          <cell r="K434">
            <v>7.690693382449007E-2</v>
          </cell>
          <cell r="L434">
            <v>1.42529597105324</v>
          </cell>
        </row>
        <row r="435">
          <cell r="A435" t="str">
            <v>SIPAT STPS1</v>
          </cell>
          <cell r="B435" t="str">
            <v>SIPAT STPS</v>
          </cell>
          <cell r="C435" t="str">
            <v>SIPAT STPS UNIT 1-3</v>
          </cell>
          <cell r="D435" t="str">
            <v>Chhatisgarh</v>
          </cell>
          <cell r="E435" t="str">
            <v>CENTRAL SECTOR</v>
          </cell>
          <cell r="F435" t="str">
            <v xml:space="preserve"> 5-10 years</v>
          </cell>
          <cell r="G435">
            <v>8.5913757700205302</v>
          </cell>
          <cell r="H435">
            <v>660</v>
          </cell>
          <cell r="I435">
            <v>0.89485139992184348</v>
          </cell>
          <cell r="J435">
            <v>0.45766084457218659</v>
          </cell>
          <cell r="K435">
            <v>5.4595359838897593E-2</v>
          </cell>
          <cell r="L435">
            <v>1.3472208353353701</v>
          </cell>
        </row>
        <row r="436">
          <cell r="A436" t="str">
            <v>SIPAT STPS2</v>
          </cell>
          <cell r="B436" t="str">
            <v>SIPAT STPS</v>
          </cell>
          <cell r="C436" t="str">
            <v>SIPAT STPS UNIT 1-3</v>
          </cell>
          <cell r="D436" t="str">
            <v>Chhatisgarh</v>
          </cell>
          <cell r="E436" t="str">
            <v>CENTRAL SECTOR</v>
          </cell>
          <cell r="F436" t="str">
            <v xml:space="preserve"> 5-10 years</v>
          </cell>
          <cell r="G436">
            <v>8.00821355236139</v>
          </cell>
          <cell r="H436">
            <v>660</v>
          </cell>
          <cell r="I436">
            <v>0.88956723176643315</v>
          </cell>
          <cell r="J436">
            <v>0.45766084457218659</v>
          </cell>
          <cell r="K436">
            <v>5.4595359838897593E-2</v>
          </cell>
          <cell r="L436">
            <v>1.3472208353353701</v>
          </cell>
        </row>
        <row r="437">
          <cell r="A437" t="str">
            <v>SIPAT STPS3</v>
          </cell>
          <cell r="B437" t="str">
            <v>SIPAT STPS</v>
          </cell>
          <cell r="C437" t="str">
            <v>SIPAT STPS UNIT 1-3</v>
          </cell>
          <cell r="D437" t="str">
            <v>Chhatisgarh</v>
          </cell>
          <cell r="E437" t="str">
            <v>CENTRAL SECTOR</v>
          </cell>
          <cell r="F437" t="str">
            <v xml:space="preserve"> 5-10 years</v>
          </cell>
          <cell r="G437">
            <v>7.7563312799452397</v>
          </cell>
          <cell r="H437">
            <v>660</v>
          </cell>
          <cell r="I437">
            <v>0.84729476526970959</v>
          </cell>
          <cell r="J437">
            <v>0.45766084457218659</v>
          </cell>
          <cell r="K437">
            <v>5.4595359838897593E-2</v>
          </cell>
          <cell r="L437">
            <v>1.3472208353353701</v>
          </cell>
        </row>
        <row r="438">
          <cell r="A438" t="str">
            <v>SIPAT STPS4</v>
          </cell>
          <cell r="B438" t="str">
            <v>SIPAT STPS</v>
          </cell>
          <cell r="C438" t="str">
            <v>SIPAT STPS UNIT 4-5</v>
          </cell>
          <cell r="D438" t="str">
            <v>Chhatisgarh</v>
          </cell>
          <cell r="E438" t="str">
            <v>CENTRAL SECTOR</v>
          </cell>
          <cell r="F438" t="str">
            <v xml:space="preserve"> 10-15 years</v>
          </cell>
          <cell r="G438">
            <v>11.9233401779603</v>
          </cell>
          <cell r="H438">
            <v>500</v>
          </cell>
          <cell r="I438">
            <v>0.87458164531725002</v>
          </cell>
          <cell r="J438">
            <v>0.42012099484651577</v>
          </cell>
          <cell r="K438">
            <v>5.4595359838897593E-2</v>
          </cell>
          <cell r="L438">
            <v>1.3884177880397</v>
          </cell>
        </row>
        <row r="439">
          <cell r="A439" t="str">
            <v>SIPAT STPS5</v>
          </cell>
          <cell r="B439" t="str">
            <v>SIPAT STPS</v>
          </cell>
          <cell r="C439" t="str">
            <v>SIPAT STPS UNIT 4-5</v>
          </cell>
          <cell r="D439" t="str">
            <v>Chhatisgarh</v>
          </cell>
          <cell r="E439" t="str">
            <v>CENTRAL SECTOR</v>
          </cell>
          <cell r="F439" t="str">
            <v xml:space="preserve"> 10-15 years</v>
          </cell>
          <cell r="G439">
            <v>11.337440109514</v>
          </cell>
          <cell r="H439">
            <v>500</v>
          </cell>
          <cell r="I439">
            <v>0.88183905426009168</v>
          </cell>
          <cell r="J439">
            <v>0.42012099484651577</v>
          </cell>
          <cell r="K439">
            <v>5.4595359838897593E-2</v>
          </cell>
          <cell r="L439">
            <v>1.3884177880397</v>
          </cell>
        </row>
        <row r="440">
          <cell r="A440" t="str">
            <v>SOLAPUR STPS1</v>
          </cell>
          <cell r="B440" t="str">
            <v>SOLAPUR STPS</v>
          </cell>
          <cell r="C440" t="str">
            <v>SOLAPUR STPS</v>
          </cell>
          <cell r="D440" t="str">
            <v>Maharashtra</v>
          </cell>
          <cell r="E440" t="str">
            <v>CENTRAL SECTOR</v>
          </cell>
          <cell r="F440" t="str">
            <v xml:space="preserve"> 0-5 years</v>
          </cell>
          <cell r="G440">
            <v>3.0910335386721401</v>
          </cell>
          <cell r="H440">
            <v>660</v>
          </cell>
          <cell r="I440">
            <v>0.24382802341216731</v>
          </cell>
          <cell r="J440">
            <v>1.1666180332652465</v>
          </cell>
          <cell r="K440">
            <v>0.09</v>
          </cell>
          <cell r="L440">
            <v>3.66088418655512</v>
          </cell>
        </row>
        <row r="441">
          <cell r="A441" t="str">
            <v>SOLAPUR STPS2</v>
          </cell>
          <cell r="B441" t="str">
            <v>SOLAPUR STPS</v>
          </cell>
          <cell r="C441" t="str">
            <v>SOLAPUR STPS</v>
          </cell>
          <cell r="D441" t="str">
            <v>Maharashtra</v>
          </cell>
          <cell r="E441" t="str">
            <v>CENTRAL SECTOR</v>
          </cell>
          <cell r="F441" t="str">
            <v xml:space="preserve"> 0-5 years</v>
          </cell>
          <cell r="G441">
            <v>1.06776180698151</v>
          </cell>
          <cell r="H441">
            <v>660</v>
          </cell>
          <cell r="I441">
            <v>3.2607354088292489E-2</v>
          </cell>
          <cell r="J441">
            <v>1.1666180332652465</v>
          </cell>
          <cell r="K441">
            <v>0.09</v>
          </cell>
          <cell r="L441">
            <v>3.66088418655512</v>
          </cell>
        </row>
        <row r="442">
          <cell r="A442" t="str">
            <v>SOUTHERN REPL. TPS1</v>
          </cell>
          <cell r="B442" t="str">
            <v>SOUTHERN REPL. TPS</v>
          </cell>
          <cell r="C442" t="str">
            <v>SOUTHERN REPL. TPS</v>
          </cell>
          <cell r="D442" t="str">
            <v>West Bengal</v>
          </cell>
          <cell r="E442" t="str">
            <v>PVT SECTOR</v>
          </cell>
          <cell r="F442" t="str">
            <v xml:space="preserve"> 25-30 years</v>
          </cell>
          <cell r="G442">
            <v>29.0924024640657</v>
          </cell>
          <cell r="H442">
            <v>68</v>
          </cell>
          <cell r="I442">
            <v>0.21922284573203862</v>
          </cell>
          <cell r="J442">
            <v>0.99849473156046165</v>
          </cell>
          <cell r="K442">
            <v>9.2383897720522315E-2</v>
          </cell>
          <cell r="L442"/>
        </row>
        <row r="443">
          <cell r="A443" t="str">
            <v>SOUTHERN REPL. TPS2</v>
          </cell>
          <cell r="B443" t="str">
            <v>SOUTHERN REPL. TPS</v>
          </cell>
          <cell r="C443" t="str">
            <v>SOUTHERN REPL. TPS</v>
          </cell>
          <cell r="D443" t="str">
            <v>West Bengal</v>
          </cell>
          <cell r="E443" t="str">
            <v>PVT SECTOR</v>
          </cell>
          <cell r="F443" t="str">
            <v xml:space="preserve"> 25-30 years</v>
          </cell>
          <cell r="G443">
            <v>29.7577002053388</v>
          </cell>
          <cell r="H443">
            <v>68</v>
          </cell>
          <cell r="I443">
            <v>0.30482020735082416</v>
          </cell>
          <cell r="J443">
            <v>0.99849473156046165</v>
          </cell>
          <cell r="K443">
            <v>9.2383897720522315E-2</v>
          </cell>
          <cell r="L443"/>
        </row>
        <row r="444">
          <cell r="A444" t="str">
            <v>STERLITE TPP1</v>
          </cell>
          <cell r="B444" t="str">
            <v>STERLITE TPP</v>
          </cell>
          <cell r="C444" t="str">
            <v>STERLITE TPP UNIT 1-2</v>
          </cell>
          <cell r="D444" t="str">
            <v>Odisha</v>
          </cell>
          <cell r="E444" t="str">
            <v>PVT SECTOR</v>
          </cell>
          <cell r="F444" t="str">
            <v xml:space="preserve"> 10-15 years</v>
          </cell>
          <cell r="G444">
            <v>10.17659137577</v>
          </cell>
          <cell r="H444">
            <v>600</v>
          </cell>
          <cell r="I444">
            <v>7.7964456391875691E-3</v>
          </cell>
          <cell r="J444"/>
          <cell r="K444">
            <v>0.05</v>
          </cell>
          <cell r="L444">
            <v>1.6054299754299699</v>
          </cell>
        </row>
        <row r="445">
          <cell r="A445" t="str">
            <v>STERLITE TPP2</v>
          </cell>
          <cell r="B445" t="str">
            <v>STERLITE TPP</v>
          </cell>
          <cell r="C445" t="str">
            <v>STERLITE TPP UNIT 1-2</v>
          </cell>
          <cell r="D445" t="str">
            <v>Odisha</v>
          </cell>
          <cell r="E445" t="str">
            <v>PVT SECTOR</v>
          </cell>
          <cell r="F445" t="str">
            <v xml:space="preserve"> 5-10 years</v>
          </cell>
          <cell r="G445">
            <v>9.4236824093086895</v>
          </cell>
          <cell r="H445">
            <v>600</v>
          </cell>
          <cell r="I445">
            <v>9.4808093316785413E-2</v>
          </cell>
          <cell r="J445"/>
          <cell r="K445">
            <v>0.05</v>
          </cell>
          <cell r="L445">
            <v>1.6054299754299699</v>
          </cell>
        </row>
        <row r="446">
          <cell r="A446" t="str">
            <v>SURATGARH TPS1</v>
          </cell>
          <cell r="B446" t="str">
            <v>SURATGARH TPS</v>
          </cell>
          <cell r="C446" t="str">
            <v>SURATGARH TPS</v>
          </cell>
          <cell r="D446" t="str">
            <v>Rajasthan</v>
          </cell>
          <cell r="E446" t="str">
            <v>STATE SECTOR</v>
          </cell>
          <cell r="F446" t="str">
            <v xml:space="preserve"> 20-25 years</v>
          </cell>
          <cell r="G446">
            <v>22.009582477754901</v>
          </cell>
          <cell r="H446">
            <v>250</v>
          </cell>
          <cell r="I446">
            <v>0.58519415273289999</v>
          </cell>
          <cell r="J446">
            <v>1.2932692307692308</v>
          </cell>
          <cell r="K446">
            <v>9.9196739166571735E-2</v>
          </cell>
          <cell r="L446">
            <v>3.4982217343578399</v>
          </cell>
        </row>
        <row r="447">
          <cell r="A447" t="str">
            <v>SURATGARH TPS2</v>
          </cell>
          <cell r="B447" t="str">
            <v>SURATGARH TPS</v>
          </cell>
          <cell r="C447" t="str">
            <v>SURATGARH TPS</v>
          </cell>
          <cell r="D447" t="str">
            <v>Rajasthan</v>
          </cell>
          <cell r="E447" t="str">
            <v>STATE SECTOR</v>
          </cell>
          <cell r="F447" t="str">
            <v xml:space="preserve"> 20-25 years</v>
          </cell>
          <cell r="G447">
            <v>20.175222450376399</v>
          </cell>
          <cell r="H447">
            <v>250</v>
          </cell>
          <cell r="I447">
            <v>0.42411310194464164</v>
          </cell>
          <cell r="J447">
            <v>1.2932692307692308</v>
          </cell>
          <cell r="K447">
            <v>9.9196739166571735E-2</v>
          </cell>
          <cell r="L447">
            <v>3.4982217343578399</v>
          </cell>
        </row>
        <row r="448">
          <cell r="A448" t="str">
            <v>SURATGARH TPS3</v>
          </cell>
          <cell r="B448" t="str">
            <v>SURATGARH TPS</v>
          </cell>
          <cell r="C448" t="str">
            <v>SURATGARH TPS</v>
          </cell>
          <cell r="D448" t="str">
            <v>Rajasthan</v>
          </cell>
          <cell r="E448" t="str">
            <v>STATE SECTOR</v>
          </cell>
          <cell r="F448" t="str">
            <v xml:space="preserve"> 15-20 years</v>
          </cell>
          <cell r="G448">
            <v>18.590006844626899</v>
          </cell>
          <cell r="H448">
            <v>250</v>
          </cell>
          <cell r="I448">
            <v>0.4476994907922367</v>
          </cell>
          <cell r="J448">
            <v>1.2932692307692308</v>
          </cell>
          <cell r="K448">
            <v>9.9196739166571735E-2</v>
          </cell>
          <cell r="L448">
            <v>3.4982217343578399</v>
          </cell>
        </row>
        <row r="449">
          <cell r="A449" t="str">
            <v>SURATGARH TPS4</v>
          </cell>
          <cell r="B449" t="str">
            <v>SURATGARH TPS</v>
          </cell>
          <cell r="C449" t="str">
            <v>SURATGARH TPS</v>
          </cell>
          <cell r="D449" t="str">
            <v>Rajasthan</v>
          </cell>
          <cell r="E449" t="str">
            <v>STATE SECTOR</v>
          </cell>
          <cell r="F449" t="str">
            <v xml:space="preserve"> 15-20 years</v>
          </cell>
          <cell r="G449">
            <v>18.176591375769998</v>
          </cell>
          <cell r="H449">
            <v>250</v>
          </cell>
          <cell r="I449">
            <v>0.50528537048807831</v>
          </cell>
          <cell r="J449">
            <v>1.2932692307692308</v>
          </cell>
          <cell r="K449">
            <v>9.9196739166571735E-2</v>
          </cell>
          <cell r="L449">
            <v>3.4982217343578399</v>
          </cell>
        </row>
        <row r="450">
          <cell r="A450" t="str">
            <v>SURATGARH TPS5</v>
          </cell>
          <cell r="B450" t="str">
            <v>SURATGARH TPS</v>
          </cell>
          <cell r="C450" t="str">
            <v>SURATGARH TPS</v>
          </cell>
          <cell r="D450" t="str">
            <v>Rajasthan</v>
          </cell>
          <cell r="E450" t="str">
            <v>STATE SECTOR</v>
          </cell>
          <cell r="F450" t="str">
            <v xml:space="preserve"> 15-20 years</v>
          </cell>
          <cell r="G450">
            <v>16.925393566050602</v>
          </cell>
          <cell r="H450">
            <v>250</v>
          </cell>
          <cell r="I450">
            <v>0.47192488823560497</v>
          </cell>
          <cell r="J450">
            <v>1.2932692307692308</v>
          </cell>
          <cell r="K450">
            <v>9.9196739166571735E-2</v>
          </cell>
          <cell r="L450">
            <v>3.4982217343578399</v>
          </cell>
        </row>
        <row r="451">
          <cell r="A451" t="str">
            <v>SURATGARH TPS6</v>
          </cell>
          <cell r="B451" t="str">
            <v>SURATGARH TPS</v>
          </cell>
          <cell r="C451" t="str">
            <v>SURATGARH TPS</v>
          </cell>
          <cell r="D451" t="str">
            <v>Rajasthan</v>
          </cell>
          <cell r="E451" t="str">
            <v>STATE SECTOR</v>
          </cell>
          <cell r="F451" t="str">
            <v xml:space="preserve"> 10-15 years</v>
          </cell>
          <cell r="G451">
            <v>10.757015742642</v>
          </cell>
          <cell r="H451">
            <v>250</v>
          </cell>
          <cell r="I451">
            <v>0.39675126988683329</v>
          </cell>
          <cell r="J451">
            <v>1.2932692307692308</v>
          </cell>
          <cell r="K451">
            <v>9.9196739166571735E-2</v>
          </cell>
          <cell r="L451">
            <v>3.4982217343578399</v>
          </cell>
        </row>
        <row r="452">
          <cell r="A452" t="str">
            <v>SVPL TPP1</v>
          </cell>
          <cell r="B452" t="str">
            <v>SVPL TPP</v>
          </cell>
          <cell r="C452">
            <v>0</v>
          </cell>
          <cell r="D452" t="str">
            <v>Chhatisgarh</v>
          </cell>
          <cell r="E452" t="str">
            <v>PVT SECTOR</v>
          </cell>
          <cell r="F452" t="str">
            <v xml:space="preserve"> 5-10 years</v>
          </cell>
          <cell r="G452">
            <v>8.4243668720054696</v>
          </cell>
          <cell r="H452">
            <v>63</v>
          </cell>
          <cell r="I452">
            <v>0.20316257890568851</v>
          </cell>
          <cell r="J452"/>
          <cell r="K452">
            <v>0.12897083607149668</v>
          </cell>
          <cell r="L452"/>
        </row>
        <row r="453">
          <cell r="A453" t="str">
            <v>TALCHER (OLD) TPS1</v>
          </cell>
          <cell r="B453" t="str">
            <v>TALCHER (OLD) TPS</v>
          </cell>
          <cell r="C453" t="str">
            <v>TALCHER (OLD) TPS</v>
          </cell>
          <cell r="D453" t="str">
            <v>Odisha</v>
          </cell>
          <cell r="E453" t="str">
            <v>CENTRAL SECTOR</v>
          </cell>
          <cell r="F453" t="str">
            <v xml:space="preserve"> 45+ years</v>
          </cell>
          <cell r="G453">
            <v>49.338809034907598</v>
          </cell>
          <cell r="H453">
            <v>60</v>
          </cell>
          <cell r="I453">
            <v>0.92381981105794431</v>
          </cell>
          <cell r="J453">
            <v>0.31</v>
          </cell>
          <cell r="K453">
            <v>0.10471132406131005</v>
          </cell>
          <cell r="L453">
            <v>1.6734602463606001</v>
          </cell>
        </row>
        <row r="454">
          <cell r="A454" t="str">
            <v>TALCHER (OLD) TPS2</v>
          </cell>
          <cell r="B454" t="str">
            <v>TALCHER (OLD) TPS</v>
          </cell>
          <cell r="C454" t="str">
            <v>TALCHER (OLD) TPS</v>
          </cell>
          <cell r="D454" t="str">
            <v>Odisha</v>
          </cell>
          <cell r="E454" t="str">
            <v>CENTRAL SECTOR</v>
          </cell>
          <cell r="F454" t="str">
            <v xml:space="preserve"> 45+ years</v>
          </cell>
          <cell r="G454">
            <v>48.925393566050602</v>
          </cell>
          <cell r="H454">
            <v>60</v>
          </cell>
          <cell r="I454">
            <v>0.95883306431994442</v>
          </cell>
          <cell r="J454">
            <v>0.31</v>
          </cell>
          <cell r="K454">
            <v>0.10471132406131005</v>
          </cell>
          <cell r="L454">
            <v>1.6734602463606001</v>
          </cell>
        </row>
        <row r="455">
          <cell r="A455" t="str">
            <v>TALCHER (OLD) TPS3</v>
          </cell>
          <cell r="B455" t="str">
            <v>TALCHER (OLD) TPS</v>
          </cell>
          <cell r="C455" t="str">
            <v>TALCHER (OLD) TPS</v>
          </cell>
          <cell r="D455" t="str">
            <v>Odisha</v>
          </cell>
          <cell r="E455" t="str">
            <v>CENTRAL SECTOR</v>
          </cell>
          <cell r="F455" t="str">
            <v xml:space="preserve"> 45+ years</v>
          </cell>
          <cell r="G455">
            <v>48.339493497604302</v>
          </cell>
          <cell r="H455">
            <v>60</v>
          </cell>
          <cell r="I455">
            <v>0.90750364529076377</v>
          </cell>
          <cell r="J455">
            <v>0.31</v>
          </cell>
          <cell r="K455">
            <v>0.10471132406131005</v>
          </cell>
          <cell r="L455">
            <v>1.6734602463606001</v>
          </cell>
        </row>
        <row r="456">
          <cell r="A456" t="str">
            <v>TALCHER (OLD) TPS4</v>
          </cell>
          <cell r="B456" t="str">
            <v>TALCHER (OLD) TPS</v>
          </cell>
          <cell r="C456" t="str">
            <v>TALCHER (OLD) TPS</v>
          </cell>
          <cell r="D456" t="str">
            <v>Odisha</v>
          </cell>
          <cell r="E456" t="str">
            <v>CENTRAL SECTOR</v>
          </cell>
          <cell r="F456" t="str">
            <v xml:space="preserve"> 45+ years</v>
          </cell>
          <cell r="G456">
            <v>47.923340177960299</v>
          </cell>
          <cell r="H456">
            <v>60</v>
          </cell>
          <cell r="I456">
            <v>0.87672141223934719</v>
          </cell>
          <cell r="J456">
            <v>0.31</v>
          </cell>
          <cell r="K456">
            <v>0.10471132406131005</v>
          </cell>
          <cell r="L456">
            <v>1.6734602463606001</v>
          </cell>
        </row>
        <row r="457">
          <cell r="A457" t="str">
            <v>TALCHER (OLD) TPS5</v>
          </cell>
          <cell r="B457" t="str">
            <v>TALCHER (OLD) TPS</v>
          </cell>
          <cell r="C457" t="str">
            <v>TALCHER (OLD) TPS</v>
          </cell>
          <cell r="D457" t="str">
            <v>Odisha</v>
          </cell>
          <cell r="E457" t="str">
            <v>CENTRAL SECTOR</v>
          </cell>
          <cell r="F457" t="str">
            <v xml:space="preserve"> 45+ years</v>
          </cell>
          <cell r="G457">
            <v>47.337440109513999</v>
          </cell>
          <cell r="H457">
            <v>110</v>
          </cell>
          <cell r="I457">
            <v>0.80008420952733716</v>
          </cell>
          <cell r="J457">
            <v>0.31</v>
          </cell>
          <cell r="K457">
            <v>0.10471132406131005</v>
          </cell>
          <cell r="L457">
            <v>1.6734602463606001</v>
          </cell>
        </row>
        <row r="458">
          <cell r="A458" t="str">
            <v>TALCHER (OLD) TPS6</v>
          </cell>
          <cell r="B458" t="str">
            <v>TALCHER (OLD) TPS</v>
          </cell>
          <cell r="C458" t="str">
            <v>TALCHER (OLD) TPS</v>
          </cell>
          <cell r="D458" t="str">
            <v>Odisha</v>
          </cell>
          <cell r="E458" t="str">
            <v>CENTRAL SECTOR</v>
          </cell>
          <cell r="F458" t="str">
            <v xml:space="preserve"> 45+ years</v>
          </cell>
          <cell r="G458">
            <v>46.924024640657002</v>
          </cell>
          <cell r="H458">
            <v>110</v>
          </cell>
          <cell r="I458">
            <v>0.88398365240411736</v>
          </cell>
          <cell r="J458">
            <v>0.31</v>
          </cell>
          <cell r="K458">
            <v>0.10471132406131005</v>
          </cell>
          <cell r="L458">
            <v>1.6734602463606001</v>
          </cell>
        </row>
        <row r="459">
          <cell r="A459" t="str">
            <v>TALCHER STPS1</v>
          </cell>
          <cell r="B459" t="str">
            <v>TALCHER STPS</v>
          </cell>
          <cell r="C459" t="str">
            <v>TALCHER STPS UNIT 1-2</v>
          </cell>
          <cell r="D459" t="str">
            <v>Odisha</v>
          </cell>
          <cell r="E459" t="str">
            <v>CENTRAL SECTOR</v>
          </cell>
          <cell r="F459" t="str">
            <v xml:space="preserve"> 25-30 years</v>
          </cell>
          <cell r="G459">
            <v>25.2539356605065</v>
          </cell>
          <cell r="H459">
            <v>500</v>
          </cell>
          <cell r="I459">
            <v>0.77147842391143018</v>
          </cell>
          <cell r="J459">
            <v>0.48614547253834733</v>
          </cell>
          <cell r="K459">
            <v>6.4093993789743203E-2</v>
          </cell>
          <cell r="L459">
            <v>1.6920972789181901</v>
          </cell>
        </row>
        <row r="460">
          <cell r="A460" t="str">
            <v>TALCHER STPS2</v>
          </cell>
          <cell r="B460" t="str">
            <v>TALCHER STPS</v>
          </cell>
          <cell r="C460" t="str">
            <v>TALCHER STPS UNIT 1-2</v>
          </cell>
          <cell r="D460" t="str">
            <v>Odisha</v>
          </cell>
          <cell r="E460" t="str">
            <v>CENTRAL SECTOR</v>
          </cell>
          <cell r="F460" t="str">
            <v xml:space="preserve"> 20-25 years</v>
          </cell>
          <cell r="G460">
            <v>24.175222450376399</v>
          </cell>
          <cell r="H460">
            <v>500</v>
          </cell>
          <cell r="I460">
            <v>0.78203221988276161</v>
          </cell>
          <cell r="J460">
            <v>0.48614547253834733</v>
          </cell>
          <cell r="K460">
            <v>6.4093993789743203E-2</v>
          </cell>
          <cell r="L460">
            <v>1.6920972789181901</v>
          </cell>
        </row>
        <row r="461">
          <cell r="A461" t="str">
            <v>TALCHER STPS3</v>
          </cell>
          <cell r="B461" t="str">
            <v>TALCHER STPS</v>
          </cell>
          <cell r="C461" t="str">
            <v>TALCHER STPS UNIT 3-6</v>
          </cell>
          <cell r="D461" t="str">
            <v>Odisha</v>
          </cell>
          <cell r="E461" t="str">
            <v>CENTRAL SECTOR</v>
          </cell>
          <cell r="F461" t="str">
            <v xml:space="preserve"> 15-20 years</v>
          </cell>
          <cell r="G461">
            <v>17.2539356605065</v>
          </cell>
          <cell r="H461">
            <v>500</v>
          </cell>
          <cell r="I461">
            <v>0.78937699442649334</v>
          </cell>
          <cell r="J461">
            <v>0.47985347985347987</v>
          </cell>
          <cell r="K461">
            <v>6.4093993789743203E-2</v>
          </cell>
          <cell r="L461">
            <v>1.70619901878252</v>
          </cell>
        </row>
        <row r="462">
          <cell r="A462" t="str">
            <v>TALCHER STPS4</v>
          </cell>
          <cell r="B462" t="str">
            <v>TALCHER STPS</v>
          </cell>
          <cell r="C462" t="str">
            <v>TALCHER STPS UNIT 3-6</v>
          </cell>
          <cell r="D462" t="str">
            <v>Odisha</v>
          </cell>
          <cell r="E462" t="str">
            <v>CENTRAL SECTOR</v>
          </cell>
          <cell r="F462" t="str">
            <v xml:space="preserve"> 15-20 years</v>
          </cell>
          <cell r="G462">
            <v>16.591375770020498</v>
          </cell>
          <cell r="H462">
            <v>500</v>
          </cell>
          <cell r="I462">
            <v>0.81442205588513916</v>
          </cell>
          <cell r="J462">
            <v>0.47985347985347987</v>
          </cell>
          <cell r="K462">
            <v>6.4093993789743203E-2</v>
          </cell>
          <cell r="L462">
            <v>1.70619901878252</v>
          </cell>
        </row>
        <row r="463">
          <cell r="A463" t="str">
            <v>TALCHER STPS5</v>
          </cell>
          <cell r="B463" t="str">
            <v>TALCHER STPS</v>
          </cell>
          <cell r="C463" t="str">
            <v>TALCHER STPS UNIT 3-6</v>
          </cell>
          <cell r="D463" t="str">
            <v>Odisha</v>
          </cell>
          <cell r="E463" t="str">
            <v>CENTRAL SECTOR</v>
          </cell>
          <cell r="F463" t="str">
            <v xml:space="preserve"> 15-20 years</v>
          </cell>
          <cell r="G463">
            <v>16.008213552361301</v>
          </cell>
          <cell r="H463">
            <v>500</v>
          </cell>
          <cell r="I463">
            <v>0.80414497419047259</v>
          </cell>
          <cell r="J463">
            <v>0.47985347985347987</v>
          </cell>
          <cell r="K463">
            <v>6.4093993789743203E-2</v>
          </cell>
          <cell r="L463">
            <v>1.70619901878252</v>
          </cell>
        </row>
        <row r="464">
          <cell r="A464" t="str">
            <v>TALCHER STPS6</v>
          </cell>
          <cell r="B464" t="str">
            <v>TALCHER STPS</v>
          </cell>
          <cell r="C464" t="str">
            <v>TALCHER STPS UNIT 3-6</v>
          </cell>
          <cell r="D464" t="str">
            <v>Odisha</v>
          </cell>
          <cell r="E464" t="str">
            <v>CENTRAL SECTOR</v>
          </cell>
          <cell r="F464" t="str">
            <v xml:space="preserve"> 15-20 years</v>
          </cell>
          <cell r="G464">
            <v>15.2525667351129</v>
          </cell>
          <cell r="H464">
            <v>500</v>
          </cell>
          <cell r="I464">
            <v>0.84126735077402492</v>
          </cell>
          <cell r="J464">
            <v>0.47985347985347987</v>
          </cell>
          <cell r="K464">
            <v>6.4093993789743203E-2</v>
          </cell>
          <cell r="L464">
            <v>1.70619901878252</v>
          </cell>
        </row>
        <row r="465">
          <cell r="A465" t="str">
            <v>TALWANDI SABO TPS1</v>
          </cell>
          <cell r="B465" t="str">
            <v>TALWANDI SABO TPS</v>
          </cell>
          <cell r="C465" t="str">
            <v>TALWANDI SABO TPS</v>
          </cell>
          <cell r="D465" t="str">
            <v>Punjab</v>
          </cell>
          <cell r="E465" t="str">
            <v>PVT SECTOR</v>
          </cell>
          <cell r="F465" t="str">
            <v xml:space="preserve"> 5-10 years</v>
          </cell>
          <cell r="G465">
            <v>5.9247091033538597</v>
          </cell>
          <cell r="H465">
            <v>660</v>
          </cell>
          <cell r="I465">
            <v>0.60293298463689338</v>
          </cell>
          <cell r="J465"/>
          <cell r="K465">
            <v>7.1090892196094782E-2</v>
          </cell>
          <cell r="L465">
            <v>2.85</v>
          </cell>
        </row>
        <row r="466">
          <cell r="A466" t="str">
            <v>TALWANDI SABO TPS2</v>
          </cell>
          <cell r="B466" t="str">
            <v>TALWANDI SABO TPS</v>
          </cell>
          <cell r="C466" t="str">
            <v>TALWANDI SABO TPS</v>
          </cell>
          <cell r="D466" t="str">
            <v>Punjab</v>
          </cell>
          <cell r="E466" t="str">
            <v>PVT SECTOR</v>
          </cell>
          <cell r="F466" t="str">
            <v xml:space="preserve"> 0-5 years</v>
          </cell>
          <cell r="G466">
            <v>4.5913757700205302</v>
          </cell>
          <cell r="H466">
            <v>660</v>
          </cell>
          <cell r="I466">
            <v>0.57509519947531251</v>
          </cell>
          <cell r="J466"/>
          <cell r="K466">
            <v>7.1090892196094782E-2</v>
          </cell>
          <cell r="L466">
            <v>2.85</v>
          </cell>
        </row>
        <row r="467">
          <cell r="A467" t="str">
            <v>TALWANDI SABO TPS3</v>
          </cell>
          <cell r="B467" t="str">
            <v>TALWANDI SABO TPS</v>
          </cell>
          <cell r="C467" t="str">
            <v>TALWANDI SABO TPS</v>
          </cell>
          <cell r="D467" t="str">
            <v>Punjab</v>
          </cell>
          <cell r="E467" t="str">
            <v>PVT SECTOR</v>
          </cell>
          <cell r="F467" t="str">
            <v xml:space="preserve"> 0-5 years</v>
          </cell>
          <cell r="G467">
            <v>4.1752224503764497</v>
          </cell>
          <cell r="H467">
            <v>660</v>
          </cell>
          <cell r="I467">
            <v>0.56745135864801211</v>
          </cell>
          <cell r="J467"/>
          <cell r="K467">
            <v>7.1090892196094782E-2</v>
          </cell>
          <cell r="L467">
            <v>2.85</v>
          </cell>
        </row>
        <row r="468">
          <cell r="A468" t="str">
            <v>TANDA STPS1</v>
          </cell>
          <cell r="B468" t="str">
            <v>TANDA STPS</v>
          </cell>
          <cell r="C468" t="str">
            <v>TANDA STPS UNIT 1-4</v>
          </cell>
          <cell r="D468" t="str">
            <v>Uttar Pardesh</v>
          </cell>
          <cell r="E468" t="str">
            <v>CENTRAL SECTOR</v>
          </cell>
          <cell r="F468" t="str">
            <v xml:space="preserve"> 30-35 years</v>
          </cell>
          <cell r="G468">
            <v>32.175222450376403</v>
          </cell>
          <cell r="H468">
            <v>110</v>
          </cell>
          <cell r="I468">
            <v>0.6716125514373561</v>
          </cell>
          <cell r="J468">
            <v>0.74716911082235016</v>
          </cell>
          <cell r="K468">
            <v>0.12115813368341415</v>
          </cell>
          <cell r="L468">
            <v>2.8828179824561402</v>
          </cell>
        </row>
        <row r="469">
          <cell r="A469" t="str">
            <v>TANDA STPS2</v>
          </cell>
          <cell r="B469" t="str">
            <v>TANDA STPS</v>
          </cell>
          <cell r="C469" t="str">
            <v>TANDA STPS UNIT 1-4</v>
          </cell>
          <cell r="D469" t="str">
            <v>Uttar Pardesh</v>
          </cell>
          <cell r="E469" t="str">
            <v>CENTRAL SECTOR</v>
          </cell>
          <cell r="F469" t="str">
            <v xml:space="preserve"> 30-35 years</v>
          </cell>
          <cell r="G469">
            <v>31.175906913073199</v>
          </cell>
          <cell r="H469">
            <v>110</v>
          </cell>
          <cell r="I469">
            <v>0.66276602216243563</v>
          </cell>
          <cell r="J469">
            <v>0.74716911082235016</v>
          </cell>
          <cell r="K469">
            <v>0.12115813368341415</v>
          </cell>
          <cell r="L469">
            <v>2.8828179824561402</v>
          </cell>
        </row>
        <row r="470">
          <cell r="A470" t="str">
            <v>TANDA STPS3</v>
          </cell>
          <cell r="B470" t="str">
            <v>TANDA STPS</v>
          </cell>
          <cell r="C470" t="str">
            <v>TANDA STPS UNIT 1-4</v>
          </cell>
          <cell r="D470" t="str">
            <v>Uttar Pardesh</v>
          </cell>
          <cell r="E470" t="str">
            <v>CENTRAL SECTOR</v>
          </cell>
          <cell r="F470" t="str">
            <v xml:space="preserve"> 30-35 years</v>
          </cell>
          <cell r="G470">
            <v>30.176591375769998</v>
          </cell>
          <cell r="H470">
            <v>110</v>
          </cell>
          <cell r="I470">
            <v>0.64605972136853029</v>
          </cell>
          <cell r="J470">
            <v>0.74716911082235016</v>
          </cell>
          <cell r="K470">
            <v>0.12115813368341415</v>
          </cell>
          <cell r="L470">
            <v>2.8828179824561402</v>
          </cell>
        </row>
        <row r="471">
          <cell r="A471" t="str">
            <v>TANDA STPS4</v>
          </cell>
          <cell r="B471" t="str">
            <v>TANDA STPS</v>
          </cell>
          <cell r="C471" t="str">
            <v>TANDA STPS UNIT 1-4</v>
          </cell>
          <cell r="D471" t="str">
            <v>Uttar Pardesh</v>
          </cell>
          <cell r="E471" t="str">
            <v>CENTRAL SECTOR</v>
          </cell>
          <cell r="F471" t="str">
            <v xml:space="preserve"> 20-25 years</v>
          </cell>
          <cell r="G471">
            <v>22.2532511978097</v>
          </cell>
          <cell r="H471">
            <v>110</v>
          </cell>
          <cell r="I471">
            <v>0.66379538639479929</v>
          </cell>
          <cell r="J471">
            <v>0.74716911082235016</v>
          </cell>
          <cell r="K471">
            <v>0.12115813368341415</v>
          </cell>
          <cell r="L471">
            <v>2.8828179824561402</v>
          </cell>
        </row>
        <row r="472">
          <cell r="A472" t="str">
            <v>TANDA STPS5</v>
          </cell>
          <cell r="B472" t="str">
            <v>TANDA STPS</v>
          </cell>
          <cell r="C472" t="str">
            <v>TANDA STPS UNIT 5-6</v>
          </cell>
          <cell r="D472" t="str">
            <v>Uttar Pardesh</v>
          </cell>
          <cell r="E472" t="str">
            <v>CENTRAL SECTOR</v>
          </cell>
          <cell r="F472" t="str">
            <v xml:space="preserve"> 0-5 years</v>
          </cell>
          <cell r="G472">
            <v>0.60232717316906204</v>
          </cell>
          <cell r="H472">
            <v>660</v>
          </cell>
          <cell r="I472">
            <v>0.54643025039356563</v>
          </cell>
          <cell r="J472"/>
          <cell r="K472">
            <v>0.12115813368341415</v>
          </cell>
          <cell r="L472">
            <v>2.4057923702741499</v>
          </cell>
        </row>
        <row r="473">
          <cell r="A473" t="str">
            <v>TENUGHAT TPS1</v>
          </cell>
          <cell r="B473" t="str">
            <v>TENUGHAT TPS</v>
          </cell>
          <cell r="C473" t="str">
            <v>TENUGHAT TPS</v>
          </cell>
          <cell r="D473" t="str">
            <v>Jharkhand</v>
          </cell>
          <cell r="E473" t="str">
            <v>STATE SECTOR</v>
          </cell>
          <cell r="F473" t="str">
            <v xml:space="preserve"> 20-25 years</v>
          </cell>
          <cell r="G473">
            <v>23.671457905544099</v>
          </cell>
          <cell r="H473">
            <v>210</v>
          </cell>
          <cell r="I473">
            <v>0.51644711597612303</v>
          </cell>
          <cell r="J473"/>
          <cell r="K473">
            <v>0.12642862786873815</v>
          </cell>
          <cell r="L473">
            <v>1.93</v>
          </cell>
        </row>
        <row r="474">
          <cell r="A474" t="str">
            <v>TENUGHAT TPS2</v>
          </cell>
          <cell r="B474" t="str">
            <v>TENUGHAT TPS</v>
          </cell>
          <cell r="C474" t="str">
            <v>TENUGHAT TPS</v>
          </cell>
          <cell r="D474" t="str">
            <v>Jharkhand</v>
          </cell>
          <cell r="E474" t="str">
            <v>STATE SECTOR</v>
          </cell>
          <cell r="F474" t="str">
            <v xml:space="preserve"> 20-25 years</v>
          </cell>
          <cell r="G474">
            <v>22.672142368240898</v>
          </cell>
          <cell r="H474">
            <v>210</v>
          </cell>
          <cell r="I474">
            <v>0.61519852742934522</v>
          </cell>
          <cell r="J474"/>
          <cell r="K474">
            <v>0.12642862786873815</v>
          </cell>
          <cell r="L474">
            <v>1.93</v>
          </cell>
        </row>
        <row r="475">
          <cell r="A475" t="str">
            <v>THAMMINAPATNAM TPS1</v>
          </cell>
          <cell r="B475" t="str">
            <v>THAMMINAPATNAM TPS</v>
          </cell>
          <cell r="C475">
            <v>0</v>
          </cell>
          <cell r="D475" t="str">
            <v>Andhra Pradesh</v>
          </cell>
          <cell r="E475" t="str">
            <v>PVT SECTOR</v>
          </cell>
          <cell r="F475" t="str">
            <v xml:space="preserve"> 5-10 years</v>
          </cell>
          <cell r="G475">
            <v>8.1752224503764506</v>
          </cell>
          <cell r="H475">
            <v>150</v>
          </cell>
          <cell r="I475">
            <v>3.3012788557931112E-2</v>
          </cell>
          <cell r="J475"/>
          <cell r="K475">
            <v>0.1233619249363473</v>
          </cell>
          <cell r="L475"/>
        </row>
        <row r="476">
          <cell r="A476" t="str">
            <v>THAMMINAPATNAM TPS2</v>
          </cell>
          <cell r="B476" t="str">
            <v>THAMMINAPATNAM TPS</v>
          </cell>
          <cell r="C476">
            <v>0</v>
          </cell>
          <cell r="D476" t="str">
            <v>Andhra Pradesh</v>
          </cell>
          <cell r="E476" t="str">
            <v>PVT SECTOR</v>
          </cell>
          <cell r="F476" t="str">
            <v xml:space="preserve"> 5-10 years</v>
          </cell>
          <cell r="G476">
            <v>7.8412046543463303</v>
          </cell>
          <cell r="H476">
            <v>150</v>
          </cell>
          <cell r="I476">
            <v>5.3678586632609451E-2</v>
          </cell>
          <cell r="J476"/>
          <cell r="K476">
            <v>0.1233619249363473</v>
          </cell>
          <cell r="L476"/>
        </row>
        <row r="477">
          <cell r="A477" t="str">
            <v>TIRORA TPS1</v>
          </cell>
          <cell r="B477" t="str">
            <v>TIRORA TPS</v>
          </cell>
          <cell r="C477" t="str">
            <v>TIRORA TPS UNIT 1,4-5</v>
          </cell>
          <cell r="D477" t="str">
            <v>Maharashtra</v>
          </cell>
          <cell r="E477" t="str">
            <v>PVT SECTOR</v>
          </cell>
          <cell r="F477" t="str">
            <v xml:space="preserve"> 5-10 years</v>
          </cell>
          <cell r="G477">
            <v>7.6714579055441403</v>
          </cell>
          <cell r="H477">
            <v>660</v>
          </cell>
          <cell r="I477">
            <v>0.75874792649912881</v>
          </cell>
          <cell r="J477"/>
          <cell r="K477">
            <v>5.508216674000762E-2</v>
          </cell>
          <cell r="L477">
            <v>2.3944739905986698</v>
          </cell>
        </row>
        <row r="478">
          <cell r="A478" t="str">
            <v>TIRORA TPS2</v>
          </cell>
          <cell r="B478" t="str">
            <v>TIRORA TPS</v>
          </cell>
          <cell r="C478" t="str">
            <v>TIRORA TPS UNIT 2-3</v>
          </cell>
          <cell r="D478" t="str">
            <v>Maharashtra</v>
          </cell>
          <cell r="E478" t="str">
            <v>PVT SECTOR</v>
          </cell>
          <cell r="F478" t="str">
            <v xml:space="preserve"> 5-10 years</v>
          </cell>
          <cell r="G478">
            <v>7.1759069130732298</v>
          </cell>
          <cell r="H478">
            <v>660</v>
          </cell>
          <cell r="I478">
            <v>0.68593343643097848</v>
          </cell>
          <cell r="J478"/>
          <cell r="K478">
            <v>5.508216674000762E-2</v>
          </cell>
          <cell r="L478">
            <v>1.8199999999999601</v>
          </cell>
        </row>
        <row r="479">
          <cell r="A479" t="str">
            <v>TIRORA TPS3</v>
          </cell>
          <cell r="B479" t="str">
            <v>TIRORA TPS</v>
          </cell>
          <cell r="C479" t="str">
            <v>TIRORA TPS UNIT 2-3</v>
          </cell>
          <cell r="D479" t="str">
            <v>Maharashtra</v>
          </cell>
          <cell r="E479" t="str">
            <v>PVT SECTOR</v>
          </cell>
          <cell r="F479" t="str">
            <v xml:space="preserve"> 5-10 years</v>
          </cell>
          <cell r="G479">
            <v>6.9240246406570796</v>
          </cell>
          <cell r="H479">
            <v>660</v>
          </cell>
          <cell r="I479">
            <v>0.76427411936739265</v>
          </cell>
          <cell r="J479"/>
          <cell r="K479">
            <v>5.508216674000762E-2</v>
          </cell>
          <cell r="L479">
            <v>1.8199999999999601</v>
          </cell>
        </row>
        <row r="480">
          <cell r="A480" t="str">
            <v>TIRORA TPS4</v>
          </cell>
          <cell r="B480" t="str">
            <v>TIRORA TPS</v>
          </cell>
          <cell r="C480" t="str">
            <v>TIRORA TPS UNIT 1,4-5</v>
          </cell>
          <cell r="D480" t="str">
            <v>Maharashtra</v>
          </cell>
          <cell r="E480" t="str">
            <v>PVT SECTOR</v>
          </cell>
          <cell r="F480" t="str">
            <v xml:space="preserve"> 5-10 years</v>
          </cell>
          <cell r="G480">
            <v>6.1765913757700197</v>
          </cell>
          <cell r="H480">
            <v>660</v>
          </cell>
          <cell r="I480">
            <v>0.69919482158685609</v>
          </cell>
          <cell r="J480"/>
          <cell r="K480">
            <v>5.508216674000762E-2</v>
          </cell>
          <cell r="L480">
            <v>2.3944739905986698</v>
          </cell>
        </row>
        <row r="481">
          <cell r="A481" t="str">
            <v>TIRORA TPS5</v>
          </cell>
          <cell r="B481" t="str">
            <v>TIRORA TPS</v>
          </cell>
          <cell r="C481" t="str">
            <v>TIRORA TPS UNIT 1,4-5</v>
          </cell>
          <cell r="D481" t="str">
            <v>Maharashtra</v>
          </cell>
          <cell r="E481" t="str">
            <v>PVT SECTOR</v>
          </cell>
          <cell r="F481" t="str">
            <v xml:space="preserve"> 5-10 years</v>
          </cell>
          <cell r="G481">
            <v>5.6728268309377103</v>
          </cell>
          <cell r="H481">
            <v>660</v>
          </cell>
          <cell r="I481">
            <v>0.72994774872522095</v>
          </cell>
          <cell r="J481"/>
          <cell r="K481">
            <v>5.508216674000762E-2</v>
          </cell>
          <cell r="L481">
            <v>2.3944739905986698</v>
          </cell>
        </row>
        <row r="482">
          <cell r="A482" t="str">
            <v>TORANGALLU TPS(SBU-I)1</v>
          </cell>
          <cell r="B482" t="str">
            <v>TORANGALLU TPS(SBU-I)</v>
          </cell>
          <cell r="C482">
            <v>0</v>
          </cell>
          <cell r="D482" t="str">
            <v>Karnataka</v>
          </cell>
          <cell r="E482" t="str">
            <v>PVT SECTOR</v>
          </cell>
          <cell r="F482" t="str">
            <v xml:space="preserve"> 20-25 years</v>
          </cell>
          <cell r="G482">
            <v>21.338809034907499</v>
          </cell>
          <cell r="H482">
            <v>130</v>
          </cell>
          <cell r="I482">
            <v>0.78005289715022752</v>
          </cell>
          <cell r="J482"/>
          <cell r="K482">
            <v>7.183708757655409E-2</v>
          </cell>
          <cell r="L482"/>
        </row>
        <row r="483">
          <cell r="A483" t="str">
            <v>TORANGALLU TPS(SBU-I)2</v>
          </cell>
          <cell r="B483" t="str">
            <v>TORANGALLU TPS(SBU-I)</v>
          </cell>
          <cell r="C483">
            <v>0</v>
          </cell>
          <cell r="D483" t="str">
            <v>Karnataka</v>
          </cell>
          <cell r="E483" t="str">
            <v>PVT SECTOR</v>
          </cell>
          <cell r="F483" t="str">
            <v xml:space="preserve"> 20-25 years</v>
          </cell>
          <cell r="G483">
            <v>21.0102669404517</v>
          </cell>
          <cell r="H483">
            <v>130</v>
          </cell>
          <cell r="I483">
            <v>0.36779959134714102</v>
          </cell>
          <cell r="J483"/>
          <cell r="K483">
            <v>7.183708757655409E-2</v>
          </cell>
          <cell r="L483"/>
        </row>
        <row r="484">
          <cell r="A484" t="str">
            <v>TORANGALLU TPS(SBU-II)3</v>
          </cell>
          <cell r="B484" t="str">
            <v>TORANGALLU TPS(SBU-II)</v>
          </cell>
          <cell r="C484">
            <v>0</v>
          </cell>
          <cell r="D484" t="str">
            <v>Karnataka</v>
          </cell>
          <cell r="E484" t="str">
            <v>PVT SECTOR</v>
          </cell>
          <cell r="F484" t="str">
            <v xml:space="preserve"> 10-15 years</v>
          </cell>
          <cell r="G484">
            <v>11.0910335386721</v>
          </cell>
          <cell r="H484">
            <v>300</v>
          </cell>
          <cell r="I484">
            <v>0.59539343083029583</v>
          </cell>
          <cell r="J484"/>
          <cell r="K484">
            <v>7.7914431957709626E-2</v>
          </cell>
          <cell r="L484"/>
        </row>
        <row r="485">
          <cell r="A485" t="str">
            <v>TORANGALLU TPS(SBU-II)4</v>
          </cell>
          <cell r="B485" t="str">
            <v>TORANGALLU TPS(SBU-II)</v>
          </cell>
          <cell r="C485">
            <v>0</v>
          </cell>
          <cell r="D485" t="str">
            <v>Karnataka</v>
          </cell>
          <cell r="E485" t="str">
            <v>PVT SECTOR</v>
          </cell>
          <cell r="F485" t="str">
            <v xml:space="preserve"> 10-15 years</v>
          </cell>
          <cell r="G485">
            <v>10.757015742642</v>
          </cell>
          <cell r="H485">
            <v>300</v>
          </cell>
          <cell r="I485">
            <v>0.23673969417765278</v>
          </cell>
          <cell r="J485"/>
          <cell r="K485">
            <v>7.7914431957709626E-2</v>
          </cell>
          <cell r="L485"/>
        </row>
        <row r="486">
          <cell r="A486" t="str">
            <v>TROMBAY TPS5</v>
          </cell>
          <cell r="B486" t="str">
            <v>TROMBAY TPS</v>
          </cell>
          <cell r="C486" t="str">
            <v>TROMBAY TPS UNIT 5</v>
          </cell>
          <cell r="D486" t="str">
            <v>Maharashtra</v>
          </cell>
          <cell r="E486" t="str">
            <v>PVT SECTOR</v>
          </cell>
          <cell r="F486" t="str">
            <v xml:space="preserve"> 35-40 years</v>
          </cell>
          <cell r="G486">
            <v>36.339493497604302</v>
          </cell>
          <cell r="H486">
            <v>500</v>
          </cell>
          <cell r="I486">
            <v>0.71510558917609746</v>
          </cell>
          <cell r="J486">
            <v>1.1245071591616518</v>
          </cell>
          <cell r="K486">
            <v>5.8556660392843879E-2</v>
          </cell>
          <cell r="L486">
            <v>3.7555164835164798</v>
          </cell>
        </row>
        <row r="487">
          <cell r="A487" t="str">
            <v>TROMBAY TPS8</v>
          </cell>
          <cell r="B487" t="str">
            <v>TROMBAY TPS</v>
          </cell>
          <cell r="C487" t="str">
            <v>TROMBAY TPS UNIT 8</v>
          </cell>
          <cell r="D487" t="str">
            <v>Maharashtra</v>
          </cell>
          <cell r="E487" t="str">
            <v>PVT SECTOR</v>
          </cell>
          <cell r="F487" t="str">
            <v xml:space="preserve"> 10-15 years</v>
          </cell>
          <cell r="G487">
            <v>11.1759069130732</v>
          </cell>
          <cell r="H487">
            <v>250</v>
          </cell>
          <cell r="I487">
            <v>0.79249443393609664</v>
          </cell>
          <cell r="J487">
            <v>1.1245071591616518</v>
          </cell>
          <cell r="K487">
            <v>5.8556660392843879E-2</v>
          </cell>
          <cell r="L487">
            <v>3.9183956043956001</v>
          </cell>
        </row>
        <row r="488">
          <cell r="A488" t="str">
            <v>TUTICORIN TPS1</v>
          </cell>
          <cell r="B488" t="str">
            <v>TUTICORIN TPS</v>
          </cell>
          <cell r="C488" t="str">
            <v>TUTICORIN TPS</v>
          </cell>
          <cell r="D488" t="str">
            <v>Tamil Nadu</v>
          </cell>
          <cell r="E488" t="str">
            <v>STATE SECTOR</v>
          </cell>
          <cell r="F488" t="str">
            <v xml:space="preserve"> 40-45 years</v>
          </cell>
          <cell r="G488">
            <v>40.821355236139603</v>
          </cell>
          <cell r="H488">
            <v>210</v>
          </cell>
          <cell r="I488">
            <v>0.48274759994964289</v>
          </cell>
          <cell r="J488">
            <v>1.1290697674418604</v>
          </cell>
          <cell r="K488">
            <v>8.1569433810636374E-2</v>
          </cell>
          <cell r="L488">
            <v>3.3875747126436702</v>
          </cell>
        </row>
        <row r="489">
          <cell r="A489" t="str">
            <v>TUTICORIN TPS2</v>
          </cell>
          <cell r="B489" t="str">
            <v>TUTICORIN TPS</v>
          </cell>
          <cell r="C489" t="str">
            <v>TUTICORIN TPS</v>
          </cell>
          <cell r="D489" t="str">
            <v>Tamil Nadu</v>
          </cell>
          <cell r="E489" t="str">
            <v>STATE SECTOR</v>
          </cell>
          <cell r="F489" t="str">
            <v xml:space="preserve"> 35-40 years</v>
          </cell>
          <cell r="G489">
            <v>39.378507871320998</v>
          </cell>
          <cell r="H489">
            <v>210</v>
          </cell>
          <cell r="I489">
            <v>0.64104929394860322</v>
          </cell>
          <cell r="J489">
            <v>1.1290697674418604</v>
          </cell>
          <cell r="K489">
            <v>8.1569433810636374E-2</v>
          </cell>
          <cell r="L489">
            <v>3.3875747126436702</v>
          </cell>
        </row>
        <row r="490">
          <cell r="A490" t="str">
            <v>TUTICORIN TPS3</v>
          </cell>
          <cell r="B490" t="str">
            <v>TUTICORIN TPS</v>
          </cell>
          <cell r="C490" t="str">
            <v>TUTICORIN TPS</v>
          </cell>
          <cell r="D490" t="str">
            <v>Tamil Nadu</v>
          </cell>
          <cell r="E490" t="str">
            <v>STATE SECTOR</v>
          </cell>
          <cell r="F490" t="str">
            <v xml:space="preserve"> 35-40 years</v>
          </cell>
          <cell r="G490">
            <v>38.050650239561897</v>
          </cell>
          <cell r="H490">
            <v>210</v>
          </cell>
          <cell r="I490">
            <v>0.640268778843881</v>
          </cell>
          <cell r="J490">
            <v>1.1290697674418604</v>
          </cell>
          <cell r="K490">
            <v>8.1569433810636374E-2</v>
          </cell>
          <cell r="L490">
            <v>3.3875747126436702</v>
          </cell>
        </row>
        <row r="491">
          <cell r="A491" t="str">
            <v>TUTICORIN TPS4</v>
          </cell>
          <cell r="B491" t="str">
            <v>TUTICORIN TPS</v>
          </cell>
          <cell r="C491" t="str">
            <v>TUTICORIN TPS</v>
          </cell>
          <cell r="D491" t="str">
            <v>Tamil Nadu</v>
          </cell>
          <cell r="E491" t="str">
            <v>STATE SECTOR</v>
          </cell>
          <cell r="F491" t="str">
            <v xml:space="preserve"> 25-30 years</v>
          </cell>
          <cell r="G491">
            <v>28.227241615331899</v>
          </cell>
          <cell r="H491">
            <v>210</v>
          </cell>
          <cell r="I491">
            <v>0.63625418478889884</v>
          </cell>
          <cell r="J491">
            <v>1.1290697674418604</v>
          </cell>
          <cell r="K491">
            <v>8.1569433810636374E-2</v>
          </cell>
          <cell r="L491">
            <v>3.3875747126436702</v>
          </cell>
        </row>
        <row r="492">
          <cell r="A492" t="str">
            <v>TUTICORIN TPS5</v>
          </cell>
          <cell r="B492" t="str">
            <v>TUTICORIN TPS</v>
          </cell>
          <cell r="C492" t="str">
            <v>TUTICORIN TPS</v>
          </cell>
          <cell r="D492" t="str">
            <v>Tamil Nadu</v>
          </cell>
          <cell r="E492" t="str">
            <v>STATE SECTOR</v>
          </cell>
          <cell r="F492" t="str">
            <v xml:space="preserve"> 25-30 years</v>
          </cell>
          <cell r="G492">
            <v>29.095140314852799</v>
          </cell>
          <cell r="H492">
            <v>210</v>
          </cell>
          <cell r="I492">
            <v>0.62434365218093058</v>
          </cell>
          <cell r="J492">
            <v>1.1290697674418604</v>
          </cell>
          <cell r="K492">
            <v>8.1569433810636374E-2</v>
          </cell>
          <cell r="L492">
            <v>3.3875747126436702</v>
          </cell>
        </row>
        <row r="493">
          <cell r="A493" t="str">
            <v>UCHPINDA TPP1</v>
          </cell>
          <cell r="B493" t="str">
            <v>UCHPINDA TPP</v>
          </cell>
          <cell r="C493" t="str">
            <v>UCHPINDA TPP UNIT 1-2</v>
          </cell>
          <cell r="D493" t="str">
            <v>Chhatisgarh</v>
          </cell>
          <cell r="E493" t="str">
            <v>PVT SECTOR</v>
          </cell>
          <cell r="F493" t="str">
            <v xml:space="preserve"> 0-5 years</v>
          </cell>
          <cell r="G493">
            <v>4.5913757700205302</v>
          </cell>
          <cell r="H493">
            <v>360</v>
          </cell>
          <cell r="I493">
            <v>0.23829861293053242</v>
          </cell>
          <cell r="J493"/>
          <cell r="K493">
            <v>0.1</v>
          </cell>
          <cell r="L493">
            <v>1.75221491228069</v>
          </cell>
        </row>
        <row r="494">
          <cell r="A494" t="str">
            <v>UCHPINDA TPP2</v>
          </cell>
          <cell r="B494" t="str">
            <v>UCHPINDA TPP</v>
          </cell>
          <cell r="C494" t="str">
            <v>UCHPINDA TPP UNIT 1-2</v>
          </cell>
          <cell r="D494" t="str">
            <v>Chhatisgarh</v>
          </cell>
          <cell r="E494" t="str">
            <v>PVT SECTOR</v>
          </cell>
          <cell r="F494" t="str">
            <v xml:space="preserve"> 0-5 years</v>
          </cell>
          <cell r="G494">
            <v>4.8240930869267604</v>
          </cell>
          <cell r="H494">
            <v>360</v>
          </cell>
          <cell r="I494">
            <v>0.26868690870148498</v>
          </cell>
          <cell r="J494"/>
          <cell r="K494">
            <v>0.1</v>
          </cell>
          <cell r="L494">
            <v>1.75221491228069</v>
          </cell>
        </row>
        <row r="495">
          <cell r="A495" t="str">
            <v>UCHPINDA TPP3</v>
          </cell>
          <cell r="B495" t="str">
            <v>UCHPINDA TPP</v>
          </cell>
          <cell r="C495">
            <v>0</v>
          </cell>
          <cell r="D495" t="str">
            <v>Chhatisgarh</v>
          </cell>
          <cell r="E495" t="str">
            <v>PVT SECTOR</v>
          </cell>
          <cell r="F495" t="str">
            <v xml:space="preserve"> 0-5 years</v>
          </cell>
          <cell r="G495">
            <v>4.33949349760438</v>
          </cell>
          <cell r="H495">
            <v>360</v>
          </cell>
          <cell r="I495">
            <v>0.11913419661181829</v>
          </cell>
          <cell r="J495"/>
          <cell r="K495">
            <v>0.1</v>
          </cell>
          <cell r="L495"/>
        </row>
        <row r="496">
          <cell r="A496" t="str">
            <v>UDUPI TPP1</v>
          </cell>
          <cell r="B496" t="str">
            <v>UDUPI TPP</v>
          </cell>
          <cell r="C496" t="str">
            <v>UDUPI TPP</v>
          </cell>
          <cell r="D496" t="str">
            <v>Karnataka</v>
          </cell>
          <cell r="E496" t="str">
            <v>PVT SECTOR</v>
          </cell>
          <cell r="F496" t="str">
            <v xml:space="preserve"> 5-10 years</v>
          </cell>
          <cell r="G496">
            <v>8.1752224503764506</v>
          </cell>
          <cell r="H496">
            <v>600</v>
          </cell>
          <cell r="I496">
            <v>0.41541514166485133</v>
          </cell>
          <cell r="J496">
            <v>1.0461566091954022</v>
          </cell>
          <cell r="K496">
            <v>6.0725940133071567E-2</v>
          </cell>
          <cell r="L496">
            <v>3.48586474501105</v>
          </cell>
        </row>
        <row r="497">
          <cell r="A497" t="str">
            <v>UDUPI TPP2</v>
          </cell>
          <cell r="B497" t="str">
            <v>UDUPI TPP</v>
          </cell>
          <cell r="C497" t="str">
            <v>UDUPI TPP</v>
          </cell>
          <cell r="D497" t="str">
            <v>Karnataka</v>
          </cell>
          <cell r="E497" t="str">
            <v>PVT SECTOR</v>
          </cell>
          <cell r="F497" t="str">
            <v xml:space="preserve"> 5-10 years</v>
          </cell>
          <cell r="G497">
            <v>8.1752224503764506</v>
          </cell>
          <cell r="H497">
            <v>600</v>
          </cell>
          <cell r="I497">
            <v>0.46272421071423614</v>
          </cell>
          <cell r="J497">
            <v>1.0461566091954022</v>
          </cell>
          <cell r="K497">
            <v>6.0725940133071567E-2</v>
          </cell>
          <cell r="L497">
            <v>3.48586474501105</v>
          </cell>
        </row>
        <row r="498">
          <cell r="A498" t="str">
            <v>UKAI TPS3</v>
          </cell>
          <cell r="B498" t="str">
            <v>UKAI TPS</v>
          </cell>
          <cell r="C498" t="str">
            <v>UKAI TPS UNIT 1-5</v>
          </cell>
          <cell r="D498" t="str">
            <v>Gujarat</v>
          </cell>
          <cell r="E498" t="str">
            <v>STATE SECTOR</v>
          </cell>
          <cell r="F498" t="str">
            <v xml:space="preserve"> 40-45 years</v>
          </cell>
          <cell r="G498">
            <v>41.338809034907598</v>
          </cell>
          <cell r="H498">
            <v>200</v>
          </cell>
          <cell r="I498">
            <v>0.66032280712402303</v>
          </cell>
          <cell r="J498"/>
          <cell r="K498">
            <v>8.0187863271519652E-2</v>
          </cell>
          <cell r="L498">
            <v>3.59386831534019</v>
          </cell>
        </row>
        <row r="499">
          <cell r="A499" t="str">
            <v>UKAI TPS4</v>
          </cell>
          <cell r="B499" t="str">
            <v>UKAI TPS</v>
          </cell>
          <cell r="C499" t="str">
            <v>UKAI TPS UNIT 1-5</v>
          </cell>
          <cell r="D499" t="str">
            <v>Gujarat</v>
          </cell>
          <cell r="E499" t="str">
            <v>STATE SECTOR</v>
          </cell>
          <cell r="F499" t="str">
            <v xml:space="preserve"> 40-45 years</v>
          </cell>
          <cell r="G499">
            <v>41.177275838466798</v>
          </cell>
          <cell r="H499">
            <v>200</v>
          </cell>
          <cell r="I499">
            <v>0.73444943047389377</v>
          </cell>
          <cell r="J499"/>
          <cell r="K499">
            <v>8.0187863271519652E-2</v>
          </cell>
          <cell r="L499">
            <v>3.59386831534019</v>
          </cell>
        </row>
        <row r="500">
          <cell r="A500" t="str">
            <v>UKAI TPS5</v>
          </cell>
          <cell r="B500" t="str">
            <v>UKAI TPS</v>
          </cell>
          <cell r="C500" t="str">
            <v>UKAI TPS UNIT 1-5</v>
          </cell>
          <cell r="D500" t="str">
            <v>Gujarat</v>
          </cell>
          <cell r="E500" t="str">
            <v>STATE SECTOR</v>
          </cell>
          <cell r="F500" t="str">
            <v xml:space="preserve"> 35-40 years</v>
          </cell>
          <cell r="G500">
            <v>35.337440109513999</v>
          </cell>
          <cell r="H500">
            <v>210</v>
          </cell>
          <cell r="I500">
            <v>0.67448588996999004</v>
          </cell>
          <cell r="J500"/>
          <cell r="K500">
            <v>8.0187863271519652E-2</v>
          </cell>
          <cell r="L500">
            <v>3.59386831534019</v>
          </cell>
        </row>
        <row r="501">
          <cell r="A501" t="str">
            <v>UKAI TPS6</v>
          </cell>
          <cell r="B501" t="str">
            <v>UKAI TPS</v>
          </cell>
          <cell r="C501" t="str">
            <v>UKAI TPS UNIT 6</v>
          </cell>
          <cell r="D501" t="str">
            <v>Gujarat</v>
          </cell>
          <cell r="E501" t="str">
            <v>STATE SECTOR</v>
          </cell>
          <cell r="F501" t="str">
            <v xml:space="preserve"> 5-10 years</v>
          </cell>
          <cell r="G501">
            <v>7.1759069130732298</v>
          </cell>
          <cell r="H501">
            <v>500</v>
          </cell>
          <cell r="I501">
            <v>0.71309917780484999</v>
          </cell>
          <cell r="J501"/>
          <cell r="K501">
            <v>8.0187863271519652E-2</v>
          </cell>
          <cell r="L501">
            <v>3.1642214912280702</v>
          </cell>
        </row>
        <row r="502">
          <cell r="A502" t="str">
            <v>UNCHAHAR STPS1</v>
          </cell>
          <cell r="B502" t="str">
            <v>UNCHAHAR STPS</v>
          </cell>
          <cell r="C502" t="str">
            <v>UNCHAHAR STPS UNIT 1-2</v>
          </cell>
          <cell r="D502" t="str">
            <v>Uttar Pardesh</v>
          </cell>
          <cell r="E502" t="str">
            <v>CENTRAL SECTOR</v>
          </cell>
          <cell r="F502" t="str">
            <v xml:space="preserve"> 30-35 years</v>
          </cell>
          <cell r="G502">
            <v>31.504449007529001</v>
          </cell>
          <cell r="H502">
            <v>210</v>
          </cell>
          <cell r="I502">
            <v>0.65614640754456155</v>
          </cell>
          <cell r="J502"/>
          <cell r="K502">
            <v>0.10083552828968442</v>
          </cell>
          <cell r="L502">
            <v>3.1305166250541898</v>
          </cell>
        </row>
        <row r="503">
          <cell r="A503" t="str">
            <v>UNCHAHAR STPS2</v>
          </cell>
          <cell r="B503" t="str">
            <v>UNCHAHAR STPS</v>
          </cell>
          <cell r="C503" t="str">
            <v>UNCHAHAR STPS UNIT 1-2</v>
          </cell>
          <cell r="D503" t="str">
            <v>Uttar Pardesh</v>
          </cell>
          <cell r="E503" t="str">
            <v>CENTRAL SECTOR</v>
          </cell>
          <cell r="F503" t="str">
            <v xml:space="preserve"> 30-35 years</v>
          </cell>
          <cell r="G503">
            <v>31.175906913073199</v>
          </cell>
          <cell r="H503">
            <v>210</v>
          </cell>
          <cell r="I503">
            <v>0.68800741256868847</v>
          </cell>
          <cell r="J503"/>
          <cell r="K503">
            <v>0.10083552828968442</v>
          </cell>
          <cell r="L503">
            <v>3.1305166250541898</v>
          </cell>
        </row>
        <row r="504">
          <cell r="A504" t="str">
            <v>UNCHAHAR STPS3</v>
          </cell>
          <cell r="B504" t="str">
            <v>UNCHAHAR STPS</v>
          </cell>
          <cell r="C504" t="str">
            <v>UNCHAHAR STPS UNIT 3-4</v>
          </cell>
          <cell r="D504" t="str">
            <v>Uttar Pardesh</v>
          </cell>
          <cell r="E504" t="str">
            <v>CENTRAL SECTOR</v>
          </cell>
          <cell r="F504" t="str">
            <v xml:space="preserve"> 20-25 years</v>
          </cell>
          <cell r="G504">
            <v>21.338809034907499</v>
          </cell>
          <cell r="H504">
            <v>210</v>
          </cell>
          <cell r="I504">
            <v>0.68347562508915671</v>
          </cell>
          <cell r="J504"/>
          <cell r="K504">
            <v>0.10083552828968442</v>
          </cell>
          <cell r="L504">
            <v>3.1060019841556401</v>
          </cell>
        </row>
        <row r="505">
          <cell r="A505" t="str">
            <v>UNCHAHAR STPS4</v>
          </cell>
          <cell r="B505" t="str">
            <v>UNCHAHAR STPS</v>
          </cell>
          <cell r="C505" t="str">
            <v>UNCHAHAR STPS UNIT 3-4</v>
          </cell>
          <cell r="D505" t="str">
            <v>Uttar Pardesh</v>
          </cell>
          <cell r="E505" t="str">
            <v>CENTRAL SECTOR</v>
          </cell>
          <cell r="F505" t="str">
            <v xml:space="preserve"> 20-25 years</v>
          </cell>
          <cell r="G505">
            <v>20.591375770020498</v>
          </cell>
          <cell r="H505">
            <v>210</v>
          </cell>
          <cell r="I505">
            <v>0.70671449107389683</v>
          </cell>
          <cell r="J505"/>
          <cell r="K505">
            <v>0.10083552828968442</v>
          </cell>
          <cell r="L505">
            <v>3.1060019841556401</v>
          </cell>
        </row>
        <row r="506">
          <cell r="A506" t="str">
            <v>UNCHAHAR STPS5</v>
          </cell>
          <cell r="B506" t="str">
            <v>UNCHAHAR STPS</v>
          </cell>
          <cell r="C506" t="str">
            <v>UNCHAHAR STPS UNIT 5</v>
          </cell>
          <cell r="D506" t="str">
            <v>Uttar Pardesh</v>
          </cell>
          <cell r="E506" t="str">
            <v>CENTRAL SECTOR</v>
          </cell>
          <cell r="F506" t="str">
            <v xml:space="preserve"> 10-15 years</v>
          </cell>
          <cell r="G506">
            <v>13.6728268309377</v>
          </cell>
          <cell r="H506">
            <v>210</v>
          </cell>
          <cell r="I506">
            <v>0.69340071524840274</v>
          </cell>
          <cell r="J506"/>
          <cell r="K506">
            <v>0.10083552828968442</v>
          </cell>
          <cell r="L506">
            <v>3.1130344240162202</v>
          </cell>
        </row>
        <row r="507">
          <cell r="A507" t="str">
            <v>UNCHAHAR STPS6</v>
          </cell>
          <cell r="B507" t="str">
            <v>UNCHAHAR STPS</v>
          </cell>
          <cell r="C507" t="str">
            <v>UNCHAHAR STPS UNIT 6</v>
          </cell>
          <cell r="D507" t="str">
            <v>Uttar Pardesh</v>
          </cell>
          <cell r="E507" t="str">
            <v>CENTRAL SECTOR</v>
          </cell>
          <cell r="F507" t="str">
            <v xml:space="preserve"> 0-5 years</v>
          </cell>
          <cell r="G507">
            <v>3.1759069130732298</v>
          </cell>
          <cell r="H507">
            <v>500</v>
          </cell>
          <cell r="I507">
            <v>0.32482135029515419</v>
          </cell>
          <cell r="J507">
            <v>1.0030717676626641</v>
          </cell>
          <cell r="K507">
            <v>0.10083552828968442</v>
          </cell>
          <cell r="L507">
            <v>3.0758627207431002</v>
          </cell>
        </row>
        <row r="508">
          <cell r="A508" t="str">
            <v>UTRAULA TPS1</v>
          </cell>
          <cell r="B508" t="str">
            <v>UTRAULA TPS</v>
          </cell>
          <cell r="C508" t="str">
            <v>UTRAULA TPS</v>
          </cell>
          <cell r="D508" t="str">
            <v>Uttar Pardesh</v>
          </cell>
          <cell r="E508" t="str">
            <v>PVT SECTOR</v>
          </cell>
          <cell r="F508" t="str">
            <v xml:space="preserve"> 5-10 years</v>
          </cell>
          <cell r="G508">
            <v>8.2546201232032796</v>
          </cell>
          <cell r="H508">
            <v>45</v>
          </cell>
          <cell r="I508">
            <v>0.19082309741897499</v>
          </cell>
          <cell r="J508"/>
          <cell r="K508">
            <v>0.11683063103919883</v>
          </cell>
          <cell r="L508">
            <v>3.4874013157894899</v>
          </cell>
        </row>
        <row r="509">
          <cell r="A509" t="str">
            <v>UTRAULA TPS2</v>
          </cell>
          <cell r="B509" t="str">
            <v>UTRAULA TPS</v>
          </cell>
          <cell r="C509" t="str">
            <v>UTRAULA TPS</v>
          </cell>
          <cell r="D509" t="str">
            <v>Uttar Pardesh</v>
          </cell>
          <cell r="E509" t="str">
            <v>PVT SECTOR</v>
          </cell>
          <cell r="F509" t="str">
            <v xml:space="preserve"> 5-10 years</v>
          </cell>
          <cell r="G509">
            <v>8.1752224503764506</v>
          </cell>
          <cell r="H509">
            <v>45</v>
          </cell>
          <cell r="I509">
            <v>0.1811269272344537</v>
          </cell>
          <cell r="J509"/>
          <cell r="K509">
            <v>0.11683063103919883</v>
          </cell>
          <cell r="L509">
            <v>3.4874013157894899</v>
          </cell>
        </row>
        <row r="510">
          <cell r="A510" t="str">
            <v>VALLUR TPP1</v>
          </cell>
          <cell r="B510" t="str">
            <v>VALLUR TPP</v>
          </cell>
          <cell r="C510" t="str">
            <v>VALLUR TPP</v>
          </cell>
          <cell r="D510" t="str">
            <v>Tamil Nadu</v>
          </cell>
          <cell r="E510" t="str">
            <v>CENTRAL SECTOR</v>
          </cell>
          <cell r="F510" t="str">
            <v xml:space="preserve"> 5-10 years</v>
          </cell>
          <cell r="G510">
            <v>8.1752224503764506</v>
          </cell>
          <cell r="H510">
            <v>500</v>
          </cell>
          <cell r="I510">
            <v>0.52164714791861588</v>
          </cell>
          <cell r="J510">
            <v>0.74643660915228804</v>
          </cell>
          <cell r="K510">
            <v>7.9840284877193357E-2</v>
          </cell>
          <cell r="L510">
            <v>3.3957030663158698</v>
          </cell>
        </row>
        <row r="511">
          <cell r="A511" t="str">
            <v>VALLUR TPP2</v>
          </cell>
          <cell r="B511" t="str">
            <v>VALLUR TPP</v>
          </cell>
          <cell r="C511" t="str">
            <v>VALLUR TPP</v>
          </cell>
          <cell r="D511" t="str">
            <v>Tamil Nadu</v>
          </cell>
          <cell r="E511" t="str">
            <v>CENTRAL SECTOR</v>
          </cell>
          <cell r="F511" t="str">
            <v xml:space="preserve"> 5-10 years</v>
          </cell>
          <cell r="G511">
            <v>7.2525667351129304</v>
          </cell>
          <cell r="H511">
            <v>500</v>
          </cell>
          <cell r="I511">
            <v>0.52009688984232916</v>
          </cell>
          <cell r="J511">
            <v>0.74643660915228804</v>
          </cell>
          <cell r="K511">
            <v>7.9840284877193357E-2</v>
          </cell>
          <cell r="L511">
            <v>3.3957030663158698</v>
          </cell>
        </row>
        <row r="512">
          <cell r="A512" t="str">
            <v>VALLUR TPP3</v>
          </cell>
          <cell r="B512" t="str">
            <v>VALLUR TPP</v>
          </cell>
          <cell r="C512" t="str">
            <v>VALLUR TPP</v>
          </cell>
          <cell r="D512" t="str">
            <v>Tamil Nadu</v>
          </cell>
          <cell r="E512" t="str">
            <v>CENTRAL SECTOR</v>
          </cell>
          <cell r="F512" t="str">
            <v xml:space="preserve"> 5-10 years</v>
          </cell>
          <cell r="G512">
            <v>6.2532511978097096</v>
          </cell>
          <cell r="H512">
            <v>500</v>
          </cell>
          <cell r="I512">
            <v>0.42683032446050334</v>
          </cell>
          <cell r="J512">
            <v>0.74643660915228804</v>
          </cell>
          <cell r="K512">
            <v>7.9840284877193357E-2</v>
          </cell>
          <cell r="L512">
            <v>3.3957030663158698</v>
          </cell>
        </row>
        <row r="513">
          <cell r="A513" t="str">
            <v>VINDHYACHAL STPS1</v>
          </cell>
          <cell r="B513" t="str">
            <v>VINDHYACHAL STPS</v>
          </cell>
          <cell r="C513" t="str">
            <v>VINDHYACHAL STPS UNIT 1-6</v>
          </cell>
          <cell r="D513" t="str">
            <v>Madhya Pradesh</v>
          </cell>
          <cell r="E513" t="str">
            <v>CENTRAL SECTOR</v>
          </cell>
          <cell r="F513" t="str">
            <v xml:space="preserve"> 30-35 years</v>
          </cell>
          <cell r="G513">
            <v>32.591375770020498</v>
          </cell>
          <cell r="H513">
            <v>210</v>
          </cell>
          <cell r="I513">
            <v>0.95348557374995435</v>
          </cell>
          <cell r="J513">
            <v>0.40702348212396872</v>
          </cell>
          <cell r="K513">
            <v>6.5179373950034494E-2</v>
          </cell>
          <cell r="L513">
            <v>1.63782859578788</v>
          </cell>
        </row>
        <row r="514">
          <cell r="A514" t="str">
            <v>VINDHYACHAL STPS10</v>
          </cell>
          <cell r="B514" t="str">
            <v>VINDHYACHAL STPS</v>
          </cell>
          <cell r="C514" t="str">
            <v>VINDHYACHAL STPS UNIT 9-10</v>
          </cell>
          <cell r="D514" t="str">
            <v>Madhya Pradesh</v>
          </cell>
          <cell r="E514" t="str">
            <v>CENTRAL SECTOR</v>
          </cell>
          <cell r="F514" t="str">
            <v xml:space="preserve"> 10-15 years</v>
          </cell>
          <cell r="G514">
            <v>13.1772758384668</v>
          </cell>
          <cell r="H514">
            <v>500</v>
          </cell>
          <cell r="I514">
            <v>0.90758802681991668</v>
          </cell>
          <cell r="J514">
            <v>0.40702348212396872</v>
          </cell>
          <cell r="K514">
            <v>6.5179373950034494E-2</v>
          </cell>
          <cell r="L514">
            <v>1.5529027930695301</v>
          </cell>
        </row>
        <row r="515">
          <cell r="A515" t="str">
            <v>VINDHYACHAL STPS11</v>
          </cell>
          <cell r="B515" t="str">
            <v>VINDHYACHAL STPS</v>
          </cell>
          <cell r="C515" t="str">
            <v>VINDHYACHAL STPS UNIT 11-12</v>
          </cell>
          <cell r="D515" t="str">
            <v>Madhya Pradesh</v>
          </cell>
          <cell r="E515" t="str">
            <v>CENTRAL SECTOR</v>
          </cell>
          <cell r="F515" t="str">
            <v xml:space="preserve"> 5-10 years</v>
          </cell>
          <cell r="G515">
            <v>7.9233401779603003</v>
          </cell>
          <cell r="H515">
            <v>500</v>
          </cell>
          <cell r="I515">
            <v>0.91532930144310842</v>
          </cell>
          <cell r="J515">
            <v>0.40702348212396872</v>
          </cell>
          <cell r="K515">
            <v>6.5179373950034494E-2</v>
          </cell>
          <cell r="L515">
            <v>1.5355901083017101</v>
          </cell>
        </row>
        <row r="516">
          <cell r="A516" t="str">
            <v>VINDHYACHAL STPS12</v>
          </cell>
          <cell r="B516" t="str">
            <v>VINDHYACHAL STPS</v>
          </cell>
          <cell r="C516" t="str">
            <v>VINDHYACHAL STPS UNIT 11-12</v>
          </cell>
          <cell r="D516" t="str">
            <v>Madhya Pradesh</v>
          </cell>
          <cell r="E516" t="str">
            <v>CENTRAL SECTOR</v>
          </cell>
          <cell r="F516" t="str">
            <v xml:space="preserve"> 5-10 years</v>
          </cell>
          <cell r="G516">
            <v>7.1759069130732298</v>
          </cell>
          <cell r="H516">
            <v>500</v>
          </cell>
          <cell r="I516">
            <v>0.93945392264185013</v>
          </cell>
          <cell r="J516">
            <v>0.40702348212396872</v>
          </cell>
          <cell r="K516">
            <v>6.5179373950034494E-2</v>
          </cell>
          <cell r="L516">
            <v>1.5355901083017101</v>
          </cell>
        </row>
        <row r="517">
          <cell r="A517" t="str">
            <v>VINDHYACHAL STPS13</v>
          </cell>
          <cell r="B517" t="str">
            <v>VINDHYACHAL STPS</v>
          </cell>
          <cell r="C517" t="str">
            <v>VINDHYACHAL STPS UNIT 13</v>
          </cell>
          <cell r="D517" t="str">
            <v>Madhya Pradesh</v>
          </cell>
          <cell r="E517" t="str">
            <v>CENTRAL SECTOR</v>
          </cell>
          <cell r="F517" t="str">
            <v xml:space="preserve"> 0-5 years</v>
          </cell>
          <cell r="G517">
            <v>4.7583846680355899</v>
          </cell>
          <cell r="H517">
            <v>500</v>
          </cell>
          <cell r="I517">
            <v>0.91534311374252497</v>
          </cell>
          <cell r="J517">
            <v>0.41716738197424891</v>
          </cell>
          <cell r="K517">
            <v>6.5179373950034494E-2</v>
          </cell>
          <cell r="L517">
            <v>1.57598885099557</v>
          </cell>
        </row>
        <row r="518">
          <cell r="A518" t="str">
            <v>VINDHYACHAL STPS2</v>
          </cell>
          <cell r="B518" t="str">
            <v>VINDHYACHAL STPS</v>
          </cell>
          <cell r="C518" t="str">
            <v>VINDHYACHAL STPS UNIT 1-6</v>
          </cell>
          <cell r="D518" t="str">
            <v>Madhya Pradesh</v>
          </cell>
          <cell r="E518" t="str">
            <v>CENTRAL SECTOR</v>
          </cell>
          <cell r="F518" t="str">
            <v xml:space="preserve"> 30-35 years</v>
          </cell>
          <cell r="G518">
            <v>31.841204654346299</v>
          </cell>
          <cell r="H518">
            <v>210</v>
          </cell>
          <cell r="I518">
            <v>0.88852792382762691</v>
          </cell>
          <cell r="J518">
            <v>0.40702348212396872</v>
          </cell>
          <cell r="K518">
            <v>6.5179373950034494E-2</v>
          </cell>
          <cell r="L518">
            <v>1.63782859578788</v>
          </cell>
        </row>
        <row r="519">
          <cell r="A519" t="str">
            <v>VINDHYACHAL STPS3</v>
          </cell>
          <cell r="B519" t="str">
            <v>VINDHYACHAL STPS</v>
          </cell>
          <cell r="C519" t="str">
            <v>VINDHYACHAL STPS UNIT 1-6</v>
          </cell>
          <cell r="D519" t="str">
            <v>Madhya Pradesh</v>
          </cell>
          <cell r="E519" t="str">
            <v>CENTRAL SECTOR</v>
          </cell>
          <cell r="F519" t="str">
            <v xml:space="preserve"> 30-35 years</v>
          </cell>
          <cell r="G519">
            <v>31.2525667351129</v>
          </cell>
          <cell r="H519">
            <v>210</v>
          </cell>
          <cell r="I519">
            <v>0.89923657417280356</v>
          </cell>
          <cell r="J519">
            <v>0.40702348212396872</v>
          </cell>
          <cell r="K519">
            <v>6.5179373950034494E-2</v>
          </cell>
          <cell r="L519">
            <v>1.63782859578788</v>
          </cell>
        </row>
        <row r="520">
          <cell r="A520" t="str">
            <v>VINDHYACHAL STPS4</v>
          </cell>
          <cell r="B520" t="str">
            <v>VINDHYACHAL STPS</v>
          </cell>
          <cell r="C520" t="str">
            <v>VINDHYACHAL STPS UNIT 1-6</v>
          </cell>
          <cell r="D520" t="str">
            <v>Madhya Pradesh</v>
          </cell>
          <cell r="E520" t="str">
            <v>CENTRAL SECTOR</v>
          </cell>
          <cell r="F520" t="str">
            <v xml:space="preserve"> 30-35 years</v>
          </cell>
          <cell r="G520">
            <v>30.4229979466119</v>
          </cell>
          <cell r="H520">
            <v>210</v>
          </cell>
          <cell r="I520">
            <v>0.86235172045343056</v>
          </cell>
          <cell r="J520">
            <v>0.40702348212396872</v>
          </cell>
          <cell r="K520">
            <v>6.5179373950034494E-2</v>
          </cell>
          <cell r="L520">
            <v>1.63782859578788</v>
          </cell>
        </row>
        <row r="521">
          <cell r="A521" t="str">
            <v>VINDHYACHAL STPS5</v>
          </cell>
          <cell r="B521" t="str">
            <v>VINDHYACHAL STPS</v>
          </cell>
          <cell r="C521" t="str">
            <v>VINDHYACHAL STPS UNIT 1-6</v>
          </cell>
          <cell r="D521" t="str">
            <v>Madhya Pradesh</v>
          </cell>
          <cell r="E521" t="str">
            <v>CENTRAL SECTOR</v>
          </cell>
          <cell r="F521" t="str">
            <v xml:space="preserve"> 30-35 years</v>
          </cell>
          <cell r="G521">
            <v>30.176591375769998</v>
          </cell>
          <cell r="H521">
            <v>210</v>
          </cell>
          <cell r="I521">
            <v>0.84785447430773209</v>
          </cell>
          <cell r="J521">
            <v>0.40702348212396872</v>
          </cell>
          <cell r="K521">
            <v>6.5179373950034494E-2</v>
          </cell>
          <cell r="L521">
            <v>1.63782859578788</v>
          </cell>
        </row>
        <row r="522">
          <cell r="A522" t="str">
            <v>VINDHYACHAL STPS6</v>
          </cell>
          <cell r="B522" t="str">
            <v>VINDHYACHAL STPS</v>
          </cell>
          <cell r="C522" t="str">
            <v>VINDHYACHAL STPS UNIT 1-6</v>
          </cell>
          <cell r="D522" t="str">
            <v>Madhya Pradesh</v>
          </cell>
          <cell r="E522" t="str">
            <v>CENTRAL SECTOR</v>
          </cell>
          <cell r="F522" t="str">
            <v xml:space="preserve"> 25-30 years</v>
          </cell>
          <cell r="G522">
            <v>29.2539356605065</v>
          </cell>
          <cell r="H522">
            <v>210</v>
          </cell>
          <cell r="I522">
            <v>0.84837511486428174</v>
          </cell>
          <cell r="J522">
            <v>0.40702348212396872</v>
          </cell>
          <cell r="K522">
            <v>6.5179373950034494E-2</v>
          </cell>
          <cell r="L522">
            <v>1.63782859578788</v>
          </cell>
        </row>
        <row r="523">
          <cell r="A523" t="str">
            <v>VINDHYACHAL STPS7</v>
          </cell>
          <cell r="B523" t="str">
            <v>VINDHYACHAL STPS</v>
          </cell>
          <cell r="C523" t="str">
            <v>VINDHYACHAL STPS UNIT 7-8</v>
          </cell>
          <cell r="D523" t="str">
            <v>Madhya Pradesh</v>
          </cell>
          <cell r="E523" t="str">
            <v>CENTRAL SECTOR</v>
          </cell>
          <cell r="F523" t="str">
            <v xml:space="preserve"> 20-25 years</v>
          </cell>
          <cell r="G523">
            <v>21.177275838466802</v>
          </cell>
          <cell r="H523">
            <v>500</v>
          </cell>
          <cell r="I523">
            <v>0.85503003337040839</v>
          </cell>
          <cell r="J523">
            <v>0.40702348212396872</v>
          </cell>
          <cell r="K523">
            <v>6.5179373950034494E-2</v>
          </cell>
          <cell r="L523">
            <v>1.56705606429194</v>
          </cell>
        </row>
        <row r="524">
          <cell r="A524" t="str">
            <v>VINDHYACHAL STPS8</v>
          </cell>
          <cell r="B524" t="str">
            <v>VINDHYACHAL STPS</v>
          </cell>
          <cell r="C524" t="str">
            <v>VINDHYACHAL STPS UNIT 7-8</v>
          </cell>
          <cell r="D524" t="str">
            <v>Madhya Pradesh</v>
          </cell>
          <cell r="E524" t="str">
            <v>CENTRAL SECTOR</v>
          </cell>
          <cell r="F524" t="str">
            <v xml:space="preserve"> 20-25 years</v>
          </cell>
          <cell r="G524">
            <v>20.2546201232032</v>
          </cell>
          <cell r="H524">
            <v>500</v>
          </cell>
          <cell r="I524">
            <v>0.88030996632059999</v>
          </cell>
          <cell r="J524">
            <v>0.40702348212396872</v>
          </cell>
          <cell r="K524">
            <v>6.5179373950034494E-2</v>
          </cell>
          <cell r="L524">
            <v>1.56705606429194</v>
          </cell>
        </row>
        <row r="525">
          <cell r="A525" t="str">
            <v>VINDHYACHAL STPS9</v>
          </cell>
          <cell r="B525" t="str">
            <v>VINDHYACHAL STPS</v>
          </cell>
          <cell r="C525" t="str">
            <v>VINDHYACHAL STPS UNIT 9-10</v>
          </cell>
          <cell r="D525" t="str">
            <v>Madhya Pradesh</v>
          </cell>
          <cell r="E525" t="str">
            <v>CENTRAL SECTOR</v>
          </cell>
          <cell r="F525" t="str">
            <v xml:space="preserve"> 10-15 years</v>
          </cell>
          <cell r="G525">
            <v>13.8425735797399</v>
          </cell>
          <cell r="H525">
            <v>500</v>
          </cell>
          <cell r="I525">
            <v>0.89437803651617498</v>
          </cell>
          <cell r="J525">
            <v>0.40702348212396872</v>
          </cell>
          <cell r="K525">
            <v>6.5179373950034494E-2</v>
          </cell>
          <cell r="L525">
            <v>1.5529027930695301</v>
          </cell>
        </row>
        <row r="526">
          <cell r="A526" t="str">
            <v>VIZAG TPS1</v>
          </cell>
          <cell r="B526" t="str">
            <v>VIZAG TPS</v>
          </cell>
          <cell r="C526" t="str">
            <v>VIZAG TPS</v>
          </cell>
          <cell r="D526" t="str">
            <v>Andhra Pradesh</v>
          </cell>
          <cell r="E526" t="str">
            <v>PVT SECTOR</v>
          </cell>
          <cell r="F526" t="str">
            <v xml:space="preserve"> 0-5 years</v>
          </cell>
          <cell r="G526">
            <v>4.4243668720054696</v>
          </cell>
          <cell r="H526">
            <v>520</v>
          </cell>
          <cell r="I526">
            <v>0.25786499577694472</v>
          </cell>
          <cell r="J526"/>
          <cell r="K526">
            <v>2.064213334024792E-2</v>
          </cell>
          <cell r="L526">
            <v>3.1644736842104799</v>
          </cell>
        </row>
        <row r="527">
          <cell r="A527" t="str">
            <v>VIZAG TPS2</v>
          </cell>
          <cell r="B527" t="str">
            <v>VIZAG TPS</v>
          </cell>
          <cell r="C527" t="str">
            <v>VIZAG TPS</v>
          </cell>
          <cell r="D527" t="str">
            <v>Andhra Pradesh</v>
          </cell>
          <cell r="E527" t="str">
            <v>PVT SECTOR</v>
          </cell>
          <cell r="F527" t="str">
            <v xml:space="preserve"> 0-5 years</v>
          </cell>
          <cell r="G527">
            <v>4.1752224503764497</v>
          </cell>
          <cell r="H527">
            <v>520</v>
          </cell>
          <cell r="I527">
            <v>0.26278925731706571</v>
          </cell>
          <cell r="J527"/>
          <cell r="K527">
            <v>2.064213334024792E-2</v>
          </cell>
          <cell r="L527">
            <v>3.1644736842104799</v>
          </cell>
        </row>
        <row r="528">
          <cell r="A528" t="str">
            <v>WANAKBORI TPS1</v>
          </cell>
          <cell r="B528" t="str">
            <v>WANAKBORI TPS</v>
          </cell>
          <cell r="C528" t="str">
            <v>WANAKBORI TPS UNIT 1-6</v>
          </cell>
          <cell r="D528" t="str">
            <v>Gujarat</v>
          </cell>
          <cell r="E528" t="str">
            <v>STATE SECTOR</v>
          </cell>
          <cell r="F528" t="str">
            <v xml:space="preserve"> 35-40 years</v>
          </cell>
          <cell r="G528">
            <v>38.176591375770002</v>
          </cell>
          <cell r="H528">
            <v>210</v>
          </cell>
          <cell r="I528">
            <v>0.42043437099842862</v>
          </cell>
          <cell r="J528"/>
          <cell r="K528">
            <v>9.2496856160444826E-2</v>
          </cell>
          <cell r="L528">
            <v>3.8335382685068899</v>
          </cell>
        </row>
        <row r="529">
          <cell r="A529" t="str">
            <v>WANAKBORI TPS2</v>
          </cell>
          <cell r="B529" t="str">
            <v>WANAKBORI TPS</v>
          </cell>
          <cell r="C529" t="str">
            <v>WANAKBORI TPS UNIT 1-6</v>
          </cell>
          <cell r="D529" t="str">
            <v>Gujarat</v>
          </cell>
          <cell r="E529" t="str">
            <v>STATE SECTOR</v>
          </cell>
          <cell r="F529" t="str">
            <v xml:space="preserve"> 35-40 years</v>
          </cell>
          <cell r="G529">
            <v>37.338809034907598</v>
          </cell>
          <cell r="H529">
            <v>210</v>
          </cell>
          <cell r="I529">
            <v>0.44170254059478176</v>
          </cell>
          <cell r="J529"/>
          <cell r="K529">
            <v>9.2496856160444826E-2</v>
          </cell>
          <cell r="L529">
            <v>3.8335382685068899</v>
          </cell>
        </row>
        <row r="530">
          <cell r="A530" t="str">
            <v>WANAKBORI TPS3</v>
          </cell>
          <cell r="B530" t="str">
            <v>WANAKBORI TPS</v>
          </cell>
          <cell r="C530" t="str">
            <v>WANAKBORI TPS UNIT 1-6</v>
          </cell>
          <cell r="D530" t="str">
            <v>Gujarat</v>
          </cell>
          <cell r="E530" t="str">
            <v>STATE SECTOR</v>
          </cell>
          <cell r="F530" t="str">
            <v xml:space="preserve"> 35-40 years</v>
          </cell>
          <cell r="G530">
            <v>36.175222450376403</v>
          </cell>
          <cell r="H530">
            <v>210</v>
          </cell>
          <cell r="I530">
            <v>0.68362853552199798</v>
          </cell>
          <cell r="J530"/>
          <cell r="K530">
            <v>9.2496856160444826E-2</v>
          </cell>
          <cell r="L530">
            <v>3.8335382685068899</v>
          </cell>
        </row>
        <row r="531">
          <cell r="A531" t="str">
            <v>WANAKBORI TPS4</v>
          </cell>
          <cell r="B531" t="str">
            <v>WANAKBORI TPS</v>
          </cell>
          <cell r="C531" t="str">
            <v>WANAKBORI TPS UNIT 1-6</v>
          </cell>
          <cell r="D531" t="str">
            <v>Gujarat</v>
          </cell>
          <cell r="E531" t="str">
            <v>STATE SECTOR</v>
          </cell>
          <cell r="F531" t="str">
            <v xml:space="preserve"> 30-35 years</v>
          </cell>
          <cell r="G531">
            <v>34.176591375770002</v>
          </cell>
          <cell r="H531">
            <v>210</v>
          </cell>
          <cell r="I531">
            <v>0.59954476023301795</v>
          </cell>
          <cell r="J531"/>
          <cell r="K531">
            <v>9.2496856160444826E-2</v>
          </cell>
          <cell r="L531">
            <v>3.8335382685068899</v>
          </cell>
        </row>
        <row r="532">
          <cell r="A532" t="str">
            <v>WANAKBORI TPS5</v>
          </cell>
          <cell r="B532" t="str">
            <v>WANAKBORI TPS</v>
          </cell>
          <cell r="C532" t="str">
            <v>WANAKBORI TPS UNIT 1-6</v>
          </cell>
          <cell r="D532" t="str">
            <v>Gujarat</v>
          </cell>
          <cell r="E532" t="str">
            <v>STATE SECTOR</v>
          </cell>
          <cell r="F532" t="str">
            <v xml:space="preserve"> 30-35 years</v>
          </cell>
          <cell r="G532">
            <v>33.672826830937701</v>
          </cell>
          <cell r="H532">
            <v>210</v>
          </cell>
          <cell r="I532">
            <v>0.57494562384340664</v>
          </cell>
          <cell r="J532"/>
          <cell r="K532">
            <v>9.2496856160444826E-2</v>
          </cell>
          <cell r="L532">
            <v>3.8335382685068899</v>
          </cell>
        </row>
        <row r="533">
          <cell r="A533" t="str">
            <v>WANAKBORI TPS6</v>
          </cell>
          <cell r="B533" t="str">
            <v>WANAKBORI TPS</v>
          </cell>
          <cell r="C533" t="str">
            <v>WANAKBORI TPS UNIT 1-6</v>
          </cell>
          <cell r="D533" t="str">
            <v>Gujarat</v>
          </cell>
          <cell r="E533" t="str">
            <v>STATE SECTOR</v>
          </cell>
          <cell r="F533" t="str">
            <v xml:space="preserve"> 30-35 years</v>
          </cell>
          <cell r="G533">
            <v>32.5065023956194</v>
          </cell>
          <cell r="H533">
            <v>210</v>
          </cell>
          <cell r="I533">
            <v>0.58023470494777185</v>
          </cell>
          <cell r="J533"/>
          <cell r="K533">
            <v>9.2496856160444826E-2</v>
          </cell>
          <cell r="L533">
            <v>3.8335382685068899</v>
          </cell>
        </row>
        <row r="534">
          <cell r="A534" t="str">
            <v>WANAKBORI TPS7</v>
          </cell>
          <cell r="B534" t="str">
            <v>WANAKBORI TPS</v>
          </cell>
          <cell r="C534" t="str">
            <v>WANAKBORI TPS UNIT 7</v>
          </cell>
          <cell r="D534" t="str">
            <v>Gujarat</v>
          </cell>
          <cell r="E534" t="str">
            <v>STATE SECTOR</v>
          </cell>
          <cell r="F534" t="str">
            <v xml:space="preserve"> 20-25 years</v>
          </cell>
          <cell r="G534">
            <v>21.423682409308601</v>
          </cell>
          <cell r="H534">
            <v>210</v>
          </cell>
          <cell r="I534">
            <v>0.76812714103686108</v>
          </cell>
          <cell r="J534"/>
          <cell r="K534">
            <v>9.2496856160444826E-2</v>
          </cell>
          <cell r="L534">
            <v>3.6560526315789201</v>
          </cell>
        </row>
        <row r="535">
          <cell r="A535" t="str">
            <v>WANAKBORI TPS8</v>
          </cell>
          <cell r="B535" t="str">
            <v>WANAKBORI TPS</v>
          </cell>
          <cell r="C535" t="str">
            <v>WANAKBORI TPS UNIT 8</v>
          </cell>
          <cell r="D535" t="str">
            <v>Gujarat</v>
          </cell>
          <cell r="E535" t="str">
            <v>STATE SECTOR</v>
          </cell>
          <cell r="F535" t="str">
            <v xml:space="preserve"> 0-5 years</v>
          </cell>
          <cell r="G535">
            <v>0.53661875427789096</v>
          </cell>
          <cell r="H535">
            <v>800</v>
          </cell>
          <cell r="I535">
            <v>9.1819444444444273E-2</v>
          </cell>
          <cell r="J535"/>
          <cell r="K535">
            <v>9.2496856160444826E-2</v>
          </cell>
          <cell r="L535">
            <v>3.2968224299065398</v>
          </cell>
        </row>
        <row r="536">
          <cell r="A536" t="str">
            <v>WARDHA WARORA TPP2</v>
          </cell>
          <cell r="B536" t="str">
            <v>WARDHA WARORA TPP</v>
          </cell>
          <cell r="C536">
            <v>0</v>
          </cell>
          <cell r="D536" t="str">
            <v>Maharashtra</v>
          </cell>
          <cell r="E536" t="str">
            <v>PVT SECTOR</v>
          </cell>
          <cell r="F536" t="str">
            <v xml:space="preserve"> 5-10 years</v>
          </cell>
          <cell r="G536">
            <v>9.5906913073237501</v>
          </cell>
          <cell r="H536">
            <v>135</v>
          </cell>
          <cell r="I536">
            <v>3.5960402335027779E-2</v>
          </cell>
          <cell r="J536"/>
          <cell r="K536">
            <v>0.11099569562813016</v>
          </cell>
          <cell r="L536"/>
        </row>
        <row r="537">
          <cell r="A537" t="str">
            <v>WARDHA WARORA TPP3</v>
          </cell>
          <cell r="B537" t="str">
            <v>WARDHA WARORA TPP</v>
          </cell>
          <cell r="C537">
            <v>0</v>
          </cell>
          <cell r="D537" t="str">
            <v>Maharashtra</v>
          </cell>
          <cell r="E537" t="str">
            <v>PVT SECTOR</v>
          </cell>
          <cell r="F537" t="str">
            <v xml:space="preserve"> 5-10 years</v>
          </cell>
          <cell r="G537">
            <v>9.3388090349075892</v>
          </cell>
          <cell r="H537">
            <v>135</v>
          </cell>
          <cell r="I537">
            <v>0.27656970546292103</v>
          </cell>
          <cell r="J537"/>
          <cell r="K537">
            <v>0.11099569562813016</v>
          </cell>
          <cell r="L537"/>
        </row>
        <row r="538">
          <cell r="A538" t="str">
            <v>WARDHA WARORA TPP4</v>
          </cell>
          <cell r="B538" t="str">
            <v>WARDHA WARORA TPP</v>
          </cell>
          <cell r="C538">
            <v>0</v>
          </cell>
          <cell r="D538" t="str">
            <v>Maharashtra</v>
          </cell>
          <cell r="E538" t="str">
            <v>PVT SECTOR</v>
          </cell>
          <cell r="F538" t="str">
            <v xml:space="preserve"> 5-10 years</v>
          </cell>
          <cell r="G538">
            <v>9.0924024640656995</v>
          </cell>
          <cell r="H538">
            <v>135</v>
          </cell>
          <cell r="I538">
            <v>0.29364336770426852</v>
          </cell>
          <cell r="J538"/>
          <cell r="K538">
            <v>0.11099569562813016</v>
          </cell>
          <cell r="L538"/>
        </row>
        <row r="539">
          <cell r="A539" t="str">
            <v>YAMUNA NAGAR TPS1</v>
          </cell>
          <cell r="B539" t="str">
            <v>YAMUNA NAGAR TPS</v>
          </cell>
          <cell r="C539" t="str">
            <v>YAMUNA NAGAR TPS</v>
          </cell>
          <cell r="D539" t="str">
            <v>Haryana</v>
          </cell>
          <cell r="E539" t="str">
            <v>STATE SECTOR</v>
          </cell>
          <cell r="F539" t="str">
            <v xml:space="preserve"> 10-15 years</v>
          </cell>
          <cell r="G539">
            <v>12.5065023956194</v>
          </cell>
          <cell r="H539">
            <v>300</v>
          </cell>
          <cell r="I539">
            <v>0.56228686270557227</v>
          </cell>
          <cell r="K539">
            <v>8.7483637832043534E-2</v>
          </cell>
          <cell r="L539">
            <v>3.4771920088790198</v>
          </cell>
        </row>
        <row r="540">
          <cell r="A540" t="str">
            <v>YAMUNA NAGAR TPS2</v>
          </cell>
          <cell r="B540" t="str">
            <v>YAMUNA NAGAR TPS</v>
          </cell>
          <cell r="C540" t="str">
            <v>YAMUNA NAGAR TPS</v>
          </cell>
          <cell r="D540" t="str">
            <v>Haryana</v>
          </cell>
          <cell r="E540" t="str">
            <v>STATE SECTOR</v>
          </cell>
          <cell r="F540" t="str">
            <v xml:space="preserve"> 10-15 years</v>
          </cell>
          <cell r="G540">
            <v>12.175222450376401</v>
          </cell>
          <cell r="H540">
            <v>300</v>
          </cell>
          <cell r="I540">
            <v>0.65198699919859993</v>
          </cell>
          <cell r="K540">
            <v>8.7483637832043534E-2</v>
          </cell>
          <cell r="L540">
            <v>3.4771920088790198</v>
          </cell>
        </row>
        <row r="541">
          <cell r="A541" t="str">
            <v>YERMARUS TPS1</v>
          </cell>
          <cell r="B541" t="str">
            <v>YERMARUS TPS</v>
          </cell>
          <cell r="C541" t="str">
            <v>YERMARUS TPS</v>
          </cell>
          <cell r="D541" t="str">
            <v>Karnataka</v>
          </cell>
          <cell r="E541" t="str">
            <v>STATE SECTOR</v>
          </cell>
          <cell r="F541" t="str">
            <v xml:space="preserve"> 0-5 years</v>
          </cell>
          <cell r="G541">
            <v>4.1752224503764497</v>
          </cell>
          <cell r="H541">
            <v>800</v>
          </cell>
          <cell r="I541">
            <v>5.3202466429115629E-2</v>
          </cell>
          <cell r="K541">
            <v>0.13221101440955424</v>
          </cell>
          <cell r="L541">
            <v>3.75454148471615</v>
          </cell>
        </row>
        <row r="542">
          <cell r="A542" t="str">
            <v>YERMARUS TPS2</v>
          </cell>
          <cell r="B542" t="str">
            <v>YERMARUS TPS</v>
          </cell>
          <cell r="C542" t="str">
            <v>YERMARUS TPS</v>
          </cell>
          <cell r="D542" t="str">
            <v>Karnataka</v>
          </cell>
          <cell r="E542" t="str">
            <v>STATE SECTOR</v>
          </cell>
          <cell r="F542" t="str">
            <v xml:space="preserve"> 0-5 years</v>
          </cell>
          <cell r="G542">
            <v>3.0910335386721401</v>
          </cell>
          <cell r="H542">
            <v>800</v>
          </cell>
          <cell r="I542">
            <v>4.0647980137395415E-2</v>
          </cell>
          <cell r="K542">
            <v>0.13221101440955424</v>
          </cell>
          <cell r="L542">
            <v>3.75454148471615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414_083554"/>
      <sheetName val="Sheet1"/>
      <sheetName val="Apr 29 coal stock"/>
      <sheetName val="Annual coal consumption1"/>
      <sheetName val="Daily coal vs energy req.1"/>
      <sheetName val="Annual coal consumption2"/>
      <sheetName val="Daily coal vs energy req.2"/>
      <sheetName val="Ownership based age grp"/>
      <sheetName val="Sheet2"/>
      <sheetName val="Non-generating plants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2" t="str">
            <v>MUNDRA UMTPP3</v>
          </cell>
          <cell r="D2" t="str">
            <v xml:space="preserve"> 5-10 years</v>
          </cell>
          <cell r="E2">
            <v>7.5893223819301801</v>
          </cell>
          <cell r="F2">
            <v>800</v>
          </cell>
          <cell r="I2">
            <v>12.53</v>
          </cell>
          <cell r="L2">
            <v>0.86996671322596342</v>
          </cell>
          <cell r="M2">
            <v>12.824332843201555</v>
          </cell>
          <cell r="N2">
            <v>695.97337058077073</v>
          </cell>
          <cell r="O2">
            <v>6071.4579055441436</v>
          </cell>
          <cell r="P2">
            <v>0.5</v>
          </cell>
          <cell r="Q2">
            <v>400</v>
          </cell>
          <cell r="R2">
            <v>0.55000000000000004</v>
          </cell>
        </row>
        <row r="3">
          <cell r="C3" t="str">
            <v>MUNDRA UMTPP2</v>
          </cell>
          <cell r="D3" t="str">
            <v xml:space="preserve"> 5-10 years</v>
          </cell>
          <cell r="E3">
            <v>7.8412046543463303</v>
          </cell>
          <cell r="F3">
            <v>800</v>
          </cell>
          <cell r="I3">
            <v>12.53</v>
          </cell>
          <cell r="L3">
            <v>0.83955823793411988</v>
          </cell>
          <cell r="M3">
            <v>12.376076142722967</v>
          </cell>
          <cell r="N3">
            <v>671.64659034729596</v>
          </cell>
          <cell r="O3">
            <v>6272.9637234770644</v>
          </cell>
          <cell r="P3">
            <v>0.62</v>
          </cell>
          <cell r="Q3">
            <v>496</v>
          </cell>
          <cell r="R3">
            <v>0.66</v>
          </cell>
        </row>
        <row r="4">
          <cell r="C4" t="str">
            <v>SASAN UMPTPP5</v>
          </cell>
          <cell r="D4" t="str">
            <v xml:space="preserve"> 5-10 years</v>
          </cell>
          <cell r="E4">
            <v>5.7577002053388</v>
          </cell>
          <cell r="F4">
            <v>660</v>
          </cell>
          <cell r="I4">
            <v>12.53</v>
          </cell>
          <cell r="L4">
            <v>0.98467871371886351</v>
          </cell>
          <cell r="M4">
            <v>14.5153226857616</v>
          </cell>
          <cell r="N4">
            <v>649.8879510544499</v>
          </cell>
          <cell r="O4">
            <v>3800.082135523608</v>
          </cell>
          <cell r="P4">
            <v>0.53</v>
          </cell>
          <cell r="Q4">
            <v>349.8</v>
          </cell>
          <cell r="R4">
            <v>0.48</v>
          </cell>
        </row>
        <row r="5">
          <cell r="C5" t="str">
            <v>SASAN UMPTPP6</v>
          </cell>
          <cell r="D5" t="str">
            <v xml:space="preserve"> 5-10 years</v>
          </cell>
          <cell r="E5">
            <v>5.1772758384667998</v>
          </cell>
          <cell r="F5">
            <v>660</v>
          </cell>
          <cell r="I5">
            <v>12.53</v>
          </cell>
          <cell r="L5">
            <v>0.9670131090699432</v>
          </cell>
          <cell r="M5">
            <v>14.254910890172221</v>
          </cell>
          <cell r="N5">
            <v>638.2286519861625</v>
          </cell>
          <cell r="O5">
            <v>3417.0020533880879</v>
          </cell>
          <cell r="P5">
            <v>0.52</v>
          </cell>
          <cell r="Q5">
            <v>343.2</v>
          </cell>
          <cell r="R5">
            <v>0.55000000000000004</v>
          </cell>
        </row>
        <row r="6">
          <cell r="C6" t="str">
            <v>SASAN UMPTPP2</v>
          </cell>
          <cell r="D6" t="str">
            <v xml:space="preserve"> 5-10 years</v>
          </cell>
          <cell r="E6">
            <v>6.4229979466118996</v>
          </cell>
          <cell r="F6">
            <v>660</v>
          </cell>
          <cell r="I6">
            <v>12.53</v>
          </cell>
          <cell r="L6">
            <v>0.96046733690089647</v>
          </cell>
          <cell r="M6">
            <v>14.158418507492039</v>
          </cell>
          <cell r="N6">
            <v>633.90844235459167</v>
          </cell>
          <cell r="O6">
            <v>4239.1786447638533</v>
          </cell>
          <cell r="P6">
            <v>0.66</v>
          </cell>
          <cell r="Q6">
            <v>435.6</v>
          </cell>
          <cell r="R6">
            <v>0.57999999999999996</v>
          </cell>
        </row>
        <row r="7">
          <cell r="C7" t="str">
            <v>SASAN UMPTPP1</v>
          </cell>
          <cell r="D7" t="str">
            <v xml:space="preserve"> 5-10 years</v>
          </cell>
          <cell r="E7">
            <v>7.0088980150581701</v>
          </cell>
          <cell r="F7">
            <v>660</v>
          </cell>
          <cell r="I7">
            <v>12.53</v>
          </cell>
          <cell r="L7">
            <v>0.95705514270795466</v>
          </cell>
          <cell r="M7">
            <v>14.108118750741966</v>
          </cell>
          <cell r="N7">
            <v>631.65639418725004</v>
          </cell>
          <cell r="O7">
            <v>4625.8726899383919</v>
          </cell>
          <cell r="P7">
            <v>0.87</v>
          </cell>
          <cell r="Q7">
            <v>574.20000000000005</v>
          </cell>
          <cell r="R7">
            <v>0.56000000000000005</v>
          </cell>
        </row>
        <row r="8">
          <cell r="C8" t="str">
            <v>MUNDRA UMTPP1</v>
          </cell>
          <cell r="D8" t="str">
            <v xml:space="preserve"> 5-10 years</v>
          </cell>
          <cell r="E8">
            <v>8.1752224503764506</v>
          </cell>
          <cell r="F8">
            <v>800</v>
          </cell>
          <cell r="I8">
            <v>12.53</v>
          </cell>
          <cell r="L8">
            <v>0.78367747912877606</v>
          </cell>
          <cell r="M8">
            <v>11.552328015863017</v>
          </cell>
          <cell r="N8">
            <v>626.94198330302083</v>
          </cell>
          <cell r="O8">
            <v>6540.1779603011601</v>
          </cell>
          <cell r="P8">
            <v>0.52</v>
          </cell>
          <cell r="Q8">
            <v>416</v>
          </cell>
          <cell r="R8">
            <v>0.63</v>
          </cell>
        </row>
        <row r="9">
          <cell r="C9" t="str">
            <v>MUNDRA UMTPP4</v>
          </cell>
          <cell r="D9" t="str">
            <v xml:space="preserve"> 5-10 years</v>
          </cell>
          <cell r="E9">
            <v>7.3374401095140298</v>
          </cell>
          <cell r="F9">
            <v>800</v>
          </cell>
          <cell r="I9">
            <v>12.53</v>
          </cell>
          <cell r="L9">
            <v>0.77684044657018758</v>
          </cell>
          <cell r="M9">
            <v>11.451542112381706</v>
          </cell>
          <cell r="N9">
            <v>621.47235725615008</v>
          </cell>
          <cell r="O9">
            <v>5869.9520876112238</v>
          </cell>
          <cell r="P9">
            <v>0.53</v>
          </cell>
          <cell r="Q9">
            <v>424</v>
          </cell>
          <cell r="R9">
            <v>0.55000000000000004</v>
          </cell>
        </row>
        <row r="10">
          <cell r="C10" t="str">
            <v>SASAN UMPTPP3</v>
          </cell>
          <cell r="D10" t="str">
            <v xml:space="preserve"> 5-10 years</v>
          </cell>
          <cell r="E10">
            <v>6.00958247775496</v>
          </cell>
          <cell r="F10">
            <v>660</v>
          </cell>
          <cell r="I10">
            <v>12.53</v>
          </cell>
          <cell r="L10">
            <v>0.93200441626645836</v>
          </cell>
          <cell r="M10">
            <v>13.738841571551438</v>
          </cell>
          <cell r="N10">
            <v>615.12291473586254</v>
          </cell>
          <cell r="O10">
            <v>3966.3244353182736</v>
          </cell>
          <cell r="P10">
            <v>0.51</v>
          </cell>
          <cell r="Q10">
            <v>336.6</v>
          </cell>
          <cell r="R10">
            <v>0.56000000000000005</v>
          </cell>
        </row>
        <row r="11">
          <cell r="C11" t="str">
            <v>SASAN UMPTPP4</v>
          </cell>
          <cell r="D11" t="str">
            <v xml:space="preserve"> 5-10 years</v>
          </cell>
          <cell r="E11">
            <v>6.1765913757700197</v>
          </cell>
          <cell r="F11">
            <v>660</v>
          </cell>
          <cell r="I11">
            <v>12.53</v>
          </cell>
          <cell r="L11">
            <v>0.91517946693685603</v>
          </cell>
          <cell r="M11">
            <v>13.490822024375065</v>
          </cell>
          <cell r="N11">
            <v>604.018448178325</v>
          </cell>
          <cell r="O11">
            <v>4076.5503080082131</v>
          </cell>
          <cell r="P11">
            <v>0.71</v>
          </cell>
          <cell r="Q11">
            <v>468.59999999999997</v>
          </cell>
          <cell r="R11">
            <v>0.75</v>
          </cell>
        </row>
        <row r="12">
          <cell r="C12" t="str">
            <v>SIPAT STPS1</v>
          </cell>
          <cell r="D12" t="str">
            <v xml:space="preserve"> 5-10 years</v>
          </cell>
          <cell r="E12">
            <v>8.5913757700205302</v>
          </cell>
          <cell r="F12">
            <v>660</v>
          </cell>
          <cell r="I12">
            <v>10.952875533059698</v>
          </cell>
          <cell r="J12">
            <v>0</v>
          </cell>
          <cell r="K12">
            <v>0</v>
          </cell>
          <cell r="L12">
            <v>0.89485139992184348</v>
          </cell>
          <cell r="M12">
            <v>11.5308188281508</v>
          </cell>
          <cell r="N12">
            <v>590.6019239484167</v>
          </cell>
          <cell r="O12">
            <v>5670.3080082135502</v>
          </cell>
          <cell r="P12">
            <v>0.47</v>
          </cell>
          <cell r="Q12">
            <v>310.2</v>
          </cell>
          <cell r="R12">
            <v>0.48</v>
          </cell>
        </row>
        <row r="13">
          <cell r="C13" t="str">
            <v>SIPAT STPS2</v>
          </cell>
          <cell r="D13" t="str">
            <v xml:space="preserve"> 5-10 years</v>
          </cell>
          <cell r="E13">
            <v>8.00821355236139</v>
          </cell>
          <cell r="F13">
            <v>660</v>
          </cell>
          <cell r="I13">
            <v>10.952875533059698</v>
          </cell>
          <cell r="J13">
            <v>0</v>
          </cell>
          <cell r="K13">
            <v>0</v>
          </cell>
          <cell r="L13">
            <v>0.88956723176643315</v>
          </cell>
          <cell r="M13">
            <v>11.46272843273672</v>
          </cell>
          <cell r="N13">
            <v>587.11437296584586</v>
          </cell>
          <cell r="O13">
            <v>5285.4209445585175</v>
          </cell>
          <cell r="P13">
            <v>0.54</v>
          </cell>
          <cell r="Q13">
            <v>356.40000000000003</v>
          </cell>
          <cell r="R13">
            <v>0.61</v>
          </cell>
        </row>
        <row r="14">
          <cell r="C14" t="str">
            <v>PAINAMPURAM TPP2</v>
          </cell>
          <cell r="D14" t="str">
            <v xml:space="preserve"> 0-5 years</v>
          </cell>
          <cell r="E14">
            <v>4.6735112936344896</v>
          </cell>
          <cell r="F14">
            <v>660</v>
          </cell>
          <cell r="I14">
            <v>12.681616789739639</v>
          </cell>
          <cell r="L14">
            <v>0.85934108065519565</v>
          </cell>
          <cell r="M14">
            <v>12.820981501823452</v>
          </cell>
          <cell r="N14">
            <v>567.16511323242912</v>
          </cell>
          <cell r="O14">
            <v>3084.5174537987632</v>
          </cell>
          <cell r="P14" t="str">
            <v/>
          </cell>
          <cell r="R14" t="str">
            <v/>
          </cell>
        </row>
        <row r="15">
          <cell r="C15" t="str">
            <v>SIPAT STPS3</v>
          </cell>
          <cell r="D15" t="str">
            <v xml:space="preserve"> 5-10 years</v>
          </cell>
          <cell r="E15">
            <v>7.7563312799452397</v>
          </cell>
          <cell r="F15">
            <v>660</v>
          </cell>
          <cell r="I15">
            <v>10.952875533059698</v>
          </cell>
          <cell r="J15">
            <v>0</v>
          </cell>
          <cell r="K15">
            <v>0</v>
          </cell>
          <cell r="L15">
            <v>0.84729476526970959</v>
          </cell>
          <cell r="M15">
            <v>10.918016592720193</v>
          </cell>
          <cell r="N15">
            <v>559.21454507800831</v>
          </cell>
          <cell r="O15">
            <v>5119.1786447638578</v>
          </cell>
          <cell r="P15">
            <v>0.53</v>
          </cell>
          <cell r="Q15">
            <v>349.8</v>
          </cell>
          <cell r="R15">
            <v>0.65</v>
          </cell>
        </row>
        <row r="16">
          <cell r="C16" t="str">
            <v>SEMBCORP GAYATRI P. LTD2</v>
          </cell>
          <cell r="D16" t="str">
            <v xml:space="preserve"> 0-5 years</v>
          </cell>
          <cell r="E16">
            <v>3.1649555099247002</v>
          </cell>
          <cell r="F16">
            <v>660</v>
          </cell>
          <cell r="I16">
            <v>12.93</v>
          </cell>
          <cell r="L16">
            <v>0.79947265746568186</v>
          </cell>
          <cell r="M16">
            <v>12.16138995415443</v>
          </cell>
          <cell r="N16">
            <v>527.65195392735006</v>
          </cell>
          <cell r="O16">
            <v>2088.8706365503022</v>
          </cell>
        </row>
        <row r="17">
          <cell r="C17" t="str">
            <v>SEMBCORP GAYATRI P. LTD1</v>
          </cell>
          <cell r="D17" t="str">
            <v xml:space="preserve"> 0-5 years</v>
          </cell>
          <cell r="E17">
            <v>3.5044490075290802</v>
          </cell>
          <cell r="F17">
            <v>660</v>
          </cell>
          <cell r="I17">
            <v>12.93</v>
          </cell>
          <cell r="L17">
            <v>0.79529136432477909</v>
          </cell>
          <cell r="M17">
            <v>12.097785106728699</v>
          </cell>
          <cell r="N17">
            <v>524.8923004543542</v>
          </cell>
          <cell r="O17">
            <v>2312.9363449691928</v>
          </cell>
          <cell r="P17">
            <v>0.85</v>
          </cell>
          <cell r="Q17">
            <v>561</v>
          </cell>
          <cell r="R17">
            <v>0.88</v>
          </cell>
        </row>
        <row r="18">
          <cell r="C18" t="str">
            <v>RAJPURA TPS1</v>
          </cell>
          <cell r="D18" t="str">
            <v xml:space="preserve"> 5-10 years</v>
          </cell>
          <cell r="E18">
            <v>6.3381245722108099</v>
          </cell>
          <cell r="F18">
            <v>700</v>
          </cell>
          <cell r="I18">
            <v>10.010329576259105</v>
          </cell>
          <cell r="L18">
            <v>0.74981384358257142</v>
          </cell>
          <cell r="M18">
            <v>8.8304514060036858</v>
          </cell>
          <cell r="N18">
            <v>524.86969050779999</v>
          </cell>
          <cell r="O18">
            <v>4436.687200547567</v>
          </cell>
          <cell r="P18">
            <v>0.72</v>
          </cell>
          <cell r="Q18">
            <v>504</v>
          </cell>
          <cell r="R18">
            <v>0.76</v>
          </cell>
        </row>
        <row r="19">
          <cell r="C19" t="str">
            <v>BARH II5</v>
          </cell>
          <cell r="D19" t="str">
            <v xml:space="preserve"> 5-10 years</v>
          </cell>
          <cell r="E19">
            <v>5.1772758384667998</v>
          </cell>
          <cell r="F19">
            <v>660</v>
          </cell>
          <cell r="I19">
            <v>12.629387069689374</v>
          </cell>
          <cell r="L19">
            <v>0.79384212539310606</v>
          </cell>
          <cell r="M19">
            <v>11.794987616252264</v>
          </cell>
          <cell r="N19">
            <v>523.93580275944998</v>
          </cell>
          <cell r="O19">
            <v>3417.0020533880879</v>
          </cell>
          <cell r="P19">
            <v>0.68</v>
          </cell>
          <cell r="Q19">
            <v>448.8</v>
          </cell>
          <cell r="R19">
            <v>0.76</v>
          </cell>
        </row>
        <row r="20">
          <cell r="C20" t="str">
            <v>RAJPURA TPS2</v>
          </cell>
          <cell r="D20" t="str">
            <v xml:space="preserve"> 5-10 years</v>
          </cell>
          <cell r="E20">
            <v>5.8425735797399003</v>
          </cell>
          <cell r="F20">
            <v>700</v>
          </cell>
          <cell r="I20">
            <v>10.010329576259105</v>
          </cell>
          <cell r="L20">
            <v>0.74724709880303575</v>
          </cell>
          <cell r="M20">
            <v>8.8002232163786331</v>
          </cell>
          <cell r="N20">
            <v>523.07296916212499</v>
          </cell>
          <cell r="O20">
            <v>4089.8015058179303</v>
          </cell>
          <cell r="P20">
            <v>0.69</v>
          </cell>
          <cell r="Q20">
            <v>482.99999999999994</v>
          </cell>
          <cell r="R20">
            <v>0.81</v>
          </cell>
        </row>
        <row r="21">
          <cell r="C21" t="str">
            <v>SINGARENI TPP1</v>
          </cell>
          <cell r="D21" t="str">
            <v xml:space="preserve"> 0-5 years</v>
          </cell>
          <cell r="E21">
            <v>4.1752224503764497</v>
          </cell>
          <cell r="F21">
            <v>600</v>
          </cell>
          <cell r="I21">
            <v>9.6300000000000008</v>
          </cell>
          <cell r="J21">
            <v>4130</v>
          </cell>
          <cell r="K21">
            <v>39.771900000000002</v>
          </cell>
          <cell r="L21">
            <v>0.87153641931167358</v>
          </cell>
          <cell r="M21">
            <v>9.8739949623193137</v>
          </cell>
          <cell r="N21">
            <v>522.9218515870042</v>
          </cell>
          <cell r="O21">
            <v>2505.1334702258696</v>
          </cell>
          <cell r="P21">
            <v>0.78</v>
          </cell>
          <cell r="Q21">
            <v>468</v>
          </cell>
          <cell r="R21">
            <v>0.84</v>
          </cell>
        </row>
        <row r="22">
          <cell r="C22" t="str">
            <v>SINGARENI TPP2</v>
          </cell>
          <cell r="D22" t="str">
            <v xml:space="preserve"> 0-5 years</v>
          </cell>
          <cell r="E22">
            <v>3.4250513347022502</v>
          </cell>
          <cell r="F22">
            <v>600</v>
          </cell>
          <cell r="I22">
            <v>9.6300000000000008</v>
          </cell>
          <cell r="J22">
            <v>4130</v>
          </cell>
          <cell r="K22">
            <v>39.771900000000002</v>
          </cell>
          <cell r="L22">
            <v>0.86487598820117362</v>
          </cell>
          <cell r="M22">
            <v>9.7985361957380022</v>
          </cell>
          <cell r="N22">
            <v>518.92559292070416</v>
          </cell>
          <cell r="O22">
            <v>2055.0308008213501</v>
          </cell>
        </row>
        <row r="23">
          <cell r="C23" t="str">
            <v>BARH II4</v>
          </cell>
          <cell r="D23" t="str">
            <v xml:space="preserve"> 5-10 years</v>
          </cell>
          <cell r="E23">
            <v>6.5051334702258696</v>
          </cell>
          <cell r="F23">
            <v>660</v>
          </cell>
          <cell r="I23">
            <v>12.629387069689374</v>
          </cell>
          <cell r="L23">
            <v>0.76879185454102905</v>
          </cell>
          <cell r="M23">
            <v>11.422788125909396</v>
          </cell>
          <cell r="N23">
            <v>507.40262399707916</v>
          </cell>
          <cell r="O23">
            <v>4293.3880903490735</v>
          </cell>
          <cell r="P23">
            <v>0.74</v>
          </cell>
          <cell r="Q23">
            <v>488.4</v>
          </cell>
          <cell r="R23">
            <v>0.75</v>
          </cell>
        </row>
        <row r="24">
          <cell r="C24" t="str">
            <v>KOTHAGUDEM STAGE-7 TPS12</v>
          </cell>
          <cell r="D24" t="str">
            <v xml:space="preserve"> 0-5 years</v>
          </cell>
          <cell r="E24">
            <v>1.9603011635865799</v>
          </cell>
          <cell r="F24">
            <v>800</v>
          </cell>
          <cell r="I24">
            <v>9.6300000000000008</v>
          </cell>
          <cell r="L24">
            <v>0.6335653367529791</v>
          </cell>
          <cell r="M24">
            <v>7.1779225799190458</v>
          </cell>
          <cell r="N24">
            <v>506.85226940238329</v>
          </cell>
          <cell r="O24">
            <v>1568.2409308692638</v>
          </cell>
        </row>
        <row r="25">
          <cell r="C25" t="str">
            <v>TIRORA TPS3</v>
          </cell>
          <cell r="D25" t="str">
            <v xml:space="preserve"> 5-10 years</v>
          </cell>
          <cell r="E25">
            <v>6.9240246406570796</v>
          </cell>
          <cell r="F25">
            <v>660</v>
          </cell>
          <cell r="I25">
            <v>13.656198347107434</v>
          </cell>
          <cell r="L25">
            <v>0.76427411936739265</v>
          </cell>
          <cell r="M25">
            <v>12.278916430167031</v>
          </cell>
          <cell r="N25">
            <v>504.42091878247913</v>
          </cell>
          <cell r="O25">
            <v>4569.8562628336722</v>
          </cell>
          <cell r="P25">
            <v>0.55000000000000004</v>
          </cell>
          <cell r="Q25">
            <v>363.00000000000006</v>
          </cell>
          <cell r="R25">
            <v>0.56999999999999995</v>
          </cell>
        </row>
        <row r="26">
          <cell r="C26" t="str">
            <v>TIRORA TPS1</v>
          </cell>
          <cell r="D26" t="str">
            <v xml:space="preserve"> 5-10 years</v>
          </cell>
          <cell r="E26">
            <v>7.6714579055441403</v>
          </cell>
          <cell r="F26">
            <v>660</v>
          </cell>
          <cell r="I26">
            <v>13.656198347107434</v>
          </cell>
          <cell r="L26">
            <v>0.75874792649912881</v>
          </cell>
          <cell r="M26">
            <v>12.190131976151289</v>
          </cell>
          <cell r="N26">
            <v>500.77363148942504</v>
          </cell>
          <cell r="O26">
            <v>5063.1622176591327</v>
          </cell>
          <cell r="P26">
            <v>0.56000000000000005</v>
          </cell>
          <cell r="Q26">
            <v>369.6</v>
          </cell>
          <cell r="R26">
            <v>0.56999999999999995</v>
          </cell>
        </row>
        <row r="27">
          <cell r="C27" t="str">
            <v>MUNDRA UMTPP5</v>
          </cell>
          <cell r="D27" t="str">
            <v xml:space="preserve"> 5-10 years</v>
          </cell>
          <cell r="E27">
            <v>7.1759069130732298</v>
          </cell>
          <cell r="F27">
            <v>800</v>
          </cell>
          <cell r="I27">
            <v>12.53</v>
          </cell>
          <cell r="L27">
            <v>0.61322942875240105</v>
          </cell>
          <cell r="M27">
            <v>9.0397232261971592</v>
          </cell>
          <cell r="N27">
            <v>490.58354300192082</v>
          </cell>
          <cell r="O27">
            <v>5740.7255304585842</v>
          </cell>
          <cell r="P27">
            <v>0.5</v>
          </cell>
          <cell r="Q27">
            <v>400</v>
          </cell>
          <cell r="R27">
            <v>0.51</v>
          </cell>
        </row>
        <row r="28">
          <cell r="C28" t="str">
            <v>MUNDRA TPS8</v>
          </cell>
          <cell r="D28" t="str">
            <v xml:space="preserve"> 5-10 years</v>
          </cell>
          <cell r="E28">
            <v>8.1752224503764506</v>
          </cell>
          <cell r="F28">
            <v>660</v>
          </cell>
          <cell r="I28">
            <v>12.53</v>
          </cell>
          <cell r="L28">
            <v>0.74075884940787873</v>
          </cell>
          <cell r="M28">
            <v>10.919656921271434</v>
          </cell>
          <cell r="N28">
            <v>488.90084060919997</v>
          </cell>
          <cell r="O28">
            <v>5395.6468172484574</v>
          </cell>
          <cell r="P28">
            <v>0.59</v>
          </cell>
          <cell r="Q28">
            <v>389.4</v>
          </cell>
          <cell r="R28">
            <v>0.75</v>
          </cell>
        </row>
        <row r="29">
          <cell r="C29" t="str">
            <v>TIRORA TPS5</v>
          </cell>
          <cell r="D29" t="str">
            <v xml:space="preserve"> 5-10 years</v>
          </cell>
          <cell r="E29">
            <v>5.6728268309377103</v>
          </cell>
          <cell r="F29">
            <v>660</v>
          </cell>
          <cell r="I29">
            <v>13.656198347107434</v>
          </cell>
          <cell r="L29">
            <v>0.72994774872522095</v>
          </cell>
          <cell r="M29">
            <v>11.727424987783712</v>
          </cell>
          <cell r="N29">
            <v>481.76551415864583</v>
          </cell>
          <cell r="O29">
            <v>3744.0657084188888</v>
          </cell>
          <cell r="P29">
            <v>0.52</v>
          </cell>
          <cell r="Q29">
            <v>343.2</v>
          </cell>
          <cell r="R29">
            <v>0.6</v>
          </cell>
        </row>
        <row r="30">
          <cell r="C30" t="str">
            <v>RIHAND STPS6</v>
          </cell>
          <cell r="D30" t="str">
            <v xml:space="preserve"> 5-10 years</v>
          </cell>
          <cell r="E30">
            <v>6.5900068446269602</v>
          </cell>
          <cell r="F30">
            <v>500</v>
          </cell>
          <cell r="I30">
            <v>11.290557264957293</v>
          </cell>
          <cell r="J30">
            <v>0</v>
          </cell>
          <cell r="K30">
            <v>0</v>
          </cell>
          <cell r="L30">
            <v>0.95479927631229988</v>
          </cell>
          <cell r="M30">
            <v>12.682606947933888</v>
          </cell>
          <cell r="N30">
            <v>477.39963815614993</v>
          </cell>
          <cell r="O30">
            <v>3295.0034223134803</v>
          </cell>
          <cell r="P30">
            <v>0.92</v>
          </cell>
          <cell r="Q30">
            <v>460</v>
          </cell>
          <cell r="R30">
            <v>0.83</v>
          </cell>
        </row>
        <row r="31">
          <cell r="C31" t="str">
            <v>ANPARA C TPS2</v>
          </cell>
          <cell r="D31" t="str">
            <v xml:space="preserve"> 5-10 years</v>
          </cell>
          <cell r="E31">
            <v>8.33949349760438</v>
          </cell>
          <cell r="F31">
            <v>600</v>
          </cell>
          <cell r="I31">
            <v>10.516457326892155</v>
          </cell>
          <cell r="L31">
            <v>0.78427533495476387</v>
          </cell>
          <cell r="M31">
            <v>9.7032918736303824</v>
          </cell>
          <cell r="N31">
            <v>470.56520097285835</v>
          </cell>
          <cell r="O31">
            <v>5003.6960985626283</v>
          </cell>
        </row>
        <row r="32">
          <cell r="C32" t="str">
            <v>VINDHYACHAL STPS12</v>
          </cell>
          <cell r="D32" t="str">
            <v xml:space="preserve"> 5-10 years</v>
          </cell>
          <cell r="E32">
            <v>7.1759069130732298</v>
          </cell>
          <cell r="F32">
            <v>500</v>
          </cell>
          <cell r="I32">
            <v>13.444923404822211</v>
          </cell>
          <cell r="J32">
            <v>0</v>
          </cell>
          <cell r="K32">
            <v>0</v>
          </cell>
          <cell r="L32">
            <v>0.93945392264185013</v>
          </cell>
          <cell r="M32">
            <v>14.85986592032876</v>
          </cell>
          <cell r="N32">
            <v>469.72696132092506</v>
          </cell>
          <cell r="O32">
            <v>3587.9534565366148</v>
          </cell>
          <cell r="P32" t="str">
            <v/>
          </cell>
          <cell r="R32" t="str">
            <v/>
          </cell>
        </row>
        <row r="33">
          <cell r="C33" t="str">
            <v>PAINAMPURAM TPP1</v>
          </cell>
          <cell r="D33" t="str">
            <v xml:space="preserve"> 5-10 years</v>
          </cell>
          <cell r="E33">
            <v>5.2539356605065004</v>
          </cell>
          <cell r="F33">
            <v>660</v>
          </cell>
          <cell r="I33">
            <v>12.681616789739639</v>
          </cell>
          <cell r="L33">
            <v>0.71045289710269566</v>
          </cell>
          <cell r="M33">
            <v>10.599636927313782</v>
          </cell>
          <cell r="N33">
            <v>468.89891208777914</v>
          </cell>
          <cell r="O33">
            <v>3467.5975359342901</v>
          </cell>
          <cell r="P33" t="str">
            <v/>
          </cell>
          <cell r="R33" t="str">
            <v/>
          </cell>
        </row>
        <row r="34">
          <cell r="C34" t="str">
            <v>KAKATIYA TPS2</v>
          </cell>
          <cell r="D34" t="str">
            <v xml:space="preserve"> 0-5 years</v>
          </cell>
          <cell r="E34">
            <v>4.4243668720054696</v>
          </cell>
          <cell r="F34">
            <v>600</v>
          </cell>
          <cell r="I34">
            <v>11.257864523536208</v>
          </cell>
          <cell r="L34">
            <v>0.77809538392584709</v>
          </cell>
          <cell r="M34">
            <v>10.30552049250127</v>
          </cell>
          <cell r="N34">
            <v>466.85723035550825</v>
          </cell>
          <cell r="O34">
            <v>2654.6201232032818</v>
          </cell>
          <cell r="P34">
            <v>0.74</v>
          </cell>
          <cell r="Q34">
            <v>444</v>
          </cell>
          <cell r="R34">
            <v>0.74</v>
          </cell>
        </row>
        <row r="35">
          <cell r="C35" t="str">
            <v>ANPARA C TPS1</v>
          </cell>
          <cell r="D35" t="str">
            <v xml:space="preserve"> 5-10 years</v>
          </cell>
          <cell r="E35">
            <v>8.5913757700205302</v>
          </cell>
          <cell r="F35">
            <v>600</v>
          </cell>
          <cell r="I35">
            <v>10.516457326892155</v>
          </cell>
          <cell r="L35">
            <v>0.77630405403416669</v>
          </cell>
          <cell r="M35">
            <v>9.6046687728749358</v>
          </cell>
          <cell r="N35">
            <v>465.78243242050002</v>
          </cell>
          <cell r="O35">
            <v>5154.825462012318</v>
          </cell>
        </row>
        <row r="36">
          <cell r="C36" t="str">
            <v>TIRORA TPS4</v>
          </cell>
          <cell r="D36" t="str">
            <v xml:space="preserve"> 5-10 years</v>
          </cell>
          <cell r="E36">
            <v>6.1765913757700197</v>
          </cell>
          <cell r="F36">
            <v>660</v>
          </cell>
          <cell r="I36">
            <v>13.656198347107434</v>
          </cell>
          <cell r="L36">
            <v>0.69919482158685609</v>
          </cell>
          <cell r="M36">
            <v>11.233344902188826</v>
          </cell>
          <cell r="N36">
            <v>461.468582247325</v>
          </cell>
          <cell r="O36">
            <v>4076.5503080082131</v>
          </cell>
          <cell r="P36">
            <v>0.55000000000000004</v>
          </cell>
          <cell r="Q36">
            <v>363.00000000000006</v>
          </cell>
          <cell r="R36">
            <v>0.57999999999999996</v>
          </cell>
        </row>
        <row r="37">
          <cell r="C37" t="str">
            <v>ANPARA TPS4</v>
          </cell>
          <cell r="D37" t="str">
            <v xml:space="preserve"> 25-30 years</v>
          </cell>
          <cell r="E37">
            <v>26.841889117043099</v>
          </cell>
          <cell r="F37">
            <v>500</v>
          </cell>
          <cell r="H37" t="str">
            <v>Y</v>
          </cell>
          <cell r="I37">
            <v>12.500749903363012</v>
          </cell>
          <cell r="J37">
            <v>0</v>
          </cell>
          <cell r="K37">
            <v>0</v>
          </cell>
          <cell r="L37">
            <v>0.91906908293165013</v>
          </cell>
          <cell r="M37">
            <v>13.516532646637362</v>
          </cell>
          <cell r="N37">
            <v>459.53454146582504</v>
          </cell>
          <cell r="O37">
            <v>13420.944558521549</v>
          </cell>
          <cell r="P37">
            <v>0.92</v>
          </cell>
          <cell r="Q37">
            <v>460</v>
          </cell>
          <cell r="R37">
            <v>0.99</v>
          </cell>
        </row>
        <row r="38">
          <cell r="C38" t="str">
            <v>RIHAND STPS3</v>
          </cell>
          <cell r="D38" t="str">
            <v xml:space="preserve"> 15-20 years</v>
          </cell>
          <cell r="E38">
            <v>15.337440109514</v>
          </cell>
          <cell r="F38">
            <v>500</v>
          </cell>
          <cell r="I38">
            <v>11.290557264957293</v>
          </cell>
          <cell r="J38">
            <v>0</v>
          </cell>
          <cell r="K38">
            <v>0</v>
          </cell>
          <cell r="L38">
            <v>0.91709584040296677</v>
          </cell>
          <cell r="M38">
            <v>12.181791886498624</v>
          </cell>
          <cell r="N38">
            <v>458.54792020148341</v>
          </cell>
          <cell r="O38">
            <v>7668.7200547570001</v>
          </cell>
          <cell r="P38">
            <v>0.92</v>
          </cell>
          <cell r="Q38">
            <v>460</v>
          </cell>
          <cell r="R38">
            <v>0.89</v>
          </cell>
        </row>
        <row r="39">
          <cell r="C39" t="str">
            <v>VINDHYACHAL STPS13</v>
          </cell>
          <cell r="D39" t="str">
            <v xml:space="preserve"> 0-5 years</v>
          </cell>
          <cell r="E39">
            <v>4.7583846680355899</v>
          </cell>
          <cell r="F39">
            <v>500</v>
          </cell>
          <cell r="I39">
            <v>13.444923404822211</v>
          </cell>
          <cell r="J39">
            <v>0</v>
          </cell>
          <cell r="K39">
            <v>0</v>
          </cell>
          <cell r="L39">
            <v>0.91534311374252497</v>
          </cell>
          <cell r="M39">
            <v>14.478491827529075</v>
          </cell>
          <cell r="N39">
            <v>457.67155687126251</v>
          </cell>
          <cell r="O39">
            <v>2379.192334017795</v>
          </cell>
          <cell r="P39" t="str">
            <v/>
          </cell>
          <cell r="R39" t="str">
            <v/>
          </cell>
        </row>
        <row r="40">
          <cell r="C40" t="str">
            <v>VINDHYACHAL STPS11</v>
          </cell>
          <cell r="D40" t="str">
            <v xml:space="preserve"> 5-10 years</v>
          </cell>
          <cell r="E40">
            <v>7.9233401779603003</v>
          </cell>
          <cell r="F40">
            <v>500</v>
          </cell>
          <cell r="I40">
            <v>13.444923404822211</v>
          </cell>
          <cell r="J40">
            <v>0</v>
          </cell>
          <cell r="K40">
            <v>0</v>
          </cell>
          <cell r="L40">
            <v>0.91532930144310842</v>
          </cell>
          <cell r="M40">
            <v>14.478273350696487</v>
          </cell>
          <cell r="N40">
            <v>457.66465072155421</v>
          </cell>
          <cell r="O40">
            <v>3961.67008898015</v>
          </cell>
          <cell r="P40" t="str">
            <v/>
          </cell>
          <cell r="R40" t="str">
            <v/>
          </cell>
        </row>
        <row r="41">
          <cell r="C41" t="str">
            <v>VINDHYACHAL STPS10</v>
          </cell>
          <cell r="D41" t="str">
            <v xml:space="preserve"> 10-15 years</v>
          </cell>
          <cell r="E41">
            <v>13.1772758384668</v>
          </cell>
          <cell r="F41">
            <v>500</v>
          </cell>
          <cell r="I41">
            <v>13.444923404822211</v>
          </cell>
          <cell r="J41">
            <v>0</v>
          </cell>
          <cell r="K41">
            <v>0</v>
          </cell>
          <cell r="L41">
            <v>0.90758802681991668</v>
          </cell>
          <cell r="M41">
            <v>14.355825298502948</v>
          </cell>
          <cell r="N41">
            <v>453.79401340995832</v>
          </cell>
          <cell r="O41">
            <v>6588.6379192333998</v>
          </cell>
          <cell r="P41" t="str">
            <v/>
          </cell>
          <cell r="R41" t="str">
            <v/>
          </cell>
        </row>
        <row r="42">
          <cell r="C42" t="str">
            <v>KORBA STPS7</v>
          </cell>
          <cell r="D42" t="str">
            <v xml:space="preserve"> 5-10 years</v>
          </cell>
          <cell r="E42">
            <v>9.5058179329226498</v>
          </cell>
          <cell r="F42">
            <v>500</v>
          </cell>
          <cell r="I42">
            <v>12.49</v>
          </cell>
          <cell r="J42">
            <v>0</v>
          </cell>
          <cell r="K42">
            <v>0</v>
          </cell>
          <cell r="L42">
            <v>0.90573937567599172</v>
          </cell>
          <cell r="M42">
            <v>13.309040943756633</v>
          </cell>
          <cell r="N42">
            <v>452.86968783799585</v>
          </cell>
          <cell r="O42">
            <v>4752.9089664613248</v>
          </cell>
          <cell r="P42">
            <v>0.51</v>
          </cell>
          <cell r="Q42">
            <v>255</v>
          </cell>
          <cell r="R42">
            <v>0.65</v>
          </cell>
        </row>
        <row r="43">
          <cell r="C43" t="str">
            <v>TIRORA TPS2</v>
          </cell>
          <cell r="D43" t="str">
            <v xml:space="preserve"> 5-10 years</v>
          </cell>
          <cell r="E43">
            <v>7.1759069130732298</v>
          </cell>
          <cell r="F43">
            <v>660</v>
          </cell>
          <cell r="I43">
            <v>13.656198347107434</v>
          </cell>
          <cell r="L43">
            <v>0.68593343643097848</v>
          </cell>
          <cell r="M43">
            <v>11.020285953899354</v>
          </cell>
          <cell r="N43">
            <v>452.71606804444582</v>
          </cell>
          <cell r="O43">
            <v>4736.0985626283318</v>
          </cell>
          <cell r="P43">
            <v>0.67</v>
          </cell>
          <cell r="Q43">
            <v>442.20000000000005</v>
          </cell>
          <cell r="R43">
            <v>0.6</v>
          </cell>
        </row>
        <row r="44">
          <cell r="C44" t="str">
            <v>RIHAND STPS5</v>
          </cell>
          <cell r="D44" t="str">
            <v xml:space="preserve"> 5-10 years</v>
          </cell>
          <cell r="E44">
            <v>8.00821355236139</v>
          </cell>
          <cell r="F44">
            <v>500</v>
          </cell>
          <cell r="I44">
            <v>11.290557264957293</v>
          </cell>
          <cell r="J44">
            <v>0</v>
          </cell>
          <cell r="K44">
            <v>0</v>
          </cell>
          <cell r="L44">
            <v>0.90138437696794171</v>
          </cell>
          <cell r="M44">
            <v>11.973096383405172</v>
          </cell>
          <cell r="N44">
            <v>450.69218848397088</v>
          </cell>
          <cell r="O44">
            <v>4004.1067761806949</v>
          </cell>
          <cell r="P44">
            <v>1.1100000000000001</v>
          </cell>
          <cell r="Q44">
            <v>555</v>
          </cell>
          <cell r="R44">
            <v>0.91</v>
          </cell>
        </row>
        <row r="45">
          <cell r="C45" t="str">
            <v>VINDHYACHAL STPS9</v>
          </cell>
          <cell r="D45" t="str">
            <v xml:space="preserve"> 10-15 years</v>
          </cell>
          <cell r="E45">
            <v>13.8425735797399</v>
          </cell>
          <cell r="F45">
            <v>500</v>
          </cell>
          <cell r="I45">
            <v>13.444923404822211</v>
          </cell>
          <cell r="J45">
            <v>0</v>
          </cell>
          <cell r="K45">
            <v>0</v>
          </cell>
          <cell r="L45">
            <v>0.89437803651617498</v>
          </cell>
          <cell r="M45">
            <v>14.146875524606184</v>
          </cell>
          <cell r="N45">
            <v>447.18901825808751</v>
          </cell>
          <cell r="O45">
            <v>6921.2867898699506</v>
          </cell>
          <cell r="P45">
            <v>1</v>
          </cell>
          <cell r="Q45">
            <v>500</v>
          </cell>
          <cell r="R45">
            <v>1.0900000000000001</v>
          </cell>
        </row>
        <row r="46">
          <cell r="C46" t="str">
            <v>KALISINDH TPS1</v>
          </cell>
          <cell r="D46" t="str">
            <v xml:space="preserve"> 5-10 years</v>
          </cell>
          <cell r="E46">
            <v>6.00958247775496</v>
          </cell>
          <cell r="F46">
            <v>600</v>
          </cell>
          <cell r="I46">
            <v>13.19</v>
          </cell>
          <cell r="J46">
            <v>4358</v>
          </cell>
          <cell r="K46">
            <v>57.482019999999999</v>
          </cell>
          <cell r="L46">
            <v>0.74500499420616662</v>
          </cell>
          <cell r="M46">
            <v>11.560724557152161</v>
          </cell>
          <cell r="N46">
            <v>447.00299652369995</v>
          </cell>
          <cell r="O46">
            <v>3605.749486652976</v>
          </cell>
          <cell r="P46">
            <v>0.78</v>
          </cell>
          <cell r="Q46">
            <v>468</v>
          </cell>
          <cell r="R46">
            <v>0.82</v>
          </cell>
        </row>
        <row r="47">
          <cell r="C47" t="str">
            <v>SINGRAULI STPS7</v>
          </cell>
          <cell r="D47" t="str">
            <v xml:space="preserve"> 30-35 years</v>
          </cell>
          <cell r="E47">
            <v>32.5065023956194</v>
          </cell>
          <cell r="F47">
            <v>500</v>
          </cell>
          <cell r="H47" t="str">
            <v>Y</v>
          </cell>
          <cell r="I47">
            <v>12.601008209707661</v>
          </cell>
          <cell r="J47">
            <v>0</v>
          </cell>
          <cell r="K47">
            <v>0</v>
          </cell>
          <cell r="L47">
            <v>0.88246688111716654</v>
          </cell>
          <cell r="M47">
            <v>13.082320486767683</v>
          </cell>
          <cell r="N47">
            <v>441.23344055858325</v>
          </cell>
          <cell r="O47">
            <v>16253.251197809699</v>
          </cell>
          <cell r="P47">
            <v>0.99</v>
          </cell>
          <cell r="Q47">
            <v>495</v>
          </cell>
          <cell r="R47">
            <v>0.87</v>
          </cell>
        </row>
        <row r="48">
          <cell r="C48" t="str">
            <v>SIPAT STPS5</v>
          </cell>
          <cell r="D48" t="str">
            <v xml:space="preserve"> 10-15 years</v>
          </cell>
          <cell r="E48">
            <v>11.337440109514</v>
          </cell>
          <cell r="F48">
            <v>500</v>
          </cell>
          <cell r="I48">
            <v>10.952875533059698</v>
          </cell>
          <cell r="J48">
            <v>0</v>
          </cell>
          <cell r="K48">
            <v>0</v>
          </cell>
          <cell r="L48">
            <v>0.88183905426009168</v>
          </cell>
          <cell r="M48">
            <v>11.363145178237485</v>
          </cell>
          <cell r="N48">
            <v>440.91952713004582</v>
          </cell>
          <cell r="O48">
            <v>5668.7200547570001</v>
          </cell>
          <cell r="P48">
            <v>0.87</v>
          </cell>
          <cell r="Q48">
            <v>435</v>
          </cell>
          <cell r="R48">
            <v>0.87</v>
          </cell>
        </row>
        <row r="49">
          <cell r="C49" t="str">
            <v>KORBA STPS6</v>
          </cell>
          <cell r="D49" t="str">
            <v xml:space="preserve"> 30-35 years</v>
          </cell>
          <cell r="E49">
            <v>31.2525667351129</v>
          </cell>
          <cell r="F49">
            <v>500</v>
          </cell>
          <cell r="H49" t="str">
            <v>Y</v>
          </cell>
          <cell r="I49">
            <v>12.49</v>
          </cell>
          <cell r="J49">
            <v>0</v>
          </cell>
          <cell r="K49">
            <v>0</v>
          </cell>
          <cell r="L49">
            <v>0.88173190698095838</v>
          </cell>
          <cell r="M49">
            <v>12.95627237434373</v>
          </cell>
          <cell r="N49">
            <v>440.86595349047917</v>
          </cell>
          <cell r="O49">
            <v>15626.283367556451</v>
          </cell>
          <cell r="P49">
            <v>0.71</v>
          </cell>
          <cell r="Q49">
            <v>355</v>
          </cell>
          <cell r="R49">
            <v>0.68</v>
          </cell>
        </row>
        <row r="50">
          <cell r="C50" t="str">
            <v>VINDHYACHAL STPS8</v>
          </cell>
          <cell r="D50" t="str">
            <v xml:space="preserve"> 20-25 years</v>
          </cell>
          <cell r="E50">
            <v>20.2546201232032</v>
          </cell>
          <cell r="F50">
            <v>500</v>
          </cell>
          <cell r="I50">
            <v>13.444923404822211</v>
          </cell>
          <cell r="J50">
            <v>0</v>
          </cell>
          <cell r="K50">
            <v>0</v>
          </cell>
          <cell r="L50">
            <v>0.88030996632059999</v>
          </cell>
          <cell r="M50">
            <v>13.924353023155396</v>
          </cell>
          <cell r="N50">
            <v>440.15498316029999</v>
          </cell>
          <cell r="O50">
            <v>10127.3100616016</v>
          </cell>
          <cell r="P50">
            <v>1.04</v>
          </cell>
          <cell r="Q50">
            <v>520</v>
          </cell>
          <cell r="R50">
            <v>0.95</v>
          </cell>
        </row>
        <row r="51">
          <cell r="C51" t="str">
            <v>RIHAND STPS1</v>
          </cell>
          <cell r="D51" t="str">
            <v xml:space="preserve"> 30-35 years</v>
          </cell>
          <cell r="E51">
            <v>32.175222450376403</v>
          </cell>
          <cell r="F51">
            <v>500</v>
          </cell>
          <cell r="H51" t="str">
            <v>Y</v>
          </cell>
          <cell r="I51">
            <v>11.290557264957293</v>
          </cell>
          <cell r="J51">
            <v>0</v>
          </cell>
          <cell r="K51">
            <v>0</v>
          </cell>
          <cell r="L51">
            <v>0.87470712395018335</v>
          </cell>
          <cell r="M51">
            <v>11.618742203559579</v>
          </cell>
          <cell r="N51">
            <v>437.35356197509168</v>
          </cell>
          <cell r="O51">
            <v>16087.6112251882</v>
          </cell>
          <cell r="P51">
            <v>1.24</v>
          </cell>
          <cell r="Q51">
            <v>620</v>
          </cell>
          <cell r="R51">
            <v>0.88</v>
          </cell>
        </row>
        <row r="52">
          <cell r="C52" t="str">
            <v>SIPAT STPS4</v>
          </cell>
          <cell r="D52" t="str">
            <v xml:space="preserve"> 10-15 years</v>
          </cell>
          <cell r="E52">
            <v>11.9233401779603</v>
          </cell>
          <cell r="F52">
            <v>500</v>
          </cell>
          <cell r="I52">
            <v>10.952875533059698</v>
          </cell>
          <cell r="J52">
            <v>0</v>
          </cell>
          <cell r="K52">
            <v>0</v>
          </cell>
          <cell r="L52">
            <v>0.87458164531725002</v>
          </cell>
          <cell r="M52">
            <v>11.269628123127532</v>
          </cell>
          <cell r="N52">
            <v>437.29082265862502</v>
          </cell>
          <cell r="O52">
            <v>5961.6700889801505</v>
          </cell>
          <cell r="P52">
            <v>0.97</v>
          </cell>
          <cell r="Q52">
            <v>485</v>
          </cell>
          <cell r="R52">
            <v>0.85</v>
          </cell>
        </row>
        <row r="53">
          <cell r="C53" t="str">
            <v>MUNDRA TPS7</v>
          </cell>
          <cell r="D53" t="str">
            <v xml:space="preserve"> 5-10 years</v>
          </cell>
          <cell r="E53">
            <v>8.5065023956194299</v>
          </cell>
          <cell r="F53">
            <v>660</v>
          </cell>
          <cell r="I53">
            <v>12.53</v>
          </cell>
          <cell r="L53">
            <v>0.66240918119699499</v>
          </cell>
          <cell r="M53">
            <v>9.7646906357627614</v>
          </cell>
          <cell r="N53">
            <v>437.19005959001669</v>
          </cell>
          <cell r="O53">
            <v>5614.2915811088242</v>
          </cell>
          <cell r="P53">
            <v>0.57999999999999996</v>
          </cell>
          <cell r="Q53">
            <v>382.79999999999995</v>
          </cell>
          <cell r="R53">
            <v>0.81</v>
          </cell>
        </row>
        <row r="54">
          <cell r="C54" t="str">
            <v>KORBA STPS4</v>
          </cell>
          <cell r="D54" t="str">
            <v xml:space="preserve"> 30-35 years</v>
          </cell>
          <cell r="E54">
            <v>33.0102669404517</v>
          </cell>
          <cell r="F54">
            <v>500</v>
          </cell>
          <cell r="H54" t="str">
            <v>Y</v>
          </cell>
          <cell r="I54">
            <v>12.49</v>
          </cell>
          <cell r="J54">
            <v>0</v>
          </cell>
          <cell r="K54">
            <v>0</v>
          </cell>
          <cell r="L54">
            <v>0.87386850939609162</v>
          </cell>
          <cell r="M54">
            <v>12.840726685126098</v>
          </cell>
          <cell r="N54">
            <v>436.93425469804583</v>
          </cell>
          <cell r="O54">
            <v>16505.13347022585</v>
          </cell>
          <cell r="P54">
            <v>0.72</v>
          </cell>
          <cell r="Q54">
            <v>360</v>
          </cell>
          <cell r="R54">
            <v>0.93</v>
          </cell>
        </row>
        <row r="55">
          <cell r="C55" t="str">
            <v>KORBA-WEST TPS5</v>
          </cell>
          <cell r="D55" t="str">
            <v xml:space="preserve"> 5-10 years</v>
          </cell>
          <cell r="E55">
            <v>6.8418891170431202</v>
          </cell>
          <cell r="F55">
            <v>500</v>
          </cell>
          <cell r="I55">
            <v>13.26</v>
          </cell>
          <cell r="J55">
            <v>3494</v>
          </cell>
          <cell r="K55">
            <v>46.330440000000003</v>
          </cell>
          <cell r="L55">
            <v>0.86924798902071676</v>
          </cell>
          <cell r="M55">
            <v>13.560268628723181</v>
          </cell>
          <cell r="N55">
            <v>434.62399451035839</v>
          </cell>
          <cell r="O55">
            <v>3420.9445585215599</v>
          </cell>
        </row>
        <row r="56">
          <cell r="C56" t="str">
            <v>SINGRAULI STPS6</v>
          </cell>
          <cell r="D56" t="str">
            <v xml:space="preserve"> 30-35 years</v>
          </cell>
          <cell r="E56">
            <v>33.423682409308597</v>
          </cell>
          <cell r="F56">
            <v>500</v>
          </cell>
          <cell r="H56" t="str">
            <v>Y</v>
          </cell>
          <cell r="I56">
            <v>12.601008209707661</v>
          </cell>
          <cell r="J56">
            <v>0</v>
          </cell>
          <cell r="K56">
            <v>0</v>
          </cell>
          <cell r="L56">
            <v>0.86693612133705</v>
          </cell>
          <cell r="M56">
            <v>12.852081390894453</v>
          </cell>
          <cell r="N56">
            <v>433.46806066852503</v>
          </cell>
          <cell r="O56">
            <v>16711.841204654298</v>
          </cell>
          <cell r="P56">
            <v>0.91</v>
          </cell>
          <cell r="Q56">
            <v>455</v>
          </cell>
          <cell r="R56">
            <v>0.84</v>
          </cell>
        </row>
        <row r="57">
          <cell r="C57" t="str">
            <v>VINDHYACHAL STPS7</v>
          </cell>
          <cell r="D57" t="str">
            <v xml:space="preserve"> 20-25 years</v>
          </cell>
          <cell r="E57">
            <v>21.177275838466802</v>
          </cell>
          <cell r="F57">
            <v>500</v>
          </cell>
          <cell r="I57">
            <v>13.444923404822211</v>
          </cell>
          <cell r="J57">
            <v>0</v>
          </cell>
          <cell r="K57">
            <v>0</v>
          </cell>
          <cell r="L57">
            <v>0.85503003337040839</v>
          </cell>
          <cell r="M57">
            <v>13.524486244103199</v>
          </cell>
          <cell r="N57">
            <v>427.51501668520422</v>
          </cell>
          <cell r="O57">
            <v>10588.637919233401</v>
          </cell>
          <cell r="P57">
            <v>0.96</v>
          </cell>
          <cell r="Q57">
            <v>480</v>
          </cell>
          <cell r="R57">
            <v>1.1100000000000001</v>
          </cell>
        </row>
        <row r="58">
          <cell r="C58" t="str">
            <v>TALCHER STPS6</v>
          </cell>
          <cell r="D58" t="str">
            <v xml:space="preserve"> 15-20 years</v>
          </cell>
          <cell r="E58">
            <v>15.2525667351129</v>
          </cell>
          <cell r="F58">
            <v>500</v>
          </cell>
          <cell r="I58">
            <v>14.749042338709739</v>
          </cell>
          <cell r="J58">
            <v>4095</v>
          </cell>
          <cell r="K58">
            <v>60.397328377016386</v>
          </cell>
          <cell r="L58">
            <v>0.84126735077402492</v>
          </cell>
          <cell r="M58">
            <v>14.597515029106201</v>
          </cell>
          <cell r="N58">
            <v>420.63367538701249</v>
          </cell>
          <cell r="O58">
            <v>7626.2833675564498</v>
          </cell>
          <cell r="P58" t="str">
            <v/>
          </cell>
          <cell r="R58" t="str">
            <v/>
          </cell>
        </row>
        <row r="59">
          <cell r="C59" t="str">
            <v>KOTHAGUDEM NEW TPS11</v>
          </cell>
          <cell r="D59" t="str">
            <v xml:space="preserve"> 5-10 years</v>
          </cell>
          <cell r="E59">
            <v>8.9253935660506496</v>
          </cell>
          <cell r="F59">
            <v>500</v>
          </cell>
          <cell r="I59">
            <v>14.508277087033822</v>
          </cell>
          <cell r="L59">
            <v>0.84102828657355833</v>
          </cell>
          <cell r="M59">
            <v>14.355142846638202</v>
          </cell>
          <cell r="N59">
            <v>420.51414328677919</v>
          </cell>
          <cell r="O59">
            <v>4462.6967830253252</v>
          </cell>
        </row>
        <row r="60">
          <cell r="C60" t="str">
            <v>RAMAGUNDEM STPS7</v>
          </cell>
          <cell r="D60" t="str">
            <v xml:space="preserve"> 15-20 years</v>
          </cell>
          <cell r="E60">
            <v>15.6714579055441</v>
          </cell>
          <cell r="F60">
            <v>500</v>
          </cell>
          <cell r="I60">
            <v>12.271763292280003</v>
          </cell>
          <cell r="J60">
            <v>0</v>
          </cell>
          <cell r="K60">
            <v>0</v>
          </cell>
          <cell r="L60">
            <v>0.84096982658947494</v>
          </cell>
          <cell r="M60">
            <v>12.141391350418587</v>
          </cell>
          <cell r="N60">
            <v>420.48491329473745</v>
          </cell>
          <cell r="O60">
            <v>7835.7289527720504</v>
          </cell>
          <cell r="P60">
            <v>0.75</v>
          </cell>
          <cell r="Q60">
            <v>375</v>
          </cell>
          <cell r="R60">
            <v>0.77</v>
          </cell>
        </row>
        <row r="61">
          <cell r="C61" t="str">
            <v>MUNDRA TPS9</v>
          </cell>
          <cell r="D61" t="str">
            <v xml:space="preserve"> 5-10 years</v>
          </cell>
          <cell r="E61">
            <v>8.1752224503764506</v>
          </cell>
          <cell r="F61">
            <v>660</v>
          </cell>
          <cell r="I61">
            <v>12.53</v>
          </cell>
          <cell r="L61">
            <v>0.63480709841988003</v>
          </cell>
          <cell r="M61">
            <v>9.3578034625895246</v>
          </cell>
          <cell r="N61">
            <v>418.9726849571208</v>
          </cell>
          <cell r="O61">
            <v>5395.6468172484574</v>
          </cell>
          <cell r="P61">
            <v>0.6</v>
          </cell>
          <cell r="Q61">
            <v>396</v>
          </cell>
          <cell r="R61">
            <v>0.75</v>
          </cell>
        </row>
        <row r="62">
          <cell r="C62" t="str">
            <v>AKALTARA TPS4</v>
          </cell>
          <cell r="D62" t="str">
            <v xml:space="preserve"> 5-10 years</v>
          </cell>
          <cell r="E62">
            <v>5.7577002053388</v>
          </cell>
          <cell r="F62">
            <v>600</v>
          </cell>
          <cell r="I62">
            <v>12.33</v>
          </cell>
          <cell r="L62">
            <v>0.69709262096370139</v>
          </cell>
          <cell r="M62">
            <v>10.11194354880287</v>
          </cell>
          <cell r="N62">
            <v>418.25557257822084</v>
          </cell>
          <cell r="O62">
            <v>3454.6201232032799</v>
          </cell>
        </row>
        <row r="63">
          <cell r="C63" t="str">
            <v>KORBA STPS5</v>
          </cell>
          <cell r="D63" t="str">
            <v xml:space="preserve"> 30-35 years</v>
          </cell>
          <cell r="E63">
            <v>32.175222450376403</v>
          </cell>
          <cell r="F63">
            <v>500</v>
          </cell>
          <cell r="H63" t="str">
            <v>Y</v>
          </cell>
          <cell r="I63">
            <v>12.49</v>
          </cell>
          <cell r="J63">
            <v>0</v>
          </cell>
          <cell r="K63">
            <v>0</v>
          </cell>
          <cell r="L63">
            <v>0.83248639449476503</v>
          </cell>
          <cell r="M63">
            <v>12.2326530202819</v>
          </cell>
          <cell r="N63">
            <v>416.24319724738251</v>
          </cell>
          <cell r="O63">
            <v>16087.6112251882</v>
          </cell>
          <cell r="P63">
            <v>0.83</v>
          </cell>
          <cell r="Q63">
            <v>415</v>
          </cell>
          <cell r="R63">
            <v>0.85</v>
          </cell>
        </row>
        <row r="64">
          <cell r="C64" t="str">
            <v>RIHAND STPS2</v>
          </cell>
          <cell r="D64" t="str">
            <v xml:space="preserve"> 30-35 years</v>
          </cell>
          <cell r="E64">
            <v>30.841889117043099</v>
          </cell>
          <cell r="F64">
            <v>500</v>
          </cell>
          <cell r="H64" t="str">
            <v>Y</v>
          </cell>
          <cell r="I64">
            <v>11.290557264957293</v>
          </cell>
          <cell r="J64">
            <v>0</v>
          </cell>
          <cell r="K64">
            <v>0</v>
          </cell>
          <cell r="L64">
            <v>0.83154409298435328</v>
          </cell>
          <cell r="M64">
            <v>11.045407294325663</v>
          </cell>
          <cell r="N64">
            <v>415.77204649217663</v>
          </cell>
          <cell r="O64">
            <v>15420.944558521549</v>
          </cell>
          <cell r="P64">
            <v>0.93</v>
          </cell>
          <cell r="Q64">
            <v>465</v>
          </cell>
          <cell r="R64">
            <v>0.78</v>
          </cell>
        </row>
        <row r="65">
          <cell r="C65" t="str">
            <v>KAHALGAON TPS5</v>
          </cell>
          <cell r="D65" t="str">
            <v xml:space="preserve"> 10-15 years</v>
          </cell>
          <cell r="E65">
            <v>13.1772758384668</v>
          </cell>
          <cell r="F65">
            <v>500</v>
          </cell>
          <cell r="I65">
            <v>14.17</v>
          </cell>
          <cell r="J65">
            <v>0</v>
          </cell>
          <cell r="K65">
            <v>0</v>
          </cell>
          <cell r="L65">
            <v>0.82720906658485915</v>
          </cell>
          <cell r="M65">
            <v>13.790061733538183</v>
          </cell>
          <cell r="N65">
            <v>413.60453329242955</v>
          </cell>
          <cell r="O65">
            <v>6588.6379192333998</v>
          </cell>
          <cell r="P65">
            <v>0.96</v>
          </cell>
          <cell r="Q65">
            <v>480</v>
          </cell>
          <cell r="R65">
            <v>0.97</v>
          </cell>
        </row>
        <row r="66">
          <cell r="C66" t="str">
            <v>RIHAND STPS4</v>
          </cell>
          <cell r="D66" t="str">
            <v xml:space="preserve"> 10-15 years</v>
          </cell>
          <cell r="E66">
            <v>14.6721423682409</v>
          </cell>
          <cell r="F66">
            <v>500</v>
          </cell>
          <cell r="I66">
            <v>11.290557264957293</v>
          </cell>
          <cell r="J66">
            <v>0</v>
          </cell>
          <cell r="K66">
            <v>0</v>
          </cell>
          <cell r="L66">
            <v>0.81937532443455663</v>
          </cell>
          <cell r="M66">
            <v>10.883769437672145</v>
          </cell>
          <cell r="N66">
            <v>409.68766221727833</v>
          </cell>
          <cell r="O66">
            <v>7336.0711841204502</v>
          </cell>
          <cell r="P66">
            <v>0.93</v>
          </cell>
          <cell r="Q66">
            <v>465</v>
          </cell>
          <cell r="R66">
            <v>0.81</v>
          </cell>
        </row>
        <row r="67">
          <cell r="C67" t="str">
            <v>KAHALGAON TPS7</v>
          </cell>
          <cell r="D67" t="str">
            <v xml:space="preserve"> 10-15 years</v>
          </cell>
          <cell r="E67">
            <v>10.841889117043101</v>
          </cell>
          <cell r="F67">
            <v>500</v>
          </cell>
          <cell r="I67">
            <v>14.17</v>
          </cell>
          <cell r="J67">
            <v>0</v>
          </cell>
          <cell r="K67">
            <v>0</v>
          </cell>
          <cell r="L67">
            <v>0.8175466559959943</v>
          </cell>
          <cell r="M67">
            <v>13.628983665250869</v>
          </cell>
          <cell r="N67">
            <v>408.77332799799717</v>
          </cell>
          <cell r="O67">
            <v>5420.9445585215499</v>
          </cell>
          <cell r="P67">
            <v>0.99</v>
          </cell>
          <cell r="Q67">
            <v>495</v>
          </cell>
          <cell r="R67">
            <v>0.99</v>
          </cell>
        </row>
        <row r="68">
          <cell r="C68" t="str">
            <v>TALCHER STPS4</v>
          </cell>
          <cell r="D68" t="str">
            <v xml:space="preserve"> 15-20 years</v>
          </cell>
          <cell r="E68">
            <v>16.591375770020498</v>
          </cell>
          <cell r="F68">
            <v>500</v>
          </cell>
          <cell r="I68">
            <v>14.749042338709739</v>
          </cell>
          <cell r="J68">
            <v>4095</v>
          </cell>
          <cell r="K68">
            <v>60.397328377016386</v>
          </cell>
          <cell r="L68">
            <v>0.81442205588513916</v>
          </cell>
          <cell r="M68">
            <v>14.131700451563466</v>
          </cell>
          <cell r="N68">
            <v>407.21102794256956</v>
          </cell>
          <cell r="O68">
            <v>8295.6878850102494</v>
          </cell>
          <cell r="P68">
            <v>0.59</v>
          </cell>
          <cell r="Q68">
            <v>295</v>
          </cell>
          <cell r="R68">
            <v>0.64</v>
          </cell>
        </row>
        <row r="69">
          <cell r="C69" t="str">
            <v>MAITHON RB TPP2</v>
          </cell>
          <cell r="D69" t="str">
            <v xml:space="preserve"> 5-10 years</v>
          </cell>
          <cell r="E69">
            <v>7.8412046543463303</v>
          </cell>
          <cell r="F69">
            <v>525</v>
          </cell>
          <cell r="I69">
            <v>14.349415160261341</v>
          </cell>
          <cell r="J69">
            <v>0</v>
          </cell>
          <cell r="K69">
            <v>0</v>
          </cell>
          <cell r="L69">
            <v>0.77495785027231356</v>
          </cell>
          <cell r="M69">
            <v>13.082578735601265</v>
          </cell>
          <cell r="N69">
            <v>406.85287139296463</v>
          </cell>
          <cell r="O69">
            <v>4116.6324435318238</v>
          </cell>
          <cell r="P69">
            <v>0.62</v>
          </cell>
          <cell r="Q69">
            <v>325.5</v>
          </cell>
          <cell r="R69">
            <v>0.6</v>
          </cell>
        </row>
        <row r="70">
          <cell r="C70" t="str">
            <v>MAHATMA GANDHI TPS1</v>
          </cell>
          <cell r="D70" t="str">
            <v xml:space="preserve"> 5-10 years</v>
          </cell>
          <cell r="E70">
            <v>8.33949349760438</v>
          </cell>
          <cell r="F70">
            <v>660</v>
          </cell>
          <cell r="I70">
            <v>13.265151515151514</v>
          </cell>
          <cell r="L70">
            <v>0.61436659603476895</v>
          </cell>
          <cell r="M70">
            <v>9.5878423320577575</v>
          </cell>
          <cell r="N70">
            <v>405.48195338294749</v>
          </cell>
          <cell r="O70">
            <v>5504.0657084188906</v>
          </cell>
          <cell r="P70">
            <v>0.7</v>
          </cell>
          <cell r="Q70">
            <v>461.99999999999994</v>
          </cell>
          <cell r="R70">
            <v>0.73</v>
          </cell>
        </row>
        <row r="71">
          <cell r="C71" t="str">
            <v>CHHABRA TPS6</v>
          </cell>
          <cell r="D71" t="str">
            <v xml:space="preserve"> 0-5 years</v>
          </cell>
          <cell r="E71">
            <v>1.06776180698151</v>
          </cell>
          <cell r="F71">
            <v>660</v>
          </cell>
          <cell r="I71">
            <v>6.070098576122672</v>
          </cell>
          <cell r="J71">
            <v>4576</v>
          </cell>
          <cell r="K71">
            <v>27.776771084337348</v>
          </cell>
          <cell r="L71">
            <v>0.61117356055292105</v>
          </cell>
          <cell r="M71">
            <v>4.3645691290307171</v>
          </cell>
          <cell r="N71">
            <v>403.37454996492789</v>
          </cell>
          <cell r="O71">
            <v>704.72279260779658</v>
          </cell>
        </row>
        <row r="72">
          <cell r="C72" t="str">
            <v>TALCHER STPS5</v>
          </cell>
          <cell r="D72" t="str">
            <v xml:space="preserve"> 15-20 years</v>
          </cell>
          <cell r="E72">
            <v>16.008213552361301</v>
          </cell>
          <cell r="F72">
            <v>500</v>
          </cell>
          <cell r="I72">
            <v>14.749042338709739</v>
          </cell>
          <cell r="J72">
            <v>4095</v>
          </cell>
          <cell r="K72">
            <v>60.397328377016386</v>
          </cell>
          <cell r="L72">
            <v>0.80414497419047259</v>
          </cell>
          <cell r="M72">
            <v>13.953374436230508</v>
          </cell>
          <cell r="N72">
            <v>402.07248709523628</v>
          </cell>
          <cell r="O72">
            <v>8004.1067761806507</v>
          </cell>
          <cell r="P72" t="str">
            <v/>
          </cell>
          <cell r="R72" t="str">
            <v/>
          </cell>
        </row>
        <row r="73">
          <cell r="C73" t="str">
            <v>RAMAGUNDEM STPS6</v>
          </cell>
          <cell r="D73" t="str">
            <v xml:space="preserve"> 30-35 years</v>
          </cell>
          <cell r="E73">
            <v>30.590006844626899</v>
          </cell>
          <cell r="F73">
            <v>500</v>
          </cell>
          <cell r="H73" t="str">
            <v>Y</v>
          </cell>
          <cell r="I73">
            <v>12.271763292280003</v>
          </cell>
          <cell r="J73">
            <v>0</v>
          </cell>
          <cell r="K73">
            <v>0</v>
          </cell>
          <cell r="L73">
            <v>0.80353117006607411</v>
          </cell>
          <cell r="M73">
            <v>11.60087566708194</v>
          </cell>
          <cell r="N73">
            <v>401.76558503303704</v>
          </cell>
          <cell r="O73">
            <v>15295.00342231345</v>
          </cell>
          <cell r="P73">
            <v>0.97</v>
          </cell>
          <cell r="Q73">
            <v>485</v>
          </cell>
          <cell r="R73">
            <v>0.88</v>
          </cell>
        </row>
        <row r="74">
          <cell r="C74" t="str">
            <v>KAKATIYA TPS1</v>
          </cell>
          <cell r="D74" t="str">
            <v xml:space="preserve"> 5-10 years</v>
          </cell>
          <cell r="E74">
            <v>10.009582477754901</v>
          </cell>
          <cell r="F74">
            <v>500</v>
          </cell>
          <cell r="I74">
            <v>11.257864523536208</v>
          </cell>
          <cell r="L74">
            <v>0.80149749074040832</v>
          </cell>
          <cell r="M74">
            <v>10.615470784364392</v>
          </cell>
          <cell r="N74">
            <v>400.74874537020418</v>
          </cell>
          <cell r="O74">
            <v>5004.7912388774503</v>
          </cell>
          <cell r="P74">
            <v>0.88</v>
          </cell>
          <cell r="Q74">
            <v>440</v>
          </cell>
          <cell r="R74">
            <v>0.85</v>
          </cell>
        </row>
        <row r="75">
          <cell r="C75" t="str">
            <v>KODARMA TPS1</v>
          </cell>
          <cell r="D75" t="str">
            <v xml:space="preserve"> 5-10 years</v>
          </cell>
          <cell r="E75">
            <v>8.8432580424366805</v>
          </cell>
          <cell r="F75">
            <v>500</v>
          </cell>
          <cell r="I75">
            <v>11.284371029224951</v>
          </cell>
          <cell r="J75">
            <v>3540</v>
          </cell>
          <cell r="K75">
            <v>39.946673443456326</v>
          </cell>
          <cell r="L75">
            <v>0.80142073406077252</v>
          </cell>
          <cell r="M75">
            <v>10.639445780771267</v>
          </cell>
          <cell r="N75">
            <v>400.71036703038624</v>
          </cell>
          <cell r="O75">
            <v>4421.6290212183403</v>
          </cell>
          <cell r="P75">
            <v>0.67</v>
          </cell>
          <cell r="Q75">
            <v>335</v>
          </cell>
          <cell r="R75">
            <v>0.61</v>
          </cell>
        </row>
        <row r="76">
          <cell r="C76" t="str">
            <v>TALWANDI SABO TPS1</v>
          </cell>
          <cell r="D76" t="str">
            <v xml:space="preserve"> 5-10 years</v>
          </cell>
          <cell r="E76">
            <v>5.9247091033538597</v>
          </cell>
          <cell r="F76">
            <v>660</v>
          </cell>
          <cell r="I76">
            <v>10.914612285173941</v>
          </cell>
          <cell r="L76">
            <v>0.60293298463689338</v>
          </cell>
          <cell r="M76">
            <v>7.7420938367699152</v>
          </cell>
          <cell r="N76">
            <v>397.93576986034964</v>
          </cell>
          <cell r="O76">
            <v>3910.3080082135475</v>
          </cell>
          <cell r="P76">
            <v>1.01</v>
          </cell>
          <cell r="Q76">
            <v>666.6</v>
          </cell>
          <cell r="R76">
            <v>1</v>
          </cell>
        </row>
        <row r="77">
          <cell r="C77" t="str">
            <v>ANPARA TPS6</v>
          </cell>
          <cell r="D77" t="str">
            <v xml:space="preserve"> 0-5 years</v>
          </cell>
          <cell r="E77">
            <v>4.9253935660506496</v>
          </cell>
          <cell r="F77">
            <v>600</v>
          </cell>
          <cell r="I77">
            <v>12.500749903363012</v>
          </cell>
          <cell r="J77">
            <v>0</v>
          </cell>
          <cell r="K77">
            <v>0</v>
          </cell>
          <cell r="L77">
            <v>0.66090639290569719</v>
          </cell>
          <cell r="M77">
            <v>9.7197947379386953</v>
          </cell>
          <cell r="N77">
            <v>396.5438357434183</v>
          </cell>
          <cell r="O77">
            <v>2955.23613963039</v>
          </cell>
          <cell r="P77" t="str">
            <v/>
          </cell>
          <cell r="R77" t="str">
            <v/>
          </cell>
        </row>
        <row r="78">
          <cell r="C78" t="str">
            <v>SANJAY GANDHI TPS5</v>
          </cell>
          <cell r="D78" t="str">
            <v xml:space="preserve"> 10-15 years</v>
          </cell>
          <cell r="E78">
            <v>12.9253935660506</v>
          </cell>
          <cell r="F78">
            <v>500</v>
          </cell>
          <cell r="I78">
            <v>13.882871771003039</v>
          </cell>
          <cell r="L78">
            <v>0.7927730313811342</v>
          </cell>
          <cell r="M78">
            <v>12.948195691969005</v>
          </cell>
          <cell r="N78">
            <v>396.38651569056708</v>
          </cell>
          <cell r="O78">
            <v>6462.6967830252997</v>
          </cell>
          <cell r="P78" t="str">
            <v/>
          </cell>
          <cell r="R78" t="str">
            <v/>
          </cell>
        </row>
        <row r="79">
          <cell r="C79" t="str">
            <v>KAWAI TPS2</v>
          </cell>
          <cell r="D79" t="str">
            <v xml:space="preserve"> 5-10 years</v>
          </cell>
          <cell r="E79">
            <v>6.4229979466118996</v>
          </cell>
          <cell r="F79">
            <v>660</v>
          </cell>
          <cell r="I79">
            <v>13.265151515151514</v>
          </cell>
          <cell r="L79">
            <v>0.59920829522903041</v>
          </cell>
          <cell r="M79">
            <v>9.3512809709985039</v>
          </cell>
          <cell r="N79">
            <v>395.47747485116008</v>
          </cell>
          <cell r="O79">
            <v>4239.1786447638533</v>
          </cell>
          <cell r="P79">
            <v>0.79</v>
          </cell>
          <cell r="Q79">
            <v>521.4</v>
          </cell>
          <cell r="R79">
            <v>0.91</v>
          </cell>
        </row>
        <row r="80">
          <cell r="C80" t="str">
            <v>RAMAGUNDEM STPS5</v>
          </cell>
          <cell r="D80" t="str">
            <v xml:space="preserve"> 30-35 years</v>
          </cell>
          <cell r="E80">
            <v>31.175906913073199</v>
          </cell>
          <cell r="F80">
            <v>500</v>
          </cell>
          <cell r="H80" t="str">
            <v>Y</v>
          </cell>
          <cell r="I80">
            <v>12.271763292280003</v>
          </cell>
          <cell r="J80">
            <v>0</v>
          </cell>
          <cell r="K80">
            <v>0</v>
          </cell>
          <cell r="L80">
            <v>0.79002498971947488</v>
          </cell>
          <cell r="M80">
            <v>11.405881963321576</v>
          </cell>
          <cell r="N80">
            <v>395.01249485973744</v>
          </cell>
          <cell r="O80">
            <v>15587.953456536599</v>
          </cell>
          <cell r="P80">
            <v>0.79</v>
          </cell>
          <cell r="Q80">
            <v>395</v>
          </cell>
          <cell r="R80">
            <v>0.76</v>
          </cell>
        </row>
        <row r="81">
          <cell r="C81" t="str">
            <v>TALCHER STPS3</v>
          </cell>
          <cell r="D81" t="str">
            <v xml:space="preserve"> 15-20 years</v>
          </cell>
          <cell r="E81">
            <v>17.2539356605065</v>
          </cell>
          <cell r="F81">
            <v>500</v>
          </cell>
          <cell r="I81">
            <v>14.749042338709739</v>
          </cell>
          <cell r="J81">
            <v>4095</v>
          </cell>
          <cell r="K81">
            <v>60.397328377016386</v>
          </cell>
          <cell r="L81">
            <v>0.78937699442649334</v>
          </cell>
          <cell r="M81">
            <v>13.697123190587989</v>
          </cell>
          <cell r="N81">
            <v>394.68849721324665</v>
          </cell>
          <cell r="O81">
            <v>8626.9678302532502</v>
          </cell>
          <cell r="P81">
            <v>0.56999999999999995</v>
          </cell>
          <cell r="Q81">
            <v>285</v>
          </cell>
          <cell r="R81">
            <v>0.59</v>
          </cell>
        </row>
        <row r="82">
          <cell r="C82" t="str">
            <v>KAWAI TPS1</v>
          </cell>
          <cell r="D82" t="str">
            <v xml:space="preserve"> 5-10 years</v>
          </cell>
          <cell r="E82">
            <v>7.0088980150581701</v>
          </cell>
          <cell r="F82">
            <v>660</v>
          </cell>
          <cell r="I82">
            <v>13.265151515151514</v>
          </cell>
          <cell r="L82">
            <v>0.59578506624145267</v>
          </cell>
          <cell r="M82">
            <v>9.2978578519499422</v>
          </cell>
          <cell r="N82">
            <v>393.21814371935875</v>
          </cell>
          <cell r="O82">
            <v>4625.8726899383919</v>
          </cell>
          <cell r="P82">
            <v>0.75</v>
          </cell>
          <cell r="Q82">
            <v>495</v>
          </cell>
          <cell r="R82">
            <v>0.65</v>
          </cell>
        </row>
        <row r="83">
          <cell r="C83" t="str">
            <v>NIGRI TPP2</v>
          </cell>
          <cell r="D83" t="str">
            <v xml:space="preserve"> 5-10 years</v>
          </cell>
          <cell r="E83">
            <v>5.2539356605065004</v>
          </cell>
          <cell r="F83">
            <v>660</v>
          </cell>
          <cell r="I83">
            <v>12.53</v>
          </cell>
          <cell r="J83">
            <v>3664</v>
          </cell>
          <cell r="K83">
            <v>45.90992</v>
          </cell>
          <cell r="L83">
            <v>0.59550640603065652</v>
          </cell>
          <cell r="M83">
            <v>8.7784650206636776</v>
          </cell>
          <cell r="N83">
            <v>393.03422798023331</v>
          </cell>
          <cell r="O83">
            <v>3467.5975359342901</v>
          </cell>
          <cell r="P83">
            <v>0.67</v>
          </cell>
          <cell r="Q83">
            <v>442.20000000000005</v>
          </cell>
          <cell r="R83">
            <v>0.73</v>
          </cell>
        </row>
        <row r="84">
          <cell r="C84" t="str">
            <v>NIGRI TPP1</v>
          </cell>
          <cell r="D84" t="str">
            <v xml:space="preserve"> 5-10 years</v>
          </cell>
          <cell r="E84">
            <v>5.7577002053388</v>
          </cell>
          <cell r="F84">
            <v>660</v>
          </cell>
          <cell r="I84">
            <v>12.53</v>
          </cell>
          <cell r="J84">
            <v>3664</v>
          </cell>
          <cell r="K84">
            <v>45.90992</v>
          </cell>
          <cell r="L84">
            <v>0.5934841518332582</v>
          </cell>
          <cell r="M84">
            <v>8.748654614671441</v>
          </cell>
          <cell r="N84">
            <v>391.69954020995038</v>
          </cell>
          <cell r="O84">
            <v>3800.082135523608</v>
          </cell>
          <cell r="P84">
            <v>0.6</v>
          </cell>
          <cell r="Q84">
            <v>396</v>
          </cell>
          <cell r="R84">
            <v>0.66</v>
          </cell>
        </row>
        <row r="85">
          <cell r="C85" t="str">
            <v>TALCHER STPS2</v>
          </cell>
          <cell r="D85" t="str">
            <v xml:space="preserve"> 20-25 years</v>
          </cell>
          <cell r="E85">
            <v>24.175222450376399</v>
          </cell>
          <cell r="F85">
            <v>500</v>
          </cell>
          <cell r="H85" t="str">
            <v>Y</v>
          </cell>
          <cell r="I85">
            <v>14.749042338709739</v>
          </cell>
          <cell r="J85">
            <v>4042</v>
          </cell>
          <cell r="K85">
            <v>59.615629133064765</v>
          </cell>
          <cell r="L85">
            <v>0.78203221988276161</v>
          </cell>
          <cell r="M85">
            <v>13.569678025042371</v>
          </cell>
          <cell r="N85">
            <v>391.01610994138082</v>
          </cell>
          <cell r="O85">
            <v>12087.611225188199</v>
          </cell>
          <cell r="P85">
            <v>0.72</v>
          </cell>
          <cell r="Q85">
            <v>360</v>
          </cell>
          <cell r="R85">
            <v>0.85</v>
          </cell>
        </row>
        <row r="86">
          <cell r="C86" t="str">
            <v>FARAKKA STPS5</v>
          </cell>
          <cell r="D86" t="str">
            <v xml:space="preserve"> 25-30 years</v>
          </cell>
          <cell r="E86">
            <v>26.2532511978097</v>
          </cell>
          <cell r="F86">
            <v>500</v>
          </cell>
          <cell r="H86" t="str">
            <v>Y</v>
          </cell>
          <cell r="I86">
            <v>12.49</v>
          </cell>
          <cell r="J86">
            <v>0</v>
          </cell>
          <cell r="K86">
            <v>0</v>
          </cell>
          <cell r="L86">
            <v>0.78086559034574843</v>
          </cell>
          <cell r="M86">
            <v>11.474130851080467</v>
          </cell>
          <cell r="N86">
            <v>390.43279517287419</v>
          </cell>
          <cell r="O86">
            <v>13126.62559890485</v>
          </cell>
          <cell r="P86">
            <v>0.87</v>
          </cell>
          <cell r="Q86">
            <v>435</v>
          </cell>
          <cell r="R86">
            <v>0.89</v>
          </cell>
        </row>
        <row r="87">
          <cell r="C87" t="str">
            <v>ANPARA TPS5</v>
          </cell>
          <cell r="D87" t="str">
            <v xml:space="preserve"> 25-30 years</v>
          </cell>
          <cell r="E87">
            <v>25.842573579739899</v>
          </cell>
          <cell r="F87">
            <v>500</v>
          </cell>
          <cell r="H87" t="str">
            <v>Y</v>
          </cell>
          <cell r="I87">
            <v>12.500749903363012</v>
          </cell>
          <cell r="J87">
            <v>0</v>
          </cell>
          <cell r="K87">
            <v>0</v>
          </cell>
          <cell r="L87">
            <v>0.77722865032661248</v>
          </cell>
          <cell r="M87">
            <v>11.430518794660429</v>
          </cell>
          <cell r="N87">
            <v>388.61432516330626</v>
          </cell>
          <cell r="O87">
            <v>12921.28678986995</v>
          </cell>
          <cell r="P87">
            <v>0.76</v>
          </cell>
          <cell r="Q87">
            <v>380</v>
          </cell>
          <cell r="R87">
            <v>0.91</v>
          </cell>
        </row>
        <row r="88">
          <cell r="C88" t="str">
            <v>MAHATMA GANDHI TPS2</v>
          </cell>
          <cell r="D88" t="str">
            <v xml:space="preserve"> 5-10 years</v>
          </cell>
          <cell r="E88">
            <v>8.0903490759753591</v>
          </cell>
          <cell r="F88">
            <v>660</v>
          </cell>
          <cell r="I88">
            <v>13.265151515151514</v>
          </cell>
          <cell r="L88">
            <v>0.58679749519712876</v>
          </cell>
          <cell r="M88">
            <v>9.1575972735309481</v>
          </cell>
          <cell r="N88">
            <v>387.286346830105</v>
          </cell>
          <cell r="O88">
            <v>5339.6303901437368</v>
          </cell>
          <cell r="P88">
            <v>0.73</v>
          </cell>
          <cell r="Q88">
            <v>481.8</v>
          </cell>
          <cell r="R88">
            <v>0.79</v>
          </cell>
        </row>
        <row r="89">
          <cell r="C89" t="str">
            <v>TALCHER STPS1</v>
          </cell>
          <cell r="D89" t="str">
            <v xml:space="preserve"> 25-30 years</v>
          </cell>
          <cell r="E89">
            <v>25.2539356605065</v>
          </cell>
          <cell r="F89">
            <v>500</v>
          </cell>
          <cell r="H89" t="str">
            <v>Y</v>
          </cell>
          <cell r="I89">
            <v>14.749042338709739</v>
          </cell>
          <cell r="J89">
            <v>4042</v>
          </cell>
          <cell r="K89">
            <v>59.615629133064765</v>
          </cell>
          <cell r="L89">
            <v>0.77147842391143018</v>
          </cell>
          <cell r="M89">
            <v>13.386550514906757</v>
          </cell>
          <cell r="N89">
            <v>385.73921195571506</v>
          </cell>
          <cell r="O89">
            <v>12626.96783025325</v>
          </cell>
          <cell r="P89">
            <v>0.87</v>
          </cell>
          <cell r="Q89">
            <v>435</v>
          </cell>
          <cell r="R89">
            <v>0.71</v>
          </cell>
        </row>
        <row r="90">
          <cell r="C90" t="str">
            <v>DAMODARAN SANJEEVAIAH TPS2</v>
          </cell>
          <cell r="D90" t="str">
            <v xml:space="preserve"> 5-10 years</v>
          </cell>
          <cell r="E90">
            <v>5.1772758384667998</v>
          </cell>
          <cell r="F90">
            <v>800</v>
          </cell>
          <cell r="I90">
            <v>14.301294363256783</v>
          </cell>
          <cell r="L90">
            <v>0.48038168563366457</v>
          </cell>
          <cell r="M90">
            <v>8.0824469328994333</v>
          </cell>
          <cell r="N90">
            <v>384.30534850693164</v>
          </cell>
          <cell r="O90">
            <v>4141.8206707734398</v>
          </cell>
          <cell r="P90">
            <v>0.56999999999999995</v>
          </cell>
          <cell r="Q90">
            <v>455.99999999999994</v>
          </cell>
          <cell r="R90">
            <v>0.6</v>
          </cell>
        </row>
        <row r="91">
          <cell r="C91" t="str">
            <v>DURGAPUR STEEL TPS2</v>
          </cell>
          <cell r="D91" t="str">
            <v xml:space="preserve"> 5-10 years</v>
          </cell>
          <cell r="E91">
            <v>8.1752224503764506</v>
          </cell>
          <cell r="F91">
            <v>500</v>
          </cell>
          <cell r="I91">
            <v>12.027480916030587</v>
          </cell>
          <cell r="J91">
            <v>0</v>
          </cell>
          <cell r="K91">
            <v>0</v>
          </cell>
          <cell r="L91">
            <v>0.76825189709612673</v>
          </cell>
          <cell r="M91">
            <v>10.870747095327012</v>
          </cell>
          <cell r="N91">
            <v>384.12594854806338</v>
          </cell>
          <cell r="O91">
            <v>4087.6112251882255</v>
          </cell>
          <cell r="P91">
            <v>0.81</v>
          </cell>
          <cell r="Q91">
            <v>405</v>
          </cell>
          <cell r="R91">
            <v>0.72</v>
          </cell>
        </row>
        <row r="92">
          <cell r="C92" t="str">
            <v>ANUPPUR TPP2</v>
          </cell>
          <cell r="D92" t="str">
            <v xml:space="preserve"> 0-5 years</v>
          </cell>
          <cell r="E92">
            <v>4.1752224503764497</v>
          </cell>
          <cell r="F92">
            <v>600</v>
          </cell>
          <cell r="I92">
            <v>13.265151515151516</v>
          </cell>
          <cell r="J92">
            <v>0</v>
          </cell>
          <cell r="K92">
            <v>0</v>
          </cell>
          <cell r="L92">
            <v>0.63842380622551398</v>
          </cell>
          <cell r="M92">
            <v>9.9632806123072637</v>
          </cell>
          <cell r="N92">
            <v>383.05428373530839</v>
          </cell>
          <cell r="O92">
            <v>2505.1334702258696</v>
          </cell>
          <cell r="P92">
            <v>0.88</v>
          </cell>
          <cell r="Q92">
            <v>528</v>
          </cell>
          <cell r="R92">
            <v>0.83</v>
          </cell>
        </row>
        <row r="93">
          <cell r="C93" t="str">
            <v>AKALTARA TPS2</v>
          </cell>
          <cell r="D93" t="str">
            <v xml:space="preserve"> 0-5 years</v>
          </cell>
          <cell r="E93">
            <v>2.3381245722108099</v>
          </cell>
          <cell r="F93">
            <v>600</v>
          </cell>
          <cell r="I93">
            <v>12.33</v>
          </cell>
          <cell r="L93">
            <v>0.6352213702943118</v>
          </cell>
          <cell r="M93">
            <v>9.2144464655633698</v>
          </cell>
          <cell r="N93">
            <v>381.13282217658707</v>
          </cell>
          <cell r="O93">
            <v>1402.8747433264859</v>
          </cell>
          <cell r="P93" t="str">
            <v/>
          </cell>
          <cell r="R93" t="str">
            <v/>
          </cell>
        </row>
        <row r="94">
          <cell r="C94" t="str">
            <v>KAHALGAON TPS6</v>
          </cell>
          <cell r="D94" t="str">
            <v xml:space="preserve"> 10-15 years</v>
          </cell>
          <cell r="E94">
            <v>12.175222450376401</v>
          </cell>
          <cell r="F94">
            <v>500</v>
          </cell>
          <cell r="I94">
            <v>14.17</v>
          </cell>
          <cell r="J94">
            <v>0</v>
          </cell>
          <cell r="K94">
            <v>0</v>
          </cell>
          <cell r="L94">
            <v>0.76161708100122993</v>
          </cell>
          <cell r="M94">
            <v>12.696604750338151</v>
          </cell>
          <cell r="N94">
            <v>380.80854050061498</v>
          </cell>
          <cell r="O94">
            <v>6087.6112251882005</v>
          </cell>
          <cell r="P94">
            <v>0.97</v>
          </cell>
          <cell r="Q94">
            <v>485</v>
          </cell>
          <cell r="R94">
            <v>0.96</v>
          </cell>
        </row>
        <row r="95">
          <cell r="C95" t="str">
            <v>MAITHON RB TPP1</v>
          </cell>
          <cell r="D95" t="str">
            <v xml:space="preserve"> 5-10 years</v>
          </cell>
          <cell r="E95">
            <v>8.6735112936344905</v>
          </cell>
          <cell r="F95">
            <v>525</v>
          </cell>
          <cell r="I95">
            <v>14.349415160261341</v>
          </cell>
          <cell r="J95">
            <v>0</v>
          </cell>
          <cell r="K95">
            <v>0</v>
          </cell>
          <cell r="L95">
            <v>0.7233558897921627</v>
          </cell>
          <cell r="M95">
            <v>12.21145173087999</v>
          </cell>
          <cell r="N95">
            <v>379.76184214088539</v>
          </cell>
          <cell r="O95">
            <v>4553.5934291581079</v>
          </cell>
          <cell r="P95">
            <v>0.57999999999999996</v>
          </cell>
          <cell r="Q95">
            <v>304.5</v>
          </cell>
          <cell r="R95">
            <v>0.61</v>
          </cell>
        </row>
        <row r="96">
          <cell r="C96" t="str">
            <v>TALWANDI SABO TPS2</v>
          </cell>
          <cell r="D96" t="str">
            <v xml:space="preserve"> 0-5 years</v>
          </cell>
          <cell r="E96">
            <v>4.5913757700205302</v>
          </cell>
          <cell r="F96">
            <v>660</v>
          </cell>
          <cell r="I96">
            <v>10.914612285173941</v>
          </cell>
          <cell r="L96">
            <v>0.57509519947531251</v>
          </cell>
          <cell r="M96">
            <v>7.3846366227503584</v>
          </cell>
          <cell r="N96">
            <v>379.56283165370627</v>
          </cell>
          <cell r="O96">
            <v>3030.3080082135498</v>
          </cell>
          <cell r="P96">
            <v>1.06</v>
          </cell>
          <cell r="Q96">
            <v>699.6</v>
          </cell>
          <cell r="R96">
            <v>0.98</v>
          </cell>
        </row>
        <row r="97">
          <cell r="C97" t="str">
            <v>FARAKKA STPS4</v>
          </cell>
          <cell r="D97" t="str">
            <v xml:space="preserve"> 25-30 years</v>
          </cell>
          <cell r="E97">
            <v>27.671457905544099</v>
          </cell>
          <cell r="F97">
            <v>500</v>
          </cell>
          <cell r="H97" t="str">
            <v>Y</v>
          </cell>
          <cell r="I97">
            <v>12.49</v>
          </cell>
          <cell r="J97">
            <v>0</v>
          </cell>
          <cell r="K97">
            <v>0</v>
          </cell>
          <cell r="L97">
            <v>0.75767318721271659</v>
          </cell>
          <cell r="M97">
            <v>11.133338950925683</v>
          </cell>
          <cell r="N97">
            <v>378.83659360635829</v>
          </cell>
          <cell r="O97">
            <v>13835.72895277205</v>
          </cell>
          <cell r="P97">
            <v>0.96</v>
          </cell>
          <cell r="Q97">
            <v>480</v>
          </cell>
          <cell r="R97">
            <v>0.85</v>
          </cell>
        </row>
        <row r="98">
          <cell r="C98" t="str">
            <v>RAMAGUNDEM STPS4</v>
          </cell>
          <cell r="D98" t="str">
            <v xml:space="preserve"> 30-35 years</v>
          </cell>
          <cell r="E98">
            <v>31.923340177960299</v>
          </cell>
          <cell r="F98">
            <v>500</v>
          </cell>
          <cell r="H98" t="str">
            <v>Y</v>
          </cell>
          <cell r="I98">
            <v>12.271763292280003</v>
          </cell>
          <cell r="J98">
            <v>0</v>
          </cell>
          <cell r="K98">
            <v>0</v>
          </cell>
          <cell r="L98">
            <v>0.75336452407436827</v>
          </cell>
          <cell r="M98">
            <v>10.876601308519795</v>
          </cell>
          <cell r="N98">
            <v>376.68226203718416</v>
          </cell>
          <cell r="O98">
            <v>15961.670088980149</v>
          </cell>
          <cell r="P98">
            <v>0.87</v>
          </cell>
          <cell r="Q98">
            <v>435</v>
          </cell>
          <cell r="R98">
            <v>0.87</v>
          </cell>
        </row>
        <row r="99">
          <cell r="C99" t="str">
            <v>TALWANDI SABO TPS3</v>
          </cell>
          <cell r="D99" t="str">
            <v xml:space="preserve"> 0-5 years</v>
          </cell>
          <cell r="E99">
            <v>4.1752224503764497</v>
          </cell>
          <cell r="F99">
            <v>660</v>
          </cell>
          <cell r="I99">
            <v>10.914612285173941</v>
          </cell>
          <cell r="L99">
            <v>0.56745135864801211</v>
          </cell>
          <cell r="M99">
            <v>7.2864842003979264</v>
          </cell>
          <cell r="N99">
            <v>374.51789670768801</v>
          </cell>
          <cell r="O99">
            <v>2755.646817248457</v>
          </cell>
          <cell r="P99">
            <v>0.95</v>
          </cell>
          <cell r="Q99">
            <v>627</v>
          </cell>
          <cell r="R99">
            <v>0.92</v>
          </cell>
        </row>
        <row r="100">
          <cell r="C100" t="str">
            <v>BARADARHA TPS1</v>
          </cell>
          <cell r="D100" t="str">
            <v xml:space="preserve"> 5-10 years</v>
          </cell>
          <cell r="E100">
            <v>6.2532511978097096</v>
          </cell>
          <cell r="F100">
            <v>600</v>
          </cell>
          <cell r="I100">
            <v>15.742984409799623</v>
          </cell>
          <cell r="L100">
            <v>0.62179770815578128</v>
          </cell>
          <cell r="M100">
            <v>11.516413677112471</v>
          </cell>
          <cell r="N100">
            <v>373.07862489346877</v>
          </cell>
          <cell r="O100">
            <v>3751.9507186858259</v>
          </cell>
          <cell r="P100" t="str">
            <v/>
          </cell>
          <cell r="R100" t="str">
            <v/>
          </cell>
        </row>
        <row r="101">
          <cell r="C101" t="str">
            <v>BARA TPP1</v>
          </cell>
          <cell r="D101" t="str">
            <v xml:space="preserve"> 0-5 years</v>
          </cell>
          <cell r="E101">
            <v>3.4223134839151199</v>
          </cell>
          <cell r="F101">
            <v>660</v>
          </cell>
          <cell r="I101">
            <v>13.261248852157941</v>
          </cell>
          <cell r="L101">
            <v>0.56229419816131876</v>
          </cell>
          <cell r="M101">
            <v>8.7726156352257156</v>
          </cell>
          <cell r="N101">
            <v>371.11417078647037</v>
          </cell>
          <cell r="O101">
            <v>2258.7268993839793</v>
          </cell>
          <cell r="P101" t="str">
            <v/>
          </cell>
          <cell r="R101" t="str">
            <v/>
          </cell>
        </row>
        <row r="102">
          <cell r="C102" t="str">
            <v>CHANDRAPUR STPS9</v>
          </cell>
          <cell r="D102" t="str">
            <v xml:space="preserve"> 0-5 years</v>
          </cell>
          <cell r="E102">
            <v>4.1752224503764497</v>
          </cell>
          <cell r="F102">
            <v>500</v>
          </cell>
          <cell r="I102">
            <v>13.258094645080945</v>
          </cell>
          <cell r="J102">
            <v>3375</v>
          </cell>
          <cell r="K102">
            <v>44.746069427148193</v>
          </cell>
          <cell r="L102">
            <v>0.74091905556438331</v>
          </cell>
          <cell r="M102">
            <v>11.556676427078331</v>
          </cell>
          <cell r="N102">
            <v>370.45952778219163</v>
          </cell>
          <cell r="O102">
            <v>2087.611225188225</v>
          </cell>
          <cell r="P102">
            <v>1.0900000000000001</v>
          </cell>
          <cell r="Q102">
            <v>545</v>
          </cell>
          <cell r="R102">
            <v>1.1499999999999999</v>
          </cell>
        </row>
        <row r="103">
          <cell r="C103" t="str">
            <v>ITPCL TPP2</v>
          </cell>
          <cell r="D103" t="str">
            <v xml:space="preserve"> 0-5 years</v>
          </cell>
          <cell r="E103">
            <v>4.0903490759753502</v>
          </cell>
          <cell r="F103">
            <v>600</v>
          </cell>
          <cell r="I103">
            <v>12.93</v>
          </cell>
          <cell r="L103">
            <v>0.61723545739877494</v>
          </cell>
          <cell r="M103">
            <v>9.3892405460778345</v>
          </cell>
          <cell r="N103">
            <v>370.34127443926496</v>
          </cell>
          <cell r="O103">
            <v>2454.2094455852102</v>
          </cell>
          <cell r="P103">
            <v>0.8</v>
          </cell>
          <cell r="Q103">
            <v>480</v>
          </cell>
          <cell r="R103">
            <v>0.7</v>
          </cell>
        </row>
        <row r="104">
          <cell r="C104" t="str">
            <v>ANUPPUR TPP1</v>
          </cell>
          <cell r="D104" t="str">
            <v xml:space="preserve"> 0-5 years</v>
          </cell>
          <cell r="E104">
            <v>5.0924024640657004</v>
          </cell>
          <cell r="F104">
            <v>600</v>
          </cell>
          <cell r="I104">
            <v>13.265151515151516</v>
          </cell>
          <cell r="J104">
            <v>0</v>
          </cell>
          <cell r="K104">
            <v>0</v>
          </cell>
          <cell r="L104">
            <v>0.61182865123315966</v>
          </cell>
          <cell r="M104">
            <v>9.5482350116690071</v>
          </cell>
          <cell r="N104">
            <v>367.09719073989578</v>
          </cell>
          <cell r="O104">
            <v>3055.4414784394203</v>
          </cell>
          <cell r="P104">
            <v>0.91</v>
          </cell>
          <cell r="Q104">
            <v>546</v>
          </cell>
          <cell r="R104">
            <v>1.1000000000000001</v>
          </cell>
        </row>
        <row r="105">
          <cell r="C105" t="str">
            <v>FARAKKA STPS6</v>
          </cell>
          <cell r="D105" t="str">
            <v xml:space="preserve"> 5-10 years</v>
          </cell>
          <cell r="E105">
            <v>9.1772758384667998</v>
          </cell>
          <cell r="F105">
            <v>500</v>
          </cell>
          <cell r="I105">
            <v>12.49</v>
          </cell>
          <cell r="J105">
            <v>0</v>
          </cell>
          <cell r="K105">
            <v>0</v>
          </cell>
          <cell r="L105">
            <v>0.72470492507842332</v>
          </cell>
          <cell r="M105">
            <v>10.648899428505304</v>
          </cell>
          <cell r="N105">
            <v>362.35246253921167</v>
          </cell>
          <cell r="O105">
            <v>4588.6379192333998</v>
          </cell>
          <cell r="P105" t="str">
            <v/>
          </cell>
          <cell r="R105" t="str">
            <v/>
          </cell>
        </row>
        <row r="106">
          <cell r="C106" t="str">
            <v>TANDA STPS5</v>
          </cell>
          <cell r="D106" t="str">
            <v xml:space="preserve"> 0-5 years</v>
          </cell>
          <cell r="E106">
            <v>0.60232717316906204</v>
          </cell>
          <cell r="F106">
            <v>660</v>
          </cell>
          <cell r="I106">
            <v>12.15</v>
          </cell>
          <cell r="L106">
            <v>0.54643025039356563</v>
          </cell>
          <cell r="M106">
            <v>7.8107382850374378</v>
          </cell>
          <cell r="N106">
            <v>360.64396525975332</v>
          </cell>
          <cell r="O106">
            <v>397.53593429158093</v>
          </cell>
        </row>
        <row r="107">
          <cell r="C107" t="str">
            <v>DR. N TATA RAO TPS7</v>
          </cell>
          <cell r="D107" t="str">
            <v xml:space="preserve"> 10-15 years</v>
          </cell>
          <cell r="E107">
            <v>10.590006844626901</v>
          </cell>
          <cell r="F107">
            <v>500</v>
          </cell>
          <cell r="I107">
            <v>12.76</v>
          </cell>
          <cell r="J107">
            <v>3768</v>
          </cell>
          <cell r="K107">
            <v>48.079680000000003</v>
          </cell>
          <cell r="L107">
            <v>0.71974602683359246</v>
          </cell>
          <cell r="M107">
            <v>10.804658002819576</v>
          </cell>
          <cell r="N107">
            <v>359.87301341679625</v>
          </cell>
          <cell r="O107">
            <v>5295.0034223134508</v>
          </cell>
          <cell r="P107">
            <v>0.8</v>
          </cell>
          <cell r="Q107">
            <v>400</v>
          </cell>
          <cell r="R107">
            <v>0.84</v>
          </cell>
        </row>
        <row r="108">
          <cell r="C108" t="str">
            <v>TROMBAY TPS5</v>
          </cell>
          <cell r="D108" t="str">
            <v xml:space="preserve"> 35-40 years</v>
          </cell>
          <cell r="E108">
            <v>36.339493497604302</v>
          </cell>
          <cell r="F108">
            <v>500</v>
          </cell>
          <cell r="I108">
            <v>11.71</v>
          </cell>
          <cell r="J108">
            <v>4819</v>
          </cell>
          <cell r="K108">
            <v>56.430490000000006</v>
          </cell>
          <cell r="L108">
            <v>0.71510558917609746</v>
          </cell>
          <cell r="M108">
            <v>9.8516311167671784</v>
          </cell>
          <cell r="N108">
            <v>357.55279458804876</v>
          </cell>
          <cell r="O108">
            <v>18169.74674880215</v>
          </cell>
          <cell r="P108">
            <v>0.8</v>
          </cell>
          <cell r="Q108">
            <v>400</v>
          </cell>
          <cell r="R108">
            <v>0.76</v>
          </cell>
        </row>
        <row r="109">
          <cell r="C109" t="str">
            <v>ITPCL TPP1</v>
          </cell>
          <cell r="D109" t="str">
            <v xml:space="preserve"> 0-5 years</v>
          </cell>
          <cell r="E109">
            <v>4.6735112936344896</v>
          </cell>
          <cell r="F109">
            <v>600</v>
          </cell>
          <cell r="I109">
            <v>12.93</v>
          </cell>
          <cell r="L109">
            <v>0.594400281855339</v>
          </cell>
          <cell r="M109">
            <v>9.0418772286935685</v>
          </cell>
          <cell r="N109">
            <v>356.6401691132034</v>
          </cell>
          <cell r="O109">
            <v>2804.1067761806939</v>
          </cell>
          <cell r="P109">
            <v>0.78</v>
          </cell>
          <cell r="Q109">
            <v>468</v>
          </cell>
          <cell r="R109">
            <v>0.79</v>
          </cell>
        </row>
        <row r="110">
          <cell r="C110" t="str">
            <v>UKAI TPS6</v>
          </cell>
          <cell r="D110" t="str">
            <v xml:space="preserve"> 5-10 years</v>
          </cell>
          <cell r="E110">
            <v>7.1759069130732298</v>
          </cell>
          <cell r="F110">
            <v>500</v>
          </cell>
          <cell r="I110">
            <v>13.254709254709253</v>
          </cell>
          <cell r="J110">
            <v>0</v>
          </cell>
          <cell r="K110">
            <v>0</v>
          </cell>
          <cell r="L110">
            <v>0.71309917780484999</v>
          </cell>
          <cell r="M110">
            <v>11.119908554794712</v>
          </cell>
          <cell r="N110">
            <v>356.549588902425</v>
          </cell>
          <cell r="O110">
            <v>3587.9534565366148</v>
          </cell>
          <cell r="P110">
            <v>0.76</v>
          </cell>
          <cell r="Q110">
            <v>380</v>
          </cell>
          <cell r="R110">
            <v>0.79</v>
          </cell>
        </row>
        <row r="111">
          <cell r="C111" t="str">
            <v>CHANDRAPUR STPS8</v>
          </cell>
          <cell r="D111" t="str">
            <v xml:space="preserve"> 5-10 years</v>
          </cell>
          <cell r="E111">
            <v>5.1772758384667998</v>
          </cell>
          <cell r="F111">
            <v>500</v>
          </cell>
          <cell r="I111">
            <v>13.258094645080945</v>
          </cell>
          <cell r="J111">
            <v>3375</v>
          </cell>
          <cell r="K111">
            <v>44.746069427148193</v>
          </cell>
          <cell r="L111">
            <v>0.71303710080381744</v>
          </cell>
          <cell r="M111">
            <v>11.121780432836628</v>
          </cell>
          <cell r="N111">
            <v>356.51855040190873</v>
          </cell>
          <cell r="O111">
            <v>2588.6379192333998</v>
          </cell>
          <cell r="P111">
            <v>0.95</v>
          </cell>
          <cell r="Q111">
            <v>475</v>
          </cell>
          <cell r="R111">
            <v>0.97</v>
          </cell>
        </row>
        <row r="112">
          <cell r="C112" t="str">
            <v>KHAPARKHEDA TPS5</v>
          </cell>
          <cell r="D112" t="str">
            <v xml:space="preserve"> 5-10 years</v>
          </cell>
          <cell r="E112">
            <v>8.7583846680355908</v>
          </cell>
          <cell r="F112">
            <v>500</v>
          </cell>
          <cell r="I112">
            <v>16.465212399540818</v>
          </cell>
          <cell r="J112">
            <v>0</v>
          </cell>
          <cell r="K112">
            <v>0</v>
          </cell>
          <cell r="L112">
            <v>0.71149685198427415</v>
          </cell>
          <cell r="M112">
            <v>13.782290340618504</v>
          </cell>
          <cell r="N112">
            <v>355.74842599213707</v>
          </cell>
          <cell r="O112">
            <v>4379.1923340177955</v>
          </cell>
          <cell r="P112">
            <v>0.67</v>
          </cell>
          <cell r="Q112">
            <v>335</v>
          </cell>
          <cell r="R112">
            <v>0.92</v>
          </cell>
        </row>
        <row r="113">
          <cell r="C113" t="str">
            <v>BARADARHA TPS2</v>
          </cell>
          <cell r="D113" t="str">
            <v xml:space="preserve"> 5-10 years</v>
          </cell>
          <cell r="E113">
            <v>5.1772758384667998</v>
          </cell>
          <cell r="F113">
            <v>600</v>
          </cell>
          <cell r="I113">
            <v>15.742984409799623</v>
          </cell>
          <cell r="L113">
            <v>0.59280092464442014</v>
          </cell>
          <cell r="M113">
            <v>10.979359664461068</v>
          </cell>
          <cell r="N113">
            <v>355.68055478665207</v>
          </cell>
          <cell r="O113">
            <v>3106.3655030800801</v>
          </cell>
          <cell r="P113" t="str">
            <v/>
          </cell>
          <cell r="R113" t="str">
            <v/>
          </cell>
        </row>
        <row r="114">
          <cell r="C114" t="str">
            <v>DAMODARAN SANJEEVAIAH TPS1</v>
          </cell>
          <cell r="D114" t="str">
            <v xml:space="preserve"> 5-10 years</v>
          </cell>
          <cell r="E114">
            <v>5.7577002053388</v>
          </cell>
          <cell r="F114">
            <v>800</v>
          </cell>
          <cell r="I114">
            <v>14.301294363256783</v>
          </cell>
          <cell r="L114">
            <v>0.44318361513290311</v>
          </cell>
          <cell r="M114">
            <v>7.4565874552799425</v>
          </cell>
          <cell r="N114">
            <v>354.5468921063225</v>
          </cell>
          <cell r="O114">
            <v>4606.1601642710402</v>
          </cell>
          <cell r="P114">
            <v>0.66</v>
          </cell>
          <cell r="Q114">
            <v>528</v>
          </cell>
          <cell r="R114">
            <v>0.64</v>
          </cell>
        </row>
        <row r="115">
          <cell r="C115" t="str">
            <v>DURGAPUR STEEL TPS1</v>
          </cell>
          <cell r="D115" t="str">
            <v xml:space="preserve"> 5-10 years</v>
          </cell>
          <cell r="E115">
            <v>8.8432580424366805</v>
          </cell>
          <cell r="F115">
            <v>500</v>
          </cell>
          <cell r="I115">
            <v>12.027480916030587</v>
          </cell>
          <cell r="J115">
            <v>0</v>
          </cell>
          <cell r="K115">
            <v>0</v>
          </cell>
          <cell r="L115">
            <v>0.69768015366868497</v>
          </cell>
          <cell r="M115">
            <v>9.8721585102863472</v>
          </cell>
          <cell r="N115">
            <v>348.84007683434248</v>
          </cell>
          <cell r="O115">
            <v>4421.6290212183403</v>
          </cell>
          <cell r="P115">
            <v>0.69</v>
          </cell>
          <cell r="Q115">
            <v>345</v>
          </cell>
          <cell r="R115">
            <v>0.69</v>
          </cell>
        </row>
        <row r="116">
          <cell r="C116" t="str">
            <v>BHUSAWAL TPS5</v>
          </cell>
          <cell r="D116" t="str">
            <v xml:space="preserve"> 5-10 years</v>
          </cell>
          <cell r="E116">
            <v>8.1752224503764506</v>
          </cell>
          <cell r="F116">
            <v>500</v>
          </cell>
          <cell r="I116">
            <v>13.78</v>
          </cell>
          <cell r="J116">
            <v>0</v>
          </cell>
          <cell r="K116">
            <v>0</v>
          </cell>
          <cell r="L116">
            <v>0.69700316923271577</v>
          </cell>
          <cell r="M116">
            <v>11.299651378855085</v>
          </cell>
          <cell r="N116">
            <v>348.50158461635789</v>
          </cell>
          <cell r="O116">
            <v>4087.6112251882255</v>
          </cell>
          <cell r="P116">
            <v>0.83</v>
          </cell>
          <cell r="Q116">
            <v>415</v>
          </cell>
          <cell r="R116">
            <v>0.87</v>
          </cell>
        </row>
        <row r="117">
          <cell r="C117" t="str">
            <v>NORTH CHENNAI TPS4</v>
          </cell>
          <cell r="D117" t="str">
            <v xml:space="preserve"> 5-10 years</v>
          </cell>
          <cell r="E117">
            <v>6.6009582477754902</v>
          </cell>
          <cell r="F117">
            <v>600</v>
          </cell>
          <cell r="I117">
            <v>12.65</v>
          </cell>
          <cell r="J117">
            <v>4009</v>
          </cell>
          <cell r="K117">
            <v>50.713850000000001</v>
          </cell>
          <cell r="L117">
            <v>0.576578809992218</v>
          </cell>
          <cell r="M117">
            <v>8.5808493487077158</v>
          </cell>
          <cell r="N117">
            <v>345.94728599533079</v>
          </cell>
          <cell r="O117">
            <v>3960.574948665294</v>
          </cell>
        </row>
        <row r="118">
          <cell r="C118" t="str">
            <v>BHUSAWAL TPS4</v>
          </cell>
          <cell r="D118" t="str">
            <v xml:space="preserve"> 5-10 years</v>
          </cell>
          <cell r="E118">
            <v>8.1752224503764506</v>
          </cell>
          <cell r="F118">
            <v>500</v>
          </cell>
          <cell r="I118">
            <v>13.78</v>
          </cell>
          <cell r="J118">
            <v>0</v>
          </cell>
          <cell r="K118">
            <v>0</v>
          </cell>
          <cell r="L118">
            <v>0.69021110993402424</v>
          </cell>
          <cell r="M118">
            <v>11.189540111636299</v>
          </cell>
          <cell r="N118">
            <v>345.1055549670121</v>
          </cell>
          <cell r="O118">
            <v>4087.6112251882255</v>
          </cell>
          <cell r="P118">
            <v>0.87</v>
          </cell>
          <cell r="Q118">
            <v>435</v>
          </cell>
          <cell r="R118">
            <v>0.88</v>
          </cell>
        </row>
        <row r="119">
          <cell r="C119" t="str">
            <v>NTPL TUTICORIN (JV) TPP1</v>
          </cell>
          <cell r="D119" t="str">
            <v xml:space="preserve"> 5-10 years</v>
          </cell>
          <cell r="E119">
            <v>5.1772758384667998</v>
          </cell>
          <cell r="F119">
            <v>500</v>
          </cell>
          <cell r="I119">
            <v>10.722184300341301</v>
          </cell>
          <cell r="J119">
            <v>4652</v>
          </cell>
          <cell r="K119">
            <v>49.879601365187732</v>
          </cell>
          <cell r="L119">
            <v>0.68357893996116748</v>
          </cell>
          <cell r="M119">
            <v>8.6228933859947983</v>
          </cell>
          <cell r="N119">
            <v>341.78946998058376</v>
          </cell>
          <cell r="O119">
            <v>2588.6379192333998</v>
          </cell>
        </row>
        <row r="120">
          <cell r="C120" t="str">
            <v>SIMHADRI STPP4</v>
          </cell>
          <cell r="D120" t="str">
            <v xml:space="preserve"> 5-10 years</v>
          </cell>
          <cell r="E120">
            <v>8.1752224503764506</v>
          </cell>
          <cell r="F120">
            <v>500</v>
          </cell>
          <cell r="I120">
            <v>12.15</v>
          </cell>
          <cell r="J120">
            <v>4732</v>
          </cell>
          <cell r="K120">
            <v>57.4938</v>
          </cell>
          <cell r="L120">
            <v>0.6826857415058466</v>
          </cell>
          <cell r="M120">
            <v>9.7583903050541601</v>
          </cell>
          <cell r="N120">
            <v>341.34287075292332</v>
          </cell>
          <cell r="O120">
            <v>4087.6112251882255</v>
          </cell>
          <cell r="P120">
            <v>0.88</v>
          </cell>
          <cell r="Q120">
            <v>440</v>
          </cell>
          <cell r="R120">
            <v>0.89</v>
          </cell>
        </row>
        <row r="121">
          <cell r="C121" t="str">
            <v>NORTH CHENNAI TPS5</v>
          </cell>
          <cell r="D121" t="str">
            <v xml:space="preserve"> 5-10 years</v>
          </cell>
          <cell r="E121">
            <v>7.1348391512662497</v>
          </cell>
          <cell r="F121">
            <v>600</v>
          </cell>
          <cell r="I121">
            <v>12.65</v>
          </cell>
          <cell r="J121">
            <v>4009</v>
          </cell>
          <cell r="K121">
            <v>50.713850000000001</v>
          </cell>
          <cell r="L121">
            <v>0.56822519967561458</v>
          </cell>
          <cell r="M121">
            <v>8.45652797164297</v>
          </cell>
          <cell r="N121">
            <v>340.93511980536874</v>
          </cell>
          <cell r="O121">
            <v>4280.9034907597497</v>
          </cell>
        </row>
        <row r="122">
          <cell r="C122" t="str">
            <v>SIMHADRI STPP2</v>
          </cell>
          <cell r="D122" t="str">
            <v xml:space="preserve"> 15-20 years</v>
          </cell>
          <cell r="E122">
            <v>17.7577002053388</v>
          </cell>
          <cell r="F122">
            <v>500</v>
          </cell>
          <cell r="I122">
            <v>12.15</v>
          </cell>
          <cell r="J122">
            <v>4809</v>
          </cell>
          <cell r="K122">
            <v>58.429349999999999</v>
          </cell>
          <cell r="L122">
            <v>0.68137391803650083</v>
          </cell>
          <cell r="M122">
            <v>9.7396389460511603</v>
          </cell>
          <cell r="N122">
            <v>340.68695901825043</v>
          </cell>
          <cell r="O122">
            <v>8878.8501026693993</v>
          </cell>
          <cell r="P122">
            <v>0.76</v>
          </cell>
          <cell r="Q122">
            <v>380</v>
          </cell>
          <cell r="R122">
            <v>0.79</v>
          </cell>
        </row>
        <row r="123">
          <cell r="C123" t="str">
            <v>KORADI TPS10</v>
          </cell>
          <cell r="D123" t="str">
            <v xml:space="preserve"> 0-5 years</v>
          </cell>
          <cell r="E123">
            <v>3.4223134839151199</v>
          </cell>
          <cell r="F123">
            <v>660</v>
          </cell>
          <cell r="I123">
            <v>13.25871212121212</v>
          </cell>
          <cell r="J123">
            <v>0</v>
          </cell>
          <cell r="K123">
            <v>0</v>
          </cell>
          <cell r="L123">
            <v>0.515785480183654</v>
          </cell>
          <cell r="M123">
            <v>8.045471997713209</v>
          </cell>
          <cell r="N123">
            <v>340.41841692121164</v>
          </cell>
          <cell r="O123">
            <v>2258.7268993839793</v>
          </cell>
          <cell r="P123" t="str">
            <v/>
          </cell>
          <cell r="R123" t="str">
            <v/>
          </cell>
        </row>
        <row r="124">
          <cell r="C124" t="str">
            <v>KODARMA TPS2</v>
          </cell>
          <cell r="D124" t="str">
            <v xml:space="preserve"> 5-10 years</v>
          </cell>
          <cell r="E124">
            <v>7.2525667351129304</v>
          </cell>
          <cell r="F124">
            <v>500</v>
          </cell>
          <cell r="I124">
            <v>11.284371029224951</v>
          </cell>
          <cell r="J124">
            <v>3540</v>
          </cell>
          <cell r="K124">
            <v>39.946673443456326</v>
          </cell>
          <cell r="L124">
            <v>0.67310131779284421</v>
          </cell>
          <cell r="M124">
            <v>8.9359117767467158</v>
          </cell>
          <cell r="N124">
            <v>336.55065889642208</v>
          </cell>
          <cell r="O124">
            <v>3626.2833675564652</v>
          </cell>
          <cell r="P124">
            <v>0.75</v>
          </cell>
          <cell r="Q124">
            <v>375</v>
          </cell>
          <cell r="R124">
            <v>0.59</v>
          </cell>
        </row>
        <row r="125">
          <cell r="C125" t="str">
            <v>BOKARO A TPS1</v>
          </cell>
          <cell r="D125" t="str">
            <v xml:space="preserve"> 0-5 years</v>
          </cell>
          <cell r="E125">
            <v>4.1752224503764497</v>
          </cell>
          <cell r="F125">
            <v>500</v>
          </cell>
          <cell r="I125">
            <v>13.39</v>
          </cell>
          <cell r="J125">
            <v>4156</v>
          </cell>
          <cell r="K125">
            <v>55.648840000000007</v>
          </cell>
          <cell r="L125">
            <v>0.66869912838633094</v>
          </cell>
          <cell r="M125">
            <v>10.533978034227026</v>
          </cell>
          <cell r="N125">
            <v>334.34956419316546</v>
          </cell>
          <cell r="O125">
            <v>2087.611225188225</v>
          </cell>
          <cell r="P125" t="str">
            <v/>
          </cell>
          <cell r="R125" t="str">
            <v/>
          </cell>
        </row>
        <row r="126">
          <cell r="C126" t="str">
            <v>MAUDA TPS3</v>
          </cell>
          <cell r="D126" t="str">
            <v xml:space="preserve"> 0-5 years</v>
          </cell>
          <cell r="E126">
            <v>4.1752224503764497</v>
          </cell>
          <cell r="F126">
            <v>660</v>
          </cell>
          <cell r="I126">
            <v>15.590075809786397</v>
          </cell>
          <cell r="J126">
            <v>0</v>
          </cell>
          <cell r="K126">
            <v>0</v>
          </cell>
          <cell r="L126">
            <v>0.50307853767426891</v>
          </cell>
          <cell r="M126">
            <v>9.2270971066098042</v>
          </cell>
          <cell r="N126">
            <v>332.03183486501746</v>
          </cell>
          <cell r="O126">
            <v>2755.646817248457</v>
          </cell>
          <cell r="P126">
            <v>0.96</v>
          </cell>
          <cell r="Q126">
            <v>633.6</v>
          </cell>
          <cell r="R126">
            <v>1.05</v>
          </cell>
        </row>
        <row r="127">
          <cell r="C127" t="str">
            <v>IB VALLEY TPS4</v>
          </cell>
          <cell r="D127" t="str">
            <v xml:space="preserve"> 0-5 years</v>
          </cell>
          <cell r="E127">
            <v>0.67898699520876105</v>
          </cell>
          <cell r="F127">
            <v>660</v>
          </cell>
          <cell r="I127">
            <v>13.19</v>
          </cell>
          <cell r="J127">
            <v>3100</v>
          </cell>
          <cell r="K127">
            <v>40.889000000000003</v>
          </cell>
          <cell r="L127">
            <v>0.50071275951420524</v>
          </cell>
          <cell r="M127">
            <v>7.7698838799910206</v>
          </cell>
          <cell r="N127">
            <v>330.47042127937544</v>
          </cell>
          <cell r="O127">
            <v>448.1314168377823</v>
          </cell>
        </row>
        <row r="128">
          <cell r="C128" t="str">
            <v>METTUR TPS EXT1</v>
          </cell>
          <cell r="D128" t="str">
            <v xml:space="preserve"> 5-10 years</v>
          </cell>
          <cell r="E128">
            <v>7.5893223819301801</v>
          </cell>
          <cell r="F128">
            <v>600</v>
          </cell>
          <cell r="I128">
            <v>13.14</v>
          </cell>
          <cell r="J128">
            <v>3438</v>
          </cell>
          <cell r="K128">
            <v>45.175319999999999</v>
          </cell>
          <cell r="L128">
            <v>0.54311209918967362</v>
          </cell>
          <cell r="M128">
            <v>8.3958740980615438</v>
          </cell>
          <cell r="N128">
            <v>325.86725951380419</v>
          </cell>
          <cell r="O128">
            <v>4553.5934291581079</v>
          </cell>
          <cell r="P128" t="str">
            <v/>
          </cell>
          <cell r="R128" t="str">
            <v/>
          </cell>
        </row>
        <row r="129">
          <cell r="C129" t="str">
            <v>MEJIA TPS7</v>
          </cell>
          <cell r="D129" t="str">
            <v xml:space="preserve"> 5-10 years</v>
          </cell>
          <cell r="E129">
            <v>9.6728268309377103</v>
          </cell>
          <cell r="F129">
            <v>500</v>
          </cell>
          <cell r="I129">
            <v>12.218034993270546</v>
          </cell>
          <cell r="J129">
            <v>0</v>
          </cell>
          <cell r="K129">
            <v>0</v>
          </cell>
          <cell r="L129">
            <v>0.64900745547336824</v>
          </cell>
          <cell r="M129">
            <v>9.3289362374906926</v>
          </cell>
          <cell r="N129">
            <v>324.50372773668414</v>
          </cell>
          <cell r="O129">
            <v>4836.4134154688554</v>
          </cell>
          <cell r="P129">
            <v>0.93</v>
          </cell>
          <cell r="Q129">
            <v>465</v>
          </cell>
          <cell r="R129">
            <v>0.81</v>
          </cell>
        </row>
        <row r="130">
          <cell r="C130" t="str">
            <v>MARWA TPS1</v>
          </cell>
          <cell r="D130" t="str">
            <v xml:space="preserve"> 5-10 years</v>
          </cell>
          <cell r="E130">
            <v>6.1765913757700197</v>
          </cell>
          <cell r="F130">
            <v>500</v>
          </cell>
          <cell r="I130">
            <v>10.947204729469256</v>
          </cell>
          <cell r="J130">
            <v>0</v>
          </cell>
          <cell r="K130">
            <v>0</v>
          </cell>
          <cell r="L130">
            <v>0.64821024585261922</v>
          </cell>
          <cell r="M130">
            <v>8.348341493044968</v>
          </cell>
          <cell r="N130">
            <v>324.1051229263096</v>
          </cell>
          <cell r="O130">
            <v>3088.29568788501</v>
          </cell>
          <cell r="P130">
            <v>0.53</v>
          </cell>
          <cell r="Q130">
            <v>265</v>
          </cell>
          <cell r="R130">
            <v>0.73</v>
          </cell>
        </row>
        <row r="131">
          <cell r="C131" t="str">
            <v>MUNDRA TPS5</v>
          </cell>
          <cell r="D131" t="str">
            <v xml:space="preserve"> 5-10 years</v>
          </cell>
          <cell r="E131">
            <v>9.4236824093086895</v>
          </cell>
          <cell r="F131">
            <v>660</v>
          </cell>
          <cell r="I131">
            <v>12.53</v>
          </cell>
          <cell r="L131">
            <v>0.49088605929383272</v>
          </cell>
          <cell r="M131">
            <v>7.2362380270020283</v>
          </cell>
          <cell r="N131">
            <v>323.98479913392958</v>
          </cell>
          <cell r="O131">
            <v>6219.630390143735</v>
          </cell>
          <cell r="P131">
            <v>0.47</v>
          </cell>
          <cell r="Q131">
            <v>310.2</v>
          </cell>
          <cell r="R131">
            <v>0.41</v>
          </cell>
        </row>
        <row r="132">
          <cell r="C132" t="str">
            <v>SIMHADRI STPP1</v>
          </cell>
          <cell r="D132" t="str">
            <v xml:space="preserve"> 15-20 years</v>
          </cell>
          <cell r="E132">
            <v>18.2532511978097</v>
          </cell>
          <cell r="F132">
            <v>500</v>
          </cell>
          <cell r="I132">
            <v>12.15</v>
          </cell>
          <cell r="J132">
            <v>4809</v>
          </cell>
          <cell r="K132">
            <v>58.429349999999999</v>
          </cell>
          <cell r="L132">
            <v>0.64647128908663909</v>
          </cell>
          <cell r="M132">
            <v>9.2407366616501943</v>
          </cell>
          <cell r="N132">
            <v>323.23564454331955</v>
          </cell>
          <cell r="O132">
            <v>9126.6255989048495</v>
          </cell>
          <cell r="P132">
            <v>0.89</v>
          </cell>
          <cell r="Q132">
            <v>445</v>
          </cell>
          <cell r="R132">
            <v>0.76</v>
          </cell>
        </row>
        <row r="133">
          <cell r="C133" t="str">
            <v>SIMHADRI STPP3</v>
          </cell>
          <cell r="D133" t="str">
            <v xml:space="preserve"> 5-10 years</v>
          </cell>
          <cell r="E133">
            <v>9.1772758384667998</v>
          </cell>
          <cell r="F133">
            <v>500</v>
          </cell>
          <cell r="I133">
            <v>12.15</v>
          </cell>
          <cell r="J133">
            <v>4732</v>
          </cell>
          <cell r="K133">
            <v>57.4938</v>
          </cell>
          <cell r="L133">
            <v>0.64471818429942662</v>
          </cell>
          <cell r="M133">
            <v>9.2156775755741567</v>
          </cell>
          <cell r="N133">
            <v>322.35909214971332</v>
          </cell>
          <cell r="O133">
            <v>4588.6379192333998</v>
          </cell>
          <cell r="P133" t="str">
            <v/>
          </cell>
          <cell r="R133" t="str">
            <v/>
          </cell>
        </row>
        <row r="134">
          <cell r="C134" t="str">
            <v>SHREE SINGAJI TPP3</v>
          </cell>
          <cell r="D134" t="str">
            <v xml:space="preserve"> 0-5 years</v>
          </cell>
          <cell r="E134">
            <v>1.45379876796714</v>
          </cell>
          <cell r="F134">
            <v>660</v>
          </cell>
          <cell r="I134">
            <v>13.445454545454544</v>
          </cell>
          <cell r="L134">
            <v>0.48589889523994384</v>
          </cell>
          <cell r="M134">
            <v>7.6860370701591112</v>
          </cell>
          <cell r="N134">
            <v>320.69327085836295</v>
          </cell>
          <cell r="O134">
            <v>959.50718685831237</v>
          </cell>
        </row>
        <row r="135">
          <cell r="C135" t="str">
            <v>OP JINDAL TPS22</v>
          </cell>
          <cell r="D135" t="str">
            <v xml:space="preserve"> 5-10 years</v>
          </cell>
          <cell r="E135">
            <v>6.1765913757700197</v>
          </cell>
          <cell r="F135">
            <v>600</v>
          </cell>
          <cell r="I135">
            <v>12.53</v>
          </cell>
          <cell r="L135">
            <v>0.53434674940590277</v>
          </cell>
          <cell r="M135">
            <v>7.8768997294776009</v>
          </cell>
          <cell r="N135">
            <v>320.60804964354168</v>
          </cell>
          <cell r="O135">
            <v>3705.9548254620117</v>
          </cell>
          <cell r="P135">
            <v>0.39</v>
          </cell>
          <cell r="Q135">
            <v>234</v>
          </cell>
          <cell r="R135">
            <v>0.44</v>
          </cell>
        </row>
        <row r="136">
          <cell r="C136" t="str">
            <v>DADRI (NCTPP)5</v>
          </cell>
          <cell r="D136" t="str">
            <v xml:space="preserve"> 10-15 years</v>
          </cell>
          <cell r="E136">
            <v>10.3381245722108</v>
          </cell>
          <cell r="F136">
            <v>490</v>
          </cell>
          <cell r="I136">
            <v>11.349596412556105</v>
          </cell>
          <cell r="L136">
            <v>0.65189019166305606</v>
          </cell>
          <cell r="M136">
            <v>8.7043418596229802</v>
          </cell>
          <cell r="N136">
            <v>319.42619391489745</v>
          </cell>
          <cell r="O136">
            <v>5065.6810403832924</v>
          </cell>
          <cell r="P136">
            <v>1.1599999999999999</v>
          </cell>
          <cell r="Q136">
            <v>568.4</v>
          </cell>
          <cell r="R136">
            <v>0.68</v>
          </cell>
        </row>
        <row r="137">
          <cell r="C137" t="str">
            <v>MARWA TPS2</v>
          </cell>
          <cell r="D137" t="str">
            <v xml:space="preserve"> 0-5 years</v>
          </cell>
          <cell r="E137">
            <v>3.8412046543463298</v>
          </cell>
          <cell r="F137">
            <v>500</v>
          </cell>
          <cell r="I137">
            <v>10.947204729469256</v>
          </cell>
          <cell r="J137">
            <v>0</v>
          </cell>
          <cell r="K137">
            <v>0</v>
          </cell>
          <cell r="L137">
            <v>0.63787644515363917</v>
          </cell>
          <cell r="M137">
            <v>8.2152518084740649</v>
          </cell>
          <cell r="N137">
            <v>318.93822257681961</v>
          </cell>
          <cell r="O137">
            <v>1920.6023271731649</v>
          </cell>
          <cell r="P137">
            <v>0.75</v>
          </cell>
          <cell r="Q137">
            <v>375</v>
          </cell>
          <cell r="R137">
            <v>0.64</v>
          </cell>
        </row>
        <row r="138">
          <cell r="C138" t="str">
            <v>MAUDA TPS4</v>
          </cell>
          <cell r="D138" t="str">
            <v xml:space="preserve"> 0-5 years</v>
          </cell>
          <cell r="E138">
            <v>3.1759069130732298</v>
          </cell>
          <cell r="F138">
            <v>660</v>
          </cell>
          <cell r="I138">
            <v>15.590075809786397</v>
          </cell>
          <cell r="J138">
            <v>0</v>
          </cell>
          <cell r="K138">
            <v>0</v>
          </cell>
          <cell r="L138">
            <v>0.48262447743364018</v>
          </cell>
          <cell r="M138">
            <v>8.8519437539399934</v>
          </cell>
          <cell r="N138">
            <v>318.53215510620254</v>
          </cell>
          <cell r="O138">
            <v>2096.0985626283318</v>
          </cell>
          <cell r="P138">
            <v>1.0900000000000001</v>
          </cell>
          <cell r="Q138">
            <v>719.40000000000009</v>
          </cell>
          <cell r="R138">
            <v>1.29</v>
          </cell>
        </row>
        <row r="139">
          <cell r="C139" t="str">
            <v>KORADI TPS8</v>
          </cell>
          <cell r="D139" t="str">
            <v xml:space="preserve"> 5-10 years</v>
          </cell>
          <cell r="E139">
            <v>5.1772758384667998</v>
          </cell>
          <cell r="F139">
            <v>660</v>
          </cell>
          <cell r="I139">
            <v>13.25871212121212</v>
          </cell>
          <cell r="J139">
            <v>0</v>
          </cell>
          <cell r="K139">
            <v>0</v>
          </cell>
          <cell r="L139">
            <v>0.46886104458283651</v>
          </cell>
          <cell r="M139">
            <v>7.3135218999701541</v>
          </cell>
          <cell r="N139">
            <v>309.44828942467211</v>
          </cell>
          <cell r="O139">
            <v>3417.0020533880879</v>
          </cell>
          <cell r="P139">
            <v>0.61</v>
          </cell>
          <cell r="Q139">
            <v>402.59999999999997</v>
          </cell>
          <cell r="R139">
            <v>0.66</v>
          </cell>
        </row>
        <row r="140">
          <cell r="C140" t="str">
            <v>MAUDA TPS1</v>
          </cell>
          <cell r="D140" t="str">
            <v xml:space="preserve"> 5-10 years</v>
          </cell>
          <cell r="E140">
            <v>8.0903490759753591</v>
          </cell>
          <cell r="F140">
            <v>500</v>
          </cell>
          <cell r="I140">
            <v>15.590075809786397</v>
          </cell>
          <cell r="J140">
            <v>0</v>
          </cell>
          <cell r="K140">
            <v>0</v>
          </cell>
          <cell r="L140">
            <v>0.61786222595947249</v>
          </cell>
          <cell r="M140">
            <v>11.332375226719469</v>
          </cell>
          <cell r="N140">
            <v>308.93111297973627</v>
          </cell>
          <cell r="O140">
            <v>4045.1745379876797</v>
          </cell>
          <cell r="P140">
            <v>0.53</v>
          </cell>
          <cell r="Q140">
            <v>265</v>
          </cell>
          <cell r="R140">
            <v>0.46</v>
          </cell>
        </row>
        <row r="141">
          <cell r="C141" t="str">
            <v>SHREE SINGAJI TPP1</v>
          </cell>
          <cell r="D141" t="str">
            <v xml:space="preserve"> 5-10 years</v>
          </cell>
          <cell r="E141">
            <v>6.5051334702258696</v>
          </cell>
          <cell r="F141">
            <v>600</v>
          </cell>
          <cell r="I141">
            <v>13.445454545454544</v>
          </cell>
          <cell r="L141">
            <v>0.51281763124423196</v>
          </cell>
          <cell r="M141">
            <v>8.111842530590577</v>
          </cell>
          <cell r="N141">
            <v>307.69057874653919</v>
          </cell>
          <cell r="O141">
            <v>3903.0800821355219</v>
          </cell>
          <cell r="P141">
            <v>0.86</v>
          </cell>
          <cell r="Q141">
            <v>516</v>
          </cell>
          <cell r="R141">
            <v>0.86</v>
          </cell>
        </row>
        <row r="142">
          <cell r="C142" t="str">
            <v>CHANDRAPUR STPS5</v>
          </cell>
          <cell r="D142" t="str">
            <v xml:space="preserve"> 25-30 years</v>
          </cell>
          <cell r="E142">
            <v>29.177275838466802</v>
          </cell>
          <cell r="F142">
            <v>500</v>
          </cell>
          <cell r="H142" t="str">
            <v>Y</v>
          </cell>
          <cell r="I142">
            <v>13.258094645080945</v>
          </cell>
          <cell r="J142">
            <v>3366</v>
          </cell>
          <cell r="K142">
            <v>44.626746575342459</v>
          </cell>
          <cell r="L142">
            <v>0.61266395866071</v>
          </cell>
          <cell r="M142">
            <v>9.5561844112395899</v>
          </cell>
          <cell r="N142">
            <v>306.33197933035501</v>
          </cell>
          <cell r="O142">
            <v>14588.637919233401</v>
          </cell>
          <cell r="P142">
            <v>0.99</v>
          </cell>
          <cell r="Q142">
            <v>495</v>
          </cell>
          <cell r="R142">
            <v>0.76</v>
          </cell>
        </row>
        <row r="143">
          <cell r="C143" t="str">
            <v>KORADI TPS9</v>
          </cell>
          <cell r="D143" t="str">
            <v xml:space="preserve"> 0-5 years</v>
          </cell>
          <cell r="E143">
            <v>4.1752224503764497</v>
          </cell>
          <cell r="F143">
            <v>660</v>
          </cell>
          <cell r="I143">
            <v>13.25871212121212</v>
          </cell>
          <cell r="J143">
            <v>0</v>
          </cell>
          <cell r="K143">
            <v>0</v>
          </cell>
          <cell r="L143">
            <v>0.46310997129869952</v>
          </cell>
          <cell r="M143">
            <v>7.2238138704850172</v>
          </cell>
          <cell r="N143">
            <v>305.65258105714167</v>
          </cell>
          <cell r="O143">
            <v>2755.646817248457</v>
          </cell>
          <cell r="P143">
            <v>0.65</v>
          </cell>
          <cell r="Q143">
            <v>429</v>
          </cell>
          <cell r="R143">
            <v>0.67</v>
          </cell>
        </row>
        <row r="144">
          <cell r="C144" t="str">
            <v>IB VALLEY TPS3</v>
          </cell>
          <cell r="D144" t="str">
            <v xml:space="preserve"> 0-5 years</v>
          </cell>
          <cell r="E144">
            <v>0.84052019164955505</v>
          </cell>
          <cell r="F144">
            <v>660</v>
          </cell>
          <cell r="I144">
            <v>13.19</v>
          </cell>
          <cell r="J144">
            <v>3100</v>
          </cell>
          <cell r="K144">
            <v>40.889000000000003</v>
          </cell>
          <cell r="L144">
            <v>0.46087687334037442</v>
          </cell>
          <cell r="M144">
            <v>7.1517246580700453</v>
          </cell>
          <cell r="N144">
            <v>304.17873640464711</v>
          </cell>
          <cell r="O144">
            <v>554.74332648870632</v>
          </cell>
        </row>
        <row r="145">
          <cell r="C145" t="str">
            <v>BARA TPP3</v>
          </cell>
          <cell r="D145" t="str">
            <v xml:space="preserve"> 0-5 years</v>
          </cell>
          <cell r="E145">
            <v>3.0088980150581701</v>
          </cell>
          <cell r="F145">
            <v>660</v>
          </cell>
          <cell r="I145">
            <v>13.261248852157941</v>
          </cell>
          <cell r="L145">
            <v>0.46042392482258521</v>
          </cell>
          <cell r="M145">
            <v>7.1832896994818372</v>
          </cell>
          <cell r="N145">
            <v>303.87979038290621</v>
          </cell>
          <cell r="O145">
            <v>1985.8726899383923</v>
          </cell>
          <cell r="P145" t="str">
            <v/>
          </cell>
          <cell r="R145" t="str">
            <v/>
          </cell>
        </row>
        <row r="146">
          <cell r="C146" t="str">
            <v>ANPARA TPS7</v>
          </cell>
          <cell r="D146" t="str">
            <v xml:space="preserve"> 0-5 years</v>
          </cell>
          <cell r="E146">
            <v>4.1752224503764497</v>
          </cell>
          <cell r="F146">
            <v>600</v>
          </cell>
          <cell r="I146">
            <v>12.500749903363012</v>
          </cell>
          <cell r="J146">
            <v>0</v>
          </cell>
          <cell r="K146">
            <v>0</v>
          </cell>
          <cell r="L146">
            <v>0.50475270687055762</v>
          </cell>
          <cell r="M146">
            <v>7.4232792372168737</v>
          </cell>
          <cell r="N146">
            <v>302.85162412233456</v>
          </cell>
          <cell r="O146">
            <v>2505.1334702258696</v>
          </cell>
          <cell r="P146" t="str">
            <v/>
          </cell>
          <cell r="R146" t="str">
            <v/>
          </cell>
        </row>
        <row r="147">
          <cell r="C147" t="str">
            <v>CHHABRA TPS5</v>
          </cell>
          <cell r="D147" t="str">
            <v xml:space="preserve"> 0-5 years</v>
          </cell>
          <cell r="E147">
            <v>3.0910335386721401</v>
          </cell>
          <cell r="F147">
            <v>660</v>
          </cell>
          <cell r="I147">
            <v>6.070098576122672</v>
          </cell>
          <cell r="J147">
            <v>4576</v>
          </cell>
          <cell r="K147">
            <v>27.776771084337348</v>
          </cell>
          <cell r="L147">
            <v>0.44531428898248482</v>
          </cell>
          <cell r="M147">
            <v>3.1801195664466602</v>
          </cell>
          <cell r="N147">
            <v>293.90743072843998</v>
          </cell>
          <cell r="O147">
            <v>2040.0821355236126</v>
          </cell>
          <cell r="P147" t="str">
            <v/>
          </cell>
          <cell r="R147" t="str">
            <v/>
          </cell>
        </row>
        <row r="148">
          <cell r="C148" t="str">
            <v>DERANG TPP1</v>
          </cell>
          <cell r="D148" t="str">
            <v xml:space="preserve"> 5-10 years</v>
          </cell>
          <cell r="E148">
            <v>6.0917180013689203</v>
          </cell>
          <cell r="F148">
            <v>600</v>
          </cell>
          <cell r="I148">
            <v>13.94</v>
          </cell>
          <cell r="L148">
            <v>0.48737016383197568</v>
          </cell>
          <cell r="M148">
            <v>7.9928706868444008</v>
          </cell>
          <cell r="N148">
            <v>292.42209829918539</v>
          </cell>
          <cell r="O148">
            <v>3655.0308008213524</v>
          </cell>
          <cell r="P148">
            <v>0.61</v>
          </cell>
          <cell r="Q148">
            <v>366</v>
          </cell>
          <cell r="R148">
            <v>0.52</v>
          </cell>
        </row>
        <row r="149">
          <cell r="C149" t="str">
            <v>LALITPUR TPS3</v>
          </cell>
          <cell r="D149" t="str">
            <v xml:space="preserve"> 0-5 years</v>
          </cell>
          <cell r="E149">
            <v>4.0903490759753502</v>
          </cell>
          <cell r="F149">
            <v>660</v>
          </cell>
          <cell r="I149">
            <v>10.697407407407447</v>
          </cell>
          <cell r="L149">
            <v>0.44282023605762943</v>
          </cell>
          <cell r="M149">
            <v>5.5729746745327047</v>
          </cell>
          <cell r="N149">
            <v>292.26135579803542</v>
          </cell>
          <cell r="O149">
            <v>2699.6303901437313</v>
          </cell>
          <cell r="P149">
            <v>1.08</v>
          </cell>
          <cell r="Q149">
            <v>712.80000000000007</v>
          </cell>
          <cell r="R149">
            <v>1.1399999999999999</v>
          </cell>
        </row>
        <row r="150">
          <cell r="C150" t="str">
            <v>SHREE SINGAJI TPP2</v>
          </cell>
          <cell r="D150" t="str">
            <v xml:space="preserve"> 5-10 years</v>
          </cell>
          <cell r="E150">
            <v>5.5906913073237501</v>
          </cell>
          <cell r="F150">
            <v>600</v>
          </cell>
          <cell r="I150">
            <v>13.445454545454544</v>
          </cell>
          <cell r="L150">
            <v>0.48362332593809515</v>
          </cell>
          <cell r="M150">
            <v>7.6500417012025954</v>
          </cell>
          <cell r="N150">
            <v>290.1739955628571</v>
          </cell>
          <cell r="O150">
            <v>3354.4147843942501</v>
          </cell>
          <cell r="P150">
            <v>0.56999999999999995</v>
          </cell>
          <cell r="Q150">
            <v>341.99999999999994</v>
          </cell>
          <cell r="R150">
            <v>0.42</v>
          </cell>
        </row>
        <row r="151">
          <cell r="C151" t="str">
            <v>MEJIA TPS8</v>
          </cell>
          <cell r="D151" t="str">
            <v xml:space="preserve"> 5-10 years</v>
          </cell>
          <cell r="E151">
            <v>9.1772758384667998</v>
          </cell>
          <cell r="F151">
            <v>500</v>
          </cell>
          <cell r="I151">
            <v>12.218034993270546</v>
          </cell>
          <cell r="J151">
            <v>0</v>
          </cell>
          <cell r="K151">
            <v>0</v>
          </cell>
          <cell r="L151">
            <v>0.57972006629941497</v>
          </cell>
          <cell r="M151">
            <v>8.3329883015851447</v>
          </cell>
          <cell r="N151">
            <v>289.86003314970748</v>
          </cell>
          <cell r="O151">
            <v>4588.6379192333998</v>
          </cell>
          <cell r="P151">
            <v>0.75</v>
          </cell>
          <cell r="Q151">
            <v>375</v>
          </cell>
          <cell r="R151">
            <v>0.69</v>
          </cell>
        </row>
        <row r="152">
          <cell r="C152" t="str">
            <v>SEIONI TPP1</v>
          </cell>
          <cell r="D152" t="str">
            <v xml:space="preserve"> 0-5 years</v>
          </cell>
          <cell r="E152">
            <v>4.1752224503764497</v>
          </cell>
          <cell r="F152">
            <v>600</v>
          </cell>
          <cell r="I152">
            <v>13.265151515151516</v>
          </cell>
          <cell r="J152">
            <v>0</v>
          </cell>
          <cell r="K152">
            <v>0</v>
          </cell>
          <cell r="L152">
            <v>0.48200416850586458</v>
          </cell>
          <cell r="M152">
            <v>7.5221862660763721</v>
          </cell>
          <cell r="N152">
            <v>289.20250110351873</v>
          </cell>
          <cell r="O152">
            <v>2505.1334702258696</v>
          </cell>
          <cell r="P152">
            <v>0.72</v>
          </cell>
          <cell r="Q152">
            <v>432</v>
          </cell>
          <cell r="R152">
            <v>0.74</v>
          </cell>
        </row>
        <row r="153">
          <cell r="C153" t="str">
            <v>DADRI (NCTPP)6</v>
          </cell>
          <cell r="D153" t="str">
            <v xml:space="preserve"> 5-10 years</v>
          </cell>
          <cell r="E153">
            <v>9.8425735797399003</v>
          </cell>
          <cell r="F153">
            <v>490</v>
          </cell>
          <cell r="I153">
            <v>11.349596412556105</v>
          </cell>
          <cell r="L153">
            <v>0.58915024241150082</v>
          </cell>
          <cell r="M153">
            <v>7.8666087973295644</v>
          </cell>
          <cell r="N153">
            <v>288.6836187816354</v>
          </cell>
          <cell r="O153">
            <v>4822.8610540725513</v>
          </cell>
          <cell r="P153">
            <v>1.01</v>
          </cell>
          <cell r="Q153">
            <v>494.9</v>
          </cell>
          <cell r="R153">
            <v>0.56999999999999995</v>
          </cell>
        </row>
        <row r="154">
          <cell r="C154" t="str">
            <v>OP JINDAL TPS23</v>
          </cell>
          <cell r="D154" t="str">
            <v xml:space="preserve"> 5-10 years</v>
          </cell>
          <cell r="E154">
            <v>5.3388090349075901</v>
          </cell>
          <cell r="F154">
            <v>600</v>
          </cell>
          <cell r="I154">
            <v>12.53</v>
          </cell>
          <cell r="L154">
            <v>0.47152263993616322</v>
          </cell>
          <cell r="M154">
            <v>6.950798445176618</v>
          </cell>
          <cell r="N154">
            <v>282.91358396169795</v>
          </cell>
          <cell r="O154">
            <v>3203.2854209445541</v>
          </cell>
          <cell r="P154" t="str">
            <v/>
          </cell>
          <cell r="R154" t="str">
            <v/>
          </cell>
        </row>
        <row r="155">
          <cell r="C155" t="str">
            <v>CHANDRAPUR STPS7</v>
          </cell>
          <cell r="D155" t="str">
            <v xml:space="preserve"> 20-25 years</v>
          </cell>
          <cell r="E155">
            <v>22.590006844626899</v>
          </cell>
          <cell r="F155">
            <v>500</v>
          </cell>
          <cell r="I155">
            <v>13.258094645080945</v>
          </cell>
          <cell r="J155">
            <v>3366</v>
          </cell>
          <cell r="K155">
            <v>44.626746575342459</v>
          </cell>
          <cell r="L155">
            <v>0.56035945102141671</v>
          </cell>
          <cell r="M155">
            <v>8.7403513375382857</v>
          </cell>
          <cell r="N155">
            <v>280.17972551070835</v>
          </cell>
          <cell r="O155">
            <v>11295.00342231345</v>
          </cell>
          <cell r="P155">
            <v>0.77</v>
          </cell>
          <cell r="Q155">
            <v>385</v>
          </cell>
          <cell r="R155">
            <v>0.52</v>
          </cell>
        </row>
        <row r="156">
          <cell r="C156" t="str">
            <v>UDUPI TPP2</v>
          </cell>
          <cell r="D156" t="str">
            <v xml:space="preserve"> 5-10 years</v>
          </cell>
          <cell r="E156">
            <v>8.1752224503764506</v>
          </cell>
          <cell r="F156">
            <v>600</v>
          </cell>
          <cell r="I156">
            <v>12.5</v>
          </cell>
          <cell r="J156">
            <v>5568</v>
          </cell>
          <cell r="K156">
            <v>69.599999999999994</v>
          </cell>
          <cell r="L156">
            <v>0.46272421071423614</v>
          </cell>
          <cell r="M156">
            <v>6.80476780462112</v>
          </cell>
          <cell r="N156">
            <v>277.63452642854168</v>
          </cell>
          <cell r="O156">
            <v>4905.13347022587</v>
          </cell>
          <cell r="P156">
            <v>0.98</v>
          </cell>
          <cell r="Q156">
            <v>588</v>
          </cell>
          <cell r="R156">
            <v>1.18</v>
          </cell>
        </row>
        <row r="157">
          <cell r="C157" t="str">
            <v>RAIKHEDA TPP1</v>
          </cell>
          <cell r="D157" t="str">
            <v xml:space="preserve"> 5-10 years</v>
          </cell>
          <cell r="E157">
            <v>5.2539356605065004</v>
          </cell>
          <cell r="F157">
            <v>685</v>
          </cell>
          <cell r="I157">
            <v>12.33</v>
          </cell>
          <cell r="L157">
            <v>0.40413457402160524</v>
          </cell>
          <cell r="M157">
            <v>5.8623285855134029</v>
          </cell>
          <cell r="N157">
            <v>276.83218320479961</v>
          </cell>
          <cell r="O157">
            <v>3598.9459274469527</v>
          </cell>
          <cell r="P157">
            <v>0.45</v>
          </cell>
          <cell r="Q157">
            <v>308.25</v>
          </cell>
          <cell r="R157">
            <v>0.41</v>
          </cell>
        </row>
        <row r="158">
          <cell r="C158" t="str">
            <v>KUDGI STPP1</v>
          </cell>
          <cell r="D158" t="str">
            <v xml:space="preserve"> 0-5 years</v>
          </cell>
          <cell r="E158">
            <v>3.3566050650239498</v>
          </cell>
          <cell r="F158">
            <v>800</v>
          </cell>
          <cell r="I158">
            <v>13.261931818181816</v>
          </cell>
          <cell r="J158">
            <v>3540</v>
          </cell>
          <cell r="K158">
            <v>46.947238636363629</v>
          </cell>
          <cell r="L158">
            <v>0.33382982699398489</v>
          </cell>
          <cell r="M158">
            <v>5.2085040052584226</v>
          </cell>
          <cell r="N158">
            <v>267.06386159518792</v>
          </cell>
          <cell r="O158">
            <v>2685.2840520191598</v>
          </cell>
        </row>
        <row r="159">
          <cell r="C159" t="str">
            <v>INDIRA GANDHI STPP3</v>
          </cell>
          <cell r="D159" t="str">
            <v xml:space="preserve"> 5-10 years</v>
          </cell>
          <cell r="E159">
            <v>7.5044490075290797</v>
          </cell>
          <cell r="F159">
            <v>500</v>
          </cell>
          <cell r="I159">
            <v>12.433773087071287</v>
          </cell>
          <cell r="J159">
            <v>0</v>
          </cell>
          <cell r="K159">
            <v>0</v>
          </cell>
          <cell r="L159">
            <v>0.53257943464519586</v>
          </cell>
          <cell r="M159">
            <v>7.7905551073165622</v>
          </cell>
          <cell r="N159">
            <v>266.28971732259794</v>
          </cell>
          <cell r="O159">
            <v>3752.2245037645398</v>
          </cell>
          <cell r="P159">
            <v>1.05</v>
          </cell>
          <cell r="Q159">
            <v>525</v>
          </cell>
          <cell r="R159">
            <v>0.59</v>
          </cell>
        </row>
        <row r="160">
          <cell r="C160" t="str">
            <v>MAUDA TPS2</v>
          </cell>
          <cell r="D160" t="str">
            <v xml:space="preserve"> 5-10 years</v>
          </cell>
          <cell r="E160">
            <v>7.1759069130732298</v>
          </cell>
          <cell r="F160">
            <v>500</v>
          </cell>
          <cell r="I160">
            <v>15.590075809786397</v>
          </cell>
          <cell r="J160">
            <v>0</v>
          </cell>
          <cell r="K160">
            <v>0</v>
          </cell>
          <cell r="L160">
            <v>0.53211521244945836</v>
          </cell>
          <cell r="M160">
            <v>9.7596664725031186</v>
          </cell>
          <cell r="N160">
            <v>266.05760622472917</v>
          </cell>
          <cell r="O160">
            <v>3587.9534565366148</v>
          </cell>
          <cell r="P160">
            <v>0.47</v>
          </cell>
          <cell r="Q160">
            <v>235</v>
          </cell>
          <cell r="R160">
            <v>0.59</v>
          </cell>
        </row>
        <row r="161">
          <cell r="C161" t="str">
            <v>MUNDRA TPS6</v>
          </cell>
          <cell r="D161" t="str">
            <v xml:space="preserve"> 5-10 years</v>
          </cell>
          <cell r="E161">
            <v>8.8432580424366805</v>
          </cell>
          <cell r="F161">
            <v>660</v>
          </cell>
          <cell r="I161">
            <v>12.53</v>
          </cell>
          <cell r="L161">
            <v>0.40235289686195769</v>
          </cell>
          <cell r="M161">
            <v>5.9311550560945063</v>
          </cell>
          <cell r="N161">
            <v>265.55291192889206</v>
          </cell>
          <cell r="O161">
            <v>5836.550308008209</v>
          </cell>
          <cell r="P161">
            <v>0.48</v>
          </cell>
          <cell r="Q161">
            <v>316.8</v>
          </cell>
          <cell r="R161">
            <v>0.49</v>
          </cell>
        </row>
        <row r="162">
          <cell r="C162" t="str">
            <v>VALLUR TPP1</v>
          </cell>
          <cell r="D162" t="str">
            <v xml:space="preserve"> 5-10 years</v>
          </cell>
          <cell r="E162">
            <v>8.1752224503764506</v>
          </cell>
          <cell r="F162">
            <v>500</v>
          </cell>
          <cell r="I162">
            <v>12.66</v>
          </cell>
          <cell r="J162">
            <v>0</v>
          </cell>
          <cell r="K162">
            <v>0</v>
          </cell>
          <cell r="L162">
            <v>0.52164714791861588</v>
          </cell>
          <cell r="M162">
            <v>7.7694739913525614</v>
          </cell>
          <cell r="N162">
            <v>260.82357395930796</v>
          </cell>
          <cell r="O162">
            <v>4087.6112251882255</v>
          </cell>
          <cell r="P162">
            <v>0.75</v>
          </cell>
          <cell r="Q162">
            <v>375</v>
          </cell>
          <cell r="R162">
            <v>0.77</v>
          </cell>
        </row>
        <row r="163">
          <cell r="C163" t="str">
            <v>HALDIA TPP2</v>
          </cell>
          <cell r="D163" t="str">
            <v xml:space="preserve"> 5-10 years</v>
          </cell>
          <cell r="E163">
            <v>5.2539356605065004</v>
          </cell>
          <cell r="F163">
            <v>300</v>
          </cell>
          <cell r="I163">
            <v>13.228431163287091</v>
          </cell>
          <cell r="J163">
            <v>0</v>
          </cell>
          <cell r="K163">
            <v>0</v>
          </cell>
          <cell r="L163">
            <v>0.86689660928721668</v>
          </cell>
          <cell r="M163">
            <v>13.491390731344625</v>
          </cell>
          <cell r="N163">
            <v>260.06898278616501</v>
          </cell>
          <cell r="O163">
            <v>1576.1806981519501</v>
          </cell>
          <cell r="P163">
            <v>0.78</v>
          </cell>
          <cell r="Q163">
            <v>234</v>
          </cell>
          <cell r="R163">
            <v>0.93</v>
          </cell>
        </row>
        <row r="164">
          <cell r="C164" t="str">
            <v>VALLUR TPP2</v>
          </cell>
          <cell r="D164" t="str">
            <v xml:space="preserve"> 5-10 years</v>
          </cell>
          <cell r="E164">
            <v>7.2525667351129304</v>
          </cell>
          <cell r="F164">
            <v>500</v>
          </cell>
          <cell r="I164">
            <v>12.66</v>
          </cell>
          <cell r="J164">
            <v>0</v>
          </cell>
          <cell r="K164">
            <v>0</v>
          </cell>
          <cell r="L164">
            <v>0.52009688984232916</v>
          </cell>
          <cell r="M164">
            <v>7.7463842651810442</v>
          </cell>
          <cell r="N164">
            <v>260.04844492116456</v>
          </cell>
          <cell r="O164">
            <v>3626.2833675564652</v>
          </cell>
          <cell r="P164">
            <v>0.8</v>
          </cell>
          <cell r="Q164">
            <v>400</v>
          </cell>
          <cell r="R164">
            <v>0.85</v>
          </cell>
        </row>
        <row r="165">
          <cell r="C165" t="str">
            <v>NABINAGAR STPP1</v>
          </cell>
          <cell r="D165" t="str">
            <v xml:space="preserve"> 0-5 years</v>
          </cell>
          <cell r="E165">
            <v>0.81040383299110197</v>
          </cell>
          <cell r="F165">
            <v>660</v>
          </cell>
          <cell r="I165">
            <v>13.39</v>
          </cell>
          <cell r="L165">
            <v>0.39093724485305364</v>
          </cell>
          <cell r="M165">
            <v>6.1584114218616337</v>
          </cell>
          <cell r="N165">
            <v>258.01858160301538</v>
          </cell>
          <cell r="O165">
            <v>534.86652977412734</v>
          </cell>
        </row>
        <row r="166">
          <cell r="C166" t="str">
            <v>HALDIA TPP1</v>
          </cell>
          <cell r="D166" t="str">
            <v xml:space="preserve"> 5-10 years</v>
          </cell>
          <cell r="E166">
            <v>5.3388090349075901</v>
          </cell>
          <cell r="F166">
            <v>300</v>
          </cell>
          <cell r="I166">
            <v>13.228431163287091</v>
          </cell>
          <cell r="J166">
            <v>0</v>
          </cell>
          <cell r="K166">
            <v>0</v>
          </cell>
          <cell r="L166">
            <v>0.85703171819933754</v>
          </cell>
          <cell r="M166">
            <v>13.337864810533643</v>
          </cell>
          <cell r="N166">
            <v>257.10951545980129</v>
          </cell>
          <cell r="O166">
            <v>1601.642710472277</v>
          </cell>
          <cell r="P166">
            <v>0.93</v>
          </cell>
          <cell r="Q166">
            <v>279</v>
          </cell>
          <cell r="R166">
            <v>0.73</v>
          </cell>
        </row>
        <row r="167">
          <cell r="C167" t="str">
            <v>LALITPUR TPS1</v>
          </cell>
          <cell r="D167" t="str">
            <v xml:space="preserve"> 0-5 years</v>
          </cell>
          <cell r="E167">
            <v>4.1752224503764497</v>
          </cell>
          <cell r="F167">
            <v>660</v>
          </cell>
          <cell r="I167">
            <v>10.697407407407447</v>
          </cell>
          <cell r="L167">
            <v>0.38652147713071844</v>
          </cell>
          <cell r="M167">
            <v>4.8644443677414291</v>
          </cell>
          <cell r="N167">
            <v>255.10417490627418</v>
          </cell>
          <cell r="O167">
            <v>2755.646817248457</v>
          </cell>
          <cell r="P167">
            <v>0.98</v>
          </cell>
          <cell r="Q167">
            <v>646.79999999999995</v>
          </cell>
          <cell r="R167">
            <v>1.06</v>
          </cell>
        </row>
        <row r="168">
          <cell r="C168" t="str">
            <v>JSW RATNAGIRI TPP1</v>
          </cell>
          <cell r="D168" t="str">
            <v xml:space="preserve"> 5-10 years</v>
          </cell>
          <cell r="E168">
            <v>9.7577002053388</v>
          </cell>
          <cell r="F168">
            <v>300</v>
          </cell>
          <cell r="I168">
            <v>12.11</v>
          </cell>
          <cell r="L168">
            <v>0.83802919576396806</v>
          </cell>
          <cell r="M168">
            <v>11.939451247884298</v>
          </cell>
          <cell r="N168">
            <v>251.40875872919042</v>
          </cell>
          <cell r="O168">
            <v>2927.31006160164</v>
          </cell>
          <cell r="P168">
            <v>1.31</v>
          </cell>
          <cell r="Q168">
            <v>393</v>
          </cell>
          <cell r="R168">
            <v>1</v>
          </cell>
        </row>
        <row r="169">
          <cell r="C169" t="str">
            <v>BANDAKHAR TPP1</v>
          </cell>
          <cell r="D169" t="str">
            <v xml:space="preserve"> 0-5 years</v>
          </cell>
          <cell r="E169">
            <v>4.8432580424366796</v>
          </cell>
          <cell r="F169">
            <v>300</v>
          </cell>
          <cell r="I169">
            <v>12.33</v>
          </cell>
          <cell r="L169">
            <v>0.83089808747596661</v>
          </cell>
          <cell r="M169">
            <v>12.052909904210198</v>
          </cell>
          <cell r="N169">
            <v>249.26942624278999</v>
          </cell>
          <cell r="O169">
            <v>1452.9774127310038</v>
          </cell>
          <cell r="P169" t="str">
            <v/>
          </cell>
          <cell r="R169" t="str">
            <v/>
          </cell>
        </row>
        <row r="170">
          <cell r="C170" t="str">
            <v>UDUPI TPP1</v>
          </cell>
          <cell r="D170" t="str">
            <v xml:space="preserve"> 5-10 years</v>
          </cell>
          <cell r="E170">
            <v>8.1752224503764506</v>
          </cell>
          <cell r="F170">
            <v>600</v>
          </cell>
          <cell r="I170">
            <v>12.5</v>
          </cell>
          <cell r="J170">
            <v>5568</v>
          </cell>
          <cell r="K170">
            <v>69.599999999999994</v>
          </cell>
          <cell r="L170">
            <v>0.41541514166485133</v>
          </cell>
          <cell r="M170">
            <v>6.1090462009536965</v>
          </cell>
          <cell r="N170">
            <v>249.2490849989108</v>
          </cell>
          <cell r="O170">
            <v>4905.13347022587</v>
          </cell>
          <cell r="P170">
            <v>0.81</v>
          </cell>
          <cell r="Q170">
            <v>486.00000000000006</v>
          </cell>
          <cell r="R170">
            <v>1.1100000000000001</v>
          </cell>
        </row>
        <row r="171">
          <cell r="C171" t="str">
            <v>KALISINDH TPS2</v>
          </cell>
          <cell r="D171" t="str">
            <v xml:space="preserve"> 0-5 years</v>
          </cell>
          <cell r="E171">
            <v>4.9253935660506496</v>
          </cell>
          <cell r="F171">
            <v>600</v>
          </cell>
          <cell r="I171">
            <v>13.19</v>
          </cell>
          <cell r="J171">
            <v>4358</v>
          </cell>
          <cell r="K171">
            <v>57.482019999999999</v>
          </cell>
          <cell r="L171">
            <v>0.41169665194501248</v>
          </cell>
          <cell r="M171">
            <v>6.3885633401820163</v>
          </cell>
          <cell r="N171">
            <v>247.01799116700749</v>
          </cell>
          <cell r="O171">
            <v>2955.23613963039</v>
          </cell>
          <cell r="P171">
            <v>0.74</v>
          </cell>
          <cell r="Q171">
            <v>444</v>
          </cell>
          <cell r="R171">
            <v>0.79</v>
          </cell>
        </row>
        <row r="172">
          <cell r="C172" t="str">
            <v>CHANDRAPUR STPS6</v>
          </cell>
          <cell r="D172" t="str">
            <v xml:space="preserve"> 25-30 years</v>
          </cell>
          <cell r="E172">
            <v>28.175222450376399</v>
          </cell>
          <cell r="F172">
            <v>500</v>
          </cell>
          <cell r="H172" t="str">
            <v>Y</v>
          </cell>
          <cell r="I172">
            <v>13.258094645080945</v>
          </cell>
          <cell r="J172">
            <v>3366</v>
          </cell>
          <cell r="K172">
            <v>44.626746575342459</v>
          </cell>
          <cell r="L172">
            <v>0.4896267827127142</v>
          </cell>
          <cell r="M172">
            <v>7.6370802658489971</v>
          </cell>
          <cell r="N172">
            <v>244.8133913563571</v>
          </cell>
          <cell r="O172">
            <v>14087.611225188199</v>
          </cell>
          <cell r="P172">
            <v>0.56999999999999995</v>
          </cell>
          <cell r="Q172">
            <v>285</v>
          </cell>
          <cell r="R172">
            <v>0.61</v>
          </cell>
        </row>
        <row r="173">
          <cell r="C173" t="str">
            <v>SHREE SINGAJI TPP4</v>
          </cell>
          <cell r="D173" t="str">
            <v xml:space="preserve"> 0-5 years</v>
          </cell>
          <cell r="E173">
            <v>1.06776180698151</v>
          </cell>
          <cell r="F173">
            <v>660</v>
          </cell>
          <cell r="I173">
            <v>13.445454545454544</v>
          </cell>
          <cell r="L173">
            <v>0.36873574241419826</v>
          </cell>
          <cell r="M173">
            <v>5.8327290163700454</v>
          </cell>
          <cell r="N173">
            <v>243.36558999337086</v>
          </cell>
          <cell r="O173">
            <v>704.72279260779658</v>
          </cell>
        </row>
        <row r="174">
          <cell r="C174" t="str">
            <v>MUNDRA TPS2</v>
          </cell>
          <cell r="D174" t="str">
            <v xml:space="preserve"> 10-15 years</v>
          </cell>
          <cell r="E174">
            <v>10.17659137577</v>
          </cell>
          <cell r="F174">
            <v>330</v>
          </cell>
          <cell r="I174">
            <v>12.53</v>
          </cell>
          <cell r="L174">
            <v>0.72683906695433842</v>
          </cell>
          <cell r="M174">
            <v>10.714462951691599</v>
          </cell>
          <cell r="N174">
            <v>239.85689209493168</v>
          </cell>
          <cell r="O174">
            <v>3358.2751540040999</v>
          </cell>
          <cell r="P174">
            <v>0.77</v>
          </cell>
          <cell r="Q174">
            <v>254.1</v>
          </cell>
          <cell r="R174">
            <v>0.91</v>
          </cell>
        </row>
        <row r="175">
          <cell r="C175" t="str">
            <v>MUNDRA TPS3</v>
          </cell>
          <cell r="D175" t="str">
            <v xml:space="preserve"> 5-10 years</v>
          </cell>
          <cell r="E175">
            <v>9.7577002053388</v>
          </cell>
          <cell r="F175">
            <v>330</v>
          </cell>
          <cell r="I175">
            <v>12.53</v>
          </cell>
          <cell r="L175">
            <v>0.7244156433346477</v>
          </cell>
          <cell r="M175">
            <v>10.678738836450748</v>
          </cell>
          <cell r="N175">
            <v>239.05716230043373</v>
          </cell>
          <cell r="O175">
            <v>3220.0410677618038</v>
          </cell>
          <cell r="P175">
            <v>0.85</v>
          </cell>
          <cell r="Q175">
            <v>280.5</v>
          </cell>
          <cell r="R175">
            <v>0.69</v>
          </cell>
        </row>
        <row r="176">
          <cell r="C176" t="str">
            <v>MAHAN TPP1</v>
          </cell>
          <cell r="D176" t="str">
            <v xml:space="preserve"> 5-10 years</v>
          </cell>
          <cell r="E176">
            <v>7.2525667351129304</v>
          </cell>
          <cell r="F176">
            <v>600</v>
          </cell>
          <cell r="I176">
            <v>13.26</v>
          </cell>
          <cell r="L176">
            <v>0.3982640157935618</v>
          </cell>
          <cell r="M176">
            <v>6.2129186463795643</v>
          </cell>
          <cell r="N176">
            <v>238.95840947613709</v>
          </cell>
          <cell r="O176">
            <v>4351.5400410677585</v>
          </cell>
          <cell r="P176">
            <v>0.9</v>
          </cell>
          <cell r="Q176">
            <v>540</v>
          </cell>
          <cell r="R176">
            <v>0.81</v>
          </cell>
        </row>
        <row r="177">
          <cell r="C177" t="str">
            <v>MUNDRA TPS4</v>
          </cell>
          <cell r="D177" t="str">
            <v xml:space="preserve"> 5-10 years</v>
          </cell>
          <cell r="E177">
            <v>9.4236824093086895</v>
          </cell>
          <cell r="F177">
            <v>330</v>
          </cell>
          <cell r="I177">
            <v>12.53</v>
          </cell>
          <cell r="L177">
            <v>0.72236190959279278</v>
          </cell>
          <cell r="M177">
            <v>10.648464384938462</v>
          </cell>
          <cell r="N177">
            <v>238.37943016562161</v>
          </cell>
          <cell r="O177">
            <v>3109.8151950718675</v>
          </cell>
          <cell r="P177">
            <v>0.89</v>
          </cell>
          <cell r="Q177">
            <v>293.7</v>
          </cell>
          <cell r="R177">
            <v>0.81</v>
          </cell>
        </row>
        <row r="178">
          <cell r="C178" t="str">
            <v>DHARIWAL TPS2</v>
          </cell>
          <cell r="D178" t="str">
            <v xml:space="preserve"> 5-10 years</v>
          </cell>
          <cell r="E178">
            <v>6.00958247775496</v>
          </cell>
          <cell r="F178">
            <v>300</v>
          </cell>
          <cell r="I178">
            <v>8.6276396058188691</v>
          </cell>
          <cell r="L178">
            <v>0.79029549950818612</v>
          </cell>
          <cell r="M178">
            <v>8.0216291198320402</v>
          </cell>
          <cell r="N178">
            <v>237.08864985245583</v>
          </cell>
          <cell r="O178">
            <v>1802.874743326488</v>
          </cell>
          <cell r="P178">
            <v>1.18</v>
          </cell>
          <cell r="Q178">
            <v>354</v>
          </cell>
          <cell r="R178">
            <v>1.0900000000000001</v>
          </cell>
        </row>
        <row r="179">
          <cell r="C179" t="str">
            <v>RAGHUNATHPUR TPP2</v>
          </cell>
          <cell r="D179" t="str">
            <v xml:space="preserve"> 0-5 years</v>
          </cell>
          <cell r="E179">
            <v>4.33949349760438</v>
          </cell>
          <cell r="F179">
            <v>600</v>
          </cell>
          <cell r="I179">
            <v>13.265151515151516</v>
          </cell>
          <cell r="J179">
            <v>0</v>
          </cell>
          <cell r="K179">
            <v>0</v>
          </cell>
          <cell r="L179">
            <v>0.39377240975873329</v>
          </cell>
          <cell r="M179">
            <v>6.1452360916893225</v>
          </cell>
          <cell r="N179">
            <v>236.26344585523998</v>
          </cell>
          <cell r="O179">
            <v>2603.6960985626279</v>
          </cell>
          <cell r="P179">
            <v>0.53</v>
          </cell>
          <cell r="Q179">
            <v>318</v>
          </cell>
          <cell r="R179">
            <v>0.36</v>
          </cell>
        </row>
        <row r="180">
          <cell r="C180" t="str">
            <v>NTPL TUTICORIN (JV) TPP2</v>
          </cell>
          <cell r="D180" t="str">
            <v xml:space="preserve"> 0-5 years</v>
          </cell>
          <cell r="E180">
            <v>4.8432580424366796</v>
          </cell>
          <cell r="F180">
            <v>500</v>
          </cell>
          <cell r="I180">
            <v>10.722184300341301</v>
          </cell>
          <cell r="J180">
            <v>4652</v>
          </cell>
          <cell r="K180">
            <v>49.879601365187732</v>
          </cell>
          <cell r="L180">
            <v>0.47051765251485494</v>
          </cell>
          <cell r="M180">
            <v>5.9352670433273191</v>
          </cell>
          <cell r="N180">
            <v>235.25882625742747</v>
          </cell>
          <cell r="O180">
            <v>2421.6290212183399</v>
          </cell>
        </row>
        <row r="181">
          <cell r="C181" t="str">
            <v>KAMALANGA TPS3</v>
          </cell>
          <cell r="D181" t="str">
            <v xml:space="preserve"> 5-10 years</v>
          </cell>
          <cell r="E181">
            <v>6.1765913757700197</v>
          </cell>
          <cell r="F181">
            <v>350</v>
          </cell>
          <cell r="I181">
            <v>13.94</v>
          </cell>
          <cell r="J181">
            <v>0</v>
          </cell>
          <cell r="K181">
            <v>0</v>
          </cell>
          <cell r="L181">
            <v>0.6679024307439666</v>
          </cell>
          <cell r="M181">
            <v>10.953599864201053</v>
          </cell>
          <cell r="N181">
            <v>233.7658507603883</v>
          </cell>
          <cell r="O181">
            <v>2161.8069815195067</v>
          </cell>
          <cell r="P181">
            <v>1.26</v>
          </cell>
          <cell r="Q181">
            <v>441</v>
          </cell>
          <cell r="R181">
            <v>1.37</v>
          </cell>
        </row>
        <row r="182">
          <cell r="C182" t="str">
            <v>KAMALANGA TPS2</v>
          </cell>
          <cell r="D182" t="str">
            <v xml:space="preserve"> 5-10 years</v>
          </cell>
          <cell r="E182">
            <v>6.6721423682409302</v>
          </cell>
          <cell r="F182">
            <v>350</v>
          </cell>
          <cell r="I182">
            <v>13.94</v>
          </cell>
          <cell r="J182">
            <v>0</v>
          </cell>
          <cell r="K182">
            <v>0</v>
          </cell>
          <cell r="L182">
            <v>0.66671829245411063</v>
          </cell>
          <cell r="M182">
            <v>10.934179996247416</v>
          </cell>
          <cell r="N182">
            <v>233.35140235893871</v>
          </cell>
          <cell r="O182">
            <v>2335.2498288843258</v>
          </cell>
          <cell r="P182">
            <v>1.01</v>
          </cell>
          <cell r="Q182">
            <v>353.5</v>
          </cell>
          <cell r="R182">
            <v>1.18</v>
          </cell>
        </row>
        <row r="183">
          <cell r="C183" t="str">
            <v>BUDGE BUDGE TPS3</v>
          </cell>
          <cell r="D183" t="str">
            <v xml:space="preserve"> 10-15 years</v>
          </cell>
          <cell r="E183">
            <v>10.6721423682409</v>
          </cell>
          <cell r="F183">
            <v>250</v>
          </cell>
          <cell r="I183">
            <v>11.268016194331993</v>
          </cell>
          <cell r="J183">
            <v>0</v>
          </cell>
          <cell r="K183">
            <v>0</v>
          </cell>
          <cell r="L183">
            <v>0.93339052502723829</v>
          </cell>
          <cell r="M183">
            <v>12.37348182546231</v>
          </cell>
          <cell r="N183">
            <v>233.34763125680956</v>
          </cell>
          <cell r="O183">
            <v>2668.0355920602251</v>
          </cell>
          <cell r="P183">
            <v>0.83</v>
          </cell>
          <cell r="Q183">
            <v>207.5</v>
          </cell>
          <cell r="R183">
            <v>0.85</v>
          </cell>
        </row>
        <row r="184">
          <cell r="C184" t="str">
            <v>GMR WARORA TPS1</v>
          </cell>
          <cell r="D184" t="str">
            <v xml:space="preserve"> 5-10 years</v>
          </cell>
          <cell r="E184">
            <v>7.2525667351129304</v>
          </cell>
          <cell r="F184">
            <v>300</v>
          </cell>
          <cell r="I184">
            <v>9.9461914593067604</v>
          </cell>
          <cell r="L184">
            <v>0.77694293887682364</v>
          </cell>
          <cell r="M184">
            <v>9.0913214388533614</v>
          </cell>
          <cell r="N184">
            <v>233.08288166304709</v>
          </cell>
          <cell r="O184">
            <v>2175.7700205338792</v>
          </cell>
        </row>
        <row r="185">
          <cell r="C185" t="str">
            <v>KUDGI STPP2</v>
          </cell>
          <cell r="D185" t="str">
            <v xml:space="preserve"> 0-5 years</v>
          </cell>
          <cell r="E185">
            <v>3.1074606433949299</v>
          </cell>
          <cell r="F185">
            <v>800</v>
          </cell>
          <cell r="I185">
            <v>13.261931818181816</v>
          </cell>
          <cell r="J185">
            <v>3540</v>
          </cell>
          <cell r="K185">
            <v>46.947238636363629</v>
          </cell>
          <cell r="L185">
            <v>0.29070126773170935</v>
          </cell>
          <cell r="M185">
            <v>4.5356004613140559</v>
          </cell>
          <cell r="N185">
            <v>232.56101418536747</v>
          </cell>
          <cell r="O185">
            <v>2485.9685147159439</v>
          </cell>
        </row>
        <row r="186">
          <cell r="C186" t="str">
            <v>LALITPUR TPS2</v>
          </cell>
          <cell r="D186" t="str">
            <v xml:space="preserve"> 0-5 years</v>
          </cell>
          <cell r="E186">
            <v>4.33949349760438</v>
          </cell>
          <cell r="F186">
            <v>660</v>
          </cell>
          <cell r="I186">
            <v>10.697407407407447</v>
          </cell>
          <cell r="L186">
            <v>0.34961324887856121</v>
          </cell>
          <cell r="M186">
            <v>4.3999474803309457</v>
          </cell>
          <cell r="N186">
            <v>230.74474425985039</v>
          </cell>
          <cell r="O186">
            <v>2864.0657084188906</v>
          </cell>
          <cell r="P186">
            <v>1.01</v>
          </cell>
          <cell r="Q186">
            <v>666.6</v>
          </cell>
          <cell r="R186">
            <v>1.05</v>
          </cell>
        </row>
        <row r="187">
          <cell r="C187" t="str">
            <v>PATHADI TPS1</v>
          </cell>
          <cell r="D187" t="str">
            <v xml:space="preserve"> 10-15 years</v>
          </cell>
          <cell r="E187">
            <v>10.924024640657001</v>
          </cell>
          <cell r="F187">
            <v>300</v>
          </cell>
          <cell r="I187">
            <v>11.020713005377418</v>
          </cell>
          <cell r="L187">
            <v>0.75547728307855966</v>
          </cell>
          <cell r="M187">
            <v>9.7951744928130342</v>
          </cell>
          <cell r="N187">
            <v>226.6431849235679</v>
          </cell>
          <cell r="O187">
            <v>3277.2073921971</v>
          </cell>
          <cell r="P187">
            <v>1.69</v>
          </cell>
          <cell r="Q187">
            <v>507</v>
          </cell>
          <cell r="R187">
            <v>1.64</v>
          </cell>
        </row>
        <row r="188">
          <cell r="C188" t="str">
            <v>SAGARDIGHI TPS3</v>
          </cell>
          <cell r="D188" t="str">
            <v xml:space="preserve"> 0-5 years</v>
          </cell>
          <cell r="E188">
            <v>4.4243668720054696</v>
          </cell>
          <cell r="F188">
            <v>500</v>
          </cell>
          <cell r="I188">
            <v>13.261931818181816</v>
          </cell>
          <cell r="J188">
            <v>0</v>
          </cell>
          <cell r="K188">
            <v>0</v>
          </cell>
          <cell r="L188">
            <v>0.45223191974697913</v>
          </cell>
          <cell r="M188">
            <v>7.0558457478704799</v>
          </cell>
          <cell r="N188">
            <v>226.11595987348957</v>
          </cell>
          <cell r="O188">
            <v>2212.1834360027347</v>
          </cell>
          <cell r="P188">
            <v>0.79</v>
          </cell>
          <cell r="Q188">
            <v>395</v>
          </cell>
          <cell r="R188">
            <v>0.73</v>
          </cell>
        </row>
        <row r="189">
          <cell r="C189" t="str">
            <v>BUDGE BUDGE TPS1</v>
          </cell>
          <cell r="D189" t="str">
            <v xml:space="preserve"> 20-25 years</v>
          </cell>
          <cell r="E189">
            <v>22.672142368240898</v>
          </cell>
          <cell r="F189">
            <v>250</v>
          </cell>
          <cell r="I189">
            <v>11.268016194331993</v>
          </cell>
          <cell r="J189">
            <v>0</v>
          </cell>
          <cell r="K189">
            <v>0</v>
          </cell>
          <cell r="L189">
            <v>0.90199457892661339</v>
          </cell>
          <cell r="M189">
            <v>11.957281791229114</v>
          </cell>
          <cell r="N189">
            <v>225.49864473165334</v>
          </cell>
          <cell r="O189">
            <v>5668.0355920602242</v>
          </cell>
          <cell r="P189">
            <v>1.0900000000000001</v>
          </cell>
          <cell r="Q189">
            <v>272.5</v>
          </cell>
          <cell r="R189">
            <v>1.1200000000000001</v>
          </cell>
        </row>
        <row r="190">
          <cell r="C190" t="str">
            <v>DSPM TPS2</v>
          </cell>
          <cell r="D190" t="str">
            <v xml:space="preserve"> 10-15 years</v>
          </cell>
          <cell r="E190">
            <v>12.4243668720054</v>
          </cell>
          <cell r="F190">
            <v>250</v>
          </cell>
          <cell r="I190">
            <v>15.348295454545472</v>
          </cell>
          <cell r="J190">
            <v>0</v>
          </cell>
          <cell r="K190">
            <v>0</v>
          </cell>
          <cell r="L190">
            <v>0.89956542175021004</v>
          </cell>
          <cell r="M190">
            <v>16.24328926319415</v>
          </cell>
          <cell r="N190">
            <v>224.89135543755251</v>
          </cell>
          <cell r="O190">
            <v>3106.0917180013503</v>
          </cell>
          <cell r="P190" t="str">
            <v/>
          </cell>
          <cell r="R190" t="str">
            <v/>
          </cell>
        </row>
        <row r="191">
          <cell r="C191" t="str">
            <v>JSW RATNAGIRI TPP4</v>
          </cell>
          <cell r="D191" t="str">
            <v xml:space="preserve"> 5-10 years</v>
          </cell>
          <cell r="E191">
            <v>8.5913757700205302</v>
          </cell>
          <cell r="F191">
            <v>300</v>
          </cell>
          <cell r="I191">
            <v>12.11</v>
          </cell>
          <cell r="L191">
            <v>0.74778122696097782</v>
          </cell>
          <cell r="M191">
            <v>10.653683127644047</v>
          </cell>
          <cell r="N191">
            <v>224.33436808829333</v>
          </cell>
          <cell r="O191">
            <v>2577.412731006159</v>
          </cell>
          <cell r="P191">
            <v>1.53</v>
          </cell>
          <cell r="Q191">
            <v>459</v>
          </cell>
          <cell r="R191">
            <v>1.4</v>
          </cell>
        </row>
        <row r="192">
          <cell r="C192" t="str">
            <v>JSW RATNAGIRI TPP3</v>
          </cell>
          <cell r="D192" t="str">
            <v xml:space="preserve"> 5-10 years</v>
          </cell>
          <cell r="E192">
            <v>9.0102669404517393</v>
          </cell>
          <cell r="F192">
            <v>300</v>
          </cell>
          <cell r="I192">
            <v>12.11</v>
          </cell>
          <cell r="L192">
            <v>0.74378793917600006</v>
          </cell>
          <cell r="M192">
            <v>10.596790521672188</v>
          </cell>
          <cell r="N192">
            <v>223.13638175280002</v>
          </cell>
          <cell r="O192">
            <v>2703.0800821355219</v>
          </cell>
          <cell r="P192">
            <v>1.62</v>
          </cell>
          <cell r="Q192">
            <v>486.00000000000006</v>
          </cell>
          <cell r="R192">
            <v>1.49</v>
          </cell>
        </row>
        <row r="193">
          <cell r="C193" t="str">
            <v>BARA TPP2</v>
          </cell>
          <cell r="D193" t="str">
            <v xml:space="preserve"> 0-5 years</v>
          </cell>
          <cell r="E193">
            <v>4.6735112936344896</v>
          </cell>
          <cell r="F193">
            <v>660</v>
          </cell>
          <cell r="I193">
            <v>13.261248852157941</v>
          </cell>
          <cell r="L193">
            <v>0.33807644665697034</v>
          </cell>
          <cell r="M193">
            <v>5.2744892825545682</v>
          </cell>
          <cell r="N193">
            <v>223.13045479360042</v>
          </cell>
          <cell r="O193">
            <v>3084.5174537987632</v>
          </cell>
          <cell r="P193" t="str">
            <v/>
          </cell>
          <cell r="R193" t="str">
            <v/>
          </cell>
        </row>
        <row r="194">
          <cell r="C194" t="str">
            <v>MUNDRA TPS1</v>
          </cell>
          <cell r="D194" t="str">
            <v xml:space="preserve"> 10-15 years</v>
          </cell>
          <cell r="E194">
            <v>10.757015742642</v>
          </cell>
          <cell r="F194">
            <v>330</v>
          </cell>
          <cell r="I194">
            <v>12.53</v>
          </cell>
          <cell r="L194">
            <v>0.6747588165917664</v>
          </cell>
          <cell r="M194">
            <v>9.9467387904645097</v>
          </cell>
          <cell r="N194">
            <v>222.67040947528292</v>
          </cell>
          <cell r="O194">
            <v>3549.8151950718602</v>
          </cell>
          <cell r="P194">
            <v>0.79</v>
          </cell>
          <cell r="Q194">
            <v>260.7</v>
          </cell>
          <cell r="R194">
            <v>1.01</v>
          </cell>
        </row>
        <row r="195">
          <cell r="C195" t="str">
            <v>KAMALANGA TPS1</v>
          </cell>
          <cell r="D195" t="str">
            <v xml:space="preserve"> 5-10 years</v>
          </cell>
          <cell r="E195">
            <v>7.1759069130732298</v>
          </cell>
          <cell r="F195">
            <v>350</v>
          </cell>
          <cell r="I195">
            <v>13.94</v>
          </cell>
          <cell r="J195">
            <v>0</v>
          </cell>
          <cell r="K195">
            <v>0</v>
          </cell>
          <cell r="L195">
            <v>0.6294567280601524</v>
          </cell>
          <cell r="M195">
            <v>10.3230903401865</v>
          </cell>
          <cell r="N195">
            <v>220.30985482105334</v>
          </cell>
          <cell r="O195">
            <v>2511.5674195756305</v>
          </cell>
          <cell r="P195">
            <v>1.1399999999999999</v>
          </cell>
          <cell r="Q195">
            <v>398.99999999999994</v>
          </cell>
          <cell r="R195">
            <v>1.26</v>
          </cell>
        </row>
        <row r="196">
          <cell r="C196" t="str">
            <v>DSPM TPS1</v>
          </cell>
          <cell r="D196" t="str">
            <v xml:space="preserve"> 10-15 years</v>
          </cell>
          <cell r="E196">
            <v>13.1772758384668</v>
          </cell>
          <cell r="F196">
            <v>250</v>
          </cell>
          <cell r="I196">
            <v>15.348295454545472</v>
          </cell>
          <cell r="J196">
            <v>0</v>
          </cell>
          <cell r="K196">
            <v>0</v>
          </cell>
          <cell r="L196">
            <v>0.87849132816592157</v>
          </cell>
          <cell r="M196">
            <v>15.862758186996034</v>
          </cell>
          <cell r="N196">
            <v>219.62283204148039</v>
          </cell>
          <cell r="O196">
            <v>3294.3189596166999</v>
          </cell>
          <cell r="P196" t="str">
            <v/>
          </cell>
          <cell r="R196" t="str">
            <v/>
          </cell>
        </row>
        <row r="197">
          <cell r="C197" t="str">
            <v>GMR WARORA TPS2</v>
          </cell>
          <cell r="D197" t="str">
            <v xml:space="preserve"> 5-10 years</v>
          </cell>
          <cell r="E197">
            <v>6.7570157426420199</v>
          </cell>
          <cell r="F197">
            <v>300</v>
          </cell>
          <cell r="I197">
            <v>9.9461914593067604</v>
          </cell>
          <cell r="L197">
            <v>0.73198090568984164</v>
          </cell>
          <cell r="M197">
            <v>8.5652026265269772</v>
          </cell>
          <cell r="N197">
            <v>219.5942717069525</v>
          </cell>
          <cell r="O197">
            <v>2027.104722792606</v>
          </cell>
        </row>
        <row r="198">
          <cell r="C198" t="str">
            <v>INDIRA GANDHI STPP2</v>
          </cell>
          <cell r="D198" t="str">
            <v xml:space="preserve"> 5-10 years</v>
          </cell>
          <cell r="E198">
            <v>8.5065023956194299</v>
          </cell>
          <cell r="F198">
            <v>500</v>
          </cell>
          <cell r="I198">
            <v>12.433773087071287</v>
          </cell>
          <cell r="J198">
            <v>0</v>
          </cell>
          <cell r="K198">
            <v>0</v>
          </cell>
          <cell r="L198">
            <v>0.43848040488844081</v>
          </cell>
          <cell r="M198">
            <v>6.4140774794235496</v>
          </cell>
          <cell r="N198">
            <v>219.24020244422042</v>
          </cell>
          <cell r="O198">
            <v>4253.2511978097145</v>
          </cell>
          <cell r="P198">
            <v>0.77</v>
          </cell>
          <cell r="Q198">
            <v>385</v>
          </cell>
          <cell r="R198">
            <v>0.53</v>
          </cell>
        </row>
        <row r="199">
          <cell r="C199" t="str">
            <v>RAJIV GANDHI TPS2</v>
          </cell>
          <cell r="D199" t="str">
            <v xml:space="preserve"> 5-10 years</v>
          </cell>
          <cell r="E199">
            <v>9.5906913073237501</v>
          </cell>
          <cell r="F199">
            <v>600</v>
          </cell>
          <cell r="I199">
            <v>13.229596579289856</v>
          </cell>
          <cell r="L199">
            <v>0.36243595076625484</v>
          </cell>
          <cell r="M199">
            <v>5.6410369581987201</v>
          </cell>
          <cell r="N199">
            <v>217.46157045975292</v>
          </cell>
          <cell r="O199">
            <v>5754.4147843942501</v>
          </cell>
          <cell r="P199">
            <v>0.77</v>
          </cell>
          <cell r="Q199">
            <v>462</v>
          </cell>
          <cell r="R199">
            <v>0.78</v>
          </cell>
        </row>
        <row r="200">
          <cell r="C200" t="str">
            <v>BELLARY TPS2</v>
          </cell>
          <cell r="D200" t="str">
            <v xml:space="preserve"> 5-10 years</v>
          </cell>
          <cell r="E200">
            <v>8.1752224503764506</v>
          </cell>
          <cell r="F200">
            <v>500</v>
          </cell>
          <cell r="I200">
            <v>13.263636363636362</v>
          </cell>
          <cell r="L200">
            <v>0.43364948885004417</v>
          </cell>
          <cell r="M200">
            <v>6.766787211039726</v>
          </cell>
          <cell r="N200">
            <v>216.82474442502209</v>
          </cell>
          <cell r="O200">
            <v>4087.6112251882255</v>
          </cell>
          <cell r="P200">
            <v>0.81</v>
          </cell>
          <cell r="Q200">
            <v>405</v>
          </cell>
          <cell r="R200">
            <v>1</v>
          </cell>
        </row>
        <row r="201">
          <cell r="C201" t="str">
            <v>PATHADI TPS2</v>
          </cell>
          <cell r="D201" t="str">
            <v xml:space="preserve"> 10-15 years</v>
          </cell>
          <cell r="E201">
            <v>10.17659137577</v>
          </cell>
          <cell r="F201">
            <v>300</v>
          </cell>
          <cell r="I201">
            <v>11.020713005377418</v>
          </cell>
          <cell r="L201">
            <v>0.72121211043884159</v>
          </cell>
          <cell r="M201">
            <v>9.3509078648812185</v>
          </cell>
          <cell r="N201">
            <v>216.36363313165248</v>
          </cell>
          <cell r="O201">
            <v>3052.9774127310002</v>
          </cell>
          <cell r="P201">
            <v>1.89</v>
          </cell>
          <cell r="Q201">
            <v>567</v>
          </cell>
          <cell r="R201">
            <v>1.62</v>
          </cell>
        </row>
        <row r="202">
          <cell r="C202" t="str">
            <v>INDIRA GANDHI STPP1</v>
          </cell>
          <cell r="D202" t="str">
            <v xml:space="preserve"> 5-10 years</v>
          </cell>
          <cell r="E202">
            <v>9.5906913073237501</v>
          </cell>
          <cell r="F202">
            <v>500</v>
          </cell>
          <cell r="I202">
            <v>12.433773087071287</v>
          </cell>
          <cell r="J202">
            <v>0</v>
          </cell>
          <cell r="K202">
            <v>0</v>
          </cell>
          <cell r="L202">
            <v>0.43200111955196252</v>
          </cell>
          <cell r="M202">
            <v>6.31929869867042</v>
          </cell>
          <cell r="N202">
            <v>216.00055977598126</v>
          </cell>
          <cell r="O202">
            <v>4795.3456536618751</v>
          </cell>
          <cell r="P202">
            <v>1.1599999999999999</v>
          </cell>
          <cell r="Q202">
            <v>580</v>
          </cell>
          <cell r="R202">
            <v>0.56000000000000005</v>
          </cell>
        </row>
        <row r="203">
          <cell r="C203" t="str">
            <v>KOTHAGUDEM NEW TPS9</v>
          </cell>
          <cell r="D203" t="str">
            <v xml:space="preserve"> 20-25 years</v>
          </cell>
          <cell r="E203">
            <v>23.104722792607799</v>
          </cell>
          <cell r="F203">
            <v>250</v>
          </cell>
          <cell r="G203" t="str">
            <v>Y</v>
          </cell>
          <cell r="I203">
            <v>14.508277087033822</v>
          </cell>
          <cell r="L203">
            <v>0.86383426558609999</v>
          </cell>
          <cell r="M203">
            <v>14.744408096938241</v>
          </cell>
          <cell r="N203">
            <v>215.95856639652499</v>
          </cell>
          <cell r="O203">
            <v>5776.1806981519494</v>
          </cell>
        </row>
        <row r="204">
          <cell r="C204" t="str">
            <v>KOTHAGUDEM NEW TPS10</v>
          </cell>
          <cell r="D204" t="str">
            <v xml:space="preserve"> 20-25 years</v>
          </cell>
          <cell r="E204">
            <v>22.179329226557101</v>
          </cell>
          <cell r="F204">
            <v>250</v>
          </cell>
          <cell r="G204" t="str">
            <v>Y</v>
          </cell>
          <cell r="I204">
            <v>14.508277087033822</v>
          </cell>
          <cell r="L204">
            <v>0.85548382682698487</v>
          </cell>
          <cell r="M204">
            <v>14.601878121272888</v>
          </cell>
          <cell r="N204">
            <v>213.87095670674623</v>
          </cell>
          <cell r="O204">
            <v>5544.832306639275</v>
          </cell>
        </row>
        <row r="205">
          <cell r="C205" t="str">
            <v>CHHABRA TPS1</v>
          </cell>
          <cell r="D205" t="str">
            <v xml:space="preserve"> 10-15 years</v>
          </cell>
          <cell r="E205">
            <v>10.590006844626901</v>
          </cell>
          <cell r="F205">
            <v>250</v>
          </cell>
          <cell r="I205">
            <v>6.070098576122672</v>
          </cell>
          <cell r="J205">
            <v>4182</v>
          </cell>
          <cell r="K205">
            <v>25.385152245345015</v>
          </cell>
          <cell r="L205">
            <v>0.85517772768513833</v>
          </cell>
          <cell r="M205">
            <v>6.1070742437098593</v>
          </cell>
          <cell r="N205">
            <v>213.79443192128457</v>
          </cell>
          <cell r="O205">
            <v>2647.5017111567254</v>
          </cell>
          <cell r="P205">
            <v>1.44</v>
          </cell>
          <cell r="Q205">
            <v>360</v>
          </cell>
          <cell r="R205">
            <v>1.33</v>
          </cell>
        </row>
        <row r="206">
          <cell r="C206" t="str">
            <v>VALLUR TPP3</v>
          </cell>
          <cell r="D206" t="str">
            <v xml:space="preserve"> 5-10 years</v>
          </cell>
          <cell r="E206">
            <v>6.2532511978097096</v>
          </cell>
          <cell r="F206">
            <v>500</v>
          </cell>
          <cell r="I206">
            <v>12.66</v>
          </cell>
          <cell r="J206">
            <v>0</v>
          </cell>
          <cell r="K206">
            <v>0</v>
          </cell>
          <cell r="L206">
            <v>0.42683032446050334</v>
          </cell>
          <cell r="M206">
            <v>6.357261067847026</v>
          </cell>
          <cell r="N206">
            <v>213.41516223025167</v>
          </cell>
          <cell r="O206">
            <v>3126.625598904855</v>
          </cell>
          <cell r="P206">
            <v>0.71</v>
          </cell>
          <cell r="Q206">
            <v>355</v>
          </cell>
          <cell r="R206">
            <v>0.72</v>
          </cell>
        </row>
        <row r="207">
          <cell r="C207" t="str">
            <v>SANTALDIH TPS6</v>
          </cell>
          <cell r="D207" t="str">
            <v xml:space="preserve"> 5-10 years</v>
          </cell>
          <cell r="E207">
            <v>8.5941136208076596</v>
          </cell>
          <cell r="F207">
            <v>250</v>
          </cell>
          <cell r="I207">
            <v>13.19</v>
          </cell>
          <cell r="J207">
            <v>0</v>
          </cell>
          <cell r="K207">
            <v>0</v>
          </cell>
          <cell r="L207">
            <v>0.84091430860862326</v>
          </cell>
          <cell r="M207">
            <v>13.049011447703224</v>
          </cell>
          <cell r="N207">
            <v>210.22857715215582</v>
          </cell>
          <cell r="O207">
            <v>2148.5284052019151</v>
          </cell>
        </row>
        <row r="208">
          <cell r="C208" t="str">
            <v>DERANG TPP2</v>
          </cell>
          <cell r="D208" t="str">
            <v xml:space="preserve"> 5-10 years</v>
          </cell>
          <cell r="E208">
            <v>5.3388090349075901</v>
          </cell>
          <cell r="F208">
            <v>600</v>
          </cell>
          <cell r="I208">
            <v>13.94</v>
          </cell>
          <cell r="L208">
            <v>0.34875205036659584</v>
          </cell>
          <cell r="M208">
            <v>5.7195336260121721</v>
          </cell>
          <cell r="N208">
            <v>209.25123021995751</v>
          </cell>
          <cell r="O208">
            <v>3203.2854209445541</v>
          </cell>
          <cell r="P208">
            <v>0.64</v>
          </cell>
          <cell r="Q208">
            <v>384</v>
          </cell>
          <cell r="R208">
            <v>0.63</v>
          </cell>
        </row>
        <row r="209">
          <cell r="C209" t="str">
            <v>BUDGE BUDGE TPS2</v>
          </cell>
          <cell r="D209" t="str">
            <v xml:space="preserve"> 20-25 years</v>
          </cell>
          <cell r="E209">
            <v>21.177275838466802</v>
          </cell>
          <cell r="F209">
            <v>250</v>
          </cell>
          <cell r="I209">
            <v>11.268016194331993</v>
          </cell>
          <cell r="J209">
            <v>0</v>
          </cell>
          <cell r="K209">
            <v>0</v>
          </cell>
          <cell r="L209">
            <v>0.83546095944641485</v>
          </cell>
          <cell r="M209">
            <v>11.075279553852175</v>
          </cell>
          <cell r="N209">
            <v>208.86523986160373</v>
          </cell>
          <cell r="O209">
            <v>5294.3189596167003</v>
          </cell>
          <cell r="P209">
            <v>0.96</v>
          </cell>
          <cell r="Q209">
            <v>240</v>
          </cell>
          <cell r="R209">
            <v>1.01</v>
          </cell>
        </row>
        <row r="210">
          <cell r="C210" t="str">
            <v>CHANDRAPURA(DVC)7</v>
          </cell>
          <cell r="D210" t="str">
            <v xml:space="preserve"> 10-15 years</v>
          </cell>
          <cell r="E210">
            <v>10.5051334702258</v>
          </cell>
          <cell r="F210">
            <v>250</v>
          </cell>
          <cell r="I210">
            <v>11.413029989658749</v>
          </cell>
          <cell r="J210">
            <v>5039</v>
          </cell>
          <cell r="K210">
            <v>57.510258117890437</v>
          </cell>
          <cell r="L210">
            <v>0.83187027928852997</v>
          </cell>
          <cell r="M210">
            <v>11.169600523559756</v>
          </cell>
          <cell r="N210">
            <v>207.9675698221325</v>
          </cell>
          <cell r="O210">
            <v>2626.2833675564502</v>
          </cell>
          <cell r="P210">
            <v>0.99</v>
          </cell>
          <cell r="Q210">
            <v>247.5</v>
          </cell>
          <cell r="R210">
            <v>0.96</v>
          </cell>
        </row>
        <row r="211">
          <cell r="C211" t="str">
            <v>CHHABRA TPS4</v>
          </cell>
          <cell r="D211" t="str">
            <v xml:space="preserve"> 5-10 years</v>
          </cell>
          <cell r="E211">
            <v>5.9247091033538597</v>
          </cell>
          <cell r="F211">
            <v>250</v>
          </cell>
          <cell r="I211">
            <v>6.070098576122672</v>
          </cell>
          <cell r="J211">
            <v>4236</v>
          </cell>
          <cell r="K211">
            <v>25.71293756845564</v>
          </cell>
          <cell r="L211">
            <v>0.8200820217833199</v>
          </cell>
          <cell r="M211">
            <v>5.8564455443890973</v>
          </cell>
          <cell r="N211">
            <v>205.02050544582997</v>
          </cell>
          <cell r="O211">
            <v>1481.177275838465</v>
          </cell>
          <cell r="P211" t="str">
            <v/>
          </cell>
          <cell r="R211" t="str">
            <v/>
          </cell>
        </row>
        <row r="212">
          <cell r="C212" t="str">
            <v>MUTHIARA TPP2</v>
          </cell>
          <cell r="D212" t="str">
            <v xml:space="preserve"> 0-5 years</v>
          </cell>
          <cell r="E212">
            <v>4.33949349760438</v>
          </cell>
          <cell r="F212">
            <v>600</v>
          </cell>
          <cell r="I212">
            <v>12.93</v>
          </cell>
          <cell r="L212">
            <v>0.33858053515350761</v>
          </cell>
          <cell r="M212">
            <v>5.1504074347468869</v>
          </cell>
          <cell r="N212">
            <v>203.14832109210457</v>
          </cell>
          <cell r="O212">
            <v>2603.6960985626279</v>
          </cell>
          <cell r="P212">
            <v>0.48</v>
          </cell>
          <cell r="Q212">
            <v>288</v>
          </cell>
          <cell r="R212">
            <v>0.49</v>
          </cell>
        </row>
        <row r="213">
          <cell r="C213" t="str">
            <v>MAHADEV PRASAD STPP1</v>
          </cell>
          <cell r="D213" t="str">
            <v xml:space="preserve"> 5-10 years</v>
          </cell>
          <cell r="E213">
            <v>7.5044490075290797</v>
          </cell>
          <cell r="F213">
            <v>270</v>
          </cell>
          <cell r="I213">
            <v>13.94</v>
          </cell>
          <cell r="J213">
            <v>3403</v>
          </cell>
          <cell r="K213">
            <v>47.437820000000002</v>
          </cell>
          <cell r="L213">
            <v>0.74534322138311104</v>
          </cell>
          <cell r="M213">
            <v>12.223628830683021</v>
          </cell>
          <cell r="N213">
            <v>201.24266977343999</v>
          </cell>
          <cell r="O213">
            <v>2026.2012320328515</v>
          </cell>
          <cell r="P213">
            <v>0.91</v>
          </cell>
          <cell r="Q213">
            <v>245.70000000000002</v>
          </cell>
          <cell r="R213">
            <v>0.74</v>
          </cell>
        </row>
        <row r="214">
          <cell r="C214" t="str">
            <v>CHHABRA TPS2</v>
          </cell>
          <cell r="D214" t="str">
            <v xml:space="preserve"> 5-10 years</v>
          </cell>
          <cell r="E214">
            <v>10.009582477754901</v>
          </cell>
          <cell r="F214">
            <v>250</v>
          </cell>
          <cell r="I214">
            <v>6.070098576122672</v>
          </cell>
          <cell r="J214">
            <v>4182</v>
          </cell>
          <cell r="K214">
            <v>25.385152245345015</v>
          </cell>
          <cell r="L214">
            <v>0.80455240635467329</v>
          </cell>
          <cell r="M214">
            <v>5.7455440190936136</v>
          </cell>
          <cell r="N214">
            <v>201.13810158866832</v>
          </cell>
          <cell r="O214">
            <v>2502.3956194387251</v>
          </cell>
          <cell r="P214">
            <v>1.31</v>
          </cell>
          <cell r="Q214">
            <v>327.5</v>
          </cell>
          <cell r="R214">
            <v>1.07</v>
          </cell>
        </row>
        <row r="215">
          <cell r="C215" t="str">
            <v>MUTHIARA TPP1</v>
          </cell>
          <cell r="D215" t="str">
            <v xml:space="preserve"> 5-10 years</v>
          </cell>
          <cell r="E215">
            <v>5.4236824093086904</v>
          </cell>
          <cell r="F215">
            <v>600</v>
          </cell>
          <cell r="I215">
            <v>12.93</v>
          </cell>
          <cell r="L215">
            <v>0.33453279104041322</v>
          </cell>
          <cell r="M215">
            <v>5.0888341037088747</v>
          </cell>
          <cell r="N215">
            <v>200.71967462424794</v>
          </cell>
          <cell r="O215">
            <v>3254.2094455852143</v>
          </cell>
          <cell r="P215">
            <v>0.56999999999999995</v>
          </cell>
          <cell r="Q215">
            <v>341.99999999999994</v>
          </cell>
          <cell r="R215">
            <v>0.52</v>
          </cell>
        </row>
        <row r="216">
          <cell r="C216" t="str">
            <v>VINDHYACHAL STPS1</v>
          </cell>
          <cell r="D216" t="str">
            <v xml:space="preserve"> 30-35 years</v>
          </cell>
          <cell r="E216">
            <v>32.591375770020498</v>
          </cell>
          <cell r="F216">
            <v>210</v>
          </cell>
          <cell r="H216" t="str">
            <v>Y</v>
          </cell>
          <cell r="I216">
            <v>13.444923404822211</v>
          </cell>
          <cell r="J216">
            <v>0</v>
          </cell>
          <cell r="K216">
            <v>0</v>
          </cell>
          <cell r="L216">
            <v>0.95348557374995435</v>
          </cell>
          <cell r="M216">
            <v>15.081812360789526</v>
          </cell>
          <cell r="N216">
            <v>200.2319704874904</v>
          </cell>
          <cell r="O216">
            <v>6844.1889117043047</v>
          </cell>
          <cell r="P216">
            <v>1.21</v>
          </cell>
          <cell r="Q216">
            <v>254.1</v>
          </cell>
          <cell r="R216">
            <v>1.43</v>
          </cell>
        </row>
        <row r="217">
          <cell r="C217" t="str">
            <v>CHANDRAPURA(DVC)8</v>
          </cell>
          <cell r="D217" t="str">
            <v xml:space="preserve"> 10-15 years</v>
          </cell>
          <cell r="E217">
            <v>10.17659137577</v>
          </cell>
          <cell r="F217">
            <v>250</v>
          </cell>
          <cell r="I217">
            <v>11.413029989658749</v>
          </cell>
          <cell r="J217">
            <v>5039</v>
          </cell>
          <cell r="K217">
            <v>57.510258117890437</v>
          </cell>
          <cell r="L217">
            <v>0.79981902395390669</v>
          </cell>
          <cell r="M217">
            <v>10.739245301982972</v>
          </cell>
          <cell r="N217">
            <v>199.95475598847668</v>
          </cell>
          <cell r="O217">
            <v>2544.1478439425</v>
          </cell>
          <cell r="P217">
            <v>1.33</v>
          </cell>
          <cell r="Q217">
            <v>332.5</v>
          </cell>
          <cell r="R217">
            <v>1.17</v>
          </cell>
        </row>
        <row r="218">
          <cell r="C218" t="str">
            <v>RAYALSEEMA TPS6</v>
          </cell>
          <cell r="D218" t="str">
            <v xml:space="preserve"> 0-5 years</v>
          </cell>
          <cell r="E218">
            <v>2.1163586584531102</v>
          </cell>
          <cell r="F218">
            <v>600</v>
          </cell>
          <cell r="I218">
            <v>12.65</v>
          </cell>
          <cell r="L218">
            <v>0.33249199757213538</v>
          </cell>
          <cell r="M218">
            <v>4.9482632579853094</v>
          </cell>
          <cell r="N218">
            <v>199.49519854328122</v>
          </cell>
          <cell r="O218">
            <v>1269.8151950718661</v>
          </cell>
        </row>
        <row r="219">
          <cell r="C219" t="str">
            <v>DAHANU TPS1</v>
          </cell>
          <cell r="D219" t="str">
            <v xml:space="preserve"> 25-30 years</v>
          </cell>
          <cell r="E219">
            <v>25.338809034907499</v>
          </cell>
          <cell r="F219">
            <v>250</v>
          </cell>
          <cell r="I219">
            <v>10.936769509981859</v>
          </cell>
          <cell r="J219">
            <v>0</v>
          </cell>
          <cell r="K219">
            <v>0</v>
          </cell>
          <cell r="L219">
            <v>0.79768339834839497</v>
          </cell>
          <cell r="M219">
            <v>10.263622905500517</v>
          </cell>
          <cell r="N219">
            <v>199.42084958709873</v>
          </cell>
          <cell r="O219">
            <v>6334.7022587268748</v>
          </cell>
          <cell r="P219">
            <v>1.04</v>
          </cell>
          <cell r="Q219">
            <v>260</v>
          </cell>
          <cell r="R219">
            <v>1.01</v>
          </cell>
        </row>
        <row r="220">
          <cell r="C220" t="str">
            <v>TROMBAY TPS8</v>
          </cell>
          <cell r="D220" t="str">
            <v xml:space="preserve"> 10-15 years</v>
          </cell>
          <cell r="E220">
            <v>11.1759069130732</v>
          </cell>
          <cell r="F220">
            <v>250</v>
          </cell>
          <cell r="I220">
            <v>11.71</v>
          </cell>
          <cell r="J220">
            <v>4819</v>
          </cell>
          <cell r="K220">
            <v>56.430490000000006</v>
          </cell>
          <cell r="L220">
            <v>0.79249443393609664</v>
          </cell>
          <cell r="M220">
            <v>10.917776260460814</v>
          </cell>
          <cell r="N220">
            <v>198.12360848402417</v>
          </cell>
          <cell r="O220">
            <v>2793.9767282683001</v>
          </cell>
          <cell r="P220">
            <v>0.75</v>
          </cell>
          <cell r="Q220">
            <v>187.5</v>
          </cell>
          <cell r="R220">
            <v>0.85</v>
          </cell>
        </row>
        <row r="221">
          <cell r="C221" t="str">
            <v>MAHAN TPP2</v>
          </cell>
          <cell r="D221" t="str">
            <v xml:space="preserve"> 0-5 years</v>
          </cell>
          <cell r="E221">
            <v>1.67008898015058</v>
          </cell>
          <cell r="F221">
            <v>600</v>
          </cell>
          <cell r="I221">
            <v>13.26</v>
          </cell>
          <cell r="L221">
            <v>0.32809663398376948</v>
          </cell>
          <cell r="M221">
            <v>5.1183074901468038</v>
          </cell>
          <cell r="N221">
            <v>196.8579803902617</v>
          </cell>
          <cell r="O221">
            <v>1002.053388090348</v>
          </cell>
        </row>
        <row r="222">
          <cell r="C222" t="str">
            <v>JSW RATNAGIRI TPP2</v>
          </cell>
          <cell r="D222" t="str">
            <v xml:space="preserve"> 5-10 years</v>
          </cell>
          <cell r="E222">
            <v>9.4236824093086895</v>
          </cell>
          <cell r="F222">
            <v>300</v>
          </cell>
          <cell r="I222">
            <v>12.11</v>
          </cell>
          <cell r="L222">
            <v>0.65452038429606663</v>
          </cell>
          <cell r="M222">
            <v>9.3249904162651376</v>
          </cell>
          <cell r="N222">
            <v>196.35611528881998</v>
          </cell>
          <cell r="O222">
            <v>2827.1047227926069</v>
          </cell>
          <cell r="P222">
            <v>1.49</v>
          </cell>
          <cell r="Q222">
            <v>447</v>
          </cell>
          <cell r="R222">
            <v>1.1100000000000001</v>
          </cell>
        </row>
        <row r="223">
          <cell r="C223" t="str">
            <v>YAMUNA NAGAR TPS2</v>
          </cell>
          <cell r="D223" t="str">
            <v xml:space="preserve"> 10-15 years</v>
          </cell>
          <cell r="E223">
            <v>12.175222450376401</v>
          </cell>
          <cell r="F223">
            <v>300</v>
          </cell>
          <cell r="I223">
            <v>13.265151515151516</v>
          </cell>
          <cell r="L223">
            <v>0.65198699919859993</v>
          </cell>
          <cell r="M223">
            <v>10.174948623856938</v>
          </cell>
          <cell r="N223">
            <v>195.59609975957997</v>
          </cell>
          <cell r="O223">
            <v>3652.5667351129205</v>
          </cell>
          <cell r="P223">
            <v>1.1299999999999999</v>
          </cell>
          <cell r="Q223">
            <v>338.99999999999994</v>
          </cell>
          <cell r="R223">
            <v>0.89</v>
          </cell>
        </row>
        <row r="224">
          <cell r="C224" t="str">
            <v>SAGARDIGHI TPS4</v>
          </cell>
          <cell r="D224" t="str">
            <v xml:space="preserve"> 0-5 years</v>
          </cell>
          <cell r="E224">
            <v>3.4223134839151199</v>
          </cell>
          <cell r="F224">
            <v>500</v>
          </cell>
          <cell r="I224">
            <v>13.261931818181816</v>
          </cell>
          <cell r="J224">
            <v>0</v>
          </cell>
          <cell r="K224">
            <v>0</v>
          </cell>
          <cell r="L224">
            <v>0.38911284996262746</v>
          </cell>
          <cell r="M224">
            <v>6.0710448068032665</v>
          </cell>
          <cell r="N224">
            <v>194.55642498131374</v>
          </cell>
          <cell r="O224">
            <v>1711.1567419575599</v>
          </cell>
          <cell r="P224">
            <v>0.8</v>
          </cell>
          <cell r="Q224">
            <v>400</v>
          </cell>
          <cell r="R224">
            <v>0.93</v>
          </cell>
        </row>
        <row r="225">
          <cell r="C225" t="str">
            <v>AMARKANTAK TPS3</v>
          </cell>
          <cell r="D225" t="str">
            <v xml:space="preserve"> 10-15 years</v>
          </cell>
          <cell r="E225">
            <v>11.9233401779603</v>
          </cell>
          <cell r="F225">
            <v>210</v>
          </cell>
          <cell r="I225">
            <v>10.923909249563703</v>
          </cell>
          <cell r="L225">
            <v>0.9117231448691191</v>
          </cell>
          <cell r="M225">
            <v>11.717153994443622</v>
          </cell>
          <cell r="N225">
            <v>191.461860422515</v>
          </cell>
          <cell r="O225">
            <v>2503.9014373716632</v>
          </cell>
          <cell r="P225" t="str">
            <v/>
          </cell>
          <cell r="R225" t="str">
            <v/>
          </cell>
        </row>
        <row r="226">
          <cell r="C226" t="str">
            <v>NEYVELI NEW TPP1</v>
          </cell>
          <cell r="D226" t="str">
            <v xml:space="preserve"> 0-5 years</v>
          </cell>
          <cell r="E226">
            <v>0.35318275154004097</v>
          </cell>
          <cell r="F226">
            <v>500</v>
          </cell>
          <cell r="I226">
            <v>12.51</v>
          </cell>
          <cell r="J226">
            <v>2610</v>
          </cell>
          <cell r="K226">
            <v>32.6511</v>
          </cell>
          <cell r="L226">
            <v>0.38280002471882335</v>
          </cell>
          <cell r="M226">
            <v>5.6339156579205651</v>
          </cell>
          <cell r="N226">
            <v>191.40001235941168</v>
          </cell>
          <cell r="O226">
            <v>176.59137577002048</v>
          </cell>
        </row>
        <row r="227">
          <cell r="C227" t="str">
            <v>KUDGI STPP3</v>
          </cell>
          <cell r="D227" t="str">
            <v xml:space="preserve"> 0-5 years</v>
          </cell>
          <cell r="E227">
            <v>2.1163586584531102</v>
          </cell>
          <cell r="F227">
            <v>800</v>
          </cell>
          <cell r="I227">
            <v>13.261931818181816</v>
          </cell>
          <cell r="J227">
            <v>3540</v>
          </cell>
          <cell r="K227">
            <v>46.947238636363629</v>
          </cell>
          <cell r="L227">
            <v>0.23904959457635153</v>
          </cell>
          <cell r="M227">
            <v>3.7297169699242114</v>
          </cell>
          <cell r="N227">
            <v>191.23967566108121</v>
          </cell>
          <cell r="O227">
            <v>1693.0869267624882</v>
          </cell>
        </row>
        <row r="228">
          <cell r="C228" t="str">
            <v>BHILAI TPS2</v>
          </cell>
          <cell r="D228" t="str">
            <v xml:space="preserve"> 10-15 years</v>
          </cell>
          <cell r="E228">
            <v>10.841889117043101</v>
          </cell>
          <cell r="F228">
            <v>250</v>
          </cell>
          <cell r="I228">
            <v>11.81736111111112</v>
          </cell>
          <cell r="J228">
            <v>0</v>
          </cell>
          <cell r="K228">
            <v>0</v>
          </cell>
          <cell r="L228">
            <v>0.76174879532757167</v>
          </cell>
          <cell r="M228">
            <v>10.590424223929165</v>
          </cell>
          <cell r="N228">
            <v>190.43719883189291</v>
          </cell>
          <cell r="O228">
            <v>2710.4722792607749</v>
          </cell>
          <cell r="P228">
            <v>1.55</v>
          </cell>
          <cell r="Q228">
            <v>387.5</v>
          </cell>
          <cell r="R228">
            <v>1.6</v>
          </cell>
        </row>
        <row r="229">
          <cell r="C229" t="str">
            <v>SATPURA TPS11</v>
          </cell>
          <cell r="D229" t="str">
            <v xml:space="preserve"> 5-10 years</v>
          </cell>
          <cell r="E229">
            <v>6.4229979466118996</v>
          </cell>
          <cell r="F229">
            <v>250</v>
          </cell>
          <cell r="I229">
            <v>15.199500416319752</v>
          </cell>
          <cell r="L229">
            <v>0.75703006999300004</v>
          </cell>
          <cell r="M229">
            <v>13.537033957676678</v>
          </cell>
          <cell r="N229">
            <v>189.25751749825002</v>
          </cell>
          <cell r="O229">
            <v>1605.7494866529748</v>
          </cell>
          <cell r="P229" t="str">
            <v/>
          </cell>
          <cell r="R229" t="str">
            <v/>
          </cell>
        </row>
        <row r="230">
          <cell r="C230" t="str">
            <v>VINDHYACHAL STPS3</v>
          </cell>
          <cell r="D230" t="str">
            <v xml:space="preserve"> 30-35 years</v>
          </cell>
          <cell r="E230">
            <v>31.2525667351129</v>
          </cell>
          <cell r="F230">
            <v>210</v>
          </cell>
          <cell r="H230" t="str">
            <v>Y</v>
          </cell>
          <cell r="I230">
            <v>13.444923404822211</v>
          </cell>
          <cell r="J230">
            <v>0</v>
          </cell>
          <cell r="K230">
            <v>0</v>
          </cell>
          <cell r="L230">
            <v>0.89923657417280356</v>
          </cell>
          <cell r="M230">
            <v>14.223725720668318</v>
          </cell>
          <cell r="N230">
            <v>188.83968057628874</v>
          </cell>
          <cell r="O230">
            <v>6563.0390143737086</v>
          </cell>
          <cell r="P230">
            <v>0.89</v>
          </cell>
          <cell r="Q230">
            <v>186.9</v>
          </cell>
          <cell r="R230">
            <v>0.95</v>
          </cell>
        </row>
        <row r="231">
          <cell r="C231" t="str">
            <v>DAHANU TPS2</v>
          </cell>
          <cell r="D231" t="str">
            <v xml:space="preserve"> 25-30 years</v>
          </cell>
          <cell r="E231">
            <v>25.177275838466802</v>
          </cell>
          <cell r="F231">
            <v>250</v>
          </cell>
          <cell r="I231">
            <v>10.936769509981859</v>
          </cell>
          <cell r="J231">
            <v>0</v>
          </cell>
          <cell r="K231">
            <v>0</v>
          </cell>
          <cell r="L231">
            <v>0.75418125780650502</v>
          </cell>
          <cell r="M231">
            <v>9.7038901004446494</v>
          </cell>
          <cell r="N231">
            <v>188.54531445162627</v>
          </cell>
          <cell r="O231">
            <v>6294.3189596167003</v>
          </cell>
          <cell r="P231">
            <v>1.1499999999999999</v>
          </cell>
          <cell r="Q231">
            <v>287.5</v>
          </cell>
          <cell r="R231">
            <v>1.01</v>
          </cell>
        </row>
        <row r="232">
          <cell r="C232" t="str">
            <v>RAGHUNATHPUR TPP1</v>
          </cell>
          <cell r="D232" t="str">
            <v xml:space="preserve"> 5-10 years</v>
          </cell>
          <cell r="E232">
            <v>5.7577002053388</v>
          </cell>
          <cell r="F232">
            <v>600</v>
          </cell>
          <cell r="I232">
            <v>13.265151515151516</v>
          </cell>
          <cell r="J232">
            <v>0</v>
          </cell>
          <cell r="K232">
            <v>0</v>
          </cell>
          <cell r="L232">
            <v>0.31345226705380486</v>
          </cell>
          <cell r="M232">
            <v>4.8917550767487734</v>
          </cell>
          <cell r="N232">
            <v>188.07136023228293</v>
          </cell>
          <cell r="O232">
            <v>3454.6201232032799</v>
          </cell>
          <cell r="P232">
            <v>0.63</v>
          </cell>
          <cell r="Q232">
            <v>378</v>
          </cell>
          <cell r="R232">
            <v>0.38</v>
          </cell>
        </row>
        <row r="233">
          <cell r="C233" t="str">
            <v>VINDHYACHAL STPS2</v>
          </cell>
          <cell r="D233" t="str">
            <v xml:space="preserve"> 30-35 years</v>
          </cell>
          <cell r="E233">
            <v>31.841204654346299</v>
          </cell>
          <cell r="F233">
            <v>210</v>
          </cell>
          <cell r="H233" t="str">
            <v>Y</v>
          </cell>
          <cell r="I233">
            <v>13.444923404822211</v>
          </cell>
          <cell r="J233">
            <v>0</v>
          </cell>
          <cell r="K233">
            <v>0</v>
          </cell>
          <cell r="L233">
            <v>0.88852792382762691</v>
          </cell>
          <cell r="M233">
            <v>14.054341034009585</v>
          </cell>
          <cell r="N233">
            <v>186.59086400380164</v>
          </cell>
          <cell r="O233">
            <v>6686.652977412723</v>
          </cell>
          <cell r="P233">
            <v>0.97</v>
          </cell>
          <cell r="Q233">
            <v>203.7</v>
          </cell>
          <cell r="R233">
            <v>0.95</v>
          </cell>
        </row>
        <row r="234">
          <cell r="C234" t="str">
            <v>SANTALDIH TPS5</v>
          </cell>
          <cell r="D234" t="str">
            <v xml:space="preserve"> 10-15 years</v>
          </cell>
          <cell r="E234">
            <v>11.0910335386721</v>
          </cell>
          <cell r="F234">
            <v>250</v>
          </cell>
          <cell r="I234">
            <v>13.19</v>
          </cell>
          <cell r="J234">
            <v>0</v>
          </cell>
          <cell r="K234">
            <v>0</v>
          </cell>
          <cell r="L234">
            <v>0.74505864153548174</v>
          </cell>
          <cell r="M234">
            <v>11.561557037474122</v>
          </cell>
          <cell r="N234">
            <v>186.26466038387042</v>
          </cell>
          <cell r="O234">
            <v>2772.758384668025</v>
          </cell>
        </row>
        <row r="235">
          <cell r="C235" t="str">
            <v>KHARGONE STPP1</v>
          </cell>
          <cell r="D235" t="str">
            <v xml:space="preserve"> 0-5 years</v>
          </cell>
          <cell r="E235">
            <v>0.60232717316906204</v>
          </cell>
          <cell r="F235">
            <v>660</v>
          </cell>
          <cell r="I235">
            <v>12.5</v>
          </cell>
          <cell r="L235">
            <v>0.28220059403202707</v>
          </cell>
          <cell r="M235">
            <v>4.1500087357651045</v>
          </cell>
          <cell r="N235">
            <v>186.25239206113787</v>
          </cell>
          <cell r="O235">
            <v>397.53593429158093</v>
          </cell>
        </row>
        <row r="236">
          <cell r="C236" t="str">
            <v>BHILAI TPS1</v>
          </cell>
          <cell r="D236" t="str">
            <v xml:space="preserve"> 10-15 years</v>
          </cell>
          <cell r="E236">
            <v>12.090349075975301</v>
          </cell>
          <cell r="F236">
            <v>250</v>
          </cell>
          <cell r="I236">
            <v>11.81736111111112</v>
          </cell>
          <cell r="J236">
            <v>0</v>
          </cell>
          <cell r="K236">
            <v>0</v>
          </cell>
          <cell r="L236">
            <v>0.74051026187239166</v>
          </cell>
          <cell r="M236">
            <v>10.295149612975898</v>
          </cell>
          <cell r="N236">
            <v>185.12756546809791</v>
          </cell>
          <cell r="O236">
            <v>3022.5872689938251</v>
          </cell>
          <cell r="P236">
            <v>1.57</v>
          </cell>
          <cell r="Q236">
            <v>392.5</v>
          </cell>
          <cell r="R236">
            <v>1.36</v>
          </cell>
        </row>
        <row r="237">
          <cell r="C237" t="str">
            <v>NEYVELI (EXT) TPS1</v>
          </cell>
          <cell r="D237" t="str">
            <v xml:space="preserve"> 15-20 years</v>
          </cell>
          <cell r="E237">
            <v>17.590691307323699</v>
          </cell>
          <cell r="F237">
            <v>210</v>
          </cell>
          <cell r="G237" t="str">
            <v>Y</v>
          </cell>
          <cell r="I237">
            <v>13.08</v>
          </cell>
          <cell r="J237">
            <v>2621</v>
          </cell>
          <cell r="K237">
            <v>34.282679999999999</v>
          </cell>
          <cell r="L237">
            <v>0.87756043072689871</v>
          </cell>
          <cell r="M237">
            <v>13.504106392832748</v>
          </cell>
          <cell r="N237">
            <v>184.28769045264872</v>
          </cell>
          <cell r="O237">
            <v>3694.0451745379769</v>
          </cell>
          <cell r="P237">
            <v>0.95</v>
          </cell>
          <cell r="Q237">
            <v>199.5</v>
          </cell>
          <cell r="R237">
            <v>1.02</v>
          </cell>
        </row>
        <row r="238">
          <cell r="C238" t="str">
            <v>KORBA STPS3</v>
          </cell>
          <cell r="D238" t="str">
            <v xml:space="preserve"> 35-40 years</v>
          </cell>
          <cell r="E238">
            <v>36.175222450376403</v>
          </cell>
          <cell r="F238">
            <v>200</v>
          </cell>
          <cell r="H238" t="str">
            <v>Y</v>
          </cell>
          <cell r="I238">
            <v>12.49</v>
          </cell>
          <cell r="J238">
            <v>0</v>
          </cell>
          <cell r="K238">
            <v>0</v>
          </cell>
          <cell r="L238">
            <v>0.91811892708630427</v>
          </cell>
          <cell r="M238">
            <v>13.490947528597578</v>
          </cell>
          <cell r="N238">
            <v>183.62378541726085</v>
          </cell>
          <cell r="O238">
            <v>7235.0444900752809</v>
          </cell>
          <cell r="P238">
            <v>0.77</v>
          </cell>
          <cell r="Q238">
            <v>154</v>
          </cell>
          <cell r="R238">
            <v>0.83</v>
          </cell>
        </row>
        <row r="239">
          <cell r="C239" t="str">
            <v>BALCO TPS1</v>
          </cell>
          <cell r="D239" t="str">
            <v xml:space="preserve"> 0-5 years</v>
          </cell>
          <cell r="E239">
            <v>4.9253935660506496</v>
          </cell>
          <cell r="F239">
            <v>300</v>
          </cell>
          <cell r="I239">
            <v>13.137773722627744</v>
          </cell>
          <cell r="L239">
            <v>0.60880845503366954</v>
          </cell>
          <cell r="M239">
            <v>9.4098679090058095</v>
          </cell>
          <cell r="N239">
            <v>182.64253651010085</v>
          </cell>
          <cell r="O239">
            <v>1477.618069815195</v>
          </cell>
          <cell r="P239">
            <v>1.24</v>
          </cell>
          <cell r="Q239">
            <v>372</v>
          </cell>
          <cell r="R239">
            <v>1.53</v>
          </cell>
        </row>
        <row r="240">
          <cell r="C240" t="str">
            <v>HARDUAGANJ TPS9</v>
          </cell>
          <cell r="D240" t="str">
            <v xml:space="preserve"> 5-10 years</v>
          </cell>
          <cell r="E240">
            <v>8.00821355236139</v>
          </cell>
          <cell r="F240">
            <v>250</v>
          </cell>
          <cell r="I240">
            <v>10.202808370044059</v>
          </cell>
          <cell r="J240">
            <v>0</v>
          </cell>
          <cell r="K240">
            <v>0</v>
          </cell>
          <cell r="L240">
            <v>0.73029028117661499</v>
          </cell>
          <cell r="M240">
            <v>8.7658962274712895</v>
          </cell>
          <cell r="N240">
            <v>182.57257029415373</v>
          </cell>
          <cell r="O240">
            <v>2002.0533880903474</v>
          </cell>
          <cell r="P240" t="str">
            <v/>
          </cell>
          <cell r="R240" t="str">
            <v/>
          </cell>
        </row>
        <row r="241">
          <cell r="C241" t="str">
            <v>CHHABRA TPS3</v>
          </cell>
          <cell r="D241" t="str">
            <v xml:space="preserve"> 5-10 years</v>
          </cell>
          <cell r="E241">
            <v>6.6721423682409302</v>
          </cell>
          <cell r="F241">
            <v>250</v>
          </cell>
          <cell r="I241">
            <v>6.070098576122672</v>
          </cell>
          <cell r="J241">
            <v>4236</v>
          </cell>
          <cell r="K241">
            <v>25.71293756845564</v>
          </cell>
          <cell r="L241">
            <v>0.72873790605935662</v>
          </cell>
          <cell r="M241">
            <v>5.2041305011029628</v>
          </cell>
          <cell r="N241">
            <v>182.18447651483916</v>
          </cell>
          <cell r="O241">
            <v>1668.0355920602326</v>
          </cell>
          <cell r="P241" t="str">
            <v/>
          </cell>
          <cell r="R241" t="str">
            <v/>
          </cell>
        </row>
        <row r="242">
          <cell r="C242" t="str">
            <v>PARAS TPS4</v>
          </cell>
          <cell r="D242" t="str">
            <v xml:space="preserve"> 10-15 years</v>
          </cell>
          <cell r="E242">
            <v>10.17659137577</v>
          </cell>
          <cell r="F242">
            <v>250</v>
          </cell>
          <cell r="I242">
            <v>12.209408634659585</v>
          </cell>
          <cell r="J242">
            <v>0</v>
          </cell>
          <cell r="K242">
            <v>0</v>
          </cell>
          <cell r="L242">
            <v>0.72613495193214006</v>
          </cell>
          <cell r="M242">
            <v>10.430209825939286</v>
          </cell>
          <cell r="N242">
            <v>181.53373798303502</v>
          </cell>
          <cell r="O242">
            <v>2544.1478439425</v>
          </cell>
          <cell r="P242">
            <v>1.07</v>
          </cell>
          <cell r="Q242">
            <v>267.5</v>
          </cell>
          <cell r="R242">
            <v>1.04</v>
          </cell>
        </row>
        <row r="243">
          <cell r="C243" t="str">
            <v>VINDHYACHAL STPS4</v>
          </cell>
          <cell r="D243" t="str">
            <v xml:space="preserve"> 30-35 years</v>
          </cell>
          <cell r="E243">
            <v>30.4229979466119</v>
          </cell>
          <cell r="F243">
            <v>210</v>
          </cell>
          <cell r="H243" t="str">
            <v>Y</v>
          </cell>
          <cell r="I243">
            <v>13.444923404822211</v>
          </cell>
          <cell r="J243">
            <v>0</v>
          </cell>
          <cell r="K243">
            <v>0</v>
          </cell>
          <cell r="L243">
            <v>0.86235172045343056</v>
          </cell>
          <cell r="M243">
            <v>13.640297446485915</v>
          </cell>
          <cell r="N243">
            <v>181.09386129522042</v>
          </cell>
          <cell r="O243">
            <v>6388.8295687884993</v>
          </cell>
          <cell r="P243">
            <v>1.3</v>
          </cell>
          <cell r="Q243">
            <v>273</v>
          </cell>
          <cell r="R243">
            <v>1.33</v>
          </cell>
        </row>
        <row r="244">
          <cell r="C244" t="str">
            <v>MEJIA TPS6</v>
          </cell>
          <cell r="D244" t="str">
            <v xml:space="preserve"> 10-15 years</v>
          </cell>
          <cell r="E244">
            <v>13.1772758384668</v>
          </cell>
          <cell r="F244">
            <v>250</v>
          </cell>
          <cell r="I244">
            <v>12.218034993270546</v>
          </cell>
          <cell r="J244">
            <v>0</v>
          </cell>
          <cell r="K244">
            <v>0</v>
          </cell>
          <cell r="L244">
            <v>0.71871870626386669</v>
          </cell>
          <cell r="M244">
            <v>10.330976827588305</v>
          </cell>
          <cell r="N244">
            <v>179.67967656596667</v>
          </cell>
          <cell r="O244">
            <v>3294.3189596166999</v>
          </cell>
          <cell r="P244">
            <v>0.91</v>
          </cell>
          <cell r="Q244">
            <v>227.5</v>
          </cell>
          <cell r="R244">
            <v>1.01</v>
          </cell>
        </row>
        <row r="245">
          <cell r="C245" t="str">
            <v>TORANGALLU TPS(SBU-II)3</v>
          </cell>
          <cell r="D245" t="str">
            <v xml:space="preserve"> 10-15 years</v>
          </cell>
          <cell r="E245">
            <v>11.0910335386721</v>
          </cell>
          <cell r="F245">
            <v>300</v>
          </cell>
          <cell r="I245">
            <v>12.45</v>
          </cell>
          <cell r="L245">
            <v>0.59539343083029583</v>
          </cell>
          <cell r="M245">
            <v>8.7207626045143325</v>
          </cell>
          <cell r="N245">
            <v>178.61802924908875</v>
          </cell>
          <cell r="O245">
            <v>3327.31006160163</v>
          </cell>
        </row>
        <row r="246">
          <cell r="C246" t="str">
            <v>VINDHYACHAL STPS6</v>
          </cell>
          <cell r="D246" t="str">
            <v xml:space="preserve"> 25-30 years</v>
          </cell>
          <cell r="E246">
            <v>29.2539356605065</v>
          </cell>
          <cell r="F246">
            <v>210</v>
          </cell>
          <cell r="H246" t="str">
            <v>Y</v>
          </cell>
          <cell r="I246">
            <v>13.444923404822211</v>
          </cell>
          <cell r="J246">
            <v>0</v>
          </cell>
          <cell r="K246">
            <v>0</v>
          </cell>
          <cell r="L246">
            <v>0.84837511486428174</v>
          </cell>
          <cell r="M246">
            <v>13.419221691655897</v>
          </cell>
          <cell r="N246">
            <v>178.15877412149916</v>
          </cell>
          <cell r="O246">
            <v>6143.3264887063651</v>
          </cell>
          <cell r="P246">
            <v>0.89</v>
          </cell>
          <cell r="Q246">
            <v>186.9</v>
          </cell>
          <cell r="R246">
            <v>0.86</v>
          </cell>
        </row>
        <row r="247">
          <cell r="C247" t="str">
            <v>VINDHYACHAL STPS5</v>
          </cell>
          <cell r="D247" t="str">
            <v xml:space="preserve"> 30-35 years</v>
          </cell>
          <cell r="E247">
            <v>30.176591375769998</v>
          </cell>
          <cell r="F247">
            <v>210</v>
          </cell>
          <cell r="H247" t="str">
            <v>Y</v>
          </cell>
          <cell r="I247">
            <v>13.444923404822211</v>
          </cell>
          <cell r="J247">
            <v>0</v>
          </cell>
          <cell r="K247">
            <v>0</v>
          </cell>
          <cell r="L247">
            <v>0.84785447430773209</v>
          </cell>
          <cell r="M247">
            <v>13.410986430003835</v>
          </cell>
          <cell r="N247">
            <v>178.04943960462373</v>
          </cell>
          <cell r="O247">
            <v>6337.0841889117</v>
          </cell>
          <cell r="P247">
            <v>1.21</v>
          </cell>
          <cell r="Q247">
            <v>254.1</v>
          </cell>
          <cell r="R247">
            <v>1.24</v>
          </cell>
        </row>
        <row r="248">
          <cell r="C248" t="str">
            <v>NABI NAGAR TPP3</v>
          </cell>
          <cell r="D248" t="str">
            <v xml:space="preserve"> 0-5 years</v>
          </cell>
          <cell r="E248">
            <v>1.2539356605065</v>
          </cell>
          <cell r="F248">
            <v>250</v>
          </cell>
          <cell r="I248">
            <v>13.26</v>
          </cell>
          <cell r="L248">
            <v>0.71148727455957672</v>
          </cell>
          <cell r="M248">
            <v>11.099201483129397</v>
          </cell>
          <cell r="N248">
            <v>177.87181863989417</v>
          </cell>
          <cell r="O248">
            <v>313.48391512662499</v>
          </cell>
        </row>
        <row r="249">
          <cell r="C249" t="str">
            <v>SATPURA TPS10</v>
          </cell>
          <cell r="D249" t="str">
            <v xml:space="preserve"> 5-10 years</v>
          </cell>
          <cell r="E249">
            <v>7.1759069130732298</v>
          </cell>
          <cell r="F249">
            <v>250</v>
          </cell>
          <cell r="I249">
            <v>15.199500416319752</v>
          </cell>
          <cell r="L249">
            <v>0.71062352360941838</v>
          </cell>
          <cell r="M249">
            <v>12.707202991703486</v>
          </cell>
          <cell r="N249">
            <v>177.6558809023546</v>
          </cell>
          <cell r="O249">
            <v>1793.9767282683074</v>
          </cell>
          <cell r="P249" t="str">
            <v/>
          </cell>
          <cell r="R249" t="str">
            <v/>
          </cell>
        </row>
        <row r="250">
          <cell r="C250" t="str">
            <v>SAGARDIGHI TPS1</v>
          </cell>
          <cell r="D250" t="str">
            <v xml:space="preserve"> 10-15 years</v>
          </cell>
          <cell r="E250">
            <v>11.841204654346299</v>
          </cell>
          <cell r="F250">
            <v>300</v>
          </cell>
          <cell r="I250">
            <v>13.261931818181816</v>
          </cell>
          <cell r="J250">
            <v>0</v>
          </cell>
          <cell r="K250">
            <v>0</v>
          </cell>
          <cell r="L250">
            <v>0.58892780556193058</v>
          </cell>
          <cell r="M250">
            <v>9.1886122390514835</v>
          </cell>
          <cell r="N250">
            <v>176.67834166857918</v>
          </cell>
          <cell r="O250">
            <v>3552.3613963038897</v>
          </cell>
          <cell r="P250">
            <v>1</v>
          </cell>
          <cell r="Q250">
            <v>300</v>
          </cell>
          <cell r="R250">
            <v>1.02</v>
          </cell>
        </row>
        <row r="251">
          <cell r="C251" t="str">
            <v>NEYVELI (EXT) TPS2</v>
          </cell>
          <cell r="D251" t="str">
            <v xml:space="preserve"> 15-20 years</v>
          </cell>
          <cell r="E251">
            <v>16.843258042436599</v>
          </cell>
          <cell r="F251">
            <v>210</v>
          </cell>
          <cell r="G251" t="str">
            <v>Y</v>
          </cell>
          <cell r="I251">
            <v>13.08</v>
          </cell>
          <cell r="J251">
            <v>2621</v>
          </cell>
          <cell r="K251">
            <v>34.282679999999999</v>
          </cell>
          <cell r="L251">
            <v>0.84047324309981752</v>
          </cell>
          <cell r="M251">
            <v>12.933400023230133</v>
          </cell>
          <cell r="N251">
            <v>176.49938105096169</v>
          </cell>
          <cell r="O251">
            <v>3537.0841889116859</v>
          </cell>
          <cell r="P251">
            <v>0.79</v>
          </cell>
          <cell r="Q251">
            <v>165.9</v>
          </cell>
          <cell r="R251">
            <v>0.92</v>
          </cell>
        </row>
        <row r="252">
          <cell r="C252" t="str">
            <v>RAICHUR TPS8</v>
          </cell>
          <cell r="D252" t="str">
            <v xml:space="preserve"> 5-10 years</v>
          </cell>
          <cell r="E252">
            <v>9.9247091033538606</v>
          </cell>
          <cell r="F252">
            <v>250</v>
          </cell>
          <cell r="G252" t="str">
            <v>Y</v>
          </cell>
          <cell r="I252">
            <v>11.517352400408591</v>
          </cell>
          <cell r="L252">
            <v>0.7046995818304117</v>
          </cell>
          <cell r="M252">
            <v>9.548556965131084</v>
          </cell>
          <cell r="N252">
            <v>176.17489545760293</v>
          </cell>
          <cell r="O252">
            <v>2481.177275838465</v>
          </cell>
          <cell r="P252">
            <v>0.93</v>
          </cell>
          <cell r="Q252">
            <v>232.5</v>
          </cell>
          <cell r="R252">
            <v>1.07</v>
          </cell>
        </row>
        <row r="253">
          <cell r="C253" t="str">
            <v>KORBA STPS1</v>
          </cell>
          <cell r="D253" t="str">
            <v xml:space="preserve"> 35-40 years</v>
          </cell>
          <cell r="E253">
            <v>37.2539356605065</v>
          </cell>
          <cell r="F253">
            <v>200</v>
          </cell>
          <cell r="H253" t="str">
            <v>Y</v>
          </cell>
          <cell r="I253">
            <v>12.49</v>
          </cell>
          <cell r="J253">
            <v>0</v>
          </cell>
          <cell r="K253">
            <v>0</v>
          </cell>
          <cell r="L253">
            <v>0.87778879089640816</v>
          </cell>
          <cell r="M253">
            <v>12.898331762701339</v>
          </cell>
          <cell r="N253">
            <v>175.55775817928162</v>
          </cell>
          <cell r="O253">
            <v>7450.7871321012999</v>
          </cell>
          <cell r="P253">
            <v>1.27</v>
          </cell>
          <cell r="Q253">
            <v>254</v>
          </cell>
          <cell r="R253">
            <v>0.43</v>
          </cell>
        </row>
        <row r="254">
          <cell r="C254" t="str">
            <v>HARDUAGANJ TPS8</v>
          </cell>
          <cell r="D254" t="str">
            <v xml:space="preserve"> 5-10 years</v>
          </cell>
          <cell r="E254">
            <v>8.6735112936344905</v>
          </cell>
          <cell r="F254">
            <v>250</v>
          </cell>
          <cell r="I254">
            <v>10.202808370044059</v>
          </cell>
          <cell r="J254">
            <v>0</v>
          </cell>
          <cell r="K254">
            <v>0</v>
          </cell>
          <cell r="L254">
            <v>0.69630948475966836</v>
          </cell>
          <cell r="M254">
            <v>8.3580143991141291</v>
          </cell>
          <cell r="N254">
            <v>174.0773711899171</v>
          </cell>
          <cell r="O254">
            <v>2168.3778234086226</v>
          </cell>
          <cell r="P254" t="str">
            <v/>
          </cell>
          <cell r="R254" t="str">
            <v/>
          </cell>
        </row>
        <row r="255">
          <cell r="C255" t="str">
            <v>KAHALGAON TPS4</v>
          </cell>
          <cell r="D255" t="str">
            <v xml:space="preserve"> 20-25 years</v>
          </cell>
          <cell r="E255">
            <v>24.175222450376399</v>
          </cell>
          <cell r="F255">
            <v>210</v>
          </cell>
          <cell r="H255" t="str">
            <v>Y</v>
          </cell>
          <cell r="I255">
            <v>14.17</v>
          </cell>
          <cell r="J255">
            <v>0</v>
          </cell>
          <cell r="K255">
            <v>0</v>
          </cell>
          <cell r="L255">
            <v>0.82887789118448807</v>
          </cell>
          <cell r="M255">
            <v>13.817882021275524</v>
          </cell>
          <cell r="N255">
            <v>174.06435714874249</v>
          </cell>
          <cell r="O255">
            <v>5076.7967145790435</v>
          </cell>
          <cell r="P255">
            <v>1.1100000000000001</v>
          </cell>
          <cell r="Q255">
            <v>233.10000000000002</v>
          </cell>
          <cell r="R255">
            <v>1.24</v>
          </cell>
        </row>
        <row r="256">
          <cell r="C256" t="str">
            <v>NEYVELI TPS-II5</v>
          </cell>
          <cell r="D256" t="str">
            <v xml:space="preserve"> 25-30 years</v>
          </cell>
          <cell r="E256">
            <v>28.4243668720054</v>
          </cell>
          <cell r="F256">
            <v>210</v>
          </cell>
          <cell r="G256" t="str">
            <v>Y</v>
          </cell>
          <cell r="I256">
            <v>12.49</v>
          </cell>
          <cell r="J256">
            <v>2624</v>
          </cell>
          <cell r="K256">
            <v>32.773760000000003</v>
          </cell>
          <cell r="L256">
            <v>0.828396656617988</v>
          </cell>
          <cell r="M256">
            <v>12.172557930774905</v>
          </cell>
          <cell r="N256">
            <v>173.96329788977749</v>
          </cell>
          <cell r="O256">
            <v>5969.117043121134</v>
          </cell>
          <cell r="P256">
            <v>0.95</v>
          </cell>
          <cell r="Q256">
            <v>199.5</v>
          </cell>
          <cell r="R256">
            <v>1.02</v>
          </cell>
        </row>
        <row r="257">
          <cell r="C257" t="str">
            <v>ANPARA TPS3</v>
          </cell>
          <cell r="D257" t="str">
            <v xml:space="preserve"> 30-35 years</v>
          </cell>
          <cell r="E257">
            <v>32.175222450376403</v>
          </cell>
          <cell r="F257">
            <v>210</v>
          </cell>
          <cell r="H257" t="str">
            <v>Y</v>
          </cell>
          <cell r="I257">
            <v>12.500749903363012</v>
          </cell>
          <cell r="J257">
            <v>0</v>
          </cell>
          <cell r="K257">
            <v>0</v>
          </cell>
          <cell r="L257">
            <v>0.82806661917331348</v>
          </cell>
          <cell r="M257">
            <v>12.178180834834041</v>
          </cell>
          <cell r="N257">
            <v>173.89399002639584</v>
          </cell>
          <cell r="O257">
            <v>6756.7967145790444</v>
          </cell>
          <cell r="P257">
            <v>1.17</v>
          </cell>
          <cell r="Q257">
            <v>245.7</v>
          </cell>
          <cell r="R257">
            <v>1.05</v>
          </cell>
        </row>
        <row r="258">
          <cell r="C258" t="str">
            <v>KAHALGAON TPS3</v>
          </cell>
          <cell r="D258" t="str">
            <v xml:space="preserve"> 25-30 years</v>
          </cell>
          <cell r="E258">
            <v>25.177275838466802</v>
          </cell>
          <cell r="F258">
            <v>210</v>
          </cell>
          <cell r="H258" t="str">
            <v>Y</v>
          </cell>
          <cell r="I258">
            <v>14.17</v>
          </cell>
          <cell r="J258">
            <v>0</v>
          </cell>
          <cell r="K258">
            <v>0</v>
          </cell>
          <cell r="L258">
            <v>0.82683020576074406</v>
          </cell>
          <cell r="M258">
            <v>13.783745900740874</v>
          </cell>
          <cell r="N258">
            <v>173.63434320975625</v>
          </cell>
          <cell r="O258">
            <v>5287.2279260780288</v>
          </cell>
          <cell r="P258">
            <v>1.3</v>
          </cell>
          <cell r="Q258">
            <v>273</v>
          </cell>
          <cell r="R258">
            <v>1.27</v>
          </cell>
        </row>
        <row r="259">
          <cell r="C259" t="str">
            <v>SINGRAULI STPS2</v>
          </cell>
          <cell r="D259" t="str">
            <v xml:space="preserve"> 35-40 years</v>
          </cell>
          <cell r="E259">
            <v>37.505817932922596</v>
          </cell>
          <cell r="F259">
            <v>200</v>
          </cell>
          <cell r="H259" t="str">
            <v>Y</v>
          </cell>
          <cell r="I259">
            <v>12.601008209707661</v>
          </cell>
          <cell r="J259">
            <v>0</v>
          </cell>
          <cell r="K259">
            <v>0</v>
          </cell>
          <cell r="L259">
            <v>0.86465607380481457</v>
          </cell>
          <cell r="M259">
            <v>12.818280334809485</v>
          </cell>
          <cell r="N259">
            <v>172.93121476096292</v>
          </cell>
          <cell r="O259">
            <v>7501.1635865845192</v>
          </cell>
          <cell r="P259">
            <v>1.3</v>
          </cell>
          <cell r="Q259">
            <v>260</v>
          </cell>
          <cell r="R259">
            <v>0.81</v>
          </cell>
        </row>
        <row r="260">
          <cell r="C260" t="str">
            <v>NAWAPARA TPP1</v>
          </cell>
          <cell r="D260" t="str">
            <v xml:space="preserve"> 0-5 years</v>
          </cell>
          <cell r="E260">
            <v>3.7563312799452402</v>
          </cell>
          <cell r="F260">
            <v>300</v>
          </cell>
          <cell r="I260">
            <v>11.53</v>
          </cell>
          <cell r="L260">
            <v>0.57574403953393194</v>
          </cell>
          <cell r="M260">
            <v>7.8097985597955706</v>
          </cell>
          <cell r="N260">
            <v>172.72321186017959</v>
          </cell>
          <cell r="O260">
            <v>1126.8993839835721</v>
          </cell>
          <cell r="P260" t="str">
            <v/>
          </cell>
          <cell r="R260" t="str">
            <v/>
          </cell>
        </row>
        <row r="261">
          <cell r="C261" t="str">
            <v>ROSA TPP PH-I2</v>
          </cell>
          <cell r="D261" t="str">
            <v xml:space="preserve"> 5-10 years</v>
          </cell>
          <cell r="E261">
            <v>9.9247091033538606</v>
          </cell>
          <cell r="F261">
            <v>300</v>
          </cell>
          <cell r="I261">
            <v>12.295247828308652</v>
          </cell>
          <cell r="L261">
            <v>0.5743855105310347</v>
          </cell>
          <cell r="M261">
            <v>8.3084849423160723</v>
          </cell>
          <cell r="N261">
            <v>172.31565315931041</v>
          </cell>
          <cell r="O261">
            <v>2977.4127310061581</v>
          </cell>
          <cell r="P261">
            <v>1.02</v>
          </cell>
          <cell r="Q261">
            <v>306</v>
          </cell>
          <cell r="R261">
            <v>1</v>
          </cell>
        </row>
        <row r="262">
          <cell r="C262" t="str">
            <v>SINGRAULI STPS4</v>
          </cell>
          <cell r="D262" t="str">
            <v xml:space="preserve"> 35-40 years</v>
          </cell>
          <cell r="E262">
            <v>36.5065023956194</v>
          </cell>
          <cell r="F262">
            <v>200</v>
          </cell>
          <cell r="H262" t="str">
            <v>Y</v>
          </cell>
          <cell r="I262">
            <v>12.601008209707661</v>
          </cell>
          <cell r="J262">
            <v>0</v>
          </cell>
          <cell r="K262">
            <v>0</v>
          </cell>
          <cell r="L262">
            <v>0.86040622976881875</v>
          </cell>
          <cell r="M262">
            <v>12.755277605882943</v>
          </cell>
          <cell r="N262">
            <v>172.08124595376376</v>
          </cell>
          <cell r="O262">
            <v>7301.30047912388</v>
          </cell>
          <cell r="P262">
            <v>0.83</v>
          </cell>
          <cell r="Q262">
            <v>166</v>
          </cell>
          <cell r="R262">
            <v>0.75</v>
          </cell>
        </row>
        <row r="263">
          <cell r="C263" t="str">
            <v>NABI NAGAR TPP1</v>
          </cell>
          <cell r="D263" t="str">
            <v xml:space="preserve"> 0-5 years</v>
          </cell>
          <cell r="E263">
            <v>4.1752224503764497</v>
          </cell>
          <cell r="F263">
            <v>250</v>
          </cell>
          <cell r="I263">
            <v>13.26</v>
          </cell>
          <cell r="L263">
            <v>0.68674927294289334</v>
          </cell>
          <cell r="M263">
            <v>10.713288657909136</v>
          </cell>
          <cell r="N263">
            <v>171.68731823572332</v>
          </cell>
          <cell r="O263">
            <v>1043.8056125941125</v>
          </cell>
          <cell r="P263" t="str">
            <v/>
          </cell>
          <cell r="R263" t="str">
            <v/>
          </cell>
        </row>
        <row r="264">
          <cell r="C264" t="str">
            <v>KORBA STPS2</v>
          </cell>
          <cell r="D264" t="str">
            <v xml:space="preserve"> 35-40 years</v>
          </cell>
          <cell r="E264">
            <v>36.591375770020498</v>
          </cell>
          <cell r="F264">
            <v>200</v>
          </cell>
          <cell r="H264" t="str">
            <v>Y</v>
          </cell>
          <cell r="I264">
            <v>12.49</v>
          </cell>
          <cell r="J264">
            <v>0</v>
          </cell>
          <cell r="K264">
            <v>0</v>
          </cell>
          <cell r="L264">
            <v>0.85662028484765418</v>
          </cell>
          <cell r="M264">
            <v>12.587279244408473</v>
          </cell>
          <cell r="N264">
            <v>171.32405696953083</v>
          </cell>
          <cell r="O264">
            <v>7318.2751540040999</v>
          </cell>
          <cell r="P264">
            <v>0.9</v>
          </cell>
          <cell r="Q264">
            <v>180</v>
          </cell>
          <cell r="R264">
            <v>0.8</v>
          </cell>
        </row>
        <row r="265">
          <cell r="C265" t="str">
            <v>NEYVELI TPS-II4</v>
          </cell>
          <cell r="D265" t="str">
            <v xml:space="preserve"> 25-30 years</v>
          </cell>
          <cell r="E265">
            <v>29.177275838466802</v>
          </cell>
          <cell r="F265">
            <v>210</v>
          </cell>
          <cell r="G265" t="str">
            <v>Y</v>
          </cell>
          <cell r="I265">
            <v>12.49</v>
          </cell>
          <cell r="J265">
            <v>2624</v>
          </cell>
          <cell r="K265">
            <v>32.773760000000003</v>
          </cell>
          <cell r="L265">
            <v>0.81431915302436897</v>
          </cell>
          <cell r="M265">
            <v>11.965701436793376</v>
          </cell>
          <cell r="N265">
            <v>171.0070221351175</v>
          </cell>
          <cell r="O265">
            <v>6127.2279260780288</v>
          </cell>
          <cell r="P265">
            <v>1.1100000000000001</v>
          </cell>
          <cell r="Q265">
            <v>233.10000000000002</v>
          </cell>
          <cell r="R265">
            <v>1.17</v>
          </cell>
        </row>
        <row r="266">
          <cell r="C266" t="str">
            <v>NEYVELI TPS-II7</v>
          </cell>
          <cell r="D266" t="str">
            <v xml:space="preserve"> 25-30 years</v>
          </cell>
          <cell r="E266">
            <v>26.924024640656999</v>
          </cell>
          <cell r="F266">
            <v>210</v>
          </cell>
          <cell r="G266" t="str">
            <v>Y</v>
          </cell>
          <cell r="I266">
            <v>12.49</v>
          </cell>
          <cell r="J266">
            <v>2624</v>
          </cell>
          <cell r="K266">
            <v>32.773760000000003</v>
          </cell>
          <cell r="L266">
            <v>0.81208215961311303</v>
          </cell>
          <cell r="M266">
            <v>11.932830792432686</v>
          </cell>
          <cell r="N266">
            <v>170.53725351875374</v>
          </cell>
          <cell r="O266">
            <v>5654.0451745379696</v>
          </cell>
          <cell r="P266">
            <v>1.08</v>
          </cell>
          <cell r="Q266">
            <v>226.8</v>
          </cell>
          <cell r="R266">
            <v>1.21</v>
          </cell>
        </row>
        <row r="267">
          <cell r="C267" t="str">
            <v>RAMAGUNDEM STPS3</v>
          </cell>
          <cell r="D267" t="str">
            <v xml:space="preserve"> 35-40 years</v>
          </cell>
          <cell r="E267">
            <v>35.422313483915097</v>
          </cell>
          <cell r="F267">
            <v>200</v>
          </cell>
          <cell r="H267" t="str">
            <v>Y</v>
          </cell>
          <cell r="I267">
            <v>12.271763292280003</v>
          </cell>
          <cell r="J267">
            <v>0</v>
          </cell>
          <cell r="K267">
            <v>0</v>
          </cell>
          <cell r="L267">
            <v>0.84845782397036662</v>
          </cell>
          <cell r="M267">
            <v>12.249498328526251</v>
          </cell>
          <cell r="N267">
            <v>169.69156479407332</v>
          </cell>
          <cell r="O267">
            <v>7084.4626967830191</v>
          </cell>
          <cell r="P267">
            <v>0.77</v>
          </cell>
          <cell r="Q267">
            <v>154</v>
          </cell>
          <cell r="R267">
            <v>0.83</v>
          </cell>
        </row>
        <row r="268">
          <cell r="C268" t="str">
            <v>ANPARA TPS1</v>
          </cell>
          <cell r="D268" t="str">
            <v xml:space="preserve"> 30-35 years</v>
          </cell>
          <cell r="E268">
            <v>34.176591375770002</v>
          </cell>
          <cell r="F268">
            <v>210</v>
          </cell>
          <cell r="H268" t="str">
            <v>Y</v>
          </cell>
          <cell r="I268">
            <v>12.500749903363012</v>
          </cell>
          <cell r="J268">
            <v>0</v>
          </cell>
          <cell r="K268">
            <v>0</v>
          </cell>
          <cell r="L268">
            <v>0.80642386645137099</v>
          </cell>
          <cell r="M268">
            <v>11.859885965425416</v>
          </cell>
          <cell r="N268">
            <v>169.3490119547879</v>
          </cell>
          <cell r="O268">
            <v>7177.0841889117</v>
          </cell>
          <cell r="P268">
            <v>1.1399999999999999</v>
          </cell>
          <cell r="Q268">
            <v>239.39999999999998</v>
          </cell>
          <cell r="R268">
            <v>1.05</v>
          </cell>
        </row>
        <row r="269">
          <cell r="C269" t="str">
            <v>KAHALGAON TPS2</v>
          </cell>
          <cell r="D269" t="str">
            <v xml:space="preserve"> 25-30 years</v>
          </cell>
          <cell r="E269">
            <v>26.176591375769998</v>
          </cell>
          <cell r="F269">
            <v>210</v>
          </cell>
          <cell r="H269" t="str">
            <v>Y</v>
          </cell>
          <cell r="I269">
            <v>14.17</v>
          </cell>
          <cell r="J269">
            <v>0</v>
          </cell>
          <cell r="K269">
            <v>0</v>
          </cell>
          <cell r="L269">
            <v>0.80569315266623409</v>
          </cell>
          <cell r="M269">
            <v>13.431378792094749</v>
          </cell>
          <cell r="N269">
            <v>169.19556205990915</v>
          </cell>
          <cell r="O269">
            <v>5497.0841889117</v>
          </cell>
          <cell r="P269">
            <v>1.05</v>
          </cell>
          <cell r="Q269">
            <v>220.5</v>
          </cell>
          <cell r="R269">
            <v>1.1100000000000001</v>
          </cell>
        </row>
        <row r="270">
          <cell r="C270" t="str">
            <v>KOTA TPS7</v>
          </cell>
          <cell r="D270" t="str">
            <v xml:space="preserve"> 10-15 years</v>
          </cell>
          <cell r="E270">
            <v>10.757015742642</v>
          </cell>
          <cell r="F270">
            <v>195</v>
          </cell>
          <cell r="I270">
            <v>12.76</v>
          </cell>
          <cell r="J270">
            <v>0</v>
          </cell>
          <cell r="K270">
            <v>0</v>
          </cell>
          <cell r="L270">
            <v>0.86533750569722434</v>
          </cell>
          <cell r="M270">
            <v>12.990243026701863</v>
          </cell>
          <cell r="N270">
            <v>168.74081361095875</v>
          </cell>
          <cell r="O270">
            <v>2097.6180698151902</v>
          </cell>
          <cell r="P270">
            <v>0.95</v>
          </cell>
          <cell r="Q270">
            <v>185.25</v>
          </cell>
          <cell r="R270">
            <v>0.98</v>
          </cell>
        </row>
        <row r="271">
          <cell r="C271" t="str">
            <v>YAMUNA NAGAR TPS1</v>
          </cell>
          <cell r="D271" t="str">
            <v xml:space="preserve"> 10-15 years</v>
          </cell>
          <cell r="E271">
            <v>12.5065023956194</v>
          </cell>
          <cell r="F271">
            <v>300</v>
          </cell>
          <cell r="I271">
            <v>13.265151515151516</v>
          </cell>
          <cell r="L271">
            <v>0.56228686270557227</v>
          </cell>
          <cell r="M271">
            <v>8.7750828573748407</v>
          </cell>
          <cell r="N271">
            <v>168.68605881167167</v>
          </cell>
          <cell r="O271">
            <v>3751.95071868582</v>
          </cell>
          <cell r="P271">
            <v>0.8</v>
          </cell>
          <cell r="Q271">
            <v>240</v>
          </cell>
          <cell r="R271">
            <v>0.78</v>
          </cell>
        </row>
        <row r="272">
          <cell r="C272" t="str">
            <v>NEYVELI TPS-II1</v>
          </cell>
          <cell r="D272" t="str">
            <v xml:space="preserve"> 30-35 years</v>
          </cell>
          <cell r="E272">
            <v>32.339493497604302</v>
          </cell>
          <cell r="F272">
            <v>210</v>
          </cell>
          <cell r="G272" t="str">
            <v>Y</v>
          </cell>
          <cell r="I272">
            <v>12.49</v>
          </cell>
          <cell r="J272">
            <v>2624</v>
          </cell>
          <cell r="K272">
            <v>32.773760000000003</v>
          </cell>
          <cell r="L272">
            <v>0.80047875562163884</v>
          </cell>
          <cell r="M272">
            <v>11.762329009075613</v>
          </cell>
          <cell r="N272">
            <v>168.10053868054416</v>
          </cell>
          <cell r="O272">
            <v>6791.293634496903</v>
          </cell>
          <cell r="P272">
            <v>1.08</v>
          </cell>
          <cell r="Q272">
            <v>226.8</v>
          </cell>
          <cell r="R272">
            <v>1.1100000000000001</v>
          </cell>
        </row>
        <row r="273">
          <cell r="C273" t="str">
            <v>RAJIV GANDHI TPS1</v>
          </cell>
          <cell r="D273" t="str">
            <v xml:space="preserve"> 10-15 years</v>
          </cell>
          <cell r="E273">
            <v>10.17659137577</v>
          </cell>
          <cell r="F273">
            <v>600</v>
          </cell>
          <cell r="I273">
            <v>13.229596579289856</v>
          </cell>
          <cell r="L273">
            <v>0.28012452483425343</v>
          </cell>
          <cell r="M273">
            <v>4.3599228888499244</v>
          </cell>
          <cell r="N273">
            <v>168.07471490055207</v>
          </cell>
          <cell r="O273">
            <v>6105.9548254620004</v>
          </cell>
          <cell r="P273">
            <v>0.82</v>
          </cell>
          <cell r="Q273">
            <v>491.99999999999994</v>
          </cell>
          <cell r="R273">
            <v>0.74</v>
          </cell>
        </row>
        <row r="274">
          <cell r="C274" t="str">
            <v>NEYVELI TPS-II2</v>
          </cell>
          <cell r="D274" t="str">
            <v xml:space="preserve"> 30-35 years</v>
          </cell>
          <cell r="E274">
            <v>33.2539356605065</v>
          </cell>
          <cell r="F274">
            <v>210</v>
          </cell>
          <cell r="G274" t="str">
            <v>Y</v>
          </cell>
          <cell r="I274">
            <v>12.49</v>
          </cell>
          <cell r="J274">
            <v>2624</v>
          </cell>
          <cell r="K274">
            <v>32.773760000000003</v>
          </cell>
          <cell r="L274">
            <v>0.79994544577749405</v>
          </cell>
          <cell r="M274">
            <v>11.754492491483415</v>
          </cell>
          <cell r="N274">
            <v>167.98854361327375</v>
          </cell>
          <cell r="O274">
            <v>6983.3264887063651</v>
          </cell>
          <cell r="P274">
            <v>1.1100000000000001</v>
          </cell>
          <cell r="Q274">
            <v>233.10000000000002</v>
          </cell>
          <cell r="R274">
            <v>1.17</v>
          </cell>
        </row>
        <row r="275">
          <cell r="C275" t="str">
            <v>BAKRESWAR TPS4</v>
          </cell>
          <cell r="D275" t="str">
            <v xml:space="preserve"> 15-20 years</v>
          </cell>
          <cell r="E275">
            <v>19.175906913073199</v>
          </cell>
          <cell r="F275">
            <v>210</v>
          </cell>
          <cell r="G275" t="str">
            <v>Y</v>
          </cell>
          <cell r="I275">
            <v>12.3770601336303</v>
          </cell>
          <cell r="J275">
            <v>0</v>
          </cell>
          <cell r="K275">
            <v>0</v>
          </cell>
          <cell r="L275">
            <v>0.79544835682181936</v>
          </cell>
          <cell r="M275">
            <v>11.582720171271848</v>
          </cell>
          <cell r="N275">
            <v>167.04415493258207</v>
          </cell>
          <cell r="O275">
            <v>4026.9404517453718</v>
          </cell>
          <cell r="P275">
            <v>1.17</v>
          </cell>
          <cell r="Q275">
            <v>245.7</v>
          </cell>
          <cell r="R275">
            <v>1.17</v>
          </cell>
        </row>
        <row r="276">
          <cell r="C276" t="str">
            <v>BAKRESWAR TPS2</v>
          </cell>
          <cell r="D276" t="str">
            <v xml:space="preserve"> 20-25 years</v>
          </cell>
          <cell r="E276">
            <v>20.843258042436599</v>
          </cell>
          <cell r="F276">
            <v>210</v>
          </cell>
          <cell r="G276" t="str">
            <v>Y</v>
          </cell>
          <cell r="I276">
            <v>12.3770601336303</v>
          </cell>
          <cell r="J276">
            <v>0</v>
          </cell>
          <cell r="K276">
            <v>0</v>
          </cell>
          <cell r="L276">
            <v>0.79492671944359516</v>
          </cell>
          <cell r="M276">
            <v>11.5751244804504</v>
          </cell>
          <cell r="N276">
            <v>166.93461108315498</v>
          </cell>
          <cell r="O276">
            <v>4377.0841889116855</v>
          </cell>
          <cell r="P276" t="str">
            <v/>
          </cell>
          <cell r="R276" t="str">
            <v/>
          </cell>
        </row>
        <row r="277">
          <cell r="C277" t="str">
            <v>BONGAIGAON TPS1</v>
          </cell>
          <cell r="D277" t="str">
            <v xml:space="preserve"> 0-5 years</v>
          </cell>
          <cell r="E277">
            <v>4.9253935660506496</v>
          </cell>
          <cell r="F277">
            <v>250</v>
          </cell>
          <cell r="I277">
            <v>9.5751484431571363</v>
          </cell>
          <cell r="J277">
            <v>6244</v>
          </cell>
          <cell r="K277">
            <v>59.78722687907316</v>
          </cell>
          <cell r="L277">
            <v>0.66346499233659506</v>
          </cell>
          <cell r="M277">
            <v>7.4738538687776588</v>
          </cell>
          <cell r="N277">
            <v>165.86624808414876</v>
          </cell>
          <cell r="O277">
            <v>1231.3483915126624</v>
          </cell>
          <cell r="P277">
            <v>0.12</v>
          </cell>
          <cell r="Q277">
            <v>30</v>
          </cell>
          <cell r="R277">
            <v>0.13</v>
          </cell>
        </row>
        <row r="278">
          <cell r="C278" t="str">
            <v>PARICHHA TPS6</v>
          </cell>
          <cell r="D278" t="str">
            <v xml:space="preserve"> 5-10 years</v>
          </cell>
          <cell r="E278">
            <v>7.1759069130732298</v>
          </cell>
          <cell r="F278">
            <v>250</v>
          </cell>
          <cell r="I278">
            <v>12.85</v>
          </cell>
          <cell r="J278">
            <v>0</v>
          </cell>
          <cell r="K278">
            <v>0</v>
          </cell>
          <cell r="L278">
            <v>0.66319363581522006</v>
          </cell>
          <cell r="M278">
            <v>10.025927317912446</v>
          </cell>
          <cell r="N278">
            <v>165.79840895380502</v>
          </cell>
          <cell r="O278">
            <v>1793.9767282683074</v>
          </cell>
          <cell r="P278">
            <v>1.68</v>
          </cell>
          <cell r="Q278">
            <v>420</v>
          </cell>
          <cell r="R278">
            <v>1.31</v>
          </cell>
        </row>
        <row r="279">
          <cell r="C279" t="str">
            <v>NEYVELI TPS-II6</v>
          </cell>
          <cell r="D279" t="str">
            <v xml:space="preserve"> 25-30 years</v>
          </cell>
          <cell r="E279">
            <v>27.589322381930099</v>
          </cell>
          <cell r="F279">
            <v>210</v>
          </cell>
          <cell r="G279" t="str">
            <v>Y</v>
          </cell>
          <cell r="I279">
            <v>12.49</v>
          </cell>
          <cell r="J279">
            <v>2624</v>
          </cell>
          <cell r="K279">
            <v>32.773760000000003</v>
          </cell>
          <cell r="L279">
            <v>0.78928765621273411</v>
          </cell>
          <cell r="M279">
            <v>11.597885677761234</v>
          </cell>
          <cell r="N279">
            <v>165.75040780467415</v>
          </cell>
          <cell r="O279">
            <v>5793.7577002053213</v>
          </cell>
          <cell r="P279">
            <v>1.05</v>
          </cell>
          <cell r="Q279">
            <v>220.5</v>
          </cell>
          <cell r="R279">
            <v>1.21</v>
          </cell>
        </row>
        <row r="280">
          <cell r="C280" t="str">
            <v>BAKRESWAR TPS1</v>
          </cell>
          <cell r="D280" t="str">
            <v xml:space="preserve"> 10-15 years</v>
          </cell>
          <cell r="E280">
            <v>10.924024640657001</v>
          </cell>
          <cell r="F280">
            <v>210</v>
          </cell>
          <cell r="G280" t="str">
            <v>Y</v>
          </cell>
          <cell r="I280">
            <v>12.3770601336303</v>
          </cell>
          <cell r="J280">
            <v>0</v>
          </cell>
          <cell r="K280">
            <v>0</v>
          </cell>
          <cell r="L280">
            <v>0.78782254416631747</v>
          </cell>
          <cell r="M280">
            <v>11.47167882797191</v>
          </cell>
          <cell r="N280">
            <v>165.44273427492666</v>
          </cell>
          <cell r="O280">
            <v>2294.0451745379701</v>
          </cell>
          <cell r="P280">
            <v>1.05</v>
          </cell>
          <cell r="Q280">
            <v>220.5</v>
          </cell>
          <cell r="R280">
            <v>0.95</v>
          </cell>
        </row>
        <row r="281">
          <cell r="C281" t="str">
            <v>SINGRAULI STPS3</v>
          </cell>
          <cell r="D281" t="str">
            <v xml:space="preserve"> 35-40 years</v>
          </cell>
          <cell r="E281">
            <v>37.177275838466798</v>
          </cell>
          <cell r="F281">
            <v>200</v>
          </cell>
          <cell r="H281" t="str">
            <v>Y</v>
          </cell>
          <cell r="I281">
            <v>12.601008209707661</v>
          </cell>
          <cell r="J281">
            <v>0</v>
          </cell>
          <cell r="K281">
            <v>0</v>
          </cell>
          <cell r="L281">
            <v>0.82384066566467085</v>
          </cell>
          <cell r="M281">
            <v>12.213203519448873</v>
          </cell>
          <cell r="N281">
            <v>164.76813313293417</v>
          </cell>
          <cell r="O281">
            <v>7435.4551676933597</v>
          </cell>
          <cell r="P281">
            <v>1.1299999999999999</v>
          </cell>
          <cell r="Q281">
            <v>225.99999999999997</v>
          </cell>
          <cell r="R281">
            <v>0.73</v>
          </cell>
        </row>
        <row r="282">
          <cell r="C282" t="str">
            <v>BELLARY TPS1</v>
          </cell>
          <cell r="D282" t="str">
            <v xml:space="preserve"> 10-15 years</v>
          </cell>
          <cell r="E282">
            <v>12.4243668720054</v>
          </cell>
          <cell r="F282">
            <v>500</v>
          </cell>
          <cell r="I282">
            <v>13.263636363636362</v>
          </cell>
          <cell r="L282">
            <v>0.32939362585412335</v>
          </cell>
          <cell r="M282">
            <v>5.1399497339162128</v>
          </cell>
          <cell r="N282">
            <v>164.69681292706167</v>
          </cell>
          <cell r="O282">
            <v>6212.1834360027005</v>
          </cell>
          <cell r="P282">
            <v>0.68</v>
          </cell>
          <cell r="Q282">
            <v>340</v>
          </cell>
          <cell r="R282">
            <v>0.91</v>
          </cell>
        </row>
        <row r="283">
          <cell r="C283" t="str">
            <v>KAHALGAON TPS1</v>
          </cell>
          <cell r="D283" t="str">
            <v xml:space="preserve"> 25-30 years</v>
          </cell>
          <cell r="E283">
            <v>28.175222450376399</v>
          </cell>
          <cell r="F283">
            <v>210</v>
          </cell>
          <cell r="H283" t="str">
            <v>Y</v>
          </cell>
          <cell r="I283">
            <v>14.17</v>
          </cell>
          <cell r="J283">
            <v>0</v>
          </cell>
          <cell r="K283">
            <v>0</v>
          </cell>
          <cell r="L283">
            <v>0.78331569104385323</v>
          </cell>
          <cell r="M283">
            <v>13.05833334363694</v>
          </cell>
          <cell r="N283">
            <v>164.49629511920918</v>
          </cell>
          <cell r="O283">
            <v>5916.7967145790435</v>
          </cell>
          <cell r="P283">
            <v>1.37</v>
          </cell>
          <cell r="Q283">
            <v>287.70000000000005</v>
          </cell>
          <cell r="R283">
            <v>1.3</v>
          </cell>
        </row>
        <row r="284">
          <cell r="C284" t="str">
            <v>DR. N TATA RAO TPS4</v>
          </cell>
          <cell r="D284" t="str">
            <v xml:space="preserve"> 25-30 years</v>
          </cell>
          <cell r="E284">
            <v>29.6974674880219</v>
          </cell>
          <cell r="F284">
            <v>210</v>
          </cell>
          <cell r="G284" t="str">
            <v>Y</v>
          </cell>
          <cell r="I284">
            <v>12.76</v>
          </cell>
          <cell r="J284">
            <v>3420</v>
          </cell>
          <cell r="K284">
            <v>43.639199999999995</v>
          </cell>
          <cell r="L284">
            <v>0.7781354064124445</v>
          </cell>
          <cell r="M284">
            <v>11.681185630379757</v>
          </cell>
          <cell r="N284">
            <v>163.40843534661335</v>
          </cell>
          <cell r="O284">
            <v>6236.4681724845987</v>
          </cell>
        </row>
        <row r="285">
          <cell r="C285" t="str">
            <v>SINGRAULI STPS1</v>
          </cell>
          <cell r="D285" t="str">
            <v xml:space="preserve"> 35-40 years</v>
          </cell>
          <cell r="E285">
            <v>38.253251197809703</v>
          </cell>
          <cell r="F285">
            <v>200</v>
          </cell>
          <cell r="H285" t="str">
            <v>Y</v>
          </cell>
          <cell r="I285">
            <v>12.601008209707661</v>
          </cell>
          <cell r="J285">
            <v>0</v>
          </cell>
          <cell r="K285">
            <v>0</v>
          </cell>
          <cell r="L285">
            <v>0.81691760300245408</v>
          </cell>
          <cell r="M285">
            <v>12.110571084810152</v>
          </cell>
          <cell r="N285">
            <v>163.38352060049081</v>
          </cell>
          <cell r="O285">
            <v>7650.6502395619409</v>
          </cell>
          <cell r="P285">
            <v>0.8</v>
          </cell>
          <cell r="Q285">
            <v>160</v>
          </cell>
          <cell r="R285">
            <v>0.66</v>
          </cell>
        </row>
        <row r="286">
          <cell r="C286" t="str">
            <v>RAICHUR TPS4</v>
          </cell>
          <cell r="D286" t="str">
            <v xml:space="preserve"> 25-30 years</v>
          </cell>
          <cell r="E286">
            <v>25.672826830937701</v>
          </cell>
          <cell r="F286">
            <v>210</v>
          </cell>
          <cell r="G286" t="str">
            <v>Y</v>
          </cell>
          <cell r="I286">
            <v>11.517352400408591</v>
          </cell>
          <cell r="L286">
            <v>0.77586685752559914</v>
          </cell>
          <cell r="M286">
            <v>10.512861192846977</v>
          </cell>
          <cell r="N286">
            <v>162.93204008037583</v>
          </cell>
          <cell r="O286">
            <v>5391.2936344969175</v>
          </cell>
          <cell r="P286">
            <v>0.67</v>
          </cell>
          <cell r="Q286">
            <v>140.70000000000002</v>
          </cell>
          <cell r="R286">
            <v>0.79</v>
          </cell>
        </row>
        <row r="287">
          <cell r="C287" t="str">
            <v>RAMAGUNDEM STPS2</v>
          </cell>
          <cell r="D287" t="str">
            <v xml:space="preserve"> 35-40 years</v>
          </cell>
          <cell r="E287">
            <v>36.008213552361397</v>
          </cell>
          <cell r="F287">
            <v>200</v>
          </cell>
          <cell r="H287" t="str">
            <v>Y</v>
          </cell>
          <cell r="I287">
            <v>12.271763292280003</v>
          </cell>
          <cell r="J287">
            <v>0</v>
          </cell>
          <cell r="K287">
            <v>0</v>
          </cell>
          <cell r="L287">
            <v>0.81461014012126876</v>
          </cell>
          <cell r="M287">
            <v>11.760826841246182</v>
          </cell>
          <cell r="N287">
            <v>162.92202802425376</v>
          </cell>
          <cell r="O287">
            <v>7201.6427104722798</v>
          </cell>
          <cell r="P287">
            <v>0.93</v>
          </cell>
          <cell r="Q287">
            <v>186</v>
          </cell>
          <cell r="R287">
            <v>1</v>
          </cell>
        </row>
        <row r="288">
          <cell r="C288" t="str">
            <v>SIKKA REP. TPS3</v>
          </cell>
          <cell r="D288" t="str">
            <v xml:space="preserve"> 5-10 years</v>
          </cell>
          <cell r="E288">
            <v>5.1772758384667998</v>
          </cell>
          <cell r="F288">
            <v>250</v>
          </cell>
          <cell r="I288">
            <v>12.31</v>
          </cell>
          <cell r="J288">
            <v>5022</v>
          </cell>
          <cell r="K288">
            <v>61.820819999999998</v>
          </cell>
          <cell r="L288">
            <v>0.65122717112716</v>
          </cell>
          <cell r="M288">
            <v>9.431301737147459</v>
          </cell>
          <cell r="N288">
            <v>162.80679278178999</v>
          </cell>
          <cell r="O288">
            <v>1294.3189596166999</v>
          </cell>
          <cell r="P288">
            <v>0.53</v>
          </cell>
          <cell r="Q288">
            <v>132.5</v>
          </cell>
          <cell r="R288">
            <v>0.59</v>
          </cell>
        </row>
        <row r="289">
          <cell r="C289" t="str">
            <v>AKALTARA TPS3</v>
          </cell>
          <cell r="D289" t="str">
            <v xml:space="preserve"> 5-10 years</v>
          </cell>
          <cell r="E289">
            <v>6.7570157426420199</v>
          </cell>
          <cell r="F289">
            <v>600</v>
          </cell>
          <cell r="I289">
            <v>12.33</v>
          </cell>
          <cell r="L289">
            <v>0.27086440555889024</v>
          </cell>
          <cell r="M289">
            <v>3.929127200636608</v>
          </cell>
          <cell r="N289">
            <v>162.51864333533413</v>
          </cell>
          <cell r="O289">
            <v>4054.2094455852121</v>
          </cell>
        </row>
        <row r="290">
          <cell r="C290" t="str">
            <v>UNCHAHAR STPS6</v>
          </cell>
          <cell r="D290" t="str">
            <v xml:space="preserve"> 0-5 years</v>
          </cell>
          <cell r="E290">
            <v>3.1759069130732298</v>
          </cell>
          <cell r="F290">
            <v>500</v>
          </cell>
          <cell r="I290">
            <v>13.260997067448679</v>
          </cell>
          <cell r="J290">
            <v>3581</v>
          </cell>
          <cell r="K290">
            <v>47.487630498533719</v>
          </cell>
          <cell r="L290">
            <v>0.32482135029515419</v>
          </cell>
          <cell r="M290">
            <v>5.0675940867161877</v>
          </cell>
          <cell r="N290">
            <v>162.41067514757708</v>
          </cell>
          <cell r="O290">
            <v>1587.9534565366148</v>
          </cell>
          <cell r="P290" t="str">
            <v/>
          </cell>
          <cell r="R290" t="str">
            <v/>
          </cell>
        </row>
        <row r="291">
          <cell r="C291" t="str">
            <v>DR. N TATA RAO TPS5</v>
          </cell>
          <cell r="D291" t="str">
            <v xml:space="preserve"> 25-30 years</v>
          </cell>
          <cell r="E291">
            <v>26.094455852155999</v>
          </cell>
          <cell r="F291">
            <v>210</v>
          </cell>
          <cell r="G291" t="str">
            <v>Y</v>
          </cell>
          <cell r="I291">
            <v>12.76</v>
          </cell>
          <cell r="J291">
            <v>3420</v>
          </cell>
          <cell r="K291">
            <v>43.639199999999995</v>
          </cell>
          <cell r="L291">
            <v>0.77274121451818845</v>
          </cell>
          <cell r="M291">
            <v>11.600209290884806</v>
          </cell>
          <cell r="N291">
            <v>162.27565504881957</v>
          </cell>
          <cell r="O291">
            <v>5479.8357289527594</v>
          </cell>
        </row>
        <row r="292">
          <cell r="C292" t="str">
            <v>ANPARA TPS2</v>
          </cell>
          <cell r="D292" t="str">
            <v xml:space="preserve"> 30-35 years</v>
          </cell>
          <cell r="E292">
            <v>33.2539356605065</v>
          </cell>
          <cell r="F292">
            <v>210</v>
          </cell>
          <cell r="H292" t="str">
            <v>Y</v>
          </cell>
          <cell r="I292">
            <v>12.500749903363012</v>
          </cell>
          <cell r="J292">
            <v>0</v>
          </cell>
          <cell r="K292">
            <v>0</v>
          </cell>
          <cell r="L292">
            <v>0.77194518516136312</v>
          </cell>
          <cell r="M292">
            <v>11.35281611624406</v>
          </cell>
          <cell r="N292">
            <v>162.10848888388625</v>
          </cell>
          <cell r="O292">
            <v>6983.3264887063651</v>
          </cell>
          <cell r="P292">
            <v>1.17</v>
          </cell>
          <cell r="Q292">
            <v>245.7</v>
          </cell>
          <cell r="R292">
            <v>1.1100000000000001</v>
          </cell>
        </row>
        <row r="293">
          <cell r="C293" t="str">
            <v>KOTA TPS6</v>
          </cell>
          <cell r="D293" t="str">
            <v xml:space="preserve"> 15-20 years</v>
          </cell>
          <cell r="E293">
            <v>16.843258042436599</v>
          </cell>
          <cell r="F293">
            <v>195</v>
          </cell>
          <cell r="I293">
            <v>12.76</v>
          </cell>
          <cell r="J293">
            <v>0</v>
          </cell>
          <cell r="K293">
            <v>0</v>
          </cell>
          <cell r="L293">
            <v>0.83034653149484405</v>
          </cell>
          <cell r="M293">
            <v>12.464966755146131</v>
          </cell>
          <cell r="N293">
            <v>161.91757364149458</v>
          </cell>
          <cell r="O293">
            <v>3284.435318275137</v>
          </cell>
          <cell r="P293">
            <v>0.86</v>
          </cell>
          <cell r="Q293">
            <v>167.7</v>
          </cell>
          <cell r="R293">
            <v>0.89</v>
          </cell>
        </row>
        <row r="294">
          <cell r="C294" t="str">
            <v>ROSA TPP PH-I4</v>
          </cell>
          <cell r="D294" t="str">
            <v xml:space="preserve"> 5-10 years</v>
          </cell>
          <cell r="E294">
            <v>8.1752224503764506</v>
          </cell>
          <cell r="F294">
            <v>300</v>
          </cell>
          <cell r="I294">
            <v>12.295247828308652</v>
          </cell>
          <cell r="L294">
            <v>0.53911649851490839</v>
          </cell>
          <cell r="M294">
            <v>7.7983187736126967</v>
          </cell>
          <cell r="N294">
            <v>161.73494955447251</v>
          </cell>
          <cell r="O294">
            <v>2452.566735112935</v>
          </cell>
          <cell r="P294">
            <v>0.98</v>
          </cell>
          <cell r="Q294">
            <v>294</v>
          </cell>
          <cell r="R294">
            <v>1.02</v>
          </cell>
        </row>
        <row r="295">
          <cell r="C295" t="str">
            <v>NAWAPARA TPP2</v>
          </cell>
          <cell r="D295" t="str">
            <v xml:space="preserve"> 0-5 years</v>
          </cell>
          <cell r="E295">
            <v>3.0910335386721401</v>
          </cell>
          <cell r="F295">
            <v>300</v>
          </cell>
          <cell r="I295">
            <v>11.53</v>
          </cell>
          <cell r="L295">
            <v>0.53894574944873053</v>
          </cell>
          <cell r="M295">
            <v>7.3106405778163097</v>
          </cell>
          <cell r="N295">
            <v>161.68372483461917</v>
          </cell>
          <cell r="O295">
            <v>927.31006160164202</v>
          </cell>
          <cell r="P295" t="str">
            <v/>
          </cell>
          <cell r="R295" t="str">
            <v/>
          </cell>
        </row>
        <row r="296">
          <cell r="C296" t="str">
            <v>ROSA TPP PH-I1</v>
          </cell>
          <cell r="D296" t="str">
            <v xml:space="preserve"> 10-15 years</v>
          </cell>
          <cell r="E296">
            <v>10.2532511978097</v>
          </cell>
          <cell r="F296">
            <v>300</v>
          </cell>
          <cell r="I296">
            <v>12.295247828308652</v>
          </cell>
          <cell r="L296">
            <v>0.53850098630858056</v>
          </cell>
          <cell r="M296">
            <v>7.7894153911207553</v>
          </cell>
          <cell r="N296">
            <v>161.55029589257418</v>
          </cell>
          <cell r="O296">
            <v>3075.97535934291</v>
          </cell>
          <cell r="P296">
            <v>1.1100000000000001</v>
          </cell>
          <cell r="Q296">
            <v>333.00000000000006</v>
          </cell>
          <cell r="R296">
            <v>1.27</v>
          </cell>
        </row>
        <row r="297">
          <cell r="C297" t="str">
            <v>WANAKBORI TPS7</v>
          </cell>
          <cell r="D297" t="str">
            <v xml:space="preserve"> 20-25 years</v>
          </cell>
          <cell r="E297">
            <v>21.423682409308601</v>
          </cell>
          <cell r="F297">
            <v>210</v>
          </cell>
          <cell r="I297">
            <v>13.26</v>
          </cell>
          <cell r="J297">
            <v>0</v>
          </cell>
          <cell r="K297">
            <v>0</v>
          </cell>
          <cell r="L297">
            <v>0.76812714103686108</v>
          </cell>
          <cell r="M297">
            <v>11.982783400175032</v>
          </cell>
          <cell r="N297">
            <v>161.30669961774083</v>
          </cell>
          <cell r="O297">
            <v>4498.9733059548062</v>
          </cell>
          <cell r="P297">
            <v>1.4</v>
          </cell>
          <cell r="Q297">
            <v>294</v>
          </cell>
          <cell r="R297">
            <v>1.4</v>
          </cell>
        </row>
        <row r="298">
          <cell r="C298" t="str">
            <v>MEJIA TPS5</v>
          </cell>
          <cell r="D298" t="str">
            <v xml:space="preserve"> 10-15 years</v>
          </cell>
          <cell r="E298">
            <v>12.5913757700205</v>
          </cell>
          <cell r="F298">
            <v>250</v>
          </cell>
          <cell r="I298">
            <v>12.218034993270546</v>
          </cell>
          <cell r="J298">
            <v>0</v>
          </cell>
          <cell r="K298">
            <v>0</v>
          </cell>
          <cell r="L298">
            <v>0.64395239919722669</v>
          </cell>
          <cell r="M298">
            <v>9.2562740557555756</v>
          </cell>
          <cell r="N298">
            <v>160.98809979930667</v>
          </cell>
          <cell r="O298">
            <v>3147.8439425051251</v>
          </cell>
          <cell r="P298">
            <v>0.99</v>
          </cell>
          <cell r="Q298">
            <v>247.5</v>
          </cell>
          <cell r="R298">
            <v>0.83</v>
          </cell>
        </row>
        <row r="299">
          <cell r="C299" t="str">
            <v>SOLAPUR STPS1</v>
          </cell>
          <cell r="D299" t="str">
            <v xml:space="preserve"> 0-5 years</v>
          </cell>
          <cell r="E299">
            <v>3.0910335386721401</v>
          </cell>
          <cell r="F299">
            <v>660</v>
          </cell>
          <cell r="I299">
            <v>12.5</v>
          </cell>
          <cell r="J299">
            <v>3427</v>
          </cell>
          <cell r="K299">
            <v>42.837499999999999</v>
          </cell>
          <cell r="L299">
            <v>0.24382802341216731</v>
          </cell>
          <cell r="M299">
            <v>3.5857062266495192</v>
          </cell>
          <cell r="N299">
            <v>160.92649545203042</v>
          </cell>
          <cell r="O299">
            <v>2040.0821355236126</v>
          </cell>
          <cell r="P299">
            <v>0.99</v>
          </cell>
          <cell r="Q299">
            <v>653.4</v>
          </cell>
          <cell r="R299">
            <v>0.46</v>
          </cell>
        </row>
        <row r="300">
          <cell r="C300" t="str">
            <v>ROSA TPP PH-I3</v>
          </cell>
          <cell r="D300" t="str">
            <v xml:space="preserve"> 5-10 years</v>
          </cell>
          <cell r="E300">
            <v>8.4243668720054696</v>
          </cell>
          <cell r="F300">
            <v>300</v>
          </cell>
          <cell r="I300">
            <v>12.295247828308652</v>
          </cell>
          <cell r="L300">
            <v>0.53551217566353326</v>
          </cell>
          <cell r="M300">
            <v>7.7461822527763511</v>
          </cell>
          <cell r="N300">
            <v>160.65365269905999</v>
          </cell>
          <cell r="O300">
            <v>2527.3100616016409</v>
          </cell>
          <cell r="P300">
            <v>1.07</v>
          </cell>
          <cell r="Q300">
            <v>321</v>
          </cell>
          <cell r="R300">
            <v>1.1100000000000001</v>
          </cell>
        </row>
        <row r="301">
          <cell r="C301" t="str">
            <v>IB VALLEY TPS2</v>
          </cell>
          <cell r="D301" t="str">
            <v xml:space="preserve"> 20-25 years</v>
          </cell>
          <cell r="E301">
            <v>24.591375770020498</v>
          </cell>
          <cell r="F301">
            <v>210</v>
          </cell>
          <cell r="H301" t="str">
            <v>Y</v>
          </cell>
          <cell r="I301">
            <v>13.19</v>
          </cell>
          <cell r="J301">
            <v>3100</v>
          </cell>
          <cell r="K301">
            <v>40.889000000000003</v>
          </cell>
          <cell r="L301">
            <v>0.76149251724682931</v>
          </cell>
          <cell r="M301">
            <v>11.816572120571385</v>
          </cell>
          <cell r="N301">
            <v>159.91342862183416</v>
          </cell>
          <cell r="O301">
            <v>5164.1889117043047</v>
          </cell>
          <cell r="P301" t="str">
            <v/>
          </cell>
          <cell r="R301" t="str">
            <v/>
          </cell>
        </row>
        <row r="302">
          <cell r="C302" t="str">
            <v>IB VALLEY TPS1</v>
          </cell>
          <cell r="D302" t="str">
            <v xml:space="preserve"> 25-30 years</v>
          </cell>
          <cell r="E302">
            <v>25.924709103353798</v>
          </cell>
          <cell r="F302">
            <v>210</v>
          </cell>
          <cell r="H302" t="str">
            <v>Y</v>
          </cell>
          <cell r="I302">
            <v>13.19</v>
          </cell>
          <cell r="J302">
            <v>3100</v>
          </cell>
          <cell r="K302">
            <v>40.889000000000003</v>
          </cell>
          <cell r="L302">
            <v>0.75934995122276783</v>
          </cell>
          <cell r="M302">
            <v>11.783324537209774</v>
          </cell>
          <cell r="N302">
            <v>159.46348975678126</v>
          </cell>
          <cell r="O302">
            <v>5444.1889117042974</v>
          </cell>
          <cell r="P302" t="str">
            <v/>
          </cell>
          <cell r="R302" t="str">
            <v/>
          </cell>
        </row>
        <row r="303">
          <cell r="C303" t="str">
            <v>DR. N TATA RAO TPS6</v>
          </cell>
          <cell r="D303" t="str">
            <v xml:space="preserve"> 25-30 years</v>
          </cell>
          <cell r="E303">
            <v>25.190965092402401</v>
          </cell>
          <cell r="F303">
            <v>210</v>
          </cell>
          <cell r="G303" t="str">
            <v>Y</v>
          </cell>
          <cell r="I303">
            <v>12.76</v>
          </cell>
          <cell r="J303">
            <v>3420</v>
          </cell>
          <cell r="K303">
            <v>43.639199999999995</v>
          </cell>
          <cell r="L303">
            <v>0.75920497999535319</v>
          </cell>
          <cell r="M303">
            <v>11.397006523224361</v>
          </cell>
          <cell r="N303">
            <v>159.43304579902417</v>
          </cell>
          <cell r="O303">
            <v>5290.102669404504</v>
          </cell>
        </row>
        <row r="304">
          <cell r="C304" t="str">
            <v>FARAKKA STPS2</v>
          </cell>
          <cell r="D304" t="str">
            <v xml:space="preserve"> 30-35 years</v>
          </cell>
          <cell r="E304">
            <v>33.423682409308597</v>
          </cell>
          <cell r="F304">
            <v>200</v>
          </cell>
          <cell r="H304" t="str">
            <v>Y</v>
          </cell>
          <cell r="I304">
            <v>12.49</v>
          </cell>
          <cell r="J304">
            <v>0</v>
          </cell>
          <cell r="K304">
            <v>0</v>
          </cell>
          <cell r="L304">
            <v>0.79441215106732288</v>
          </cell>
          <cell r="M304">
            <v>11.673185608036309</v>
          </cell>
          <cell r="N304">
            <v>158.88243021346457</v>
          </cell>
          <cell r="O304">
            <v>6684.7364818617198</v>
          </cell>
          <cell r="P304">
            <v>1.4</v>
          </cell>
          <cell r="Q304">
            <v>280</v>
          </cell>
          <cell r="R304">
            <v>1.2</v>
          </cell>
        </row>
        <row r="305">
          <cell r="C305" t="str">
            <v>SINGRAULI STPS5</v>
          </cell>
          <cell r="D305" t="str">
            <v xml:space="preserve"> 35-40 years</v>
          </cell>
          <cell r="E305">
            <v>36.254620123203203</v>
          </cell>
          <cell r="F305">
            <v>200</v>
          </cell>
          <cell r="H305" t="str">
            <v>Y</v>
          </cell>
          <cell r="I305">
            <v>12.601008209707661</v>
          </cell>
          <cell r="J305">
            <v>0</v>
          </cell>
          <cell r="K305">
            <v>0</v>
          </cell>
          <cell r="L305">
            <v>0.79294628989588534</v>
          </cell>
          <cell r="M305">
            <v>11.755203186865039</v>
          </cell>
          <cell r="N305">
            <v>158.58925797917706</v>
          </cell>
          <cell r="O305">
            <v>7250.9240246406407</v>
          </cell>
          <cell r="P305">
            <v>0.77</v>
          </cell>
          <cell r="Q305">
            <v>154</v>
          </cell>
          <cell r="R305">
            <v>0.75</v>
          </cell>
        </row>
        <row r="306">
          <cell r="C306" t="str">
            <v>KORBA-WEST TPS4</v>
          </cell>
          <cell r="D306" t="str">
            <v xml:space="preserve"> 30-35 years</v>
          </cell>
          <cell r="E306">
            <v>34.176591375770002</v>
          </cell>
          <cell r="F306">
            <v>210</v>
          </cell>
          <cell r="G306" t="str">
            <v>Y</v>
          </cell>
          <cell r="I306">
            <v>13.26</v>
          </cell>
          <cell r="J306">
            <v>3494</v>
          </cell>
          <cell r="K306">
            <v>46.330440000000003</v>
          </cell>
          <cell r="L306">
            <v>0.75072582299738888</v>
          </cell>
          <cell r="M306">
            <v>11.711322838759267</v>
          </cell>
          <cell r="N306">
            <v>157.65242282945167</v>
          </cell>
          <cell r="O306">
            <v>7177.0841889117</v>
          </cell>
        </row>
        <row r="307">
          <cell r="C307" t="str">
            <v>NEYVELI TPS-II3</v>
          </cell>
          <cell r="D307" t="str">
            <v xml:space="preserve"> 30-35 years</v>
          </cell>
          <cell r="E307">
            <v>33.177275838466798</v>
          </cell>
          <cell r="F307">
            <v>210</v>
          </cell>
          <cell r="G307" t="str">
            <v>Y</v>
          </cell>
          <cell r="I307">
            <v>12.49</v>
          </cell>
          <cell r="J307">
            <v>2624</v>
          </cell>
          <cell r="K307">
            <v>32.773760000000003</v>
          </cell>
          <cell r="L307">
            <v>0.74941244887729563</v>
          </cell>
          <cell r="M307">
            <v>11.01195468997344</v>
          </cell>
          <cell r="N307">
            <v>157.37661426423207</v>
          </cell>
          <cell r="O307">
            <v>6967.2279260780278</v>
          </cell>
          <cell r="P307">
            <v>1.05</v>
          </cell>
          <cell r="Q307">
            <v>220.5</v>
          </cell>
          <cell r="R307">
            <v>0.98</v>
          </cell>
        </row>
        <row r="308">
          <cell r="C308" t="str">
            <v>BAKRESWAR TPS5</v>
          </cell>
          <cell r="D308" t="str">
            <v xml:space="preserve"> 10-15 years</v>
          </cell>
          <cell r="E308">
            <v>12.4243668720054</v>
          </cell>
          <cell r="F308">
            <v>210</v>
          </cell>
          <cell r="G308" t="str">
            <v>Y</v>
          </cell>
          <cell r="I308">
            <v>12.3770601336303</v>
          </cell>
          <cell r="J308">
            <v>0</v>
          </cell>
          <cell r="K308">
            <v>0</v>
          </cell>
          <cell r="L308">
            <v>0.74778302474740865</v>
          </cell>
          <cell r="M308">
            <v>10.888653487301921</v>
          </cell>
          <cell r="N308">
            <v>157.03443519695583</v>
          </cell>
          <cell r="O308">
            <v>2609.117043121134</v>
          </cell>
          <cell r="P308">
            <v>1.27</v>
          </cell>
          <cell r="Q308">
            <v>266.7</v>
          </cell>
          <cell r="R308">
            <v>1.4</v>
          </cell>
        </row>
        <row r="309">
          <cell r="C309" t="str">
            <v>DR. N TATA RAO TPS3</v>
          </cell>
          <cell r="D309" t="str">
            <v xml:space="preserve"> 30-35 years</v>
          </cell>
          <cell r="E309">
            <v>30.579055441478399</v>
          </cell>
          <cell r="F309">
            <v>210</v>
          </cell>
          <cell r="G309" t="str">
            <v>Y</v>
          </cell>
          <cell r="I309">
            <v>12.76</v>
          </cell>
          <cell r="J309">
            <v>3420</v>
          </cell>
          <cell r="K309">
            <v>43.639199999999995</v>
          </cell>
          <cell r="L309">
            <v>0.7477616790604068</v>
          </cell>
          <cell r="M309">
            <v>11.225222382130342</v>
          </cell>
          <cell r="N309">
            <v>157.02995260268543</v>
          </cell>
          <cell r="O309">
            <v>6421.6016427104641</v>
          </cell>
        </row>
        <row r="310">
          <cell r="C310" t="str">
            <v>FARAKKA STPS1</v>
          </cell>
          <cell r="D310" t="str">
            <v xml:space="preserve"> 30-35 years</v>
          </cell>
          <cell r="E310">
            <v>34.338124572210802</v>
          </cell>
          <cell r="F310">
            <v>200</v>
          </cell>
          <cell r="H310" t="str">
            <v>Y</v>
          </cell>
          <cell r="I310">
            <v>12.49</v>
          </cell>
          <cell r="J310">
            <v>0</v>
          </cell>
          <cell r="K310">
            <v>0</v>
          </cell>
          <cell r="L310">
            <v>0.7796218505926521</v>
          </cell>
          <cell r="M310">
            <v>11.455855192826146</v>
          </cell>
          <cell r="N310">
            <v>155.92437011853042</v>
          </cell>
          <cell r="O310">
            <v>6867.6249144421599</v>
          </cell>
          <cell r="P310">
            <v>1.3</v>
          </cell>
          <cell r="Q310">
            <v>260</v>
          </cell>
          <cell r="R310">
            <v>1.1299999999999999</v>
          </cell>
        </row>
        <row r="311">
          <cell r="C311" t="str">
            <v>METTUR TPS4</v>
          </cell>
          <cell r="D311" t="str">
            <v xml:space="preserve"> 30-35 years</v>
          </cell>
          <cell r="E311">
            <v>30.176591375769998</v>
          </cell>
          <cell r="F311">
            <v>210</v>
          </cell>
          <cell r="G311" t="str">
            <v>Y</v>
          </cell>
          <cell r="I311">
            <v>14.647983439217654</v>
          </cell>
          <cell r="J311">
            <v>0</v>
          </cell>
          <cell r="K311">
            <v>0</v>
          </cell>
          <cell r="L311">
            <v>0.74167185527353963</v>
          </cell>
          <cell r="M311">
            <v>12.781173003977226</v>
          </cell>
          <cell r="N311">
            <v>155.75108960744333</v>
          </cell>
          <cell r="O311">
            <v>6337.0841889117</v>
          </cell>
          <cell r="P311">
            <v>0.86</v>
          </cell>
          <cell r="Q311">
            <v>180.6</v>
          </cell>
          <cell r="R311">
            <v>0.86</v>
          </cell>
        </row>
        <row r="312">
          <cell r="C312" t="str">
            <v>BAKRESWAR TPS3</v>
          </cell>
          <cell r="D312" t="str">
            <v xml:space="preserve"> 15-20 years</v>
          </cell>
          <cell r="E312">
            <v>20.008213552361301</v>
          </cell>
          <cell r="F312">
            <v>210</v>
          </cell>
          <cell r="G312" t="str">
            <v>Y</v>
          </cell>
          <cell r="I312">
            <v>12.3770601336303</v>
          </cell>
          <cell r="J312">
            <v>0</v>
          </cell>
          <cell r="K312">
            <v>0</v>
          </cell>
          <cell r="L312">
            <v>0.74135983521950599</v>
          </cell>
          <cell r="M312">
            <v>10.795123836670678</v>
          </cell>
          <cell r="N312">
            <v>155.68556539609625</v>
          </cell>
          <cell r="O312">
            <v>4201.7248459958737</v>
          </cell>
          <cell r="P312">
            <v>1.1100000000000001</v>
          </cell>
          <cell r="Q312">
            <v>233.10000000000002</v>
          </cell>
          <cell r="R312">
            <v>1.17</v>
          </cell>
        </row>
        <row r="313">
          <cell r="C313" t="str">
            <v>GANDHI NAGAR TPS5</v>
          </cell>
          <cell r="D313" t="str">
            <v xml:space="preserve"> 20-25 years</v>
          </cell>
          <cell r="E313">
            <v>22.176591375769998</v>
          </cell>
          <cell r="F313">
            <v>210</v>
          </cell>
          <cell r="I313">
            <v>12.37728930096887</v>
          </cell>
          <cell r="J313">
            <v>0</v>
          </cell>
          <cell r="K313">
            <v>0</v>
          </cell>
          <cell r="L313">
            <v>0.73412776569862304</v>
          </cell>
          <cell r="M313">
            <v>10.690013811677352</v>
          </cell>
          <cell r="N313">
            <v>154.16683079671083</v>
          </cell>
          <cell r="O313">
            <v>4657.0841889117</v>
          </cell>
          <cell r="P313">
            <v>1.21</v>
          </cell>
          <cell r="Q313">
            <v>254.1</v>
          </cell>
          <cell r="R313">
            <v>1.24</v>
          </cell>
        </row>
        <row r="314">
          <cell r="C314" t="str">
            <v>RAMAGUNDEM STPS1</v>
          </cell>
          <cell r="D314" t="str">
            <v xml:space="preserve"> 35-40 years</v>
          </cell>
          <cell r="E314">
            <v>36.591375770020498</v>
          </cell>
          <cell r="F314">
            <v>200</v>
          </cell>
          <cell r="H314" t="str">
            <v>Y</v>
          </cell>
          <cell r="I314">
            <v>12.271763292280003</v>
          </cell>
          <cell r="J314">
            <v>0</v>
          </cell>
          <cell r="K314">
            <v>0</v>
          </cell>
          <cell r="L314">
            <v>0.77016604262672705</v>
          </cell>
          <cell r="M314">
            <v>11.119171024549678</v>
          </cell>
          <cell r="N314">
            <v>154.0332085253454</v>
          </cell>
          <cell r="O314">
            <v>7318.2751540040999</v>
          </cell>
          <cell r="P314">
            <v>1.03</v>
          </cell>
          <cell r="Q314">
            <v>206</v>
          </cell>
          <cell r="R314">
            <v>1</v>
          </cell>
        </row>
        <row r="315">
          <cell r="C315" t="str">
            <v>METTUR TPS3</v>
          </cell>
          <cell r="D315" t="str">
            <v xml:space="preserve"> 30-35 years</v>
          </cell>
          <cell r="E315">
            <v>31.175906913073199</v>
          </cell>
          <cell r="F315">
            <v>210</v>
          </cell>
          <cell r="G315" t="str">
            <v>Y</v>
          </cell>
          <cell r="I315">
            <v>14.647983439217654</v>
          </cell>
          <cell r="J315">
            <v>0</v>
          </cell>
          <cell r="K315">
            <v>0</v>
          </cell>
          <cell r="L315">
            <v>0.73038400111720037</v>
          </cell>
          <cell r="M315">
            <v>12.586650297216799</v>
          </cell>
          <cell r="N315">
            <v>153.38064023461209</v>
          </cell>
          <cell r="O315">
            <v>6546.9404517453713</v>
          </cell>
          <cell r="P315">
            <v>0.89</v>
          </cell>
          <cell r="Q315">
            <v>186.9</v>
          </cell>
          <cell r="R315">
            <v>0.83</v>
          </cell>
        </row>
        <row r="316">
          <cell r="C316" t="str">
            <v>KORBA-WEST TPS2</v>
          </cell>
          <cell r="D316" t="str">
            <v xml:space="preserve"> 35-40 years</v>
          </cell>
          <cell r="E316">
            <v>36.175222450376403</v>
          </cell>
          <cell r="F316">
            <v>210</v>
          </cell>
          <cell r="G316" t="str">
            <v>Y</v>
          </cell>
          <cell r="I316">
            <v>13.26</v>
          </cell>
          <cell r="J316">
            <v>3494</v>
          </cell>
          <cell r="K316">
            <v>46.330440000000003</v>
          </cell>
          <cell r="L316">
            <v>0.73033587879715878</v>
          </cell>
          <cell r="M316">
            <v>11.393239709235678</v>
          </cell>
          <cell r="N316">
            <v>153.37053454740334</v>
          </cell>
          <cell r="O316">
            <v>7596.7967145790444</v>
          </cell>
        </row>
        <row r="317">
          <cell r="C317" t="str">
            <v>LARA TPP1</v>
          </cell>
          <cell r="D317" t="str">
            <v xml:space="preserve"> 0-5 years</v>
          </cell>
          <cell r="E317">
            <v>2.0917180013689198</v>
          </cell>
          <cell r="F317">
            <v>800</v>
          </cell>
          <cell r="I317">
            <v>12.5</v>
          </cell>
          <cell r="L317">
            <v>0.19113316259736876</v>
          </cell>
          <cell r="M317">
            <v>2.8107818029024818</v>
          </cell>
          <cell r="N317">
            <v>152.90653007789501</v>
          </cell>
          <cell r="O317">
            <v>1673.3744010951359</v>
          </cell>
        </row>
        <row r="318">
          <cell r="C318" t="str">
            <v>RAIKHEDA TPP2</v>
          </cell>
          <cell r="D318" t="str">
            <v xml:space="preserve"> 0-5 years</v>
          </cell>
          <cell r="E318">
            <v>4.1752224503764497</v>
          </cell>
          <cell r="F318">
            <v>685</v>
          </cell>
          <cell r="I318">
            <v>12.33</v>
          </cell>
          <cell r="L318">
            <v>0.22309672867809185</v>
          </cell>
          <cell r="M318">
            <v>3.2362148995304385</v>
          </cell>
          <cell r="N318">
            <v>152.82125914449293</v>
          </cell>
          <cell r="O318">
            <v>2860.027378507868</v>
          </cell>
          <cell r="P318">
            <v>0.43</v>
          </cell>
          <cell r="Q318">
            <v>294.55</v>
          </cell>
          <cell r="R318">
            <v>0.41</v>
          </cell>
        </row>
        <row r="319">
          <cell r="C319" t="str">
            <v>FARAKKA STPS3</v>
          </cell>
          <cell r="D319" t="str">
            <v xml:space="preserve"> 30-35 years</v>
          </cell>
          <cell r="E319">
            <v>32.758384668035497</v>
          </cell>
          <cell r="F319">
            <v>200</v>
          </cell>
          <cell r="H319" t="str">
            <v>Y</v>
          </cell>
          <cell r="I319">
            <v>12.49</v>
          </cell>
          <cell r="J319">
            <v>0</v>
          </cell>
          <cell r="K319">
            <v>0</v>
          </cell>
          <cell r="L319">
            <v>0.76360324394094581</v>
          </cell>
          <cell r="M319">
            <v>11.220475902144015</v>
          </cell>
          <cell r="N319">
            <v>152.72064878818915</v>
          </cell>
          <cell r="O319">
            <v>6551.6769336070993</v>
          </cell>
          <cell r="P319">
            <v>1.37</v>
          </cell>
          <cell r="Q319">
            <v>274</v>
          </cell>
          <cell r="R319">
            <v>1.3</v>
          </cell>
        </row>
        <row r="320">
          <cell r="C320" t="str">
            <v>BINA TPS1</v>
          </cell>
          <cell r="D320" t="str">
            <v xml:space="preserve"> 5-10 years</v>
          </cell>
          <cell r="E320">
            <v>7.7563312799452397</v>
          </cell>
          <cell r="F320">
            <v>250</v>
          </cell>
          <cell r="I320">
            <v>10.258070997990636</v>
          </cell>
          <cell r="J320">
            <v>0</v>
          </cell>
          <cell r="K320">
            <v>0</v>
          </cell>
          <cell r="L320">
            <v>0.61014295649487005</v>
          </cell>
          <cell r="M320">
            <v>7.3633997254685752</v>
          </cell>
          <cell r="N320">
            <v>152.53573912371752</v>
          </cell>
          <cell r="O320">
            <v>1939.0828199863099</v>
          </cell>
          <cell r="P320">
            <v>0.99</v>
          </cell>
          <cell r="Q320">
            <v>247.5</v>
          </cell>
          <cell r="R320">
            <v>0.91</v>
          </cell>
        </row>
        <row r="321">
          <cell r="C321" t="str">
            <v>SIKKA REP. TPS4</v>
          </cell>
          <cell r="D321" t="str">
            <v xml:space="preserve"> 0-5 years</v>
          </cell>
          <cell r="E321">
            <v>4.6735112936344896</v>
          </cell>
          <cell r="F321">
            <v>250</v>
          </cell>
          <cell r="I321">
            <v>12.31</v>
          </cell>
          <cell r="J321">
            <v>5022</v>
          </cell>
          <cell r="K321">
            <v>61.820819999999998</v>
          </cell>
          <cell r="L321">
            <v>0.60938017007860334</v>
          </cell>
          <cell r="M321">
            <v>8.8252586984324797</v>
          </cell>
          <cell r="N321">
            <v>152.34504251965083</v>
          </cell>
          <cell r="O321">
            <v>1168.3778234086224</v>
          </cell>
          <cell r="P321">
            <v>1.01</v>
          </cell>
          <cell r="Q321">
            <v>252.5</v>
          </cell>
          <cell r="R321">
            <v>0.91</v>
          </cell>
        </row>
        <row r="322">
          <cell r="C322" t="str">
            <v>NORTH CHENNAI TPS2</v>
          </cell>
          <cell r="D322" t="str">
            <v xml:space="preserve"> 5-10 years</v>
          </cell>
          <cell r="E322">
            <v>15.9247091033538</v>
          </cell>
          <cell r="F322">
            <v>210</v>
          </cell>
          <cell r="G322" t="str">
            <v>Y</v>
          </cell>
          <cell r="I322">
            <v>12.65</v>
          </cell>
          <cell r="J322">
            <v>4009</v>
          </cell>
          <cell r="K322">
            <v>50.713850000000001</v>
          </cell>
          <cell r="L322">
            <v>0.7224147266024622</v>
          </cell>
          <cell r="M322">
            <v>10.751230931201349</v>
          </cell>
          <cell r="N322">
            <v>151.70709258651706</v>
          </cell>
          <cell r="O322">
            <v>3344.1889117042979</v>
          </cell>
          <cell r="P322">
            <v>1.27</v>
          </cell>
          <cell r="Q322">
            <v>266.7</v>
          </cell>
          <cell r="R322">
            <v>1.17</v>
          </cell>
        </row>
        <row r="323">
          <cell r="C323" t="str">
            <v>RAICHUR TPS5</v>
          </cell>
          <cell r="D323" t="str">
            <v xml:space="preserve"> 20-25 years</v>
          </cell>
          <cell r="E323">
            <v>21.338809034907499</v>
          </cell>
          <cell r="F323">
            <v>210</v>
          </cell>
          <cell r="G323" t="str">
            <v>Y</v>
          </cell>
          <cell r="I323">
            <v>11.517352400408591</v>
          </cell>
          <cell r="L323">
            <v>0.72167943893455555</v>
          </cell>
          <cell r="M323">
            <v>9.7786310803981511</v>
          </cell>
          <cell r="N323">
            <v>151.55268217625667</v>
          </cell>
          <cell r="O323">
            <v>4481.1498973305743</v>
          </cell>
          <cell r="P323">
            <v>0.86</v>
          </cell>
          <cell r="Q323">
            <v>180.6</v>
          </cell>
          <cell r="R323">
            <v>0.89</v>
          </cell>
        </row>
        <row r="324">
          <cell r="C324" t="str">
            <v>NORTH CHENNAI TPS3</v>
          </cell>
          <cell r="D324" t="str">
            <v xml:space="preserve"> 20-25 years</v>
          </cell>
          <cell r="E324">
            <v>24.2546201232032</v>
          </cell>
          <cell r="F324">
            <v>210</v>
          </cell>
          <cell r="G324" t="str">
            <v>Y</v>
          </cell>
          <cell r="I324">
            <v>12.65</v>
          </cell>
          <cell r="J324">
            <v>4009</v>
          </cell>
          <cell r="K324">
            <v>50.713850000000001</v>
          </cell>
          <cell r="L324">
            <v>0.71672856305877775</v>
          </cell>
          <cell r="M324">
            <v>10.666607438462988</v>
          </cell>
          <cell r="N324">
            <v>150.51299824234331</v>
          </cell>
          <cell r="O324">
            <v>5093.470225872672</v>
          </cell>
          <cell r="P324">
            <v>1.1399999999999999</v>
          </cell>
          <cell r="Q324">
            <v>239.39999999999998</v>
          </cell>
          <cell r="R324">
            <v>1.21</v>
          </cell>
        </row>
        <row r="325">
          <cell r="C325" t="str">
            <v>KOTA TPS5</v>
          </cell>
          <cell r="D325" t="str">
            <v xml:space="preserve"> 25-30 years</v>
          </cell>
          <cell r="E325">
            <v>26.176591375769998</v>
          </cell>
          <cell r="F325">
            <v>210</v>
          </cell>
          <cell r="G325" t="str">
            <v>Y</v>
          </cell>
          <cell r="I325">
            <v>12.76</v>
          </cell>
          <cell r="J325">
            <v>0</v>
          </cell>
          <cell r="K325">
            <v>0</v>
          </cell>
          <cell r="L325">
            <v>0.71261484895846827</v>
          </cell>
          <cell r="M325">
            <v>10.697606438482419</v>
          </cell>
          <cell r="N325">
            <v>149.64911828127833</v>
          </cell>
          <cell r="O325">
            <v>5497.0841889117</v>
          </cell>
          <cell r="P325">
            <v>0.92</v>
          </cell>
          <cell r="Q325">
            <v>193.20000000000002</v>
          </cell>
          <cell r="R325">
            <v>0.95</v>
          </cell>
        </row>
        <row r="326">
          <cell r="C326" t="str">
            <v>METTUR TPS2</v>
          </cell>
          <cell r="D326" t="str">
            <v xml:space="preserve"> 30-35 years</v>
          </cell>
          <cell r="E326">
            <v>32.4243668720054</v>
          </cell>
          <cell r="F326">
            <v>210</v>
          </cell>
          <cell r="G326" t="str">
            <v>Y</v>
          </cell>
          <cell r="I326">
            <v>14.647983439217654</v>
          </cell>
          <cell r="J326">
            <v>0</v>
          </cell>
          <cell r="K326">
            <v>0</v>
          </cell>
          <cell r="L326">
            <v>0.70906287037947813</v>
          </cell>
          <cell r="M326">
            <v>12.219224920803212</v>
          </cell>
          <cell r="N326">
            <v>148.90320277969042</v>
          </cell>
          <cell r="O326">
            <v>6809.117043121134</v>
          </cell>
          <cell r="P326">
            <v>0.86</v>
          </cell>
          <cell r="Q326">
            <v>180.6</v>
          </cell>
          <cell r="R326">
            <v>0.86</v>
          </cell>
        </row>
        <row r="327">
          <cell r="C327" t="str">
            <v>BONGAIGAON TPS2</v>
          </cell>
          <cell r="D327" t="str">
            <v xml:space="preserve"> 0-5 years</v>
          </cell>
          <cell r="E327">
            <v>3.1074606433949299</v>
          </cell>
          <cell r="F327">
            <v>250</v>
          </cell>
          <cell r="I327">
            <v>9.5751484431571363</v>
          </cell>
          <cell r="J327">
            <v>6244</v>
          </cell>
          <cell r="K327">
            <v>59.78722687907316</v>
          </cell>
          <cell r="L327">
            <v>0.59498356998664004</v>
          </cell>
          <cell r="M327">
            <v>6.7024188280725312</v>
          </cell>
          <cell r="N327">
            <v>148.74589249666002</v>
          </cell>
          <cell r="O327">
            <v>776.86516084873244</v>
          </cell>
        </row>
        <row r="328">
          <cell r="C328" t="str">
            <v>KORBA-WEST TPS1</v>
          </cell>
          <cell r="D328" t="str">
            <v xml:space="preserve"> 35-40 years</v>
          </cell>
          <cell r="E328">
            <v>36.925393566050602</v>
          </cell>
          <cell r="F328">
            <v>220</v>
          </cell>
          <cell r="G328" t="str">
            <v>Y</v>
          </cell>
          <cell r="I328">
            <v>13.26</v>
          </cell>
          <cell r="J328">
            <v>3494</v>
          </cell>
          <cell r="K328">
            <v>46.330440000000003</v>
          </cell>
          <cell r="L328">
            <v>0.67572815020871779</v>
          </cell>
          <cell r="M328">
            <v>10.541359143255997</v>
          </cell>
          <cell r="N328">
            <v>148.66019304591791</v>
          </cell>
          <cell r="O328">
            <v>8123.5865845311328</v>
          </cell>
        </row>
        <row r="329">
          <cell r="C329" t="str">
            <v>UNCHAHAR STPS4</v>
          </cell>
          <cell r="D329" t="str">
            <v xml:space="preserve"> 20-25 years</v>
          </cell>
          <cell r="E329">
            <v>20.591375770020498</v>
          </cell>
          <cell r="F329">
            <v>210</v>
          </cell>
          <cell r="I329">
            <v>13.260997067448679</v>
          </cell>
          <cell r="L329">
            <v>0.70671449107389683</v>
          </cell>
          <cell r="M329">
            <v>11.025575051358155</v>
          </cell>
          <cell r="N329">
            <v>148.41004312551834</v>
          </cell>
          <cell r="O329">
            <v>4324.1889117043047</v>
          </cell>
          <cell r="P329">
            <v>1.17</v>
          </cell>
          <cell r="Q329">
            <v>245.7</v>
          </cell>
          <cell r="R329">
            <v>0.71</v>
          </cell>
        </row>
        <row r="330">
          <cell r="C330" t="str">
            <v>UKAI TPS4</v>
          </cell>
          <cell r="D330" t="str">
            <v xml:space="preserve"> 40-45 years</v>
          </cell>
          <cell r="E330">
            <v>41.177275838466798</v>
          </cell>
          <cell r="F330">
            <v>200</v>
          </cell>
          <cell r="H330" t="str">
            <v>Y</v>
          </cell>
          <cell r="I330">
            <v>13.254709254709253</v>
          </cell>
          <cell r="J330">
            <v>0</v>
          </cell>
          <cell r="K330">
            <v>0</v>
          </cell>
          <cell r="L330">
            <v>0.73444943047389377</v>
          </cell>
          <cell r="M330">
            <v>11.452839603786188</v>
          </cell>
          <cell r="N330">
            <v>146.88988609477875</v>
          </cell>
          <cell r="O330">
            <v>8235.4551676933588</v>
          </cell>
          <cell r="P330">
            <v>1.27</v>
          </cell>
          <cell r="Q330">
            <v>254</v>
          </cell>
          <cell r="R330">
            <v>1.27</v>
          </cell>
        </row>
        <row r="331">
          <cell r="C331" t="str">
            <v>SURATGARH TPS1</v>
          </cell>
          <cell r="D331" t="str">
            <v xml:space="preserve"> 20-25 years</v>
          </cell>
          <cell r="E331">
            <v>22.009582477754901</v>
          </cell>
          <cell r="F331">
            <v>250</v>
          </cell>
          <cell r="I331">
            <v>11.73</v>
          </cell>
          <cell r="J331">
            <v>0</v>
          </cell>
          <cell r="K331">
            <v>0</v>
          </cell>
          <cell r="L331">
            <v>0.58519415273289999</v>
          </cell>
          <cell r="M331">
            <v>8.0756793077140205</v>
          </cell>
          <cell r="N331">
            <v>146.29853818322499</v>
          </cell>
          <cell r="O331">
            <v>5502.3956194387247</v>
          </cell>
          <cell r="P331">
            <v>1.04</v>
          </cell>
          <cell r="Q331">
            <v>260</v>
          </cell>
          <cell r="R331">
            <v>1.0900000000000001</v>
          </cell>
        </row>
        <row r="332">
          <cell r="C332" t="str">
            <v>BALCO TPS2</v>
          </cell>
          <cell r="D332" t="str">
            <v xml:space="preserve"> 0-5 years</v>
          </cell>
          <cell r="E332">
            <v>4.1752224503764497</v>
          </cell>
          <cell r="F332">
            <v>300</v>
          </cell>
          <cell r="I332">
            <v>13.137773722627744</v>
          </cell>
          <cell r="L332">
            <v>0.4858731133750403</v>
          </cell>
          <cell r="M332">
            <v>7.5097541428587471</v>
          </cell>
          <cell r="N332">
            <v>145.76193401251209</v>
          </cell>
          <cell r="O332">
            <v>1252.5667351129348</v>
          </cell>
          <cell r="P332">
            <v>0.93</v>
          </cell>
          <cell r="Q332">
            <v>279</v>
          </cell>
          <cell r="R332">
            <v>1.2</v>
          </cell>
        </row>
        <row r="333">
          <cell r="C333" t="str">
            <v>UNCHAHAR STPS5</v>
          </cell>
          <cell r="D333" t="str">
            <v xml:space="preserve"> 10-15 years</v>
          </cell>
          <cell r="E333">
            <v>13.6728268309377</v>
          </cell>
          <cell r="F333">
            <v>210</v>
          </cell>
          <cell r="I333">
            <v>13.260997067448679</v>
          </cell>
          <cell r="L333">
            <v>0.69340071524840274</v>
          </cell>
          <cell r="M333">
            <v>10.8178645311481</v>
          </cell>
          <cell r="N333">
            <v>145.61415020216458</v>
          </cell>
          <cell r="O333">
            <v>2871.2936344969171</v>
          </cell>
          <cell r="P333">
            <v>0.98</v>
          </cell>
          <cell r="Q333">
            <v>205.79999999999998</v>
          </cell>
          <cell r="R333">
            <v>0.69</v>
          </cell>
        </row>
        <row r="334">
          <cell r="C334" t="str">
            <v>KOTA TPS4</v>
          </cell>
          <cell r="D334" t="str">
            <v xml:space="preserve"> 30-35 years</v>
          </cell>
          <cell r="E334">
            <v>31.008898015058101</v>
          </cell>
          <cell r="F334">
            <v>210</v>
          </cell>
          <cell r="G334" t="str">
            <v>Y</v>
          </cell>
          <cell r="I334">
            <v>12.76</v>
          </cell>
          <cell r="J334">
            <v>0</v>
          </cell>
          <cell r="K334">
            <v>0</v>
          </cell>
          <cell r="L334">
            <v>0.69111035742973814</v>
          </cell>
          <cell r="M334">
            <v>10.374786071533482</v>
          </cell>
          <cell r="N334">
            <v>145.13317506024501</v>
          </cell>
          <cell r="O334">
            <v>6511.8685831622015</v>
          </cell>
          <cell r="P334">
            <v>1.68</v>
          </cell>
          <cell r="Q334">
            <v>352.8</v>
          </cell>
          <cell r="R334">
            <v>1.74</v>
          </cell>
        </row>
        <row r="335">
          <cell r="C335" t="str">
            <v>UNCHAHAR STPS2</v>
          </cell>
          <cell r="D335" t="str">
            <v xml:space="preserve"> 30-35 years</v>
          </cell>
          <cell r="E335">
            <v>31.175906913073199</v>
          </cell>
          <cell r="F335">
            <v>210</v>
          </cell>
          <cell r="H335" t="str">
            <v>Y</v>
          </cell>
          <cell r="I335">
            <v>13.260997067448679</v>
          </cell>
          <cell r="L335">
            <v>0.68800741256868847</v>
          </cell>
          <cell r="M335">
            <v>10.733722682889802</v>
          </cell>
          <cell r="N335">
            <v>144.48155663942458</v>
          </cell>
          <cell r="O335">
            <v>6546.9404517453713</v>
          </cell>
          <cell r="P335">
            <v>1.21</v>
          </cell>
          <cell r="Q335">
            <v>254.1</v>
          </cell>
          <cell r="R335">
            <v>0.66</v>
          </cell>
        </row>
        <row r="336">
          <cell r="C336" t="str">
            <v>NEYVELI TPS (Z)1</v>
          </cell>
          <cell r="D336" t="str">
            <v xml:space="preserve"> 15-20 years</v>
          </cell>
          <cell r="E336">
            <v>17.590691307323699</v>
          </cell>
          <cell r="F336">
            <v>250</v>
          </cell>
          <cell r="I336">
            <v>12.23</v>
          </cell>
          <cell r="L336">
            <v>0.57563503698995333</v>
          </cell>
          <cell r="M336">
            <v>8.2823723557495654</v>
          </cell>
          <cell r="N336">
            <v>143.90875924748832</v>
          </cell>
          <cell r="O336">
            <v>4397.6728268309244</v>
          </cell>
        </row>
        <row r="337">
          <cell r="C337" t="str">
            <v>OBRA TPS11</v>
          </cell>
          <cell r="D337" t="str">
            <v xml:space="preserve"> 40-45 years</v>
          </cell>
          <cell r="E337">
            <v>42.4229979466119</v>
          </cell>
          <cell r="F337">
            <v>200</v>
          </cell>
          <cell r="H337" t="str">
            <v>Y</v>
          </cell>
          <cell r="I337">
            <v>14.97</v>
          </cell>
          <cell r="J337">
            <v>0</v>
          </cell>
          <cell r="K337">
            <v>0</v>
          </cell>
          <cell r="L337">
            <v>0.7182351797779416</v>
          </cell>
          <cell r="M337">
            <v>12.649388989736218</v>
          </cell>
          <cell r="N337">
            <v>143.64703595558831</v>
          </cell>
          <cell r="O337">
            <v>8484.5995893223808</v>
          </cell>
          <cell r="P337" t="str">
            <v/>
          </cell>
          <cell r="R337" t="str">
            <v/>
          </cell>
        </row>
        <row r="338">
          <cell r="C338" t="str">
            <v>KOTA TPS3</v>
          </cell>
          <cell r="D338" t="str">
            <v xml:space="preserve"> 30-35 years</v>
          </cell>
          <cell r="E338">
            <v>31.671457905544099</v>
          </cell>
          <cell r="F338">
            <v>210</v>
          </cell>
          <cell r="G338" t="str">
            <v>Y</v>
          </cell>
          <cell r="I338">
            <v>12.76</v>
          </cell>
          <cell r="J338">
            <v>0</v>
          </cell>
          <cell r="K338">
            <v>0</v>
          </cell>
          <cell r="L338">
            <v>0.68396701829830153</v>
          </cell>
          <cell r="M338">
            <v>10.267551945278033</v>
          </cell>
          <cell r="N338">
            <v>143.63307384264331</v>
          </cell>
          <cell r="O338">
            <v>6651.006160164261</v>
          </cell>
          <cell r="P338">
            <v>1.57</v>
          </cell>
          <cell r="Q338">
            <v>329.7</v>
          </cell>
          <cell r="R338">
            <v>1.64</v>
          </cell>
        </row>
        <row r="339">
          <cell r="C339" t="str">
            <v>WANAKBORI TPS3</v>
          </cell>
          <cell r="D339" t="str">
            <v xml:space="preserve"> 35-40 years</v>
          </cell>
          <cell r="E339">
            <v>36.175222450376403</v>
          </cell>
          <cell r="F339">
            <v>210</v>
          </cell>
          <cell r="H339" t="str">
            <v>Y</v>
          </cell>
          <cell r="I339">
            <v>13.26</v>
          </cell>
          <cell r="J339">
            <v>0</v>
          </cell>
          <cell r="K339">
            <v>0</v>
          </cell>
          <cell r="L339">
            <v>0.68362853552199798</v>
          </cell>
          <cell r="M339">
            <v>10.664605154143167</v>
          </cell>
          <cell r="N339">
            <v>143.56199245961957</v>
          </cell>
          <cell r="O339">
            <v>7596.7967145790444</v>
          </cell>
          <cell r="P339">
            <v>1.02</v>
          </cell>
          <cell r="Q339">
            <v>214.20000000000002</v>
          </cell>
          <cell r="R339">
            <v>1.24</v>
          </cell>
        </row>
        <row r="340">
          <cell r="C340" t="str">
            <v>UNCHAHAR STPS3</v>
          </cell>
          <cell r="D340" t="str">
            <v xml:space="preserve"> 20-25 years</v>
          </cell>
          <cell r="E340">
            <v>21.338809034907499</v>
          </cell>
          <cell r="F340">
            <v>210</v>
          </cell>
          <cell r="I340">
            <v>13.260997067448679</v>
          </cell>
          <cell r="L340">
            <v>0.68347562508915671</v>
          </cell>
          <cell r="M340">
            <v>10.663021482329365</v>
          </cell>
          <cell r="N340">
            <v>143.5298812687229</v>
          </cell>
          <cell r="O340">
            <v>4481.1498973305743</v>
          </cell>
          <cell r="P340">
            <v>1.33</v>
          </cell>
          <cell r="Q340">
            <v>279.3</v>
          </cell>
          <cell r="R340">
            <v>0.67</v>
          </cell>
        </row>
        <row r="341">
          <cell r="C341" t="str">
            <v>PANIPAT TPS8</v>
          </cell>
          <cell r="D341" t="str">
            <v xml:space="preserve"> 15-20 years</v>
          </cell>
          <cell r="E341">
            <v>15.337440109514</v>
          </cell>
          <cell r="F341">
            <v>250</v>
          </cell>
          <cell r="I341">
            <v>12.438645872955515</v>
          </cell>
          <cell r="L341">
            <v>0.56927000123024507</v>
          </cell>
          <cell r="M341">
            <v>8.3305270016470221</v>
          </cell>
          <cell r="N341">
            <v>142.31750030756126</v>
          </cell>
          <cell r="O341">
            <v>3834.3600273785</v>
          </cell>
          <cell r="P341">
            <v>1.1499999999999999</v>
          </cell>
          <cell r="Q341">
            <v>287.5</v>
          </cell>
          <cell r="R341">
            <v>0.61</v>
          </cell>
        </row>
        <row r="342">
          <cell r="C342" t="str">
            <v>UKAI TPS5</v>
          </cell>
          <cell r="D342" t="str">
            <v xml:space="preserve"> 35-40 years</v>
          </cell>
          <cell r="E342">
            <v>35.337440109513999</v>
          </cell>
          <cell r="F342">
            <v>210</v>
          </cell>
          <cell r="H342" t="str">
            <v>Y</v>
          </cell>
          <cell r="I342">
            <v>13.254709254709253</v>
          </cell>
          <cell r="J342">
            <v>0</v>
          </cell>
          <cell r="K342">
            <v>0</v>
          </cell>
          <cell r="L342">
            <v>0.67448588996999004</v>
          </cell>
          <cell r="M342">
            <v>10.517781609360039</v>
          </cell>
          <cell r="N342">
            <v>141.64203689369791</v>
          </cell>
          <cell r="O342">
            <v>7420.8624229979396</v>
          </cell>
          <cell r="P342">
            <v>1.27</v>
          </cell>
          <cell r="Q342">
            <v>266.7</v>
          </cell>
          <cell r="R342">
            <v>1.46</v>
          </cell>
        </row>
        <row r="343">
          <cell r="C343" t="str">
            <v>D.P.L. TPS8</v>
          </cell>
          <cell r="D343" t="str">
            <v xml:space="preserve"> 5-10 years</v>
          </cell>
          <cell r="E343">
            <v>6.1765913757700197</v>
          </cell>
          <cell r="F343">
            <v>250</v>
          </cell>
          <cell r="I343">
            <v>14.376260257913273</v>
          </cell>
          <cell r="L343">
            <v>0.56067329048547332</v>
          </cell>
          <cell r="M343">
            <v>9.4828060513879695</v>
          </cell>
          <cell r="N343">
            <v>140.16832262136833</v>
          </cell>
          <cell r="O343">
            <v>1544.147843942505</v>
          </cell>
        </row>
        <row r="344">
          <cell r="C344" t="str">
            <v>SANJAY GANDHI TPS4</v>
          </cell>
          <cell r="D344" t="str">
            <v xml:space="preserve"> 20-25 years</v>
          </cell>
          <cell r="E344">
            <v>20.5065023956194</v>
          </cell>
          <cell r="F344">
            <v>210</v>
          </cell>
          <cell r="I344">
            <v>13.882871771003039</v>
          </cell>
          <cell r="L344">
            <v>0.66494624314522022</v>
          </cell>
          <cell r="M344">
            <v>10.860427562582707</v>
          </cell>
          <cell r="N344">
            <v>139.63871106049623</v>
          </cell>
          <cell r="O344">
            <v>4306.3655030800737</v>
          </cell>
          <cell r="P344">
            <v>0.89</v>
          </cell>
          <cell r="Q344">
            <v>186.9</v>
          </cell>
          <cell r="R344">
            <v>0.76</v>
          </cell>
        </row>
        <row r="345">
          <cell r="C345" t="str">
            <v>RAYALSEEMA TPS4</v>
          </cell>
          <cell r="D345" t="str">
            <v xml:space="preserve"> 10-15 years</v>
          </cell>
          <cell r="E345">
            <v>12.5065023956194</v>
          </cell>
          <cell r="F345">
            <v>210</v>
          </cell>
          <cell r="I345">
            <v>12.65</v>
          </cell>
          <cell r="J345">
            <v>3420</v>
          </cell>
          <cell r="K345">
            <v>43.262999999999998</v>
          </cell>
          <cell r="L345">
            <v>0.66355590416243049</v>
          </cell>
          <cell r="M345">
            <v>9.87527316194676</v>
          </cell>
          <cell r="N345">
            <v>139.3467398741104</v>
          </cell>
          <cell r="O345">
            <v>2626.3655030800737</v>
          </cell>
          <cell r="P345">
            <v>1.59</v>
          </cell>
          <cell r="Q345">
            <v>333.90000000000003</v>
          </cell>
          <cell r="R345">
            <v>1.62</v>
          </cell>
        </row>
        <row r="346">
          <cell r="C346" t="str">
            <v>UNCHAHAR STPS1</v>
          </cell>
          <cell r="D346" t="str">
            <v xml:space="preserve"> 30-35 years</v>
          </cell>
          <cell r="E346">
            <v>31.504449007529001</v>
          </cell>
          <cell r="F346">
            <v>210</v>
          </cell>
          <cell r="H346" t="str">
            <v>Y</v>
          </cell>
          <cell r="I346">
            <v>13.260997067448679</v>
          </cell>
          <cell r="L346">
            <v>0.65614640754456155</v>
          </cell>
          <cell r="M346">
            <v>10.23665363090049</v>
          </cell>
          <cell r="N346">
            <v>137.79074558435792</v>
          </cell>
          <cell r="O346">
            <v>6615.9342915810903</v>
          </cell>
          <cell r="P346">
            <v>1.1100000000000001</v>
          </cell>
          <cell r="Q346">
            <v>233.10000000000002</v>
          </cell>
          <cell r="R346">
            <v>0.67</v>
          </cell>
        </row>
        <row r="347">
          <cell r="C347" t="str">
            <v>GADARWARA TPP1</v>
          </cell>
          <cell r="D347" t="str">
            <v xml:space="preserve"> 0-5 years</v>
          </cell>
          <cell r="E347">
            <v>1.06776180698151</v>
          </cell>
          <cell r="F347">
            <v>800</v>
          </cell>
          <cell r="I347">
            <v>12.5</v>
          </cell>
          <cell r="L347">
            <v>0.17192735645426094</v>
          </cell>
          <cell r="M347">
            <v>2.5283434772685434</v>
          </cell>
          <cell r="N347">
            <v>137.54188516340875</v>
          </cell>
          <cell r="O347">
            <v>854.20944558520796</v>
          </cell>
        </row>
        <row r="348">
          <cell r="C348" t="str">
            <v>VIZAG TPS2</v>
          </cell>
          <cell r="D348" t="str">
            <v xml:space="preserve"> 0-5 years</v>
          </cell>
          <cell r="E348">
            <v>4.1752224503764497</v>
          </cell>
          <cell r="F348">
            <v>520</v>
          </cell>
          <cell r="I348">
            <v>13.255244755244755</v>
          </cell>
          <cell r="L348">
            <v>0.26278925731706571</v>
          </cell>
          <cell r="M348">
            <v>4.098042264454941</v>
          </cell>
          <cell r="N348">
            <v>136.65041380487418</v>
          </cell>
          <cell r="O348">
            <v>2171.1156741957539</v>
          </cell>
          <cell r="P348">
            <v>0.62</v>
          </cell>
          <cell r="Q348">
            <v>322.39999999999998</v>
          </cell>
          <cell r="R348">
            <v>0.62</v>
          </cell>
        </row>
        <row r="349">
          <cell r="C349" t="str">
            <v>KORBA-WEST TPS3</v>
          </cell>
          <cell r="D349" t="str">
            <v xml:space="preserve"> 35-40 years</v>
          </cell>
          <cell r="E349">
            <v>35.175906913073199</v>
          </cell>
          <cell r="F349">
            <v>210</v>
          </cell>
          <cell r="G349" t="str">
            <v>Y</v>
          </cell>
          <cell r="I349">
            <v>13.26</v>
          </cell>
          <cell r="J349">
            <v>3494</v>
          </cell>
          <cell r="K349">
            <v>46.330440000000003</v>
          </cell>
          <cell r="L349">
            <v>0.65048571917713294</v>
          </cell>
          <cell r="M349">
            <v>10.147577219163274</v>
          </cell>
          <cell r="N349">
            <v>136.60200102719793</v>
          </cell>
          <cell r="O349">
            <v>7386.9404517453713</v>
          </cell>
        </row>
        <row r="350">
          <cell r="C350" t="str">
            <v>PARICHHA TPS4</v>
          </cell>
          <cell r="D350" t="str">
            <v xml:space="preserve"> 10-15 years</v>
          </cell>
          <cell r="E350">
            <v>13.423682409308601</v>
          </cell>
          <cell r="F350">
            <v>210</v>
          </cell>
          <cell r="I350">
            <v>12.85</v>
          </cell>
          <cell r="J350">
            <v>0</v>
          </cell>
          <cell r="K350">
            <v>0</v>
          </cell>
          <cell r="L350">
            <v>0.64197221125709725</v>
          </cell>
          <cell r="M350">
            <v>9.7051093113572939</v>
          </cell>
          <cell r="N350">
            <v>134.81416436399041</v>
          </cell>
          <cell r="O350">
            <v>2818.9733059548062</v>
          </cell>
          <cell r="P350">
            <v>1.33</v>
          </cell>
          <cell r="Q350">
            <v>279.3</v>
          </cell>
          <cell r="R350">
            <v>1.4</v>
          </cell>
        </row>
        <row r="351">
          <cell r="C351" t="str">
            <v>TUTICORIN TPS2</v>
          </cell>
          <cell r="D351" t="str">
            <v xml:space="preserve"> 35-40 years</v>
          </cell>
          <cell r="E351">
            <v>39.378507871320998</v>
          </cell>
          <cell r="F351">
            <v>210</v>
          </cell>
          <cell r="G351" t="str">
            <v>Y</v>
          </cell>
          <cell r="I351">
            <v>15.751836439298001</v>
          </cell>
          <cell r="J351">
            <v>0</v>
          </cell>
          <cell r="K351">
            <v>0</v>
          </cell>
          <cell r="L351">
            <v>0.64104929394860322</v>
          </cell>
          <cell r="M351">
            <v>11.879651326830428</v>
          </cell>
          <cell r="N351">
            <v>134.62035172920667</v>
          </cell>
          <cell r="O351">
            <v>8269.4866529774099</v>
          </cell>
        </row>
        <row r="352">
          <cell r="C352" t="str">
            <v>BINA TPS2</v>
          </cell>
          <cell r="D352" t="str">
            <v xml:space="preserve"> 5-10 years</v>
          </cell>
          <cell r="E352">
            <v>7.1759069130732298</v>
          </cell>
          <cell r="F352">
            <v>250</v>
          </cell>
          <cell r="I352">
            <v>10.258070997990636</v>
          </cell>
          <cell r="J352">
            <v>0</v>
          </cell>
          <cell r="K352">
            <v>0</v>
          </cell>
          <cell r="L352">
            <v>0.53807568006191331</v>
          </cell>
          <cell r="M352">
            <v>6.4936688569025893</v>
          </cell>
          <cell r="N352">
            <v>134.51892001547833</v>
          </cell>
          <cell r="O352">
            <v>1793.9767282683074</v>
          </cell>
          <cell r="P352">
            <v>0.72</v>
          </cell>
          <cell r="Q352">
            <v>180</v>
          </cell>
          <cell r="R352">
            <v>0.83</v>
          </cell>
        </row>
        <row r="353">
          <cell r="C353" t="str">
            <v>TUTICORIN TPS3</v>
          </cell>
          <cell r="D353" t="str">
            <v xml:space="preserve"> 35-40 years</v>
          </cell>
          <cell r="E353">
            <v>38.050650239561897</v>
          </cell>
          <cell r="F353">
            <v>210</v>
          </cell>
          <cell r="G353" t="str">
            <v>Y</v>
          </cell>
          <cell r="I353">
            <v>15.751836439298001</v>
          </cell>
          <cell r="J353">
            <v>0</v>
          </cell>
          <cell r="K353">
            <v>0</v>
          </cell>
          <cell r="L353">
            <v>0.640268778843881</v>
          </cell>
          <cell r="M353">
            <v>11.865187154750446</v>
          </cell>
          <cell r="N353">
            <v>134.45644355721501</v>
          </cell>
          <cell r="O353">
            <v>7990.6365503079987</v>
          </cell>
        </row>
        <row r="354">
          <cell r="C354" t="str">
            <v>VIZAG TPS1</v>
          </cell>
          <cell r="D354" t="str">
            <v xml:space="preserve"> 0-5 years</v>
          </cell>
          <cell r="E354">
            <v>4.4243668720054696</v>
          </cell>
          <cell r="F354">
            <v>520</v>
          </cell>
          <cell r="I354">
            <v>13.255244755244755</v>
          </cell>
          <cell r="L354">
            <v>0.25786499577694472</v>
          </cell>
          <cell r="M354">
            <v>4.0212513327453614</v>
          </cell>
          <cell r="N354">
            <v>134.08979780401125</v>
          </cell>
          <cell r="O354">
            <v>2300.6707734428442</v>
          </cell>
          <cell r="P354">
            <v>0.79</v>
          </cell>
          <cell r="Q354">
            <v>410.8</v>
          </cell>
          <cell r="R354">
            <v>0.7</v>
          </cell>
        </row>
        <row r="355">
          <cell r="C355" t="str">
            <v>PANIPAT TPS7</v>
          </cell>
          <cell r="D355" t="str">
            <v xml:space="preserve"> 15-20 years</v>
          </cell>
          <cell r="E355">
            <v>15.6714579055441</v>
          </cell>
          <cell r="F355">
            <v>250</v>
          </cell>
          <cell r="I355">
            <v>12.438645872955515</v>
          </cell>
          <cell r="L355">
            <v>0.53534393531641999</v>
          </cell>
          <cell r="M355">
            <v>7.8340630960415902</v>
          </cell>
          <cell r="N355">
            <v>133.835983829105</v>
          </cell>
          <cell r="O355">
            <v>3917.8644763860252</v>
          </cell>
          <cell r="P355">
            <v>0.88</v>
          </cell>
          <cell r="Q355">
            <v>220</v>
          </cell>
          <cell r="R355">
            <v>0.59</v>
          </cell>
        </row>
        <row r="356">
          <cell r="C356" t="str">
            <v>NORTH CHENNAI TPS1</v>
          </cell>
          <cell r="D356" t="str">
            <v xml:space="preserve"> 25-30 years</v>
          </cell>
          <cell r="E356">
            <v>16.383299110198401</v>
          </cell>
          <cell r="F356">
            <v>210</v>
          </cell>
          <cell r="G356" t="str">
            <v>Y</v>
          </cell>
          <cell r="I356">
            <v>12.65</v>
          </cell>
          <cell r="J356">
            <v>4009</v>
          </cell>
          <cell r="K356">
            <v>50.713850000000001</v>
          </cell>
          <cell r="L356">
            <v>0.63713373751104163</v>
          </cell>
          <cell r="M356">
            <v>9.4820491523702088</v>
          </cell>
          <cell r="N356">
            <v>133.79808487731873</v>
          </cell>
          <cell r="O356">
            <v>3440.4928131416641</v>
          </cell>
          <cell r="P356">
            <v>1.37</v>
          </cell>
          <cell r="Q356">
            <v>287.70000000000005</v>
          </cell>
          <cell r="R356">
            <v>1.43</v>
          </cell>
        </row>
        <row r="357">
          <cell r="C357" t="str">
            <v>TUTICORIN TPS4</v>
          </cell>
          <cell r="D357" t="str">
            <v xml:space="preserve"> 25-30 years</v>
          </cell>
          <cell r="E357">
            <v>28.227241615331899</v>
          </cell>
          <cell r="F357">
            <v>210</v>
          </cell>
          <cell r="G357" t="str">
            <v>Y</v>
          </cell>
          <cell r="I357">
            <v>15.751836439298001</v>
          </cell>
          <cell r="J357">
            <v>0</v>
          </cell>
          <cell r="K357">
            <v>0</v>
          </cell>
          <cell r="L357">
            <v>0.63625418478889884</v>
          </cell>
          <cell r="M357">
            <v>11.790790414839554</v>
          </cell>
          <cell r="N357">
            <v>133.61337880566876</v>
          </cell>
          <cell r="O357">
            <v>5927.7207392196988</v>
          </cell>
        </row>
        <row r="358">
          <cell r="C358" t="str">
            <v>OP JINDAL TPS24</v>
          </cell>
          <cell r="D358" t="str">
            <v xml:space="preserve"> 5-10 years</v>
          </cell>
          <cell r="E358">
            <v>5.1772758384667998</v>
          </cell>
          <cell r="F358">
            <v>600</v>
          </cell>
          <cell r="I358">
            <v>12.53</v>
          </cell>
          <cell r="L358">
            <v>0.22188951732510417</v>
          </cell>
          <cell r="M358">
            <v>3.2709125318630061</v>
          </cell>
          <cell r="N358">
            <v>133.13371039506251</v>
          </cell>
          <cell r="O358">
            <v>3106.3655030800801</v>
          </cell>
          <cell r="P358" t="str">
            <v/>
          </cell>
          <cell r="R358" t="str">
            <v/>
          </cell>
        </row>
        <row r="359">
          <cell r="C359" t="str">
            <v>PARAS TPS3</v>
          </cell>
          <cell r="D359" t="str">
            <v xml:space="preserve"> 10-15 years</v>
          </cell>
          <cell r="E359">
            <v>13.0102669404517</v>
          </cell>
          <cell r="F359">
            <v>250</v>
          </cell>
          <cell r="I359">
            <v>12.209408634659585</v>
          </cell>
          <cell r="J359">
            <v>0</v>
          </cell>
          <cell r="K359">
            <v>0</v>
          </cell>
          <cell r="L359">
            <v>0.53155545768078494</v>
          </cell>
          <cell r="M359">
            <v>7.6352679938920041</v>
          </cell>
          <cell r="N359">
            <v>132.88886442019623</v>
          </cell>
          <cell r="O359">
            <v>3252.566735112925</v>
          </cell>
          <cell r="P359">
            <v>0.8</v>
          </cell>
          <cell r="Q359">
            <v>200</v>
          </cell>
          <cell r="R359">
            <v>1.0900000000000001</v>
          </cell>
        </row>
        <row r="360">
          <cell r="C360" t="str">
            <v>OBRA TPS9</v>
          </cell>
          <cell r="D360" t="str">
            <v xml:space="preserve"> 35-40 years</v>
          </cell>
          <cell r="E360">
            <v>39.589322381930103</v>
          </cell>
          <cell r="F360">
            <v>200</v>
          </cell>
          <cell r="H360" t="str">
            <v>Y</v>
          </cell>
          <cell r="I360">
            <v>14.97</v>
          </cell>
          <cell r="J360">
            <v>0</v>
          </cell>
          <cell r="K360">
            <v>0</v>
          </cell>
          <cell r="L360">
            <v>0.66395480271360219</v>
          </cell>
          <cell r="M360">
            <v>11.693415760732501</v>
          </cell>
          <cell r="N360">
            <v>132.79096054272043</v>
          </cell>
          <cell r="O360">
            <v>7917.8644763860202</v>
          </cell>
          <cell r="P360">
            <v>1.2</v>
          </cell>
          <cell r="Q360">
            <v>240</v>
          </cell>
          <cell r="R360">
            <v>0.97</v>
          </cell>
        </row>
        <row r="361">
          <cell r="C361" t="str">
            <v>KHAPARKHEDA TPS4</v>
          </cell>
          <cell r="D361" t="str">
            <v xml:space="preserve"> 15-20 years</v>
          </cell>
          <cell r="E361">
            <v>19.337440109513999</v>
          </cell>
          <cell r="F361">
            <v>210</v>
          </cell>
          <cell r="I361">
            <v>16.465212399540818</v>
          </cell>
          <cell r="J361">
            <v>0</v>
          </cell>
          <cell r="K361">
            <v>0</v>
          </cell>
          <cell r="L361">
            <v>0.63123235386826382</v>
          </cell>
          <cell r="M361">
            <v>12.227499741062442</v>
          </cell>
          <cell r="N361">
            <v>132.55879431233541</v>
          </cell>
          <cell r="O361">
            <v>4060.8624229979396</v>
          </cell>
          <cell r="P361">
            <v>0.67</v>
          </cell>
          <cell r="Q361">
            <v>140.70000000000002</v>
          </cell>
          <cell r="R361">
            <v>1.02</v>
          </cell>
        </row>
        <row r="362">
          <cell r="C362" t="str">
            <v>DR. N TATA RAO TPS2</v>
          </cell>
          <cell r="D362" t="str">
            <v xml:space="preserve"> 35-40 years</v>
          </cell>
          <cell r="E362">
            <v>39.564681724845997</v>
          </cell>
          <cell r="F362">
            <v>210</v>
          </cell>
          <cell r="G362" t="str">
            <v>Y</v>
          </cell>
          <cell r="I362">
            <v>12.76</v>
          </cell>
          <cell r="J362">
            <v>3420</v>
          </cell>
          <cell r="K362">
            <v>43.639199999999995</v>
          </cell>
          <cell r="L362">
            <v>0.62997986127163697</v>
          </cell>
          <cell r="M362">
            <v>9.4571094468542203</v>
          </cell>
          <cell r="N362">
            <v>132.29577086704376</v>
          </cell>
          <cell r="O362">
            <v>8308.5831622176593</v>
          </cell>
        </row>
        <row r="363">
          <cell r="C363" t="str">
            <v>UKAI TPS3</v>
          </cell>
          <cell r="D363" t="str">
            <v xml:space="preserve"> 40-45 years</v>
          </cell>
          <cell r="E363">
            <v>41.338809034907598</v>
          </cell>
          <cell r="F363">
            <v>200</v>
          </cell>
          <cell r="H363" t="str">
            <v>Y</v>
          </cell>
          <cell r="I363">
            <v>13.254709254709253</v>
          </cell>
          <cell r="J363">
            <v>0</v>
          </cell>
          <cell r="K363">
            <v>0</v>
          </cell>
          <cell r="L363">
            <v>0.66032280712402303</v>
          </cell>
          <cell r="M363">
            <v>10.296925673743978</v>
          </cell>
          <cell r="N363">
            <v>132.06456142480459</v>
          </cell>
          <cell r="O363">
            <v>8267.7618069815198</v>
          </cell>
          <cell r="P363">
            <v>1.23</v>
          </cell>
          <cell r="Q363">
            <v>246</v>
          </cell>
          <cell r="R363">
            <v>1.43</v>
          </cell>
        </row>
        <row r="364">
          <cell r="C364" t="str">
            <v>RAYALSEEMA TPS1</v>
          </cell>
          <cell r="D364" t="str">
            <v xml:space="preserve"> 25-30 years</v>
          </cell>
          <cell r="E364">
            <v>26.176591375769998</v>
          </cell>
          <cell r="F364">
            <v>210</v>
          </cell>
          <cell r="H364" t="str">
            <v>Y</v>
          </cell>
          <cell r="I364">
            <v>12.65</v>
          </cell>
          <cell r="J364">
            <v>3420</v>
          </cell>
          <cell r="K364">
            <v>43.262999999999998</v>
          </cell>
          <cell r="L364">
            <v>0.62866175032214477</v>
          </cell>
          <cell r="M364">
            <v>9.3559660489119203</v>
          </cell>
          <cell r="N364">
            <v>132.01896756765041</v>
          </cell>
          <cell r="O364">
            <v>5497.0841889117</v>
          </cell>
          <cell r="P364">
            <v>1.27</v>
          </cell>
          <cell r="Q364">
            <v>266.7</v>
          </cell>
          <cell r="R364">
            <v>1.49</v>
          </cell>
        </row>
        <row r="365">
          <cell r="C365" t="str">
            <v>TUTICORIN TPS5</v>
          </cell>
          <cell r="D365" t="str">
            <v xml:space="preserve"> 25-30 years</v>
          </cell>
          <cell r="E365">
            <v>29.095140314852799</v>
          </cell>
          <cell r="F365">
            <v>210</v>
          </cell>
          <cell r="G365" t="str">
            <v>Y</v>
          </cell>
          <cell r="I365">
            <v>15.751836439298001</v>
          </cell>
          <cell r="J365">
            <v>0</v>
          </cell>
          <cell r="K365">
            <v>0</v>
          </cell>
          <cell r="L365">
            <v>0.62434365218093058</v>
          </cell>
          <cell r="M365">
            <v>11.570069518903505</v>
          </cell>
          <cell r="N365">
            <v>131.11216695799541</v>
          </cell>
          <cell r="O365">
            <v>6109.9794661190881</v>
          </cell>
        </row>
        <row r="366">
          <cell r="C366" t="str">
            <v>METTUR TPS1</v>
          </cell>
          <cell r="D366" t="str">
            <v xml:space="preserve"> 30-35 years</v>
          </cell>
          <cell r="E366">
            <v>33.338809034907598</v>
          </cell>
          <cell r="F366">
            <v>210</v>
          </cell>
          <cell r="G366" t="str">
            <v>Y</v>
          </cell>
          <cell r="I366">
            <v>14.647983439217654</v>
          </cell>
          <cell r="J366">
            <v>0</v>
          </cell>
          <cell r="K366">
            <v>0</v>
          </cell>
          <cell r="L366">
            <v>0.62426471505670433</v>
          </cell>
          <cell r="M366">
            <v>10.757904950398276</v>
          </cell>
          <cell r="N366">
            <v>131.09559016190792</v>
          </cell>
          <cell r="O366">
            <v>7001.1498973305952</v>
          </cell>
          <cell r="P366">
            <v>0.89</v>
          </cell>
          <cell r="Q366">
            <v>186.9</v>
          </cell>
          <cell r="R366">
            <v>0.79</v>
          </cell>
        </row>
        <row r="367">
          <cell r="C367" t="str">
            <v>SANJAY GANDHI TPS1</v>
          </cell>
          <cell r="D367" t="str">
            <v xml:space="preserve"> 25-30 years</v>
          </cell>
          <cell r="E367">
            <v>27.175906913073199</v>
          </cell>
          <cell r="F367">
            <v>210</v>
          </cell>
          <cell r="H367" t="str">
            <v>Y</v>
          </cell>
          <cell r="I367">
            <v>13.882871771003039</v>
          </cell>
          <cell r="L367">
            <v>0.62189879512551394</v>
          </cell>
          <cell r="M367">
            <v>10.157342620316236</v>
          </cell>
          <cell r="N367">
            <v>130.59874697635792</v>
          </cell>
          <cell r="O367">
            <v>5706.9404517453713</v>
          </cell>
          <cell r="P367">
            <v>0.98</v>
          </cell>
          <cell r="Q367">
            <v>205.79999999999998</v>
          </cell>
          <cell r="R367">
            <v>0.89</v>
          </cell>
        </row>
        <row r="368">
          <cell r="C368" t="str">
            <v>PARICHHA TPS3</v>
          </cell>
          <cell r="D368" t="str">
            <v xml:space="preserve"> 10-15 years</v>
          </cell>
          <cell r="E368">
            <v>14.17659137577</v>
          </cell>
          <cell r="F368">
            <v>210</v>
          </cell>
          <cell r="I368">
            <v>12.85</v>
          </cell>
          <cell r="J368">
            <v>0</v>
          </cell>
          <cell r="K368">
            <v>0</v>
          </cell>
          <cell r="L368">
            <v>0.61559487708691074</v>
          </cell>
          <cell r="M368">
            <v>9.3063460830197684</v>
          </cell>
          <cell r="N368">
            <v>129.27492418825125</v>
          </cell>
          <cell r="O368">
            <v>2977.0841889117</v>
          </cell>
          <cell r="P368">
            <v>1.37</v>
          </cell>
          <cell r="Q368">
            <v>287.70000000000005</v>
          </cell>
          <cell r="R368">
            <v>1.3</v>
          </cell>
        </row>
        <row r="369">
          <cell r="C369" t="str">
            <v>TENUGHAT TPS2</v>
          </cell>
          <cell r="D369" t="str">
            <v xml:space="preserve"> 20-25 years</v>
          </cell>
          <cell r="E369">
            <v>22.672142368240898</v>
          </cell>
          <cell r="F369">
            <v>210</v>
          </cell>
          <cell r="G369" t="str">
            <v>Y</v>
          </cell>
          <cell r="I369">
            <v>13.246753246753245</v>
          </cell>
          <cell r="L369">
            <v>0.61519852742934522</v>
          </cell>
          <cell r="M369">
            <v>9.5875095183794059</v>
          </cell>
          <cell r="N369">
            <v>129.19169076016249</v>
          </cell>
          <cell r="O369">
            <v>4761.1498973305888</v>
          </cell>
        </row>
        <row r="370">
          <cell r="C370" t="str">
            <v>BUTIBORI TPP2</v>
          </cell>
          <cell r="D370" t="str">
            <v xml:space="preserve"> 5-10 years</v>
          </cell>
          <cell r="E370">
            <v>7.1759069130732298</v>
          </cell>
          <cell r="F370">
            <v>300</v>
          </cell>
          <cell r="I370">
            <v>13.265151515151516</v>
          </cell>
          <cell r="J370">
            <v>0</v>
          </cell>
          <cell r="K370">
            <v>0</v>
          </cell>
          <cell r="L370">
            <v>0.42600631397712085</v>
          </cell>
          <cell r="M370">
            <v>6.6482803544914324</v>
          </cell>
          <cell r="N370">
            <v>127.80189419313626</v>
          </cell>
          <cell r="O370">
            <v>2152.772073921969</v>
          </cell>
          <cell r="P370">
            <v>0.73</v>
          </cell>
          <cell r="Q370">
            <v>219</v>
          </cell>
          <cell r="R370">
            <v>0.93</v>
          </cell>
        </row>
        <row r="371">
          <cell r="C371" t="str">
            <v>RAICHUR TPS6</v>
          </cell>
          <cell r="D371" t="str">
            <v xml:space="preserve"> 20-25 years</v>
          </cell>
          <cell r="E371">
            <v>20.843258042436599</v>
          </cell>
          <cell r="F371">
            <v>210</v>
          </cell>
          <cell r="G371" t="str">
            <v>Y</v>
          </cell>
          <cell r="I371">
            <v>11.517352400408591</v>
          </cell>
          <cell r="L371">
            <v>0.60663943234567264</v>
          </cell>
          <cell r="M371">
            <v>8.2198589674222795</v>
          </cell>
          <cell r="N371">
            <v>127.39428079259126</v>
          </cell>
          <cell r="O371">
            <v>4377.0841889116855</v>
          </cell>
          <cell r="P371">
            <v>0.83</v>
          </cell>
          <cell r="Q371">
            <v>174.29999999999998</v>
          </cell>
          <cell r="R371">
            <v>0.89</v>
          </cell>
        </row>
        <row r="372">
          <cell r="C372" t="str">
            <v>SALAYA TPP1</v>
          </cell>
          <cell r="D372" t="str">
            <v xml:space="preserve"> 5-10 years</v>
          </cell>
          <cell r="E372">
            <v>8.33949349760438</v>
          </cell>
          <cell r="F372">
            <v>600</v>
          </cell>
          <cell r="I372">
            <v>12.53</v>
          </cell>
          <cell r="L372">
            <v>0.21215856009420556</v>
          </cell>
          <cell r="M372">
            <v>3.1274667740945832</v>
          </cell>
          <cell r="N372">
            <v>127.29513605652333</v>
          </cell>
          <cell r="O372">
            <v>5003.6960985626283</v>
          </cell>
          <cell r="P372">
            <v>0.79</v>
          </cell>
          <cell r="Q372">
            <v>474</v>
          </cell>
          <cell r="R372">
            <v>0.56999999999999995</v>
          </cell>
        </row>
        <row r="373">
          <cell r="C373" t="str">
            <v>MEJIA TPS1</v>
          </cell>
          <cell r="D373" t="str">
            <v xml:space="preserve"> 20-25 years</v>
          </cell>
          <cell r="E373">
            <v>24.175222450376399</v>
          </cell>
          <cell r="F373">
            <v>210</v>
          </cell>
          <cell r="H373" t="str">
            <v>Y</v>
          </cell>
          <cell r="I373">
            <v>12.218034993270546</v>
          </cell>
          <cell r="J373">
            <v>0</v>
          </cell>
          <cell r="K373">
            <v>0</v>
          </cell>
          <cell r="L373">
            <v>0.60486988051307344</v>
          </cell>
          <cell r="M373">
            <v>8.6944957252754183</v>
          </cell>
          <cell r="N373">
            <v>127.02267490774543</v>
          </cell>
          <cell r="O373">
            <v>5076.7967145790435</v>
          </cell>
          <cell r="P373">
            <v>1.1399999999999999</v>
          </cell>
          <cell r="Q373">
            <v>239.39999999999998</v>
          </cell>
          <cell r="R373">
            <v>1.05</v>
          </cell>
        </row>
        <row r="374">
          <cell r="C374" t="str">
            <v>PARLI TPS8</v>
          </cell>
          <cell r="D374" t="str">
            <v xml:space="preserve"> 0-5 years</v>
          </cell>
          <cell r="E374">
            <v>4.1752224503764497</v>
          </cell>
          <cell r="F374">
            <v>250</v>
          </cell>
          <cell r="I374">
            <v>13.261849261849258</v>
          </cell>
          <cell r="J374">
            <v>0</v>
          </cell>
          <cell r="K374">
            <v>0</v>
          </cell>
          <cell r="L374">
            <v>0.50794300663288328</v>
          </cell>
          <cell r="M374">
            <v>7.9250159853832898</v>
          </cell>
          <cell r="N374">
            <v>126.98575165822082</v>
          </cell>
          <cell r="O374">
            <v>1043.8056125941125</v>
          </cell>
          <cell r="P374" t="str">
            <v/>
          </cell>
          <cell r="R374" t="str">
            <v/>
          </cell>
        </row>
        <row r="375">
          <cell r="C375" t="str">
            <v>SURATGARH TPS4</v>
          </cell>
          <cell r="D375" t="str">
            <v xml:space="preserve"> 15-20 years</v>
          </cell>
          <cell r="E375">
            <v>18.176591375769998</v>
          </cell>
          <cell r="F375">
            <v>250</v>
          </cell>
          <cell r="I375">
            <v>11.73</v>
          </cell>
          <cell r="J375">
            <v>0</v>
          </cell>
          <cell r="K375">
            <v>0</v>
          </cell>
          <cell r="L375">
            <v>0.50528537048807831</v>
          </cell>
          <cell r="M375">
            <v>6.9729381127354806</v>
          </cell>
          <cell r="N375">
            <v>126.32134262201957</v>
          </cell>
          <cell r="O375">
            <v>4544.1478439425</v>
          </cell>
          <cell r="P375">
            <v>1.01</v>
          </cell>
          <cell r="Q375">
            <v>252.5</v>
          </cell>
          <cell r="R375">
            <v>1.01</v>
          </cell>
        </row>
        <row r="376">
          <cell r="C376" t="str">
            <v>WANAKBORI TPS4</v>
          </cell>
          <cell r="D376" t="str">
            <v xml:space="preserve"> 30-35 years</v>
          </cell>
          <cell r="E376">
            <v>34.176591375770002</v>
          </cell>
          <cell r="F376">
            <v>210</v>
          </cell>
          <cell r="H376" t="str">
            <v>Y</v>
          </cell>
          <cell r="I376">
            <v>13.26</v>
          </cell>
          <cell r="J376">
            <v>0</v>
          </cell>
          <cell r="K376">
            <v>0</v>
          </cell>
          <cell r="L376">
            <v>0.59954476023301795</v>
          </cell>
          <cell r="M376">
            <v>9.3528982596350794</v>
          </cell>
          <cell r="N376">
            <v>125.90439964893378</v>
          </cell>
          <cell r="O376">
            <v>7177.0841889117</v>
          </cell>
          <cell r="P376">
            <v>1.46</v>
          </cell>
          <cell r="Q376">
            <v>306.59999999999997</v>
          </cell>
          <cell r="R376">
            <v>1.46</v>
          </cell>
        </row>
        <row r="377">
          <cell r="C377" t="str">
            <v>OP JINDAL TPS3</v>
          </cell>
          <cell r="D377" t="str">
            <v xml:space="preserve"> 10-15 years</v>
          </cell>
          <cell r="E377">
            <v>12.175222450376401</v>
          </cell>
          <cell r="F377">
            <v>250</v>
          </cell>
          <cell r="I377">
            <v>12.45</v>
          </cell>
          <cell r="L377">
            <v>0.50291250487019667</v>
          </cell>
          <cell r="M377">
            <v>7.3661890419222917</v>
          </cell>
          <cell r="N377">
            <v>125.72812621754917</v>
          </cell>
          <cell r="O377">
            <v>3043.8056125941002</v>
          </cell>
          <cell r="P377">
            <v>0.99</v>
          </cell>
          <cell r="Q377">
            <v>247.5</v>
          </cell>
          <cell r="R377">
            <v>1.1200000000000001</v>
          </cell>
        </row>
        <row r="378">
          <cell r="C378" t="str">
            <v>OBRA TPS10</v>
          </cell>
          <cell r="D378" t="str">
            <v xml:space="preserve"> 40-45 years</v>
          </cell>
          <cell r="E378">
            <v>41.338809034907598</v>
          </cell>
          <cell r="F378">
            <v>200</v>
          </cell>
          <cell r="H378" t="str">
            <v>Y</v>
          </cell>
          <cell r="I378">
            <v>14.97</v>
          </cell>
          <cell r="J378">
            <v>0</v>
          </cell>
          <cell r="K378">
            <v>0</v>
          </cell>
          <cell r="L378">
            <v>0.62579541726992294</v>
          </cell>
          <cell r="M378">
            <v>11.021361642977348</v>
          </cell>
          <cell r="N378">
            <v>125.15908345398459</v>
          </cell>
          <cell r="O378">
            <v>8267.7618069815198</v>
          </cell>
          <cell r="P378" t="str">
            <v/>
          </cell>
          <cell r="R378" t="str">
            <v/>
          </cell>
        </row>
        <row r="379">
          <cell r="C379" t="str">
            <v>SAGARDIGHI TPS2</v>
          </cell>
          <cell r="D379" t="str">
            <v xml:space="preserve"> 10-15 years</v>
          </cell>
          <cell r="E379">
            <v>12.4243668720054</v>
          </cell>
          <cell r="F379">
            <v>300</v>
          </cell>
          <cell r="I379">
            <v>13.261931818181816</v>
          </cell>
          <cell r="J379">
            <v>0</v>
          </cell>
          <cell r="K379">
            <v>0</v>
          </cell>
          <cell r="L379">
            <v>0.41517891214616254</v>
          </cell>
          <cell r="M379">
            <v>6.4777346179168305</v>
          </cell>
          <cell r="N379">
            <v>124.55367364384877</v>
          </cell>
          <cell r="O379">
            <v>3727.31006160162</v>
          </cell>
          <cell r="P379">
            <v>0.82</v>
          </cell>
          <cell r="Q379">
            <v>245.99999999999997</v>
          </cell>
          <cell r="R379">
            <v>0.98</v>
          </cell>
        </row>
        <row r="380">
          <cell r="C380" t="str">
            <v>MEJIA TPS4</v>
          </cell>
          <cell r="D380" t="str">
            <v xml:space="preserve"> 15-20 years</v>
          </cell>
          <cell r="E380">
            <v>15.589322381930099</v>
          </cell>
          <cell r="F380">
            <v>210</v>
          </cell>
          <cell r="I380">
            <v>12.218034993270546</v>
          </cell>
          <cell r="J380">
            <v>0</v>
          </cell>
          <cell r="K380">
            <v>0</v>
          </cell>
          <cell r="L380">
            <v>0.59232032044181748</v>
          </cell>
          <cell r="M380">
            <v>8.5141063557451169</v>
          </cell>
          <cell r="N380">
            <v>124.38726729278167</v>
          </cell>
          <cell r="O380">
            <v>3273.7577002053208</v>
          </cell>
          <cell r="P380">
            <v>0.92</v>
          </cell>
          <cell r="Q380">
            <v>193.20000000000002</v>
          </cell>
          <cell r="R380">
            <v>0.73</v>
          </cell>
        </row>
        <row r="381">
          <cell r="C381" t="str">
            <v>BONGAIGAON TPS3</v>
          </cell>
          <cell r="D381" t="str">
            <v xml:space="preserve"> 0-5 years</v>
          </cell>
          <cell r="E381">
            <v>1.3388090349075901</v>
          </cell>
          <cell r="F381">
            <v>250</v>
          </cell>
          <cell r="I381">
            <v>9.5751484431571363</v>
          </cell>
          <cell r="J381">
            <v>6244</v>
          </cell>
          <cell r="K381">
            <v>59.78722687907316</v>
          </cell>
          <cell r="L381">
            <v>0.49649108696272165</v>
          </cell>
          <cell r="M381">
            <v>5.5929127745558809</v>
          </cell>
          <cell r="N381">
            <v>124.12277174068041</v>
          </cell>
          <cell r="O381">
            <v>334.70225872689753</v>
          </cell>
        </row>
        <row r="382">
          <cell r="C382" t="str">
            <v>RAYALSEEMA TPS3</v>
          </cell>
          <cell r="D382" t="str">
            <v xml:space="preserve"> 10-15 years</v>
          </cell>
          <cell r="E382">
            <v>13.3388090349075</v>
          </cell>
          <cell r="F382">
            <v>210</v>
          </cell>
          <cell r="I382">
            <v>12.65</v>
          </cell>
          <cell r="J382">
            <v>3420</v>
          </cell>
          <cell r="K382">
            <v>43.262999999999998</v>
          </cell>
          <cell r="L382">
            <v>0.58481607510346423</v>
          </cell>
          <cell r="M382">
            <v>8.7034392353633212</v>
          </cell>
          <cell r="N382">
            <v>122.81137577172748</v>
          </cell>
          <cell r="O382">
            <v>2801.1498973305752</v>
          </cell>
          <cell r="P382">
            <v>1.46</v>
          </cell>
          <cell r="Q382">
            <v>306.59999999999997</v>
          </cell>
          <cell r="R382">
            <v>1.43</v>
          </cell>
        </row>
        <row r="383">
          <cell r="C383" t="str">
            <v>RAICHUR TPS3</v>
          </cell>
          <cell r="D383" t="str">
            <v xml:space="preserve"> 25-30 years</v>
          </cell>
          <cell r="E383">
            <v>29.177275838466802</v>
          </cell>
          <cell r="F383">
            <v>210</v>
          </cell>
          <cell r="G383" t="str">
            <v>Y</v>
          </cell>
          <cell r="I383">
            <v>11.517352400408591</v>
          </cell>
          <cell r="L383">
            <v>0.58184191916580352</v>
          </cell>
          <cell r="M383">
            <v>7.8838569698383631</v>
          </cell>
          <cell r="N383">
            <v>122.18680302481874</v>
          </cell>
          <cell r="O383">
            <v>6127.2279260780288</v>
          </cell>
          <cell r="P383">
            <v>0.76</v>
          </cell>
          <cell r="Q383">
            <v>159.6</v>
          </cell>
          <cell r="R383">
            <v>0.7</v>
          </cell>
        </row>
        <row r="384">
          <cell r="C384" t="str">
            <v>WANAKBORI TPS6</v>
          </cell>
          <cell r="D384" t="str">
            <v xml:space="preserve"> 30-35 years</v>
          </cell>
          <cell r="E384">
            <v>32.5065023956194</v>
          </cell>
          <cell r="F384">
            <v>210</v>
          </cell>
          <cell r="H384" t="str">
            <v>Y</v>
          </cell>
          <cell r="I384">
            <v>13.26</v>
          </cell>
          <cell r="J384">
            <v>0</v>
          </cell>
          <cell r="K384">
            <v>0</v>
          </cell>
          <cell r="L384">
            <v>0.58023470494777185</v>
          </cell>
          <cell r="M384">
            <v>9.0516613971852422</v>
          </cell>
          <cell r="N384">
            <v>121.84928803903209</v>
          </cell>
          <cell r="O384">
            <v>6826.3655030800737</v>
          </cell>
          <cell r="P384">
            <v>1.24</v>
          </cell>
          <cell r="Q384">
            <v>260.39999999999998</v>
          </cell>
          <cell r="R384">
            <v>1.17</v>
          </cell>
        </row>
        <row r="385">
          <cell r="C385" t="str">
            <v>MUZAFFARPUR TPS4</v>
          </cell>
          <cell r="D385" t="str">
            <v xml:space="preserve"> 0-5 years</v>
          </cell>
          <cell r="E385">
            <v>3.1759069130732298</v>
          </cell>
          <cell r="F385">
            <v>195</v>
          </cell>
          <cell r="I385">
            <v>13.503725782414307</v>
          </cell>
          <cell r="J385">
            <v>0</v>
          </cell>
          <cell r="K385">
            <v>0</v>
          </cell>
          <cell r="L385">
            <v>0.62423307341596146</v>
          </cell>
          <cell r="M385">
            <v>9.9170261737915784</v>
          </cell>
          <cell r="N385">
            <v>121.72544931611249</v>
          </cell>
          <cell r="O385">
            <v>619.30184804927978</v>
          </cell>
          <cell r="P385" t="str">
            <v/>
          </cell>
          <cell r="R385" t="str">
            <v/>
          </cell>
        </row>
        <row r="386">
          <cell r="C386" t="str">
            <v>BINJKOTE  TPP2</v>
          </cell>
          <cell r="D386" t="str">
            <v xml:space="preserve"> 0-5 years</v>
          </cell>
          <cell r="E386">
            <v>2.0917180013689198</v>
          </cell>
          <cell r="F386">
            <v>300</v>
          </cell>
          <cell r="I386">
            <v>12.33</v>
          </cell>
          <cell r="L386">
            <v>0.40377928016278608</v>
          </cell>
          <cell r="M386">
            <v>5.8571747345966498</v>
          </cell>
          <cell r="N386">
            <v>121.13378404883582</v>
          </cell>
          <cell r="O386">
            <v>627.51540041067597</v>
          </cell>
        </row>
        <row r="387">
          <cell r="C387" t="str">
            <v>D.P.L. TPS7</v>
          </cell>
          <cell r="D387" t="str">
            <v xml:space="preserve"> 10-15 years</v>
          </cell>
          <cell r="E387">
            <v>12.4435318275154</v>
          </cell>
          <cell r="F387">
            <v>300</v>
          </cell>
          <cell r="I387">
            <v>14.376260257913273</v>
          </cell>
          <cell r="L387">
            <v>0.4035943447599028</v>
          </cell>
          <cell r="M387">
            <v>6.8260909869298096</v>
          </cell>
          <cell r="N387">
            <v>121.07830342797084</v>
          </cell>
          <cell r="O387">
            <v>3733.05954825462</v>
          </cell>
        </row>
        <row r="388">
          <cell r="C388" t="str">
            <v>WANAKBORI TPS5</v>
          </cell>
          <cell r="D388" t="str">
            <v xml:space="preserve"> 30-35 years</v>
          </cell>
          <cell r="E388">
            <v>33.672826830937701</v>
          </cell>
          <cell r="F388">
            <v>210</v>
          </cell>
          <cell r="H388" t="str">
            <v>Y</v>
          </cell>
          <cell r="I388">
            <v>13.26</v>
          </cell>
          <cell r="J388">
            <v>0</v>
          </cell>
          <cell r="K388">
            <v>0</v>
          </cell>
          <cell r="L388">
            <v>0.57494562384340664</v>
          </cell>
          <cell r="M388">
            <v>8.9691517319571439</v>
          </cell>
          <cell r="N388">
            <v>120.7385810071154</v>
          </cell>
          <cell r="O388">
            <v>7071.2936344969175</v>
          </cell>
          <cell r="P388">
            <v>1.4</v>
          </cell>
          <cell r="Q388">
            <v>294</v>
          </cell>
          <cell r="R388">
            <v>1.46</v>
          </cell>
        </row>
        <row r="389">
          <cell r="C389" t="str">
            <v>NABI NAGAR TPP2</v>
          </cell>
          <cell r="D389" t="str">
            <v xml:space="preserve"> 0-5 years</v>
          </cell>
          <cell r="E389">
            <v>3.0910335386721401</v>
          </cell>
          <cell r="F389">
            <v>250</v>
          </cell>
          <cell r="I389">
            <v>13.26</v>
          </cell>
          <cell r="L389">
            <v>0.47957608247847333</v>
          </cell>
          <cell r="M389">
            <v>7.4813868866641835</v>
          </cell>
          <cell r="N389">
            <v>119.89402061961833</v>
          </cell>
          <cell r="O389">
            <v>772.75838466803509</v>
          </cell>
          <cell r="P389" t="str">
            <v/>
          </cell>
          <cell r="R389" t="str">
            <v/>
          </cell>
        </row>
        <row r="390">
          <cell r="C390" t="str">
            <v>DADRI (NCTPP)4</v>
          </cell>
          <cell r="D390" t="str">
            <v xml:space="preserve"> 25-30 years</v>
          </cell>
          <cell r="E390">
            <v>26.176591375769998</v>
          </cell>
          <cell r="F390">
            <v>210</v>
          </cell>
          <cell r="H390" t="str">
            <v>Y</v>
          </cell>
          <cell r="I390">
            <v>11.349596412556105</v>
          </cell>
          <cell r="L390">
            <v>0.56937993435679568</v>
          </cell>
          <cell r="M390">
            <v>7.6026264239497872</v>
          </cell>
          <cell r="N390">
            <v>119.56978621492709</v>
          </cell>
          <cell r="O390">
            <v>5497.0841889117</v>
          </cell>
          <cell r="P390">
            <v>1.27</v>
          </cell>
          <cell r="Q390">
            <v>266.7</v>
          </cell>
          <cell r="R390">
            <v>0.59</v>
          </cell>
        </row>
        <row r="391">
          <cell r="C391" t="str">
            <v>BELLARY TPS3</v>
          </cell>
          <cell r="D391" t="str">
            <v xml:space="preserve"> 0-5 years</v>
          </cell>
          <cell r="E391">
            <v>4.1752224503764497</v>
          </cell>
          <cell r="F391">
            <v>700</v>
          </cell>
          <cell r="I391">
            <v>13.263636363636362</v>
          </cell>
          <cell r="L391">
            <v>0.16989100317855477</v>
          </cell>
          <cell r="M391">
            <v>2.6510264560161647</v>
          </cell>
          <cell r="N391">
            <v>118.92370222498833</v>
          </cell>
          <cell r="O391">
            <v>2922.6557152635146</v>
          </cell>
          <cell r="P391" t="str">
            <v/>
          </cell>
          <cell r="R391" t="str">
            <v/>
          </cell>
        </row>
        <row r="392">
          <cell r="C392" t="str">
            <v>MAHADEV PRASAD STPP2</v>
          </cell>
          <cell r="D392" t="str">
            <v xml:space="preserve"> 5-10 years</v>
          </cell>
          <cell r="E392">
            <v>7.1759069130732298</v>
          </cell>
          <cell r="F392">
            <v>270</v>
          </cell>
          <cell r="I392">
            <v>13.94</v>
          </cell>
          <cell r="J392">
            <v>3403</v>
          </cell>
          <cell r="K392">
            <v>47.437820000000002</v>
          </cell>
          <cell r="L392">
            <v>0.43874913892283801</v>
          </cell>
          <cell r="M392">
            <v>7.1954858783345435</v>
          </cell>
          <cell r="N392">
            <v>118.46226750916627</v>
          </cell>
          <cell r="O392">
            <v>1937.494866529772</v>
          </cell>
          <cell r="P392">
            <v>0.41</v>
          </cell>
          <cell r="Q392">
            <v>110.69999999999999</v>
          </cell>
          <cell r="R392">
            <v>0.4</v>
          </cell>
        </row>
        <row r="393">
          <cell r="C393" t="str">
            <v>KOLAGHAT TPS5</v>
          </cell>
          <cell r="D393" t="str">
            <v xml:space="preserve"> 25-30 years</v>
          </cell>
          <cell r="E393">
            <v>26.4229979466119</v>
          </cell>
          <cell r="F393">
            <v>210</v>
          </cell>
          <cell r="H393" t="str">
            <v>Y</v>
          </cell>
          <cell r="I393">
            <v>14.99</v>
          </cell>
          <cell r="J393">
            <v>0</v>
          </cell>
          <cell r="K393">
            <v>0</v>
          </cell>
          <cell r="L393">
            <v>0.56405127910282737</v>
          </cell>
          <cell r="M393">
            <v>9.9472102044133912</v>
          </cell>
          <cell r="N393">
            <v>118.45076861159374</v>
          </cell>
          <cell r="O393">
            <v>5548.8295687884993</v>
          </cell>
          <cell r="P393">
            <v>0.92</v>
          </cell>
          <cell r="Q393">
            <v>193.20000000000002</v>
          </cell>
          <cell r="R393">
            <v>0.95</v>
          </cell>
        </row>
        <row r="394">
          <cell r="C394" t="str">
            <v>NASIK TPS4</v>
          </cell>
          <cell r="D394" t="str">
            <v xml:space="preserve"> 35-40 years</v>
          </cell>
          <cell r="E394">
            <v>39.841204654346299</v>
          </cell>
          <cell r="F394">
            <v>210</v>
          </cell>
          <cell r="H394" t="str">
            <v>Y</v>
          </cell>
          <cell r="I394">
            <v>16.214862842892796</v>
          </cell>
          <cell r="J394">
            <v>0</v>
          </cell>
          <cell r="K394">
            <v>0</v>
          </cell>
          <cell r="L394">
            <v>0.56347350742338886</v>
          </cell>
          <cell r="M394">
            <v>10.748994868792925</v>
          </cell>
          <cell r="N394">
            <v>118.32943655891167</v>
          </cell>
          <cell r="O394">
            <v>8366.652977412723</v>
          </cell>
          <cell r="P394">
            <v>0.89</v>
          </cell>
          <cell r="Q394">
            <v>186.9</v>
          </cell>
          <cell r="R394">
            <v>0.89</v>
          </cell>
        </row>
        <row r="395">
          <cell r="C395" t="str">
            <v>SURATGARH TPS5</v>
          </cell>
          <cell r="D395" t="str">
            <v xml:space="preserve"> 15-20 years</v>
          </cell>
          <cell r="E395">
            <v>16.925393566050602</v>
          </cell>
          <cell r="F395">
            <v>250</v>
          </cell>
          <cell r="I395">
            <v>11.73</v>
          </cell>
          <cell r="J395">
            <v>0</v>
          </cell>
          <cell r="K395">
            <v>0</v>
          </cell>
          <cell r="L395">
            <v>0.47192488823560497</v>
          </cell>
          <cell r="M395">
            <v>6.5125634576513489</v>
          </cell>
          <cell r="N395">
            <v>117.98122205890124</v>
          </cell>
          <cell r="O395">
            <v>4231.3483915126508</v>
          </cell>
          <cell r="P395">
            <v>1.1200000000000001</v>
          </cell>
          <cell r="Q395">
            <v>280</v>
          </cell>
          <cell r="R395">
            <v>1.1200000000000001</v>
          </cell>
        </row>
        <row r="396">
          <cell r="C396" t="str">
            <v>DR. N TATA RAO TPS1</v>
          </cell>
          <cell r="D396" t="str">
            <v xml:space="preserve"> 40-45 years</v>
          </cell>
          <cell r="E396">
            <v>40.5065023956194</v>
          </cell>
          <cell r="F396">
            <v>210</v>
          </cell>
          <cell r="G396" t="str">
            <v>Y</v>
          </cell>
          <cell r="I396">
            <v>12.76</v>
          </cell>
          <cell r="J396">
            <v>3420</v>
          </cell>
          <cell r="K396">
            <v>43.639199999999995</v>
          </cell>
          <cell r="L396">
            <v>0.55964352153129959</v>
          </cell>
          <cell r="M396">
            <v>8.4012368643992748</v>
          </cell>
          <cell r="N396">
            <v>117.52513952157291</v>
          </cell>
          <cell r="O396">
            <v>8506.3655030800746</v>
          </cell>
        </row>
        <row r="397">
          <cell r="C397" t="str">
            <v>MUZAFFARPUR TPS3</v>
          </cell>
          <cell r="D397" t="str">
            <v xml:space="preserve"> 5-10 years</v>
          </cell>
          <cell r="E397">
            <v>5.1772758384667998</v>
          </cell>
          <cell r="F397">
            <v>195</v>
          </cell>
          <cell r="I397">
            <v>13.503725782414307</v>
          </cell>
          <cell r="J397">
            <v>0</v>
          </cell>
          <cell r="K397">
            <v>0</v>
          </cell>
          <cell r="L397">
            <v>0.60101795027473925</v>
          </cell>
          <cell r="M397">
            <v>9.5482136362574082</v>
          </cell>
          <cell r="N397">
            <v>117.19850030357415</v>
          </cell>
          <cell r="O397">
            <v>1009.568788501026</v>
          </cell>
          <cell r="P397" t="str">
            <v/>
          </cell>
          <cell r="R397" t="str">
            <v/>
          </cell>
        </row>
        <row r="398">
          <cell r="C398" t="str">
            <v>SANJAY GANDHI TPS2</v>
          </cell>
          <cell r="D398" t="str">
            <v xml:space="preserve"> 25-30 years</v>
          </cell>
          <cell r="E398">
            <v>27.175906913073199</v>
          </cell>
          <cell r="F398">
            <v>210</v>
          </cell>
          <cell r="H398" t="str">
            <v>Y</v>
          </cell>
          <cell r="I398">
            <v>13.882871771003039</v>
          </cell>
          <cell r="L398">
            <v>0.55695314280080954</v>
          </cell>
          <cell r="M398">
            <v>9.0965988987773923</v>
          </cell>
          <cell r="N398">
            <v>116.96015998817001</v>
          </cell>
          <cell r="O398">
            <v>5706.9404517453713</v>
          </cell>
          <cell r="P398">
            <v>1.05</v>
          </cell>
          <cell r="Q398">
            <v>220.5</v>
          </cell>
          <cell r="R398">
            <v>0.98</v>
          </cell>
        </row>
        <row r="399">
          <cell r="C399" t="str">
            <v>MEJIA TPS3</v>
          </cell>
          <cell r="D399" t="str">
            <v xml:space="preserve"> 20-25 years</v>
          </cell>
          <cell r="E399">
            <v>22.176591375769998</v>
          </cell>
          <cell r="F399">
            <v>210</v>
          </cell>
          <cell r="I399">
            <v>12.218034993270546</v>
          </cell>
          <cell r="J399">
            <v>0</v>
          </cell>
          <cell r="K399">
            <v>0</v>
          </cell>
          <cell r="L399">
            <v>0.55636283337130754</v>
          </cell>
          <cell r="M399">
            <v>7.9972477259832777</v>
          </cell>
          <cell r="N399">
            <v>116.83619500797458</v>
          </cell>
          <cell r="O399">
            <v>4657.0841889117</v>
          </cell>
          <cell r="P399">
            <v>1.27</v>
          </cell>
          <cell r="Q399">
            <v>266.7</v>
          </cell>
          <cell r="R399">
            <v>1.1100000000000001</v>
          </cell>
        </row>
        <row r="400">
          <cell r="C400" t="str">
            <v>OP JINDAL TPS4</v>
          </cell>
          <cell r="D400" t="str">
            <v xml:space="preserve"> 10-15 years</v>
          </cell>
          <cell r="E400">
            <v>11.9233401779603</v>
          </cell>
          <cell r="F400">
            <v>250</v>
          </cell>
          <cell r="I400">
            <v>12.45</v>
          </cell>
          <cell r="L400">
            <v>0.46317908708088329</v>
          </cell>
          <cell r="M400">
            <v>6.7842113343023485</v>
          </cell>
          <cell r="N400">
            <v>115.79477177022082</v>
          </cell>
          <cell r="O400">
            <v>2980.8350444900752</v>
          </cell>
          <cell r="P400">
            <v>1.1200000000000001</v>
          </cell>
          <cell r="Q400">
            <v>280</v>
          </cell>
          <cell r="R400">
            <v>1.07</v>
          </cell>
        </row>
        <row r="401">
          <cell r="C401" t="str">
            <v>KHAPARKHEDA TPS3</v>
          </cell>
          <cell r="D401" t="str">
            <v xml:space="preserve"> 15-20 years</v>
          </cell>
          <cell r="E401">
            <v>20.008213552361301</v>
          </cell>
          <cell r="F401">
            <v>210</v>
          </cell>
          <cell r="I401">
            <v>16.465212399540818</v>
          </cell>
          <cell r="J401">
            <v>0</v>
          </cell>
          <cell r="K401">
            <v>0</v>
          </cell>
          <cell r="L401">
            <v>0.54442143019331157</v>
          </cell>
          <cell r="M401">
            <v>10.545899391758423</v>
          </cell>
          <cell r="N401">
            <v>114.32850034059543</v>
          </cell>
          <cell r="O401">
            <v>4201.7248459958737</v>
          </cell>
          <cell r="P401">
            <v>0.6</v>
          </cell>
          <cell r="Q401">
            <v>126</v>
          </cell>
          <cell r="R401">
            <v>0.79</v>
          </cell>
        </row>
        <row r="402">
          <cell r="C402" t="str">
            <v>KHAPARKHEDA TPS2</v>
          </cell>
          <cell r="D402" t="str">
            <v xml:space="preserve"> 30-35 years</v>
          </cell>
          <cell r="E402">
            <v>30.338124572210798</v>
          </cell>
          <cell r="F402">
            <v>210</v>
          </cell>
          <cell r="H402" t="str">
            <v>Y</v>
          </cell>
          <cell r="I402">
            <v>16.465212399540818</v>
          </cell>
          <cell r="J402">
            <v>0</v>
          </cell>
          <cell r="K402">
            <v>0</v>
          </cell>
          <cell r="L402">
            <v>0.54415924922282943</v>
          </cell>
          <cell r="M402">
            <v>10.540820726621828</v>
          </cell>
          <cell r="N402">
            <v>114.27344233679418</v>
          </cell>
          <cell r="O402">
            <v>6371.0061601642674</v>
          </cell>
          <cell r="P402">
            <v>1.52</v>
          </cell>
          <cell r="Q402">
            <v>319.2</v>
          </cell>
          <cell r="R402">
            <v>1.17</v>
          </cell>
        </row>
        <row r="403">
          <cell r="C403" t="str">
            <v>RAYALSEEMA TPS2</v>
          </cell>
          <cell r="D403" t="str">
            <v xml:space="preserve"> 25-30 years</v>
          </cell>
          <cell r="E403">
            <v>25.2539356605065</v>
          </cell>
          <cell r="F403">
            <v>210</v>
          </cell>
          <cell r="H403" t="str">
            <v>Y</v>
          </cell>
          <cell r="I403">
            <v>12.65</v>
          </cell>
          <cell r="J403">
            <v>3420</v>
          </cell>
          <cell r="K403">
            <v>43.262999999999998</v>
          </cell>
          <cell r="L403">
            <v>0.54155199807580956</v>
          </cell>
          <cell r="M403">
            <v>8.0595679713635189</v>
          </cell>
          <cell r="N403">
            <v>113.72591959592</v>
          </cell>
          <cell r="O403">
            <v>5303.3264887063651</v>
          </cell>
          <cell r="P403">
            <v>1.21</v>
          </cell>
          <cell r="Q403">
            <v>254.1</v>
          </cell>
          <cell r="R403">
            <v>1.4</v>
          </cell>
        </row>
        <row r="404">
          <cell r="C404" t="str">
            <v>NEYVELI TPS-II EXP1</v>
          </cell>
          <cell r="D404" t="str">
            <v xml:space="preserve"> 5-10 years</v>
          </cell>
          <cell r="E404">
            <v>8.2546201232032796</v>
          </cell>
          <cell r="F404">
            <v>250</v>
          </cell>
          <cell r="I404">
            <v>12.66</v>
          </cell>
          <cell r="J404">
            <v>2640</v>
          </cell>
          <cell r="K404">
            <v>33.422400000000003</v>
          </cell>
          <cell r="L404">
            <v>0.4510281123647083</v>
          </cell>
          <cell r="M404">
            <v>6.717665767690832</v>
          </cell>
          <cell r="N404">
            <v>112.75702809117708</v>
          </cell>
          <cell r="O404">
            <v>2063.65503080082</v>
          </cell>
          <cell r="P404" t="str">
            <v/>
          </cell>
          <cell r="R404" t="str">
            <v/>
          </cell>
        </row>
        <row r="405">
          <cell r="C405" t="str">
            <v>GOINDWAL SAHIB2</v>
          </cell>
          <cell r="D405" t="str">
            <v xml:space="preserve"> 0-5 years</v>
          </cell>
          <cell r="E405">
            <v>4.1752224503764497</v>
          </cell>
          <cell r="F405">
            <v>270</v>
          </cell>
          <cell r="I405">
            <v>11.62</v>
          </cell>
          <cell r="L405">
            <v>0.41588620036262963</v>
          </cell>
          <cell r="M405">
            <v>5.6854089978985369</v>
          </cell>
          <cell r="N405">
            <v>112.28927409791</v>
          </cell>
          <cell r="O405">
            <v>1127.3100616016413</v>
          </cell>
          <cell r="P405">
            <v>0.86</v>
          </cell>
          <cell r="Q405">
            <v>232.2</v>
          </cell>
          <cell r="R405">
            <v>1.06</v>
          </cell>
        </row>
        <row r="406">
          <cell r="C406" t="str">
            <v>SURATGARH TPS3</v>
          </cell>
          <cell r="D406" t="str">
            <v xml:space="preserve"> 15-20 years</v>
          </cell>
          <cell r="E406">
            <v>18.590006844626899</v>
          </cell>
          <cell r="F406">
            <v>250</v>
          </cell>
          <cell r="I406">
            <v>11.73</v>
          </cell>
          <cell r="J406">
            <v>0</v>
          </cell>
          <cell r="K406">
            <v>0</v>
          </cell>
          <cell r="L406">
            <v>0.4476994907922367</v>
          </cell>
          <cell r="M406">
            <v>6.1782529729328663</v>
          </cell>
          <cell r="N406">
            <v>111.92487269805918</v>
          </cell>
          <cell r="O406">
            <v>4647.5017111567249</v>
          </cell>
          <cell r="P406">
            <v>0.88</v>
          </cell>
          <cell r="Q406">
            <v>220</v>
          </cell>
          <cell r="R406">
            <v>0.96</v>
          </cell>
        </row>
        <row r="407">
          <cell r="C407" t="str">
            <v>RAYALSEEMA TPS5</v>
          </cell>
          <cell r="D407" t="str">
            <v xml:space="preserve"> 5-10 years</v>
          </cell>
          <cell r="E407">
            <v>9.4236824093086895</v>
          </cell>
          <cell r="F407">
            <v>210</v>
          </cell>
          <cell r="I407">
            <v>12.65</v>
          </cell>
          <cell r="J407">
            <v>3420</v>
          </cell>
          <cell r="K407">
            <v>43.262999999999998</v>
          </cell>
          <cell r="L407">
            <v>0.53279562247511103</v>
          </cell>
          <cell r="M407">
            <v>7.9292524991884177</v>
          </cell>
          <cell r="N407">
            <v>111.88708071977332</v>
          </cell>
          <cell r="O407">
            <v>1978.9733059548248</v>
          </cell>
          <cell r="P407">
            <v>1.27</v>
          </cell>
          <cell r="Q407">
            <v>266.7</v>
          </cell>
          <cell r="R407">
            <v>1.17</v>
          </cell>
        </row>
        <row r="408">
          <cell r="C408" t="str">
            <v>AMRAVATI TPS2</v>
          </cell>
          <cell r="D408" t="str">
            <v xml:space="preserve"> 5-10 years</v>
          </cell>
          <cell r="E408">
            <v>6.2532511978097096</v>
          </cell>
          <cell r="F408">
            <v>270</v>
          </cell>
          <cell r="I408">
            <v>10.312172923777027</v>
          </cell>
          <cell r="L408">
            <v>0.41382930107731941</v>
          </cell>
          <cell r="M408">
            <v>5.0205638983942409</v>
          </cell>
          <cell r="N408">
            <v>111.73391129087624</v>
          </cell>
          <cell r="O408">
            <v>1688.3778234086217</v>
          </cell>
          <cell r="P408">
            <v>1.21</v>
          </cell>
          <cell r="Q408">
            <v>326.7</v>
          </cell>
          <cell r="R408">
            <v>1.19</v>
          </cell>
        </row>
        <row r="409">
          <cell r="C409" t="str">
            <v>PARICHHA TPS5</v>
          </cell>
          <cell r="D409" t="str">
            <v xml:space="preserve"> 5-10 years</v>
          </cell>
          <cell r="E409">
            <v>8.00821355236139</v>
          </cell>
          <cell r="F409">
            <v>250</v>
          </cell>
          <cell r="I409">
            <v>12.85</v>
          </cell>
          <cell r="J409">
            <v>0</v>
          </cell>
          <cell r="K409">
            <v>0</v>
          </cell>
          <cell r="L409">
            <v>0.43981762319685003</v>
          </cell>
          <cell r="M409">
            <v>6.6490075977406153</v>
          </cell>
          <cell r="N409">
            <v>109.95440579921251</v>
          </cell>
          <cell r="O409">
            <v>2002.0533880903474</v>
          </cell>
          <cell r="P409">
            <v>1.63</v>
          </cell>
          <cell r="Q409">
            <v>407.5</v>
          </cell>
          <cell r="R409">
            <v>1.33</v>
          </cell>
        </row>
        <row r="410">
          <cell r="C410" t="str">
            <v>SANJAY GANDHI TPS3</v>
          </cell>
          <cell r="D410" t="str">
            <v xml:space="preserve"> 20-25 years</v>
          </cell>
          <cell r="E410">
            <v>21.2539356605065</v>
          </cell>
          <cell r="F410">
            <v>210</v>
          </cell>
          <cell r="I410">
            <v>13.882871771003039</v>
          </cell>
          <cell r="L410">
            <v>0.51969051668786703</v>
          </cell>
          <cell r="M410">
            <v>8.4879962397458506</v>
          </cell>
          <cell r="N410">
            <v>109.13500850445207</v>
          </cell>
          <cell r="O410">
            <v>4463.3264887063651</v>
          </cell>
          <cell r="P410">
            <v>0.83</v>
          </cell>
          <cell r="Q410">
            <v>174.29999999999998</v>
          </cell>
          <cell r="R410">
            <v>0.86</v>
          </cell>
        </row>
        <row r="411">
          <cell r="C411" t="str">
            <v>DADRI (NCTPP)3</v>
          </cell>
          <cell r="D411" t="str">
            <v xml:space="preserve"> 25-30 years</v>
          </cell>
          <cell r="E411">
            <v>27.175906913073199</v>
          </cell>
          <cell r="F411">
            <v>210</v>
          </cell>
          <cell r="H411" t="str">
            <v>Y</v>
          </cell>
          <cell r="I411">
            <v>11.349596412556105</v>
          </cell>
          <cell r="L411">
            <v>0.51648347569777986</v>
          </cell>
          <cell r="M411">
            <v>6.8963282387341538</v>
          </cell>
          <cell r="N411">
            <v>108.46152989653378</v>
          </cell>
          <cell r="O411">
            <v>5706.9404517453713</v>
          </cell>
          <cell r="P411">
            <v>1.17</v>
          </cell>
          <cell r="Q411">
            <v>245.7</v>
          </cell>
          <cell r="R411">
            <v>0.57999999999999996</v>
          </cell>
        </row>
        <row r="412">
          <cell r="C412" t="str">
            <v>TENUGHAT TPS1</v>
          </cell>
          <cell r="D412" t="str">
            <v xml:space="preserve"> 20-25 years</v>
          </cell>
          <cell r="E412">
            <v>23.671457905544099</v>
          </cell>
          <cell r="F412">
            <v>210</v>
          </cell>
          <cell r="G412" t="str">
            <v>Y</v>
          </cell>
          <cell r="I412">
            <v>13.246753246753245</v>
          </cell>
          <cell r="L412">
            <v>0.51644711597612303</v>
          </cell>
          <cell r="M412">
            <v>8.0485264827447747</v>
          </cell>
          <cell r="N412">
            <v>108.45389435498583</v>
          </cell>
          <cell r="O412">
            <v>4971.006160164261</v>
          </cell>
        </row>
        <row r="413">
          <cell r="C413" t="str">
            <v>KOLAGHAT TPS6</v>
          </cell>
          <cell r="D413" t="str">
            <v xml:space="preserve"> 25-30 years</v>
          </cell>
          <cell r="E413">
            <v>29.177275838466802</v>
          </cell>
          <cell r="F413">
            <v>210</v>
          </cell>
          <cell r="H413" t="str">
            <v>Y</v>
          </cell>
          <cell r="I413">
            <v>14.99</v>
          </cell>
          <cell r="J413">
            <v>0</v>
          </cell>
          <cell r="K413">
            <v>0</v>
          </cell>
          <cell r="L413">
            <v>0.51281886332788695</v>
          </cell>
          <cell r="M413">
            <v>9.0437114838647368</v>
          </cell>
          <cell r="N413">
            <v>107.69196129885626</v>
          </cell>
          <cell r="O413">
            <v>6127.2279260780288</v>
          </cell>
          <cell r="P413">
            <v>0.73</v>
          </cell>
          <cell r="Q413">
            <v>153.29999999999998</v>
          </cell>
          <cell r="R413">
            <v>0.7</v>
          </cell>
        </row>
        <row r="414">
          <cell r="C414" t="str">
            <v>MEJIA TPS2</v>
          </cell>
          <cell r="D414" t="str">
            <v xml:space="preserve"> 20-25 years</v>
          </cell>
          <cell r="E414">
            <v>23.175906913073199</v>
          </cell>
          <cell r="F414">
            <v>210</v>
          </cell>
          <cell r="H414" t="str">
            <v>Y</v>
          </cell>
          <cell r="I414">
            <v>12.218034993270546</v>
          </cell>
          <cell r="J414">
            <v>0</v>
          </cell>
          <cell r="K414">
            <v>0</v>
          </cell>
          <cell r="L414">
            <v>0.51050022707966669</v>
          </cell>
          <cell r="M414">
            <v>7.3380113394493272</v>
          </cell>
          <cell r="N414">
            <v>107.20504768673001</v>
          </cell>
          <cell r="O414">
            <v>4866.9404517453713</v>
          </cell>
          <cell r="P414">
            <v>1.21</v>
          </cell>
          <cell r="Q414">
            <v>254.1</v>
          </cell>
          <cell r="R414">
            <v>0.98</v>
          </cell>
        </row>
        <row r="415">
          <cell r="C415" t="str">
            <v>KASAIPALLI TPP1</v>
          </cell>
          <cell r="D415" t="str">
            <v xml:space="preserve"> 5-10 years</v>
          </cell>
          <cell r="E415">
            <v>8.4243668720054696</v>
          </cell>
          <cell r="F415">
            <v>135</v>
          </cell>
          <cell r="I415">
            <v>12.53</v>
          </cell>
          <cell r="L415">
            <v>0.79260247009490747</v>
          </cell>
          <cell r="M415">
            <v>11.683892882693167</v>
          </cell>
          <cell r="N415">
            <v>107.00133346281251</v>
          </cell>
          <cell r="O415">
            <v>1137.2895277207383</v>
          </cell>
          <cell r="P415" t="str">
            <v/>
          </cell>
          <cell r="R415" t="str">
            <v/>
          </cell>
        </row>
        <row r="416">
          <cell r="C416" t="str">
            <v>GOINDWAL SAHIB1</v>
          </cell>
          <cell r="D416" t="str">
            <v xml:space="preserve"> 0-5 years</v>
          </cell>
          <cell r="E416">
            <v>4.2546201232032796</v>
          </cell>
          <cell r="F416">
            <v>270</v>
          </cell>
          <cell r="I416">
            <v>11.62</v>
          </cell>
          <cell r="L416">
            <v>0.39470365794919904</v>
          </cell>
          <cell r="M416">
            <v>5.395831182787874</v>
          </cell>
          <cell r="N416">
            <v>106.56998764628374</v>
          </cell>
          <cell r="O416">
            <v>1148.7474332648856</v>
          </cell>
          <cell r="P416">
            <v>0.99</v>
          </cell>
          <cell r="Q416">
            <v>267.3</v>
          </cell>
          <cell r="R416">
            <v>0.96</v>
          </cell>
        </row>
        <row r="417">
          <cell r="C417" t="str">
            <v>DHARIWAL TPS1</v>
          </cell>
          <cell r="D417" t="str">
            <v xml:space="preserve"> 5-10 years</v>
          </cell>
          <cell r="E417">
            <v>6.5051334702258696</v>
          </cell>
          <cell r="F417">
            <v>300</v>
          </cell>
          <cell r="I417">
            <v>8.6276396058188691</v>
          </cell>
          <cell r="L417">
            <v>0.35417789495961804</v>
          </cell>
          <cell r="M417">
            <v>3.5949638047754777</v>
          </cell>
          <cell r="N417">
            <v>106.25336848788541</v>
          </cell>
          <cell r="O417">
            <v>1951.540041067761</v>
          </cell>
          <cell r="P417" t="str">
            <v/>
          </cell>
          <cell r="R417" t="str">
            <v/>
          </cell>
        </row>
        <row r="418">
          <cell r="C418" t="str">
            <v>SURATGARH TPS2</v>
          </cell>
          <cell r="D418" t="str">
            <v xml:space="preserve"> 20-25 years</v>
          </cell>
          <cell r="E418">
            <v>20.175222450376399</v>
          </cell>
          <cell r="F418">
            <v>250</v>
          </cell>
          <cell r="I418">
            <v>11.73</v>
          </cell>
          <cell r="J418">
            <v>0</v>
          </cell>
          <cell r="K418">
            <v>0</v>
          </cell>
          <cell r="L418">
            <v>0.42411310194464164</v>
          </cell>
          <cell r="M418">
            <v>5.8527608068360548</v>
          </cell>
          <cell r="N418">
            <v>106.02827548616041</v>
          </cell>
          <cell r="O418">
            <v>5043.8056125940993</v>
          </cell>
          <cell r="P418">
            <v>0.93</v>
          </cell>
          <cell r="Q418">
            <v>232.5</v>
          </cell>
          <cell r="R418">
            <v>1.04</v>
          </cell>
        </row>
        <row r="419">
          <cell r="C419" t="str">
            <v>BINJKOTE  TPP1</v>
          </cell>
          <cell r="D419" t="str">
            <v xml:space="preserve"> 0-5 years</v>
          </cell>
          <cell r="E419">
            <v>3.0910335386721401</v>
          </cell>
          <cell r="F419">
            <v>300</v>
          </cell>
          <cell r="I419">
            <v>12.33</v>
          </cell>
          <cell r="L419">
            <v>0.35035059952955694</v>
          </cell>
          <cell r="M419">
            <v>5.0821445790581619</v>
          </cell>
          <cell r="N419">
            <v>105.10517985886707</v>
          </cell>
          <cell r="O419">
            <v>927.31006160164202</v>
          </cell>
        </row>
        <row r="420">
          <cell r="C420" t="str">
            <v>GANDHI NAGAR TPS3</v>
          </cell>
          <cell r="D420" t="str">
            <v xml:space="preserve"> 30-35 years</v>
          </cell>
          <cell r="E420">
            <v>30.176591375769998</v>
          </cell>
          <cell r="F420">
            <v>210</v>
          </cell>
          <cell r="H420" t="str">
            <v>Y</v>
          </cell>
          <cell r="I420">
            <v>12.37728930096887</v>
          </cell>
          <cell r="J420">
            <v>0</v>
          </cell>
          <cell r="K420">
            <v>0</v>
          </cell>
          <cell r="L420">
            <v>0.49978666257289878</v>
          </cell>
          <cell r="M420">
            <v>7.2776518958005632</v>
          </cell>
          <cell r="N420">
            <v>104.95519914030875</v>
          </cell>
          <cell r="O420">
            <v>6337.0841889117</v>
          </cell>
          <cell r="P420">
            <v>1.4</v>
          </cell>
          <cell r="Q420">
            <v>294</v>
          </cell>
          <cell r="R420">
            <v>1.56</v>
          </cell>
        </row>
        <row r="421">
          <cell r="C421" t="str">
            <v>SATPURA TPS8</v>
          </cell>
          <cell r="D421" t="str">
            <v xml:space="preserve"> 35-40 years</v>
          </cell>
          <cell r="E421">
            <v>37.338809034907598</v>
          </cell>
          <cell r="F421">
            <v>210</v>
          </cell>
          <cell r="G421" t="str">
            <v>Y</v>
          </cell>
          <cell r="I421">
            <v>15.199500416319752</v>
          </cell>
          <cell r="L421">
            <v>0.49660779256703175</v>
          </cell>
          <cell r="M421">
            <v>8.8802239410238037</v>
          </cell>
          <cell r="N421">
            <v>104.28763643907666</v>
          </cell>
          <cell r="O421">
            <v>7841.1498973305952</v>
          </cell>
        </row>
        <row r="422">
          <cell r="C422" t="str">
            <v>SURAT LIG. TPS4</v>
          </cell>
          <cell r="D422" t="str">
            <v xml:space="preserve"> 5-10 years</v>
          </cell>
          <cell r="E422">
            <v>10.0917180013689</v>
          </cell>
          <cell r="F422">
            <v>125</v>
          </cell>
          <cell r="I422">
            <v>12.23</v>
          </cell>
          <cell r="L422">
            <v>0.81636282220616008</v>
          </cell>
          <cell r="M422">
            <v>11.746020371272163</v>
          </cell>
          <cell r="N422">
            <v>102.04535277577001</v>
          </cell>
          <cell r="O422">
            <v>1261.4647501711124</v>
          </cell>
          <cell r="P422" t="str">
            <v/>
          </cell>
          <cell r="R422" t="str">
            <v/>
          </cell>
        </row>
        <row r="423">
          <cell r="C423" t="str">
            <v>PARLI TPS6</v>
          </cell>
          <cell r="D423" t="str">
            <v xml:space="preserve"> 10-15 years</v>
          </cell>
          <cell r="E423">
            <v>13.2539356605065</v>
          </cell>
          <cell r="F423">
            <v>250</v>
          </cell>
          <cell r="I423">
            <v>13.261849261849258</v>
          </cell>
          <cell r="J423">
            <v>0</v>
          </cell>
          <cell r="K423">
            <v>0</v>
          </cell>
          <cell r="L423">
            <v>0.40806132828363001</v>
          </cell>
          <cell r="M423">
            <v>6.3666445003382197</v>
          </cell>
          <cell r="N423">
            <v>102.0153320709075</v>
          </cell>
          <cell r="O423">
            <v>3313.4839151266251</v>
          </cell>
          <cell r="P423">
            <v>0.83</v>
          </cell>
          <cell r="Q423">
            <v>207.5</v>
          </cell>
          <cell r="R423">
            <v>1.07</v>
          </cell>
        </row>
        <row r="424">
          <cell r="C424" t="str">
            <v>RAICHUR TPS7</v>
          </cell>
          <cell r="D424" t="str">
            <v xml:space="preserve"> 15-20 years</v>
          </cell>
          <cell r="E424">
            <v>17.423682409308601</v>
          </cell>
          <cell r="F424">
            <v>210</v>
          </cell>
          <cell r="G424" t="str">
            <v>Y</v>
          </cell>
          <cell r="I424">
            <v>11.517352400408591</v>
          </cell>
          <cell r="L424">
            <v>0.48474360911917058</v>
          </cell>
          <cell r="M424">
            <v>6.5681917294957683</v>
          </cell>
          <cell r="N424">
            <v>101.79615791502582</v>
          </cell>
          <cell r="O424">
            <v>3658.9733059548062</v>
          </cell>
          <cell r="P424">
            <v>0.92</v>
          </cell>
          <cell r="Q424">
            <v>193.20000000000002</v>
          </cell>
          <cell r="R424">
            <v>0.95</v>
          </cell>
        </row>
        <row r="425">
          <cell r="C425" t="str">
            <v>GANDHI NAGAR TPS4</v>
          </cell>
          <cell r="D425" t="str">
            <v xml:space="preserve"> 25-30 years</v>
          </cell>
          <cell r="E425">
            <v>28.843258042436599</v>
          </cell>
          <cell r="F425">
            <v>210</v>
          </cell>
          <cell r="H425" t="str">
            <v>Y</v>
          </cell>
          <cell r="I425">
            <v>12.37728930096887</v>
          </cell>
          <cell r="J425">
            <v>0</v>
          </cell>
          <cell r="K425">
            <v>0</v>
          </cell>
          <cell r="L425">
            <v>0.48391182053713694</v>
          </cell>
          <cell r="M425">
            <v>7.0464901164078508</v>
          </cell>
          <cell r="N425">
            <v>101.62148231279876</v>
          </cell>
          <cell r="O425">
            <v>6057.0841889116855</v>
          </cell>
          <cell r="P425">
            <v>1.27</v>
          </cell>
          <cell r="Q425">
            <v>266.7</v>
          </cell>
          <cell r="R425">
            <v>1.33</v>
          </cell>
        </row>
        <row r="426">
          <cell r="C426" t="str">
            <v>BANDEL TPS5</v>
          </cell>
          <cell r="D426" t="str">
            <v xml:space="preserve"> 35-40 years</v>
          </cell>
          <cell r="E426">
            <v>37.590691307323702</v>
          </cell>
          <cell r="F426">
            <v>210</v>
          </cell>
          <cell r="G426" t="str">
            <v>Y</v>
          </cell>
          <cell r="I426">
            <v>14.97</v>
          </cell>
          <cell r="J426">
            <v>0</v>
          </cell>
          <cell r="K426">
            <v>0</v>
          </cell>
          <cell r="L426">
            <v>0.48294712711640875</v>
          </cell>
          <cell r="M426">
            <v>8.5055511681560461</v>
          </cell>
          <cell r="N426">
            <v>101.41889669444583</v>
          </cell>
          <cell r="O426">
            <v>7894.0451745379778</v>
          </cell>
          <cell r="P426">
            <v>1.18</v>
          </cell>
          <cell r="Q426">
            <v>247.79999999999998</v>
          </cell>
          <cell r="R426">
            <v>1.33</v>
          </cell>
        </row>
        <row r="427">
          <cell r="C427" t="str">
            <v>TORANGALLU TPS(SBU-I)1</v>
          </cell>
          <cell r="D427" t="str">
            <v xml:space="preserve"> 20-25 years</v>
          </cell>
          <cell r="E427">
            <v>21.338809034907499</v>
          </cell>
          <cell r="F427">
            <v>130</v>
          </cell>
          <cell r="I427">
            <v>12.23</v>
          </cell>
          <cell r="L427">
            <v>0.78005289715022752</v>
          </cell>
          <cell r="M427">
            <v>11.223584626055626</v>
          </cell>
          <cell r="N427">
            <v>101.40687662952958</v>
          </cell>
          <cell r="O427">
            <v>2774.0451745379746</v>
          </cell>
          <cell r="P427" t="str">
            <v/>
          </cell>
          <cell r="R427" t="str">
            <v/>
          </cell>
        </row>
        <row r="428">
          <cell r="C428" t="str">
            <v>KOLAGHAT TPS4</v>
          </cell>
          <cell r="D428" t="str">
            <v xml:space="preserve"> 35-40 years</v>
          </cell>
          <cell r="E428">
            <v>36.339493497604302</v>
          </cell>
          <cell r="F428">
            <v>210</v>
          </cell>
          <cell r="H428" t="str">
            <v>Y</v>
          </cell>
          <cell r="I428">
            <v>14.99</v>
          </cell>
          <cell r="J428">
            <v>0</v>
          </cell>
          <cell r="K428">
            <v>0</v>
          </cell>
          <cell r="L428">
            <v>0.48277161562313692</v>
          </cell>
          <cell r="M428">
            <v>8.5138194331656738</v>
          </cell>
          <cell r="N428">
            <v>101.38203928085875</v>
          </cell>
          <cell r="O428">
            <v>7631.293634496903</v>
          </cell>
          <cell r="P428">
            <v>0.89</v>
          </cell>
          <cell r="Q428">
            <v>186.9</v>
          </cell>
          <cell r="R428">
            <v>0.83</v>
          </cell>
        </row>
        <row r="429">
          <cell r="C429" t="str">
            <v>TUTICORIN TPS1</v>
          </cell>
          <cell r="D429" t="str">
            <v xml:space="preserve"> 40-45 years</v>
          </cell>
          <cell r="E429">
            <v>40.821355236139603</v>
          </cell>
          <cell r="F429">
            <v>210</v>
          </cell>
          <cell r="G429" t="str">
            <v>Y</v>
          </cell>
          <cell r="I429">
            <v>15.751836439298001</v>
          </cell>
          <cell r="J429">
            <v>0</v>
          </cell>
          <cell r="K429">
            <v>0</v>
          </cell>
          <cell r="L429">
            <v>0.48274759994964289</v>
          </cell>
          <cell r="M429">
            <v>8.946072042200516</v>
          </cell>
          <cell r="N429">
            <v>101.37699598942501</v>
          </cell>
          <cell r="O429">
            <v>8572.4845995893174</v>
          </cell>
        </row>
        <row r="430">
          <cell r="C430" t="str">
            <v>DADRI (NCTPP)1</v>
          </cell>
          <cell r="D430" t="str">
            <v xml:space="preserve"> 25-30 years</v>
          </cell>
          <cell r="E430">
            <v>28.4243668720054</v>
          </cell>
          <cell r="F430">
            <v>210</v>
          </cell>
          <cell r="H430" t="str">
            <v>Y</v>
          </cell>
          <cell r="I430">
            <v>11.349596412556105</v>
          </cell>
          <cell r="L430">
            <v>0.48011283288085521</v>
          </cell>
          <cell r="M430">
            <v>6.4106904537490621</v>
          </cell>
          <cell r="N430">
            <v>100.82369490497959</v>
          </cell>
          <cell r="O430">
            <v>5969.117043121134</v>
          </cell>
          <cell r="P430">
            <v>1.24</v>
          </cell>
          <cell r="Q430">
            <v>260.39999999999998</v>
          </cell>
          <cell r="R430">
            <v>0.55000000000000004</v>
          </cell>
        </row>
        <row r="431">
          <cell r="C431" t="str">
            <v>SURATGARH TPS6</v>
          </cell>
          <cell r="D431" t="str">
            <v xml:space="preserve"> 10-15 years</v>
          </cell>
          <cell r="E431">
            <v>10.757015742642</v>
          </cell>
          <cell r="F431">
            <v>250</v>
          </cell>
          <cell r="I431">
            <v>11.73</v>
          </cell>
          <cell r="J431">
            <v>0</v>
          </cell>
          <cell r="K431">
            <v>0</v>
          </cell>
          <cell r="L431">
            <v>0.39675126988683329</v>
          </cell>
          <cell r="M431">
            <v>5.4751675244383007</v>
          </cell>
          <cell r="N431">
            <v>99.187817471708328</v>
          </cell>
          <cell r="O431">
            <v>2689.2539356605002</v>
          </cell>
          <cell r="P431">
            <v>1.04</v>
          </cell>
          <cell r="Q431">
            <v>260</v>
          </cell>
          <cell r="R431">
            <v>1.04</v>
          </cell>
        </row>
        <row r="432">
          <cell r="C432" t="str">
            <v>AMRAVATI TPS3</v>
          </cell>
          <cell r="D432" t="str">
            <v xml:space="preserve"> 5-10 years</v>
          </cell>
          <cell r="E432">
            <v>5.3388090349075901</v>
          </cell>
          <cell r="F432">
            <v>270</v>
          </cell>
          <cell r="I432">
            <v>10.312172923777027</v>
          </cell>
          <cell r="L432">
            <v>0.36643067193790591</v>
          </cell>
          <cell r="M432">
            <v>4.445525239528819</v>
          </cell>
          <cell r="N432">
            <v>98.93628142323459</v>
          </cell>
          <cell r="O432">
            <v>1441.4784394250494</v>
          </cell>
          <cell r="P432">
            <v>1.06</v>
          </cell>
          <cell r="Q432">
            <v>286.2</v>
          </cell>
          <cell r="R432">
            <v>1.19</v>
          </cell>
        </row>
        <row r="433">
          <cell r="C433" t="str">
            <v>SABARMATI (D-F STATIONS) TPP3</v>
          </cell>
          <cell r="D433" t="str">
            <v xml:space="preserve"> 30-35 years</v>
          </cell>
          <cell r="E433">
            <v>31.671457905544099</v>
          </cell>
          <cell r="F433">
            <v>121</v>
          </cell>
          <cell r="H433" t="str">
            <v>Y</v>
          </cell>
          <cell r="I433">
            <v>14.54</v>
          </cell>
          <cell r="J433">
            <v>4528</v>
          </cell>
          <cell r="K433">
            <v>65.837119999999999</v>
          </cell>
          <cell r="L433">
            <v>0.8162952483112742</v>
          </cell>
          <cell r="M433">
            <v>13.96345048287756</v>
          </cell>
          <cell r="N433">
            <v>98.771725045664184</v>
          </cell>
          <cell r="O433">
            <v>3832.2464065708359</v>
          </cell>
        </row>
        <row r="434">
          <cell r="C434" t="str">
            <v>SURAT LIG. TPS3</v>
          </cell>
          <cell r="D434" t="str">
            <v xml:space="preserve"> 5-10 years</v>
          </cell>
          <cell r="E434">
            <v>10.0917180013689</v>
          </cell>
          <cell r="F434">
            <v>125</v>
          </cell>
          <cell r="I434">
            <v>12.23</v>
          </cell>
          <cell r="L434">
            <v>0.78957665500780994</v>
          </cell>
          <cell r="M434">
            <v>11.360614694994725</v>
          </cell>
          <cell r="N434">
            <v>98.697081875976238</v>
          </cell>
          <cell r="O434">
            <v>1261.4647501711124</v>
          </cell>
          <cell r="P434" t="str">
            <v/>
          </cell>
          <cell r="R434" t="str">
            <v/>
          </cell>
        </row>
        <row r="435">
          <cell r="C435" t="str">
            <v>SABARMATI (D-F STATIONS) TPP2</v>
          </cell>
          <cell r="D435" t="str">
            <v xml:space="preserve"> 35-40 years</v>
          </cell>
          <cell r="E435">
            <v>35.422313483915097</v>
          </cell>
          <cell r="F435">
            <v>121</v>
          </cell>
          <cell r="H435" t="str">
            <v>Y</v>
          </cell>
          <cell r="I435">
            <v>14.54</v>
          </cell>
          <cell r="J435">
            <v>4528</v>
          </cell>
          <cell r="K435">
            <v>65.837119999999999</v>
          </cell>
          <cell r="L435">
            <v>0.81509637566288906</v>
          </cell>
          <cell r="M435">
            <v>13.942942708398125</v>
          </cell>
          <cell r="N435">
            <v>98.626661455209572</v>
          </cell>
          <cell r="O435">
            <v>4286.0999315537265</v>
          </cell>
        </row>
        <row r="436">
          <cell r="C436" t="str">
            <v>JALIPA KAPURDI TPP5</v>
          </cell>
          <cell r="D436" t="str">
            <v xml:space="preserve"> 5-10 years</v>
          </cell>
          <cell r="E436">
            <v>7.2525667351129304</v>
          </cell>
          <cell r="F436">
            <v>135</v>
          </cell>
          <cell r="I436">
            <v>11.86</v>
          </cell>
          <cell r="J436">
            <v>2808</v>
          </cell>
          <cell r="K436">
            <v>33.302879999999995</v>
          </cell>
          <cell r="L436">
            <v>0.72805137319167279</v>
          </cell>
          <cell r="M436">
            <v>10.158457983592047</v>
          </cell>
          <cell r="N436">
            <v>98.286935380875832</v>
          </cell>
          <cell r="O436">
            <v>979.09650924024561</v>
          </cell>
          <cell r="P436" t="str">
            <v/>
          </cell>
          <cell r="R436" t="str">
            <v/>
          </cell>
        </row>
        <row r="437">
          <cell r="C437" t="str">
            <v>RAICHUR TPS2</v>
          </cell>
          <cell r="D437" t="str">
            <v xml:space="preserve"> 30-35 years</v>
          </cell>
          <cell r="E437">
            <v>34.176591375770002</v>
          </cell>
          <cell r="F437">
            <v>210</v>
          </cell>
          <cell r="G437" t="str">
            <v>Y</v>
          </cell>
          <cell r="I437">
            <v>11.517352400408591</v>
          </cell>
          <cell r="L437">
            <v>0.46448831713297423</v>
          </cell>
          <cell r="M437">
            <v>6.2937360403449505</v>
          </cell>
          <cell r="N437">
            <v>97.542546597924584</v>
          </cell>
          <cell r="O437">
            <v>7177.0841889117</v>
          </cell>
          <cell r="P437">
            <v>0.76</v>
          </cell>
          <cell r="Q437">
            <v>159.6</v>
          </cell>
          <cell r="R437">
            <v>0.86</v>
          </cell>
        </row>
        <row r="438">
          <cell r="C438" t="str">
            <v>KASAIPALLI TPP2</v>
          </cell>
          <cell r="D438" t="str">
            <v xml:space="preserve"> 5-10 years</v>
          </cell>
          <cell r="E438">
            <v>7.9233401779603003</v>
          </cell>
          <cell r="F438">
            <v>135</v>
          </cell>
          <cell r="I438">
            <v>12.53</v>
          </cell>
          <cell r="L438">
            <v>0.72231786864670056</v>
          </cell>
          <cell r="M438">
            <v>10.647815169580186</v>
          </cell>
          <cell r="N438">
            <v>97.512912267304571</v>
          </cell>
          <cell r="O438">
            <v>1069.6509240246405</v>
          </cell>
          <cell r="P438" t="str">
            <v/>
          </cell>
          <cell r="R438" t="str">
            <v/>
          </cell>
        </row>
        <row r="439">
          <cell r="C439" t="str">
            <v>TALCHER (OLD) TPS6</v>
          </cell>
          <cell r="D439" t="str">
            <v xml:space="preserve"> 45+ years</v>
          </cell>
          <cell r="E439">
            <v>46.924024640657002</v>
          </cell>
          <cell r="F439">
            <v>110</v>
          </cell>
          <cell r="G439" t="str">
            <v>Y</v>
          </cell>
          <cell r="I439">
            <v>16.563410574830417</v>
          </cell>
          <cell r="J439">
            <v>3811</v>
          </cell>
          <cell r="K439">
            <v>63.123157700678718</v>
          </cell>
          <cell r="L439">
            <v>0.88398365240411736</v>
          </cell>
          <cell r="M439">
            <v>17.225628442597145</v>
          </cell>
          <cell r="N439">
            <v>97.23820176445291</v>
          </cell>
          <cell r="O439">
            <v>5161.6427104722707</v>
          </cell>
        </row>
        <row r="440">
          <cell r="C440" t="str">
            <v>SABARMATI (D-F STATIONS) TPP1</v>
          </cell>
          <cell r="D440" t="str">
            <v xml:space="preserve"> 40-45 years</v>
          </cell>
          <cell r="E440">
            <v>41.590691307323702</v>
          </cell>
          <cell r="F440">
            <v>120</v>
          </cell>
          <cell r="H440" t="str">
            <v>Y</v>
          </cell>
          <cell r="I440">
            <v>14.54</v>
          </cell>
          <cell r="J440">
            <v>4528</v>
          </cell>
          <cell r="K440">
            <v>65.837119999999999</v>
          </cell>
          <cell r="L440">
            <v>0.80685983753381596</v>
          </cell>
          <cell r="M440">
            <v>13.802049456166687</v>
          </cell>
          <cell r="N440">
            <v>96.823180504057916</v>
          </cell>
          <cell r="O440">
            <v>4990.8829568788442</v>
          </cell>
        </row>
        <row r="441">
          <cell r="C441" t="str">
            <v>UCHPINDA TPP2</v>
          </cell>
          <cell r="D441" t="str">
            <v xml:space="preserve"> 0-5 years</v>
          </cell>
          <cell r="E441">
            <v>4.8240930869267604</v>
          </cell>
          <cell r="F441">
            <v>360</v>
          </cell>
          <cell r="I441">
            <v>12.33</v>
          </cell>
          <cell r="L441">
            <v>0.26868690870148498</v>
          </cell>
          <cell r="M441">
            <v>3.897540687399188</v>
          </cell>
          <cell r="N441">
            <v>96.727287132534599</v>
          </cell>
          <cell r="O441">
            <v>1736.6735112936337</v>
          </cell>
        </row>
        <row r="442">
          <cell r="C442" t="str">
            <v>SURAT LIG. TPS1</v>
          </cell>
          <cell r="D442" t="str">
            <v xml:space="preserve"> 20-25 years</v>
          </cell>
          <cell r="E442">
            <v>20.339493497604298</v>
          </cell>
          <cell r="F442">
            <v>125</v>
          </cell>
          <cell r="I442">
            <v>12.23</v>
          </cell>
          <cell r="L442">
            <v>0.77304855427253005</v>
          </cell>
          <cell r="M442">
            <v>11.122804492650639</v>
          </cell>
          <cell r="N442">
            <v>96.631069284066257</v>
          </cell>
          <cell r="O442">
            <v>2542.4366872005371</v>
          </cell>
          <cell r="P442" t="str">
            <v/>
          </cell>
          <cell r="R442" t="str">
            <v/>
          </cell>
        </row>
        <row r="443">
          <cell r="C443" t="str">
            <v>KOLAGHAT TPS2</v>
          </cell>
          <cell r="D443" t="str">
            <v xml:space="preserve"> 25-30 years</v>
          </cell>
          <cell r="E443">
            <v>29.7577002053388</v>
          </cell>
          <cell r="F443">
            <v>210</v>
          </cell>
          <cell r="H443" t="str">
            <v>Y</v>
          </cell>
          <cell r="I443">
            <v>14.99</v>
          </cell>
          <cell r="J443">
            <v>0</v>
          </cell>
          <cell r="K443">
            <v>0</v>
          </cell>
          <cell r="L443">
            <v>0.45843893683754766</v>
          </cell>
          <cell r="M443">
            <v>8.0847054861115755</v>
          </cell>
          <cell r="N443">
            <v>96.272176735885012</v>
          </cell>
          <cell r="O443">
            <v>6249.1170431211476</v>
          </cell>
          <cell r="P443">
            <v>0.73</v>
          </cell>
          <cell r="Q443">
            <v>153.29999999999998</v>
          </cell>
          <cell r="R443">
            <v>0.6</v>
          </cell>
        </row>
        <row r="444">
          <cell r="C444" t="str">
            <v>SATPURA TPS6</v>
          </cell>
          <cell r="D444" t="str">
            <v xml:space="preserve"> 40-45 years</v>
          </cell>
          <cell r="E444">
            <v>40.843258042436602</v>
          </cell>
          <cell r="F444">
            <v>200</v>
          </cell>
          <cell r="G444" t="str">
            <v>Y</v>
          </cell>
          <cell r="I444">
            <v>15.199500416319752</v>
          </cell>
          <cell r="L444">
            <v>0.48036453349106251</v>
          </cell>
          <cell r="M444">
            <v>8.5897657962148806</v>
          </cell>
          <cell r="N444">
            <v>96.072906698212506</v>
          </cell>
          <cell r="O444">
            <v>8168.6516084873201</v>
          </cell>
        </row>
        <row r="445">
          <cell r="C445" t="str">
            <v>SURAT LIG. TPS2</v>
          </cell>
          <cell r="D445" t="str">
            <v xml:space="preserve"> 20-25 years</v>
          </cell>
          <cell r="E445">
            <v>20.5065023956194</v>
          </cell>
          <cell r="F445">
            <v>125</v>
          </cell>
          <cell r="I445">
            <v>12.23</v>
          </cell>
          <cell r="L445">
            <v>0.76470103080436003</v>
          </cell>
          <cell r="M445">
            <v>11.00269836086744</v>
          </cell>
          <cell r="N445">
            <v>95.587628850545002</v>
          </cell>
          <cell r="O445">
            <v>2563.3127994524248</v>
          </cell>
          <cell r="P445" t="str">
            <v/>
          </cell>
          <cell r="R445" t="str">
            <v/>
          </cell>
        </row>
        <row r="446">
          <cell r="C446" t="str">
            <v>JALIPA KAPURDI TPP4</v>
          </cell>
          <cell r="D446" t="str">
            <v xml:space="preserve"> 5-10 years</v>
          </cell>
          <cell r="E446">
            <v>8.5065023956194299</v>
          </cell>
          <cell r="F446">
            <v>135</v>
          </cell>
          <cell r="I446">
            <v>11.86</v>
          </cell>
          <cell r="J446">
            <v>2808</v>
          </cell>
          <cell r="K446">
            <v>33.302879999999995</v>
          </cell>
          <cell r="L446">
            <v>0.70319869558071291</v>
          </cell>
          <cell r="M446">
            <v>9.8116900348085334</v>
          </cell>
          <cell r="N446">
            <v>94.931823903396236</v>
          </cell>
          <cell r="O446">
            <v>1148.377823408623</v>
          </cell>
          <cell r="P446" t="str">
            <v/>
          </cell>
          <cell r="R446" t="str">
            <v/>
          </cell>
        </row>
        <row r="447">
          <cell r="C447" t="str">
            <v>JALIPA KAPURDI TPP2</v>
          </cell>
          <cell r="D447" t="str">
            <v xml:space="preserve"> 5-10 years</v>
          </cell>
          <cell r="E447">
            <v>9.8425735797399003</v>
          </cell>
          <cell r="F447">
            <v>135</v>
          </cell>
          <cell r="I447">
            <v>11.86</v>
          </cell>
          <cell r="J447">
            <v>2808</v>
          </cell>
          <cell r="K447">
            <v>33.302879999999995</v>
          </cell>
          <cell r="L447">
            <v>0.70179042474249997</v>
          </cell>
          <cell r="M447">
            <v>9.7920405146424105</v>
          </cell>
          <cell r="N447">
            <v>94.741707340237497</v>
          </cell>
          <cell r="O447">
            <v>1328.7474332648865</v>
          </cell>
          <cell r="P447" t="str">
            <v/>
          </cell>
          <cell r="R447" t="str">
            <v/>
          </cell>
        </row>
        <row r="448">
          <cell r="C448" t="str">
            <v>CHANDRAPUR STPS4</v>
          </cell>
          <cell r="D448" t="str">
            <v xml:space="preserve"> 30-35 years</v>
          </cell>
          <cell r="E448">
            <v>34.176591375770002</v>
          </cell>
          <cell r="F448">
            <v>210</v>
          </cell>
          <cell r="H448" t="str">
            <v>Y</v>
          </cell>
          <cell r="I448">
            <v>13.258094645080945</v>
          </cell>
          <cell r="J448">
            <v>3366</v>
          </cell>
          <cell r="K448">
            <v>44.626746575342459</v>
          </cell>
          <cell r="L448">
            <v>0.45041746312705361</v>
          </cell>
          <cell r="M448">
            <v>7.0255027716890979</v>
          </cell>
          <cell r="N448">
            <v>94.587667256681257</v>
          </cell>
          <cell r="O448">
            <v>7177.0841889117</v>
          </cell>
          <cell r="P448">
            <v>0.83</v>
          </cell>
          <cell r="Q448">
            <v>174.29999999999998</v>
          </cell>
          <cell r="R448">
            <v>0.73</v>
          </cell>
        </row>
        <row r="449">
          <cell r="C449" t="str">
            <v>JALIPA KAPURDI TPP7</v>
          </cell>
          <cell r="D449" t="str">
            <v xml:space="preserve"> 5-10 years</v>
          </cell>
          <cell r="E449">
            <v>7.1759069130732298</v>
          </cell>
          <cell r="F449">
            <v>135</v>
          </cell>
          <cell r="I449">
            <v>11.86</v>
          </cell>
          <cell r="J449">
            <v>2808</v>
          </cell>
          <cell r="K449">
            <v>33.302879999999995</v>
          </cell>
          <cell r="L449">
            <v>0.69745598212964199</v>
          </cell>
          <cell r="M449">
            <v>9.7315622918324163</v>
          </cell>
          <cell r="N449">
            <v>94.156557587501666</v>
          </cell>
          <cell r="O449">
            <v>968.74743326488601</v>
          </cell>
          <cell r="P449" t="str">
            <v/>
          </cell>
          <cell r="R449" t="str">
            <v/>
          </cell>
        </row>
        <row r="450">
          <cell r="C450" t="str">
            <v>SALAYA TPP2</v>
          </cell>
          <cell r="D450" t="str">
            <v xml:space="preserve"> 5-10 years</v>
          </cell>
          <cell r="E450">
            <v>7.9233401779603003</v>
          </cell>
          <cell r="F450">
            <v>600</v>
          </cell>
          <cell r="I450">
            <v>12.53</v>
          </cell>
          <cell r="L450">
            <v>0.15690511748307431</v>
          </cell>
          <cell r="M450">
            <v>2.3129660259563778</v>
          </cell>
          <cell r="N450">
            <v>94.14307048984459</v>
          </cell>
          <cell r="O450">
            <v>4754.0041067761804</v>
          </cell>
          <cell r="P450">
            <v>0.56999999999999995</v>
          </cell>
          <cell r="Q450">
            <v>341.99999999999994</v>
          </cell>
          <cell r="R450">
            <v>0.5</v>
          </cell>
        </row>
        <row r="451">
          <cell r="C451" t="str">
            <v>JALIPA KAPURDI TPP8</v>
          </cell>
          <cell r="D451" t="str">
            <v xml:space="preserve"> 5-10 years</v>
          </cell>
          <cell r="E451">
            <v>7.2525667351129304</v>
          </cell>
          <cell r="F451">
            <v>135</v>
          </cell>
          <cell r="I451">
            <v>11.86</v>
          </cell>
          <cell r="J451">
            <v>2808</v>
          </cell>
          <cell r="K451">
            <v>33.302879999999995</v>
          </cell>
          <cell r="L451">
            <v>0.69249846319325614</v>
          </cell>
          <cell r="M451">
            <v>9.6623903217317864</v>
          </cell>
          <cell r="N451">
            <v>93.487292531089579</v>
          </cell>
          <cell r="O451">
            <v>979.09650924024561</v>
          </cell>
          <cell r="P451" t="str">
            <v/>
          </cell>
          <cell r="R451" t="str">
            <v/>
          </cell>
        </row>
        <row r="452">
          <cell r="C452" t="str">
            <v>DADRI (NCTPP)2</v>
          </cell>
          <cell r="D452" t="str">
            <v xml:space="preserve"> 25-30 years</v>
          </cell>
          <cell r="E452">
            <v>27.422313483915101</v>
          </cell>
          <cell r="F452">
            <v>210</v>
          </cell>
          <cell r="H452" t="str">
            <v>Y</v>
          </cell>
          <cell r="I452">
            <v>11.349596412556105</v>
          </cell>
          <cell r="L452">
            <v>0.44513134309670638</v>
          </cell>
          <cell r="M452">
            <v>5.943601287913717</v>
          </cell>
          <cell r="N452">
            <v>93.477582050308342</v>
          </cell>
          <cell r="O452">
            <v>5758.6858316221715</v>
          </cell>
          <cell r="P452">
            <v>1.1399999999999999</v>
          </cell>
          <cell r="Q452">
            <v>239.39999999999998</v>
          </cell>
          <cell r="R452">
            <v>0.45</v>
          </cell>
        </row>
        <row r="453">
          <cell r="C453" t="str">
            <v>RAICHUR TPS1</v>
          </cell>
          <cell r="D453" t="str">
            <v xml:space="preserve"> 35-40 years</v>
          </cell>
          <cell r="E453">
            <v>35.175906913073199</v>
          </cell>
          <cell r="F453">
            <v>210</v>
          </cell>
          <cell r="G453" t="str">
            <v>Y</v>
          </cell>
          <cell r="I453">
            <v>11.517352400408591</v>
          </cell>
          <cell r="L453">
            <v>0.44318800125015279</v>
          </cell>
          <cell r="M453">
            <v>6.0051204588596852</v>
          </cell>
          <cell r="N453">
            <v>93.069480262532082</v>
          </cell>
          <cell r="O453">
            <v>7386.9404517453713</v>
          </cell>
          <cell r="P453">
            <v>0.67</v>
          </cell>
          <cell r="Q453">
            <v>140.70000000000002</v>
          </cell>
          <cell r="R453">
            <v>0.7</v>
          </cell>
        </row>
        <row r="454">
          <cell r="C454" t="str">
            <v>WANAKBORI TPS2</v>
          </cell>
          <cell r="D454" t="str">
            <v xml:space="preserve"> 35-40 years</v>
          </cell>
          <cell r="E454">
            <v>37.338809034907598</v>
          </cell>
          <cell r="F454">
            <v>210</v>
          </cell>
          <cell r="H454" t="str">
            <v>Y</v>
          </cell>
          <cell r="I454">
            <v>13.26</v>
          </cell>
          <cell r="J454">
            <v>0</v>
          </cell>
          <cell r="K454">
            <v>0</v>
          </cell>
          <cell r="L454">
            <v>0.44170254059478176</v>
          </cell>
          <cell r="M454">
            <v>6.8905596332785946</v>
          </cell>
          <cell r="N454">
            <v>92.757533524904176</v>
          </cell>
          <cell r="O454">
            <v>7841.1498973305952</v>
          </cell>
          <cell r="P454">
            <v>1.08</v>
          </cell>
          <cell r="Q454">
            <v>226.8</v>
          </cell>
          <cell r="R454">
            <v>1.3</v>
          </cell>
        </row>
        <row r="455">
          <cell r="C455" t="str">
            <v>JALIPA KAPURDI TPP1</v>
          </cell>
          <cell r="D455" t="str">
            <v xml:space="preserve"> 10-15 years</v>
          </cell>
          <cell r="E455">
            <v>10.590006844626901</v>
          </cell>
          <cell r="F455">
            <v>135</v>
          </cell>
          <cell r="I455">
            <v>11.86</v>
          </cell>
          <cell r="J455">
            <v>2808</v>
          </cell>
          <cell r="K455">
            <v>33.302879999999995</v>
          </cell>
          <cell r="L455">
            <v>0.68166622684120992</v>
          </cell>
          <cell r="M455">
            <v>9.5112487651020583</v>
          </cell>
          <cell r="N455">
            <v>92.024940623563339</v>
          </cell>
          <cell r="O455">
            <v>1429.6509240246316</v>
          </cell>
          <cell r="P455" t="str">
            <v/>
          </cell>
          <cell r="R455" t="str">
            <v/>
          </cell>
        </row>
        <row r="456">
          <cell r="C456" t="str">
            <v>DURGAPUR TPS4</v>
          </cell>
          <cell r="D456" t="str">
            <v xml:space="preserve"> 35-40 years</v>
          </cell>
          <cell r="E456">
            <v>37.672826830937701</v>
          </cell>
          <cell r="F456">
            <v>220</v>
          </cell>
          <cell r="G456" t="str">
            <v>Y</v>
          </cell>
          <cell r="I456">
            <v>14.204444444444444</v>
          </cell>
          <cell r="L456">
            <v>0.41161877742411557</v>
          </cell>
          <cell r="M456">
            <v>6.878607124954109</v>
          </cell>
          <cell r="N456">
            <v>90.556131033305419</v>
          </cell>
          <cell r="O456">
            <v>8288.0219028062947</v>
          </cell>
        </row>
        <row r="457">
          <cell r="C457" t="str">
            <v>NASIK TPS3</v>
          </cell>
          <cell r="D457" t="str">
            <v xml:space="preserve"> 40-45 years</v>
          </cell>
          <cell r="E457">
            <v>41.0924024640657</v>
          </cell>
          <cell r="F457">
            <v>210</v>
          </cell>
          <cell r="H457" t="str">
            <v>Y</v>
          </cell>
          <cell r="I457">
            <v>16.214862842892796</v>
          </cell>
          <cell r="J457">
            <v>0</v>
          </cell>
          <cell r="K457">
            <v>0</v>
          </cell>
          <cell r="L457">
            <v>0.43035244456411503</v>
          </cell>
          <cell r="M457">
            <v>8.2095363090714706</v>
          </cell>
          <cell r="N457">
            <v>90.374013358464154</v>
          </cell>
          <cell r="O457">
            <v>8629.4045174537969</v>
          </cell>
          <cell r="P457">
            <v>0.73</v>
          </cell>
          <cell r="Q457">
            <v>153.29999999999998</v>
          </cell>
          <cell r="R457">
            <v>0.98</v>
          </cell>
        </row>
        <row r="458">
          <cell r="C458" t="str">
            <v>JALIPA KAPURDI TPP3</v>
          </cell>
          <cell r="D458" t="str">
            <v xml:space="preserve"> 5-10 years</v>
          </cell>
          <cell r="E458">
            <v>8.5065023956194299</v>
          </cell>
          <cell r="F458">
            <v>135</v>
          </cell>
          <cell r="I458">
            <v>11.86</v>
          </cell>
          <cell r="J458">
            <v>2808</v>
          </cell>
          <cell r="K458">
            <v>33.302879999999995</v>
          </cell>
          <cell r="L458">
            <v>0.66762523936823448</v>
          </cell>
          <cell r="M458">
            <v>9.3153356928320719</v>
          </cell>
          <cell r="N458">
            <v>90.129407314711656</v>
          </cell>
          <cell r="O458">
            <v>1148.377823408623</v>
          </cell>
          <cell r="P458" t="str">
            <v/>
          </cell>
          <cell r="R458" t="str">
            <v/>
          </cell>
        </row>
        <row r="459">
          <cell r="C459" t="str">
            <v>BARSINGSAR LIGNITE1</v>
          </cell>
          <cell r="D459" t="str">
            <v xml:space="preserve"> 5-10 years</v>
          </cell>
          <cell r="E459">
            <v>9.9247091033538606</v>
          </cell>
          <cell r="F459">
            <v>125</v>
          </cell>
          <cell r="I459">
            <v>12.66</v>
          </cell>
          <cell r="J459">
            <v>2664</v>
          </cell>
          <cell r="K459">
            <v>33.726239999999997</v>
          </cell>
          <cell r="L459">
            <v>0.71921921125310007</v>
          </cell>
          <cell r="M459">
            <v>10.712135546428526</v>
          </cell>
          <cell r="N459">
            <v>89.902401406637509</v>
          </cell>
          <cell r="O459">
            <v>1240.5886379192325</v>
          </cell>
          <cell r="P459" t="str">
            <v/>
          </cell>
          <cell r="R459" t="str">
            <v/>
          </cell>
        </row>
        <row r="460">
          <cell r="C460" t="str">
            <v>JALIPA KAPURDI TPP6</v>
          </cell>
          <cell r="D460" t="str">
            <v xml:space="preserve"> 5-10 years</v>
          </cell>
          <cell r="E460">
            <v>7.1759069130732298</v>
          </cell>
          <cell r="F460">
            <v>135</v>
          </cell>
          <cell r="I460">
            <v>11.86</v>
          </cell>
          <cell r="J460">
            <v>2808</v>
          </cell>
          <cell r="K460">
            <v>33.302879999999995</v>
          </cell>
          <cell r="L460">
            <v>0.66280214614535504</v>
          </cell>
          <cell r="M460">
            <v>9.2480393568046004</v>
          </cell>
          <cell r="N460">
            <v>89.478289729622929</v>
          </cell>
          <cell r="O460">
            <v>968.74743326488601</v>
          </cell>
          <cell r="P460" t="str">
            <v/>
          </cell>
          <cell r="R460" t="str">
            <v/>
          </cell>
        </row>
        <row r="461">
          <cell r="C461" t="str">
            <v>BADARPUR TPS5</v>
          </cell>
          <cell r="D461" t="str">
            <v xml:space="preserve"> 35-40 years</v>
          </cell>
          <cell r="E461">
            <v>38.4229979466119</v>
          </cell>
          <cell r="F461">
            <v>210</v>
          </cell>
          <cell r="G461" t="str">
            <v>Y</v>
          </cell>
          <cell r="I461">
            <v>13.262411347517729</v>
          </cell>
          <cell r="L461">
            <v>0.42531668049743648</v>
          </cell>
          <cell r="M461">
            <v>6.6361467879032636</v>
          </cell>
          <cell r="N461">
            <v>89.316502904461657</v>
          </cell>
          <cell r="O461">
            <v>8068.8295687884993</v>
          </cell>
        </row>
        <row r="462">
          <cell r="C462" t="str">
            <v>AMRAVATI TPS5</v>
          </cell>
          <cell r="D462" t="str">
            <v xml:space="preserve"> 5-10 years</v>
          </cell>
          <cell r="E462">
            <v>5.1772758384667998</v>
          </cell>
          <cell r="F462">
            <v>270</v>
          </cell>
          <cell r="I462">
            <v>10.312172923777027</v>
          </cell>
          <cell r="L462">
            <v>0.33050491128931481</v>
          </cell>
          <cell r="M462">
            <v>4.0096750557329415</v>
          </cell>
          <cell r="N462">
            <v>89.236326048115004</v>
          </cell>
          <cell r="O462">
            <v>1397.8644763860359</v>
          </cell>
          <cell r="P462">
            <v>1.06</v>
          </cell>
          <cell r="Q462">
            <v>286.2</v>
          </cell>
          <cell r="R462">
            <v>0.74</v>
          </cell>
        </row>
        <row r="463">
          <cell r="C463" t="str">
            <v>NEYVELI TPS-II EXP2</v>
          </cell>
          <cell r="D463" t="str">
            <v xml:space="preserve"> 5-10 years</v>
          </cell>
          <cell r="E463">
            <v>5.3388090349075901</v>
          </cell>
          <cell r="F463">
            <v>250</v>
          </cell>
          <cell r="I463">
            <v>12.66</v>
          </cell>
          <cell r="J463">
            <v>2640</v>
          </cell>
          <cell r="K463">
            <v>33.422400000000003</v>
          </cell>
          <cell r="L463">
            <v>0.35435753804506004</v>
          </cell>
          <cell r="M463">
            <v>5.2778428607652472</v>
          </cell>
          <cell r="N463">
            <v>88.58938451126501</v>
          </cell>
          <cell r="O463">
            <v>1334.7022587268975</v>
          </cell>
          <cell r="P463" t="str">
            <v/>
          </cell>
          <cell r="R463" t="str">
            <v/>
          </cell>
        </row>
        <row r="464">
          <cell r="C464" t="str">
            <v>WANAKBORI TPS1</v>
          </cell>
          <cell r="D464" t="str">
            <v xml:space="preserve"> 35-40 years</v>
          </cell>
          <cell r="E464">
            <v>38.176591375770002</v>
          </cell>
          <cell r="F464">
            <v>210</v>
          </cell>
          <cell r="H464" t="str">
            <v>Y</v>
          </cell>
          <cell r="I464">
            <v>13.26</v>
          </cell>
          <cell r="J464">
            <v>0</v>
          </cell>
          <cell r="K464">
            <v>0</v>
          </cell>
          <cell r="L464">
            <v>0.42043437099842862</v>
          </cell>
          <cell r="M464">
            <v>6.5587761875754866</v>
          </cell>
          <cell r="N464">
            <v>88.29121790967001</v>
          </cell>
          <cell r="O464">
            <v>8017.0841889117</v>
          </cell>
          <cell r="P464">
            <v>1.21</v>
          </cell>
          <cell r="Q464">
            <v>254.1</v>
          </cell>
          <cell r="R464">
            <v>1.24</v>
          </cell>
        </row>
        <row r="465">
          <cell r="C465" t="str">
            <v>TALCHER (OLD) TPS5</v>
          </cell>
          <cell r="D465" t="str">
            <v xml:space="preserve"> 45+ years</v>
          </cell>
          <cell r="E465">
            <v>47.337440109513999</v>
          </cell>
          <cell r="F465">
            <v>110</v>
          </cell>
          <cell r="G465" t="str">
            <v>Y</v>
          </cell>
          <cell r="I465">
            <v>16.563410574830417</v>
          </cell>
          <cell r="J465">
            <v>3811</v>
          </cell>
          <cell r="K465">
            <v>63.123157700678718</v>
          </cell>
          <cell r="L465">
            <v>0.80008420952733716</v>
          </cell>
          <cell r="M465">
            <v>15.590733243341097</v>
          </cell>
          <cell r="N465">
            <v>88.009263048007085</v>
          </cell>
          <cell r="O465">
            <v>5207.1184120465396</v>
          </cell>
        </row>
        <row r="466">
          <cell r="C466" t="str">
            <v>PARLI TPS7</v>
          </cell>
          <cell r="D466" t="str">
            <v xml:space="preserve"> 10-15 years</v>
          </cell>
          <cell r="E466">
            <v>10.2532511978097</v>
          </cell>
          <cell r="F466">
            <v>250</v>
          </cell>
          <cell r="I466">
            <v>13.261849261849258</v>
          </cell>
          <cell r="J466">
            <v>0</v>
          </cell>
          <cell r="K466">
            <v>0</v>
          </cell>
          <cell r="L466">
            <v>0.34851120406299835</v>
          </cell>
          <cell r="M466">
            <v>5.4375330051165536</v>
          </cell>
          <cell r="N466">
            <v>87.127801015749583</v>
          </cell>
          <cell r="O466">
            <v>2563.3127994524248</v>
          </cell>
          <cell r="P466">
            <v>0.45</v>
          </cell>
          <cell r="Q466">
            <v>112.5</v>
          </cell>
          <cell r="R466">
            <v>0.45</v>
          </cell>
        </row>
        <row r="467">
          <cell r="C467" t="str">
            <v>JOJOBERA TPS2</v>
          </cell>
          <cell r="D467" t="str">
            <v xml:space="preserve"> 15-20 years</v>
          </cell>
          <cell r="E467">
            <v>19.337440109513999</v>
          </cell>
          <cell r="F467">
            <v>120</v>
          </cell>
          <cell r="I467">
            <v>12.23</v>
          </cell>
          <cell r="J467">
            <v>3718</v>
          </cell>
          <cell r="K467">
            <v>45.471139999999998</v>
          </cell>
          <cell r="L467">
            <v>0.72321095379914924</v>
          </cell>
          <cell r="M467">
            <v>10.405729370545407</v>
          </cell>
          <cell r="N467">
            <v>86.785314455897904</v>
          </cell>
          <cell r="O467">
            <v>2320.49281314168</v>
          </cell>
          <cell r="P467" t="str">
            <v/>
          </cell>
          <cell r="R467" t="str">
            <v/>
          </cell>
        </row>
        <row r="468">
          <cell r="C468" t="str">
            <v>JOJOBERA TPS3</v>
          </cell>
          <cell r="D468" t="str">
            <v xml:space="preserve"> 15-20 years</v>
          </cell>
          <cell r="E468">
            <v>18.338124572210798</v>
          </cell>
          <cell r="F468">
            <v>120</v>
          </cell>
          <cell r="I468">
            <v>12.23</v>
          </cell>
          <cell r="J468">
            <v>3702</v>
          </cell>
          <cell r="K468">
            <v>45.275460000000002</v>
          </cell>
          <cell r="L468">
            <v>0.72059455667231609</v>
          </cell>
          <cell r="M468">
            <v>10.368084033061677</v>
          </cell>
          <cell r="N468">
            <v>86.471346800677935</v>
          </cell>
          <cell r="O468">
            <v>2200.5749486652958</v>
          </cell>
          <cell r="P468" t="str">
            <v/>
          </cell>
          <cell r="R468" t="str">
            <v/>
          </cell>
        </row>
        <row r="469">
          <cell r="C469" t="str">
            <v>AMRAVATI TPS1</v>
          </cell>
          <cell r="D469" t="str">
            <v xml:space="preserve"> 5-10 years</v>
          </cell>
          <cell r="E469">
            <v>7.1759069130732298</v>
          </cell>
          <cell r="F469">
            <v>270</v>
          </cell>
          <cell r="I469">
            <v>10.312172923777027</v>
          </cell>
          <cell r="L469">
            <v>0.31847038425018515</v>
          </cell>
          <cell r="M469">
            <v>3.8636725570466175</v>
          </cell>
          <cell r="N469">
            <v>85.987003747549991</v>
          </cell>
          <cell r="O469">
            <v>1937.494866529772</v>
          </cell>
          <cell r="P469">
            <v>1.1100000000000001</v>
          </cell>
          <cell r="Q469">
            <v>299.70000000000005</v>
          </cell>
          <cell r="R469">
            <v>1.23</v>
          </cell>
        </row>
        <row r="470">
          <cell r="C470" t="str">
            <v>UCHPINDA TPP1</v>
          </cell>
          <cell r="D470" t="str">
            <v xml:space="preserve"> 0-5 years</v>
          </cell>
          <cell r="E470">
            <v>4.5913757700205302</v>
          </cell>
          <cell r="F470">
            <v>360</v>
          </cell>
          <cell r="I470">
            <v>12.33</v>
          </cell>
          <cell r="L470">
            <v>0.23829861293053242</v>
          </cell>
          <cell r="M470">
            <v>3.4567316440393703</v>
          </cell>
          <cell r="N470">
            <v>85.787500654991675</v>
          </cell>
          <cell r="O470">
            <v>1652.8952772073908</v>
          </cell>
          <cell r="P470" t="str">
            <v/>
          </cell>
          <cell r="R470" t="str">
            <v/>
          </cell>
        </row>
        <row r="471">
          <cell r="C471" t="str">
            <v>CHANDRAPUR STPS3</v>
          </cell>
          <cell r="D471" t="str">
            <v xml:space="preserve"> 30-35 years</v>
          </cell>
          <cell r="E471">
            <v>35.008898015058101</v>
          </cell>
          <cell r="F471">
            <v>210</v>
          </cell>
          <cell r="H471" t="str">
            <v>Y</v>
          </cell>
          <cell r="I471">
            <v>13.258094645080945</v>
          </cell>
          <cell r="J471">
            <v>3366</v>
          </cell>
          <cell r="K471">
            <v>44.626746575342459</v>
          </cell>
          <cell r="L471">
            <v>0.40668558501500002</v>
          </cell>
          <cell r="M471">
            <v>6.3433835022576268</v>
          </cell>
          <cell r="N471">
            <v>85.403972853150009</v>
          </cell>
          <cell r="O471">
            <v>7351.8685831622015</v>
          </cell>
          <cell r="P471">
            <v>0.86</v>
          </cell>
          <cell r="Q471">
            <v>180.6</v>
          </cell>
          <cell r="R471">
            <v>0.76</v>
          </cell>
        </row>
        <row r="472">
          <cell r="C472" t="str">
            <v>AMRAVATI TPS4</v>
          </cell>
          <cell r="D472" t="str">
            <v xml:space="preserve"> 5-10 years</v>
          </cell>
          <cell r="E472">
            <v>5.1772758384667998</v>
          </cell>
          <cell r="F472">
            <v>270</v>
          </cell>
          <cell r="I472">
            <v>10.312172923777027</v>
          </cell>
          <cell r="L472">
            <v>0.30964994207699076</v>
          </cell>
          <cell r="M472">
            <v>3.7566632335711398</v>
          </cell>
          <cell r="N472">
            <v>83.6054843607875</v>
          </cell>
          <cell r="O472">
            <v>1397.8644763860359</v>
          </cell>
          <cell r="P472">
            <v>1.19</v>
          </cell>
          <cell r="Q472">
            <v>321.3</v>
          </cell>
          <cell r="R472">
            <v>1.1399999999999999</v>
          </cell>
        </row>
        <row r="473">
          <cell r="C473" t="str">
            <v>SATPURA TPS7</v>
          </cell>
          <cell r="D473" t="str">
            <v xml:space="preserve"> 35-40 years</v>
          </cell>
          <cell r="E473">
            <v>39.671457905544102</v>
          </cell>
          <cell r="F473">
            <v>210</v>
          </cell>
          <cell r="G473" t="str">
            <v>Y</v>
          </cell>
          <cell r="I473">
            <v>15.199500416319752</v>
          </cell>
          <cell r="L473">
            <v>0.39707521536688301</v>
          </cell>
          <cell r="M473">
            <v>7.100405766210816</v>
          </cell>
          <cell r="N473">
            <v>83.385795227045435</v>
          </cell>
          <cell r="O473">
            <v>8331.006160164261</v>
          </cell>
        </row>
        <row r="474">
          <cell r="C474" t="str">
            <v>BARSINGSAR LIGNITE2</v>
          </cell>
          <cell r="D474" t="str">
            <v xml:space="preserve"> 5-10 years</v>
          </cell>
          <cell r="E474">
            <v>9.3388090349075892</v>
          </cell>
          <cell r="F474">
            <v>125</v>
          </cell>
          <cell r="I474">
            <v>12.66</v>
          </cell>
          <cell r="J474">
            <v>2664</v>
          </cell>
          <cell r="K474">
            <v>33.726239999999997</v>
          </cell>
          <cell r="L474">
            <v>0.65589233118438994</v>
          </cell>
          <cell r="M474">
            <v>9.7689375444639737</v>
          </cell>
          <cell r="N474">
            <v>81.986541398048743</v>
          </cell>
          <cell r="O474">
            <v>1167.3511293634485</v>
          </cell>
          <cell r="P474" t="str">
            <v/>
          </cell>
          <cell r="R474" t="str">
            <v/>
          </cell>
        </row>
        <row r="475">
          <cell r="C475" t="str">
            <v>KHAPARKHEDA TPS1</v>
          </cell>
          <cell r="D475" t="str">
            <v xml:space="preserve"> 30-35 years</v>
          </cell>
          <cell r="E475">
            <v>31.175906913073199</v>
          </cell>
          <cell r="F475">
            <v>210</v>
          </cell>
          <cell r="H475" t="str">
            <v>Y</v>
          </cell>
          <cell r="I475">
            <v>16.465212399540818</v>
          </cell>
          <cell r="J475">
            <v>0</v>
          </cell>
          <cell r="K475">
            <v>0</v>
          </cell>
          <cell r="L475">
            <v>0.38772934123115083</v>
          </cell>
          <cell r="M475">
            <v>7.5106423022411022</v>
          </cell>
          <cell r="N475">
            <v>81.423161658541673</v>
          </cell>
          <cell r="O475">
            <v>6546.9404517453713</v>
          </cell>
          <cell r="P475">
            <v>1.17</v>
          </cell>
          <cell r="Q475">
            <v>245.7</v>
          </cell>
          <cell r="R475">
            <v>1.1100000000000001</v>
          </cell>
        </row>
        <row r="476">
          <cell r="C476" t="str">
            <v>KOTHAGUDEM TPS5</v>
          </cell>
          <cell r="D476" t="str">
            <v xml:space="preserve"> 45+ years</v>
          </cell>
          <cell r="E476">
            <v>45.724845995893197</v>
          </cell>
          <cell r="F476">
            <v>120</v>
          </cell>
          <cell r="G476" t="str">
            <v>Y</v>
          </cell>
          <cell r="I476">
            <v>22.096678065461703</v>
          </cell>
          <cell r="L476">
            <v>0.67164617814206595</v>
          </cell>
          <cell r="M476">
            <v>17.460175732121144</v>
          </cell>
          <cell r="N476">
            <v>80.597541377047918</v>
          </cell>
          <cell r="O476">
            <v>5486.9815195071833</v>
          </cell>
        </row>
        <row r="477">
          <cell r="C477" t="str">
            <v>KORBA-III1</v>
          </cell>
          <cell r="D477" t="str">
            <v xml:space="preserve"> 40-45 years</v>
          </cell>
          <cell r="E477">
            <v>44.090349075975297</v>
          </cell>
          <cell r="F477">
            <v>120</v>
          </cell>
          <cell r="G477" t="str">
            <v>Y</v>
          </cell>
          <cell r="I477">
            <v>14.97</v>
          </cell>
          <cell r="L477">
            <v>0.63797790209531247</v>
          </cell>
          <cell r="M477">
            <v>11.235916699255091</v>
          </cell>
          <cell r="N477">
            <v>76.557348251437503</v>
          </cell>
          <cell r="O477">
            <v>5290.8418891170359</v>
          </cell>
        </row>
        <row r="478">
          <cell r="C478" t="str">
            <v>OP JINDAL TPS21</v>
          </cell>
          <cell r="D478" t="str">
            <v xml:space="preserve"> 5-10 years</v>
          </cell>
          <cell r="E478">
            <v>6.1765913757700197</v>
          </cell>
          <cell r="F478">
            <v>600</v>
          </cell>
          <cell r="I478">
            <v>12.53</v>
          </cell>
          <cell r="L478">
            <v>0.12625300922484792</v>
          </cell>
          <cell r="M478">
            <v>1.8611178889262874</v>
          </cell>
          <cell r="N478">
            <v>75.751805534908755</v>
          </cell>
          <cell r="O478">
            <v>3705.9548254620117</v>
          </cell>
          <cell r="P478">
            <v>0.46</v>
          </cell>
          <cell r="Q478">
            <v>276</v>
          </cell>
          <cell r="R478">
            <v>0.36</v>
          </cell>
        </row>
        <row r="479">
          <cell r="C479" t="str">
            <v>KOTHAGUDEM TPS7</v>
          </cell>
          <cell r="D479" t="str">
            <v xml:space="preserve"> 40-45 years</v>
          </cell>
          <cell r="E479">
            <v>43.151266255989</v>
          </cell>
          <cell r="F479">
            <v>120</v>
          </cell>
          <cell r="G479" t="str">
            <v>Y</v>
          </cell>
          <cell r="I479">
            <v>22.096678065461703</v>
          </cell>
          <cell r="L479">
            <v>0.62427421310519093</v>
          </cell>
          <cell r="M479">
            <v>16.22868977829981</v>
          </cell>
          <cell r="N479">
            <v>74.912905572622918</v>
          </cell>
          <cell r="O479">
            <v>5178.1519507186804</v>
          </cell>
        </row>
        <row r="480">
          <cell r="C480" t="str">
            <v>NASIK TPS5</v>
          </cell>
          <cell r="D480" t="str">
            <v xml:space="preserve"> 35-40 years</v>
          </cell>
          <cell r="E480">
            <v>39.337440109513999</v>
          </cell>
          <cell r="F480">
            <v>210</v>
          </cell>
          <cell r="H480" t="str">
            <v>Y</v>
          </cell>
          <cell r="I480">
            <v>16.214862842892796</v>
          </cell>
          <cell r="J480">
            <v>0</v>
          </cell>
          <cell r="K480">
            <v>0</v>
          </cell>
          <cell r="L480">
            <v>0.35670371042313292</v>
          </cell>
          <cell r="M480">
            <v>6.8045902824259414</v>
          </cell>
          <cell r="N480">
            <v>74.907779188857916</v>
          </cell>
          <cell r="O480">
            <v>8260.8624229979396</v>
          </cell>
          <cell r="P480">
            <v>0.83</v>
          </cell>
          <cell r="Q480">
            <v>174.29999999999998</v>
          </cell>
          <cell r="R480">
            <v>0.79</v>
          </cell>
        </row>
        <row r="481">
          <cell r="C481" t="str">
            <v>KORBA-III2</v>
          </cell>
          <cell r="D481" t="str">
            <v xml:space="preserve"> 35-40 years</v>
          </cell>
          <cell r="E481">
            <v>39.0910335386721</v>
          </cell>
          <cell r="F481">
            <v>120</v>
          </cell>
          <cell r="G481" t="str">
            <v>Y</v>
          </cell>
          <cell r="I481">
            <v>14.97</v>
          </cell>
          <cell r="L481">
            <v>0.62117492895790272</v>
          </cell>
          <cell r="M481">
            <v>10.93998668999977</v>
          </cell>
          <cell r="N481">
            <v>74.540991474948328</v>
          </cell>
          <cell r="O481">
            <v>4690.9240246406516</v>
          </cell>
        </row>
        <row r="482">
          <cell r="C482" t="str">
            <v>GH TPS (LEH.MOH.)3</v>
          </cell>
          <cell r="D482" t="str">
            <v xml:space="preserve"> 10-15 years</v>
          </cell>
          <cell r="E482">
            <v>12.3394934976043</v>
          </cell>
          <cell r="F482">
            <v>250</v>
          </cell>
          <cell r="I482">
            <v>13.253952569169957</v>
          </cell>
          <cell r="J482">
            <v>0</v>
          </cell>
          <cell r="K482">
            <v>0</v>
          </cell>
          <cell r="L482">
            <v>0.29636827750998995</v>
          </cell>
          <cell r="M482">
            <v>4.6212365801458901</v>
          </cell>
          <cell r="N482">
            <v>74.092069377497495</v>
          </cell>
          <cell r="O482">
            <v>3084.8733744010751</v>
          </cell>
          <cell r="P482">
            <v>0.83</v>
          </cell>
          <cell r="Q482">
            <v>207.5</v>
          </cell>
          <cell r="R482">
            <v>0.96</v>
          </cell>
        </row>
        <row r="483">
          <cell r="C483" t="str">
            <v>TANDA STPS1</v>
          </cell>
          <cell r="D483" t="str">
            <v xml:space="preserve"> 30-35 years</v>
          </cell>
          <cell r="E483">
            <v>32.175222450376403</v>
          </cell>
          <cell r="F483">
            <v>110</v>
          </cell>
          <cell r="G483" t="str">
            <v>Y</v>
          </cell>
          <cell r="I483">
            <v>12.15</v>
          </cell>
          <cell r="J483">
            <v>5387</v>
          </cell>
          <cell r="K483">
            <v>65.45205</v>
          </cell>
          <cell r="L483">
            <v>0.6716125514373561</v>
          </cell>
          <cell r="M483">
            <v>9.6001088234869147</v>
          </cell>
          <cell r="N483">
            <v>73.877380658109175</v>
          </cell>
          <cell r="O483">
            <v>3539.2744695414044</v>
          </cell>
          <cell r="P483" t="str">
            <v/>
          </cell>
          <cell r="R483" t="str">
            <v/>
          </cell>
        </row>
        <row r="484">
          <cell r="C484" t="str">
            <v>WANAKBORI TPS8</v>
          </cell>
          <cell r="D484" t="str">
            <v xml:space="preserve"> 0-5 years</v>
          </cell>
          <cell r="E484">
            <v>0.53661875427789096</v>
          </cell>
          <cell r="F484">
            <v>800</v>
          </cell>
          <cell r="I484">
            <v>13.26</v>
          </cell>
          <cell r="J484">
            <v>0</v>
          </cell>
          <cell r="K484">
            <v>0</v>
          </cell>
          <cell r="L484">
            <v>9.1819444444444273E-2</v>
          </cell>
          <cell r="M484">
            <v>1.4323833333333307</v>
          </cell>
          <cell r="N484">
            <v>73.455555555555421</v>
          </cell>
          <cell r="O484">
            <v>429.29500342231279</v>
          </cell>
        </row>
        <row r="485">
          <cell r="C485" t="str">
            <v>TANDA STPS4</v>
          </cell>
          <cell r="D485" t="str">
            <v xml:space="preserve"> 20-25 years</v>
          </cell>
          <cell r="E485">
            <v>22.2532511978097</v>
          </cell>
          <cell r="F485">
            <v>110</v>
          </cell>
          <cell r="G485" t="str">
            <v>Y</v>
          </cell>
          <cell r="I485">
            <v>12.15</v>
          </cell>
          <cell r="J485">
            <v>5387</v>
          </cell>
          <cell r="K485">
            <v>65.45205</v>
          </cell>
          <cell r="L485">
            <v>0.66379538639479929</v>
          </cell>
          <cell r="M485">
            <v>9.4883693467021324</v>
          </cell>
          <cell r="N485">
            <v>73.017492503427917</v>
          </cell>
          <cell r="O485">
            <v>2447.8576317590669</v>
          </cell>
          <cell r="P485" t="str">
            <v/>
          </cell>
          <cell r="R485" t="str">
            <v/>
          </cell>
        </row>
        <row r="486">
          <cell r="C486" t="str">
            <v>TANDA STPS2</v>
          </cell>
          <cell r="D486" t="str">
            <v xml:space="preserve"> 30-35 years</v>
          </cell>
          <cell r="E486">
            <v>31.175906913073199</v>
          </cell>
          <cell r="F486">
            <v>110</v>
          </cell>
          <cell r="G486" t="str">
            <v>Y</v>
          </cell>
          <cell r="I486">
            <v>12.15</v>
          </cell>
          <cell r="J486">
            <v>5387</v>
          </cell>
          <cell r="K486">
            <v>65.45205</v>
          </cell>
          <cell r="L486">
            <v>0.66276602216243563</v>
          </cell>
          <cell r="M486">
            <v>9.4736554932630508</v>
          </cell>
          <cell r="N486">
            <v>72.904262437867914</v>
          </cell>
          <cell r="O486">
            <v>3429.3497604380518</v>
          </cell>
          <cell r="P486" t="str">
            <v/>
          </cell>
          <cell r="R486" t="str">
            <v/>
          </cell>
        </row>
        <row r="487">
          <cell r="C487" t="str">
            <v>TANDA STPS3</v>
          </cell>
          <cell r="D487" t="str">
            <v xml:space="preserve"> 30-35 years</v>
          </cell>
          <cell r="E487">
            <v>30.176591375769998</v>
          </cell>
          <cell r="F487">
            <v>110</v>
          </cell>
          <cell r="G487" t="str">
            <v>Y</v>
          </cell>
          <cell r="I487">
            <v>12.15</v>
          </cell>
          <cell r="J487">
            <v>5387</v>
          </cell>
          <cell r="K487">
            <v>65.45205</v>
          </cell>
          <cell r="L487">
            <v>0.64605972136853029</v>
          </cell>
          <cell r="M487">
            <v>9.234853664267817</v>
          </cell>
          <cell r="N487">
            <v>71.06656935053833</v>
          </cell>
          <cell r="O487">
            <v>3319.4250513346997</v>
          </cell>
          <cell r="P487" t="str">
            <v/>
          </cell>
          <cell r="R487" t="str">
            <v/>
          </cell>
        </row>
        <row r="488">
          <cell r="C488" t="str">
            <v>TORANGALLU TPS(SBU-II)4</v>
          </cell>
          <cell r="D488" t="str">
            <v xml:space="preserve"> 10-15 years</v>
          </cell>
          <cell r="E488">
            <v>10.757015742642</v>
          </cell>
          <cell r="F488">
            <v>300</v>
          </cell>
          <cell r="I488">
            <v>12.45</v>
          </cell>
          <cell r="L488">
            <v>0.23673969417765278</v>
          </cell>
          <cell r="M488">
            <v>3.4675402264844437</v>
          </cell>
          <cell r="N488">
            <v>71.021908253295834</v>
          </cell>
          <cell r="O488">
            <v>3227.1047227926001</v>
          </cell>
        </row>
        <row r="489">
          <cell r="C489" t="str">
            <v>BUTIBORI TPP1</v>
          </cell>
          <cell r="D489" t="str">
            <v xml:space="preserve"> 5-10 years</v>
          </cell>
          <cell r="E489">
            <v>7.7563312799452397</v>
          </cell>
          <cell r="F489">
            <v>300</v>
          </cell>
          <cell r="I489">
            <v>13.265151515151516</v>
          </cell>
          <cell r="J489">
            <v>0</v>
          </cell>
          <cell r="K489">
            <v>0</v>
          </cell>
          <cell r="L489">
            <v>0.22892321636523333</v>
          </cell>
          <cell r="M489">
            <v>3.5725895887301569</v>
          </cell>
          <cell r="N489">
            <v>68.676964909570003</v>
          </cell>
          <cell r="O489">
            <v>2326.8993839835721</v>
          </cell>
          <cell r="P489">
            <v>0.91</v>
          </cell>
          <cell r="Q489">
            <v>273</v>
          </cell>
          <cell r="R489">
            <v>0.73</v>
          </cell>
        </row>
        <row r="490">
          <cell r="C490" t="str">
            <v>BADARPUR TPS4</v>
          </cell>
          <cell r="D490" t="str">
            <v xml:space="preserve"> 35-40 years</v>
          </cell>
          <cell r="E490">
            <v>41.423682409308597</v>
          </cell>
          <cell r="F490">
            <v>210</v>
          </cell>
          <cell r="G490" t="str">
            <v>Y</v>
          </cell>
          <cell r="I490">
            <v>13.262411347517729</v>
          </cell>
          <cell r="L490">
            <v>0.32645857733362299</v>
          </cell>
          <cell r="M490">
            <v>5.0936799300281592</v>
          </cell>
          <cell r="N490">
            <v>68.556301240060833</v>
          </cell>
          <cell r="O490">
            <v>8698.9733059548053</v>
          </cell>
        </row>
        <row r="491">
          <cell r="C491" t="str">
            <v>SATPURA TPS9</v>
          </cell>
          <cell r="D491" t="str">
            <v xml:space="preserve"> 35-40 years</v>
          </cell>
          <cell r="E491">
            <v>36.254620123203203</v>
          </cell>
          <cell r="F491">
            <v>210</v>
          </cell>
          <cell r="G491" t="str">
            <v>Y</v>
          </cell>
          <cell r="I491">
            <v>15.199500416319752</v>
          </cell>
          <cell r="L491">
            <v>0.30703743668603967</v>
          </cell>
          <cell r="M491">
            <v>5.490371349100247</v>
          </cell>
          <cell r="N491">
            <v>64.477861704068332</v>
          </cell>
          <cell r="O491">
            <v>7613.4702258726729</v>
          </cell>
        </row>
        <row r="492">
          <cell r="C492" t="str">
            <v>MEJA STPP1</v>
          </cell>
          <cell r="D492" t="str">
            <v xml:space="preserve"> 0-5 years</v>
          </cell>
          <cell r="E492">
            <v>2.0917180013689198</v>
          </cell>
          <cell r="F492">
            <v>660</v>
          </cell>
          <cell r="I492">
            <v>12.5</v>
          </cell>
          <cell r="L492">
            <v>9.7049031691387622E-2</v>
          </cell>
          <cell r="M492">
            <v>1.4271916425204061</v>
          </cell>
          <cell r="N492">
            <v>64.052360916315834</v>
          </cell>
          <cell r="O492">
            <v>1380.533880903487</v>
          </cell>
        </row>
        <row r="493">
          <cell r="C493" t="str">
            <v>OBRA TPS1</v>
          </cell>
          <cell r="D493" t="str">
            <v xml:space="preserve"> 45+ years</v>
          </cell>
          <cell r="E493">
            <v>52.758384668035497</v>
          </cell>
          <cell r="F493">
            <v>50</v>
          </cell>
          <cell r="G493" t="str">
            <v>Y</v>
          </cell>
          <cell r="I493">
            <v>14.97</v>
          </cell>
          <cell r="J493">
            <v>0</v>
          </cell>
          <cell r="K493">
            <v>0</v>
          </cell>
          <cell r="L493">
            <v>1.278399378399375</v>
          </cell>
          <cell r="M493">
            <v>22.514869052516055</v>
          </cell>
          <cell r="N493">
            <v>63.919968919968753</v>
          </cell>
          <cell r="O493">
            <v>2637.9192334017748</v>
          </cell>
          <cell r="P493">
            <v>1.2</v>
          </cell>
          <cell r="Q493">
            <v>60</v>
          </cell>
          <cell r="R493">
            <v>1.3</v>
          </cell>
        </row>
        <row r="494">
          <cell r="C494" t="str">
            <v>AKRIMOTA LIG TPS1</v>
          </cell>
          <cell r="D494" t="str">
            <v xml:space="preserve"> 15-20 years</v>
          </cell>
          <cell r="E494">
            <v>15.1759069130732</v>
          </cell>
          <cell r="F494">
            <v>125</v>
          </cell>
          <cell r="I494">
            <v>13.78</v>
          </cell>
          <cell r="L494">
            <v>0.50454523746872326</v>
          </cell>
          <cell r="M494">
            <v>8.1795686733164779</v>
          </cell>
          <cell r="N494">
            <v>63.068154683590407</v>
          </cell>
          <cell r="O494">
            <v>1896.9883641341501</v>
          </cell>
          <cell r="P494" t="str">
            <v/>
          </cell>
          <cell r="R494" t="str">
            <v/>
          </cell>
        </row>
        <row r="495">
          <cell r="C495" t="str">
            <v>KOTA TPS2</v>
          </cell>
          <cell r="D495" t="str">
            <v xml:space="preserve"> 35-40 years</v>
          </cell>
          <cell r="E495">
            <v>36.843258042436602</v>
          </cell>
          <cell r="F495">
            <v>110</v>
          </cell>
          <cell r="G495" t="str">
            <v>Y</v>
          </cell>
          <cell r="I495">
            <v>12.76</v>
          </cell>
          <cell r="J495">
            <v>0</v>
          </cell>
          <cell r="K495">
            <v>0</v>
          </cell>
          <cell r="L495">
            <v>0.56882149117104541</v>
          </cell>
          <cell r="M495">
            <v>8.5390143851088691</v>
          </cell>
          <cell r="N495">
            <v>62.570364028814993</v>
          </cell>
          <cell r="O495">
            <v>4052.7583846680263</v>
          </cell>
          <cell r="P495" t="str">
            <v/>
          </cell>
          <cell r="R495" t="str">
            <v/>
          </cell>
        </row>
        <row r="496">
          <cell r="C496" t="str">
            <v>KOTHAGUDEM TPS6</v>
          </cell>
          <cell r="D496" t="str">
            <v xml:space="preserve"> 40-45 years</v>
          </cell>
          <cell r="E496">
            <v>45.3744010951403</v>
          </cell>
          <cell r="F496">
            <v>120</v>
          </cell>
          <cell r="G496" t="str">
            <v>Y</v>
          </cell>
          <cell r="I496">
            <v>22.096678065461703</v>
          </cell>
          <cell r="L496">
            <v>0.50615935464878825</v>
          </cell>
          <cell r="M496">
            <v>13.158165069995448</v>
          </cell>
          <cell r="N496">
            <v>60.739122557854593</v>
          </cell>
          <cell r="O496">
            <v>5444.9281314168356</v>
          </cell>
        </row>
        <row r="497">
          <cell r="C497" t="str">
            <v>NEYVELI TPS- I8</v>
          </cell>
          <cell r="D497" t="str">
            <v xml:space="preserve"> 45+ years</v>
          </cell>
          <cell r="E497">
            <v>50.924024640657002</v>
          </cell>
          <cell r="F497">
            <v>100</v>
          </cell>
          <cell r="G497" t="str">
            <v>Y</v>
          </cell>
          <cell r="I497">
            <v>16.54</v>
          </cell>
          <cell r="J497">
            <v>2670</v>
          </cell>
          <cell r="K497">
            <v>44.161799999999992</v>
          </cell>
          <cell r="L497">
            <v>0.60692590996168327</v>
          </cell>
          <cell r="M497">
            <v>11.810064177372048</v>
          </cell>
          <cell r="N497">
            <v>60.692590996168327</v>
          </cell>
          <cell r="O497">
            <v>5092.4024640656999</v>
          </cell>
        </row>
        <row r="498">
          <cell r="C498" t="str">
            <v>KOTHAGUDEM TPS8</v>
          </cell>
          <cell r="D498" t="str">
            <v xml:space="preserve"> 40-45 years</v>
          </cell>
          <cell r="E498">
            <v>42.313483915126596</v>
          </cell>
          <cell r="F498">
            <v>120</v>
          </cell>
          <cell r="G498" t="str">
            <v>Y</v>
          </cell>
          <cell r="I498">
            <v>22.096678065461703</v>
          </cell>
          <cell r="L498">
            <v>0.50128223427109719</v>
          </cell>
          <cell r="M498">
            <v>13.031379000733867</v>
          </cell>
          <cell r="N498">
            <v>60.153868112531661</v>
          </cell>
          <cell r="O498">
            <v>5077.6180698151911</v>
          </cell>
        </row>
        <row r="499">
          <cell r="C499" t="str">
            <v>AKRIMOTA LIG TPS2</v>
          </cell>
          <cell r="D499" t="str">
            <v xml:space="preserve"> 10-15 years</v>
          </cell>
          <cell r="E499">
            <v>14.4229979466119</v>
          </cell>
          <cell r="F499">
            <v>125</v>
          </cell>
          <cell r="I499">
            <v>13.78</v>
          </cell>
          <cell r="L499">
            <v>0.46734304410031663</v>
          </cell>
          <cell r="M499">
            <v>7.5764554678851326</v>
          </cell>
          <cell r="N499">
            <v>58.417880512539575</v>
          </cell>
          <cell r="O499">
            <v>1802.8747433264875</v>
          </cell>
          <cell r="P499" t="str">
            <v/>
          </cell>
          <cell r="R499" t="str">
            <v/>
          </cell>
        </row>
        <row r="500">
          <cell r="C500" t="str">
            <v>TALCHER (OLD) TPS2</v>
          </cell>
          <cell r="D500" t="str">
            <v xml:space="preserve"> 45+ years</v>
          </cell>
          <cell r="E500">
            <v>48.925393566050602</v>
          </cell>
          <cell r="F500">
            <v>60</v>
          </cell>
          <cell r="G500" t="str">
            <v>Y</v>
          </cell>
          <cell r="I500">
            <v>16.563410574830417</v>
          </cell>
          <cell r="J500">
            <v>3811</v>
          </cell>
          <cell r="K500">
            <v>63.123157700678718</v>
          </cell>
          <cell r="L500">
            <v>0.95883306431994442</v>
          </cell>
          <cell r="M500">
            <v>18.684171431828261</v>
          </cell>
          <cell r="N500">
            <v>57.529983859196662</v>
          </cell>
          <cell r="O500">
            <v>2935.523613963036</v>
          </cell>
        </row>
        <row r="501">
          <cell r="C501" t="str">
            <v>STERLITE TPP2</v>
          </cell>
          <cell r="D501" t="str">
            <v xml:space="preserve"> 5-10 years</v>
          </cell>
          <cell r="E501">
            <v>9.4236824093086895</v>
          </cell>
          <cell r="F501">
            <v>600</v>
          </cell>
          <cell r="I501">
            <v>13.94</v>
          </cell>
          <cell r="L501">
            <v>9.4808093316785413E-2</v>
          </cell>
          <cell r="M501">
            <v>1.5548527303952808</v>
          </cell>
          <cell r="N501">
            <v>56.884855990071244</v>
          </cell>
          <cell r="O501">
            <v>5654.2094455852139</v>
          </cell>
          <cell r="P501" t="str">
            <v/>
          </cell>
          <cell r="R501" t="str">
            <v/>
          </cell>
        </row>
        <row r="502">
          <cell r="C502" t="str">
            <v>GH TPS (LEH.MOH.)4</v>
          </cell>
          <cell r="D502" t="str">
            <v xml:space="preserve"> 10-15 years</v>
          </cell>
          <cell r="E502">
            <v>11.841204654346299</v>
          </cell>
          <cell r="F502">
            <v>250</v>
          </cell>
          <cell r="I502">
            <v>13.253952569169957</v>
          </cell>
          <cell r="J502">
            <v>0</v>
          </cell>
          <cell r="K502">
            <v>0</v>
          </cell>
          <cell r="L502">
            <v>0.22256405603521834</v>
          </cell>
          <cell r="M502">
            <v>3.4704158144621986</v>
          </cell>
          <cell r="N502">
            <v>55.641014008804582</v>
          </cell>
          <cell r="O502">
            <v>2960.3011635865746</v>
          </cell>
          <cell r="P502">
            <v>1.1200000000000001</v>
          </cell>
          <cell r="Q502">
            <v>280</v>
          </cell>
          <cell r="R502">
            <v>0.91</v>
          </cell>
        </row>
        <row r="503">
          <cell r="C503" t="str">
            <v>TALCHER (OLD) TPS1</v>
          </cell>
          <cell r="D503" t="str">
            <v xml:space="preserve"> 45+ years</v>
          </cell>
          <cell r="E503">
            <v>49.338809034907598</v>
          </cell>
          <cell r="F503">
            <v>60</v>
          </cell>
          <cell r="G503" t="str">
            <v>Y</v>
          </cell>
          <cell r="I503">
            <v>16.563410574830417</v>
          </cell>
          <cell r="J503">
            <v>3811</v>
          </cell>
          <cell r="K503">
            <v>63.123157700678718</v>
          </cell>
          <cell r="L503">
            <v>0.92381981105794431</v>
          </cell>
          <cell r="M503">
            <v>18.00189038554705</v>
          </cell>
          <cell r="N503">
            <v>55.429188663476658</v>
          </cell>
          <cell r="O503">
            <v>2960.3285420944558</v>
          </cell>
        </row>
        <row r="504">
          <cell r="C504" t="str">
            <v>NEYVELI TPS- I9</v>
          </cell>
          <cell r="D504" t="str">
            <v xml:space="preserve"> 45+ years</v>
          </cell>
          <cell r="E504">
            <v>49.924709103353798</v>
          </cell>
          <cell r="F504">
            <v>100</v>
          </cell>
          <cell r="G504" t="str">
            <v>Y</v>
          </cell>
          <cell r="I504">
            <v>16.54</v>
          </cell>
          <cell r="J504">
            <v>2670</v>
          </cell>
          <cell r="K504">
            <v>44.161799999999992</v>
          </cell>
          <cell r="L504">
            <v>0.54795281934365425</v>
          </cell>
          <cell r="M504">
            <v>10.662517214051814</v>
          </cell>
          <cell r="N504">
            <v>54.795281934365427</v>
          </cell>
          <cell r="O504">
            <v>4992.4709103353798</v>
          </cell>
        </row>
        <row r="505">
          <cell r="C505" t="str">
            <v>TALCHER (OLD) TPS3</v>
          </cell>
          <cell r="D505" t="str">
            <v xml:space="preserve"> 45+ years</v>
          </cell>
          <cell r="E505">
            <v>48.339493497604302</v>
          </cell>
          <cell r="F505">
            <v>60</v>
          </cell>
          <cell r="G505" t="str">
            <v>Y</v>
          </cell>
          <cell r="I505">
            <v>16.563410574830417</v>
          </cell>
          <cell r="J505">
            <v>3811</v>
          </cell>
          <cell r="K505">
            <v>63.123157700678718</v>
          </cell>
          <cell r="L505">
            <v>0.90750364529076377</v>
          </cell>
          <cell r="M505">
            <v>17.683947617771988</v>
          </cell>
          <cell r="N505">
            <v>54.450218717445829</v>
          </cell>
          <cell r="O505">
            <v>2900.3696098562582</v>
          </cell>
        </row>
        <row r="506">
          <cell r="C506" t="str">
            <v>TALCHER (OLD) TPS4</v>
          </cell>
          <cell r="D506" t="str">
            <v xml:space="preserve"> 45+ years</v>
          </cell>
          <cell r="E506">
            <v>47.923340177960299</v>
          </cell>
          <cell r="F506">
            <v>60</v>
          </cell>
          <cell r="G506" t="str">
            <v>Y</v>
          </cell>
          <cell r="I506">
            <v>16.563410574830417</v>
          </cell>
          <cell r="J506">
            <v>3811</v>
          </cell>
          <cell r="K506">
            <v>63.123157700678718</v>
          </cell>
          <cell r="L506">
            <v>0.87672141223934719</v>
          </cell>
          <cell r="M506">
            <v>17.084113777253485</v>
          </cell>
          <cell r="N506">
            <v>52.603284734360834</v>
          </cell>
          <cell r="O506">
            <v>2875.4004106776179</v>
          </cell>
        </row>
        <row r="507">
          <cell r="C507" t="str">
            <v>OP JINDAL TPS1</v>
          </cell>
          <cell r="D507" t="str">
            <v xml:space="preserve"> 10-15 years</v>
          </cell>
          <cell r="E507">
            <v>12.6735112936344</v>
          </cell>
          <cell r="F507">
            <v>250</v>
          </cell>
          <cell r="I507">
            <v>12.45</v>
          </cell>
          <cell r="L507">
            <v>0.20757181344939338</v>
          </cell>
          <cell r="M507">
            <v>3.0403165616999379</v>
          </cell>
          <cell r="N507">
            <v>51.892953362348344</v>
          </cell>
          <cell r="O507">
            <v>3168.3778234085999</v>
          </cell>
          <cell r="P507">
            <v>1.1200000000000001</v>
          </cell>
          <cell r="Q507">
            <v>280</v>
          </cell>
          <cell r="R507">
            <v>1.0900000000000001</v>
          </cell>
        </row>
        <row r="508">
          <cell r="C508" t="str">
            <v>ROPAR TPS6</v>
          </cell>
          <cell r="D508" t="str">
            <v xml:space="preserve"> 25-30 years</v>
          </cell>
          <cell r="E508">
            <v>27.175906913073199</v>
          </cell>
          <cell r="F508">
            <v>210</v>
          </cell>
          <cell r="G508" t="str">
            <v>Y</v>
          </cell>
          <cell r="I508">
            <v>13.259018759018758</v>
          </cell>
          <cell r="J508">
            <v>0</v>
          </cell>
          <cell r="K508">
            <v>0</v>
          </cell>
          <cell r="L508">
            <v>0.23526000481764683</v>
          </cell>
          <cell r="M508">
            <v>3.6697844907341444</v>
          </cell>
          <cell r="N508">
            <v>49.404601011705836</v>
          </cell>
          <cell r="O508">
            <v>5706.9404517453713</v>
          </cell>
          <cell r="P508">
            <v>1.1399999999999999</v>
          </cell>
          <cell r="Q508">
            <v>239.39999999999998</v>
          </cell>
          <cell r="R508">
            <v>1.1100000000000001</v>
          </cell>
        </row>
        <row r="509">
          <cell r="C509" t="str">
            <v>MUZAFFARPUR TPS1</v>
          </cell>
          <cell r="D509" t="str">
            <v xml:space="preserve"> 5-10 years</v>
          </cell>
          <cell r="E509">
            <v>6.5051334702258696</v>
          </cell>
          <cell r="F509">
            <v>110</v>
          </cell>
          <cell r="G509" t="str">
            <v>Y</v>
          </cell>
          <cell r="I509">
            <v>13.503725782414307</v>
          </cell>
          <cell r="J509">
            <v>0</v>
          </cell>
          <cell r="K509">
            <v>0</v>
          </cell>
          <cell r="L509">
            <v>0.43942087269821217</v>
          </cell>
          <cell r="M509">
            <v>6.9809634917480512</v>
          </cell>
          <cell r="N509">
            <v>48.336295996803337</v>
          </cell>
          <cell r="O509">
            <v>715.56468172484563</v>
          </cell>
        </row>
        <row r="510">
          <cell r="C510" t="str">
            <v>RAMAGUNDEM - B TPS1</v>
          </cell>
          <cell r="D510" t="str">
            <v xml:space="preserve"> 45+ years</v>
          </cell>
          <cell r="E510">
            <v>48.591375770020498</v>
          </cell>
          <cell r="F510">
            <v>500</v>
          </cell>
          <cell r="G510" t="str">
            <v>Y</v>
          </cell>
          <cell r="I510">
            <v>14.56</v>
          </cell>
          <cell r="L510">
            <v>9.6403243240578321E-2</v>
          </cell>
          <cell r="M510">
            <v>1.6513308489209653</v>
          </cell>
          <cell r="N510">
            <v>48.20162162028916</v>
          </cell>
          <cell r="O510">
            <v>24295.687885010248</v>
          </cell>
        </row>
        <row r="511">
          <cell r="C511" t="str">
            <v>TORANGALLU TPS(SBU-I)2</v>
          </cell>
          <cell r="D511" t="str">
            <v xml:space="preserve"> 20-25 years</v>
          </cell>
          <cell r="E511">
            <v>21.0102669404517</v>
          </cell>
          <cell r="F511">
            <v>130</v>
          </cell>
          <cell r="I511">
            <v>12.23</v>
          </cell>
          <cell r="L511">
            <v>0.36779959134714102</v>
          </cell>
          <cell r="M511">
            <v>5.291987061382982</v>
          </cell>
          <cell r="N511">
            <v>47.81394687512833</v>
          </cell>
          <cell r="O511">
            <v>2731.3347022587209</v>
          </cell>
          <cell r="P511" t="str">
            <v/>
          </cell>
          <cell r="R511" t="str">
            <v/>
          </cell>
        </row>
        <row r="512">
          <cell r="C512" t="str">
            <v>GH TPS (LEH.MOH.)2</v>
          </cell>
          <cell r="D512" t="str">
            <v xml:space="preserve"> 20-25 years</v>
          </cell>
          <cell r="E512">
            <v>21.590691307323699</v>
          </cell>
          <cell r="F512">
            <v>210</v>
          </cell>
          <cell r="I512">
            <v>13.253952569169957</v>
          </cell>
          <cell r="J512">
            <v>0</v>
          </cell>
          <cell r="K512">
            <v>0</v>
          </cell>
          <cell r="L512">
            <v>0.22551028588216071</v>
          </cell>
          <cell r="M512">
            <v>3.51635603875543</v>
          </cell>
          <cell r="N512">
            <v>47.357160035253749</v>
          </cell>
          <cell r="O512">
            <v>4534.0451745379769</v>
          </cell>
          <cell r="P512">
            <v>0.79</v>
          </cell>
          <cell r="Q512">
            <v>165.9</v>
          </cell>
          <cell r="R512">
            <v>0.92</v>
          </cell>
        </row>
        <row r="513">
          <cell r="C513" t="str">
            <v>ROPAR TPS5</v>
          </cell>
          <cell r="D513" t="str">
            <v xml:space="preserve"> 25-30 years</v>
          </cell>
          <cell r="E513">
            <v>28.175222450376399</v>
          </cell>
          <cell r="F513">
            <v>210</v>
          </cell>
          <cell r="G513" t="str">
            <v>Y</v>
          </cell>
          <cell r="I513">
            <v>13.259018759018758</v>
          </cell>
          <cell r="J513">
            <v>0</v>
          </cell>
          <cell r="K513">
            <v>0</v>
          </cell>
          <cell r="L513">
            <v>0.22490620373102779</v>
          </cell>
          <cell r="M513">
            <v>3.5082771462228144</v>
          </cell>
          <cell r="N513">
            <v>47.230302783515839</v>
          </cell>
          <cell r="O513">
            <v>5916.7967145790435</v>
          </cell>
          <cell r="P513">
            <v>1.08</v>
          </cell>
          <cell r="Q513">
            <v>226.8</v>
          </cell>
          <cell r="R513">
            <v>1.08</v>
          </cell>
        </row>
        <row r="514">
          <cell r="C514" t="str">
            <v>GH TPS (LEH.MOH.)1</v>
          </cell>
          <cell r="D514" t="str">
            <v xml:space="preserve"> 20-25 years</v>
          </cell>
          <cell r="E514">
            <v>22.4229979466119</v>
          </cell>
          <cell r="F514">
            <v>210</v>
          </cell>
          <cell r="I514">
            <v>13.253952569169957</v>
          </cell>
          <cell r="J514">
            <v>0</v>
          </cell>
          <cell r="K514">
            <v>0</v>
          </cell>
          <cell r="L514">
            <v>0.22347343623314089</v>
          </cell>
          <cell r="M514">
            <v>3.4845956756511489</v>
          </cell>
          <cell r="N514">
            <v>46.929421608959586</v>
          </cell>
          <cell r="O514">
            <v>4708.8295687884993</v>
          </cell>
          <cell r="P514" t="str">
            <v/>
          </cell>
          <cell r="R514" t="str">
            <v/>
          </cell>
        </row>
        <row r="515">
          <cell r="C515" t="str">
            <v>RATIJA TPS2</v>
          </cell>
          <cell r="D515" t="str">
            <v xml:space="preserve"> 0-5 years</v>
          </cell>
          <cell r="E515">
            <v>3.5044490075290802</v>
          </cell>
          <cell r="F515">
            <v>50</v>
          </cell>
          <cell r="I515">
            <v>12.53</v>
          </cell>
          <cell r="L515">
            <v>0.91863809303105015</v>
          </cell>
          <cell r="M515">
            <v>13.541806241975364</v>
          </cell>
          <cell r="N515">
            <v>45.931904651552507</v>
          </cell>
          <cell r="O515">
            <v>175.22245037645402</v>
          </cell>
          <cell r="P515" t="str">
            <v/>
          </cell>
          <cell r="R515" t="str">
            <v/>
          </cell>
        </row>
        <row r="516">
          <cell r="C516" t="str">
            <v>KOTHAGUDEM TPS4</v>
          </cell>
          <cell r="D516" t="str">
            <v xml:space="preserve"> 45+ years</v>
          </cell>
          <cell r="E516">
            <v>52.824093086926702</v>
          </cell>
          <cell r="F516">
            <v>60</v>
          </cell>
          <cell r="G516" t="str">
            <v>Y</v>
          </cell>
          <cell r="I516">
            <v>22.096678065461703</v>
          </cell>
          <cell r="L516">
            <v>0.76251536086048621</v>
          </cell>
          <cell r="M516">
            <v>19.822419351651202</v>
          </cell>
          <cell r="N516">
            <v>45.75092165162917</v>
          </cell>
          <cell r="O516">
            <v>3169.445585215602</v>
          </cell>
        </row>
        <row r="517">
          <cell r="C517" t="str">
            <v>BOKARO B TPS3</v>
          </cell>
          <cell r="D517" t="str">
            <v xml:space="preserve"> 25-30 years</v>
          </cell>
          <cell r="E517">
            <v>26.757015742642</v>
          </cell>
          <cell r="F517">
            <v>210</v>
          </cell>
          <cell r="G517" t="str">
            <v>Y</v>
          </cell>
          <cell r="I517">
            <v>12.49</v>
          </cell>
          <cell r="J517">
            <v>3518</v>
          </cell>
          <cell r="K517">
            <v>43.939819999999997</v>
          </cell>
          <cell r="L517">
            <v>0.21676486215752575</v>
          </cell>
          <cell r="M517">
            <v>3.1851683862911728</v>
          </cell>
          <cell r="N517">
            <v>45.520621053080404</v>
          </cell>
          <cell r="O517">
            <v>5618.9733059548198</v>
          </cell>
        </row>
        <row r="518">
          <cell r="C518" t="str">
            <v>BHAVNAGAR TPP1</v>
          </cell>
          <cell r="D518" t="str">
            <v xml:space="preserve"> 0-5 years</v>
          </cell>
          <cell r="E518">
            <v>4.00821355236139</v>
          </cell>
          <cell r="F518">
            <v>250</v>
          </cell>
          <cell r="I518">
            <v>12.31</v>
          </cell>
          <cell r="L518">
            <v>0.1814536911088733</v>
          </cell>
          <cell r="M518">
            <v>2.6278763971179178</v>
          </cell>
          <cell r="N518">
            <v>45.363422777218325</v>
          </cell>
          <cell r="O518">
            <v>1002.0533880903475</v>
          </cell>
          <cell r="P518">
            <v>0.56000000000000005</v>
          </cell>
          <cell r="Q518">
            <v>140</v>
          </cell>
          <cell r="R518">
            <v>0.88</v>
          </cell>
        </row>
        <row r="519">
          <cell r="C519" t="str">
            <v>KOTA TPS1</v>
          </cell>
          <cell r="D519" t="str">
            <v xml:space="preserve"> 35-40 years</v>
          </cell>
          <cell r="E519">
            <v>37.338809034907598</v>
          </cell>
          <cell r="F519">
            <v>110</v>
          </cell>
          <cell r="G519" t="str">
            <v>Y</v>
          </cell>
          <cell r="I519">
            <v>12.76</v>
          </cell>
          <cell r="J519">
            <v>0</v>
          </cell>
          <cell r="K519">
            <v>0</v>
          </cell>
          <cell r="L519">
            <v>0.4062041354136704</v>
          </cell>
          <cell r="M519">
            <v>6.0978409033863938</v>
          </cell>
          <cell r="N519">
            <v>44.682454895503746</v>
          </cell>
          <cell r="O519">
            <v>4107.2689938398362</v>
          </cell>
          <cell r="P519" t="str">
            <v/>
          </cell>
          <cell r="R519" t="str">
            <v/>
          </cell>
        </row>
        <row r="520">
          <cell r="C520" t="str">
            <v>KOTHAGUDEM TPS2</v>
          </cell>
          <cell r="D520" t="str">
            <v xml:space="preserve"> 45+ years</v>
          </cell>
          <cell r="E520">
            <v>53.4346338124572</v>
          </cell>
          <cell r="F520">
            <v>60</v>
          </cell>
          <cell r="G520" t="str">
            <v>Y</v>
          </cell>
          <cell r="I520">
            <v>22.096678065461703</v>
          </cell>
          <cell r="L520">
            <v>0.73085930550895839</v>
          </cell>
          <cell r="M520">
            <v>18.999485629386324</v>
          </cell>
          <cell r="N520">
            <v>43.8515583305375</v>
          </cell>
          <cell r="O520">
            <v>3206.0780287474322</v>
          </cell>
        </row>
        <row r="521">
          <cell r="C521" t="str">
            <v>UCHPINDA TPP3</v>
          </cell>
          <cell r="D521" t="str">
            <v xml:space="preserve"> 0-5 years</v>
          </cell>
          <cell r="E521">
            <v>4.33949349760438</v>
          </cell>
          <cell r="F521">
            <v>360</v>
          </cell>
          <cell r="I521">
            <v>12.33</v>
          </cell>
          <cell r="L521">
            <v>0.11913419661181829</v>
          </cell>
          <cell r="M521">
            <v>1.7281466402631995</v>
          </cell>
          <cell r="N521">
            <v>42.888310780254585</v>
          </cell>
          <cell r="O521">
            <v>1562.2176591375769</v>
          </cell>
          <cell r="P521" t="str">
            <v/>
          </cell>
          <cell r="R521" t="str">
            <v/>
          </cell>
        </row>
        <row r="522">
          <cell r="C522" t="str">
            <v>YERMARUS TPS1</v>
          </cell>
          <cell r="D522" t="str">
            <v xml:space="preserve"> 0-5 years</v>
          </cell>
          <cell r="E522">
            <v>4.1752224503764497</v>
          </cell>
          <cell r="F522">
            <v>800</v>
          </cell>
          <cell r="I522">
            <v>9.6300000000000008</v>
          </cell>
          <cell r="L522">
            <v>5.3202466429115629E-2</v>
          </cell>
          <cell r="M522">
            <v>0.60275264907339243</v>
          </cell>
          <cell r="N522">
            <v>42.561973143292505</v>
          </cell>
          <cell r="O522">
            <v>3340.1779603011596</v>
          </cell>
          <cell r="P522" t="str">
            <v/>
          </cell>
          <cell r="R522" t="str">
            <v/>
          </cell>
        </row>
        <row r="523">
          <cell r="C523" t="str">
            <v>KOTHAGUDEM TPS1</v>
          </cell>
          <cell r="D523" t="str">
            <v xml:space="preserve"> 45+ years</v>
          </cell>
          <cell r="E523">
            <v>53.834360027378501</v>
          </cell>
          <cell r="F523">
            <v>60</v>
          </cell>
          <cell r="G523" t="str">
            <v>Y</v>
          </cell>
          <cell r="I523">
            <v>22.096678065461703</v>
          </cell>
          <cell r="L523">
            <v>0.69545582086602087</v>
          </cell>
          <cell r="M523">
            <v>18.079133391091609</v>
          </cell>
          <cell r="N523">
            <v>41.72734925196125</v>
          </cell>
          <cell r="O523">
            <v>3230.0616016427102</v>
          </cell>
        </row>
        <row r="524">
          <cell r="C524" t="str">
            <v>NEYVELI TPS- I7</v>
          </cell>
          <cell r="D524" t="str">
            <v xml:space="preserve"> 45+ years</v>
          </cell>
          <cell r="E524">
            <v>51.923340177960299</v>
          </cell>
          <cell r="F524">
            <v>100</v>
          </cell>
          <cell r="G524" t="str">
            <v>Y</v>
          </cell>
          <cell r="I524">
            <v>16.54</v>
          </cell>
          <cell r="J524">
            <v>2670</v>
          </cell>
          <cell r="K524">
            <v>44.161799999999992</v>
          </cell>
          <cell r="L524">
            <v>0.40773727814365546</v>
          </cell>
          <cell r="M524">
            <v>7.9340877417600719</v>
          </cell>
          <cell r="N524">
            <v>40.773727814365543</v>
          </cell>
          <cell r="O524">
            <v>5192.3340177960299</v>
          </cell>
        </row>
        <row r="525">
          <cell r="C525" t="str">
            <v>RATIJA TPS1</v>
          </cell>
          <cell r="D525" t="str">
            <v xml:space="preserve"> 5-10 years</v>
          </cell>
          <cell r="E525">
            <v>7.2525667351129304</v>
          </cell>
          <cell r="F525">
            <v>50</v>
          </cell>
          <cell r="I525">
            <v>12.53</v>
          </cell>
          <cell r="L525">
            <v>0.79589351126472008</v>
          </cell>
          <cell r="M525">
            <v>11.732406701349342</v>
          </cell>
          <cell r="N525">
            <v>39.794675563236005</v>
          </cell>
          <cell r="O525">
            <v>362.6283367556465</v>
          </cell>
          <cell r="P525" t="str">
            <v/>
          </cell>
          <cell r="R525" t="str">
            <v/>
          </cell>
        </row>
        <row r="526">
          <cell r="C526" t="str">
            <v>WARDHA WARORA TPP4</v>
          </cell>
          <cell r="D526" t="str">
            <v xml:space="preserve"> 5-10 years</v>
          </cell>
          <cell r="E526">
            <v>9.0924024640656995</v>
          </cell>
          <cell r="F526">
            <v>135</v>
          </cell>
          <cell r="I526">
            <v>12.11</v>
          </cell>
          <cell r="L526">
            <v>0.29364336770426852</v>
          </cell>
          <cell r="M526">
            <v>4.1835543328219904</v>
          </cell>
          <cell r="N526">
            <v>39.641854640076254</v>
          </cell>
          <cell r="O526">
            <v>1227.4743326488694</v>
          </cell>
          <cell r="P526" t="str">
            <v/>
          </cell>
          <cell r="R526" t="str">
            <v/>
          </cell>
        </row>
        <row r="527">
          <cell r="C527" t="str">
            <v>KUTCH LIG. TPS3</v>
          </cell>
          <cell r="D527" t="str">
            <v xml:space="preserve"> 20-25 years</v>
          </cell>
          <cell r="E527">
            <v>23.175906913073199</v>
          </cell>
          <cell r="F527">
            <v>75</v>
          </cell>
          <cell r="H527" t="str">
            <v>Y</v>
          </cell>
          <cell r="I527">
            <v>13.26</v>
          </cell>
          <cell r="J527">
            <v>2618</v>
          </cell>
          <cell r="K527">
            <v>34.714680000000001</v>
          </cell>
          <cell r="L527">
            <v>0.51162038498586504</v>
          </cell>
          <cell r="M527">
            <v>7.9812780057794948</v>
          </cell>
          <cell r="N527">
            <v>38.37152887393988</v>
          </cell>
          <cell r="O527">
            <v>1738.1930184804899</v>
          </cell>
          <cell r="P527" t="str">
            <v/>
          </cell>
          <cell r="R527" t="str">
            <v/>
          </cell>
        </row>
        <row r="528">
          <cell r="C528" t="str">
            <v>ROPAR TPS3</v>
          </cell>
          <cell r="D528" t="str">
            <v xml:space="preserve"> 30-35 years</v>
          </cell>
          <cell r="E528">
            <v>32.175222450376403</v>
          </cell>
          <cell r="F528">
            <v>210</v>
          </cell>
          <cell r="G528" t="str">
            <v>Y</v>
          </cell>
          <cell r="I528">
            <v>13.259018759018758</v>
          </cell>
          <cell r="J528">
            <v>0</v>
          </cell>
          <cell r="K528">
            <v>0</v>
          </cell>
          <cell r="L528">
            <v>0.17914588936757084</v>
          </cell>
          <cell r="M528">
            <v>2.7944690679126132</v>
          </cell>
          <cell r="N528">
            <v>37.620636767189879</v>
          </cell>
          <cell r="O528">
            <v>6756.7967145790444</v>
          </cell>
        </row>
        <row r="529">
          <cell r="C529" t="str">
            <v>ROPAR TPS4</v>
          </cell>
          <cell r="D529" t="str">
            <v xml:space="preserve"> 30-35 years</v>
          </cell>
          <cell r="E529">
            <v>31.337440109513999</v>
          </cell>
          <cell r="F529">
            <v>210</v>
          </cell>
          <cell r="G529" t="str">
            <v>Y</v>
          </cell>
          <cell r="I529">
            <v>13.259018759018758</v>
          </cell>
          <cell r="J529">
            <v>0</v>
          </cell>
          <cell r="K529">
            <v>0</v>
          </cell>
          <cell r="L529">
            <v>0.1782866898438859</v>
          </cell>
          <cell r="M529">
            <v>2.7810665472040497</v>
          </cell>
          <cell r="N529">
            <v>37.440204867216039</v>
          </cell>
          <cell r="O529">
            <v>6580.8624229979396</v>
          </cell>
        </row>
        <row r="530">
          <cell r="C530" t="str">
            <v>WARDHA WARORA TPP3</v>
          </cell>
          <cell r="D530" t="str">
            <v xml:space="preserve"> 5-10 years</v>
          </cell>
          <cell r="E530">
            <v>9.3388090349075892</v>
          </cell>
          <cell r="F530">
            <v>135</v>
          </cell>
          <cell r="I530">
            <v>12.11</v>
          </cell>
          <cell r="L530">
            <v>0.27656970546292103</v>
          </cell>
          <cell r="M530">
            <v>3.9403048625364394</v>
          </cell>
          <cell r="N530">
            <v>37.336910237494337</v>
          </cell>
          <cell r="O530">
            <v>1260.7392197125246</v>
          </cell>
          <cell r="P530" t="str">
            <v/>
          </cell>
          <cell r="R530" t="str">
            <v/>
          </cell>
        </row>
        <row r="531">
          <cell r="C531" t="str">
            <v>MUZAFFARPUR TPS2</v>
          </cell>
          <cell r="D531" t="str">
            <v xml:space="preserve"> 5-10 years</v>
          </cell>
          <cell r="E531">
            <v>5.5058179329226498</v>
          </cell>
          <cell r="F531">
            <v>110</v>
          </cell>
          <cell r="G531" t="str">
            <v>Y</v>
          </cell>
          <cell r="I531">
            <v>13.503725782414307</v>
          </cell>
          <cell r="J531">
            <v>0</v>
          </cell>
          <cell r="K531">
            <v>0</v>
          </cell>
          <cell r="L531">
            <v>0.33080118624204319</v>
          </cell>
          <cell r="M531">
            <v>5.2553511853057824</v>
          </cell>
          <cell r="N531">
            <v>36.388130486624753</v>
          </cell>
          <cell r="O531">
            <v>605.63997262149144</v>
          </cell>
        </row>
        <row r="532">
          <cell r="C532" t="str">
            <v>KUTCH LIG. TPS4</v>
          </cell>
          <cell r="D532" t="str">
            <v xml:space="preserve"> 10-15 years</v>
          </cell>
          <cell r="E532">
            <v>10.590006844626901</v>
          </cell>
          <cell r="F532">
            <v>75</v>
          </cell>
          <cell r="I532">
            <v>13.26</v>
          </cell>
          <cell r="J532">
            <v>2581</v>
          </cell>
          <cell r="K532">
            <v>34.224059999999994</v>
          </cell>
          <cell r="L532">
            <v>0.48359908261270002</v>
          </cell>
          <cell r="M532">
            <v>7.5441456887581202</v>
          </cell>
          <cell r="N532">
            <v>36.269931195952502</v>
          </cell>
          <cell r="O532">
            <v>794.25051334701755</v>
          </cell>
          <cell r="P532" t="str">
            <v/>
          </cell>
          <cell r="R532" t="str">
            <v/>
          </cell>
        </row>
        <row r="533">
          <cell r="C533" t="str">
            <v>KOLAGHAT TPS1</v>
          </cell>
          <cell r="D533" t="str">
            <v xml:space="preserve"> 25-30 years</v>
          </cell>
          <cell r="E533">
            <v>27.337440109513999</v>
          </cell>
          <cell r="F533">
            <v>210</v>
          </cell>
          <cell r="H533" t="str">
            <v>Y</v>
          </cell>
          <cell r="I533">
            <v>14.99</v>
          </cell>
          <cell r="J533">
            <v>0</v>
          </cell>
          <cell r="K533">
            <v>0</v>
          </cell>
          <cell r="L533">
            <v>0.16711051398477242</v>
          </cell>
          <cell r="M533">
            <v>2.9470430642726337</v>
          </cell>
          <cell r="N533">
            <v>35.093207936802209</v>
          </cell>
          <cell r="O533">
            <v>5740.8624229979396</v>
          </cell>
          <cell r="P533">
            <v>0.73</v>
          </cell>
          <cell r="Q533">
            <v>153.29999999999998</v>
          </cell>
          <cell r="R533">
            <v>0.83</v>
          </cell>
        </row>
        <row r="534">
          <cell r="C534" t="str">
            <v>NEYVELI TPS- I4</v>
          </cell>
          <cell r="D534" t="str">
            <v xml:space="preserve"> 45+ years</v>
          </cell>
          <cell r="E534">
            <v>54.924024640657002</v>
          </cell>
          <cell r="F534">
            <v>50</v>
          </cell>
          <cell r="G534" t="str">
            <v>Y</v>
          </cell>
          <cell r="I534">
            <v>16.54</v>
          </cell>
          <cell r="J534">
            <v>2670</v>
          </cell>
          <cell r="K534">
            <v>44.161799999999992</v>
          </cell>
          <cell r="L534">
            <v>0.6892434807046034</v>
          </cell>
          <cell r="M534">
            <v>13.4118672598284</v>
          </cell>
          <cell r="N534">
            <v>34.46217403523017</v>
          </cell>
          <cell r="O534">
            <v>2746.2012320328499</v>
          </cell>
        </row>
        <row r="535">
          <cell r="C535" t="str">
            <v>NEYVELI TPS- I3</v>
          </cell>
          <cell r="D535" t="str">
            <v xml:space="preserve"> 45+ years</v>
          </cell>
          <cell r="E535">
            <v>55.923340177960299</v>
          </cell>
          <cell r="F535">
            <v>50</v>
          </cell>
          <cell r="G535" t="str">
            <v>Y</v>
          </cell>
          <cell r="I535">
            <v>16.54</v>
          </cell>
          <cell r="J535">
            <v>2670</v>
          </cell>
          <cell r="K535">
            <v>44.161799999999992</v>
          </cell>
          <cell r="L535">
            <v>0.68239560808305499</v>
          </cell>
          <cell r="M535">
            <v>13.2786157149338</v>
          </cell>
          <cell r="N535">
            <v>34.119780404152749</v>
          </cell>
          <cell r="O535">
            <v>2796.167008898015</v>
          </cell>
        </row>
        <row r="536">
          <cell r="C536" t="str">
            <v>NEYVELI TPS- I5</v>
          </cell>
          <cell r="D536" t="str">
            <v xml:space="preserve"> 45+ years</v>
          </cell>
          <cell r="E536">
            <v>53.924709103353798</v>
          </cell>
          <cell r="F536">
            <v>50</v>
          </cell>
          <cell r="G536" t="str">
            <v>Y</v>
          </cell>
          <cell r="I536">
            <v>16.54</v>
          </cell>
          <cell r="J536">
            <v>2670</v>
          </cell>
          <cell r="K536">
            <v>44.161799999999992</v>
          </cell>
          <cell r="L536">
            <v>0.67326574166769659</v>
          </cell>
          <cell r="M536">
            <v>13.100959255510237</v>
          </cell>
          <cell r="N536">
            <v>33.66328708338483</v>
          </cell>
          <cell r="O536">
            <v>2696.2354551676899</v>
          </cell>
        </row>
        <row r="537">
          <cell r="C537" t="str">
            <v>NEYVELI TPS- I6</v>
          </cell>
          <cell r="D537" t="str">
            <v xml:space="preserve"> 45+ years</v>
          </cell>
          <cell r="E537">
            <v>52.925393566050602</v>
          </cell>
          <cell r="F537">
            <v>50</v>
          </cell>
          <cell r="G537" t="str">
            <v>Y</v>
          </cell>
          <cell r="I537">
            <v>16.54</v>
          </cell>
          <cell r="J537">
            <v>2670</v>
          </cell>
          <cell r="K537">
            <v>44.161799999999992</v>
          </cell>
          <cell r="L537">
            <v>0.66490159111240588</v>
          </cell>
          <cell r="M537">
            <v>12.938202725881403</v>
          </cell>
          <cell r="N537">
            <v>33.245079555620293</v>
          </cell>
          <cell r="O537">
            <v>2646.2696783025299</v>
          </cell>
        </row>
        <row r="538">
          <cell r="C538" t="str">
            <v>NEYVELI TPS- I2</v>
          </cell>
          <cell r="D538" t="str">
            <v xml:space="preserve"> 45+ years</v>
          </cell>
          <cell r="E538">
            <v>56.925393566050602</v>
          </cell>
          <cell r="F538">
            <v>50</v>
          </cell>
          <cell r="G538" t="str">
            <v>Y</v>
          </cell>
          <cell r="I538">
            <v>16.54</v>
          </cell>
          <cell r="J538">
            <v>2670</v>
          </cell>
          <cell r="K538">
            <v>44.161799999999992</v>
          </cell>
          <cell r="L538">
            <v>0.65867384761728165</v>
          </cell>
          <cell r="M538">
            <v>12.81701816422334</v>
          </cell>
          <cell r="N538">
            <v>32.93369238086408</v>
          </cell>
          <cell r="O538">
            <v>2846.2696783025299</v>
          </cell>
        </row>
        <row r="539">
          <cell r="C539" t="str">
            <v>KORADI TPS6</v>
          </cell>
          <cell r="D539" t="str">
            <v xml:space="preserve"> 35-40 years</v>
          </cell>
          <cell r="E539">
            <v>38.176591375770002</v>
          </cell>
          <cell r="F539">
            <v>210</v>
          </cell>
          <cell r="H539" t="str">
            <v>Y</v>
          </cell>
          <cell r="I539">
            <v>13.25871212121212</v>
          </cell>
          <cell r="J539">
            <v>0</v>
          </cell>
          <cell r="K539">
            <v>0</v>
          </cell>
          <cell r="L539">
            <v>0.15539424999390436</v>
          </cell>
          <cell r="M539">
            <v>2.423914854071584</v>
          </cell>
          <cell r="N539">
            <v>32.632792498719915</v>
          </cell>
          <cell r="O539">
            <v>8017.0841889117</v>
          </cell>
          <cell r="P539">
            <v>1.08</v>
          </cell>
          <cell r="Q539">
            <v>226.8</v>
          </cell>
          <cell r="R539">
            <v>1.21</v>
          </cell>
        </row>
        <row r="540">
          <cell r="C540" t="str">
            <v>YERMARUS TPS2</v>
          </cell>
          <cell r="D540" t="str">
            <v xml:space="preserve"> 0-5 years</v>
          </cell>
          <cell r="E540">
            <v>3.0910335386721401</v>
          </cell>
          <cell r="F540">
            <v>800</v>
          </cell>
          <cell r="I540">
            <v>9.6300000000000008</v>
          </cell>
          <cell r="L540">
            <v>4.0647980137395415E-2</v>
          </cell>
          <cell r="M540">
            <v>0.46051770438013873</v>
          </cell>
          <cell r="N540">
            <v>32.518384109916333</v>
          </cell>
          <cell r="O540">
            <v>2472.8268309377122</v>
          </cell>
        </row>
        <row r="541">
          <cell r="C541" t="str">
            <v>NEYVELI TPS- I1</v>
          </cell>
          <cell r="D541" t="str">
            <v xml:space="preserve"> 45+ years</v>
          </cell>
          <cell r="E541">
            <v>57.924709103353798</v>
          </cell>
          <cell r="F541">
            <v>50</v>
          </cell>
          <cell r="G541" t="str">
            <v>Y</v>
          </cell>
          <cell r="I541">
            <v>16.54</v>
          </cell>
          <cell r="J541">
            <v>2670</v>
          </cell>
          <cell r="K541">
            <v>44.161799999999992</v>
          </cell>
          <cell r="L541">
            <v>0.63620579785887832</v>
          </cell>
          <cell r="M541">
            <v>12.379816348924527</v>
          </cell>
          <cell r="N541">
            <v>31.810289892943917</v>
          </cell>
          <cell r="O541">
            <v>2896.2354551676899</v>
          </cell>
        </row>
        <row r="542">
          <cell r="C542" t="str">
            <v>OP JINDAL TPS2</v>
          </cell>
          <cell r="D542" t="str">
            <v xml:space="preserve"> 10-15 years</v>
          </cell>
          <cell r="E542">
            <v>12.2546201232032</v>
          </cell>
          <cell r="F542">
            <v>250</v>
          </cell>
          <cell r="I542">
            <v>12.45</v>
          </cell>
          <cell r="L542">
            <v>0.1226949504446445</v>
          </cell>
          <cell r="M542">
            <v>1.7971201565127342</v>
          </cell>
          <cell r="N542">
            <v>30.673737611161126</v>
          </cell>
          <cell r="O542">
            <v>3063.6550308008</v>
          </cell>
          <cell r="P542">
            <v>1.23</v>
          </cell>
          <cell r="Q542">
            <v>307.5</v>
          </cell>
          <cell r="R542">
            <v>1.2</v>
          </cell>
        </row>
        <row r="543">
          <cell r="C543" t="str">
            <v>CHAKABURA TPP2</v>
          </cell>
          <cell r="D543" t="str">
            <v xml:space="preserve"> 5-10 years</v>
          </cell>
          <cell r="E543">
            <v>6.1765913757700197</v>
          </cell>
          <cell r="F543">
            <v>30</v>
          </cell>
          <cell r="I543">
            <v>12.53</v>
          </cell>
          <cell r="L543">
            <v>0.89898017505749173</v>
          </cell>
          <cell r="M543">
            <v>13.25202540408279</v>
          </cell>
          <cell r="N543">
            <v>26.969405251724751</v>
          </cell>
          <cell r="O543">
            <v>185.2977412731006</v>
          </cell>
          <cell r="P543" t="str">
            <v/>
          </cell>
          <cell r="R543" t="str">
            <v/>
          </cell>
        </row>
        <row r="544">
          <cell r="C544" t="str">
            <v>KUTCH LIG. TPS2</v>
          </cell>
          <cell r="D544" t="str">
            <v xml:space="preserve"> 25-30 years</v>
          </cell>
          <cell r="E544">
            <v>29.177275838466802</v>
          </cell>
          <cell r="F544">
            <v>70</v>
          </cell>
          <cell r="H544" t="str">
            <v>Y</v>
          </cell>
          <cell r="I544">
            <v>13.26</v>
          </cell>
          <cell r="J544">
            <v>2618</v>
          </cell>
          <cell r="K544">
            <v>34.714680000000001</v>
          </cell>
          <cell r="L544">
            <v>0.3831635746067053</v>
          </cell>
          <cell r="M544">
            <v>5.9773517638646032</v>
          </cell>
          <cell r="N544">
            <v>26.82145022246937</v>
          </cell>
          <cell r="O544">
            <v>2042.4093086926762</v>
          </cell>
          <cell r="P544" t="str">
            <v/>
          </cell>
          <cell r="R544" t="str">
            <v/>
          </cell>
        </row>
        <row r="545">
          <cell r="C545" t="str">
            <v>PANIPAT TPS6</v>
          </cell>
          <cell r="D545" t="str">
            <v xml:space="preserve"> 15-20 years</v>
          </cell>
          <cell r="E545">
            <v>19.175906913073199</v>
          </cell>
          <cell r="F545">
            <v>210</v>
          </cell>
          <cell r="I545">
            <v>12.438645872955515</v>
          </cell>
          <cell r="L545">
            <v>0.12228309085344663</v>
          </cell>
          <cell r="M545">
            <v>1.7894541922076097</v>
          </cell>
          <cell r="N545">
            <v>25.679449079223794</v>
          </cell>
          <cell r="O545">
            <v>4026.9404517453718</v>
          </cell>
          <cell r="P545">
            <v>0.76</v>
          </cell>
          <cell r="Q545">
            <v>159.6</v>
          </cell>
          <cell r="R545">
            <v>0.48</v>
          </cell>
        </row>
        <row r="546">
          <cell r="C546" t="str">
            <v>KUTCH LIG. TPS1</v>
          </cell>
          <cell r="D546" t="str">
            <v xml:space="preserve"> 30-35 years</v>
          </cell>
          <cell r="E546">
            <v>30.176591375769998</v>
          </cell>
          <cell r="F546">
            <v>70</v>
          </cell>
          <cell r="H546" t="str">
            <v>Y</v>
          </cell>
          <cell r="I546">
            <v>13.26</v>
          </cell>
          <cell r="J546">
            <v>2618</v>
          </cell>
          <cell r="K546">
            <v>34.714680000000001</v>
          </cell>
          <cell r="L546">
            <v>0.36090649216137438</v>
          </cell>
          <cell r="M546">
            <v>5.6301412777174402</v>
          </cell>
          <cell r="N546">
            <v>25.263454451296205</v>
          </cell>
          <cell r="O546">
            <v>2112.3613963038997</v>
          </cell>
          <cell r="P546" t="str">
            <v/>
          </cell>
          <cell r="R546" t="str">
            <v/>
          </cell>
        </row>
        <row r="547">
          <cell r="C547" t="str">
            <v>BHUSAWAL TPS3</v>
          </cell>
          <cell r="D547" t="str">
            <v xml:space="preserve"> 35-40 years</v>
          </cell>
          <cell r="E547">
            <v>37.672826830937701</v>
          </cell>
          <cell r="F547">
            <v>210</v>
          </cell>
          <cell r="H547" t="str">
            <v>Y</v>
          </cell>
          <cell r="I547">
            <v>13.78</v>
          </cell>
          <cell r="J547">
            <v>0</v>
          </cell>
          <cell r="K547">
            <v>0</v>
          </cell>
          <cell r="L547">
            <v>0.11945986358124167</v>
          </cell>
          <cell r="M547">
            <v>1.9366552001758943</v>
          </cell>
          <cell r="N547">
            <v>25.086571352060751</v>
          </cell>
          <cell r="O547">
            <v>7911.2936344969175</v>
          </cell>
          <cell r="P547">
            <v>0.86</v>
          </cell>
          <cell r="Q547">
            <v>180.6</v>
          </cell>
          <cell r="R547">
            <v>0.76</v>
          </cell>
        </row>
        <row r="548">
          <cell r="C548" t="str">
            <v>PARICHHA TPS2</v>
          </cell>
          <cell r="D548" t="str">
            <v xml:space="preserve"> 35-40 years</v>
          </cell>
          <cell r="E548">
            <v>35.2525667351129</v>
          </cell>
          <cell r="F548">
            <v>110</v>
          </cell>
          <cell r="G548" t="str">
            <v>Y</v>
          </cell>
          <cell r="I548">
            <v>12.85</v>
          </cell>
          <cell r="J548">
            <v>0</v>
          </cell>
          <cell r="K548">
            <v>0</v>
          </cell>
          <cell r="L548">
            <v>0.21576221247863558</v>
          </cell>
          <cell r="M548">
            <v>3.2618169768829026</v>
          </cell>
          <cell r="N548">
            <v>23.733843372649915</v>
          </cell>
          <cell r="O548">
            <v>3877.782340862419</v>
          </cell>
          <cell r="P548" t="str">
            <v/>
          </cell>
          <cell r="R548" t="str">
            <v/>
          </cell>
        </row>
        <row r="549">
          <cell r="C549" t="str">
            <v>BANDEL TPS2</v>
          </cell>
          <cell r="D549" t="str">
            <v xml:space="preserve"> 45+ years</v>
          </cell>
          <cell r="E549">
            <v>54.590006844626899</v>
          </cell>
          <cell r="F549">
            <v>60</v>
          </cell>
          <cell r="G549" t="str">
            <v>Y</v>
          </cell>
          <cell r="I549">
            <v>14.97</v>
          </cell>
          <cell r="J549">
            <v>0</v>
          </cell>
          <cell r="K549">
            <v>0</v>
          </cell>
          <cell r="L549">
            <v>0.37175087840104515</v>
          </cell>
          <cell r="M549">
            <v>6.5471889996042902</v>
          </cell>
          <cell r="N549">
            <v>22.30505270406271</v>
          </cell>
          <cell r="O549">
            <v>3275.4004106776138</v>
          </cell>
          <cell r="P549" t="str">
            <v/>
          </cell>
          <cell r="R549" t="str">
            <v/>
          </cell>
        </row>
        <row r="550">
          <cell r="C550" t="str">
            <v>HARDUAGANJ TPS7</v>
          </cell>
          <cell r="D550" t="str">
            <v xml:space="preserve"> 40-45 years</v>
          </cell>
          <cell r="E550">
            <v>42.176591375770002</v>
          </cell>
          <cell r="F550">
            <v>105</v>
          </cell>
          <cell r="G550" t="str">
            <v>Y</v>
          </cell>
          <cell r="I550">
            <v>10.202808370044059</v>
          </cell>
          <cell r="J550">
            <v>0</v>
          </cell>
          <cell r="K550">
            <v>0</v>
          </cell>
          <cell r="L550">
            <v>0.2107839528173151</v>
          </cell>
          <cell r="M550">
            <v>2.5301038565593821</v>
          </cell>
          <cell r="N550">
            <v>22.132315045818086</v>
          </cell>
          <cell r="O550">
            <v>4428.54209445585</v>
          </cell>
          <cell r="P550" t="str">
            <v/>
          </cell>
          <cell r="R550" t="str">
            <v/>
          </cell>
        </row>
        <row r="551">
          <cell r="C551" t="str">
            <v>BANDEL TPS1</v>
          </cell>
          <cell r="D551" t="str">
            <v xml:space="preserve"> 45+ years</v>
          </cell>
          <cell r="E551">
            <v>54.672142368240898</v>
          </cell>
          <cell r="F551">
            <v>60</v>
          </cell>
          <cell r="G551" t="str">
            <v>Y</v>
          </cell>
          <cell r="I551">
            <v>14.97</v>
          </cell>
          <cell r="J551">
            <v>0</v>
          </cell>
          <cell r="K551">
            <v>0</v>
          </cell>
          <cell r="L551">
            <v>0.3606232435657486</v>
          </cell>
          <cell r="M551">
            <v>6.3512117131520665</v>
          </cell>
          <cell r="N551">
            <v>21.637394613944917</v>
          </cell>
          <cell r="O551">
            <v>3280.328542094454</v>
          </cell>
          <cell r="P551" t="str">
            <v/>
          </cell>
          <cell r="R551" t="str">
            <v/>
          </cell>
        </row>
        <row r="552">
          <cell r="C552" t="str">
            <v>SOLAPUR STPS2</v>
          </cell>
          <cell r="D552" t="str">
            <v xml:space="preserve"> 0-5 years</v>
          </cell>
          <cell r="E552">
            <v>1.06776180698151</v>
          </cell>
          <cell r="F552">
            <v>660</v>
          </cell>
          <cell r="I552">
            <v>12.5</v>
          </cell>
          <cell r="J552">
            <v>3427</v>
          </cell>
          <cell r="K552">
            <v>42.837499999999999</v>
          </cell>
          <cell r="L552">
            <v>3.2607354088292489E-2</v>
          </cell>
          <cell r="M552">
            <v>0.47951991306312486</v>
          </cell>
          <cell r="N552">
            <v>21.520853698273044</v>
          </cell>
          <cell r="O552">
            <v>704.72279260779658</v>
          </cell>
        </row>
        <row r="553">
          <cell r="C553" t="str">
            <v>SOUTHERN REPL. TPS2</v>
          </cell>
          <cell r="D553" t="str">
            <v xml:space="preserve"> 25-30 years</v>
          </cell>
          <cell r="E553">
            <v>29.7577002053388</v>
          </cell>
          <cell r="F553">
            <v>68</v>
          </cell>
          <cell r="H553" t="str">
            <v>Y</v>
          </cell>
          <cell r="I553">
            <v>14.538720538720538</v>
          </cell>
          <cell r="J553">
            <v>0</v>
          </cell>
          <cell r="K553">
            <v>0</v>
          </cell>
          <cell r="L553">
            <v>0.30482020735082416</v>
          </cell>
          <cell r="M553">
            <v>5.2137597755629184</v>
          </cell>
          <cell r="N553">
            <v>20.727774099856042</v>
          </cell>
          <cell r="O553">
            <v>2023.5236139630383</v>
          </cell>
          <cell r="P553" t="str">
            <v/>
          </cell>
          <cell r="R553" t="str">
            <v/>
          </cell>
        </row>
        <row r="554">
          <cell r="C554" t="str">
            <v>KORADI TPS7</v>
          </cell>
          <cell r="D554" t="str">
            <v xml:space="preserve"> 35-40 years</v>
          </cell>
          <cell r="E554">
            <v>37.338809034907598</v>
          </cell>
          <cell r="F554">
            <v>210</v>
          </cell>
          <cell r="H554" t="str">
            <v>Y</v>
          </cell>
          <cell r="I554">
            <v>13.25871212121212</v>
          </cell>
          <cell r="J554">
            <v>0</v>
          </cell>
          <cell r="K554">
            <v>0</v>
          </cell>
          <cell r="L554">
            <v>9.3381250576281938E-2</v>
          </cell>
          <cell r="M554">
            <v>1.456606022246701</v>
          </cell>
          <cell r="N554">
            <v>19.610062621019207</v>
          </cell>
          <cell r="O554">
            <v>7841.1498973305952</v>
          </cell>
          <cell r="P554">
            <v>0.89</v>
          </cell>
          <cell r="Q554">
            <v>186.9</v>
          </cell>
          <cell r="R554">
            <v>0.83</v>
          </cell>
        </row>
        <row r="555">
          <cell r="C555" t="str">
            <v>BHAVNAGAR TPP2</v>
          </cell>
          <cell r="D555" t="str">
            <v xml:space="preserve"> 0-5 years</v>
          </cell>
          <cell r="E555">
            <v>3.1759069130732298</v>
          </cell>
          <cell r="F555">
            <v>250</v>
          </cell>
          <cell r="I555">
            <v>12.31</v>
          </cell>
          <cell r="L555">
            <v>7.822912083384817E-2</v>
          </cell>
          <cell r="M555">
            <v>1.1329417381937306</v>
          </cell>
          <cell r="N555">
            <v>19.557280208462043</v>
          </cell>
          <cell r="O555">
            <v>793.9767282683074</v>
          </cell>
          <cell r="P555" t="str">
            <v/>
          </cell>
          <cell r="R555" t="str">
            <v/>
          </cell>
        </row>
        <row r="556">
          <cell r="C556" t="str">
            <v>OBRA TPS13</v>
          </cell>
          <cell r="D556" t="str">
            <v xml:space="preserve"> 35-40 years</v>
          </cell>
          <cell r="E556">
            <v>37.842573579739899</v>
          </cell>
          <cell r="F556">
            <v>200</v>
          </cell>
          <cell r="H556" t="str">
            <v>Y</v>
          </cell>
          <cell r="I556">
            <v>14.97</v>
          </cell>
          <cell r="J556">
            <v>0</v>
          </cell>
          <cell r="K556">
            <v>0</v>
          </cell>
          <cell r="L556">
            <v>8.1806233606613543E-2</v>
          </cell>
          <cell r="M556">
            <v>1.4407521377541233</v>
          </cell>
          <cell r="N556">
            <v>16.361246721322708</v>
          </cell>
          <cell r="O556">
            <v>7568.5147159479793</v>
          </cell>
          <cell r="P556" t="str">
            <v/>
          </cell>
          <cell r="R556" t="str">
            <v/>
          </cell>
        </row>
        <row r="557">
          <cell r="C557" t="str">
            <v>KORBA-II3</v>
          </cell>
          <cell r="D557" t="str">
            <v xml:space="preserve"> 45+ years</v>
          </cell>
          <cell r="E557">
            <v>52.175222450376403</v>
          </cell>
          <cell r="F557">
            <v>50</v>
          </cell>
          <cell r="G557" t="str">
            <v>Y</v>
          </cell>
          <cell r="I557">
            <v>14.97</v>
          </cell>
          <cell r="J557">
            <v>3134</v>
          </cell>
          <cell r="K557">
            <v>46.915980000000005</v>
          </cell>
          <cell r="L557">
            <v>0.31251620351978332</v>
          </cell>
          <cell r="M557">
            <v>5.5039618431660671</v>
          </cell>
          <cell r="N557">
            <v>15.625810175989166</v>
          </cell>
          <cell r="O557">
            <v>2608.7611225188202</v>
          </cell>
        </row>
        <row r="558">
          <cell r="C558" t="str">
            <v>NIWARI TPP1</v>
          </cell>
          <cell r="D558" t="str">
            <v xml:space="preserve"> 5-10 years</v>
          </cell>
          <cell r="E558">
            <v>6.4229979466118996</v>
          </cell>
          <cell r="F558">
            <v>45</v>
          </cell>
          <cell r="I558">
            <v>13.26</v>
          </cell>
          <cell r="J558">
            <v>4396</v>
          </cell>
          <cell r="K558">
            <v>58.290959999999998</v>
          </cell>
          <cell r="L558">
            <v>0.34695512619098523</v>
          </cell>
          <cell r="M558">
            <v>5.41249996857937</v>
          </cell>
          <cell r="N558">
            <v>15.612980678594335</v>
          </cell>
          <cell r="O558">
            <v>289.03490759753549</v>
          </cell>
          <cell r="P558" t="str">
            <v/>
          </cell>
          <cell r="R558" t="str">
            <v/>
          </cell>
        </row>
        <row r="559">
          <cell r="C559" t="str">
            <v>SOUTHERN REPL. TPS1</v>
          </cell>
          <cell r="D559" t="str">
            <v xml:space="preserve"> 25-30 years</v>
          </cell>
          <cell r="E559">
            <v>29.0924024640657</v>
          </cell>
          <cell r="F559">
            <v>68</v>
          </cell>
          <cell r="H559" t="str">
            <v>Y</v>
          </cell>
          <cell r="I559">
            <v>14.538720538720538</v>
          </cell>
          <cell r="J559">
            <v>0</v>
          </cell>
          <cell r="K559">
            <v>0</v>
          </cell>
          <cell r="L559">
            <v>0.21922284573203862</v>
          </cell>
          <cell r="M559">
            <v>3.7496702232954751</v>
          </cell>
          <cell r="N559">
            <v>14.907153509778626</v>
          </cell>
          <cell r="O559">
            <v>1978.2833675564675</v>
          </cell>
          <cell r="P559" t="str">
            <v/>
          </cell>
          <cell r="R559" t="str">
            <v/>
          </cell>
        </row>
        <row r="560">
          <cell r="C560" t="str">
            <v>KORBA-II4</v>
          </cell>
          <cell r="D560" t="str">
            <v xml:space="preserve"> 45+ years</v>
          </cell>
          <cell r="E560">
            <v>51.589322381930103</v>
          </cell>
          <cell r="F560">
            <v>50</v>
          </cell>
          <cell r="G560" t="str">
            <v>Y</v>
          </cell>
          <cell r="I560">
            <v>14.97</v>
          </cell>
          <cell r="J560">
            <v>3134</v>
          </cell>
          <cell r="K560">
            <v>46.915980000000005</v>
          </cell>
          <cell r="L560">
            <v>0.25848877905197415</v>
          </cell>
          <cell r="M560">
            <v>4.5524435557741807</v>
          </cell>
          <cell r="N560">
            <v>12.924438952598708</v>
          </cell>
          <cell r="O560">
            <v>2579.4661190965053</v>
          </cell>
        </row>
        <row r="561">
          <cell r="C561" t="str">
            <v>SVPL TPP1</v>
          </cell>
          <cell r="D561" t="str">
            <v xml:space="preserve"> 5-10 years</v>
          </cell>
          <cell r="E561">
            <v>8.4243668720054696</v>
          </cell>
          <cell r="F561">
            <v>63</v>
          </cell>
          <cell r="I561">
            <v>12.53</v>
          </cell>
          <cell r="L561">
            <v>0.20316257890568851</v>
          </cell>
          <cell r="M561">
            <v>2.9948554278685608</v>
          </cell>
          <cell r="N561">
            <v>12.799242471058376</v>
          </cell>
          <cell r="O561">
            <v>530.73511293634454</v>
          </cell>
          <cell r="P561" t="str">
            <v/>
          </cell>
          <cell r="R561" t="str">
            <v/>
          </cell>
        </row>
        <row r="562">
          <cell r="C562" t="str">
            <v>PANIPAT TPS5</v>
          </cell>
          <cell r="D562" t="str">
            <v xml:space="preserve"> 30-35 years</v>
          </cell>
          <cell r="E562">
            <v>31.175906913073199</v>
          </cell>
          <cell r="F562">
            <v>210</v>
          </cell>
          <cell r="G562" t="str">
            <v>Y</v>
          </cell>
          <cell r="I562">
            <v>12.438645872955515</v>
          </cell>
          <cell r="L562">
            <v>5.218810070585337E-2</v>
          </cell>
          <cell r="M562">
            <v>0.76370506289676454</v>
          </cell>
          <cell r="N562">
            <v>10.959501148229208</v>
          </cell>
          <cell r="O562">
            <v>6546.9404517453713</v>
          </cell>
          <cell r="P562" t="str">
            <v/>
          </cell>
          <cell r="R562" t="str">
            <v/>
          </cell>
        </row>
        <row r="563">
          <cell r="C563" t="str">
            <v>KUNDARKI TPS1</v>
          </cell>
          <cell r="D563" t="str">
            <v xml:space="preserve"> 5-10 years</v>
          </cell>
          <cell r="E563">
            <v>8.33949349760438</v>
          </cell>
          <cell r="F563">
            <v>45</v>
          </cell>
          <cell r="I563">
            <v>11.41</v>
          </cell>
          <cell r="L563">
            <v>0.21122519959795927</v>
          </cell>
          <cell r="M563">
            <v>2.8353876793090769</v>
          </cell>
          <cell r="N563">
            <v>9.5051339819081662</v>
          </cell>
          <cell r="O563">
            <v>375.27720739219711</v>
          </cell>
          <cell r="P563" t="str">
            <v/>
          </cell>
          <cell r="R563" t="str">
            <v/>
          </cell>
        </row>
        <row r="564">
          <cell r="C564" t="str">
            <v>UTRAULA TPS1</v>
          </cell>
          <cell r="D564" t="str">
            <v xml:space="preserve"> 5-10 years</v>
          </cell>
          <cell r="E564">
            <v>8.2546201232032796</v>
          </cell>
          <cell r="F564">
            <v>45</v>
          </cell>
          <cell r="I564">
            <v>11.41</v>
          </cell>
          <cell r="L564">
            <v>0.19082309741897499</v>
          </cell>
          <cell r="M564">
            <v>2.5615194606476526</v>
          </cell>
          <cell r="N564">
            <v>8.5870393838538739</v>
          </cell>
          <cell r="O564">
            <v>371.45790554414759</v>
          </cell>
          <cell r="P564" t="str">
            <v/>
          </cell>
          <cell r="R564" t="str">
            <v/>
          </cell>
        </row>
        <row r="565">
          <cell r="C565" t="str">
            <v>ROPAR TPS2</v>
          </cell>
          <cell r="D565" t="str">
            <v xml:space="preserve"> 30-35 years</v>
          </cell>
          <cell r="E565">
            <v>35.175906913073199</v>
          </cell>
          <cell r="F565">
            <v>210</v>
          </cell>
          <cell r="G565" t="str">
            <v>Y</v>
          </cell>
          <cell r="I565">
            <v>13.259018759018758</v>
          </cell>
          <cell r="J565">
            <v>0</v>
          </cell>
          <cell r="K565">
            <v>0</v>
          </cell>
          <cell r="L565">
            <v>3.9394895219654169E-2</v>
          </cell>
          <cell r="M565">
            <v>0.61451488791408593</v>
          </cell>
          <cell r="N565">
            <v>8.2729279961273754</v>
          </cell>
          <cell r="O565">
            <v>7386.9404517453713</v>
          </cell>
        </row>
        <row r="566">
          <cell r="C566" t="str">
            <v>KUNDARKI TPS2</v>
          </cell>
          <cell r="D566" t="str">
            <v xml:space="preserve"> 5-10 years</v>
          </cell>
          <cell r="E566">
            <v>8.2546201232032796</v>
          </cell>
          <cell r="F566">
            <v>45</v>
          </cell>
          <cell r="I566">
            <v>11.41</v>
          </cell>
          <cell r="L566">
            <v>0.18363114676376296</v>
          </cell>
          <cell r="M566">
            <v>2.4649780994994535</v>
          </cell>
          <cell r="N566">
            <v>8.2634016043693332</v>
          </cell>
          <cell r="O566">
            <v>371.45790554414759</v>
          </cell>
          <cell r="P566" t="str">
            <v/>
          </cell>
          <cell r="R566" t="str">
            <v/>
          </cell>
        </row>
        <row r="567">
          <cell r="C567" t="str">
            <v>PANKI TPS4</v>
          </cell>
          <cell r="D567" t="str">
            <v xml:space="preserve"> 40-45 years</v>
          </cell>
          <cell r="E567">
            <v>43.008898015058101</v>
          </cell>
          <cell r="F567">
            <v>110</v>
          </cell>
          <cell r="G567" t="str">
            <v>Y</v>
          </cell>
          <cell r="I567">
            <v>14.97</v>
          </cell>
          <cell r="J567">
            <v>3975</v>
          </cell>
          <cell r="K567">
            <v>59.505749999999999</v>
          </cell>
          <cell r="L567">
            <v>7.5096407423993566E-2</v>
          </cell>
          <cell r="M567">
            <v>1.3225802578084516</v>
          </cell>
          <cell r="N567">
            <v>8.260604816639292</v>
          </cell>
          <cell r="O567">
            <v>4730.9787816563912</v>
          </cell>
        </row>
        <row r="568">
          <cell r="C568" t="str">
            <v>UTRAULA TPS2</v>
          </cell>
          <cell r="D568" t="str">
            <v xml:space="preserve"> 5-10 years</v>
          </cell>
          <cell r="E568">
            <v>8.1752224503764506</v>
          </cell>
          <cell r="F568">
            <v>45</v>
          </cell>
          <cell r="I568">
            <v>11.41</v>
          </cell>
          <cell r="L568">
            <v>0.1811269272344537</v>
          </cell>
          <cell r="M568">
            <v>2.431362634994255</v>
          </cell>
          <cell r="N568">
            <v>8.1507117255504173</v>
          </cell>
          <cell r="O568">
            <v>367.8850102669403</v>
          </cell>
          <cell r="P568" t="str">
            <v/>
          </cell>
          <cell r="R568" t="str">
            <v/>
          </cell>
        </row>
        <row r="569">
          <cell r="C569" t="str">
            <v>THAMMINAPATNAM TPS2</v>
          </cell>
          <cell r="D569" t="str">
            <v xml:space="preserve"> 5-10 years</v>
          </cell>
          <cell r="E569">
            <v>7.8412046543463303</v>
          </cell>
          <cell r="F569">
            <v>150</v>
          </cell>
          <cell r="I569">
            <v>12.5</v>
          </cell>
          <cell r="L569">
            <v>5.3678586632609451E-2</v>
          </cell>
          <cell r="M569">
            <v>0.78939097989131546</v>
          </cell>
          <cell r="N569">
            <v>8.0517879948914182</v>
          </cell>
          <cell r="O569">
            <v>1176.1806981519496</v>
          </cell>
          <cell r="P569">
            <v>1.56</v>
          </cell>
          <cell r="Q569">
            <v>234</v>
          </cell>
          <cell r="R569">
            <v>1.69</v>
          </cell>
        </row>
        <row r="570">
          <cell r="C570" t="str">
            <v>BELA TPS1</v>
          </cell>
          <cell r="D570" t="str">
            <v xml:space="preserve"> 5-10 years</v>
          </cell>
          <cell r="E570">
            <v>7.1759069130732298</v>
          </cell>
          <cell r="F570">
            <v>270</v>
          </cell>
          <cell r="I570">
            <v>12.11</v>
          </cell>
          <cell r="L570">
            <v>2.8690124563033641E-2</v>
          </cell>
          <cell r="M570">
            <v>0.40874989230392633</v>
          </cell>
          <cell r="N570">
            <v>7.7463336320190832</v>
          </cell>
          <cell r="O570">
            <v>1937.494866529772</v>
          </cell>
          <cell r="P570" t="str">
            <v/>
          </cell>
          <cell r="R570" t="str">
            <v/>
          </cell>
        </row>
        <row r="571">
          <cell r="C571" t="str">
            <v>BARKHERA TPS1</v>
          </cell>
          <cell r="D571" t="str">
            <v xml:space="preserve"> 5-10 years</v>
          </cell>
          <cell r="E571">
            <v>8.5065023956194299</v>
          </cell>
          <cell r="F571">
            <v>45</v>
          </cell>
          <cell r="I571">
            <v>11.41</v>
          </cell>
          <cell r="L571">
            <v>0.16599666704595001</v>
          </cell>
          <cell r="M571">
            <v>2.2282611423462231</v>
          </cell>
          <cell r="N571">
            <v>7.46985001706775</v>
          </cell>
          <cell r="O571">
            <v>382.79260780287433</v>
          </cell>
          <cell r="P571" t="str">
            <v/>
          </cell>
          <cell r="R571" t="str">
            <v/>
          </cell>
        </row>
        <row r="572">
          <cell r="C572" t="str">
            <v>MAQSOODPUR TPS1</v>
          </cell>
          <cell r="D572" t="str">
            <v xml:space="preserve"> 5-10 years</v>
          </cell>
          <cell r="E572">
            <v>8.5065023956194299</v>
          </cell>
          <cell r="F572">
            <v>45</v>
          </cell>
          <cell r="I572">
            <v>11.41</v>
          </cell>
          <cell r="L572">
            <v>0.15058742959549351</v>
          </cell>
          <cell r="M572">
            <v>2.021414790217154</v>
          </cell>
          <cell r="N572">
            <v>6.7764343317972076</v>
          </cell>
          <cell r="O572">
            <v>382.79260780287433</v>
          </cell>
          <cell r="P572" t="str">
            <v/>
          </cell>
          <cell r="R572" t="str">
            <v/>
          </cell>
        </row>
        <row r="573">
          <cell r="C573" t="str">
            <v>PANKI TPS3</v>
          </cell>
          <cell r="D573" t="str">
            <v xml:space="preserve"> 40-45 years</v>
          </cell>
          <cell r="E573">
            <v>43.337440109513999</v>
          </cell>
          <cell r="F573">
            <v>110</v>
          </cell>
          <cell r="G573" t="str">
            <v>Y</v>
          </cell>
          <cell r="I573">
            <v>14.97</v>
          </cell>
          <cell r="J573">
            <v>3975</v>
          </cell>
          <cell r="K573">
            <v>59.505749999999999</v>
          </cell>
          <cell r="L573">
            <v>5.8672936259142799E-2</v>
          </cell>
          <cell r="M573">
            <v>1.0333339479992563</v>
          </cell>
          <cell r="N573">
            <v>6.4540229885057077</v>
          </cell>
          <cell r="O573">
            <v>4767.1184120465396</v>
          </cell>
        </row>
        <row r="574">
          <cell r="C574" t="str">
            <v>BARKHERA TPS2</v>
          </cell>
          <cell r="D574" t="str">
            <v xml:space="preserve"> 5-10 years</v>
          </cell>
          <cell r="E574">
            <v>8.33949349760438</v>
          </cell>
          <cell r="F574">
            <v>45</v>
          </cell>
          <cell r="I574">
            <v>11.41</v>
          </cell>
          <cell r="L574">
            <v>0.14017378297396205</v>
          </cell>
          <cell r="M574">
            <v>1.8816268985093025</v>
          </cell>
          <cell r="N574">
            <v>6.3078202338282923</v>
          </cell>
          <cell r="O574">
            <v>375.27720739219711</v>
          </cell>
          <cell r="P574" t="str">
            <v/>
          </cell>
          <cell r="R574" t="str">
            <v/>
          </cell>
        </row>
        <row r="575">
          <cell r="C575" t="str">
            <v>BARAUNI TPS7</v>
          </cell>
          <cell r="D575" t="str">
            <v xml:space="preserve"> 0-5 years</v>
          </cell>
          <cell r="E575">
            <v>3.4962354551676902</v>
          </cell>
          <cell r="F575">
            <v>110</v>
          </cell>
          <cell r="G575" t="str">
            <v>Y</v>
          </cell>
          <cell r="I575">
            <v>9.6300000000000008</v>
          </cell>
          <cell r="J575">
            <v>5845</v>
          </cell>
          <cell r="K575">
            <v>56.287350000000004</v>
          </cell>
          <cell r="L575">
            <v>5.6867127897439015E-2</v>
          </cell>
          <cell r="M575">
            <v>0.64427110782627972</v>
          </cell>
          <cell r="N575">
            <v>6.2553840687182918</v>
          </cell>
          <cell r="O575">
            <v>384.58590006844594</v>
          </cell>
        </row>
        <row r="576">
          <cell r="C576" t="str">
            <v>MAQSOODPUR TPS2</v>
          </cell>
          <cell r="D576" t="str">
            <v xml:space="preserve"> 5-10 years</v>
          </cell>
          <cell r="E576">
            <v>8.33949349760438</v>
          </cell>
          <cell r="F576">
            <v>45</v>
          </cell>
          <cell r="I576">
            <v>11.41</v>
          </cell>
          <cell r="L576">
            <v>0.13889972217481111</v>
          </cell>
          <cell r="M576">
            <v>1.8645245058995235</v>
          </cell>
          <cell r="N576">
            <v>6.2504874978664997</v>
          </cell>
          <cell r="O576">
            <v>375.27720739219711</v>
          </cell>
          <cell r="P576" t="str">
            <v/>
          </cell>
          <cell r="R576" t="str">
            <v/>
          </cell>
        </row>
        <row r="577">
          <cell r="C577" t="str">
            <v>AVANTHA BHANDAR1</v>
          </cell>
          <cell r="D577" t="str">
            <v xml:space="preserve"> 5-10 years</v>
          </cell>
          <cell r="E577">
            <v>6.1765913757700197</v>
          </cell>
          <cell r="F577">
            <v>600</v>
          </cell>
          <cell r="I577">
            <v>12.53</v>
          </cell>
          <cell r="L577">
            <v>1.0413626650081111E-2</v>
          </cell>
          <cell r="M577">
            <v>0.15350910814766625</v>
          </cell>
          <cell r="N577">
            <v>6.2481759900486669</v>
          </cell>
          <cell r="O577">
            <v>3705.9548254620117</v>
          </cell>
          <cell r="P577" t="str">
            <v/>
          </cell>
          <cell r="R577" t="str">
            <v/>
          </cell>
        </row>
        <row r="578">
          <cell r="C578" t="str">
            <v>KHAMBARKHERA TPS2</v>
          </cell>
          <cell r="D578" t="str">
            <v xml:space="preserve"> 5-10 years</v>
          </cell>
          <cell r="E578">
            <v>8.5065023956194299</v>
          </cell>
          <cell r="F578">
            <v>45</v>
          </cell>
          <cell r="I578">
            <v>11.41</v>
          </cell>
          <cell r="L578">
            <v>0.13841128084049167</v>
          </cell>
          <cell r="M578">
            <v>1.8579678992823647</v>
          </cell>
          <cell r="N578">
            <v>6.2285076378221254</v>
          </cell>
          <cell r="O578">
            <v>382.79260780287433</v>
          </cell>
          <cell r="P578" t="str">
            <v/>
          </cell>
          <cell r="R578" t="str">
            <v/>
          </cell>
        </row>
        <row r="579">
          <cell r="C579" t="str">
            <v>KHAMBARKHERA TPS1</v>
          </cell>
          <cell r="D579" t="str">
            <v xml:space="preserve"> 5-10 years</v>
          </cell>
          <cell r="E579">
            <v>8.5913757700205302</v>
          </cell>
          <cell r="F579">
            <v>45</v>
          </cell>
          <cell r="I579">
            <v>11.41</v>
          </cell>
          <cell r="L579">
            <v>0.13315430202347683</v>
          </cell>
          <cell r="M579">
            <v>1.787400689515142</v>
          </cell>
          <cell r="N579">
            <v>5.9919435910564571</v>
          </cell>
          <cell r="O579">
            <v>386.61190965092385</v>
          </cell>
          <cell r="P579" t="str">
            <v/>
          </cell>
          <cell r="R579" t="str">
            <v/>
          </cell>
        </row>
        <row r="580">
          <cell r="C580" t="str">
            <v>BANDEL TPS4</v>
          </cell>
          <cell r="D580" t="str">
            <v xml:space="preserve"> 45+ years</v>
          </cell>
          <cell r="E580">
            <v>53.7577002053388</v>
          </cell>
          <cell r="F580">
            <v>60</v>
          </cell>
          <cell r="G580" t="str">
            <v>Y</v>
          </cell>
          <cell r="I580">
            <v>14.97</v>
          </cell>
          <cell r="J580">
            <v>0</v>
          </cell>
          <cell r="K580">
            <v>0</v>
          </cell>
          <cell r="L580">
            <v>8.794596877188611E-2</v>
          </cell>
          <cell r="M580">
            <v>1.5488837088413356</v>
          </cell>
          <cell r="N580">
            <v>5.2767581263131662</v>
          </cell>
          <cell r="O580">
            <v>3225.4620123203281</v>
          </cell>
          <cell r="P580" t="str">
            <v/>
          </cell>
          <cell r="R580" t="str">
            <v/>
          </cell>
        </row>
        <row r="581">
          <cell r="C581" t="str">
            <v>THAMMINAPATNAM TPS1</v>
          </cell>
          <cell r="D581" t="str">
            <v xml:space="preserve"> 5-10 years</v>
          </cell>
          <cell r="E581">
            <v>8.1752224503764506</v>
          </cell>
          <cell r="F581">
            <v>150</v>
          </cell>
          <cell r="I581">
            <v>12.5</v>
          </cell>
          <cell r="L581">
            <v>3.3012788557931112E-2</v>
          </cell>
          <cell r="M581">
            <v>0.48548218467545756</v>
          </cell>
          <cell r="N581">
            <v>4.9519182836896665</v>
          </cell>
          <cell r="O581">
            <v>1226.2833675564675</v>
          </cell>
          <cell r="P581">
            <v>0.71</v>
          </cell>
          <cell r="Q581">
            <v>106.5</v>
          </cell>
          <cell r="R581">
            <v>1.02</v>
          </cell>
        </row>
        <row r="582">
          <cell r="C582" t="str">
            <v>WARDHA WARORA TPP2</v>
          </cell>
          <cell r="D582" t="str">
            <v xml:space="preserve"> 5-10 years</v>
          </cell>
          <cell r="E582">
            <v>9.5906913073237501</v>
          </cell>
          <cell r="F582">
            <v>135</v>
          </cell>
          <cell r="I582">
            <v>12.11</v>
          </cell>
          <cell r="L582">
            <v>3.5960402335027779E-2</v>
          </cell>
          <cell r="M582">
            <v>0.5123299673849252</v>
          </cell>
          <cell r="N582">
            <v>4.8546543152287498</v>
          </cell>
          <cell r="O582">
            <v>1294.7433264887063</v>
          </cell>
          <cell r="P582" t="str">
            <v/>
          </cell>
          <cell r="R582" t="str">
            <v/>
          </cell>
        </row>
        <row r="583">
          <cell r="C583" t="str">
            <v>DARLIPALI STPS1</v>
          </cell>
          <cell r="D583" t="str">
            <v xml:space="preserve"> 0-5 years</v>
          </cell>
          <cell r="E583">
            <v>0.34223134839151198</v>
          </cell>
          <cell r="F583">
            <v>800</v>
          </cell>
          <cell r="I583">
            <v>13.39</v>
          </cell>
          <cell r="L583">
            <v>5.8579749103942194E-3</v>
          </cell>
          <cell r="M583">
            <v>9.2280334176680703E-2</v>
          </cell>
          <cell r="N583">
            <v>4.6863799283153753</v>
          </cell>
          <cell r="O583">
            <v>273.7850787132096</v>
          </cell>
        </row>
        <row r="584">
          <cell r="C584" t="str">
            <v>STERLITE TPP1</v>
          </cell>
          <cell r="D584" t="str">
            <v xml:space="preserve"> 10-15 years</v>
          </cell>
          <cell r="E584">
            <v>10.17659137577</v>
          </cell>
          <cell r="F584">
            <v>600</v>
          </cell>
          <cell r="I584">
            <v>13.94</v>
          </cell>
          <cell r="L584">
            <v>7.7964456391875691E-3</v>
          </cell>
          <cell r="M584">
            <v>0.12786170848267614</v>
          </cell>
          <cell r="N584">
            <v>4.6778673835125417</v>
          </cell>
          <cell r="O584">
            <v>6105.9548254620004</v>
          </cell>
          <cell r="P584" t="str">
            <v/>
          </cell>
          <cell r="R584" t="str">
            <v/>
          </cell>
        </row>
        <row r="585">
          <cell r="C585" t="str">
            <v>GND TPS(BHATINDA)3</v>
          </cell>
          <cell r="D585" t="str">
            <v xml:space="preserve"> 40-45 years</v>
          </cell>
          <cell r="E585">
            <v>42.176591375770002</v>
          </cell>
          <cell r="F585">
            <v>120</v>
          </cell>
          <cell r="G585" t="str">
            <v>Y</v>
          </cell>
          <cell r="I585">
            <v>13.276859504132227</v>
          </cell>
          <cell r="L585">
            <v>3.0844907407407397E-2</v>
          </cell>
          <cell r="M585">
            <v>0.48179235537190052</v>
          </cell>
          <cell r="N585">
            <v>3.7013888888888875</v>
          </cell>
          <cell r="O585">
            <v>5061.1909650923999</v>
          </cell>
          <cell r="P585" t="str">
            <v/>
          </cell>
          <cell r="R585" t="str">
            <v/>
          </cell>
        </row>
        <row r="586">
          <cell r="C586" t="str">
            <v>GND TPS(BHATINDA)4</v>
          </cell>
          <cell r="D586" t="str">
            <v xml:space="preserve"> 35-40 years</v>
          </cell>
          <cell r="E586">
            <v>41.338809034907598</v>
          </cell>
          <cell r="F586">
            <v>120</v>
          </cell>
          <cell r="G586" t="str">
            <v>Y</v>
          </cell>
          <cell r="I586">
            <v>13.276859504132227</v>
          </cell>
          <cell r="L586">
            <v>2.9407793209876527E-2</v>
          </cell>
          <cell r="M586">
            <v>0.45934486914600514</v>
          </cell>
          <cell r="N586">
            <v>3.5289351851851833</v>
          </cell>
          <cell r="O586">
            <v>4960.6570841889115</v>
          </cell>
          <cell r="P586" t="str">
            <v/>
          </cell>
          <cell r="R586" t="str">
            <v/>
          </cell>
        </row>
        <row r="587">
          <cell r="C587" t="str">
            <v>SIMHAPURI TPS3</v>
          </cell>
          <cell r="D587" t="str">
            <v xml:space="preserve"> 5-10 years</v>
          </cell>
          <cell r="E587">
            <v>6.2532511978097096</v>
          </cell>
          <cell r="F587">
            <v>150</v>
          </cell>
          <cell r="I587">
            <v>12.5</v>
          </cell>
          <cell r="L587">
            <v>2.1282807260954998E-2</v>
          </cell>
          <cell r="M587">
            <v>0.31298245971992644</v>
          </cell>
          <cell r="N587">
            <v>3.1924210891432496</v>
          </cell>
          <cell r="O587">
            <v>937.98767967145648</v>
          </cell>
          <cell r="P587">
            <v>1.1599999999999999</v>
          </cell>
          <cell r="Q587">
            <v>174</v>
          </cell>
          <cell r="R587">
            <v>1.33</v>
          </cell>
        </row>
        <row r="588">
          <cell r="C588" t="str">
            <v>BARAUNI TPS8</v>
          </cell>
          <cell r="D588" t="str">
            <v xml:space="preserve"> 0-5 years</v>
          </cell>
          <cell r="E588">
            <v>2.3381245722108099</v>
          </cell>
          <cell r="F588">
            <v>250</v>
          </cell>
          <cell r="I588">
            <v>9.6300000000000008</v>
          </cell>
          <cell r="J588">
            <v>5845</v>
          </cell>
          <cell r="K588">
            <v>56.287350000000004</v>
          </cell>
          <cell r="L588">
            <v>1.20163358147229E-2</v>
          </cell>
          <cell r="M588">
            <v>0.13613801634797829</v>
          </cell>
          <cell r="N588">
            <v>3.0040839536807251</v>
          </cell>
          <cell r="O588">
            <v>584.53114305270253</v>
          </cell>
        </row>
        <row r="589">
          <cell r="C589" t="str">
            <v>KOLAGHAT TPS3</v>
          </cell>
          <cell r="D589" t="str">
            <v xml:space="preserve"> 30-35 years</v>
          </cell>
          <cell r="E589">
            <v>34.4229979466119</v>
          </cell>
          <cell r="F589">
            <v>210</v>
          </cell>
          <cell r="H589" t="str">
            <v>Y</v>
          </cell>
          <cell r="I589">
            <v>14.99</v>
          </cell>
          <cell r="J589">
            <v>0</v>
          </cell>
          <cell r="K589">
            <v>0</v>
          </cell>
          <cell r="L589">
            <v>9.1184502474824999E-3</v>
          </cell>
          <cell r="M589">
            <v>0.16080655201148553</v>
          </cell>
          <cell r="N589">
            <v>1.9148745519713251</v>
          </cell>
          <cell r="O589">
            <v>7228.8295687884993</v>
          </cell>
          <cell r="P589">
            <v>0.73</v>
          </cell>
          <cell r="Q589">
            <v>153.29999999999998</v>
          </cell>
          <cell r="R589">
            <v>0.83</v>
          </cell>
        </row>
        <row r="590">
          <cell r="C590" t="str">
            <v>OBRA TPS12</v>
          </cell>
          <cell r="D590" t="str">
            <v xml:space="preserve"> 35-40 years</v>
          </cell>
          <cell r="E590">
            <v>39.175906913073199</v>
          </cell>
          <cell r="F590">
            <v>200</v>
          </cell>
          <cell r="H590" t="str">
            <v>Y</v>
          </cell>
          <cell r="I590">
            <v>14.97</v>
          </cell>
          <cell r="J590">
            <v>0</v>
          </cell>
          <cell r="K590">
            <v>0</v>
          </cell>
          <cell r="L590">
            <v>8.8074583899806248E-3</v>
          </cell>
          <cell r="M590">
            <v>0.15511488482118821</v>
          </cell>
          <cell r="N590">
            <v>1.7614916779961249</v>
          </cell>
          <cell r="O590">
            <v>7835.1813826146399</v>
          </cell>
          <cell r="P590" t="str">
            <v/>
          </cell>
          <cell r="R590" t="str">
            <v/>
          </cell>
        </row>
        <row r="591">
          <cell r="C591" t="str">
            <v>BANDEL TPS3</v>
          </cell>
          <cell r="D591" t="str">
            <v xml:space="preserve"> 45+ years</v>
          </cell>
          <cell r="E591">
            <v>54.253251197809703</v>
          </cell>
          <cell r="F591">
            <v>60</v>
          </cell>
          <cell r="G591" t="str">
            <v>Y</v>
          </cell>
          <cell r="I591">
            <v>14.97</v>
          </cell>
          <cell r="J591">
            <v>0</v>
          </cell>
          <cell r="K591">
            <v>0</v>
          </cell>
          <cell r="L591">
            <v>2.4425287356321806E-2</v>
          </cell>
          <cell r="M591">
            <v>0.43017241379310289</v>
          </cell>
          <cell r="N591">
            <v>1.4655172413793083</v>
          </cell>
          <cell r="O591">
            <v>3255.1950718685821</v>
          </cell>
          <cell r="P591" t="str">
            <v/>
          </cell>
          <cell r="R591" t="str">
            <v/>
          </cell>
        </row>
        <row r="592">
          <cell r="C592" t="str">
            <v>ROPAR TPS1</v>
          </cell>
          <cell r="D592" t="str">
            <v xml:space="preserve"> 30-35 years</v>
          </cell>
          <cell r="E592">
            <v>35.671457905544102</v>
          </cell>
          <cell r="F592">
            <v>210</v>
          </cell>
          <cell r="G592" t="str">
            <v>Y</v>
          </cell>
          <cell r="I592">
            <v>13.259018759018758</v>
          </cell>
          <cell r="J592">
            <v>0</v>
          </cell>
          <cell r="K592">
            <v>0</v>
          </cell>
          <cell r="L592">
            <v>6.846838197644642E-3</v>
          </cell>
          <cell r="M592">
            <v>0.10680277188533704</v>
          </cell>
          <cell r="N592">
            <v>1.4378360215053749</v>
          </cell>
          <cell r="O592">
            <v>7491.006160164261</v>
          </cell>
        </row>
        <row r="593">
          <cell r="C593" t="str">
            <v>SIMHAPURI TPS2</v>
          </cell>
          <cell r="D593" t="str">
            <v xml:space="preserve"> 5-10 years</v>
          </cell>
          <cell r="E593">
            <v>7.8412046543463303</v>
          </cell>
          <cell r="F593">
            <v>150</v>
          </cell>
          <cell r="I593">
            <v>12.5</v>
          </cell>
          <cell r="L593">
            <v>5.9408602150537492E-3</v>
          </cell>
          <cell r="M593">
            <v>8.736559139784926E-2</v>
          </cell>
          <cell r="N593">
            <v>0.89112903225806239</v>
          </cell>
          <cell r="O593">
            <v>1176.1806981519496</v>
          </cell>
          <cell r="P593">
            <v>0.98</v>
          </cell>
          <cell r="Q593">
            <v>147</v>
          </cell>
          <cell r="R593">
            <v>1.07</v>
          </cell>
        </row>
        <row r="594">
          <cell r="C594" t="str">
            <v>KORBA-II2</v>
          </cell>
          <cell r="D594" t="str">
            <v xml:space="preserve"> 45+ years</v>
          </cell>
          <cell r="E594">
            <v>53.0102669404517</v>
          </cell>
          <cell r="F594">
            <v>50</v>
          </cell>
          <cell r="G594" t="str">
            <v>Y</v>
          </cell>
          <cell r="I594">
            <v>14.97</v>
          </cell>
          <cell r="J594">
            <v>3134</v>
          </cell>
          <cell r="K594">
            <v>46.915980000000005</v>
          </cell>
          <cell r="L594">
            <v>1.384778097062575E-2</v>
          </cell>
          <cell r="M594">
            <v>0.24388386015325589</v>
          </cell>
          <cell r="N594">
            <v>0.69238904853128758</v>
          </cell>
          <cell r="O594">
            <v>2650.5133470225851</v>
          </cell>
        </row>
        <row r="595">
          <cell r="C595" t="str">
            <v>SHIRPUR TPP1</v>
          </cell>
          <cell r="D595" t="str">
            <v xml:space="preserve"> 0-5 years</v>
          </cell>
          <cell r="E595">
            <v>2.6036960985626201</v>
          </cell>
          <cell r="F595">
            <v>150</v>
          </cell>
          <cell r="I595">
            <v>13.23</v>
          </cell>
          <cell r="L595">
            <v>2.5185185185185172E-3</v>
          </cell>
          <cell r="M595">
            <v>3.9199999999999978E-2</v>
          </cell>
          <cell r="N595">
            <v>0.37777777777777755</v>
          </cell>
          <cell r="O595">
            <v>390.55441478439303</v>
          </cell>
        </row>
        <row r="596">
          <cell r="C596" t="str">
            <v>GND TPS(BHATINDA)2</v>
          </cell>
          <cell r="D596" t="str">
            <v xml:space="preserve"> 40-45 years</v>
          </cell>
          <cell r="E596">
            <v>44.673511293634498</v>
          </cell>
          <cell r="F596">
            <v>110</v>
          </cell>
          <cell r="G596" t="str">
            <v>Y</v>
          </cell>
          <cell r="I596">
            <v>13.276859504132227</v>
          </cell>
          <cell r="L596">
            <v>3.1144781144781136E-3</v>
          </cell>
          <cell r="M596">
            <v>4.8647633358377129E-2</v>
          </cell>
          <cell r="N596">
            <v>0.3425925925925925</v>
          </cell>
          <cell r="O596">
            <v>4914.0862422997943</v>
          </cell>
          <cell r="P596" t="str">
            <v/>
          </cell>
          <cell r="R596" t="str">
            <v/>
          </cell>
        </row>
        <row r="597">
          <cell r="C597" t="str">
            <v>NIWARI TPP2</v>
          </cell>
          <cell r="D597" t="str">
            <v xml:space="preserve"> 0-5 years</v>
          </cell>
          <cell r="E597">
            <v>0.84325804243668701</v>
          </cell>
          <cell r="F597">
            <v>45</v>
          </cell>
          <cell r="I597">
            <v>13.26</v>
          </cell>
          <cell r="J597">
            <v>4396</v>
          </cell>
          <cell r="K597">
            <v>58.290959999999998</v>
          </cell>
          <cell r="L597">
            <v>6.7577658303464728E-3</v>
          </cell>
          <cell r="M597">
            <v>0.10542114695340497</v>
          </cell>
          <cell r="N597">
            <v>0.30409946236559127</v>
          </cell>
          <cell r="O597">
            <v>37.946611909650912</v>
          </cell>
        </row>
        <row r="598">
          <cell r="C598" t="str">
            <v>GND TPS(BHATINDA)1</v>
          </cell>
          <cell r="D598" t="str">
            <v xml:space="preserve"> 40-45 years</v>
          </cell>
          <cell r="E598">
            <v>45.672826830937701</v>
          </cell>
          <cell r="F598">
            <v>110</v>
          </cell>
          <cell r="G598" t="str">
            <v>Y</v>
          </cell>
          <cell r="I598">
            <v>13.276859504132227</v>
          </cell>
          <cell r="L598">
            <v>2.3463804713804697E-3</v>
          </cell>
          <cell r="M598">
            <v>3.6650075131480053E-2</v>
          </cell>
          <cell r="N598">
            <v>0.25810185185185169</v>
          </cell>
          <cell r="O598">
            <v>5024.0109514031474</v>
          </cell>
        </row>
        <row r="599">
          <cell r="C599" t="str">
            <v>D.P.L. TPS6</v>
          </cell>
          <cell r="D599" t="str">
            <v xml:space="preserve"> 30-35 years</v>
          </cell>
          <cell r="E599">
            <v>33.338809034907598</v>
          </cell>
          <cell r="F599">
            <v>110</v>
          </cell>
          <cell r="H599" t="str">
            <v>Y</v>
          </cell>
          <cell r="I599">
            <v>14.376260257913273</v>
          </cell>
          <cell r="L599">
            <v>1.1973180076628332E-3</v>
          </cell>
          <cell r="M599">
            <v>2.0250535634878931E-2</v>
          </cell>
          <cell r="N599">
            <v>0.13170498084291166</v>
          </cell>
          <cell r="O599">
            <v>3667.2689938398357</v>
          </cell>
        </row>
      </sheetData>
      <sheetData sheetId="7">
        <row r="619">
          <cell r="L619" t="str">
            <v>PLF</v>
          </cell>
        </row>
        <row r="620">
          <cell r="K620">
            <v>2.7</v>
          </cell>
          <cell r="L620">
            <v>0.43758397429019397</v>
          </cell>
        </row>
        <row r="621">
          <cell r="K621">
            <v>2.31</v>
          </cell>
          <cell r="L621">
            <v>0.61677794724572621</v>
          </cell>
        </row>
        <row r="622">
          <cell r="K622">
            <v>2.56</v>
          </cell>
          <cell r="L622">
            <v>0.63148591174906965</v>
          </cell>
        </row>
        <row r="623">
          <cell r="K623">
            <v>2.5299999999999998</v>
          </cell>
          <cell r="L623">
            <v>0.69274579599975039</v>
          </cell>
        </row>
        <row r="624">
          <cell r="K624">
            <v>2.5099999999999998</v>
          </cell>
          <cell r="L624">
            <v>0.68409285277947451</v>
          </cell>
        </row>
        <row r="625">
          <cell r="K625">
            <v>2.78</v>
          </cell>
          <cell r="L625">
            <v>0.63966651547189746</v>
          </cell>
        </row>
        <row r="626">
          <cell r="K626">
            <v>2.4</v>
          </cell>
          <cell r="L626">
            <v>0.71085904591359372</v>
          </cell>
        </row>
        <row r="627">
          <cell r="K627">
            <v>2.6</v>
          </cell>
          <cell r="L627">
            <v>0.57289399600223279</v>
          </cell>
        </row>
        <row r="628">
          <cell r="K628">
            <v>2.95</v>
          </cell>
          <cell r="L628">
            <v>0.57577231800477668</v>
          </cell>
        </row>
        <row r="629">
          <cell r="K629">
            <v>2.4</v>
          </cell>
          <cell r="L629">
            <v>0.66548601182997591</v>
          </cell>
        </row>
      </sheetData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plant names"/>
    </sheetNames>
    <sheetDataSet>
      <sheetData sheetId="0">
        <row r="2">
          <cell r="C2" t="str">
            <v>AKALTARA TPS3</v>
          </cell>
          <cell r="D2" t="str">
            <v>Chhattisgarh</v>
          </cell>
          <cell r="E2">
            <v>600</v>
          </cell>
          <cell r="F2" t="str">
            <v>Sub critical</v>
          </cell>
        </row>
        <row r="3">
          <cell r="C3" t="str">
            <v>AKALTARA TPS4</v>
          </cell>
          <cell r="D3" t="str">
            <v>Chhattisgarh</v>
          </cell>
          <cell r="E3">
            <v>600</v>
          </cell>
          <cell r="F3" t="str">
            <v>Sub critical</v>
          </cell>
        </row>
        <row r="4">
          <cell r="C4" t="str">
            <v>AKALTARA TPS2</v>
          </cell>
          <cell r="D4" t="str">
            <v>Chhattisgarh</v>
          </cell>
          <cell r="E4">
            <v>600</v>
          </cell>
          <cell r="F4" t="str">
            <v>Sub critical</v>
          </cell>
        </row>
        <row r="5">
          <cell r="C5" t="str">
            <v>AMARKANTAK TPS3</v>
          </cell>
          <cell r="D5" t="str">
            <v>Madhya Pradesh</v>
          </cell>
          <cell r="E5">
            <v>210</v>
          </cell>
          <cell r="F5" t="str">
            <v>Sub critical</v>
          </cell>
        </row>
        <row r="6">
          <cell r="C6" t="str">
            <v>AMRAVATI TPS1</v>
          </cell>
          <cell r="D6" t="str">
            <v>Maharashtra</v>
          </cell>
          <cell r="E6">
            <v>270</v>
          </cell>
          <cell r="F6" t="str">
            <v>Sub critical</v>
          </cell>
        </row>
        <row r="7">
          <cell r="C7" t="str">
            <v>AMRAVATI TPS2</v>
          </cell>
          <cell r="D7" t="str">
            <v>Maharashtra</v>
          </cell>
          <cell r="E7">
            <v>270</v>
          </cell>
          <cell r="F7" t="str">
            <v>Sub critical</v>
          </cell>
        </row>
        <row r="8">
          <cell r="C8" t="str">
            <v>AMRAVATI TPS3</v>
          </cell>
          <cell r="D8" t="str">
            <v>Maharashtra</v>
          </cell>
          <cell r="E8">
            <v>270</v>
          </cell>
          <cell r="F8" t="str">
            <v>Sub critical</v>
          </cell>
        </row>
        <row r="9">
          <cell r="C9" t="str">
            <v>AMRAVATI TPS4</v>
          </cell>
          <cell r="D9" t="str">
            <v>Maharashtra</v>
          </cell>
          <cell r="E9">
            <v>270</v>
          </cell>
          <cell r="F9" t="str">
            <v>Sub critical</v>
          </cell>
        </row>
        <row r="10">
          <cell r="C10" t="str">
            <v>AMRAVATI TPS5</v>
          </cell>
          <cell r="D10" t="str">
            <v>Maharashtra</v>
          </cell>
          <cell r="E10">
            <v>270</v>
          </cell>
          <cell r="F10" t="str">
            <v>Sub critical</v>
          </cell>
        </row>
        <row r="11">
          <cell r="C11" t="str">
            <v>ANPARA C TPS2</v>
          </cell>
          <cell r="D11" t="str">
            <v>Uttar Pradesh</v>
          </cell>
          <cell r="E11">
            <v>600</v>
          </cell>
          <cell r="F11" t="str">
            <v>Sub critical</v>
          </cell>
        </row>
        <row r="12">
          <cell r="C12" t="str">
            <v>ANPARA C TPS1</v>
          </cell>
          <cell r="D12" t="str">
            <v>Uttar Pradesh</v>
          </cell>
          <cell r="E12">
            <v>600</v>
          </cell>
          <cell r="F12" t="str">
            <v>Sub critical</v>
          </cell>
        </row>
        <row r="13">
          <cell r="C13" t="str">
            <v>ANPARA TPS4</v>
          </cell>
          <cell r="D13" t="str">
            <v>Uttar Pradesh</v>
          </cell>
          <cell r="E13">
            <v>500</v>
          </cell>
          <cell r="F13" t="str">
            <v>Sub critical</v>
          </cell>
        </row>
        <row r="14">
          <cell r="C14" t="str">
            <v>ANPARA TPS5</v>
          </cell>
          <cell r="D14" t="str">
            <v>Uttar Pradesh</v>
          </cell>
          <cell r="E14">
            <v>500</v>
          </cell>
          <cell r="F14" t="str">
            <v>Sub critical</v>
          </cell>
        </row>
        <row r="15">
          <cell r="C15" t="str">
            <v>ANPARA TPS6</v>
          </cell>
          <cell r="D15" t="str">
            <v>Uttar Pradesh</v>
          </cell>
          <cell r="E15">
            <v>500</v>
          </cell>
          <cell r="F15" t="str">
            <v>Sub critical</v>
          </cell>
        </row>
        <row r="16">
          <cell r="C16" t="str">
            <v>ANPARA TPS2</v>
          </cell>
          <cell r="D16" t="str">
            <v>Uttar Pradesh</v>
          </cell>
          <cell r="E16">
            <v>210</v>
          </cell>
          <cell r="F16" t="str">
            <v>Sub critical</v>
          </cell>
        </row>
        <row r="17">
          <cell r="C17" t="str">
            <v>ANPARA TPS3</v>
          </cell>
          <cell r="D17" t="str">
            <v>Uttar Pradesh</v>
          </cell>
          <cell r="E17">
            <v>210</v>
          </cell>
          <cell r="F17" t="str">
            <v>Sub critical</v>
          </cell>
        </row>
        <row r="18">
          <cell r="C18" t="str">
            <v>ANPARA TPS1</v>
          </cell>
          <cell r="D18" t="str">
            <v>Uttar Pradesh</v>
          </cell>
          <cell r="E18">
            <v>210</v>
          </cell>
          <cell r="F18" t="str">
            <v>Sub critical</v>
          </cell>
        </row>
        <row r="19">
          <cell r="C19" t="str">
            <v>ANPARA TPS7</v>
          </cell>
          <cell r="D19" t="str">
            <v>Uttar Pradesh</v>
          </cell>
          <cell r="E19">
            <v>500</v>
          </cell>
          <cell r="F19" t="str">
            <v>Sub critical</v>
          </cell>
        </row>
        <row r="20">
          <cell r="C20" t="str">
            <v>ANUPPUR TPP1</v>
          </cell>
          <cell r="D20" t="str">
            <v>Madhya Pradesh</v>
          </cell>
          <cell r="E20">
            <v>600</v>
          </cell>
          <cell r="F20" t="str">
            <v>Sub critical</v>
          </cell>
        </row>
        <row r="21">
          <cell r="C21" t="str">
            <v>ANUPPUR TPP2</v>
          </cell>
          <cell r="D21" t="str">
            <v>Madhya Pradesh</v>
          </cell>
          <cell r="E21">
            <v>600</v>
          </cell>
          <cell r="F21" t="str">
            <v>Sub critical</v>
          </cell>
        </row>
        <row r="22">
          <cell r="C22" t="str">
            <v>AVANTHA BHANDAR1</v>
          </cell>
          <cell r="D22" t="str">
            <v>Chhattisgarh</v>
          </cell>
          <cell r="E22">
            <v>600</v>
          </cell>
          <cell r="F22" t="str">
            <v>Sub critical</v>
          </cell>
        </row>
        <row r="23">
          <cell r="C23" t="str">
            <v>BAKRESWAR TPS5</v>
          </cell>
          <cell r="D23" t="str">
            <v>West Bengal</v>
          </cell>
          <cell r="E23">
            <v>210</v>
          </cell>
          <cell r="F23" t="str">
            <v>Sub critical</v>
          </cell>
        </row>
        <row r="24">
          <cell r="C24" t="str">
            <v>BAKRESWAR TPS2</v>
          </cell>
          <cell r="D24" t="str">
            <v>West Bengal</v>
          </cell>
          <cell r="E24">
            <v>210</v>
          </cell>
          <cell r="F24" t="str">
            <v>Sub critical</v>
          </cell>
        </row>
        <row r="25">
          <cell r="C25" t="str">
            <v>BAKRESWAR TPS4</v>
          </cell>
          <cell r="D25" t="str">
            <v>West Bengal</v>
          </cell>
          <cell r="E25">
            <v>210</v>
          </cell>
          <cell r="F25" t="str">
            <v>Sub critical</v>
          </cell>
        </row>
        <row r="26">
          <cell r="C26" t="str">
            <v>BAKRESWAR TPS1</v>
          </cell>
          <cell r="D26" t="str">
            <v>West Bengal</v>
          </cell>
          <cell r="E26">
            <v>210</v>
          </cell>
          <cell r="F26" t="str">
            <v>Sub critical</v>
          </cell>
        </row>
        <row r="27">
          <cell r="C27" t="str">
            <v>BAKRESWAR TPS3</v>
          </cell>
          <cell r="D27" t="str">
            <v>West Bengal</v>
          </cell>
          <cell r="E27">
            <v>210</v>
          </cell>
          <cell r="F27" t="str">
            <v>Sub critical</v>
          </cell>
        </row>
        <row r="28">
          <cell r="C28" t="str">
            <v>BALCO TPS1</v>
          </cell>
          <cell r="D28" t="str">
            <v>Chhattisgarh</v>
          </cell>
          <cell r="E28">
            <v>300</v>
          </cell>
          <cell r="F28" t="str">
            <v>Sub critical</v>
          </cell>
        </row>
        <row r="29">
          <cell r="C29" t="str">
            <v>BALCO TPS2</v>
          </cell>
          <cell r="D29" t="str">
            <v>Chhattisgarh</v>
          </cell>
          <cell r="E29">
            <v>300</v>
          </cell>
          <cell r="F29" t="str">
            <v>Sub critical</v>
          </cell>
        </row>
        <row r="30">
          <cell r="C30" t="str">
            <v>BANDAKHAR TPP1</v>
          </cell>
          <cell r="D30" t="str">
            <v>Chhattisgarh</v>
          </cell>
          <cell r="E30">
            <v>300</v>
          </cell>
          <cell r="F30" t="str">
            <v>Sub critical</v>
          </cell>
        </row>
        <row r="31">
          <cell r="C31" t="str">
            <v>BANDEL TPS5</v>
          </cell>
          <cell r="D31" t="str">
            <v>West Bengal</v>
          </cell>
          <cell r="E31">
            <v>210</v>
          </cell>
          <cell r="F31" t="str">
            <v>Sub critical</v>
          </cell>
        </row>
        <row r="32">
          <cell r="C32" t="str">
            <v>BANDEL TPS2</v>
          </cell>
          <cell r="D32" t="str">
            <v>West Bengal</v>
          </cell>
          <cell r="E32">
            <v>60</v>
          </cell>
          <cell r="F32" t="str">
            <v>Sub critical</v>
          </cell>
        </row>
        <row r="33">
          <cell r="C33" t="str">
            <v>BANDEL TPS1</v>
          </cell>
          <cell r="D33" t="str">
            <v>West Bengal</v>
          </cell>
          <cell r="E33">
            <v>60</v>
          </cell>
          <cell r="F33" t="str">
            <v>Sub critical</v>
          </cell>
        </row>
        <row r="34">
          <cell r="C34" t="str">
            <v>BARA TPP1</v>
          </cell>
          <cell r="D34" t="str">
            <v>Uttar Pradesh</v>
          </cell>
          <cell r="E34">
            <v>660</v>
          </cell>
          <cell r="F34" t="str">
            <v>Super critical</v>
          </cell>
        </row>
        <row r="35">
          <cell r="C35" t="str">
            <v>BARA TPP2</v>
          </cell>
          <cell r="D35" t="str">
            <v>Uttar Pradesh</v>
          </cell>
          <cell r="E35">
            <v>660</v>
          </cell>
          <cell r="F35" t="str">
            <v>Super critical</v>
          </cell>
        </row>
        <row r="36">
          <cell r="C36" t="str">
            <v>BARA TPP3</v>
          </cell>
          <cell r="D36" t="str">
            <v>Uttar Pradesh</v>
          </cell>
          <cell r="E36">
            <v>660</v>
          </cell>
          <cell r="F36" t="str">
            <v>Super critical</v>
          </cell>
        </row>
        <row r="37">
          <cell r="C37" t="str">
            <v>BARADARHA TPS1</v>
          </cell>
          <cell r="D37" t="str">
            <v>Chhattisgarh</v>
          </cell>
          <cell r="E37">
            <v>600</v>
          </cell>
          <cell r="F37" t="str">
            <v>Sub critical</v>
          </cell>
        </row>
        <row r="38">
          <cell r="C38" t="str">
            <v>BARADARHA TPS2</v>
          </cell>
          <cell r="D38" t="str">
            <v>Chhattisgarh</v>
          </cell>
          <cell r="E38">
            <v>600</v>
          </cell>
          <cell r="F38" t="str">
            <v>Sub critical</v>
          </cell>
        </row>
        <row r="39">
          <cell r="C39" t="str">
            <v>BARAUNI TPS8</v>
          </cell>
          <cell r="D39" t="str">
            <v>Bihar</v>
          </cell>
          <cell r="E39">
            <v>250</v>
          </cell>
          <cell r="F39" t="str">
            <v>Sub critical</v>
          </cell>
        </row>
        <row r="40">
          <cell r="C40" t="str">
            <v>BARAUNI TPS7</v>
          </cell>
          <cell r="D40" t="str">
            <v>Bihar</v>
          </cell>
          <cell r="E40">
            <v>105</v>
          </cell>
          <cell r="F40" t="str">
            <v>Sub critical</v>
          </cell>
        </row>
        <row r="41">
          <cell r="C41" t="str">
            <v>BARH II4</v>
          </cell>
          <cell r="D41" t="str">
            <v>Bihar</v>
          </cell>
          <cell r="E41">
            <v>660</v>
          </cell>
          <cell r="F41" t="str">
            <v>Super critical</v>
          </cell>
        </row>
        <row r="42">
          <cell r="C42" t="str">
            <v>BARH II5</v>
          </cell>
          <cell r="D42" t="str">
            <v>Bihar</v>
          </cell>
          <cell r="E42">
            <v>660</v>
          </cell>
          <cell r="F42" t="str">
            <v>Super critical</v>
          </cell>
        </row>
        <row r="43">
          <cell r="C43" t="str">
            <v>BARKHERA TPS1</v>
          </cell>
          <cell r="D43" t="str">
            <v>Uttar Pradesh</v>
          </cell>
          <cell r="E43">
            <v>45</v>
          </cell>
          <cell r="F43" t="str">
            <v>Sub critical</v>
          </cell>
        </row>
        <row r="44">
          <cell r="C44" t="str">
            <v>BARKHERA TPS2</v>
          </cell>
          <cell r="D44" t="str">
            <v>Uttar Pradesh</v>
          </cell>
          <cell r="E44">
            <v>45</v>
          </cell>
          <cell r="F44" t="str">
            <v>Sub critical</v>
          </cell>
        </row>
        <row r="45">
          <cell r="C45" t="str">
            <v>BELA TPS1</v>
          </cell>
          <cell r="D45" t="str">
            <v>Maharashtra</v>
          </cell>
          <cell r="E45">
            <v>270</v>
          </cell>
          <cell r="F45" t="str">
            <v>Sub critical</v>
          </cell>
        </row>
        <row r="46">
          <cell r="C46" t="str">
            <v>BELLARY TPS1</v>
          </cell>
          <cell r="D46" t="str">
            <v>Karnataka</v>
          </cell>
          <cell r="E46">
            <v>500</v>
          </cell>
          <cell r="F46" t="str">
            <v>Sub critical</v>
          </cell>
        </row>
        <row r="47">
          <cell r="C47" t="str">
            <v>BELLARY TPS2</v>
          </cell>
          <cell r="D47" t="str">
            <v>Karnataka</v>
          </cell>
          <cell r="E47">
            <v>500</v>
          </cell>
          <cell r="F47" t="str">
            <v>Sub critical</v>
          </cell>
        </row>
        <row r="48">
          <cell r="C48" t="str">
            <v>BELLARY TPS3</v>
          </cell>
          <cell r="D48" t="str">
            <v>Karnataka</v>
          </cell>
          <cell r="E48">
            <v>700</v>
          </cell>
          <cell r="F48" t="str">
            <v>Super critical</v>
          </cell>
        </row>
        <row r="49">
          <cell r="C49" t="str">
            <v>BHILAI TPS2</v>
          </cell>
          <cell r="D49" t="str">
            <v>Chhattisgarh</v>
          </cell>
          <cell r="E49">
            <v>250</v>
          </cell>
          <cell r="F49" t="str">
            <v>Sub critical</v>
          </cell>
        </row>
        <row r="50">
          <cell r="C50" t="str">
            <v>BHILAI TPS1</v>
          </cell>
          <cell r="D50" t="str">
            <v>Chhattisgarh</v>
          </cell>
          <cell r="E50">
            <v>250</v>
          </cell>
          <cell r="F50" t="str">
            <v>Sub critical</v>
          </cell>
        </row>
        <row r="51">
          <cell r="C51" t="str">
            <v>BHUSAWAL TPS4</v>
          </cell>
          <cell r="D51" t="str">
            <v>Maharashtra</v>
          </cell>
          <cell r="E51">
            <v>500</v>
          </cell>
          <cell r="F51" t="str">
            <v>Sub critical</v>
          </cell>
        </row>
        <row r="52">
          <cell r="C52" t="str">
            <v>BHUSAWAL TPS5</v>
          </cell>
          <cell r="D52" t="str">
            <v>Maharashtra</v>
          </cell>
          <cell r="E52">
            <v>500</v>
          </cell>
          <cell r="F52" t="str">
            <v>Sub critical</v>
          </cell>
        </row>
        <row r="53">
          <cell r="C53" t="str">
            <v>BHUSAWAL TPS3</v>
          </cell>
          <cell r="D53" t="str">
            <v>Maharashtra</v>
          </cell>
          <cell r="E53">
            <v>210</v>
          </cell>
          <cell r="F53" t="str">
            <v>Sub critical</v>
          </cell>
        </row>
        <row r="54">
          <cell r="C54" t="str">
            <v>BINA TPS1</v>
          </cell>
          <cell r="D54" t="str">
            <v>Madhya Pradesh</v>
          </cell>
          <cell r="E54">
            <v>250</v>
          </cell>
          <cell r="F54" t="str">
            <v>Sub critical</v>
          </cell>
        </row>
        <row r="55">
          <cell r="C55" t="str">
            <v>BINA TPS2</v>
          </cell>
          <cell r="D55" t="str">
            <v>Madhya Pradesh</v>
          </cell>
          <cell r="E55">
            <v>250</v>
          </cell>
          <cell r="F55" t="str">
            <v>Sub critical</v>
          </cell>
        </row>
        <row r="56">
          <cell r="C56" t="str">
            <v>BINJKOTE  TPP2</v>
          </cell>
          <cell r="D56" t="str">
            <v>Chhattisgarh</v>
          </cell>
          <cell r="E56">
            <v>300</v>
          </cell>
          <cell r="F56" t="str">
            <v>Sub critical</v>
          </cell>
        </row>
        <row r="57">
          <cell r="C57" t="str">
            <v>BINJKOTE  TPP1</v>
          </cell>
          <cell r="D57" t="str">
            <v>Chhattisgarh</v>
          </cell>
          <cell r="E57">
            <v>300</v>
          </cell>
          <cell r="F57" t="str">
            <v>Sub critical</v>
          </cell>
        </row>
        <row r="58">
          <cell r="C58" t="str">
            <v>BOKARO A TPS1</v>
          </cell>
          <cell r="D58" t="str">
            <v>Jharkhand</v>
          </cell>
          <cell r="E58">
            <v>500</v>
          </cell>
          <cell r="F58" t="str">
            <v>Sub critical</v>
          </cell>
        </row>
        <row r="59">
          <cell r="C59" t="str">
            <v>BOKARO B TPS3</v>
          </cell>
          <cell r="D59" t="str">
            <v>Jharkhand</v>
          </cell>
          <cell r="E59">
            <v>210</v>
          </cell>
          <cell r="F59" t="str">
            <v>Sub critical</v>
          </cell>
        </row>
        <row r="60">
          <cell r="C60" t="str">
            <v>BONGAIGAON TPS1</v>
          </cell>
          <cell r="D60" t="str">
            <v>Assam</v>
          </cell>
          <cell r="E60">
            <v>250</v>
          </cell>
          <cell r="F60" t="str">
            <v>Sub critical</v>
          </cell>
        </row>
        <row r="61">
          <cell r="C61" t="str">
            <v>BONGAIGAON TPS2</v>
          </cell>
          <cell r="D61" t="str">
            <v>Assam</v>
          </cell>
          <cell r="E61">
            <v>250</v>
          </cell>
          <cell r="F61" t="str">
            <v>Sub critical</v>
          </cell>
        </row>
        <row r="62">
          <cell r="C62" t="str">
            <v>BONGAIGAON TPS3</v>
          </cell>
          <cell r="D62" t="str">
            <v>Assam</v>
          </cell>
          <cell r="E62">
            <v>250</v>
          </cell>
          <cell r="F62" t="str">
            <v>Sub critical</v>
          </cell>
        </row>
        <row r="63">
          <cell r="C63" t="str">
            <v>BUDGE BUDGE TPS3</v>
          </cell>
          <cell r="D63" t="str">
            <v>West Bengal</v>
          </cell>
          <cell r="E63">
            <v>250</v>
          </cell>
          <cell r="F63" t="str">
            <v>Sub critical</v>
          </cell>
        </row>
        <row r="64">
          <cell r="C64" t="str">
            <v>BUDGE BUDGE TPS2</v>
          </cell>
          <cell r="D64" t="str">
            <v>West Bengal</v>
          </cell>
          <cell r="E64">
            <v>250</v>
          </cell>
          <cell r="F64" t="str">
            <v>Sub critical</v>
          </cell>
        </row>
        <row r="65">
          <cell r="C65" t="str">
            <v>BUDGE BUDGE TPS1</v>
          </cell>
          <cell r="D65" t="str">
            <v>West Bengal</v>
          </cell>
          <cell r="E65">
            <v>250</v>
          </cell>
          <cell r="F65" t="str">
            <v>Sub critical</v>
          </cell>
        </row>
        <row r="66">
          <cell r="C66" t="str">
            <v>BUTIBORI TPP2</v>
          </cell>
          <cell r="D66" t="str">
            <v>Maharashtra</v>
          </cell>
          <cell r="E66">
            <v>300</v>
          </cell>
          <cell r="F66" t="str">
            <v>Sub critical</v>
          </cell>
        </row>
        <row r="67">
          <cell r="C67" t="str">
            <v>BUTIBORI TPP1</v>
          </cell>
          <cell r="D67" t="str">
            <v>Maharashtra</v>
          </cell>
          <cell r="E67">
            <v>300</v>
          </cell>
          <cell r="F67" t="str">
            <v>Sub critical</v>
          </cell>
        </row>
        <row r="68">
          <cell r="C68" t="str">
            <v>CHAKABURA TPP2</v>
          </cell>
          <cell r="D68" t="str">
            <v>Chhattisgarh</v>
          </cell>
          <cell r="E68">
            <v>30</v>
          </cell>
          <cell r="F68" t="str">
            <v>Sub critical</v>
          </cell>
        </row>
        <row r="69">
          <cell r="C69" t="str">
            <v>CHANDRAPUR STPS5</v>
          </cell>
          <cell r="D69" t="str">
            <v>Maharashtra</v>
          </cell>
          <cell r="E69">
            <v>500</v>
          </cell>
          <cell r="F69" t="str">
            <v>Sub critical</v>
          </cell>
        </row>
        <row r="70">
          <cell r="C70" t="str">
            <v>CHANDRAPUR STPS6</v>
          </cell>
          <cell r="D70" t="str">
            <v>Maharashtra</v>
          </cell>
          <cell r="E70">
            <v>500</v>
          </cell>
          <cell r="F70" t="str">
            <v>Sub critical</v>
          </cell>
        </row>
        <row r="71">
          <cell r="C71" t="str">
            <v>CHANDRAPUR STPS7</v>
          </cell>
          <cell r="D71" t="str">
            <v>Maharashtra</v>
          </cell>
          <cell r="E71">
            <v>500</v>
          </cell>
          <cell r="F71" t="str">
            <v>Sub critical</v>
          </cell>
        </row>
        <row r="72">
          <cell r="C72" t="str">
            <v>CHANDRAPUR STPS8</v>
          </cell>
          <cell r="D72" t="str">
            <v>Maharashtra</v>
          </cell>
          <cell r="E72">
            <v>500</v>
          </cell>
          <cell r="F72" t="str">
            <v>Sub critical</v>
          </cell>
        </row>
        <row r="73">
          <cell r="C73" t="str">
            <v>CHANDRAPUR STPS9</v>
          </cell>
          <cell r="D73" t="str">
            <v>Maharashtra</v>
          </cell>
          <cell r="E73">
            <v>500</v>
          </cell>
          <cell r="F73" t="str">
            <v>Sub critical</v>
          </cell>
        </row>
        <row r="74">
          <cell r="C74" t="str">
            <v>CHANDRAPUR STPS4</v>
          </cell>
          <cell r="D74" t="str">
            <v>Maharashtra</v>
          </cell>
          <cell r="E74">
            <v>210</v>
          </cell>
          <cell r="F74" t="str">
            <v>Sub critical</v>
          </cell>
        </row>
        <row r="75">
          <cell r="C75" t="str">
            <v>CHANDRAPUR STPS3</v>
          </cell>
          <cell r="D75" t="str">
            <v>Maharashtra</v>
          </cell>
          <cell r="E75">
            <v>210</v>
          </cell>
          <cell r="F75" t="str">
            <v>Sub critical</v>
          </cell>
        </row>
        <row r="76">
          <cell r="C76" t="str">
            <v>CHANDRAPURA(DVC)8</v>
          </cell>
          <cell r="D76" t="str">
            <v>Jharkhand</v>
          </cell>
          <cell r="E76">
            <v>250</v>
          </cell>
          <cell r="F76" t="str">
            <v>Sub critical</v>
          </cell>
        </row>
        <row r="77">
          <cell r="C77" t="str">
            <v>CHANDRAPURA(DVC)7</v>
          </cell>
          <cell r="D77" t="str">
            <v>Jharkhand</v>
          </cell>
          <cell r="E77">
            <v>250</v>
          </cell>
          <cell r="F77" t="str">
            <v>Sub critical</v>
          </cell>
        </row>
        <row r="78">
          <cell r="C78" t="str">
            <v>CHHABRA TPS2</v>
          </cell>
          <cell r="D78" t="str">
            <v>Rajasthan</v>
          </cell>
          <cell r="E78">
            <v>250</v>
          </cell>
          <cell r="F78" t="str">
            <v>Sub critical</v>
          </cell>
        </row>
        <row r="79">
          <cell r="C79" t="str">
            <v>CHHABRA TPS1</v>
          </cell>
          <cell r="D79" t="str">
            <v>Rajasthan</v>
          </cell>
          <cell r="E79">
            <v>250</v>
          </cell>
          <cell r="F79" t="str">
            <v>Sub critical</v>
          </cell>
        </row>
        <row r="80">
          <cell r="C80" t="str">
            <v>CHHABRA TPS3</v>
          </cell>
          <cell r="D80" t="str">
            <v>Rajasthan</v>
          </cell>
          <cell r="E80">
            <v>250</v>
          </cell>
          <cell r="F80" t="str">
            <v>Sub critical</v>
          </cell>
        </row>
        <row r="81">
          <cell r="C81" t="str">
            <v>CHHABRA TPS4</v>
          </cell>
          <cell r="D81" t="str">
            <v>Rajasthan</v>
          </cell>
          <cell r="E81">
            <v>250</v>
          </cell>
          <cell r="F81" t="str">
            <v>Sub critical</v>
          </cell>
        </row>
        <row r="82">
          <cell r="C82" t="str">
            <v>CHHABRA TPS5</v>
          </cell>
          <cell r="D82" t="str">
            <v>Rajasthan</v>
          </cell>
          <cell r="E82">
            <v>660</v>
          </cell>
          <cell r="F82" t="str">
            <v>Super critical</v>
          </cell>
        </row>
        <row r="83">
          <cell r="C83" t="str">
            <v>CHHABRA TPS6</v>
          </cell>
          <cell r="D83" t="str">
            <v>Rajasthan</v>
          </cell>
          <cell r="E83">
            <v>660</v>
          </cell>
          <cell r="F83" t="str">
            <v>Super critical</v>
          </cell>
        </row>
        <row r="84">
          <cell r="C84" t="str">
            <v>D.P.L. TPS7</v>
          </cell>
          <cell r="D84" t="str">
            <v>West Bengal</v>
          </cell>
          <cell r="E84">
            <v>300</v>
          </cell>
          <cell r="F84" t="str">
            <v>Sub critical</v>
          </cell>
        </row>
        <row r="85">
          <cell r="C85" t="str">
            <v>D.P.L. TPS8</v>
          </cell>
          <cell r="D85" t="str">
            <v>West Bengal</v>
          </cell>
          <cell r="E85">
            <v>250</v>
          </cell>
          <cell r="F85" t="str">
            <v>Sub critical</v>
          </cell>
        </row>
        <row r="86">
          <cell r="C86" t="str">
            <v>DADRI (NCTPP)5</v>
          </cell>
          <cell r="D86" t="str">
            <v>Uttar Pradesh</v>
          </cell>
          <cell r="E86">
            <v>490</v>
          </cell>
          <cell r="F86" t="str">
            <v>Sub critical</v>
          </cell>
        </row>
        <row r="87">
          <cell r="C87" t="str">
            <v>DADRI (NCTPP)6</v>
          </cell>
          <cell r="D87" t="str">
            <v>Uttar Pradesh</v>
          </cell>
          <cell r="E87">
            <v>490</v>
          </cell>
          <cell r="F87" t="str">
            <v>Sub critical</v>
          </cell>
        </row>
        <row r="88">
          <cell r="C88" t="str">
            <v>DADRI (NCTPP)4</v>
          </cell>
          <cell r="D88" t="str">
            <v>Uttar Pradesh</v>
          </cell>
          <cell r="E88">
            <v>210</v>
          </cell>
          <cell r="F88" t="str">
            <v>Sub critical</v>
          </cell>
        </row>
        <row r="89">
          <cell r="C89" t="str">
            <v>DADRI (NCTPP)3</v>
          </cell>
          <cell r="D89" t="str">
            <v>Uttar Pradesh</v>
          </cell>
          <cell r="E89">
            <v>210</v>
          </cell>
          <cell r="F89" t="str">
            <v>Sub critical</v>
          </cell>
        </row>
        <row r="90">
          <cell r="C90" t="str">
            <v>DADRI (NCTPP)1</v>
          </cell>
          <cell r="D90" t="str">
            <v>Uttar Pradesh</v>
          </cell>
          <cell r="E90">
            <v>210</v>
          </cell>
          <cell r="F90" t="str">
            <v>Sub critical</v>
          </cell>
        </row>
        <row r="91">
          <cell r="C91" t="str">
            <v>DADRI (NCTPP)2</v>
          </cell>
          <cell r="D91" t="str">
            <v>Uttar Pradesh</v>
          </cell>
          <cell r="E91">
            <v>210</v>
          </cell>
          <cell r="F91" t="str">
            <v>Sub critical</v>
          </cell>
        </row>
        <row r="92">
          <cell r="C92" t="str">
            <v>DAHANU TPS1</v>
          </cell>
          <cell r="D92" t="str">
            <v>Maharashtra</v>
          </cell>
          <cell r="E92">
            <v>250</v>
          </cell>
          <cell r="F92" t="str">
            <v>Sub critical</v>
          </cell>
        </row>
        <row r="93">
          <cell r="C93" t="str">
            <v>DAHANU TPS2</v>
          </cell>
          <cell r="D93" t="str">
            <v>Maharashtra</v>
          </cell>
          <cell r="E93">
            <v>250</v>
          </cell>
          <cell r="F93" t="str">
            <v>Sub critical</v>
          </cell>
        </row>
        <row r="94">
          <cell r="C94" t="str">
            <v>DAMODARAN SANJEEVAIAH TPS1</v>
          </cell>
          <cell r="D94" t="str">
            <v>Andhra Pradesh</v>
          </cell>
          <cell r="E94">
            <v>800</v>
          </cell>
          <cell r="F94" t="str">
            <v>Super critical</v>
          </cell>
        </row>
        <row r="95">
          <cell r="C95" t="str">
            <v>DAMODARAN SANJEEVAIAH TPS2</v>
          </cell>
          <cell r="D95" t="str">
            <v>Andhra Pradesh</v>
          </cell>
          <cell r="E95">
            <v>800</v>
          </cell>
          <cell r="F95" t="str">
            <v>Super critical</v>
          </cell>
        </row>
        <row r="96">
          <cell r="C96" t="str">
            <v>DARLIPALI STPS1</v>
          </cell>
          <cell r="D96" t="str">
            <v>Odisha</v>
          </cell>
          <cell r="E96">
            <v>800</v>
          </cell>
          <cell r="F96" t="str">
            <v>Super critical</v>
          </cell>
        </row>
        <row r="97">
          <cell r="C97" t="str">
            <v>DERANG TPP1</v>
          </cell>
          <cell r="D97" t="str">
            <v>Odisha</v>
          </cell>
          <cell r="E97">
            <v>600</v>
          </cell>
          <cell r="F97" t="str">
            <v>Sub critical</v>
          </cell>
        </row>
        <row r="98">
          <cell r="C98" t="str">
            <v>DERANG TPP2</v>
          </cell>
          <cell r="D98" t="str">
            <v>Odisha</v>
          </cell>
          <cell r="E98">
            <v>600</v>
          </cell>
          <cell r="F98" t="str">
            <v>Sub critical</v>
          </cell>
        </row>
        <row r="99">
          <cell r="C99" t="str">
            <v>DHARIWAL TPS2</v>
          </cell>
          <cell r="D99" t="str">
            <v>Maharashtra</v>
          </cell>
          <cell r="E99">
            <v>300</v>
          </cell>
          <cell r="F99" t="str">
            <v>Sub critical</v>
          </cell>
        </row>
        <row r="100">
          <cell r="C100" t="str">
            <v>DHARIWAL TPS1</v>
          </cell>
          <cell r="D100" t="str">
            <v>Maharashtra</v>
          </cell>
          <cell r="E100">
            <v>300</v>
          </cell>
          <cell r="F100" t="str">
            <v>Sub critical</v>
          </cell>
        </row>
        <row r="101">
          <cell r="C101" t="str">
            <v>DR. N TATA RAO TPS7</v>
          </cell>
          <cell r="D101" t="str">
            <v>Andhra Pradesh</v>
          </cell>
          <cell r="E101">
            <v>500</v>
          </cell>
          <cell r="F101" t="str">
            <v>Sub critical</v>
          </cell>
        </row>
        <row r="102">
          <cell r="C102" t="str">
            <v>DR. N TATA RAO TPS3</v>
          </cell>
          <cell r="D102" t="str">
            <v>Andhra Pradesh</v>
          </cell>
          <cell r="E102">
            <v>210</v>
          </cell>
          <cell r="F102" t="str">
            <v>Sub critical</v>
          </cell>
        </row>
        <row r="103">
          <cell r="C103" t="str">
            <v>DR. N TATA RAO TPS5</v>
          </cell>
          <cell r="D103" t="str">
            <v>Andhra Pradesh</v>
          </cell>
          <cell r="E103">
            <v>210</v>
          </cell>
          <cell r="F103" t="str">
            <v>Sub critical</v>
          </cell>
        </row>
        <row r="104">
          <cell r="C104" t="str">
            <v>DR. N TATA RAO TPS6</v>
          </cell>
          <cell r="D104" t="str">
            <v>Andhra Pradesh</v>
          </cell>
          <cell r="E104">
            <v>210</v>
          </cell>
          <cell r="F104" t="str">
            <v>Sub critical</v>
          </cell>
        </row>
        <row r="105">
          <cell r="C105" t="str">
            <v>DR. N TATA RAO TPS4</v>
          </cell>
          <cell r="D105" t="str">
            <v>Andhra Pradesh</v>
          </cell>
          <cell r="E105">
            <v>210</v>
          </cell>
          <cell r="F105" t="str">
            <v>Sub critical</v>
          </cell>
        </row>
        <row r="106">
          <cell r="C106" t="str">
            <v>DR. N TATA RAO TPS2</v>
          </cell>
          <cell r="D106" t="str">
            <v>Andhra Pradesh</v>
          </cell>
          <cell r="E106">
            <v>210</v>
          </cell>
          <cell r="F106" t="str">
            <v>Sub critical</v>
          </cell>
        </row>
        <row r="107">
          <cell r="C107" t="str">
            <v>DR. N TATA RAO TPS1</v>
          </cell>
          <cell r="D107" t="str">
            <v>Andhra Pradesh</v>
          </cell>
          <cell r="E107">
            <v>210</v>
          </cell>
          <cell r="F107" t="str">
            <v>Sub critical</v>
          </cell>
        </row>
        <row r="108">
          <cell r="C108" t="str">
            <v>DSPM TPS2</v>
          </cell>
          <cell r="D108" t="str">
            <v>Chhattisgarh</v>
          </cell>
          <cell r="E108">
            <v>250</v>
          </cell>
          <cell r="F108" t="str">
            <v>Sub critical</v>
          </cell>
        </row>
        <row r="109">
          <cell r="C109" t="str">
            <v>DSPM TPS1</v>
          </cell>
          <cell r="D109" t="str">
            <v>Chhattisgarh</v>
          </cell>
          <cell r="E109">
            <v>250</v>
          </cell>
          <cell r="F109" t="str">
            <v>Sub critical</v>
          </cell>
        </row>
        <row r="110">
          <cell r="C110" t="str">
            <v>DURGAPUR STEEL TPS1</v>
          </cell>
          <cell r="D110" t="str">
            <v>West Bengal</v>
          </cell>
          <cell r="E110">
            <v>500</v>
          </cell>
          <cell r="F110" t="str">
            <v>Sub critical</v>
          </cell>
        </row>
        <row r="111">
          <cell r="C111" t="str">
            <v>DURGAPUR STEEL TPS2</v>
          </cell>
          <cell r="D111" t="str">
            <v>West Bengal</v>
          </cell>
          <cell r="E111">
            <v>500</v>
          </cell>
          <cell r="F111" t="str">
            <v>Sub critical</v>
          </cell>
        </row>
        <row r="112">
          <cell r="C112" t="str">
            <v>DURGAPUR TPS4</v>
          </cell>
          <cell r="D112" t="str">
            <v>West Bengal</v>
          </cell>
          <cell r="E112">
            <v>210</v>
          </cell>
          <cell r="F112" t="str">
            <v>Sub critical</v>
          </cell>
        </row>
        <row r="113">
          <cell r="C113" t="str">
            <v>FARAKKA STPS5</v>
          </cell>
          <cell r="D113" t="str">
            <v>West Bengal</v>
          </cell>
          <cell r="E113">
            <v>500</v>
          </cell>
          <cell r="F113" t="str">
            <v>Sub critical</v>
          </cell>
        </row>
        <row r="114">
          <cell r="C114" t="str">
            <v>FARAKKA STPS6</v>
          </cell>
          <cell r="D114" t="str">
            <v>West Bengal</v>
          </cell>
          <cell r="E114">
            <v>500</v>
          </cell>
          <cell r="F114" t="str">
            <v>Sub critical</v>
          </cell>
        </row>
        <row r="115">
          <cell r="C115" t="str">
            <v>FARAKKA STPS4</v>
          </cell>
          <cell r="D115" t="str">
            <v>West Bengal</v>
          </cell>
          <cell r="E115">
            <v>500</v>
          </cell>
          <cell r="F115" t="str">
            <v>Sub critical</v>
          </cell>
        </row>
        <row r="116">
          <cell r="C116" t="str">
            <v>FARAKKA STPS3</v>
          </cell>
          <cell r="D116" t="str">
            <v>West Bengal</v>
          </cell>
          <cell r="E116">
            <v>200</v>
          </cell>
          <cell r="F116" t="str">
            <v>Sub critical</v>
          </cell>
        </row>
        <row r="117">
          <cell r="C117" t="str">
            <v>FARAKKA STPS1</v>
          </cell>
          <cell r="D117" t="str">
            <v>West Bengal</v>
          </cell>
          <cell r="E117">
            <v>200</v>
          </cell>
          <cell r="F117" t="str">
            <v>Sub critical</v>
          </cell>
        </row>
        <row r="118">
          <cell r="C118" t="str">
            <v>FARAKKA STPS2</v>
          </cell>
          <cell r="D118" t="str">
            <v>West Bengal</v>
          </cell>
          <cell r="E118">
            <v>200</v>
          </cell>
          <cell r="F118" t="str">
            <v>Sub critical</v>
          </cell>
        </row>
        <row r="119">
          <cell r="C119" t="str">
            <v>GADARWARA TPP1</v>
          </cell>
          <cell r="D119" t="str">
            <v>Madhya Pradesh</v>
          </cell>
          <cell r="E119">
            <v>800</v>
          </cell>
          <cell r="F119" t="str">
            <v>Super critical</v>
          </cell>
        </row>
        <row r="120">
          <cell r="C120" t="str">
            <v>GANDHI NAGAR TPS5</v>
          </cell>
          <cell r="D120" t="str">
            <v>Gujarat</v>
          </cell>
          <cell r="E120">
            <v>210</v>
          </cell>
          <cell r="F120" t="str">
            <v>Sub critical</v>
          </cell>
        </row>
        <row r="121">
          <cell r="C121" t="str">
            <v>GANDHI NAGAR TPS4</v>
          </cell>
          <cell r="D121" t="str">
            <v>Gujarat</v>
          </cell>
          <cell r="E121">
            <v>210</v>
          </cell>
          <cell r="F121" t="str">
            <v>Sub critical</v>
          </cell>
        </row>
        <row r="122">
          <cell r="C122" t="str">
            <v>GANDHI NAGAR TPS3</v>
          </cell>
          <cell r="D122" t="str">
            <v>Gujarat</v>
          </cell>
          <cell r="E122">
            <v>210</v>
          </cell>
          <cell r="F122" t="str">
            <v>Sub critical</v>
          </cell>
        </row>
        <row r="123">
          <cell r="C123" t="str">
            <v>GH TPS (LEH.MOH.)3</v>
          </cell>
          <cell r="D123" t="str">
            <v>Punjab</v>
          </cell>
          <cell r="E123">
            <v>250</v>
          </cell>
          <cell r="F123" t="str">
            <v>Sub critical</v>
          </cell>
        </row>
        <row r="124">
          <cell r="C124" t="str">
            <v>GH TPS (LEH.MOH.)4</v>
          </cell>
          <cell r="D124" t="str">
            <v>Punjab</v>
          </cell>
          <cell r="E124">
            <v>250</v>
          </cell>
          <cell r="F124" t="str">
            <v>Sub critical</v>
          </cell>
        </row>
        <row r="125">
          <cell r="C125" t="str">
            <v>GH TPS (LEH.MOH.)1</v>
          </cell>
          <cell r="D125" t="str">
            <v>Punjab</v>
          </cell>
          <cell r="E125">
            <v>210</v>
          </cell>
          <cell r="F125" t="str">
            <v>Sub critical</v>
          </cell>
        </row>
        <row r="126">
          <cell r="C126" t="str">
            <v>GH TPS (LEH.MOH.)2</v>
          </cell>
          <cell r="D126" t="str">
            <v>Punjab</v>
          </cell>
          <cell r="E126">
            <v>210</v>
          </cell>
          <cell r="F126" t="str">
            <v>Sub critical</v>
          </cell>
        </row>
        <row r="127">
          <cell r="C127" t="str">
            <v>GMR WARORA TPS1</v>
          </cell>
          <cell r="D127" t="str">
            <v>Maharashtra</v>
          </cell>
          <cell r="E127">
            <v>300</v>
          </cell>
          <cell r="F127" t="str">
            <v>Sub critical</v>
          </cell>
        </row>
        <row r="128">
          <cell r="C128" t="str">
            <v>GMR WARORA TPS2</v>
          </cell>
          <cell r="D128" t="str">
            <v>Maharashtra</v>
          </cell>
          <cell r="E128">
            <v>300</v>
          </cell>
          <cell r="F128" t="str">
            <v>Sub critical</v>
          </cell>
        </row>
        <row r="129">
          <cell r="C129" t="str">
            <v>GOINDWAL SAHIB1</v>
          </cell>
          <cell r="D129" t="str">
            <v>Punjab</v>
          </cell>
          <cell r="E129">
            <v>270</v>
          </cell>
          <cell r="F129" t="str">
            <v>Sub critical</v>
          </cell>
        </row>
        <row r="130">
          <cell r="C130" t="str">
            <v>GOINDWAL SAHIB2</v>
          </cell>
          <cell r="D130" t="str">
            <v>Punjab</v>
          </cell>
          <cell r="E130">
            <v>270</v>
          </cell>
          <cell r="F130" t="str">
            <v>Sub critical</v>
          </cell>
        </row>
        <row r="131">
          <cell r="C131" t="str">
            <v>HALDIA TPP1</v>
          </cell>
          <cell r="D131" t="str">
            <v>West Bengal</v>
          </cell>
          <cell r="E131">
            <v>300</v>
          </cell>
          <cell r="F131" t="str">
            <v>Sub critical</v>
          </cell>
        </row>
        <row r="132">
          <cell r="C132" t="str">
            <v>HALDIA TPP2</v>
          </cell>
          <cell r="D132" t="str">
            <v>West Bengal</v>
          </cell>
          <cell r="E132">
            <v>300</v>
          </cell>
          <cell r="F132" t="str">
            <v>Sub critical</v>
          </cell>
        </row>
        <row r="133">
          <cell r="C133" t="str">
            <v>HARDUAGANJ TPS8</v>
          </cell>
          <cell r="D133" t="str">
            <v>Uttar Pradesh</v>
          </cell>
          <cell r="E133">
            <v>250</v>
          </cell>
          <cell r="F133" t="str">
            <v>Sub critical</v>
          </cell>
        </row>
        <row r="134">
          <cell r="C134" t="str">
            <v>HARDUAGANJ TPS9</v>
          </cell>
          <cell r="D134" t="str">
            <v>Uttar Pradesh</v>
          </cell>
          <cell r="E134">
            <v>250</v>
          </cell>
          <cell r="F134" t="str">
            <v>Sub critical</v>
          </cell>
        </row>
        <row r="135">
          <cell r="C135" t="str">
            <v>HARDUAGANJ TPS7</v>
          </cell>
          <cell r="D135" t="str">
            <v>Uttar Pradesh</v>
          </cell>
          <cell r="E135">
            <v>105</v>
          </cell>
          <cell r="F135" t="str">
            <v>Sub critical</v>
          </cell>
        </row>
        <row r="136">
          <cell r="C136" t="str">
            <v>IB VALLEY TPS2</v>
          </cell>
          <cell r="D136" t="str">
            <v>Odisha</v>
          </cell>
          <cell r="E136">
            <v>210</v>
          </cell>
          <cell r="F136" t="str">
            <v>Sub critical</v>
          </cell>
        </row>
        <row r="137">
          <cell r="C137" t="str">
            <v>IB VALLEY TPS1</v>
          </cell>
          <cell r="D137" t="str">
            <v>Odisha</v>
          </cell>
          <cell r="E137">
            <v>210</v>
          </cell>
          <cell r="F137" t="str">
            <v>Sub critical</v>
          </cell>
        </row>
        <row r="138">
          <cell r="C138" t="str">
            <v>IB VALLEY TPS4</v>
          </cell>
          <cell r="D138" t="str">
            <v>Odisha</v>
          </cell>
          <cell r="E138">
            <v>660</v>
          </cell>
          <cell r="F138" t="str">
            <v>Super critical</v>
          </cell>
        </row>
        <row r="139">
          <cell r="C139" t="str">
            <v>IB VALLEY TPS3</v>
          </cell>
          <cell r="D139" t="str">
            <v>Odisha</v>
          </cell>
          <cell r="E139">
            <v>660</v>
          </cell>
          <cell r="F139" t="str">
            <v>Super critical</v>
          </cell>
        </row>
        <row r="140">
          <cell r="C140" t="str">
            <v>INDIRA GANDHI STPP1</v>
          </cell>
          <cell r="D140" t="str">
            <v>Haryana</v>
          </cell>
          <cell r="E140">
            <v>500</v>
          </cell>
          <cell r="F140" t="str">
            <v>Sub critical</v>
          </cell>
        </row>
        <row r="141">
          <cell r="C141" t="str">
            <v>INDIRA GANDHI STPP3</v>
          </cell>
          <cell r="D141" t="str">
            <v>Haryana</v>
          </cell>
          <cell r="E141">
            <v>500</v>
          </cell>
          <cell r="F141" t="str">
            <v>Sub critical</v>
          </cell>
        </row>
        <row r="142">
          <cell r="C142" t="str">
            <v>INDIRA GANDHI STPP2</v>
          </cell>
          <cell r="D142" t="str">
            <v>Haryana</v>
          </cell>
          <cell r="E142">
            <v>500</v>
          </cell>
          <cell r="F142" t="str">
            <v>Sub critical</v>
          </cell>
        </row>
        <row r="143">
          <cell r="C143" t="str">
            <v>ITPCL TPP1</v>
          </cell>
          <cell r="D143" t="str">
            <v>Tamil Nadu</v>
          </cell>
          <cell r="E143">
            <v>600</v>
          </cell>
          <cell r="F143" t="str">
            <v>Sub critical</v>
          </cell>
        </row>
        <row r="144">
          <cell r="C144" t="str">
            <v>ITPCL TPP2</v>
          </cell>
          <cell r="D144" t="str">
            <v>Tamil Nadu</v>
          </cell>
          <cell r="E144">
            <v>600</v>
          </cell>
          <cell r="F144" t="str">
            <v>Sub critical</v>
          </cell>
        </row>
        <row r="145">
          <cell r="C145" t="str">
            <v>JOJOBERA TPS3</v>
          </cell>
          <cell r="D145" t="str">
            <v>Jharkhand</v>
          </cell>
          <cell r="E145">
            <v>120</v>
          </cell>
          <cell r="F145" t="str">
            <v>Sub critical</v>
          </cell>
        </row>
        <row r="146">
          <cell r="C146" t="str">
            <v>JOJOBERA TPS2</v>
          </cell>
          <cell r="D146" t="str">
            <v>Jharkhand</v>
          </cell>
          <cell r="E146">
            <v>120</v>
          </cell>
          <cell r="F146" t="str">
            <v>Sub critical</v>
          </cell>
        </row>
        <row r="147">
          <cell r="C147" t="str">
            <v>JSW RATNAGIRI TPP1</v>
          </cell>
          <cell r="D147" t="str">
            <v>Maharashtra</v>
          </cell>
          <cell r="E147">
            <v>300</v>
          </cell>
          <cell r="F147" t="str">
            <v>Sub critical</v>
          </cell>
        </row>
        <row r="148">
          <cell r="C148" t="str">
            <v>JSW RATNAGIRI TPP3</v>
          </cell>
          <cell r="D148" t="str">
            <v>Maharashtra</v>
          </cell>
          <cell r="E148">
            <v>300</v>
          </cell>
          <cell r="F148" t="str">
            <v>Sub critical</v>
          </cell>
        </row>
        <row r="149">
          <cell r="C149" t="str">
            <v>JSW RATNAGIRI TPP4</v>
          </cell>
          <cell r="D149" t="str">
            <v>Maharashtra</v>
          </cell>
          <cell r="E149">
            <v>300</v>
          </cell>
          <cell r="F149" t="str">
            <v>Sub critical</v>
          </cell>
        </row>
        <row r="150">
          <cell r="C150" t="str">
            <v>JSW RATNAGIRI TPP2</v>
          </cell>
          <cell r="D150" t="str">
            <v>Maharashtra</v>
          </cell>
          <cell r="E150">
            <v>300</v>
          </cell>
          <cell r="F150" t="str">
            <v>Sub critical</v>
          </cell>
        </row>
        <row r="151">
          <cell r="C151" t="str">
            <v>KAHALGAON TPS5</v>
          </cell>
          <cell r="D151" t="str">
            <v>Bihar</v>
          </cell>
          <cell r="E151">
            <v>500</v>
          </cell>
          <cell r="F151" t="str">
            <v>Sub critical</v>
          </cell>
        </row>
        <row r="152">
          <cell r="C152" t="str">
            <v>KAHALGAON TPS7</v>
          </cell>
          <cell r="D152" t="str">
            <v>Bihar</v>
          </cell>
          <cell r="E152">
            <v>500</v>
          </cell>
          <cell r="F152" t="str">
            <v>Sub critical</v>
          </cell>
        </row>
        <row r="153">
          <cell r="C153" t="str">
            <v>KAHALGAON TPS6</v>
          </cell>
          <cell r="D153" t="str">
            <v>Bihar</v>
          </cell>
          <cell r="E153">
            <v>500</v>
          </cell>
          <cell r="F153" t="str">
            <v>Sub critical</v>
          </cell>
        </row>
        <row r="154">
          <cell r="C154" t="str">
            <v>KAHALGAON TPS2</v>
          </cell>
          <cell r="D154" t="str">
            <v>Bihar</v>
          </cell>
          <cell r="E154">
            <v>210</v>
          </cell>
          <cell r="F154" t="str">
            <v>Sub critical</v>
          </cell>
        </row>
        <row r="155">
          <cell r="C155" t="str">
            <v>KAHALGAON TPS3</v>
          </cell>
          <cell r="D155" t="str">
            <v>Bihar</v>
          </cell>
          <cell r="E155">
            <v>210</v>
          </cell>
          <cell r="F155" t="str">
            <v>Sub critical</v>
          </cell>
        </row>
        <row r="156">
          <cell r="C156" t="str">
            <v>KAHALGAON TPS1</v>
          </cell>
          <cell r="D156" t="str">
            <v>Bihar</v>
          </cell>
          <cell r="E156">
            <v>210</v>
          </cell>
          <cell r="F156" t="str">
            <v>Sub critical</v>
          </cell>
        </row>
        <row r="157">
          <cell r="C157" t="str">
            <v>KAHALGAON TPS4</v>
          </cell>
          <cell r="D157" t="str">
            <v>Bihar</v>
          </cell>
          <cell r="E157">
            <v>210</v>
          </cell>
          <cell r="F157" t="str">
            <v>Sub critical</v>
          </cell>
        </row>
        <row r="158">
          <cell r="C158" t="str">
            <v>KAKATIYA TPS1</v>
          </cell>
          <cell r="D158" t="str">
            <v>Telangana</v>
          </cell>
          <cell r="E158">
            <v>500</v>
          </cell>
          <cell r="F158" t="str">
            <v>Sub critical</v>
          </cell>
        </row>
        <row r="159">
          <cell r="C159" t="str">
            <v>KAKATIYA TPS2</v>
          </cell>
          <cell r="D159" t="str">
            <v>Telangana</v>
          </cell>
          <cell r="E159">
            <v>600</v>
          </cell>
          <cell r="F159" t="str">
            <v>Sub critical</v>
          </cell>
        </row>
        <row r="160">
          <cell r="C160" t="str">
            <v>KALISINDH TPS1</v>
          </cell>
          <cell r="D160" t="str">
            <v>Rajasthan</v>
          </cell>
          <cell r="E160">
            <v>600</v>
          </cell>
          <cell r="F160" t="str">
            <v>Sub critical</v>
          </cell>
        </row>
        <row r="161">
          <cell r="C161" t="str">
            <v>KALISINDH TPS2</v>
          </cell>
          <cell r="D161" t="str">
            <v>Rajasthan</v>
          </cell>
          <cell r="E161">
            <v>600</v>
          </cell>
          <cell r="F161" t="str">
            <v>Sub critical</v>
          </cell>
        </row>
        <row r="162">
          <cell r="C162" t="str">
            <v>KAMALANGA TPS2</v>
          </cell>
          <cell r="D162" t="str">
            <v>Odisha</v>
          </cell>
          <cell r="E162">
            <v>350</v>
          </cell>
          <cell r="F162" t="str">
            <v>Sub critical</v>
          </cell>
        </row>
        <row r="163">
          <cell r="C163" t="str">
            <v>KAMALANGA TPS1</v>
          </cell>
          <cell r="D163" t="str">
            <v>Odisha</v>
          </cell>
          <cell r="E163">
            <v>350</v>
          </cell>
          <cell r="F163" t="str">
            <v>Sub critical</v>
          </cell>
        </row>
        <row r="164">
          <cell r="C164" t="str">
            <v>KAMALANGA TPS3</v>
          </cell>
          <cell r="D164" t="str">
            <v>Odisha</v>
          </cell>
          <cell r="E164">
            <v>350</v>
          </cell>
          <cell r="F164" t="str">
            <v>Sub critical</v>
          </cell>
        </row>
        <row r="165">
          <cell r="C165" t="str">
            <v>KASAIPALLI TPP2</v>
          </cell>
          <cell r="D165" t="str">
            <v>Chhattisgarh</v>
          </cell>
          <cell r="E165">
            <v>135</v>
          </cell>
          <cell r="F165" t="str">
            <v>Sub critical</v>
          </cell>
        </row>
        <row r="166">
          <cell r="C166" t="str">
            <v>KASAIPALLI TPP1</v>
          </cell>
          <cell r="D166" t="str">
            <v>Chhattisgarh</v>
          </cell>
          <cell r="E166">
            <v>135</v>
          </cell>
          <cell r="F166" t="str">
            <v>Sub critical</v>
          </cell>
        </row>
        <row r="167">
          <cell r="C167" t="str">
            <v>KAWAI TPS1</v>
          </cell>
          <cell r="D167" t="str">
            <v>Rajasthan</v>
          </cell>
          <cell r="E167">
            <v>660</v>
          </cell>
          <cell r="F167" t="str">
            <v>Super critical</v>
          </cell>
        </row>
        <row r="168">
          <cell r="C168" t="str">
            <v>KAWAI TPS2</v>
          </cell>
          <cell r="D168" t="str">
            <v>Rajasthan</v>
          </cell>
          <cell r="E168">
            <v>660</v>
          </cell>
          <cell r="F168" t="str">
            <v>Super critical</v>
          </cell>
        </row>
        <row r="169">
          <cell r="C169" t="str">
            <v>KHAMBARKHERA TPS1</v>
          </cell>
          <cell r="D169" t="str">
            <v>Uttar Pradesh</v>
          </cell>
          <cell r="E169">
            <v>45</v>
          </cell>
          <cell r="F169" t="str">
            <v>Sub critical</v>
          </cell>
        </row>
        <row r="170">
          <cell r="C170" t="str">
            <v>KHAMBARKHERA TPS2</v>
          </cell>
          <cell r="D170" t="str">
            <v>Uttar Pradesh</v>
          </cell>
          <cell r="E170">
            <v>45</v>
          </cell>
          <cell r="F170" t="str">
            <v>Sub critical</v>
          </cell>
        </row>
        <row r="171">
          <cell r="C171" t="str">
            <v>KHAPARKHEDA TPS5</v>
          </cell>
          <cell r="D171" t="str">
            <v>Maharashtra</v>
          </cell>
          <cell r="E171">
            <v>500</v>
          </cell>
          <cell r="F171" t="str">
            <v>Sub critical</v>
          </cell>
        </row>
        <row r="172">
          <cell r="C172" t="str">
            <v>KHAPARKHEDA TPS4</v>
          </cell>
          <cell r="D172" t="str">
            <v>Maharashtra</v>
          </cell>
          <cell r="E172">
            <v>210</v>
          </cell>
          <cell r="F172" t="str">
            <v>Sub critical</v>
          </cell>
        </row>
        <row r="173">
          <cell r="C173" t="str">
            <v>KHAPARKHEDA TPS3</v>
          </cell>
          <cell r="D173" t="str">
            <v>Maharashtra</v>
          </cell>
          <cell r="E173">
            <v>210</v>
          </cell>
          <cell r="F173" t="str">
            <v>Sub critical</v>
          </cell>
        </row>
        <row r="174">
          <cell r="C174" t="str">
            <v>KHAPARKHEDA TPS2</v>
          </cell>
          <cell r="D174" t="str">
            <v>Maharashtra</v>
          </cell>
          <cell r="E174">
            <v>210</v>
          </cell>
          <cell r="F174" t="str">
            <v>Sub critical</v>
          </cell>
        </row>
        <row r="175">
          <cell r="C175" t="str">
            <v>KHAPARKHEDA TPS1</v>
          </cell>
          <cell r="D175" t="str">
            <v>Maharashtra</v>
          </cell>
          <cell r="E175">
            <v>210</v>
          </cell>
          <cell r="F175" t="str">
            <v>Sub critical</v>
          </cell>
        </row>
        <row r="176">
          <cell r="C176" t="str">
            <v>KHARGONE STPP1</v>
          </cell>
          <cell r="D176" t="str">
            <v>Madhya Pradesh</v>
          </cell>
          <cell r="E176">
            <v>660</v>
          </cell>
          <cell r="F176" t="str">
            <v>Ultra Super critical</v>
          </cell>
        </row>
        <row r="177">
          <cell r="C177" t="str">
            <v>KHARGONE STPP2</v>
          </cell>
          <cell r="D177" t="str">
            <v>Madhya Pradesh</v>
          </cell>
          <cell r="E177">
            <v>660</v>
          </cell>
          <cell r="F177" t="str">
            <v>Ultra Super critical</v>
          </cell>
        </row>
        <row r="178">
          <cell r="C178" t="str">
            <v>KODARMA TPS2</v>
          </cell>
          <cell r="D178" t="str">
            <v>Jharkhand</v>
          </cell>
          <cell r="E178">
            <v>500</v>
          </cell>
          <cell r="F178" t="str">
            <v>Sub critical</v>
          </cell>
        </row>
        <row r="179">
          <cell r="C179" t="str">
            <v>KODARMA TPS1</v>
          </cell>
          <cell r="D179" t="str">
            <v>Jharkhand</v>
          </cell>
          <cell r="E179">
            <v>500</v>
          </cell>
          <cell r="F179" t="str">
            <v>Sub critical</v>
          </cell>
        </row>
        <row r="180">
          <cell r="C180" t="str">
            <v>KOLAGHAT TPS5</v>
          </cell>
          <cell r="D180" t="str">
            <v>West Bengal</v>
          </cell>
          <cell r="E180">
            <v>210</v>
          </cell>
          <cell r="F180" t="str">
            <v>Sub critical</v>
          </cell>
        </row>
        <row r="181">
          <cell r="C181" t="str">
            <v>KOLAGHAT TPS6</v>
          </cell>
          <cell r="D181" t="str">
            <v>West Bengal</v>
          </cell>
          <cell r="E181">
            <v>210</v>
          </cell>
          <cell r="F181" t="str">
            <v>Sub critical</v>
          </cell>
        </row>
        <row r="182">
          <cell r="C182" t="str">
            <v>KOLAGHAT TPS4</v>
          </cell>
          <cell r="D182" t="str">
            <v>West Bengal</v>
          </cell>
          <cell r="E182">
            <v>210</v>
          </cell>
          <cell r="F182" t="str">
            <v>Sub critical</v>
          </cell>
        </row>
        <row r="183">
          <cell r="C183" t="str">
            <v>KOLAGHAT TPS2</v>
          </cell>
          <cell r="D183" t="str">
            <v>West Bengal</v>
          </cell>
          <cell r="E183">
            <v>210</v>
          </cell>
          <cell r="F183" t="str">
            <v>Sub critical</v>
          </cell>
        </row>
        <row r="184">
          <cell r="C184" t="str">
            <v>KOLAGHAT TPS1</v>
          </cell>
          <cell r="D184" t="str">
            <v>West Bengal</v>
          </cell>
          <cell r="E184">
            <v>210</v>
          </cell>
          <cell r="F184" t="str">
            <v>Sub critical</v>
          </cell>
        </row>
        <row r="185">
          <cell r="C185" t="str">
            <v>KOLAGHAT TPS3</v>
          </cell>
          <cell r="D185" t="str">
            <v>West Bengal</v>
          </cell>
          <cell r="E185">
            <v>210</v>
          </cell>
          <cell r="F185" t="str">
            <v>Sub critical</v>
          </cell>
        </row>
        <row r="186">
          <cell r="C186" t="str">
            <v>KORADI TPS8</v>
          </cell>
          <cell r="D186" t="str">
            <v>Maharashtra</v>
          </cell>
          <cell r="E186">
            <v>660</v>
          </cell>
          <cell r="F186" t="str">
            <v>Super critical</v>
          </cell>
        </row>
        <row r="187">
          <cell r="C187" t="str">
            <v>KORADI TPS9</v>
          </cell>
          <cell r="D187" t="str">
            <v>Maharashtra</v>
          </cell>
          <cell r="E187">
            <v>660</v>
          </cell>
          <cell r="F187" t="str">
            <v>Super critical</v>
          </cell>
        </row>
        <row r="188">
          <cell r="C188" t="str">
            <v>KORADI TPS10</v>
          </cell>
          <cell r="D188" t="str">
            <v>Maharashtra</v>
          </cell>
          <cell r="E188">
            <v>660</v>
          </cell>
          <cell r="F188" t="str">
            <v>Super critical</v>
          </cell>
        </row>
        <row r="189">
          <cell r="C189" t="str">
            <v>KORADI TPS7</v>
          </cell>
          <cell r="D189" t="str">
            <v>Maharashtra</v>
          </cell>
          <cell r="E189">
            <v>210</v>
          </cell>
          <cell r="F189" t="str">
            <v>Sub critical</v>
          </cell>
        </row>
        <row r="190">
          <cell r="C190" t="str">
            <v>KORADI TPS6</v>
          </cell>
          <cell r="D190" t="str">
            <v>Maharashtra</v>
          </cell>
          <cell r="E190">
            <v>210</v>
          </cell>
          <cell r="F190" t="str">
            <v>Sub critical</v>
          </cell>
        </row>
        <row r="191">
          <cell r="C191" t="str">
            <v>KORBA STPS7</v>
          </cell>
          <cell r="D191" t="str">
            <v>Chhattisgarh</v>
          </cell>
          <cell r="E191">
            <v>500</v>
          </cell>
          <cell r="F191" t="str">
            <v>Sub critical</v>
          </cell>
        </row>
        <row r="192">
          <cell r="C192" t="str">
            <v>KORBA STPS6</v>
          </cell>
          <cell r="D192" t="str">
            <v>Chhattisgarh</v>
          </cell>
          <cell r="E192">
            <v>500</v>
          </cell>
          <cell r="F192" t="str">
            <v>Sub critical</v>
          </cell>
        </row>
        <row r="193">
          <cell r="C193" t="str">
            <v>KORBA STPS5</v>
          </cell>
          <cell r="D193" t="str">
            <v>Chhattisgarh</v>
          </cell>
          <cell r="E193">
            <v>500</v>
          </cell>
          <cell r="F193" t="str">
            <v>Sub critical</v>
          </cell>
        </row>
        <row r="194">
          <cell r="C194" t="str">
            <v>KORBA STPS4</v>
          </cell>
          <cell r="D194" t="str">
            <v>Chhattisgarh</v>
          </cell>
          <cell r="E194">
            <v>500</v>
          </cell>
          <cell r="F194" t="str">
            <v>Sub critical</v>
          </cell>
        </row>
        <row r="195">
          <cell r="C195" t="str">
            <v>KORBA STPS1</v>
          </cell>
          <cell r="D195" t="str">
            <v>Chhattisgarh</v>
          </cell>
          <cell r="E195">
            <v>200</v>
          </cell>
          <cell r="F195" t="str">
            <v>Sub critical</v>
          </cell>
        </row>
        <row r="196">
          <cell r="C196" t="str">
            <v>KORBA STPS3</v>
          </cell>
          <cell r="D196" t="str">
            <v>Chhattisgarh</v>
          </cell>
          <cell r="E196">
            <v>200</v>
          </cell>
          <cell r="F196" t="str">
            <v>Sub critical</v>
          </cell>
        </row>
        <row r="197">
          <cell r="C197" t="str">
            <v>KORBA STPS2</v>
          </cell>
          <cell r="D197" t="str">
            <v>Chhattisgarh</v>
          </cell>
          <cell r="E197">
            <v>200</v>
          </cell>
          <cell r="F197" t="str">
            <v>Sub critical</v>
          </cell>
        </row>
        <row r="198">
          <cell r="C198" t="str">
            <v>KORBA-II4</v>
          </cell>
          <cell r="D198" t="str">
            <v>Chhattisgarh</v>
          </cell>
          <cell r="E198">
            <v>50</v>
          </cell>
          <cell r="F198" t="str">
            <v>Sub critical</v>
          </cell>
        </row>
        <row r="199">
          <cell r="C199" t="str">
            <v>KORBA-II3</v>
          </cell>
          <cell r="D199" t="str">
            <v>Chhattisgarh</v>
          </cell>
          <cell r="E199">
            <v>50</v>
          </cell>
          <cell r="F199" t="str">
            <v>Sub critical</v>
          </cell>
        </row>
        <row r="200">
          <cell r="C200" t="str">
            <v>KORBA-II2</v>
          </cell>
          <cell r="D200" t="str">
            <v>Chhattisgarh</v>
          </cell>
          <cell r="E200">
            <v>50</v>
          </cell>
          <cell r="F200" t="str">
            <v>Sub critical</v>
          </cell>
        </row>
        <row r="201">
          <cell r="C201" t="str">
            <v>KORBA-III1</v>
          </cell>
          <cell r="D201" t="str">
            <v>Chhattisgarh</v>
          </cell>
          <cell r="E201">
            <v>120</v>
          </cell>
          <cell r="F201" t="str">
            <v>Sub critical</v>
          </cell>
        </row>
        <row r="202">
          <cell r="C202" t="str">
            <v>KORBA-III2</v>
          </cell>
          <cell r="D202" t="str">
            <v>Chhattisgarh</v>
          </cell>
          <cell r="E202">
            <v>120</v>
          </cell>
          <cell r="F202" t="str">
            <v>Sub critical</v>
          </cell>
        </row>
        <row r="203">
          <cell r="C203" t="str">
            <v>KORBA-WEST TPS5</v>
          </cell>
          <cell r="D203" t="str">
            <v>Chhattisgarh</v>
          </cell>
          <cell r="E203">
            <v>500</v>
          </cell>
          <cell r="F203" t="str">
            <v>Sub critical</v>
          </cell>
        </row>
        <row r="204">
          <cell r="C204" t="str">
            <v>KORBA-WEST TPS1</v>
          </cell>
          <cell r="D204" t="str">
            <v>Chhattisgarh</v>
          </cell>
          <cell r="E204">
            <v>210</v>
          </cell>
          <cell r="F204" t="str">
            <v>Sub critical</v>
          </cell>
        </row>
        <row r="205">
          <cell r="C205" t="str">
            <v>KORBA-WEST TPS2</v>
          </cell>
          <cell r="D205" t="str">
            <v>Chhattisgarh</v>
          </cell>
          <cell r="E205">
            <v>210</v>
          </cell>
          <cell r="F205" t="str">
            <v>Sub critical</v>
          </cell>
        </row>
        <row r="206">
          <cell r="C206" t="str">
            <v>KORBA-WEST TPS4</v>
          </cell>
          <cell r="D206" t="str">
            <v>Chhattisgarh</v>
          </cell>
          <cell r="E206">
            <v>210</v>
          </cell>
          <cell r="F206" t="str">
            <v>Sub critical</v>
          </cell>
        </row>
        <row r="207">
          <cell r="C207" t="str">
            <v>KORBA-WEST TPS3</v>
          </cell>
          <cell r="D207" t="str">
            <v>Chhattisgarh</v>
          </cell>
          <cell r="E207">
            <v>210</v>
          </cell>
          <cell r="F207" t="str">
            <v>Sub critical</v>
          </cell>
        </row>
        <row r="208">
          <cell r="C208" t="str">
            <v>KOTA TPS7</v>
          </cell>
          <cell r="D208" t="str">
            <v>Rajasthan</v>
          </cell>
          <cell r="E208">
            <v>195</v>
          </cell>
          <cell r="F208" t="str">
            <v>Sub critical</v>
          </cell>
        </row>
        <row r="209">
          <cell r="C209" t="str">
            <v>KOTA TPS6</v>
          </cell>
          <cell r="D209" t="str">
            <v>Rajasthan</v>
          </cell>
          <cell r="E209">
            <v>195</v>
          </cell>
          <cell r="F209" t="str">
            <v>Sub critical</v>
          </cell>
        </row>
        <row r="210">
          <cell r="C210" t="str">
            <v>KOTA TPS4</v>
          </cell>
          <cell r="D210" t="str">
            <v>Rajasthan</v>
          </cell>
          <cell r="E210">
            <v>210</v>
          </cell>
          <cell r="F210" t="str">
            <v>Sub critical</v>
          </cell>
        </row>
        <row r="211">
          <cell r="C211" t="str">
            <v>KOTA TPS3</v>
          </cell>
          <cell r="D211" t="str">
            <v>Rajasthan</v>
          </cell>
          <cell r="E211">
            <v>210</v>
          </cell>
          <cell r="F211" t="str">
            <v>Sub critical</v>
          </cell>
        </row>
        <row r="212">
          <cell r="C212" t="str">
            <v>KOTA TPS5</v>
          </cell>
          <cell r="D212" t="str">
            <v>Rajasthan</v>
          </cell>
          <cell r="E212">
            <v>210</v>
          </cell>
          <cell r="F212" t="str">
            <v>Sub critical</v>
          </cell>
        </row>
        <row r="213">
          <cell r="C213" t="str">
            <v>KOTA TPS2</v>
          </cell>
          <cell r="D213" t="str">
            <v>Rajasthan</v>
          </cell>
          <cell r="E213">
            <v>110</v>
          </cell>
          <cell r="F213" t="str">
            <v>Sub critical</v>
          </cell>
        </row>
        <row r="214">
          <cell r="C214" t="str">
            <v>KOTA TPS1</v>
          </cell>
          <cell r="D214" t="str">
            <v>Rajasthan</v>
          </cell>
          <cell r="E214">
            <v>110</v>
          </cell>
          <cell r="F214" t="str">
            <v>Sub critical</v>
          </cell>
        </row>
        <row r="215">
          <cell r="C215" t="str">
            <v>KOTHAGUDEM NEW TPS11</v>
          </cell>
          <cell r="D215" t="str">
            <v>Telangana</v>
          </cell>
          <cell r="E215">
            <v>500</v>
          </cell>
          <cell r="F215" t="str">
            <v>Sub critical</v>
          </cell>
        </row>
        <row r="216">
          <cell r="C216" t="str">
            <v>KOTHAGUDEM NEW TPS10</v>
          </cell>
          <cell r="D216" t="str">
            <v>Telangana</v>
          </cell>
          <cell r="E216">
            <v>250</v>
          </cell>
          <cell r="F216" t="str">
            <v>Sub critical</v>
          </cell>
        </row>
        <row r="217">
          <cell r="C217" t="str">
            <v>KOTHAGUDEM NEW TPS9</v>
          </cell>
          <cell r="D217" t="str">
            <v>Telangana</v>
          </cell>
          <cell r="E217">
            <v>250</v>
          </cell>
          <cell r="F217" t="str">
            <v>Sub critical</v>
          </cell>
        </row>
        <row r="218">
          <cell r="C218" t="str">
            <v>KOTHAGUDEM STAGE-7 TPS12</v>
          </cell>
          <cell r="D218" t="str">
            <v>Telangana</v>
          </cell>
          <cell r="E218">
            <v>800</v>
          </cell>
          <cell r="F218" t="str">
            <v>Super critical</v>
          </cell>
        </row>
        <row r="219">
          <cell r="C219" t="str">
            <v>KOTHAGUDEM TPS5</v>
          </cell>
          <cell r="D219" t="str">
            <v>Telangana</v>
          </cell>
          <cell r="E219">
            <v>120</v>
          </cell>
          <cell r="F219" t="str">
            <v>Sub critical</v>
          </cell>
        </row>
        <row r="220">
          <cell r="C220" t="str">
            <v>KOTHAGUDEM TPS7</v>
          </cell>
          <cell r="D220" t="str">
            <v>Telangana</v>
          </cell>
          <cell r="E220">
            <v>120</v>
          </cell>
          <cell r="F220" t="str">
            <v>Sub critical</v>
          </cell>
        </row>
        <row r="221">
          <cell r="C221" t="str">
            <v>KOTHAGUDEM TPS6</v>
          </cell>
          <cell r="D221" t="str">
            <v>Telangana</v>
          </cell>
          <cell r="E221">
            <v>120</v>
          </cell>
          <cell r="F221" t="str">
            <v>Sub critical</v>
          </cell>
        </row>
        <row r="222">
          <cell r="C222" t="str">
            <v>KOTHAGUDEM TPS8</v>
          </cell>
          <cell r="D222" t="str">
            <v>Telangana</v>
          </cell>
          <cell r="E222">
            <v>120</v>
          </cell>
          <cell r="F222" t="str">
            <v>Sub critical</v>
          </cell>
        </row>
        <row r="223">
          <cell r="C223" t="str">
            <v>KOTHAGUDEM TPS4</v>
          </cell>
          <cell r="D223" t="str">
            <v>Telangana</v>
          </cell>
          <cell r="E223">
            <v>60</v>
          </cell>
          <cell r="F223" t="str">
            <v>Sub critical</v>
          </cell>
        </row>
        <row r="224">
          <cell r="C224" t="str">
            <v>KOTHAGUDEM TPS2</v>
          </cell>
          <cell r="D224" t="str">
            <v>Telangana</v>
          </cell>
          <cell r="E224">
            <v>60</v>
          </cell>
          <cell r="F224" t="str">
            <v>Sub critical</v>
          </cell>
        </row>
        <row r="225">
          <cell r="C225" t="str">
            <v>KOTHAGUDEM TPS1</v>
          </cell>
          <cell r="D225" t="str">
            <v>Telangana</v>
          </cell>
          <cell r="E225">
            <v>60</v>
          </cell>
          <cell r="F225" t="str">
            <v>Sub critical</v>
          </cell>
        </row>
        <row r="226">
          <cell r="C226" t="str">
            <v>KUDGI STPP1</v>
          </cell>
          <cell r="D226" t="str">
            <v>Karnataka</v>
          </cell>
          <cell r="E226">
            <v>800</v>
          </cell>
          <cell r="F226" t="str">
            <v>Super critical</v>
          </cell>
        </row>
        <row r="227">
          <cell r="C227" t="str">
            <v>KUDGI STPP2</v>
          </cell>
          <cell r="D227" t="str">
            <v>Karnataka</v>
          </cell>
          <cell r="E227">
            <v>800</v>
          </cell>
          <cell r="F227" t="str">
            <v>Super critical</v>
          </cell>
        </row>
        <row r="228">
          <cell r="C228" t="str">
            <v>KUDGI STPP3</v>
          </cell>
          <cell r="D228" t="str">
            <v>Karnataka</v>
          </cell>
          <cell r="E228">
            <v>800</v>
          </cell>
          <cell r="F228" t="str">
            <v>Super critical</v>
          </cell>
        </row>
        <row r="229">
          <cell r="C229" t="str">
            <v>KUNDARKI TPS1</v>
          </cell>
          <cell r="D229" t="str">
            <v>Uttar Pradesh</v>
          </cell>
          <cell r="E229">
            <v>45</v>
          </cell>
          <cell r="F229" t="str">
            <v>Sub critical</v>
          </cell>
        </row>
        <row r="230">
          <cell r="C230" t="str">
            <v>KUNDARKI TPS2</v>
          </cell>
          <cell r="D230" t="str">
            <v>Uttar Pradesh</v>
          </cell>
          <cell r="E230">
            <v>45</v>
          </cell>
          <cell r="F230" t="str">
            <v>Sub critical</v>
          </cell>
        </row>
        <row r="231">
          <cell r="C231" t="str">
            <v>LALITPUR TPS1</v>
          </cell>
          <cell r="D231" t="str">
            <v>Uttar Pradesh</v>
          </cell>
          <cell r="E231">
            <v>660</v>
          </cell>
          <cell r="F231" t="str">
            <v>Super critical</v>
          </cell>
        </row>
        <row r="232">
          <cell r="C232" t="str">
            <v>LALITPUR TPS3</v>
          </cell>
          <cell r="D232" t="str">
            <v>Uttar Pradesh</v>
          </cell>
          <cell r="E232">
            <v>660</v>
          </cell>
          <cell r="F232" t="str">
            <v>Super critical</v>
          </cell>
        </row>
        <row r="233">
          <cell r="C233" t="str">
            <v>LALITPUR TPS2</v>
          </cell>
          <cell r="D233" t="str">
            <v>Uttar Pradesh</v>
          </cell>
          <cell r="E233">
            <v>660</v>
          </cell>
          <cell r="F233" t="str">
            <v>Super critical</v>
          </cell>
        </row>
        <row r="234">
          <cell r="C234" t="str">
            <v>LARA TPP1</v>
          </cell>
          <cell r="D234" t="str">
            <v>Chhattisgarh</v>
          </cell>
          <cell r="E234">
            <v>800</v>
          </cell>
          <cell r="F234" t="str">
            <v>Super critical</v>
          </cell>
        </row>
        <row r="235">
          <cell r="C235" t="str">
            <v>LARA TPP2</v>
          </cell>
          <cell r="D235" t="str">
            <v>Chhattisgarh</v>
          </cell>
          <cell r="E235">
            <v>800</v>
          </cell>
          <cell r="F235" t="str">
            <v>Super critical</v>
          </cell>
        </row>
        <row r="236">
          <cell r="C236" t="str">
            <v>MAHADEV PRASAD STPP1</v>
          </cell>
          <cell r="D236" t="str">
            <v>Jharkhand</v>
          </cell>
          <cell r="E236">
            <v>270</v>
          </cell>
          <cell r="F236" t="str">
            <v>Sub critical</v>
          </cell>
        </row>
        <row r="237">
          <cell r="C237" t="str">
            <v>MAHADEV PRASAD STPP2</v>
          </cell>
          <cell r="D237" t="str">
            <v>Jharkhand</v>
          </cell>
          <cell r="E237">
            <v>270</v>
          </cell>
          <cell r="F237" t="str">
            <v>Sub critical</v>
          </cell>
        </row>
        <row r="238">
          <cell r="C238" t="str">
            <v>MAHAN TPP1</v>
          </cell>
          <cell r="D238" t="str">
            <v>Madhya Pradesh</v>
          </cell>
          <cell r="E238">
            <v>600</v>
          </cell>
          <cell r="F238" t="str">
            <v>Sub critical</v>
          </cell>
        </row>
        <row r="239">
          <cell r="C239" t="str">
            <v>MAHAN TPP2</v>
          </cell>
          <cell r="D239" t="str">
            <v>Madhya Pradesh</v>
          </cell>
          <cell r="E239">
            <v>600</v>
          </cell>
          <cell r="F239" t="str">
            <v>Sub critical</v>
          </cell>
        </row>
        <row r="240">
          <cell r="C240" t="str">
            <v>MAHATMA GANDHI TPS2</v>
          </cell>
          <cell r="D240" t="str">
            <v>Haryana</v>
          </cell>
          <cell r="E240">
            <v>660</v>
          </cell>
          <cell r="F240" t="str">
            <v>Super critical</v>
          </cell>
        </row>
        <row r="241">
          <cell r="C241" t="str">
            <v>MAHATMA GANDHI TPS1</v>
          </cell>
          <cell r="D241" t="str">
            <v>Haryana</v>
          </cell>
          <cell r="E241">
            <v>660</v>
          </cell>
          <cell r="F241" t="str">
            <v>Super critical</v>
          </cell>
        </row>
        <row r="242">
          <cell r="C242" t="str">
            <v>MAITHON RB TPP2</v>
          </cell>
          <cell r="D242" t="str">
            <v>Jharkhand</v>
          </cell>
          <cell r="E242">
            <v>525</v>
          </cell>
          <cell r="F242" t="str">
            <v>Sub critical</v>
          </cell>
        </row>
        <row r="243">
          <cell r="C243" t="str">
            <v>MAITHON RB TPP1</v>
          </cell>
          <cell r="D243" t="str">
            <v>Jharkhand</v>
          </cell>
          <cell r="E243">
            <v>525</v>
          </cell>
          <cell r="F243" t="str">
            <v>Sub critical</v>
          </cell>
        </row>
        <row r="244">
          <cell r="C244" t="str">
            <v>MAQSOODPUR TPS1</v>
          </cell>
          <cell r="D244" t="str">
            <v>Uttar Pradesh</v>
          </cell>
          <cell r="E244">
            <v>45</v>
          </cell>
          <cell r="F244" t="str">
            <v>Sub critical</v>
          </cell>
        </row>
        <row r="245">
          <cell r="C245" t="str">
            <v>MAQSOODPUR TPS2</v>
          </cell>
          <cell r="D245" t="str">
            <v>Uttar Pradesh</v>
          </cell>
          <cell r="E245">
            <v>45</v>
          </cell>
          <cell r="F245" t="str">
            <v>Sub critical</v>
          </cell>
        </row>
        <row r="246">
          <cell r="C246" t="str">
            <v>MARWA TPS2</v>
          </cell>
          <cell r="D246" t="str">
            <v>Chhattisgarh</v>
          </cell>
          <cell r="E246">
            <v>500</v>
          </cell>
          <cell r="F246" t="str">
            <v>Sub critical</v>
          </cell>
        </row>
        <row r="247">
          <cell r="C247" t="str">
            <v>MARWA TPS1</v>
          </cell>
          <cell r="D247" t="str">
            <v>Chhattisgarh</v>
          </cell>
          <cell r="E247">
            <v>500</v>
          </cell>
          <cell r="F247" t="str">
            <v>Sub critical</v>
          </cell>
        </row>
        <row r="248">
          <cell r="C248" t="str">
            <v>MAUDA TPS1</v>
          </cell>
          <cell r="D248" t="str">
            <v>Maharashtra</v>
          </cell>
          <cell r="E248">
            <v>500</v>
          </cell>
          <cell r="F248" t="str">
            <v>Sub critical</v>
          </cell>
        </row>
        <row r="249">
          <cell r="C249" t="str">
            <v>MAUDA TPS2</v>
          </cell>
          <cell r="D249" t="str">
            <v>Maharashtra</v>
          </cell>
          <cell r="E249">
            <v>500</v>
          </cell>
          <cell r="F249" t="str">
            <v>Sub critical</v>
          </cell>
        </row>
        <row r="250">
          <cell r="C250" t="str">
            <v>MAUDA TPS3</v>
          </cell>
          <cell r="D250" t="str">
            <v>Maharashtra</v>
          </cell>
          <cell r="E250">
            <v>660</v>
          </cell>
          <cell r="F250" t="str">
            <v>Super critical</v>
          </cell>
        </row>
        <row r="251">
          <cell r="C251" t="str">
            <v>MAUDA TPS4</v>
          </cell>
          <cell r="D251" t="str">
            <v>Maharashtra</v>
          </cell>
          <cell r="E251">
            <v>660</v>
          </cell>
          <cell r="F251" t="str">
            <v>Super critical</v>
          </cell>
        </row>
        <row r="252">
          <cell r="C252" t="str">
            <v>MEJA STPP1</v>
          </cell>
          <cell r="D252" t="str">
            <v>Uttar Pradesh</v>
          </cell>
          <cell r="E252">
            <v>660</v>
          </cell>
          <cell r="F252" t="str">
            <v>Super critical</v>
          </cell>
        </row>
        <row r="253">
          <cell r="C253" t="str">
            <v>MEJIA TPS7</v>
          </cell>
          <cell r="D253" t="str">
            <v>West Bengal</v>
          </cell>
          <cell r="E253">
            <v>500</v>
          </cell>
          <cell r="F253" t="str">
            <v>Sub critical</v>
          </cell>
        </row>
        <row r="254">
          <cell r="C254" t="str">
            <v>MEJIA TPS8</v>
          </cell>
          <cell r="D254" t="str">
            <v>West Bengal</v>
          </cell>
          <cell r="E254">
            <v>500</v>
          </cell>
          <cell r="F254" t="str">
            <v>Sub critical</v>
          </cell>
        </row>
        <row r="255">
          <cell r="C255" t="str">
            <v>MEJIA TPS6</v>
          </cell>
          <cell r="D255" t="str">
            <v>West Bengal</v>
          </cell>
          <cell r="E255">
            <v>250</v>
          </cell>
          <cell r="F255" t="str">
            <v>Sub critical</v>
          </cell>
        </row>
        <row r="256">
          <cell r="C256" t="str">
            <v>MEJIA TPS5</v>
          </cell>
          <cell r="D256" t="str">
            <v>West Bengal</v>
          </cell>
          <cell r="E256">
            <v>250</v>
          </cell>
          <cell r="F256" t="str">
            <v>Sub critical</v>
          </cell>
        </row>
        <row r="257">
          <cell r="C257" t="str">
            <v>MEJIA TPS3</v>
          </cell>
          <cell r="D257" t="str">
            <v>West Bengal</v>
          </cell>
          <cell r="E257">
            <v>210</v>
          </cell>
          <cell r="F257" t="str">
            <v>Sub critical</v>
          </cell>
        </row>
        <row r="258">
          <cell r="C258" t="str">
            <v>MEJIA TPS1</v>
          </cell>
          <cell r="D258" t="str">
            <v>West Bengal</v>
          </cell>
          <cell r="E258">
            <v>210</v>
          </cell>
          <cell r="F258" t="str">
            <v>Sub critical</v>
          </cell>
        </row>
        <row r="259">
          <cell r="C259" t="str">
            <v>MEJIA TPS2</v>
          </cell>
          <cell r="D259" t="str">
            <v>West Bengal</v>
          </cell>
          <cell r="E259">
            <v>210</v>
          </cell>
          <cell r="F259" t="str">
            <v>Sub critical</v>
          </cell>
        </row>
        <row r="260">
          <cell r="C260" t="str">
            <v>MEJIA TPS4</v>
          </cell>
          <cell r="D260" t="str">
            <v>West Bengal</v>
          </cell>
          <cell r="E260">
            <v>210</v>
          </cell>
          <cell r="F260" t="str">
            <v>Sub critical</v>
          </cell>
        </row>
        <row r="261">
          <cell r="C261" t="str">
            <v>METTUR TPS2</v>
          </cell>
          <cell r="D261" t="str">
            <v>Tamil Nadu</v>
          </cell>
          <cell r="E261">
            <v>210</v>
          </cell>
          <cell r="F261" t="str">
            <v>Sub critical</v>
          </cell>
        </row>
        <row r="262">
          <cell r="C262" t="str">
            <v>METTUR TPS1</v>
          </cell>
          <cell r="D262" t="str">
            <v>Tamil Nadu</v>
          </cell>
          <cell r="E262">
            <v>210</v>
          </cell>
          <cell r="F262" t="str">
            <v>Sub critical</v>
          </cell>
        </row>
        <row r="263">
          <cell r="C263" t="str">
            <v>METTUR TPS3</v>
          </cell>
          <cell r="D263" t="str">
            <v>Tamil Nadu</v>
          </cell>
          <cell r="E263">
            <v>210</v>
          </cell>
          <cell r="F263" t="str">
            <v>Sub critical</v>
          </cell>
        </row>
        <row r="264">
          <cell r="C264" t="str">
            <v>METTUR TPS4</v>
          </cell>
          <cell r="D264" t="str">
            <v>Tamil Nadu</v>
          </cell>
          <cell r="E264">
            <v>210</v>
          </cell>
          <cell r="F264" t="str">
            <v>Sub critical</v>
          </cell>
        </row>
        <row r="265">
          <cell r="C265" t="str">
            <v>METTUR TPS EXT1</v>
          </cell>
          <cell r="D265" t="str">
            <v>Tamil Nadu</v>
          </cell>
          <cell r="E265">
            <v>600</v>
          </cell>
          <cell r="F265" t="str">
            <v>Sub critical</v>
          </cell>
        </row>
        <row r="266">
          <cell r="C266" t="str">
            <v>MUNDRA TPS8</v>
          </cell>
          <cell r="D266" t="str">
            <v>Gujarat</v>
          </cell>
          <cell r="E266">
            <v>660</v>
          </cell>
          <cell r="F266" t="str">
            <v>Super critical</v>
          </cell>
        </row>
        <row r="267">
          <cell r="C267" t="str">
            <v>MUNDRA TPS7</v>
          </cell>
          <cell r="D267" t="str">
            <v>Gujarat</v>
          </cell>
          <cell r="E267">
            <v>660</v>
          </cell>
          <cell r="F267" t="str">
            <v>Super critical</v>
          </cell>
        </row>
        <row r="268">
          <cell r="C268" t="str">
            <v>MUNDRA TPS9</v>
          </cell>
          <cell r="D268" t="str">
            <v>Gujarat</v>
          </cell>
          <cell r="E268">
            <v>660</v>
          </cell>
          <cell r="F268" t="str">
            <v>Super critical</v>
          </cell>
        </row>
        <row r="269">
          <cell r="C269" t="str">
            <v>MUNDRA TPS5</v>
          </cell>
          <cell r="D269" t="str">
            <v>Gujarat</v>
          </cell>
          <cell r="E269">
            <v>660</v>
          </cell>
          <cell r="F269" t="str">
            <v>Super critical</v>
          </cell>
        </row>
        <row r="270">
          <cell r="C270" t="str">
            <v>MUNDRA TPS6</v>
          </cell>
          <cell r="D270" t="str">
            <v>Gujarat</v>
          </cell>
          <cell r="E270">
            <v>660</v>
          </cell>
          <cell r="F270" t="str">
            <v>Super critical</v>
          </cell>
        </row>
        <row r="271">
          <cell r="C271" t="str">
            <v>MUNDRA TPS3</v>
          </cell>
          <cell r="D271" t="str">
            <v>Gujarat</v>
          </cell>
          <cell r="E271">
            <v>330</v>
          </cell>
          <cell r="F271" t="str">
            <v>Sub critical</v>
          </cell>
        </row>
        <row r="272">
          <cell r="C272" t="str">
            <v>MUNDRA TPS4</v>
          </cell>
          <cell r="D272" t="str">
            <v>Gujarat</v>
          </cell>
          <cell r="E272">
            <v>330</v>
          </cell>
          <cell r="F272" t="str">
            <v>Sub critical</v>
          </cell>
        </row>
        <row r="273">
          <cell r="C273" t="str">
            <v>MUNDRA TPS2</v>
          </cell>
          <cell r="D273" t="str">
            <v>Gujarat</v>
          </cell>
          <cell r="E273">
            <v>330</v>
          </cell>
          <cell r="F273" t="str">
            <v>Sub critical</v>
          </cell>
        </row>
        <row r="274">
          <cell r="C274" t="str">
            <v>MUNDRA TPS1</v>
          </cell>
          <cell r="D274" t="str">
            <v>Gujarat</v>
          </cell>
          <cell r="E274">
            <v>330</v>
          </cell>
          <cell r="F274" t="str">
            <v>Sub critical</v>
          </cell>
        </row>
        <row r="275">
          <cell r="C275" t="str">
            <v>MUNDRA UMTPP2</v>
          </cell>
          <cell r="D275" t="str">
            <v>Gujarat</v>
          </cell>
          <cell r="E275">
            <v>800</v>
          </cell>
          <cell r="F275" t="str">
            <v>Super critical</v>
          </cell>
        </row>
        <row r="276">
          <cell r="C276" t="str">
            <v>MUNDRA UMTPP3</v>
          </cell>
          <cell r="D276" t="str">
            <v>Gujarat</v>
          </cell>
          <cell r="E276">
            <v>800</v>
          </cell>
          <cell r="F276" t="str">
            <v>Super critical</v>
          </cell>
        </row>
        <row r="277">
          <cell r="C277" t="str">
            <v>MUNDRA UMTPP4</v>
          </cell>
          <cell r="D277" t="str">
            <v>Gujarat</v>
          </cell>
          <cell r="E277">
            <v>800</v>
          </cell>
          <cell r="F277" t="str">
            <v>Super critical</v>
          </cell>
        </row>
        <row r="278">
          <cell r="C278" t="str">
            <v>MUNDRA UMTPP1</v>
          </cell>
          <cell r="D278" t="str">
            <v>Gujarat</v>
          </cell>
          <cell r="E278">
            <v>800</v>
          </cell>
          <cell r="F278" t="str">
            <v>Super critical</v>
          </cell>
        </row>
        <row r="279">
          <cell r="C279" t="str">
            <v>MUNDRA UMTPP5</v>
          </cell>
          <cell r="D279" t="str">
            <v>Gujarat</v>
          </cell>
          <cell r="E279">
            <v>800</v>
          </cell>
          <cell r="F279" t="str">
            <v>Super critical</v>
          </cell>
        </row>
        <row r="280">
          <cell r="C280" t="str">
            <v>MUTHIARA TPP1</v>
          </cell>
          <cell r="D280" t="str">
            <v>Tamil Nadu</v>
          </cell>
          <cell r="E280">
            <v>600</v>
          </cell>
          <cell r="F280" t="str">
            <v>Sub critical</v>
          </cell>
        </row>
        <row r="281">
          <cell r="C281" t="str">
            <v>MUTHIARA TPP2</v>
          </cell>
          <cell r="D281" t="str">
            <v>Tamil Nadu</v>
          </cell>
          <cell r="E281">
            <v>600</v>
          </cell>
          <cell r="F281" t="str">
            <v>Sub critical</v>
          </cell>
        </row>
        <row r="282">
          <cell r="C282" t="str">
            <v>MUZAFFARPUR TPS3</v>
          </cell>
          <cell r="D282" t="str">
            <v>Bihar</v>
          </cell>
          <cell r="E282">
            <v>195</v>
          </cell>
          <cell r="F282" t="str">
            <v>Sub critical</v>
          </cell>
        </row>
        <row r="283">
          <cell r="C283" t="str">
            <v>MUZAFFARPUR TPS4</v>
          </cell>
          <cell r="D283" t="str">
            <v>Bihar</v>
          </cell>
          <cell r="E283">
            <v>195</v>
          </cell>
          <cell r="F283" t="str">
            <v>Sub critical</v>
          </cell>
        </row>
        <row r="284">
          <cell r="C284" t="str">
            <v>MUZAFFARPUR TPS1</v>
          </cell>
          <cell r="D284" t="str">
            <v>Bihar</v>
          </cell>
          <cell r="E284">
            <v>110</v>
          </cell>
          <cell r="F284" t="str">
            <v>Sub critical</v>
          </cell>
        </row>
        <row r="285">
          <cell r="C285" t="str">
            <v>MUZAFFARPUR TPS2</v>
          </cell>
          <cell r="D285" t="str">
            <v>Bihar</v>
          </cell>
          <cell r="E285">
            <v>110</v>
          </cell>
          <cell r="F285" t="str">
            <v>Sub critical</v>
          </cell>
        </row>
        <row r="286">
          <cell r="C286" t="str">
            <v>NABI NAGAR TPP1</v>
          </cell>
          <cell r="D286" t="str">
            <v>Bihar</v>
          </cell>
          <cell r="E286">
            <v>250</v>
          </cell>
          <cell r="F286" t="str">
            <v>Sub critical</v>
          </cell>
        </row>
        <row r="287">
          <cell r="C287" t="str">
            <v>NABI NAGAR TPP2</v>
          </cell>
          <cell r="D287" t="str">
            <v>Bihar</v>
          </cell>
          <cell r="E287">
            <v>250</v>
          </cell>
          <cell r="F287" t="str">
            <v>Sub critical</v>
          </cell>
        </row>
        <row r="288">
          <cell r="C288" t="str">
            <v>NABI NAGAR TPP3</v>
          </cell>
          <cell r="D288" t="str">
            <v>Bihar</v>
          </cell>
          <cell r="E288">
            <v>250</v>
          </cell>
          <cell r="F288" t="str">
            <v>Sub critical</v>
          </cell>
        </row>
        <row r="289">
          <cell r="C289" t="str">
            <v>NABINAGAR STPP1</v>
          </cell>
          <cell r="D289" t="str">
            <v>Bihar</v>
          </cell>
          <cell r="E289">
            <v>660</v>
          </cell>
          <cell r="F289" t="str">
            <v>Super critical</v>
          </cell>
        </row>
        <row r="290">
          <cell r="C290" t="str">
            <v>NASIK TPS4</v>
          </cell>
          <cell r="D290" t="str">
            <v>Maharashtra</v>
          </cell>
          <cell r="E290">
            <v>210</v>
          </cell>
          <cell r="F290" t="str">
            <v>Sub critical</v>
          </cell>
        </row>
        <row r="291">
          <cell r="C291" t="str">
            <v>NASIK TPS3</v>
          </cell>
          <cell r="D291" t="str">
            <v>Maharashtra</v>
          </cell>
          <cell r="E291">
            <v>210</v>
          </cell>
          <cell r="F291" t="str">
            <v>Sub critical</v>
          </cell>
        </row>
        <row r="292">
          <cell r="C292" t="str">
            <v>NASIK TPS5</v>
          </cell>
          <cell r="D292" t="str">
            <v>Maharashtra</v>
          </cell>
          <cell r="E292">
            <v>210</v>
          </cell>
          <cell r="F292" t="str">
            <v>Sub critical</v>
          </cell>
        </row>
        <row r="293">
          <cell r="C293" t="str">
            <v>NAWAPARA TPP1</v>
          </cell>
          <cell r="D293" t="str">
            <v>Chhattisgarh</v>
          </cell>
          <cell r="E293">
            <v>300</v>
          </cell>
          <cell r="F293" t="str">
            <v>Sub critical</v>
          </cell>
        </row>
        <row r="294">
          <cell r="C294" t="str">
            <v>NAWAPARA TPP2</v>
          </cell>
          <cell r="D294" t="str">
            <v>Chhattisgarh</v>
          </cell>
          <cell r="E294">
            <v>300</v>
          </cell>
          <cell r="F294" t="str">
            <v>Sub critical</v>
          </cell>
        </row>
        <row r="295">
          <cell r="C295" t="str">
            <v>NIGRI TPP1</v>
          </cell>
          <cell r="D295" t="str">
            <v>Madhya Pradesh</v>
          </cell>
          <cell r="E295">
            <v>660</v>
          </cell>
          <cell r="F295" t="str">
            <v>Super critical</v>
          </cell>
        </row>
        <row r="296">
          <cell r="C296" t="str">
            <v>NIGRI TPP2</v>
          </cell>
          <cell r="D296" t="str">
            <v>Madhya Pradesh</v>
          </cell>
          <cell r="E296">
            <v>660</v>
          </cell>
          <cell r="F296" t="str">
            <v>Super critical</v>
          </cell>
        </row>
        <row r="297">
          <cell r="C297" t="str">
            <v>NIWARI TPP1</v>
          </cell>
          <cell r="D297" t="str">
            <v>Madhya Pradesh</v>
          </cell>
          <cell r="E297">
            <v>45</v>
          </cell>
          <cell r="F297" t="str">
            <v>Sub critical</v>
          </cell>
        </row>
        <row r="298">
          <cell r="C298" t="str">
            <v>NIWARI TPP2</v>
          </cell>
          <cell r="D298" t="str">
            <v>Madhya Pradesh</v>
          </cell>
          <cell r="E298">
            <v>45</v>
          </cell>
          <cell r="F298" t="str">
            <v>Sub critical</v>
          </cell>
        </row>
        <row r="299">
          <cell r="C299" t="str">
            <v>NORTH CHENNAI TPS5</v>
          </cell>
          <cell r="D299" t="str">
            <v>Tamil Nadu</v>
          </cell>
          <cell r="E299">
            <v>600</v>
          </cell>
          <cell r="F299" t="str">
            <v>Sub critical</v>
          </cell>
        </row>
        <row r="300">
          <cell r="C300" t="str">
            <v>NORTH CHENNAI TPS4</v>
          </cell>
          <cell r="D300" t="str">
            <v>Tamil Nadu</v>
          </cell>
          <cell r="E300">
            <v>600</v>
          </cell>
          <cell r="F300" t="str">
            <v>Sub critical</v>
          </cell>
        </row>
        <row r="301">
          <cell r="C301" t="str">
            <v>NORTH CHENNAI TPS3</v>
          </cell>
          <cell r="D301" t="str">
            <v>Tamil Nadu</v>
          </cell>
          <cell r="E301">
            <v>210</v>
          </cell>
          <cell r="F301" t="str">
            <v>Sub critical</v>
          </cell>
        </row>
        <row r="302">
          <cell r="C302" t="str">
            <v>NORTH CHENNAI TPS2</v>
          </cell>
          <cell r="D302" t="str">
            <v>Tamil Nadu</v>
          </cell>
          <cell r="E302">
            <v>210</v>
          </cell>
          <cell r="F302" t="str">
            <v>Sub critical</v>
          </cell>
        </row>
        <row r="303">
          <cell r="C303" t="str">
            <v>NORTH CHENNAI TPS1</v>
          </cell>
          <cell r="D303" t="str">
            <v>Tamil Nadu</v>
          </cell>
          <cell r="E303">
            <v>210</v>
          </cell>
          <cell r="F303" t="str">
            <v>Sub critical</v>
          </cell>
        </row>
        <row r="304">
          <cell r="C304" t="str">
            <v>NTPL TUTICORIN (JV) TPP1</v>
          </cell>
          <cell r="D304" t="str">
            <v>Tamil Nadu</v>
          </cell>
          <cell r="E304">
            <v>500</v>
          </cell>
          <cell r="F304" t="str">
            <v>Sub critical</v>
          </cell>
        </row>
        <row r="305">
          <cell r="C305" t="str">
            <v>NTPL TUTICORIN (JV) TPP2</v>
          </cell>
          <cell r="D305" t="str">
            <v>Tamil Nadu</v>
          </cell>
          <cell r="E305">
            <v>500</v>
          </cell>
          <cell r="F305" t="str">
            <v>Sub critical</v>
          </cell>
        </row>
        <row r="306">
          <cell r="C306" t="str">
            <v>OBRA TPS9</v>
          </cell>
          <cell r="D306" t="str">
            <v>Uttar Pradesh</v>
          </cell>
          <cell r="E306">
            <v>200</v>
          </cell>
          <cell r="F306" t="str">
            <v>Sub critical</v>
          </cell>
        </row>
        <row r="307">
          <cell r="C307" t="str">
            <v>OBRA TPS11</v>
          </cell>
          <cell r="D307" t="str">
            <v>Uttar Pradesh</v>
          </cell>
          <cell r="E307">
            <v>500</v>
          </cell>
          <cell r="F307" t="str">
            <v>Sub critical</v>
          </cell>
        </row>
        <row r="308">
          <cell r="C308" t="str">
            <v>OBRA TPS10</v>
          </cell>
          <cell r="D308" t="str">
            <v>Uttar Pradesh</v>
          </cell>
          <cell r="E308">
            <v>500</v>
          </cell>
          <cell r="F308" t="str">
            <v>Sub critical</v>
          </cell>
        </row>
        <row r="309">
          <cell r="C309" t="str">
            <v>OBRA TPS12</v>
          </cell>
          <cell r="D309" t="str">
            <v>Uttar Pradesh</v>
          </cell>
          <cell r="E309">
            <v>500</v>
          </cell>
          <cell r="F309" t="str">
            <v>Sub critical</v>
          </cell>
        </row>
        <row r="310">
          <cell r="C310" t="str">
            <v>OBRA TPS13</v>
          </cell>
          <cell r="D310" t="str">
            <v>Uttar Pradesh</v>
          </cell>
          <cell r="E310">
            <v>200</v>
          </cell>
          <cell r="F310" t="str">
            <v>Sub critical</v>
          </cell>
        </row>
        <row r="311">
          <cell r="C311" t="str">
            <v>OBRA TPS1</v>
          </cell>
          <cell r="D311" t="str">
            <v>Uttar Pradesh</v>
          </cell>
          <cell r="E311">
            <v>200</v>
          </cell>
          <cell r="F311" t="str">
            <v>Sub critical</v>
          </cell>
        </row>
        <row r="312">
          <cell r="C312" t="str">
            <v>OP JINDAL TPS3</v>
          </cell>
          <cell r="D312" t="str">
            <v>Chhattisgarh</v>
          </cell>
          <cell r="E312">
            <v>250</v>
          </cell>
          <cell r="F312" t="str">
            <v>Sub critical</v>
          </cell>
        </row>
        <row r="313">
          <cell r="C313" t="str">
            <v>OP JINDAL TPS4</v>
          </cell>
          <cell r="D313" t="str">
            <v>Chhattisgarh</v>
          </cell>
          <cell r="E313">
            <v>250</v>
          </cell>
          <cell r="F313" t="str">
            <v>Sub critical</v>
          </cell>
        </row>
        <row r="314">
          <cell r="C314" t="str">
            <v>OP JINDAL TPS1</v>
          </cell>
          <cell r="D314" t="str">
            <v>Chhattisgarh</v>
          </cell>
          <cell r="E314">
            <v>250</v>
          </cell>
          <cell r="F314" t="str">
            <v>Sub critical</v>
          </cell>
        </row>
        <row r="315">
          <cell r="C315" t="str">
            <v>OP JINDAL TPS2</v>
          </cell>
          <cell r="D315" t="str">
            <v>Chhattisgarh</v>
          </cell>
          <cell r="E315">
            <v>250</v>
          </cell>
          <cell r="F315" t="str">
            <v>Sub critical</v>
          </cell>
        </row>
        <row r="316">
          <cell r="C316" t="str">
            <v>OP JINDAL TPS22</v>
          </cell>
          <cell r="D316" t="str">
            <v>Chhattisgarh</v>
          </cell>
          <cell r="E316">
            <v>600</v>
          </cell>
          <cell r="F316" t="str">
            <v>Sub critical</v>
          </cell>
        </row>
        <row r="317">
          <cell r="C317" t="str">
            <v>OP JINDAL TPS21</v>
          </cell>
          <cell r="D317" t="str">
            <v>Chhattisgarh</v>
          </cell>
          <cell r="E317">
            <v>600</v>
          </cell>
          <cell r="F317" t="str">
            <v>Sub critical</v>
          </cell>
        </row>
        <row r="318">
          <cell r="C318" t="str">
            <v>OP JINDAL TPS23</v>
          </cell>
          <cell r="D318" t="str">
            <v>Chhattisgarh</v>
          </cell>
          <cell r="E318">
            <v>600</v>
          </cell>
          <cell r="F318" t="str">
            <v>Sub critical</v>
          </cell>
        </row>
        <row r="319">
          <cell r="C319" t="str">
            <v>OP JINDAL TPS24</v>
          </cell>
          <cell r="D319" t="str">
            <v>Chhattisgarh</v>
          </cell>
          <cell r="E319">
            <v>600</v>
          </cell>
          <cell r="F319" t="str">
            <v>Sub critical</v>
          </cell>
        </row>
        <row r="320">
          <cell r="C320" t="str">
            <v>PAINAMPURAM TPP1</v>
          </cell>
          <cell r="D320" t="str">
            <v>Andhra Pradesh</v>
          </cell>
          <cell r="E320">
            <v>660</v>
          </cell>
          <cell r="F320" t="str">
            <v>Super critical</v>
          </cell>
        </row>
        <row r="321">
          <cell r="C321" t="str">
            <v>PAINAMPURAM TPP2</v>
          </cell>
          <cell r="D321" t="str">
            <v>Andhra Pradesh</v>
          </cell>
          <cell r="E321">
            <v>660</v>
          </cell>
          <cell r="F321" t="str">
            <v>Super critical</v>
          </cell>
        </row>
        <row r="322">
          <cell r="C322" t="str">
            <v>PANIPAT TPS7</v>
          </cell>
          <cell r="D322" t="str">
            <v>Haryana</v>
          </cell>
          <cell r="E322">
            <v>250</v>
          </cell>
          <cell r="F322" t="str">
            <v>Sub critical</v>
          </cell>
        </row>
        <row r="323">
          <cell r="C323" t="str">
            <v>PANIPAT TPS8</v>
          </cell>
          <cell r="D323" t="str">
            <v>Haryana</v>
          </cell>
          <cell r="E323">
            <v>250</v>
          </cell>
          <cell r="F323" t="str">
            <v>Sub critical</v>
          </cell>
        </row>
        <row r="324">
          <cell r="C324" t="str">
            <v>PANIPAT TPS6</v>
          </cell>
          <cell r="D324" t="str">
            <v>Haryana</v>
          </cell>
          <cell r="E324">
            <v>210</v>
          </cell>
          <cell r="F324" t="str">
            <v>Sub critical</v>
          </cell>
        </row>
        <row r="325">
          <cell r="C325" t="str">
            <v>PANIPAT TPS5</v>
          </cell>
          <cell r="D325" t="str">
            <v>Haryana</v>
          </cell>
          <cell r="E325">
            <v>210</v>
          </cell>
          <cell r="F325" t="str">
            <v>Sub critical</v>
          </cell>
        </row>
        <row r="326">
          <cell r="C326" t="str">
            <v>PARAS TPS4</v>
          </cell>
          <cell r="D326" t="str">
            <v>Maharashtra</v>
          </cell>
          <cell r="E326">
            <v>250</v>
          </cell>
          <cell r="F326" t="str">
            <v>Sub critical</v>
          </cell>
        </row>
        <row r="327">
          <cell r="C327" t="str">
            <v>PARAS TPS3</v>
          </cell>
          <cell r="D327" t="str">
            <v>Maharashtra</v>
          </cell>
          <cell r="E327">
            <v>250</v>
          </cell>
          <cell r="F327" t="str">
            <v>Sub critical</v>
          </cell>
        </row>
        <row r="328">
          <cell r="C328" t="str">
            <v>PARICHHA TPS6</v>
          </cell>
          <cell r="D328" t="str">
            <v>Uttar Pradesh</v>
          </cell>
          <cell r="E328">
            <v>250</v>
          </cell>
          <cell r="F328" t="str">
            <v>Sub critical</v>
          </cell>
        </row>
        <row r="329">
          <cell r="C329" t="str">
            <v>PARICHHA TPS5</v>
          </cell>
          <cell r="D329" t="str">
            <v>Uttar Pradesh</v>
          </cell>
          <cell r="E329">
            <v>250</v>
          </cell>
          <cell r="F329" t="str">
            <v>Sub critical</v>
          </cell>
        </row>
        <row r="330">
          <cell r="C330" t="str">
            <v>PARICHHA TPS4</v>
          </cell>
          <cell r="D330" t="str">
            <v>Uttar Pradesh</v>
          </cell>
          <cell r="E330">
            <v>210</v>
          </cell>
          <cell r="F330" t="str">
            <v>Sub critical</v>
          </cell>
        </row>
        <row r="331">
          <cell r="C331" t="str">
            <v>PARICHHA TPS3</v>
          </cell>
          <cell r="D331" t="str">
            <v>Uttar Pradesh</v>
          </cell>
          <cell r="E331">
            <v>210</v>
          </cell>
          <cell r="F331" t="str">
            <v>Sub critical</v>
          </cell>
        </row>
        <row r="332">
          <cell r="C332" t="str">
            <v>PARICHHA TPS2</v>
          </cell>
          <cell r="D332" t="str">
            <v>Uttar Pradesh</v>
          </cell>
          <cell r="E332">
            <v>110</v>
          </cell>
          <cell r="F332" t="str">
            <v>Sub critical</v>
          </cell>
        </row>
        <row r="333">
          <cell r="C333" t="str">
            <v>PARLI TPS6</v>
          </cell>
          <cell r="D333" t="str">
            <v>Maharashtra</v>
          </cell>
          <cell r="E333">
            <v>250</v>
          </cell>
          <cell r="F333" t="str">
            <v>Sub critical</v>
          </cell>
        </row>
        <row r="334">
          <cell r="C334" t="str">
            <v>PARLI TPS7</v>
          </cell>
          <cell r="D334" t="str">
            <v>Maharashtra</v>
          </cell>
          <cell r="E334">
            <v>250</v>
          </cell>
          <cell r="F334" t="str">
            <v>Sub critical</v>
          </cell>
        </row>
        <row r="335">
          <cell r="C335" t="str">
            <v>PARLI TPS8</v>
          </cell>
          <cell r="D335" t="str">
            <v>Maharashtra</v>
          </cell>
          <cell r="E335">
            <v>250</v>
          </cell>
          <cell r="F335" t="str">
            <v>Sub critical</v>
          </cell>
        </row>
        <row r="336">
          <cell r="C336" t="str">
            <v>PATHADI TPS1</v>
          </cell>
          <cell r="D336" t="str">
            <v>Chhattisgarh</v>
          </cell>
          <cell r="E336">
            <v>300</v>
          </cell>
          <cell r="F336" t="str">
            <v>Sub critical</v>
          </cell>
        </row>
        <row r="337">
          <cell r="C337" t="str">
            <v>PATHADI TPS2</v>
          </cell>
          <cell r="D337" t="str">
            <v>Chhattisgarh</v>
          </cell>
          <cell r="E337">
            <v>300</v>
          </cell>
          <cell r="F337" t="str">
            <v>Sub critical</v>
          </cell>
        </row>
        <row r="338">
          <cell r="C338" t="str">
            <v>RAGHUNATHPUR TPP2</v>
          </cell>
          <cell r="D338" t="str">
            <v>West Bengal</v>
          </cell>
          <cell r="E338">
            <v>600</v>
          </cell>
          <cell r="F338" t="str">
            <v>Sub critical</v>
          </cell>
        </row>
        <row r="339">
          <cell r="C339" t="str">
            <v>RAGHUNATHPUR TPP1</v>
          </cell>
          <cell r="D339" t="str">
            <v>West Bengal</v>
          </cell>
          <cell r="E339">
            <v>600</v>
          </cell>
          <cell r="F339" t="str">
            <v>Sub critical</v>
          </cell>
        </row>
        <row r="340">
          <cell r="C340" t="str">
            <v>RAICHUR TPS4</v>
          </cell>
          <cell r="D340" t="str">
            <v>Karnataka</v>
          </cell>
          <cell r="E340">
            <v>210</v>
          </cell>
          <cell r="F340" t="str">
            <v>Sub critical</v>
          </cell>
        </row>
        <row r="341">
          <cell r="C341" t="str">
            <v>RAICHUR TPS8</v>
          </cell>
          <cell r="D341" t="str">
            <v>Karnataka</v>
          </cell>
          <cell r="E341">
            <v>250</v>
          </cell>
          <cell r="F341" t="str">
            <v>Sub critical</v>
          </cell>
        </row>
        <row r="342">
          <cell r="C342" t="str">
            <v>RAICHUR TPS5</v>
          </cell>
          <cell r="D342" t="str">
            <v>Karnataka</v>
          </cell>
          <cell r="E342">
            <v>210</v>
          </cell>
          <cell r="F342" t="str">
            <v>Sub critical</v>
          </cell>
        </row>
        <row r="343">
          <cell r="C343" t="str">
            <v>RAICHUR TPS6</v>
          </cell>
          <cell r="D343" t="str">
            <v>Karnataka</v>
          </cell>
          <cell r="E343">
            <v>210</v>
          </cell>
          <cell r="F343" t="str">
            <v>Sub critical</v>
          </cell>
        </row>
        <row r="344">
          <cell r="C344" t="str">
            <v>RAICHUR TPS3</v>
          </cell>
          <cell r="D344" t="str">
            <v>Karnataka</v>
          </cell>
          <cell r="E344">
            <v>210</v>
          </cell>
          <cell r="F344" t="str">
            <v>Sub critical</v>
          </cell>
        </row>
        <row r="345">
          <cell r="C345" t="str">
            <v>RAICHUR TPS1</v>
          </cell>
          <cell r="D345" t="str">
            <v>Karnataka</v>
          </cell>
          <cell r="E345">
            <v>210</v>
          </cell>
          <cell r="F345" t="str">
            <v>Sub critical</v>
          </cell>
        </row>
        <row r="346">
          <cell r="C346" t="str">
            <v>RAICHUR TPS2</v>
          </cell>
          <cell r="D346" t="str">
            <v>Karnataka</v>
          </cell>
          <cell r="E346">
            <v>210</v>
          </cell>
          <cell r="F346" t="str">
            <v>Sub critical</v>
          </cell>
        </row>
        <row r="347">
          <cell r="C347" t="str">
            <v>RAICHUR TPS7</v>
          </cell>
          <cell r="D347" t="str">
            <v>Karnataka</v>
          </cell>
          <cell r="E347">
            <v>210</v>
          </cell>
          <cell r="F347" t="str">
            <v>Sub critical</v>
          </cell>
        </row>
        <row r="348">
          <cell r="C348" t="str">
            <v>RAIKHEDA TPP1</v>
          </cell>
          <cell r="D348" t="str">
            <v>Chhattisgarh</v>
          </cell>
          <cell r="E348">
            <v>685</v>
          </cell>
          <cell r="F348" t="str">
            <v>Super critical</v>
          </cell>
        </row>
        <row r="349">
          <cell r="C349" t="str">
            <v>RAIKHEDA TPP2</v>
          </cell>
          <cell r="D349" t="str">
            <v>Chhattisgarh</v>
          </cell>
          <cell r="E349">
            <v>685</v>
          </cell>
          <cell r="F349" t="str">
            <v>Super critical</v>
          </cell>
        </row>
        <row r="350">
          <cell r="C350" t="str">
            <v>RAJIV GANDHI TPS1</v>
          </cell>
          <cell r="D350" t="str">
            <v>Haryana</v>
          </cell>
          <cell r="E350">
            <v>600</v>
          </cell>
          <cell r="F350" t="str">
            <v>Sub critical</v>
          </cell>
        </row>
        <row r="351">
          <cell r="C351" t="str">
            <v>RAJIV GANDHI TPS2</v>
          </cell>
          <cell r="D351" t="str">
            <v>Haryana</v>
          </cell>
          <cell r="E351">
            <v>600</v>
          </cell>
          <cell r="F351" t="str">
            <v>Sub critical</v>
          </cell>
        </row>
        <row r="352">
          <cell r="C352" t="str">
            <v>RAJPURA TPS2</v>
          </cell>
          <cell r="D352" t="str">
            <v>Punjab</v>
          </cell>
          <cell r="E352">
            <v>700</v>
          </cell>
          <cell r="F352" t="str">
            <v>Super critical</v>
          </cell>
        </row>
        <row r="353">
          <cell r="C353" t="str">
            <v>RAJPURA TPS1</v>
          </cell>
          <cell r="D353" t="str">
            <v>Punjab</v>
          </cell>
          <cell r="E353">
            <v>700</v>
          </cell>
          <cell r="F353" t="str">
            <v>Super critical</v>
          </cell>
        </row>
        <row r="354">
          <cell r="C354" t="str">
            <v>RAMAGUNDEM - B TPS1</v>
          </cell>
          <cell r="D354" t="str">
            <v>Telangana</v>
          </cell>
          <cell r="E354">
            <v>62.5</v>
          </cell>
          <cell r="F354" t="str">
            <v>Sub critical</v>
          </cell>
        </row>
        <row r="355">
          <cell r="C355" t="str">
            <v>RAMAGUNDEM STPS7</v>
          </cell>
          <cell r="D355" t="str">
            <v>Telangana</v>
          </cell>
          <cell r="E355">
            <v>500</v>
          </cell>
          <cell r="F355" t="str">
            <v>Sub critical</v>
          </cell>
        </row>
        <row r="356">
          <cell r="C356" t="str">
            <v>RAMAGUNDEM STPS6</v>
          </cell>
          <cell r="D356" t="str">
            <v>Telangana</v>
          </cell>
          <cell r="E356">
            <v>500</v>
          </cell>
          <cell r="F356" t="str">
            <v>Sub critical</v>
          </cell>
        </row>
        <row r="357">
          <cell r="C357" t="str">
            <v>RAMAGUNDEM STPS5</v>
          </cell>
          <cell r="D357" t="str">
            <v>Telangana</v>
          </cell>
          <cell r="E357">
            <v>500</v>
          </cell>
          <cell r="F357" t="str">
            <v>Sub critical</v>
          </cell>
        </row>
        <row r="358">
          <cell r="C358" t="str">
            <v>RAMAGUNDEM STPS4</v>
          </cell>
          <cell r="D358" t="str">
            <v>Telangana</v>
          </cell>
          <cell r="E358">
            <v>500</v>
          </cell>
          <cell r="F358" t="str">
            <v>Sub critical</v>
          </cell>
        </row>
        <row r="359">
          <cell r="C359" t="str">
            <v>RAMAGUNDEM STPS3</v>
          </cell>
          <cell r="D359" t="str">
            <v>Telangana</v>
          </cell>
          <cell r="E359">
            <v>200</v>
          </cell>
          <cell r="F359" t="str">
            <v>Sub critical</v>
          </cell>
        </row>
        <row r="360">
          <cell r="C360" t="str">
            <v>RAMAGUNDEM STPS2</v>
          </cell>
          <cell r="D360" t="str">
            <v>Telangana</v>
          </cell>
          <cell r="E360">
            <v>200</v>
          </cell>
          <cell r="F360" t="str">
            <v>Sub critical</v>
          </cell>
        </row>
        <row r="361">
          <cell r="C361" t="str">
            <v>RAMAGUNDEM STPS1</v>
          </cell>
          <cell r="D361" t="str">
            <v>Telangana</v>
          </cell>
          <cell r="E361">
            <v>200</v>
          </cell>
          <cell r="F361" t="str">
            <v>Sub critical</v>
          </cell>
        </row>
        <row r="362">
          <cell r="C362" t="str">
            <v>RATIJA TPS1</v>
          </cell>
          <cell r="D362" t="str">
            <v>Chhattisgarh</v>
          </cell>
          <cell r="E362">
            <v>50</v>
          </cell>
          <cell r="F362" t="str">
            <v>Sub critical</v>
          </cell>
        </row>
        <row r="363">
          <cell r="C363" t="str">
            <v>RATIJA TPS2</v>
          </cell>
          <cell r="D363" t="str">
            <v>Chhattisgarh</v>
          </cell>
          <cell r="E363">
            <v>50</v>
          </cell>
          <cell r="F363" t="str">
            <v>Sub critical</v>
          </cell>
        </row>
        <row r="364">
          <cell r="C364" t="str">
            <v>RAYALSEEMA TPS4</v>
          </cell>
          <cell r="D364" t="str">
            <v>Andhra Pradesh</v>
          </cell>
          <cell r="E364">
            <v>210</v>
          </cell>
          <cell r="F364" t="str">
            <v>Sub critical</v>
          </cell>
        </row>
        <row r="365">
          <cell r="C365" t="str">
            <v>RAYALSEEMA TPS3</v>
          </cell>
          <cell r="D365" t="str">
            <v>Andhra Pradesh</v>
          </cell>
          <cell r="E365">
            <v>210</v>
          </cell>
          <cell r="F365" t="str">
            <v>Sub critical</v>
          </cell>
        </row>
        <row r="366">
          <cell r="C366" t="str">
            <v>RAYALSEEMA TPS1</v>
          </cell>
          <cell r="D366" t="str">
            <v>Andhra Pradesh</v>
          </cell>
          <cell r="E366">
            <v>210</v>
          </cell>
          <cell r="F366" t="str">
            <v>Sub critical</v>
          </cell>
        </row>
        <row r="367">
          <cell r="C367" t="str">
            <v>RAYALSEEMA TPS2</v>
          </cell>
          <cell r="D367" t="str">
            <v>Andhra Pradesh</v>
          </cell>
          <cell r="E367">
            <v>210</v>
          </cell>
          <cell r="F367" t="str">
            <v>Sub critical</v>
          </cell>
        </row>
        <row r="368">
          <cell r="C368" t="str">
            <v>RAYALSEEMA TPS5</v>
          </cell>
          <cell r="D368" t="str">
            <v>Andhra Pradesh</v>
          </cell>
          <cell r="E368">
            <v>210</v>
          </cell>
          <cell r="F368" t="str">
            <v>Sub critical</v>
          </cell>
        </row>
        <row r="369">
          <cell r="C369" t="str">
            <v>RAYALSEEMA TPS6</v>
          </cell>
          <cell r="D369" t="str">
            <v>Andhra Pradesh</v>
          </cell>
          <cell r="E369">
            <v>600</v>
          </cell>
          <cell r="F369" t="str">
            <v>Sub critical</v>
          </cell>
        </row>
        <row r="370">
          <cell r="C370" t="str">
            <v>RIHAND STPS3</v>
          </cell>
          <cell r="D370" t="str">
            <v>Uttar Pradesh</v>
          </cell>
          <cell r="E370">
            <v>500</v>
          </cell>
          <cell r="F370" t="str">
            <v>Sub critical</v>
          </cell>
        </row>
        <row r="371">
          <cell r="C371" t="str">
            <v>RIHAND STPS5</v>
          </cell>
          <cell r="D371" t="str">
            <v>Uttar Pradesh</v>
          </cell>
          <cell r="E371">
            <v>500</v>
          </cell>
          <cell r="F371" t="str">
            <v>Sub critical</v>
          </cell>
        </row>
        <row r="372">
          <cell r="C372" t="str">
            <v>RIHAND STPS4</v>
          </cell>
          <cell r="D372" t="str">
            <v>Uttar Pradesh</v>
          </cell>
          <cell r="E372">
            <v>500</v>
          </cell>
          <cell r="F372" t="str">
            <v>Sub critical</v>
          </cell>
        </row>
        <row r="373">
          <cell r="C373" t="str">
            <v>RIHAND STPS2</v>
          </cell>
          <cell r="D373" t="str">
            <v>Uttar Pradesh</v>
          </cell>
          <cell r="E373">
            <v>500</v>
          </cell>
          <cell r="F373" t="str">
            <v>Sub critical</v>
          </cell>
        </row>
        <row r="374">
          <cell r="C374" t="str">
            <v>RIHAND STPS1</v>
          </cell>
          <cell r="D374" t="str">
            <v>Uttar Pradesh</v>
          </cell>
          <cell r="E374">
            <v>500</v>
          </cell>
          <cell r="F374" t="str">
            <v>Sub critical</v>
          </cell>
        </row>
        <row r="375">
          <cell r="C375" t="str">
            <v>RIHAND STPS6</v>
          </cell>
          <cell r="D375" t="str">
            <v>Uttar Pradesh</v>
          </cell>
          <cell r="E375">
            <v>500</v>
          </cell>
          <cell r="F375" t="str">
            <v>Sub critical</v>
          </cell>
        </row>
        <row r="376">
          <cell r="C376" t="str">
            <v>ROPAR TPS4</v>
          </cell>
          <cell r="D376" t="str">
            <v>Punjab</v>
          </cell>
          <cell r="E376">
            <v>210</v>
          </cell>
          <cell r="F376" t="str">
            <v>Sub critical</v>
          </cell>
        </row>
        <row r="377">
          <cell r="C377" t="str">
            <v>ROPAR TPS5</v>
          </cell>
          <cell r="D377" t="str">
            <v>Punjab</v>
          </cell>
          <cell r="E377">
            <v>210</v>
          </cell>
          <cell r="F377" t="str">
            <v>Sub critical</v>
          </cell>
        </row>
        <row r="378">
          <cell r="C378" t="str">
            <v>ROPAR TPS3</v>
          </cell>
          <cell r="D378" t="str">
            <v>Punjab</v>
          </cell>
          <cell r="E378">
            <v>210</v>
          </cell>
          <cell r="F378" t="str">
            <v>Sub critical</v>
          </cell>
        </row>
        <row r="379">
          <cell r="C379" t="str">
            <v>ROPAR TPS6</v>
          </cell>
          <cell r="D379" t="str">
            <v>Punjab</v>
          </cell>
          <cell r="E379">
            <v>210</v>
          </cell>
          <cell r="F379" t="str">
            <v>Sub critical</v>
          </cell>
        </row>
        <row r="380">
          <cell r="C380" t="str">
            <v>ROSA TPP PH-I1</v>
          </cell>
          <cell r="D380" t="str">
            <v>Uttar Pradesh</v>
          </cell>
          <cell r="E380">
            <v>300</v>
          </cell>
          <cell r="F380" t="str">
            <v>Sub critical</v>
          </cell>
        </row>
        <row r="381">
          <cell r="C381" t="str">
            <v>ROSA TPP PH-I3</v>
          </cell>
          <cell r="D381" t="str">
            <v>Uttar Pradesh</v>
          </cell>
          <cell r="E381">
            <v>300</v>
          </cell>
          <cell r="F381" t="str">
            <v>Sub critical</v>
          </cell>
        </row>
        <row r="382">
          <cell r="C382" t="str">
            <v>ROSA TPP PH-I2</v>
          </cell>
          <cell r="D382" t="str">
            <v>Uttar Pradesh</v>
          </cell>
          <cell r="E382">
            <v>300</v>
          </cell>
          <cell r="F382" t="str">
            <v>Sub critical</v>
          </cell>
        </row>
        <row r="383">
          <cell r="C383" t="str">
            <v>ROSA TPP PH-I4</v>
          </cell>
          <cell r="D383" t="str">
            <v>Uttar Pradesh</v>
          </cell>
          <cell r="E383">
            <v>300</v>
          </cell>
          <cell r="F383" t="str">
            <v>Sub critical</v>
          </cell>
        </row>
        <row r="384">
          <cell r="C384" t="str">
            <v>SABARMATI (D-F STATIONS) TPP3</v>
          </cell>
          <cell r="D384" t="str">
            <v>Gujarat</v>
          </cell>
          <cell r="E384">
            <v>121</v>
          </cell>
          <cell r="F384" t="str">
            <v>Sub critical</v>
          </cell>
        </row>
        <row r="385">
          <cell r="C385" t="str">
            <v>SABARMATI (D-F STATIONS) TPP2</v>
          </cell>
          <cell r="D385" t="str">
            <v>Gujarat</v>
          </cell>
          <cell r="E385">
            <v>121</v>
          </cell>
          <cell r="F385" t="str">
            <v>Sub critical</v>
          </cell>
        </row>
        <row r="386">
          <cell r="C386" t="str">
            <v>SABARMATI (D-F STATIONS) TPP1</v>
          </cell>
          <cell r="D386" t="str">
            <v>Gujarat</v>
          </cell>
          <cell r="E386">
            <v>120</v>
          </cell>
          <cell r="F386" t="str">
            <v>Sub critical</v>
          </cell>
        </row>
        <row r="387">
          <cell r="C387" t="str">
            <v>SAGARDIGHI TPS1</v>
          </cell>
          <cell r="D387" t="str">
            <v>West Bengal</v>
          </cell>
          <cell r="E387">
            <v>300</v>
          </cell>
          <cell r="F387" t="str">
            <v>Sub critical</v>
          </cell>
        </row>
        <row r="388">
          <cell r="C388" t="str">
            <v>SAGARDIGHI TPS2</v>
          </cell>
          <cell r="D388" t="str">
            <v>West Bengal</v>
          </cell>
          <cell r="E388">
            <v>300</v>
          </cell>
          <cell r="F388" t="str">
            <v>Sub critical</v>
          </cell>
        </row>
        <row r="389">
          <cell r="C389" t="str">
            <v>SAGARDIGHI TPS3</v>
          </cell>
          <cell r="D389" t="str">
            <v>West Bengal</v>
          </cell>
          <cell r="E389">
            <v>500</v>
          </cell>
          <cell r="F389" t="str">
            <v>Sub critical</v>
          </cell>
        </row>
        <row r="390">
          <cell r="C390" t="str">
            <v>SAGARDIGHI TPS4</v>
          </cell>
          <cell r="D390" t="str">
            <v>West Bengal</v>
          </cell>
          <cell r="E390">
            <v>500</v>
          </cell>
          <cell r="F390" t="str">
            <v>Sub critical</v>
          </cell>
        </row>
        <row r="391">
          <cell r="C391" t="str">
            <v>SALAYA TPP1</v>
          </cell>
          <cell r="D391" t="str">
            <v>Gujarat</v>
          </cell>
          <cell r="E391">
            <v>600</v>
          </cell>
          <cell r="F391" t="str">
            <v>Sub critical</v>
          </cell>
        </row>
        <row r="392">
          <cell r="C392" t="str">
            <v>SALAYA TPP2</v>
          </cell>
          <cell r="D392" t="str">
            <v>Gujarat</v>
          </cell>
          <cell r="E392">
            <v>600</v>
          </cell>
          <cell r="F392" t="str">
            <v>Sub critical</v>
          </cell>
        </row>
        <row r="393">
          <cell r="C393" t="str">
            <v>SANJAY GANDHI TPS5</v>
          </cell>
          <cell r="D393" t="str">
            <v>Madhya Pradesh</v>
          </cell>
          <cell r="E393">
            <v>500</v>
          </cell>
          <cell r="F393" t="str">
            <v>Sub critical</v>
          </cell>
        </row>
        <row r="394">
          <cell r="C394" t="str">
            <v>SANJAY GANDHI TPS4</v>
          </cell>
          <cell r="D394" t="str">
            <v>Madhya Pradesh</v>
          </cell>
          <cell r="E394">
            <v>210</v>
          </cell>
          <cell r="F394" t="str">
            <v>Sub critical</v>
          </cell>
        </row>
        <row r="395">
          <cell r="C395" t="str">
            <v>SANJAY GANDHI TPS2</v>
          </cell>
          <cell r="D395" t="str">
            <v>Madhya Pradesh</v>
          </cell>
          <cell r="E395">
            <v>210</v>
          </cell>
          <cell r="F395" t="str">
            <v>Sub critical</v>
          </cell>
        </row>
        <row r="396">
          <cell r="C396" t="str">
            <v>SANJAY GANDHI TPS1</v>
          </cell>
          <cell r="D396" t="str">
            <v>Madhya Pradesh</v>
          </cell>
          <cell r="E396">
            <v>210</v>
          </cell>
          <cell r="F396" t="str">
            <v>Sub critical</v>
          </cell>
        </row>
        <row r="397">
          <cell r="C397" t="str">
            <v>SANJAY GANDHI TPS3</v>
          </cell>
          <cell r="D397" t="str">
            <v>Madhya Pradesh</v>
          </cell>
          <cell r="E397">
            <v>210</v>
          </cell>
          <cell r="F397" t="str">
            <v>Sub critical</v>
          </cell>
        </row>
        <row r="398">
          <cell r="C398" t="str">
            <v>SANTALDIH TPS6</v>
          </cell>
          <cell r="D398" t="str">
            <v>West Bengal</v>
          </cell>
          <cell r="E398">
            <v>250</v>
          </cell>
          <cell r="F398" t="str">
            <v>Sub critical</v>
          </cell>
        </row>
        <row r="399">
          <cell r="C399" t="str">
            <v>SANTALDIH TPS5</v>
          </cell>
          <cell r="D399" t="str">
            <v>West Bengal</v>
          </cell>
          <cell r="E399">
            <v>250</v>
          </cell>
          <cell r="F399" t="str">
            <v>Sub critical</v>
          </cell>
        </row>
        <row r="400">
          <cell r="C400" t="str">
            <v>SASAN UMPTPP3</v>
          </cell>
          <cell r="D400" t="str">
            <v>Madhya Pradesh</v>
          </cell>
          <cell r="E400">
            <v>660</v>
          </cell>
          <cell r="F400" t="str">
            <v>Super critical</v>
          </cell>
        </row>
        <row r="401">
          <cell r="C401" t="str">
            <v>SASAN UMPTPP2</v>
          </cell>
          <cell r="D401" t="str">
            <v>Madhya Pradesh</v>
          </cell>
          <cell r="E401">
            <v>660</v>
          </cell>
          <cell r="F401" t="str">
            <v>Super critical</v>
          </cell>
        </row>
        <row r="402">
          <cell r="C402" t="str">
            <v>SASAN UMPTPP1</v>
          </cell>
          <cell r="D402" t="str">
            <v>Madhya Pradesh</v>
          </cell>
          <cell r="E402">
            <v>660</v>
          </cell>
          <cell r="F402" t="str">
            <v>Super critical</v>
          </cell>
        </row>
        <row r="403">
          <cell r="C403" t="str">
            <v>SASAN UMPTPP4</v>
          </cell>
          <cell r="D403" t="str">
            <v>Madhya Pradesh</v>
          </cell>
          <cell r="E403">
            <v>660</v>
          </cell>
          <cell r="F403" t="str">
            <v>Super critical</v>
          </cell>
        </row>
        <row r="404">
          <cell r="C404" t="str">
            <v>SASAN UMPTPP5</v>
          </cell>
          <cell r="D404" t="str">
            <v>Madhya Pradesh</v>
          </cell>
          <cell r="E404">
            <v>660</v>
          </cell>
          <cell r="F404" t="str">
            <v>Super critical</v>
          </cell>
        </row>
        <row r="405">
          <cell r="C405" t="str">
            <v>SASAN UMPTPP6</v>
          </cell>
          <cell r="D405" t="str">
            <v>Madhya Pradesh</v>
          </cell>
          <cell r="E405">
            <v>660</v>
          </cell>
          <cell r="F405" t="str">
            <v>Super critical</v>
          </cell>
        </row>
        <row r="406">
          <cell r="C406" t="str">
            <v>SATPURA TPS10</v>
          </cell>
          <cell r="D406" t="str">
            <v>Madhya Pradesh</v>
          </cell>
          <cell r="E406">
            <v>250</v>
          </cell>
          <cell r="F406" t="str">
            <v>Sub critical</v>
          </cell>
        </row>
        <row r="407">
          <cell r="C407" t="str">
            <v>SATPURA TPS11</v>
          </cell>
          <cell r="D407" t="str">
            <v>Madhya Pradesh</v>
          </cell>
          <cell r="E407">
            <v>250</v>
          </cell>
          <cell r="F407" t="str">
            <v>Sub critical</v>
          </cell>
        </row>
        <row r="408">
          <cell r="C408" t="str">
            <v>SATPURA TPS8</v>
          </cell>
          <cell r="D408" t="str">
            <v>Madhya Pradesh</v>
          </cell>
          <cell r="E408">
            <v>210</v>
          </cell>
          <cell r="F408" t="str">
            <v>Sub critical</v>
          </cell>
        </row>
        <row r="409">
          <cell r="C409" t="str">
            <v>SATPURA TPS6</v>
          </cell>
          <cell r="D409" t="str">
            <v>Madhya Pradesh</v>
          </cell>
          <cell r="E409">
            <v>200</v>
          </cell>
          <cell r="F409" t="str">
            <v>Sub critical</v>
          </cell>
        </row>
        <row r="410">
          <cell r="C410" t="str">
            <v>SATPURA TPS7</v>
          </cell>
          <cell r="D410" t="str">
            <v>Madhya Pradesh</v>
          </cell>
          <cell r="E410">
            <v>210</v>
          </cell>
          <cell r="F410" t="str">
            <v>Sub critical</v>
          </cell>
        </row>
        <row r="411">
          <cell r="C411" t="str">
            <v>SATPURA TPS9</v>
          </cell>
          <cell r="D411" t="str">
            <v>Madhya Pradesh</v>
          </cell>
          <cell r="E411">
            <v>210</v>
          </cell>
          <cell r="F411" t="str">
            <v>Sub critical</v>
          </cell>
        </row>
        <row r="412">
          <cell r="C412" t="str">
            <v>SEIONI TPP1</v>
          </cell>
          <cell r="D412" t="str">
            <v>Madhya Pradesh</v>
          </cell>
          <cell r="E412">
            <v>600</v>
          </cell>
          <cell r="F412" t="str">
            <v>Sub critical</v>
          </cell>
        </row>
        <row r="413">
          <cell r="C413" t="str">
            <v>SEMBCORP GAYATRI P. LTD1</v>
          </cell>
          <cell r="D413" t="str">
            <v>Andhra Pradesh</v>
          </cell>
          <cell r="E413">
            <v>660</v>
          </cell>
          <cell r="F413" t="str">
            <v>Super critical</v>
          </cell>
        </row>
        <row r="414">
          <cell r="C414" t="str">
            <v>SEMBCORP GAYATRI P. LTD2</v>
          </cell>
          <cell r="D414" t="str">
            <v>Andhra Pradesh</v>
          </cell>
          <cell r="E414">
            <v>660</v>
          </cell>
          <cell r="F414" t="str">
            <v>Super critical</v>
          </cell>
        </row>
        <row r="415">
          <cell r="C415" t="str">
            <v>SHIRPUR TPP1</v>
          </cell>
          <cell r="D415" t="str">
            <v>Maharashtra</v>
          </cell>
          <cell r="E415">
            <v>150</v>
          </cell>
          <cell r="F415" t="str">
            <v>Sub critical</v>
          </cell>
        </row>
        <row r="416">
          <cell r="C416" t="str">
            <v>SHREE SINGAJI TPP1</v>
          </cell>
          <cell r="D416" t="str">
            <v>Madhya Pradesh</v>
          </cell>
          <cell r="E416">
            <v>600</v>
          </cell>
          <cell r="F416" t="str">
            <v>Sub critical</v>
          </cell>
        </row>
        <row r="417">
          <cell r="C417" t="str">
            <v>SHREE SINGAJI TPP2</v>
          </cell>
          <cell r="D417" t="str">
            <v>Madhya Pradesh</v>
          </cell>
          <cell r="E417">
            <v>600</v>
          </cell>
          <cell r="F417" t="str">
            <v>Sub critical</v>
          </cell>
        </row>
        <row r="418">
          <cell r="C418" t="str">
            <v>SHREE SINGAJI TPP3</v>
          </cell>
          <cell r="D418" t="str">
            <v>Madhya Pradesh</v>
          </cell>
          <cell r="E418">
            <v>660</v>
          </cell>
          <cell r="F418" t="str">
            <v>Super critical</v>
          </cell>
        </row>
        <row r="419">
          <cell r="C419" t="str">
            <v>SHREE SINGAJI TPP4</v>
          </cell>
          <cell r="D419" t="str">
            <v>Madhya Pradesh</v>
          </cell>
          <cell r="E419">
            <v>660</v>
          </cell>
          <cell r="F419" t="str">
            <v>Super critical</v>
          </cell>
        </row>
        <row r="420">
          <cell r="C420" t="str">
            <v>SIKKA REP. TPS3</v>
          </cell>
          <cell r="D420" t="str">
            <v>Gujarat</v>
          </cell>
          <cell r="E420">
            <v>250</v>
          </cell>
          <cell r="F420" t="str">
            <v>Sub critical</v>
          </cell>
        </row>
        <row r="421">
          <cell r="C421" t="str">
            <v>SIKKA REP. TPS4</v>
          </cell>
          <cell r="D421" t="str">
            <v>Gujarat</v>
          </cell>
          <cell r="E421">
            <v>250</v>
          </cell>
          <cell r="F421" t="str">
            <v>Sub critical</v>
          </cell>
        </row>
        <row r="422">
          <cell r="C422" t="str">
            <v>SIMHADRI STPP1</v>
          </cell>
          <cell r="D422" t="str">
            <v>Andhra Pradesh</v>
          </cell>
          <cell r="E422">
            <v>500</v>
          </cell>
          <cell r="F422" t="str">
            <v>Sub critical</v>
          </cell>
        </row>
        <row r="423">
          <cell r="C423" t="str">
            <v>SIMHADRI STPP2</v>
          </cell>
          <cell r="D423" t="str">
            <v>Andhra Pradesh</v>
          </cell>
          <cell r="E423">
            <v>500</v>
          </cell>
          <cell r="F423" t="str">
            <v>Sub critical</v>
          </cell>
        </row>
        <row r="424">
          <cell r="C424" t="str">
            <v>SIMHADRI STPP4</v>
          </cell>
          <cell r="D424" t="str">
            <v>Andhra Pradesh</v>
          </cell>
          <cell r="E424">
            <v>500</v>
          </cell>
          <cell r="F424" t="str">
            <v>Sub critical</v>
          </cell>
        </row>
        <row r="425">
          <cell r="C425" t="str">
            <v>SIMHADRI STPP3</v>
          </cell>
          <cell r="D425" t="str">
            <v>Andhra Pradesh</v>
          </cell>
          <cell r="E425">
            <v>500</v>
          </cell>
          <cell r="F425" t="str">
            <v>Sub critical</v>
          </cell>
        </row>
        <row r="426">
          <cell r="C426" t="str">
            <v>SIMHAPURI TPS2</v>
          </cell>
          <cell r="D426" t="str">
            <v>Andhra Pradesh</v>
          </cell>
          <cell r="E426">
            <v>150</v>
          </cell>
          <cell r="F426" t="str">
            <v>Sub critical</v>
          </cell>
        </row>
        <row r="427">
          <cell r="C427" t="str">
            <v>SIMHAPURI TPS3</v>
          </cell>
          <cell r="D427" t="str">
            <v>Andhra Pradesh</v>
          </cell>
          <cell r="E427">
            <v>150</v>
          </cell>
          <cell r="F427" t="str">
            <v>Sub critical</v>
          </cell>
        </row>
        <row r="428">
          <cell r="C428" t="str">
            <v>SINGARENI TPP1</v>
          </cell>
          <cell r="D428" t="str">
            <v>Telangana</v>
          </cell>
          <cell r="E428">
            <v>600</v>
          </cell>
          <cell r="F428" t="str">
            <v>Sub critical</v>
          </cell>
        </row>
        <row r="429">
          <cell r="C429" t="str">
            <v>SINGARENI TPP2</v>
          </cell>
          <cell r="D429" t="str">
            <v>Telangana</v>
          </cell>
          <cell r="E429">
            <v>600</v>
          </cell>
          <cell r="F429" t="str">
            <v>Sub critical</v>
          </cell>
        </row>
        <row r="430">
          <cell r="C430" t="str">
            <v>SINGRAULI STPS7</v>
          </cell>
          <cell r="D430" t="str">
            <v>Uttar Pradesh</v>
          </cell>
          <cell r="E430">
            <v>500</v>
          </cell>
          <cell r="F430" t="str">
            <v>Sub critical</v>
          </cell>
        </row>
        <row r="431">
          <cell r="C431" t="str">
            <v>SINGRAULI STPS6</v>
          </cell>
          <cell r="D431" t="str">
            <v>Uttar Pradesh</v>
          </cell>
          <cell r="E431">
            <v>500</v>
          </cell>
          <cell r="F431" t="str">
            <v>Sub critical</v>
          </cell>
        </row>
        <row r="432">
          <cell r="C432" t="str">
            <v>SINGRAULI STPS3</v>
          </cell>
          <cell r="D432" t="str">
            <v>Uttar Pradesh</v>
          </cell>
          <cell r="E432">
            <v>200</v>
          </cell>
          <cell r="F432" t="str">
            <v>Sub critical</v>
          </cell>
        </row>
        <row r="433">
          <cell r="C433" t="str">
            <v>SINGRAULI STPS2</v>
          </cell>
          <cell r="D433" t="str">
            <v>Uttar Pradesh</v>
          </cell>
          <cell r="E433">
            <v>200</v>
          </cell>
          <cell r="F433" t="str">
            <v>Sub critical</v>
          </cell>
        </row>
        <row r="434">
          <cell r="C434" t="str">
            <v>SINGRAULI STPS4</v>
          </cell>
          <cell r="D434" t="str">
            <v>Uttar Pradesh</v>
          </cell>
          <cell r="E434">
            <v>200</v>
          </cell>
          <cell r="F434" t="str">
            <v>Sub critical</v>
          </cell>
        </row>
        <row r="435">
          <cell r="C435" t="str">
            <v>SINGRAULI STPS1</v>
          </cell>
          <cell r="D435" t="str">
            <v>Uttar Pradesh</v>
          </cell>
          <cell r="E435">
            <v>200</v>
          </cell>
          <cell r="F435" t="str">
            <v>Sub critical</v>
          </cell>
        </row>
        <row r="436">
          <cell r="C436" t="str">
            <v>SINGRAULI STPS5</v>
          </cell>
          <cell r="D436" t="str">
            <v>Uttar Pradesh</v>
          </cell>
          <cell r="E436">
            <v>200</v>
          </cell>
          <cell r="F436" t="str">
            <v>Sub critical</v>
          </cell>
        </row>
        <row r="437">
          <cell r="C437" t="str">
            <v>SIPAT STPS3</v>
          </cell>
          <cell r="D437" t="str">
            <v>Chhattisgarh</v>
          </cell>
          <cell r="E437">
            <v>660</v>
          </cell>
          <cell r="F437" t="str">
            <v>Super critical</v>
          </cell>
        </row>
        <row r="438">
          <cell r="C438" t="str">
            <v>SIPAT STPS1</v>
          </cell>
          <cell r="D438" t="str">
            <v>Chhattisgarh</v>
          </cell>
          <cell r="E438">
            <v>660</v>
          </cell>
          <cell r="F438" t="str">
            <v>Super critical</v>
          </cell>
        </row>
        <row r="439">
          <cell r="C439" t="str">
            <v>SIPAT STPS2</v>
          </cell>
          <cell r="D439" t="str">
            <v>Chhattisgarh</v>
          </cell>
          <cell r="E439">
            <v>660</v>
          </cell>
          <cell r="F439" t="str">
            <v>Super critical</v>
          </cell>
        </row>
        <row r="440">
          <cell r="C440" t="str">
            <v>SIPAT STPS5</v>
          </cell>
          <cell r="D440" t="str">
            <v>Chhattisgarh</v>
          </cell>
          <cell r="E440">
            <v>500</v>
          </cell>
          <cell r="F440" t="str">
            <v>Sub critical</v>
          </cell>
        </row>
        <row r="441">
          <cell r="C441" t="str">
            <v>SIPAT STPS4</v>
          </cell>
          <cell r="D441" t="str">
            <v>Chhattisgarh</v>
          </cell>
          <cell r="E441">
            <v>500</v>
          </cell>
          <cell r="F441" t="str">
            <v>Sub critical</v>
          </cell>
        </row>
        <row r="442">
          <cell r="C442" t="str">
            <v>SOLAPUR STPS1</v>
          </cell>
          <cell r="D442" t="str">
            <v>Maharashtra</v>
          </cell>
          <cell r="E442">
            <v>660</v>
          </cell>
          <cell r="F442" t="str">
            <v>Super critical</v>
          </cell>
        </row>
        <row r="443">
          <cell r="C443" t="str">
            <v>SOLAPUR STPS2</v>
          </cell>
          <cell r="D443" t="str">
            <v>Maharashtra</v>
          </cell>
          <cell r="E443">
            <v>660</v>
          </cell>
          <cell r="F443" t="str">
            <v>Super critical</v>
          </cell>
        </row>
        <row r="444">
          <cell r="C444" t="str">
            <v>SOUTHERN REPL. TPS2</v>
          </cell>
          <cell r="D444" t="str">
            <v>West Bengal</v>
          </cell>
          <cell r="E444">
            <v>67.5</v>
          </cell>
          <cell r="F444" t="str">
            <v>Sub critical</v>
          </cell>
        </row>
        <row r="445">
          <cell r="C445" t="str">
            <v>SOUTHERN REPL. TPS1</v>
          </cell>
          <cell r="D445" t="str">
            <v>West Bengal</v>
          </cell>
          <cell r="E445">
            <v>67.5</v>
          </cell>
          <cell r="F445" t="str">
            <v>Sub critical</v>
          </cell>
        </row>
        <row r="446">
          <cell r="C446" t="str">
            <v>STERLITE TPP2</v>
          </cell>
          <cell r="D446" t="str">
            <v>Odisha</v>
          </cell>
          <cell r="E446">
            <v>600</v>
          </cell>
          <cell r="F446" t="str">
            <v>Sub critical</v>
          </cell>
        </row>
        <row r="447">
          <cell r="C447" t="str">
            <v>STERLITE TPP1</v>
          </cell>
          <cell r="D447" t="str">
            <v>Odisha</v>
          </cell>
          <cell r="E447">
            <v>600</v>
          </cell>
          <cell r="F447" t="str">
            <v>Sub critical</v>
          </cell>
        </row>
        <row r="448">
          <cell r="C448" t="str">
            <v>SURATGARH TPS1</v>
          </cell>
          <cell r="D448" t="str">
            <v>Rajasthan</v>
          </cell>
          <cell r="E448">
            <v>250</v>
          </cell>
          <cell r="F448" t="str">
            <v>Sub critical</v>
          </cell>
        </row>
        <row r="449">
          <cell r="C449" t="str">
            <v>SURATGARH TPS4</v>
          </cell>
          <cell r="D449" t="str">
            <v>Rajasthan</v>
          </cell>
          <cell r="E449">
            <v>250</v>
          </cell>
          <cell r="F449" t="str">
            <v>Sub critical</v>
          </cell>
        </row>
        <row r="450">
          <cell r="C450" t="str">
            <v>SURATGARH TPS3</v>
          </cell>
          <cell r="D450" t="str">
            <v>Rajasthan</v>
          </cell>
          <cell r="E450">
            <v>250</v>
          </cell>
          <cell r="F450" t="str">
            <v>Sub critical</v>
          </cell>
        </row>
        <row r="451">
          <cell r="C451" t="str">
            <v>SURATGARH TPS5</v>
          </cell>
          <cell r="D451" t="str">
            <v>Rajasthan</v>
          </cell>
          <cell r="E451">
            <v>250</v>
          </cell>
          <cell r="F451" t="str">
            <v>Sub critical</v>
          </cell>
        </row>
        <row r="452">
          <cell r="C452" t="str">
            <v>SURATGARH TPS6</v>
          </cell>
          <cell r="D452" t="str">
            <v>Rajasthan</v>
          </cell>
          <cell r="E452">
            <v>250</v>
          </cell>
          <cell r="F452" t="str">
            <v>Sub critical</v>
          </cell>
        </row>
        <row r="453">
          <cell r="C453" t="str">
            <v>SURATGARH TPS2</v>
          </cell>
          <cell r="D453" t="str">
            <v>Rajasthan</v>
          </cell>
          <cell r="E453">
            <v>250</v>
          </cell>
          <cell r="F453" t="str">
            <v>Sub critical</v>
          </cell>
        </row>
        <row r="454">
          <cell r="C454" t="str">
            <v>SURATGARH TPS7</v>
          </cell>
          <cell r="D454" t="str">
            <v>Rajasthan</v>
          </cell>
          <cell r="E454">
            <v>660</v>
          </cell>
          <cell r="F454" t="str">
            <v>Super critical</v>
          </cell>
        </row>
        <row r="455">
          <cell r="C455" t="str">
            <v>SVPL TPP1</v>
          </cell>
          <cell r="D455" t="str">
            <v>Chhattisgarh</v>
          </cell>
          <cell r="E455">
            <v>63</v>
          </cell>
          <cell r="F455" t="str">
            <v>Sub critical</v>
          </cell>
        </row>
        <row r="456">
          <cell r="C456" t="str">
            <v>TALCHER (OLD) TPS6</v>
          </cell>
          <cell r="D456" t="str">
            <v>Odisha</v>
          </cell>
          <cell r="E456">
            <v>110</v>
          </cell>
          <cell r="F456" t="str">
            <v>Sub critical</v>
          </cell>
        </row>
        <row r="457">
          <cell r="C457" t="str">
            <v>TALCHER (OLD) TPS5</v>
          </cell>
          <cell r="D457" t="str">
            <v>Odisha</v>
          </cell>
          <cell r="E457">
            <v>110</v>
          </cell>
          <cell r="F457" t="str">
            <v>Sub critical</v>
          </cell>
        </row>
        <row r="458">
          <cell r="C458" t="str">
            <v>TALCHER (OLD) TPS1</v>
          </cell>
          <cell r="D458" t="str">
            <v>Odisha</v>
          </cell>
          <cell r="E458">
            <v>62.5</v>
          </cell>
          <cell r="F458" t="str">
            <v>Sub critical</v>
          </cell>
        </row>
        <row r="459">
          <cell r="C459" t="str">
            <v>TALCHER (OLD) TPS2</v>
          </cell>
          <cell r="D459" t="str">
            <v>Odisha</v>
          </cell>
          <cell r="E459">
            <v>62.5</v>
          </cell>
          <cell r="F459" t="str">
            <v>Sub critical</v>
          </cell>
        </row>
        <row r="460">
          <cell r="C460" t="str">
            <v>TALCHER (OLD) TPS3</v>
          </cell>
          <cell r="D460" t="str">
            <v>Odisha</v>
          </cell>
          <cell r="E460">
            <v>62.5</v>
          </cell>
          <cell r="F460" t="str">
            <v>Sub critical</v>
          </cell>
        </row>
        <row r="461">
          <cell r="C461" t="str">
            <v>TALCHER (OLD) TPS4</v>
          </cell>
          <cell r="D461" t="str">
            <v>Odisha</v>
          </cell>
          <cell r="E461">
            <v>62.5</v>
          </cell>
          <cell r="F461" t="str">
            <v>Sub critical</v>
          </cell>
        </row>
        <row r="462">
          <cell r="C462" t="str">
            <v>TALCHER STPS4</v>
          </cell>
          <cell r="D462" t="str">
            <v>Odisha</v>
          </cell>
          <cell r="E462">
            <v>500</v>
          </cell>
          <cell r="F462" t="str">
            <v>Sub critical</v>
          </cell>
        </row>
        <row r="463">
          <cell r="C463" t="str">
            <v>TALCHER STPS6</v>
          </cell>
          <cell r="D463" t="str">
            <v>Odisha</v>
          </cell>
          <cell r="E463">
            <v>500</v>
          </cell>
          <cell r="F463" t="str">
            <v>Sub critical</v>
          </cell>
        </row>
        <row r="464">
          <cell r="C464" t="str">
            <v>TALCHER STPS3</v>
          </cell>
          <cell r="D464" t="str">
            <v>Odisha</v>
          </cell>
          <cell r="E464">
            <v>500</v>
          </cell>
          <cell r="F464" t="str">
            <v>Sub critical</v>
          </cell>
        </row>
        <row r="465">
          <cell r="C465" t="str">
            <v>TALCHER STPS5</v>
          </cell>
          <cell r="D465" t="str">
            <v>Odisha</v>
          </cell>
          <cell r="E465">
            <v>500</v>
          </cell>
          <cell r="F465" t="str">
            <v>Sub critical</v>
          </cell>
        </row>
        <row r="466">
          <cell r="C466" t="str">
            <v>TALCHER STPS2</v>
          </cell>
          <cell r="D466" t="str">
            <v>Odisha</v>
          </cell>
          <cell r="E466">
            <v>500</v>
          </cell>
          <cell r="F466" t="str">
            <v>Sub critical</v>
          </cell>
        </row>
        <row r="467">
          <cell r="C467" t="str">
            <v>TALCHER STPS1</v>
          </cell>
          <cell r="D467" t="str">
            <v>Odisha</v>
          </cell>
          <cell r="E467">
            <v>500</v>
          </cell>
          <cell r="F467" t="str">
            <v>Sub critical</v>
          </cell>
        </row>
        <row r="468">
          <cell r="C468" t="str">
            <v>TALWANDI SABO TPS2</v>
          </cell>
          <cell r="D468" t="str">
            <v>Punjab</v>
          </cell>
          <cell r="E468">
            <v>660</v>
          </cell>
          <cell r="F468" t="str">
            <v>Super critical</v>
          </cell>
        </row>
        <row r="469">
          <cell r="C469" t="str">
            <v>TALWANDI SABO TPS3</v>
          </cell>
          <cell r="D469" t="str">
            <v>Punjab</v>
          </cell>
          <cell r="E469">
            <v>660</v>
          </cell>
          <cell r="F469" t="str">
            <v>Super critical</v>
          </cell>
        </row>
        <row r="470">
          <cell r="C470" t="str">
            <v>TALWANDI SABO TPS1</v>
          </cell>
          <cell r="D470" t="str">
            <v>Punjab</v>
          </cell>
          <cell r="E470">
            <v>660</v>
          </cell>
          <cell r="F470" t="str">
            <v>Super critical</v>
          </cell>
        </row>
        <row r="471">
          <cell r="C471" t="str">
            <v>TANDA STPS4</v>
          </cell>
          <cell r="D471" t="str">
            <v>Uttar Pradesh</v>
          </cell>
          <cell r="E471">
            <v>110</v>
          </cell>
          <cell r="F471" t="str">
            <v>Sub critical</v>
          </cell>
        </row>
        <row r="472">
          <cell r="C472" t="str">
            <v>TANDA STPS2</v>
          </cell>
          <cell r="D472" t="str">
            <v>Uttar Pradesh</v>
          </cell>
          <cell r="E472">
            <v>110</v>
          </cell>
          <cell r="F472" t="str">
            <v>Sub critical</v>
          </cell>
        </row>
        <row r="473">
          <cell r="C473" t="str">
            <v>TANDA STPS3</v>
          </cell>
          <cell r="D473" t="str">
            <v>Uttar Pradesh</v>
          </cell>
          <cell r="E473">
            <v>110</v>
          </cell>
          <cell r="F473" t="str">
            <v>Sub critical</v>
          </cell>
        </row>
        <row r="474">
          <cell r="C474" t="str">
            <v>TANDA STPS1</v>
          </cell>
          <cell r="D474" t="str">
            <v>Uttar Pradesh</v>
          </cell>
          <cell r="E474">
            <v>110</v>
          </cell>
          <cell r="F474" t="str">
            <v>Sub critical</v>
          </cell>
        </row>
        <row r="475">
          <cell r="C475" t="str">
            <v>TANDA STPS5</v>
          </cell>
          <cell r="D475" t="str">
            <v>Uttar Pradesh</v>
          </cell>
          <cell r="E475">
            <v>660</v>
          </cell>
          <cell r="F475" t="str">
            <v>Super critical</v>
          </cell>
        </row>
        <row r="476">
          <cell r="C476" t="str">
            <v>TENUGHAT TPS2</v>
          </cell>
          <cell r="D476" t="str">
            <v>Jharkhand</v>
          </cell>
          <cell r="E476">
            <v>210</v>
          </cell>
          <cell r="F476" t="str">
            <v>Sub critical</v>
          </cell>
        </row>
        <row r="477">
          <cell r="C477" t="str">
            <v>TENUGHAT TPS1</v>
          </cell>
          <cell r="D477" t="str">
            <v>Jharkhand</v>
          </cell>
          <cell r="E477">
            <v>210</v>
          </cell>
          <cell r="F477" t="str">
            <v>Sub critical</v>
          </cell>
        </row>
        <row r="478">
          <cell r="C478" t="str">
            <v>THAMMINAPATNAM TPS1</v>
          </cell>
          <cell r="D478" t="str">
            <v>Andhra Pradesh</v>
          </cell>
          <cell r="E478">
            <v>150</v>
          </cell>
          <cell r="F478" t="str">
            <v>Sub critical</v>
          </cell>
        </row>
        <row r="479">
          <cell r="C479" t="str">
            <v>THAMMINAPATNAM TPS2</v>
          </cell>
          <cell r="D479" t="str">
            <v>Andhra Pradesh</v>
          </cell>
          <cell r="E479">
            <v>150</v>
          </cell>
          <cell r="F479" t="str">
            <v>Sub critical</v>
          </cell>
        </row>
        <row r="480">
          <cell r="C480" t="str">
            <v>TIRORA TPS2</v>
          </cell>
          <cell r="D480" t="str">
            <v>Maharashtra</v>
          </cell>
          <cell r="E480">
            <v>660</v>
          </cell>
          <cell r="F480" t="str">
            <v>Super critical</v>
          </cell>
        </row>
        <row r="481">
          <cell r="C481" t="str">
            <v>TIRORA TPS3</v>
          </cell>
          <cell r="D481" t="str">
            <v>Maharashtra</v>
          </cell>
          <cell r="E481">
            <v>660</v>
          </cell>
          <cell r="F481" t="str">
            <v>Super critical</v>
          </cell>
        </row>
        <row r="482">
          <cell r="C482" t="str">
            <v>TIRORA TPS1</v>
          </cell>
          <cell r="D482" t="str">
            <v>Maharashtra</v>
          </cell>
          <cell r="E482">
            <v>660</v>
          </cell>
          <cell r="F482" t="str">
            <v>Super critical</v>
          </cell>
        </row>
        <row r="483">
          <cell r="C483" t="str">
            <v>TIRORA TPS4</v>
          </cell>
          <cell r="D483" t="str">
            <v>Maharashtra</v>
          </cell>
          <cell r="E483">
            <v>660</v>
          </cell>
          <cell r="F483" t="str">
            <v>Super critical</v>
          </cell>
        </row>
        <row r="484">
          <cell r="C484" t="str">
            <v>TIRORA TPS5</v>
          </cell>
          <cell r="D484" t="str">
            <v>Maharashtra</v>
          </cell>
          <cell r="E484">
            <v>660</v>
          </cell>
          <cell r="F484" t="str">
            <v>Super critical</v>
          </cell>
        </row>
        <row r="485">
          <cell r="C485" t="str">
            <v>TORANGALLU TPS(SBU-I)1</v>
          </cell>
          <cell r="D485" t="str">
            <v>Karnataka</v>
          </cell>
          <cell r="E485">
            <v>130</v>
          </cell>
          <cell r="F485" t="str">
            <v>Sub critical</v>
          </cell>
        </row>
        <row r="486">
          <cell r="C486" t="str">
            <v>TORANGALLU TPS(SBU-I)2</v>
          </cell>
          <cell r="D486" t="str">
            <v>Karnataka</v>
          </cell>
          <cell r="E486">
            <v>130</v>
          </cell>
          <cell r="F486" t="str">
            <v>Sub critical</v>
          </cell>
        </row>
        <row r="487">
          <cell r="C487" t="str">
            <v>TORANGALLU TPS(SBU-II)3</v>
          </cell>
          <cell r="D487" t="str">
            <v>Karnataka</v>
          </cell>
          <cell r="E487">
            <v>300</v>
          </cell>
          <cell r="F487" t="str">
            <v>Sub critical</v>
          </cell>
        </row>
        <row r="488">
          <cell r="C488" t="str">
            <v>TORANGALLU TPS(SBU-II)4</v>
          </cell>
          <cell r="D488" t="str">
            <v>Karnataka</v>
          </cell>
          <cell r="E488">
            <v>300</v>
          </cell>
          <cell r="F488" t="str">
            <v>Sub critical</v>
          </cell>
        </row>
        <row r="489">
          <cell r="C489" t="str">
            <v>TROMBAY TPS5</v>
          </cell>
          <cell r="D489" t="str">
            <v>Maharashtra</v>
          </cell>
          <cell r="E489">
            <v>500</v>
          </cell>
          <cell r="F489" t="str">
            <v>Sub critical</v>
          </cell>
        </row>
        <row r="490">
          <cell r="C490" t="str">
            <v>TROMBAY TPS8</v>
          </cell>
          <cell r="D490" t="str">
            <v>Maharashtra</v>
          </cell>
          <cell r="E490">
            <v>250</v>
          </cell>
          <cell r="F490" t="str">
            <v>Sub critical</v>
          </cell>
        </row>
        <row r="491">
          <cell r="C491" t="str">
            <v>TUTICORIN TPS4</v>
          </cell>
          <cell r="D491" t="str">
            <v>Tamil Nadu</v>
          </cell>
          <cell r="E491">
            <v>210</v>
          </cell>
          <cell r="F491" t="str">
            <v>Sub critical</v>
          </cell>
        </row>
        <row r="492">
          <cell r="C492" t="str">
            <v>TUTICORIN TPS2</v>
          </cell>
          <cell r="D492" t="str">
            <v>Tamil Nadu</v>
          </cell>
          <cell r="E492">
            <v>210</v>
          </cell>
          <cell r="F492" t="str">
            <v>Sub critical</v>
          </cell>
        </row>
        <row r="493">
          <cell r="C493" t="str">
            <v>TUTICORIN TPS3</v>
          </cell>
          <cell r="D493" t="str">
            <v>Tamil Nadu</v>
          </cell>
          <cell r="E493">
            <v>210</v>
          </cell>
          <cell r="F493" t="str">
            <v>Sub critical</v>
          </cell>
        </row>
        <row r="494">
          <cell r="C494" t="str">
            <v>TUTICORIN TPS5</v>
          </cell>
          <cell r="D494" t="str">
            <v>Tamil Nadu</v>
          </cell>
          <cell r="E494">
            <v>210</v>
          </cell>
          <cell r="F494" t="str">
            <v>Sub critical</v>
          </cell>
        </row>
        <row r="495">
          <cell r="C495" t="str">
            <v>TUTICORIN TPS1</v>
          </cell>
          <cell r="D495" t="str">
            <v>Tamil Nadu</v>
          </cell>
          <cell r="E495">
            <v>210</v>
          </cell>
          <cell r="F495" t="str">
            <v>Sub critical</v>
          </cell>
        </row>
        <row r="496">
          <cell r="C496" t="str">
            <v>UCHPINDA TPP2</v>
          </cell>
          <cell r="D496" t="str">
            <v>Chhattisgarh</v>
          </cell>
          <cell r="E496">
            <v>360</v>
          </cell>
          <cell r="F496" t="str">
            <v>Sub critical</v>
          </cell>
        </row>
        <row r="497">
          <cell r="C497" t="str">
            <v>UCHPINDA TPP1</v>
          </cell>
          <cell r="D497" t="str">
            <v>Chhattisgarh</v>
          </cell>
          <cell r="E497">
            <v>360</v>
          </cell>
          <cell r="F497" t="str">
            <v>Sub critical</v>
          </cell>
        </row>
        <row r="498">
          <cell r="C498" t="str">
            <v>UCHPINDA TPP3</v>
          </cell>
          <cell r="D498" t="str">
            <v>Chhattisgarh</v>
          </cell>
          <cell r="E498">
            <v>360</v>
          </cell>
          <cell r="F498" t="str">
            <v>Sub critical</v>
          </cell>
        </row>
        <row r="499">
          <cell r="C499" t="str">
            <v>UDUPI TPP1</v>
          </cell>
          <cell r="D499" t="str">
            <v>Karnataka</v>
          </cell>
          <cell r="E499">
            <v>600</v>
          </cell>
          <cell r="F499" t="str">
            <v>Sub critical</v>
          </cell>
        </row>
        <row r="500">
          <cell r="C500" t="str">
            <v>UDUPI TPP2</v>
          </cell>
          <cell r="D500" t="str">
            <v>Karnataka</v>
          </cell>
          <cell r="E500">
            <v>600</v>
          </cell>
          <cell r="F500" t="str">
            <v>Sub critical</v>
          </cell>
        </row>
        <row r="501">
          <cell r="C501" t="str">
            <v>UKAI TPS6</v>
          </cell>
          <cell r="D501" t="str">
            <v>Gujarat</v>
          </cell>
          <cell r="E501">
            <v>500</v>
          </cell>
          <cell r="F501" t="str">
            <v>Sub critical</v>
          </cell>
        </row>
        <row r="502">
          <cell r="C502" t="str">
            <v>UKAI TPS5</v>
          </cell>
          <cell r="D502" t="str">
            <v>Gujarat</v>
          </cell>
          <cell r="E502">
            <v>210</v>
          </cell>
          <cell r="F502" t="str">
            <v>Sub critical</v>
          </cell>
        </row>
        <row r="503">
          <cell r="C503" t="str">
            <v>UKAI TPS4</v>
          </cell>
          <cell r="D503" t="str">
            <v>Gujarat</v>
          </cell>
          <cell r="E503">
            <v>200</v>
          </cell>
          <cell r="F503" t="str">
            <v>Sub critical</v>
          </cell>
        </row>
        <row r="504">
          <cell r="C504" t="str">
            <v>UKAI TPS3</v>
          </cell>
          <cell r="D504" t="str">
            <v>Gujarat</v>
          </cell>
          <cell r="E504">
            <v>200</v>
          </cell>
          <cell r="F504" t="str">
            <v>Sub critical</v>
          </cell>
        </row>
        <row r="505">
          <cell r="C505" t="str">
            <v>UNCHAHAR STPS4</v>
          </cell>
          <cell r="D505" t="str">
            <v>Uttar Pradesh</v>
          </cell>
          <cell r="E505">
            <v>210</v>
          </cell>
          <cell r="F505" t="str">
            <v>Sub critical</v>
          </cell>
        </row>
        <row r="506">
          <cell r="C506" t="str">
            <v>UNCHAHAR STPS5</v>
          </cell>
          <cell r="D506" t="str">
            <v>Uttar Pradesh</v>
          </cell>
          <cell r="E506">
            <v>210</v>
          </cell>
          <cell r="F506" t="str">
            <v>Sub critical</v>
          </cell>
        </row>
        <row r="507">
          <cell r="C507" t="str">
            <v>UNCHAHAR STPS2</v>
          </cell>
          <cell r="D507" t="str">
            <v>Uttar Pradesh</v>
          </cell>
          <cell r="E507">
            <v>210</v>
          </cell>
          <cell r="F507" t="str">
            <v>Sub critical</v>
          </cell>
        </row>
        <row r="508">
          <cell r="C508" t="str">
            <v>UNCHAHAR STPS1</v>
          </cell>
          <cell r="D508" t="str">
            <v>Uttar Pradesh</v>
          </cell>
          <cell r="E508">
            <v>210</v>
          </cell>
          <cell r="F508" t="str">
            <v>Sub critical</v>
          </cell>
        </row>
        <row r="509">
          <cell r="C509" t="str">
            <v>UNCHAHAR STPS3</v>
          </cell>
          <cell r="D509" t="str">
            <v>Uttar Pradesh</v>
          </cell>
          <cell r="E509">
            <v>210</v>
          </cell>
          <cell r="F509" t="str">
            <v>Sub critical</v>
          </cell>
        </row>
        <row r="510">
          <cell r="C510" t="str">
            <v>UNCHAHAR STPS6</v>
          </cell>
          <cell r="D510" t="str">
            <v>Uttar Pradesh</v>
          </cell>
          <cell r="E510">
            <v>500</v>
          </cell>
          <cell r="F510" t="str">
            <v>Sub critical</v>
          </cell>
        </row>
        <row r="511">
          <cell r="C511" t="str">
            <v>UTRAULA TPS2</v>
          </cell>
          <cell r="D511" t="str">
            <v>Uttar Pradesh</v>
          </cell>
          <cell r="E511">
            <v>45</v>
          </cell>
          <cell r="F511" t="str">
            <v>Sub critical</v>
          </cell>
        </row>
        <row r="512">
          <cell r="C512" t="str">
            <v>UTRAULA TPS1</v>
          </cell>
          <cell r="D512" t="str">
            <v>Uttar Pradesh</v>
          </cell>
          <cell r="E512">
            <v>45</v>
          </cell>
          <cell r="F512" t="str">
            <v>Sub critical</v>
          </cell>
        </row>
        <row r="513">
          <cell r="C513" t="str">
            <v>VALLUR TPP1</v>
          </cell>
          <cell r="D513" t="str">
            <v>Tamil Nadu</v>
          </cell>
          <cell r="E513">
            <v>500</v>
          </cell>
          <cell r="F513" t="str">
            <v>Sub critical</v>
          </cell>
        </row>
        <row r="514">
          <cell r="C514" t="str">
            <v>VALLUR TPP2</v>
          </cell>
          <cell r="D514" t="str">
            <v>Tamil Nadu</v>
          </cell>
          <cell r="E514">
            <v>500</v>
          </cell>
          <cell r="F514" t="str">
            <v>Sub critical</v>
          </cell>
        </row>
        <row r="515">
          <cell r="C515" t="str">
            <v>VALLUR TPP3</v>
          </cell>
          <cell r="D515" t="str">
            <v>Tamil Nadu</v>
          </cell>
          <cell r="E515">
            <v>500</v>
          </cell>
          <cell r="F515" t="str">
            <v>Sub critical</v>
          </cell>
        </row>
        <row r="516">
          <cell r="C516" t="str">
            <v>VINDHYACHAL STPS9</v>
          </cell>
          <cell r="D516" t="str">
            <v>Madhya Pradesh</v>
          </cell>
          <cell r="E516">
            <v>500</v>
          </cell>
          <cell r="F516" t="str">
            <v>Sub critical</v>
          </cell>
        </row>
        <row r="517">
          <cell r="C517" t="str">
            <v>VINDHYACHAL STPS8</v>
          </cell>
          <cell r="D517" t="str">
            <v>Madhya Pradesh</v>
          </cell>
          <cell r="E517">
            <v>500</v>
          </cell>
          <cell r="F517" t="str">
            <v>Sub critical</v>
          </cell>
        </row>
        <row r="518">
          <cell r="C518" t="str">
            <v>VINDHYACHAL STPS7</v>
          </cell>
          <cell r="D518" t="str">
            <v>Madhya Pradesh</v>
          </cell>
          <cell r="E518">
            <v>500</v>
          </cell>
          <cell r="F518" t="str">
            <v>Sub critical</v>
          </cell>
        </row>
        <row r="519">
          <cell r="C519" t="str">
            <v>VINDHYACHAL STPS10</v>
          </cell>
          <cell r="D519" t="str">
            <v>Madhya Pradesh</v>
          </cell>
          <cell r="E519">
            <v>500</v>
          </cell>
          <cell r="F519" t="str">
            <v>Sub critical</v>
          </cell>
        </row>
        <row r="520">
          <cell r="C520" t="str">
            <v>VINDHYACHAL STPS1</v>
          </cell>
          <cell r="D520" t="str">
            <v>Madhya Pradesh</v>
          </cell>
          <cell r="E520">
            <v>500</v>
          </cell>
          <cell r="F520" t="str">
            <v>Sub critical</v>
          </cell>
        </row>
        <row r="521">
          <cell r="C521" t="str">
            <v>VINDHYACHAL STPS12</v>
          </cell>
          <cell r="D521" t="str">
            <v>Madhya Pradesh</v>
          </cell>
          <cell r="E521">
            <v>500</v>
          </cell>
          <cell r="F521" t="str">
            <v>Sub critical</v>
          </cell>
        </row>
        <row r="522">
          <cell r="C522" t="str">
            <v>VINDHYACHAL STPS11</v>
          </cell>
          <cell r="D522" t="str">
            <v>Madhya Pradesh</v>
          </cell>
          <cell r="E522">
            <v>500</v>
          </cell>
          <cell r="F522" t="str">
            <v>Sub critical</v>
          </cell>
        </row>
        <row r="523">
          <cell r="C523" t="str">
            <v>VINDHYACHAL STPS13</v>
          </cell>
          <cell r="D523" t="str">
            <v>Madhya Pradesh</v>
          </cell>
          <cell r="E523">
            <v>500</v>
          </cell>
          <cell r="F523" t="str">
            <v>Sub critical</v>
          </cell>
        </row>
        <row r="524">
          <cell r="C524" t="str">
            <v>VINDHYACHAL STPS2</v>
          </cell>
          <cell r="D524" t="str">
            <v>Madhya Pradesh</v>
          </cell>
          <cell r="E524">
            <v>500</v>
          </cell>
          <cell r="F524" t="str">
            <v>Sub critical</v>
          </cell>
        </row>
        <row r="525">
          <cell r="C525" t="str">
            <v>VINDHYACHAL STPS3</v>
          </cell>
          <cell r="D525" t="str">
            <v>Madhya Pradesh</v>
          </cell>
          <cell r="E525">
            <v>500</v>
          </cell>
          <cell r="F525" t="str">
            <v>Sub critical</v>
          </cell>
        </row>
        <row r="526">
          <cell r="C526" t="str">
            <v>VINDHYACHAL STPS6</v>
          </cell>
          <cell r="D526" t="str">
            <v>Madhya Pradesh</v>
          </cell>
          <cell r="E526">
            <v>210</v>
          </cell>
          <cell r="F526" t="str">
            <v>Sub critical</v>
          </cell>
        </row>
        <row r="527">
          <cell r="C527" t="str">
            <v>VINDHYACHAL STPS4</v>
          </cell>
          <cell r="D527" t="str">
            <v>Madhya Pradesh</v>
          </cell>
          <cell r="E527">
            <v>210</v>
          </cell>
          <cell r="F527" t="str">
            <v>Sub critical</v>
          </cell>
        </row>
        <row r="528">
          <cell r="C528" t="str">
            <v>VINDHYACHAL STPS5</v>
          </cell>
          <cell r="D528" t="str">
            <v>Madhya Pradesh</v>
          </cell>
          <cell r="E528">
            <v>210</v>
          </cell>
          <cell r="F528" t="str">
            <v>Sub critical</v>
          </cell>
        </row>
        <row r="529">
          <cell r="C529" t="str">
            <v>VIZAG TPS1</v>
          </cell>
          <cell r="D529" t="str">
            <v>Andhra Pradesh</v>
          </cell>
          <cell r="E529">
            <v>520</v>
          </cell>
          <cell r="F529" t="str">
            <v>Sub critical</v>
          </cell>
        </row>
        <row r="530">
          <cell r="C530" t="str">
            <v>VIZAG TPS2</v>
          </cell>
          <cell r="D530" t="str">
            <v>Andhra Pradesh</v>
          </cell>
          <cell r="E530">
            <v>520</v>
          </cell>
          <cell r="F530" t="str">
            <v>Sub critical</v>
          </cell>
        </row>
        <row r="531">
          <cell r="C531" t="str">
            <v>WANAKBORI TPS7</v>
          </cell>
          <cell r="D531" t="str">
            <v>Gujarat</v>
          </cell>
          <cell r="E531">
            <v>210</v>
          </cell>
          <cell r="F531" t="str">
            <v>Sub critical</v>
          </cell>
        </row>
        <row r="532">
          <cell r="C532" t="str">
            <v>WANAKBORI TPS3</v>
          </cell>
          <cell r="D532" t="str">
            <v>Gujarat</v>
          </cell>
          <cell r="E532">
            <v>210</v>
          </cell>
          <cell r="F532" t="str">
            <v>Sub critical</v>
          </cell>
        </row>
        <row r="533">
          <cell r="C533" t="str">
            <v>WANAKBORI TPS2</v>
          </cell>
          <cell r="D533" t="str">
            <v>Gujarat</v>
          </cell>
          <cell r="E533">
            <v>210</v>
          </cell>
          <cell r="F533" t="str">
            <v>Sub critical</v>
          </cell>
        </row>
        <row r="534">
          <cell r="C534" t="str">
            <v>WANAKBORI TPS1</v>
          </cell>
          <cell r="D534" t="str">
            <v>Gujarat</v>
          </cell>
          <cell r="E534">
            <v>210</v>
          </cell>
          <cell r="F534" t="str">
            <v>Sub critical</v>
          </cell>
        </row>
        <row r="535">
          <cell r="C535" t="str">
            <v>WANAKBORI TPS4</v>
          </cell>
          <cell r="D535" t="str">
            <v>Gujarat</v>
          </cell>
          <cell r="E535">
            <v>210</v>
          </cell>
          <cell r="F535" t="str">
            <v>Sub critical</v>
          </cell>
        </row>
        <row r="536">
          <cell r="C536" t="str">
            <v>WANAKBORI TPS5</v>
          </cell>
          <cell r="D536" t="str">
            <v>Gujarat</v>
          </cell>
          <cell r="E536">
            <v>210</v>
          </cell>
          <cell r="F536" t="str">
            <v>Sub critical</v>
          </cell>
        </row>
        <row r="537">
          <cell r="C537" t="str">
            <v>WANAKBORI TPS6</v>
          </cell>
          <cell r="D537" t="str">
            <v>Gujarat</v>
          </cell>
          <cell r="E537">
            <v>210</v>
          </cell>
          <cell r="F537" t="str">
            <v>Sub critical</v>
          </cell>
        </row>
        <row r="538">
          <cell r="C538" t="str">
            <v>WANAKBORI TPS8</v>
          </cell>
          <cell r="D538" t="str">
            <v>Gujarat</v>
          </cell>
          <cell r="E538">
            <v>800</v>
          </cell>
          <cell r="F538" t="str">
            <v>Super critical</v>
          </cell>
        </row>
        <row r="539">
          <cell r="C539" t="str">
            <v>WARDHA WARORA TPP3</v>
          </cell>
          <cell r="D539" t="str">
            <v>Maharashtra</v>
          </cell>
          <cell r="E539">
            <v>135</v>
          </cell>
          <cell r="F539" t="str">
            <v>Sub critical</v>
          </cell>
        </row>
        <row r="540">
          <cell r="C540" t="str">
            <v>WARDHA WARORA TPP4</v>
          </cell>
          <cell r="D540" t="str">
            <v>Maharashtra</v>
          </cell>
          <cell r="E540">
            <v>135</v>
          </cell>
          <cell r="F540" t="str">
            <v>Sub critical</v>
          </cell>
        </row>
        <row r="541">
          <cell r="C541" t="str">
            <v>WARDHA WARORA TPP2</v>
          </cell>
          <cell r="D541" t="str">
            <v>Maharashtra</v>
          </cell>
          <cell r="E541">
            <v>135</v>
          </cell>
          <cell r="F541" t="str">
            <v>Sub critical</v>
          </cell>
        </row>
        <row r="542">
          <cell r="C542" t="str">
            <v>YAMUNA NAGAR TPS1</v>
          </cell>
          <cell r="D542" t="str">
            <v>Haryana</v>
          </cell>
          <cell r="E542">
            <v>300</v>
          </cell>
          <cell r="F542" t="str">
            <v>Sub critical</v>
          </cell>
        </row>
        <row r="543">
          <cell r="C543" t="str">
            <v>YAMUNA NAGAR TPS2</v>
          </cell>
          <cell r="D543" t="str">
            <v>Haryana</v>
          </cell>
          <cell r="E543">
            <v>300</v>
          </cell>
          <cell r="F543" t="str">
            <v>Sub critical</v>
          </cell>
        </row>
        <row r="544">
          <cell r="C544" t="str">
            <v>YERMARUS TPS1</v>
          </cell>
          <cell r="D544" t="str">
            <v>Karnataka</v>
          </cell>
          <cell r="E544">
            <v>800</v>
          </cell>
          <cell r="F544" t="str">
            <v>Super critical</v>
          </cell>
        </row>
        <row r="545">
          <cell r="C545" t="str">
            <v>YERMARUS TPS2</v>
          </cell>
          <cell r="D545" t="str">
            <v>Karnataka</v>
          </cell>
          <cell r="E545">
            <v>800</v>
          </cell>
          <cell r="F545" t="str">
            <v>Super critical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hermal generation Mar 19 - Feb"/>
    </sheetNames>
    <sheetDataSet>
      <sheetData sheetId="0">
        <row r="2">
          <cell r="C2" t="str">
            <v>MUNDRA UMTPP2</v>
          </cell>
          <cell r="D2">
            <v>6051.1199999999899</v>
          </cell>
        </row>
        <row r="3">
          <cell r="C3" t="str">
            <v>MUNDRA UMTPP3</v>
          </cell>
          <cell r="D3">
            <v>5966.2</v>
          </cell>
        </row>
        <row r="4">
          <cell r="C4" t="str">
            <v>MUNDRA UMTPP1</v>
          </cell>
          <cell r="D4">
            <v>5884.11</v>
          </cell>
        </row>
        <row r="5">
          <cell r="C5" t="str">
            <v>SASAN UMPTPP1</v>
          </cell>
          <cell r="D5">
            <v>5759.24999999999</v>
          </cell>
        </row>
        <row r="6">
          <cell r="C6" t="str">
            <v>SASAN UMPTPP5</v>
          </cell>
          <cell r="D6">
            <v>5694.68</v>
          </cell>
        </row>
        <row r="7">
          <cell r="C7" t="str">
            <v>SASAN UMPTPP6</v>
          </cell>
          <cell r="D7">
            <v>5690.8699999999899</v>
          </cell>
        </row>
        <row r="8">
          <cell r="C8" t="str">
            <v>SASAN UMPTPP4</v>
          </cell>
          <cell r="D8">
            <v>5537.1799999999903</v>
          </cell>
        </row>
        <row r="9">
          <cell r="C9" t="str">
            <v>SASAN UMPTPP2</v>
          </cell>
          <cell r="D9">
            <v>5516.0299999999897</v>
          </cell>
        </row>
        <row r="10">
          <cell r="C10" t="str">
            <v>SIPAT STPS2</v>
          </cell>
          <cell r="D10">
            <v>5206.97</v>
          </cell>
        </row>
        <row r="11">
          <cell r="C11" t="str">
            <v>PAINAMPURAM TPP1</v>
          </cell>
          <cell r="D11">
            <v>5123.54</v>
          </cell>
        </row>
        <row r="12">
          <cell r="C12" t="str">
            <v>PAINAMPURAM TPP2</v>
          </cell>
          <cell r="D12">
            <v>5110.2</v>
          </cell>
        </row>
        <row r="13">
          <cell r="C13" t="str">
            <v>SASAN UMPTPP3</v>
          </cell>
          <cell r="D13">
            <v>5037.8199999999897</v>
          </cell>
        </row>
        <row r="14">
          <cell r="C14" t="str">
            <v>TIRORA TPS3</v>
          </cell>
          <cell r="D14">
            <v>4966.18</v>
          </cell>
        </row>
        <row r="15">
          <cell r="C15" t="str">
            <v>MUNDRA UMTPP4</v>
          </cell>
          <cell r="D15">
            <v>4893.2</v>
          </cell>
        </row>
        <row r="16">
          <cell r="C16" t="str">
            <v>SIPAT STPS1</v>
          </cell>
          <cell r="D16">
            <v>4798.1699999999901</v>
          </cell>
        </row>
        <row r="17">
          <cell r="C17" t="str">
            <v>TIRORA TPS5</v>
          </cell>
          <cell r="D17">
            <v>4786.51</v>
          </cell>
        </row>
        <row r="18">
          <cell r="C18" t="str">
            <v>SIPAT STPS3</v>
          </cell>
          <cell r="D18">
            <v>4780.8599999999997</v>
          </cell>
        </row>
        <row r="19">
          <cell r="C19" t="str">
            <v>BARH II5</v>
          </cell>
          <cell r="D19">
            <v>4702.1000000000004</v>
          </cell>
        </row>
        <row r="20">
          <cell r="C20" t="str">
            <v>MUNDRA UMTPP5</v>
          </cell>
          <cell r="D20">
            <v>4701.4199999999901</v>
          </cell>
        </row>
        <row r="21">
          <cell r="C21" t="str">
            <v>TIRORA TPS2</v>
          </cell>
          <cell r="D21">
            <v>4653.1499999999996</v>
          </cell>
        </row>
        <row r="22">
          <cell r="C22" t="str">
            <v>SINGARENI TPP1</v>
          </cell>
          <cell r="D22">
            <v>4641.7</v>
          </cell>
        </row>
        <row r="23">
          <cell r="C23" t="str">
            <v>RAJPURA TPS1</v>
          </cell>
          <cell r="D23">
            <v>4617.9399999999896</v>
          </cell>
        </row>
        <row r="24">
          <cell r="C24" t="str">
            <v>TIRORA TPS4</v>
          </cell>
          <cell r="D24">
            <v>4577.78</v>
          </cell>
        </row>
        <row r="25">
          <cell r="C25" t="str">
            <v>SEMBCORP GAYATRI P. LTD2</v>
          </cell>
          <cell r="D25">
            <v>4577.3100000000004</v>
          </cell>
        </row>
        <row r="26">
          <cell r="C26" t="str">
            <v>SINGARENI TPP2</v>
          </cell>
          <cell r="D26">
            <v>4550.03999999999</v>
          </cell>
        </row>
        <row r="27">
          <cell r="C27" t="str">
            <v>MUNDRA TPS8</v>
          </cell>
          <cell r="D27">
            <v>4539.3399999999901</v>
          </cell>
        </row>
        <row r="28">
          <cell r="C28" t="str">
            <v>MUNDRA TPS5</v>
          </cell>
          <cell r="D28">
            <v>4466.68</v>
          </cell>
        </row>
        <row r="29">
          <cell r="C29" t="str">
            <v>KAKATIYA TPS2</v>
          </cell>
          <cell r="D29">
            <v>4404.8100000000004</v>
          </cell>
        </row>
        <row r="30">
          <cell r="C30" t="str">
            <v>TIRORA TPS1</v>
          </cell>
          <cell r="D30">
            <v>4388.7299999999996</v>
          </cell>
        </row>
        <row r="31">
          <cell r="C31" t="str">
            <v>RAJPURA TPS2</v>
          </cell>
          <cell r="D31">
            <v>4363.8100000000004</v>
          </cell>
        </row>
        <row r="32">
          <cell r="C32" t="str">
            <v>MUNDRA TPS9</v>
          </cell>
          <cell r="D32">
            <v>4303.6899999999996</v>
          </cell>
        </row>
        <row r="33">
          <cell r="C33" t="str">
            <v>SEMBCORP GAYATRI P. LTD1</v>
          </cell>
          <cell r="D33">
            <v>4275.5699999999897</v>
          </cell>
        </row>
        <row r="34">
          <cell r="C34" t="str">
            <v>RIHAND STPS5</v>
          </cell>
          <cell r="D34">
            <v>4263.24</v>
          </cell>
        </row>
        <row r="35">
          <cell r="C35" t="str">
            <v>MUNDRA TPS7</v>
          </cell>
          <cell r="D35">
            <v>4246.9799999999996</v>
          </cell>
        </row>
        <row r="36">
          <cell r="C36" t="str">
            <v>RIHAND STPS3</v>
          </cell>
          <cell r="D36">
            <v>4241.8899999999903</v>
          </cell>
        </row>
        <row r="37">
          <cell r="C37" t="str">
            <v>VINDHYACHAL STPS12</v>
          </cell>
          <cell r="D37">
            <v>4228.76</v>
          </cell>
        </row>
        <row r="38">
          <cell r="C38" t="str">
            <v>SINGRAULI STPS7</v>
          </cell>
          <cell r="D38">
            <v>4170.3099999999904</v>
          </cell>
        </row>
        <row r="39">
          <cell r="C39" t="str">
            <v>RIHAND STPS6</v>
          </cell>
          <cell r="D39">
            <v>4165.88</v>
          </cell>
        </row>
        <row r="40">
          <cell r="C40" t="str">
            <v>KOTHAGUDEM STAGE-7 TPS12</v>
          </cell>
          <cell r="D40">
            <v>4149.20999999999</v>
          </cell>
        </row>
        <row r="41">
          <cell r="C41" t="str">
            <v>AKALTARA TPS2</v>
          </cell>
          <cell r="D41">
            <v>4139.7700000000004</v>
          </cell>
        </row>
        <row r="42">
          <cell r="C42" t="str">
            <v>KAWAI TPS2</v>
          </cell>
          <cell r="D42">
            <v>4119.3299999999899</v>
          </cell>
        </row>
        <row r="43">
          <cell r="C43" t="str">
            <v>KAWAI TPS1</v>
          </cell>
          <cell r="D43">
            <v>4099.46</v>
          </cell>
        </row>
        <row r="44">
          <cell r="C44" t="str">
            <v>VINDHYACHAL STPS13</v>
          </cell>
          <cell r="D44">
            <v>4086.36</v>
          </cell>
        </row>
        <row r="45">
          <cell r="C45" t="str">
            <v>AKALTARA TPS4</v>
          </cell>
          <cell r="D45">
            <v>4080.8899999999899</v>
          </cell>
        </row>
        <row r="46">
          <cell r="C46" t="str">
            <v>ANPARA C TPS2</v>
          </cell>
          <cell r="D46">
            <v>4011.43</v>
          </cell>
        </row>
        <row r="47">
          <cell r="C47" t="str">
            <v>VINDHYACHAL STPS8</v>
          </cell>
          <cell r="D47">
            <v>4002.46</v>
          </cell>
        </row>
        <row r="48">
          <cell r="C48" t="str">
            <v>SINGRAULI STPS6</v>
          </cell>
          <cell r="D48">
            <v>3999.68</v>
          </cell>
        </row>
        <row r="49">
          <cell r="C49" t="str">
            <v>RIHAND STPS1</v>
          </cell>
          <cell r="D49">
            <v>3991.99999999999</v>
          </cell>
        </row>
        <row r="50">
          <cell r="C50" t="str">
            <v>KORBA STPS6</v>
          </cell>
          <cell r="D50">
            <v>3973.1899999999901</v>
          </cell>
        </row>
        <row r="51">
          <cell r="C51" t="str">
            <v>KORBA STPS4</v>
          </cell>
          <cell r="D51">
            <v>3940.21</v>
          </cell>
        </row>
        <row r="52">
          <cell r="C52" t="str">
            <v>VINDHYACHAL STPS10</v>
          </cell>
          <cell r="D52">
            <v>3937.1099999999901</v>
          </cell>
        </row>
        <row r="53">
          <cell r="C53" t="str">
            <v>VINDHYACHAL STPS9</v>
          </cell>
          <cell r="D53">
            <v>3934.33</v>
          </cell>
        </row>
        <row r="54">
          <cell r="C54" t="str">
            <v>ANPARA TPS4</v>
          </cell>
          <cell r="D54">
            <v>3924.47</v>
          </cell>
        </row>
        <row r="55">
          <cell r="C55" t="str">
            <v>SIPAT STPS5</v>
          </cell>
          <cell r="D55">
            <v>3905.27</v>
          </cell>
        </row>
        <row r="56">
          <cell r="C56" t="str">
            <v>DAMODARAN SANJEEVAIAH TPS2</v>
          </cell>
          <cell r="D56">
            <v>3835.67</v>
          </cell>
        </row>
        <row r="57">
          <cell r="C57" t="str">
            <v>BARA TPP3</v>
          </cell>
          <cell r="D57">
            <v>3820.6699999999901</v>
          </cell>
        </row>
        <row r="58">
          <cell r="C58" t="str">
            <v>SIPAT STPS4</v>
          </cell>
          <cell r="D58">
            <v>3816.72999999999</v>
          </cell>
        </row>
        <row r="59">
          <cell r="C59" t="str">
            <v>KORBA STPS7</v>
          </cell>
          <cell r="D59">
            <v>3758.9399999999901</v>
          </cell>
        </row>
        <row r="60">
          <cell r="C60" t="str">
            <v>RAMAGUNDEM STPS7</v>
          </cell>
          <cell r="D60">
            <v>3738.31</v>
          </cell>
        </row>
        <row r="61">
          <cell r="C61" t="str">
            <v>ANPARA C TPS1</v>
          </cell>
          <cell r="D61">
            <v>3703.2799999999902</v>
          </cell>
        </row>
        <row r="62">
          <cell r="C62" t="str">
            <v>BARH II4</v>
          </cell>
          <cell r="D62">
            <v>3670.46</v>
          </cell>
        </row>
        <row r="63">
          <cell r="C63" t="str">
            <v>MUNDRA TPS6</v>
          </cell>
          <cell r="D63">
            <v>3669.7</v>
          </cell>
        </row>
        <row r="64">
          <cell r="C64" t="str">
            <v>VINDHYACHAL STPS11</v>
          </cell>
          <cell r="D64">
            <v>3669.22</v>
          </cell>
        </row>
        <row r="65">
          <cell r="C65" t="str">
            <v>DAMODARAN SANJEEVAIAH TPS1</v>
          </cell>
          <cell r="D65">
            <v>3652.94</v>
          </cell>
        </row>
        <row r="66">
          <cell r="C66" t="str">
            <v>MAITHON RB TPP1</v>
          </cell>
          <cell r="D66">
            <v>3645.53</v>
          </cell>
        </row>
        <row r="67">
          <cell r="C67" t="str">
            <v>KAHALGAON TPS5</v>
          </cell>
          <cell r="D67">
            <v>3638.3699999999899</v>
          </cell>
        </row>
        <row r="68">
          <cell r="C68" t="str">
            <v>KORBA-WEST TPS5</v>
          </cell>
          <cell r="D68">
            <v>3620.1399999999899</v>
          </cell>
        </row>
        <row r="69">
          <cell r="C69" t="str">
            <v>KAHALGAON TPS6</v>
          </cell>
          <cell r="D69">
            <v>3579.22</v>
          </cell>
        </row>
        <row r="70">
          <cell r="C70" t="str">
            <v>ITPCL TPP1</v>
          </cell>
          <cell r="D70">
            <v>3571.2199999999898</v>
          </cell>
        </row>
        <row r="71">
          <cell r="C71" t="str">
            <v>BARA TPP1</v>
          </cell>
          <cell r="D71">
            <v>3536.78</v>
          </cell>
        </row>
        <row r="72">
          <cell r="C72" t="str">
            <v>TALCHER STPS6</v>
          </cell>
          <cell r="D72">
            <v>3526.04</v>
          </cell>
        </row>
        <row r="73">
          <cell r="C73" t="str">
            <v>DURGAPUR STEEL TPS2</v>
          </cell>
          <cell r="D73">
            <v>3501.2399999999898</v>
          </cell>
        </row>
        <row r="74">
          <cell r="C74" t="str">
            <v>KALISINDH TPS1</v>
          </cell>
          <cell r="D74">
            <v>3498.7399999999898</v>
          </cell>
        </row>
        <row r="75">
          <cell r="C75" t="str">
            <v>KORBA STPS5</v>
          </cell>
          <cell r="D75">
            <v>3491.8799999999901</v>
          </cell>
        </row>
        <row r="76">
          <cell r="C76" t="str">
            <v>KOTHAGUDEM NEW TPS11</v>
          </cell>
          <cell r="D76">
            <v>3486.2</v>
          </cell>
        </row>
        <row r="77">
          <cell r="C77" t="str">
            <v>NIGRI TPP2</v>
          </cell>
          <cell r="D77">
            <v>3479.95</v>
          </cell>
        </row>
        <row r="78">
          <cell r="C78" t="str">
            <v>ITPCL TPP2</v>
          </cell>
          <cell r="D78">
            <v>3444.6599999999899</v>
          </cell>
        </row>
        <row r="79">
          <cell r="C79" t="str">
            <v>CHANDRAPUR STPS8</v>
          </cell>
          <cell r="D79">
            <v>3441.89</v>
          </cell>
        </row>
        <row r="80">
          <cell r="C80" t="str">
            <v>TALWANDI SABO TPS1</v>
          </cell>
          <cell r="D80">
            <v>3414.66</v>
          </cell>
        </row>
        <row r="81">
          <cell r="C81" t="str">
            <v>FARAKKA STPS4</v>
          </cell>
          <cell r="D81">
            <v>3409.1499999999901</v>
          </cell>
        </row>
        <row r="82">
          <cell r="C82" t="str">
            <v>RAMAGUNDEM STPS6</v>
          </cell>
          <cell r="D82">
            <v>3402.46</v>
          </cell>
        </row>
        <row r="83">
          <cell r="C83" t="str">
            <v>MAHATMA GANDHI TPS1</v>
          </cell>
          <cell r="D83">
            <v>3401.5899999999901</v>
          </cell>
        </row>
        <row r="84">
          <cell r="C84" t="str">
            <v>TALWANDI SABO TPS2</v>
          </cell>
          <cell r="D84">
            <v>3391.77</v>
          </cell>
        </row>
        <row r="85">
          <cell r="C85" t="str">
            <v>RIHAND STPS2</v>
          </cell>
          <cell r="D85">
            <v>3389.1399999999899</v>
          </cell>
        </row>
        <row r="86">
          <cell r="C86" t="str">
            <v>ANUPPUR TPP2</v>
          </cell>
          <cell r="D86">
            <v>3382.6</v>
          </cell>
        </row>
        <row r="87">
          <cell r="C87" t="str">
            <v>RAIKHEDA TPP1</v>
          </cell>
          <cell r="D87">
            <v>3377.53999999999</v>
          </cell>
        </row>
        <row r="88">
          <cell r="C88" t="str">
            <v>RAMAGUNDEM STPS5</v>
          </cell>
          <cell r="D88">
            <v>3371.16</v>
          </cell>
        </row>
        <row r="89">
          <cell r="C89" t="str">
            <v>NORTH CHENNAI TPS5</v>
          </cell>
          <cell r="D89">
            <v>3351.8399999999901</v>
          </cell>
        </row>
        <row r="90">
          <cell r="C90" t="str">
            <v>TALCHER STPS5</v>
          </cell>
          <cell r="D90">
            <v>3342.6599999999899</v>
          </cell>
        </row>
        <row r="91">
          <cell r="C91" t="str">
            <v>KODARMA TPS2</v>
          </cell>
          <cell r="D91">
            <v>3339.96</v>
          </cell>
        </row>
        <row r="92">
          <cell r="C92" t="str">
            <v>SANJAY GANDHI TPS5</v>
          </cell>
          <cell r="D92">
            <v>3331.64</v>
          </cell>
        </row>
        <row r="93">
          <cell r="C93" t="str">
            <v>KAHALGAON TPS7</v>
          </cell>
          <cell r="D93">
            <v>3323.27</v>
          </cell>
        </row>
        <row r="94">
          <cell r="C94" t="str">
            <v>KHAPARKHEDA TPS5</v>
          </cell>
          <cell r="D94">
            <v>3316.8799999999901</v>
          </cell>
        </row>
        <row r="95">
          <cell r="C95" t="str">
            <v>CHANDRAPUR STPS9</v>
          </cell>
          <cell r="D95">
            <v>3311.78999999999</v>
          </cell>
        </row>
        <row r="96">
          <cell r="C96" t="str">
            <v>TALCHER STPS2</v>
          </cell>
          <cell r="D96">
            <v>3274.13</v>
          </cell>
        </row>
        <row r="97">
          <cell r="C97" t="str">
            <v>KODARMA TPS1</v>
          </cell>
          <cell r="D97">
            <v>3264.43</v>
          </cell>
        </row>
        <row r="98">
          <cell r="C98" t="str">
            <v>TALCHER STPS3</v>
          </cell>
          <cell r="D98">
            <v>3249.66</v>
          </cell>
        </row>
        <row r="99">
          <cell r="C99" t="str">
            <v>BARADARHA TPS2</v>
          </cell>
          <cell r="D99">
            <v>3238.01999999999</v>
          </cell>
        </row>
        <row r="100">
          <cell r="C100" t="str">
            <v>TALCHER STPS4</v>
          </cell>
          <cell r="D100">
            <v>3232.48</v>
          </cell>
        </row>
        <row r="101">
          <cell r="C101" t="str">
            <v>DR. N TATA RAO TPS7</v>
          </cell>
          <cell r="D101">
            <v>3174.1399999999899</v>
          </cell>
        </row>
        <row r="102">
          <cell r="C102" t="str">
            <v>ANUPPUR TPP1</v>
          </cell>
          <cell r="D102">
            <v>3168.78</v>
          </cell>
        </row>
        <row r="103">
          <cell r="C103" t="str">
            <v>ANPARA TPS5</v>
          </cell>
          <cell r="D103">
            <v>3157.1499999999901</v>
          </cell>
        </row>
        <row r="104">
          <cell r="C104" t="str">
            <v>CHHABRA TPS6</v>
          </cell>
          <cell r="D104">
            <v>3156.73</v>
          </cell>
        </row>
        <row r="105">
          <cell r="C105" t="str">
            <v>TROMBAY TPS5</v>
          </cell>
          <cell r="D105">
            <v>3145.07</v>
          </cell>
        </row>
        <row r="106">
          <cell r="C106" t="str">
            <v>ANPARA TPS6</v>
          </cell>
          <cell r="D106">
            <v>3117.8599999999901</v>
          </cell>
        </row>
        <row r="107">
          <cell r="C107" t="str">
            <v>MAITHON RB TPP2</v>
          </cell>
          <cell r="D107">
            <v>3117.43</v>
          </cell>
        </row>
        <row r="108">
          <cell r="C108" t="str">
            <v>OP JINDAL TPS22</v>
          </cell>
          <cell r="D108">
            <v>3112.36</v>
          </cell>
        </row>
        <row r="109">
          <cell r="C109" t="str">
            <v>RIHAND STPS4</v>
          </cell>
          <cell r="D109">
            <v>3096.3299999999899</v>
          </cell>
        </row>
        <row r="110">
          <cell r="C110" t="str">
            <v>KORADI TPS10</v>
          </cell>
          <cell r="D110">
            <v>3089.03</v>
          </cell>
        </row>
        <row r="111">
          <cell r="C111" t="str">
            <v>VINDHYACHAL STPS7</v>
          </cell>
          <cell r="D111">
            <v>3088.6599999999899</v>
          </cell>
        </row>
        <row r="112">
          <cell r="C112" t="str">
            <v>FARAKKA STPS5</v>
          </cell>
          <cell r="D112">
            <v>3062.0099999999902</v>
          </cell>
        </row>
        <row r="113">
          <cell r="C113" t="str">
            <v>KAKATIYA TPS1</v>
          </cell>
          <cell r="D113">
            <v>3041.8999999999901</v>
          </cell>
        </row>
        <row r="114">
          <cell r="C114" t="str">
            <v>KORADI TPS9</v>
          </cell>
          <cell r="D114">
            <v>2987.4299999999898</v>
          </cell>
        </row>
        <row r="115">
          <cell r="C115" t="str">
            <v>MAUDA TPS4</v>
          </cell>
          <cell r="D115">
            <v>2976.52</v>
          </cell>
        </row>
        <row r="116">
          <cell r="C116" t="str">
            <v>NIGRI TPP1</v>
          </cell>
          <cell r="D116">
            <v>2965.7</v>
          </cell>
        </row>
        <row r="117">
          <cell r="C117" t="str">
            <v>UKAI TPS6</v>
          </cell>
          <cell r="D117">
            <v>2927.51</v>
          </cell>
        </row>
        <row r="118">
          <cell r="C118" t="str">
            <v>RAMAGUNDEM STPS4</v>
          </cell>
          <cell r="D118">
            <v>2924.6399999999899</v>
          </cell>
        </row>
        <row r="119">
          <cell r="C119" t="str">
            <v>SEIONI TPP1</v>
          </cell>
          <cell r="D119">
            <v>2913.0799999999899</v>
          </cell>
        </row>
        <row r="120">
          <cell r="C120" t="str">
            <v>CHHABRA TPS5</v>
          </cell>
          <cell r="D120">
            <v>2912.5999999999899</v>
          </cell>
        </row>
        <row r="121">
          <cell r="C121" t="str">
            <v>RAGHUNATHPUR TPP2</v>
          </cell>
          <cell r="D121">
            <v>2899.84</v>
          </cell>
        </row>
        <row r="122">
          <cell r="C122" t="str">
            <v>NTPL TUTICORIN (JV) TPP1</v>
          </cell>
          <cell r="D122">
            <v>2896.4199999999901</v>
          </cell>
        </row>
        <row r="123">
          <cell r="C123" t="str">
            <v>TALWANDI SABO TPS3</v>
          </cell>
          <cell r="D123">
            <v>2890.12</v>
          </cell>
        </row>
        <row r="124">
          <cell r="C124" t="str">
            <v>TALCHER STPS1</v>
          </cell>
          <cell r="D124">
            <v>2886.1399999999899</v>
          </cell>
        </row>
        <row r="125">
          <cell r="C125" t="str">
            <v>BHUSAWAL TPS4</v>
          </cell>
          <cell r="D125">
            <v>2877.38</v>
          </cell>
        </row>
        <row r="126">
          <cell r="C126" t="str">
            <v>SIMHADRI STPP4</v>
          </cell>
          <cell r="D126">
            <v>2875.93</v>
          </cell>
        </row>
        <row r="127">
          <cell r="C127" t="str">
            <v>BARADARHA TPS1</v>
          </cell>
          <cell r="D127">
            <v>2869.76</v>
          </cell>
        </row>
        <row r="128">
          <cell r="C128" t="str">
            <v>MAUDA TPS3</v>
          </cell>
          <cell r="D128">
            <v>2864.2999999999902</v>
          </cell>
        </row>
        <row r="129">
          <cell r="C129" t="str">
            <v>FARAKKA STPS6</v>
          </cell>
          <cell r="D129">
            <v>2837.12</v>
          </cell>
        </row>
        <row r="130">
          <cell r="C130" t="str">
            <v>MAHATMA GANDHI TPS2</v>
          </cell>
          <cell r="D130">
            <v>2835.8199999999902</v>
          </cell>
        </row>
        <row r="131">
          <cell r="C131" t="str">
            <v>DURGAPUR STEEL TPS1</v>
          </cell>
          <cell r="D131">
            <v>2834.44</v>
          </cell>
        </row>
        <row r="132">
          <cell r="C132" t="str">
            <v>UNCHAHAR STPS6</v>
          </cell>
          <cell r="D132">
            <v>2771.56</v>
          </cell>
        </row>
        <row r="133">
          <cell r="C133" t="str">
            <v>MEJIA TPS8</v>
          </cell>
          <cell r="D133">
            <v>2755.27</v>
          </cell>
        </row>
        <row r="134">
          <cell r="C134" t="str">
            <v>BOKARO A TPS1</v>
          </cell>
          <cell r="D134">
            <v>2745.51</v>
          </cell>
        </row>
        <row r="135">
          <cell r="C135" t="str">
            <v>SIMHADRI STPP2</v>
          </cell>
          <cell r="D135">
            <v>2715.04</v>
          </cell>
        </row>
        <row r="136">
          <cell r="C136" t="str">
            <v>KORADI TPS8</v>
          </cell>
          <cell r="D136">
            <v>2714.3</v>
          </cell>
        </row>
        <row r="137">
          <cell r="C137" t="str">
            <v>ANPARA TPS7</v>
          </cell>
          <cell r="D137">
            <v>2708.5999999999899</v>
          </cell>
        </row>
        <row r="138">
          <cell r="C138" t="str">
            <v>METTUR TPS EXT1</v>
          </cell>
          <cell r="D138">
            <v>2706.57</v>
          </cell>
        </row>
        <row r="139">
          <cell r="C139" t="str">
            <v>LALITPUR TPS1</v>
          </cell>
          <cell r="D139">
            <v>2688.81</v>
          </cell>
        </row>
        <row r="140">
          <cell r="C140" t="str">
            <v>MEJIA TPS7</v>
          </cell>
          <cell r="D140">
            <v>2686.08</v>
          </cell>
        </row>
        <row r="141">
          <cell r="C141" t="str">
            <v>SIMHADRI STPP3</v>
          </cell>
          <cell r="D141">
            <v>2684.74999999999</v>
          </cell>
        </row>
        <row r="142">
          <cell r="C142" t="str">
            <v>DERANG TPP2</v>
          </cell>
          <cell r="D142">
            <v>2664.75</v>
          </cell>
        </row>
        <row r="143">
          <cell r="C143" t="str">
            <v>MAUDA TPS1</v>
          </cell>
          <cell r="D143">
            <v>2661.86</v>
          </cell>
        </row>
        <row r="144">
          <cell r="C144" t="str">
            <v>CHANDRAPUR STPS6</v>
          </cell>
          <cell r="D144">
            <v>2626.3699999999899</v>
          </cell>
        </row>
        <row r="145">
          <cell r="C145" t="str">
            <v>CHANDRAPUR STPS5</v>
          </cell>
          <cell r="D145">
            <v>2608.3599999999901</v>
          </cell>
        </row>
        <row r="146">
          <cell r="C146" t="str">
            <v>NORTH CHENNAI TPS4</v>
          </cell>
          <cell r="D146">
            <v>2589.5599999999899</v>
          </cell>
        </row>
        <row r="147">
          <cell r="C147" t="str">
            <v>MUNDRA TPS4</v>
          </cell>
          <cell r="D147">
            <v>2541.9299999999998</v>
          </cell>
        </row>
        <row r="148">
          <cell r="C148" t="str">
            <v>SHREE SINGAJI TPP1</v>
          </cell>
          <cell r="D148">
            <v>2533.0299999999902</v>
          </cell>
        </row>
        <row r="149">
          <cell r="C149" t="str">
            <v>SIMHADRI STPP1</v>
          </cell>
          <cell r="D149">
            <v>2526.5</v>
          </cell>
        </row>
        <row r="150">
          <cell r="C150" t="str">
            <v>MARWA TPS1</v>
          </cell>
          <cell r="D150">
            <v>2524.5899999999901</v>
          </cell>
        </row>
        <row r="151">
          <cell r="C151" t="str">
            <v>BHUSAWAL TPS5</v>
          </cell>
          <cell r="D151">
            <v>2523.7399999999998</v>
          </cell>
        </row>
        <row r="152">
          <cell r="C152" t="str">
            <v>MUNDRA TPS2</v>
          </cell>
          <cell r="D152">
            <v>2463.61</v>
          </cell>
        </row>
        <row r="153">
          <cell r="C153" t="str">
            <v>DERANG TPP1</v>
          </cell>
          <cell r="D153">
            <v>2443.69</v>
          </cell>
        </row>
        <row r="154">
          <cell r="C154" t="str">
            <v>RAYALSEEMA TPS6</v>
          </cell>
          <cell r="D154">
            <v>2443.48</v>
          </cell>
        </row>
        <row r="155">
          <cell r="C155" t="str">
            <v>MAUDA TPS2</v>
          </cell>
          <cell r="D155">
            <v>2430.2799999999902</v>
          </cell>
        </row>
        <row r="156">
          <cell r="C156" t="str">
            <v>LARA TPP1</v>
          </cell>
          <cell r="D156">
            <v>2375.2600000000002</v>
          </cell>
        </row>
        <row r="157">
          <cell r="C157" t="str">
            <v>MUNDRA TPS3</v>
          </cell>
          <cell r="D157">
            <v>2361.2199999999998</v>
          </cell>
        </row>
        <row r="158">
          <cell r="C158" t="str">
            <v>SALAYA TPP1</v>
          </cell>
          <cell r="D158">
            <v>2354.79</v>
          </cell>
        </row>
        <row r="159">
          <cell r="C159" t="str">
            <v>SAGARDIGHI TPS4</v>
          </cell>
          <cell r="D159">
            <v>2338.12</v>
          </cell>
        </row>
        <row r="160">
          <cell r="C160" t="str">
            <v>JSW RATNAGIRI TPP1</v>
          </cell>
          <cell r="D160">
            <v>2331.2600000000002</v>
          </cell>
        </row>
        <row r="161">
          <cell r="C161" t="str">
            <v>KALISINDH TPS2</v>
          </cell>
          <cell r="D161">
            <v>2329.59</v>
          </cell>
        </row>
        <row r="162">
          <cell r="C162" t="str">
            <v>SHREE SINGAJI TPP3</v>
          </cell>
          <cell r="D162">
            <v>2314.6</v>
          </cell>
        </row>
        <row r="163">
          <cell r="C163" t="str">
            <v>RAIKHEDA TPP2</v>
          </cell>
          <cell r="D163">
            <v>2303.0499999999902</v>
          </cell>
        </row>
        <row r="164">
          <cell r="C164" t="str">
            <v>HALDIA TPP2</v>
          </cell>
          <cell r="D164">
            <v>2300.79</v>
          </cell>
        </row>
        <row r="165">
          <cell r="C165" t="str">
            <v>LALITPUR TPS2</v>
          </cell>
          <cell r="D165">
            <v>2297.99999999999</v>
          </cell>
        </row>
        <row r="166">
          <cell r="C166" t="str">
            <v>RAGHUNATHPUR TPP1</v>
          </cell>
          <cell r="D166">
            <v>2284.64</v>
          </cell>
        </row>
        <row r="167">
          <cell r="C167" t="str">
            <v>MUNDRA TPS1</v>
          </cell>
          <cell r="D167">
            <v>2273.03999999999</v>
          </cell>
        </row>
        <row r="168">
          <cell r="C168" t="str">
            <v>SHREE SINGAJI TPP2</v>
          </cell>
          <cell r="D168">
            <v>2251.7999999999902</v>
          </cell>
        </row>
        <row r="169">
          <cell r="C169" t="str">
            <v>LALITPUR TPS3</v>
          </cell>
          <cell r="D169">
            <v>2246.6399999999899</v>
          </cell>
        </row>
        <row r="170">
          <cell r="C170" t="str">
            <v>MAHAN TPP2</v>
          </cell>
          <cell r="D170">
            <v>2242.1999999999998</v>
          </cell>
        </row>
        <row r="171">
          <cell r="C171" t="str">
            <v>HALDIA TPP1</v>
          </cell>
          <cell r="D171">
            <v>2194.3999999999901</v>
          </cell>
        </row>
        <row r="172">
          <cell r="C172" t="str">
            <v>MUTHIARA TPP1</v>
          </cell>
          <cell r="D172">
            <v>2116.74999999999</v>
          </cell>
        </row>
        <row r="173">
          <cell r="C173" t="str">
            <v>GMR WARORA TPS2</v>
          </cell>
          <cell r="D173">
            <v>2106.41</v>
          </cell>
        </row>
        <row r="174">
          <cell r="C174" t="str">
            <v>DHARIWAL TPS2</v>
          </cell>
          <cell r="D174">
            <v>2103.9299999999998</v>
          </cell>
        </row>
        <row r="175">
          <cell r="C175" t="str">
            <v>GMR WARORA TPS1</v>
          </cell>
          <cell r="D175">
            <v>2101.7199999999898</v>
          </cell>
        </row>
        <row r="176">
          <cell r="C176" t="str">
            <v>BANDAKHAR TPP1</v>
          </cell>
          <cell r="D176">
            <v>2080.59</v>
          </cell>
        </row>
        <row r="177">
          <cell r="C177" t="str">
            <v>VALLUR TPP1</v>
          </cell>
          <cell r="D177">
            <v>2077.96</v>
          </cell>
        </row>
        <row r="178">
          <cell r="C178" t="str">
            <v>DADRI (NCTPP)5</v>
          </cell>
          <cell r="D178">
            <v>2060.3299999999899</v>
          </cell>
        </row>
        <row r="179">
          <cell r="C179" t="str">
            <v>KAMALANGA TPS2</v>
          </cell>
          <cell r="D179">
            <v>2043.98999999999</v>
          </cell>
        </row>
        <row r="180">
          <cell r="C180" t="str">
            <v>KAMALANGA TPS3</v>
          </cell>
          <cell r="D180">
            <v>2042.97</v>
          </cell>
        </row>
        <row r="181">
          <cell r="C181" t="str">
            <v>BUDGE BUDGE TPS3</v>
          </cell>
          <cell r="D181">
            <v>2027.31</v>
          </cell>
        </row>
        <row r="182">
          <cell r="C182" t="str">
            <v>DADRI (NCTPP)6</v>
          </cell>
          <cell r="D182">
            <v>2026.8999999999901</v>
          </cell>
        </row>
        <row r="183">
          <cell r="C183" t="str">
            <v>OP JINDAL TPS24</v>
          </cell>
          <cell r="D183">
            <v>2025.16</v>
          </cell>
        </row>
        <row r="184">
          <cell r="C184" t="str">
            <v>JSW RATNAGIRI TPP2</v>
          </cell>
          <cell r="D184">
            <v>2004.01999999999</v>
          </cell>
        </row>
        <row r="185">
          <cell r="C185" t="str">
            <v>MARWA TPS2</v>
          </cell>
          <cell r="D185">
            <v>1995.1</v>
          </cell>
        </row>
        <row r="186">
          <cell r="C186" t="str">
            <v>BUDGE BUDGE TPS1</v>
          </cell>
          <cell r="D186">
            <v>1974.63</v>
          </cell>
        </row>
        <row r="187">
          <cell r="C187" t="str">
            <v>SANTALDIH TPS6</v>
          </cell>
          <cell r="D187">
            <v>1962.52999999999</v>
          </cell>
        </row>
        <row r="188">
          <cell r="C188" t="str">
            <v>PATHADI TPS1</v>
          </cell>
          <cell r="D188">
            <v>1955.42</v>
          </cell>
        </row>
        <row r="189">
          <cell r="C189" t="str">
            <v>UDUPI TPP2</v>
          </cell>
          <cell r="D189">
            <v>1942.20999999999</v>
          </cell>
        </row>
        <row r="190">
          <cell r="C190" t="str">
            <v>CHHABRA TPS1</v>
          </cell>
          <cell r="D190">
            <v>1941.24999999999</v>
          </cell>
        </row>
        <row r="191">
          <cell r="C191" t="str">
            <v>DSPM TPS1</v>
          </cell>
          <cell r="D191">
            <v>1935.56</v>
          </cell>
        </row>
        <row r="192">
          <cell r="C192" t="str">
            <v>BELLARY TPS2</v>
          </cell>
          <cell r="D192">
            <v>1925.47999999999</v>
          </cell>
        </row>
        <row r="193">
          <cell r="C193" t="str">
            <v>VALLUR TPP2</v>
          </cell>
          <cell r="D193">
            <v>1922.07</v>
          </cell>
        </row>
        <row r="194">
          <cell r="C194" t="str">
            <v>BALCO TPS1</v>
          </cell>
          <cell r="D194">
            <v>1906.28</v>
          </cell>
        </row>
        <row r="195">
          <cell r="C195" t="str">
            <v>KOTHAGUDEM NEW TPS10</v>
          </cell>
          <cell r="D195">
            <v>1899.38</v>
          </cell>
        </row>
        <row r="196">
          <cell r="C196" t="str">
            <v>DSPM TPS2</v>
          </cell>
          <cell r="D196">
            <v>1890.49999999999</v>
          </cell>
        </row>
        <row r="197">
          <cell r="C197" t="str">
            <v>JSW RATNAGIRI TPP3</v>
          </cell>
          <cell r="D197">
            <v>1885.89</v>
          </cell>
        </row>
        <row r="198">
          <cell r="C198" t="str">
            <v>JSW RATNAGIRI TPP4</v>
          </cell>
          <cell r="D198">
            <v>1877.48</v>
          </cell>
        </row>
        <row r="199">
          <cell r="C199" t="str">
            <v>KAMALANGA TPS1</v>
          </cell>
          <cell r="D199">
            <v>1859.04999999999</v>
          </cell>
        </row>
        <row r="200">
          <cell r="C200" t="str">
            <v>SHREE SINGAJI TPP4</v>
          </cell>
          <cell r="D200">
            <v>1843.76</v>
          </cell>
        </row>
        <row r="201">
          <cell r="C201" t="str">
            <v>CHHABRA TPS4</v>
          </cell>
          <cell r="D201">
            <v>1840.6599999999901</v>
          </cell>
        </row>
        <row r="202">
          <cell r="C202" t="str">
            <v>VALLUR TPP3</v>
          </cell>
          <cell r="D202">
            <v>1831.5799999999899</v>
          </cell>
        </row>
        <row r="203">
          <cell r="C203" t="str">
            <v>OP JINDAL TPS23</v>
          </cell>
          <cell r="D203">
            <v>1812.22999999999</v>
          </cell>
        </row>
        <row r="204">
          <cell r="C204" t="str">
            <v>DAHANU TPS1</v>
          </cell>
          <cell r="D204">
            <v>1802.35</v>
          </cell>
        </row>
        <row r="205">
          <cell r="C205" t="str">
            <v>CHANDRAPURA(DVC)7</v>
          </cell>
          <cell r="D205">
            <v>1794.3799999999901</v>
          </cell>
        </row>
        <row r="206">
          <cell r="C206" t="str">
            <v>SALAYA TPP2</v>
          </cell>
          <cell r="D206">
            <v>1787.6499999999901</v>
          </cell>
        </row>
        <row r="207">
          <cell r="C207" t="str">
            <v>MEJIA TPS6</v>
          </cell>
          <cell r="D207">
            <v>1786.1399999999901</v>
          </cell>
        </row>
        <row r="208">
          <cell r="C208" t="str">
            <v>KUDGI STPP3</v>
          </cell>
          <cell r="D208">
            <v>1777.65</v>
          </cell>
        </row>
        <row r="209">
          <cell r="C209" t="str">
            <v>CHHABRA TPS2</v>
          </cell>
          <cell r="D209">
            <v>1773.50999999999</v>
          </cell>
        </row>
        <row r="210">
          <cell r="C210" t="str">
            <v>BUDGE BUDGE TPS2</v>
          </cell>
          <cell r="D210">
            <v>1769.4099999999901</v>
          </cell>
        </row>
        <row r="211">
          <cell r="C211" t="str">
            <v>IB VALLEY TPS3</v>
          </cell>
          <cell r="D211">
            <v>1764.23999999999</v>
          </cell>
        </row>
        <row r="212">
          <cell r="C212" t="str">
            <v>MEJIA TPS5</v>
          </cell>
          <cell r="D212">
            <v>1749.9199999999901</v>
          </cell>
        </row>
        <row r="213">
          <cell r="C213" t="str">
            <v>SAGARDIGHI TPS3</v>
          </cell>
          <cell r="D213">
            <v>1747.1299999999901</v>
          </cell>
        </row>
        <row r="214">
          <cell r="C214" t="str">
            <v>KOTHAGUDEM NEW TPS9</v>
          </cell>
          <cell r="D214">
            <v>1740.19999999999</v>
          </cell>
        </row>
        <row r="215">
          <cell r="C215" t="str">
            <v>SANTALDIH TPS5</v>
          </cell>
          <cell r="D215">
            <v>1721.31</v>
          </cell>
        </row>
        <row r="216">
          <cell r="C216" t="str">
            <v>NTPL TUTICORIN (JV) TPP2</v>
          </cell>
          <cell r="D216">
            <v>1719.68</v>
          </cell>
        </row>
        <row r="217">
          <cell r="C217" t="str">
            <v>KUDGI STPP2</v>
          </cell>
          <cell r="D217">
            <v>1716.22999999999</v>
          </cell>
        </row>
        <row r="218">
          <cell r="C218" t="str">
            <v>KORBA STPS3</v>
          </cell>
          <cell r="D218">
            <v>1702.5699999999899</v>
          </cell>
        </row>
        <row r="219">
          <cell r="C219" t="str">
            <v>YAMUNA NAGAR TPS1</v>
          </cell>
          <cell r="D219">
            <v>1691.95</v>
          </cell>
        </row>
        <row r="220">
          <cell r="C220" t="str">
            <v>AMARKANTAK TPS3</v>
          </cell>
          <cell r="D220">
            <v>1681.77999999999</v>
          </cell>
        </row>
        <row r="221">
          <cell r="C221" t="str">
            <v>NEYVELI (EXT) TPS1</v>
          </cell>
          <cell r="D221">
            <v>1679.6899999999901</v>
          </cell>
        </row>
        <row r="222">
          <cell r="C222" t="str">
            <v>AKALTARA TPS3</v>
          </cell>
          <cell r="D222">
            <v>1651.1</v>
          </cell>
        </row>
        <row r="223">
          <cell r="C223" t="str">
            <v>VINDHYACHAL STPS2</v>
          </cell>
          <cell r="D223">
            <v>1644.7</v>
          </cell>
        </row>
        <row r="224">
          <cell r="C224" t="str">
            <v>NABI NAGAR TPP3</v>
          </cell>
          <cell r="D224">
            <v>1642.02</v>
          </cell>
        </row>
        <row r="225">
          <cell r="C225" t="str">
            <v>NEYVELI (EXT) TPS2</v>
          </cell>
          <cell r="D225">
            <v>1634.99999999999</v>
          </cell>
        </row>
        <row r="226">
          <cell r="C226" t="str">
            <v>TROMBAY TPS8</v>
          </cell>
          <cell r="D226">
            <v>1632.78999999999</v>
          </cell>
        </row>
        <row r="227">
          <cell r="C227" t="str">
            <v>VINDHYACHAL STPS1</v>
          </cell>
          <cell r="D227">
            <v>1632.3399999999899</v>
          </cell>
        </row>
        <row r="228">
          <cell r="C228" t="str">
            <v>CHHABRA TPS3</v>
          </cell>
          <cell r="D228">
            <v>1628.46999999999</v>
          </cell>
        </row>
        <row r="229">
          <cell r="C229" t="str">
            <v>NABI NAGAR TPP2</v>
          </cell>
          <cell r="D229">
            <v>1619.01999999999</v>
          </cell>
        </row>
        <row r="230">
          <cell r="C230" t="str">
            <v>MAHADEV PRASAD STPP1</v>
          </cell>
          <cell r="D230">
            <v>1616.69999999999</v>
          </cell>
        </row>
        <row r="231">
          <cell r="C231" t="str">
            <v>SINGRAULI STPS2</v>
          </cell>
          <cell r="D231">
            <v>1608.59</v>
          </cell>
        </row>
        <row r="232">
          <cell r="C232" t="str">
            <v>RAICHUR TPS8</v>
          </cell>
          <cell r="D232">
            <v>1604.9399999999901</v>
          </cell>
        </row>
        <row r="233">
          <cell r="C233" t="str">
            <v>HARDUAGANJ TPS9</v>
          </cell>
          <cell r="D233">
            <v>1589.8599999999899</v>
          </cell>
        </row>
        <row r="234">
          <cell r="C234" t="str">
            <v>PATHADI TPS2</v>
          </cell>
          <cell r="D234">
            <v>1579.88</v>
          </cell>
        </row>
        <row r="235">
          <cell r="C235" t="str">
            <v>SAGARDIGHI TPS1</v>
          </cell>
          <cell r="D235">
            <v>1574.4</v>
          </cell>
        </row>
        <row r="236">
          <cell r="C236" t="str">
            <v>BELLARY TPS3</v>
          </cell>
          <cell r="D236">
            <v>1572.38</v>
          </cell>
        </row>
        <row r="237">
          <cell r="C237" t="str">
            <v>BHILAI TPS1</v>
          </cell>
          <cell r="D237">
            <v>1568.9199999999901</v>
          </cell>
        </row>
        <row r="238">
          <cell r="C238" t="str">
            <v>ANPARA TPS2</v>
          </cell>
          <cell r="D238">
            <v>1568.6699999999901</v>
          </cell>
        </row>
        <row r="239">
          <cell r="C239" t="str">
            <v>HARDUAGANJ TPS8</v>
          </cell>
          <cell r="D239">
            <v>1562.48</v>
          </cell>
        </row>
        <row r="240">
          <cell r="C240" t="str">
            <v>ROSA TPP PH-I2</v>
          </cell>
          <cell r="D240">
            <v>1548.8899999999901</v>
          </cell>
        </row>
        <row r="241">
          <cell r="C241" t="str">
            <v>SATPURA TPS11</v>
          </cell>
          <cell r="D241">
            <v>1545.24999999999</v>
          </cell>
        </row>
        <row r="242">
          <cell r="C242" t="str">
            <v>DAHANU TPS2</v>
          </cell>
          <cell r="D242">
            <v>1543.24</v>
          </cell>
        </row>
        <row r="243">
          <cell r="C243" t="str">
            <v>KAHALGAON TPS3</v>
          </cell>
          <cell r="D243">
            <v>1540.6899999999901</v>
          </cell>
        </row>
        <row r="244">
          <cell r="C244" t="str">
            <v>SINGRAULI STPS4</v>
          </cell>
          <cell r="D244">
            <v>1540.4399999999901</v>
          </cell>
        </row>
        <row r="245">
          <cell r="C245" t="str">
            <v>CHANDRAPUR STPS7</v>
          </cell>
          <cell r="D245">
            <v>1540.06</v>
          </cell>
        </row>
        <row r="246">
          <cell r="C246" t="str">
            <v>VINDHYACHAL STPS3</v>
          </cell>
          <cell r="D246">
            <v>1539.25</v>
          </cell>
        </row>
        <row r="247">
          <cell r="C247" t="str">
            <v>NEYVELI TPS-II5</v>
          </cell>
          <cell r="D247">
            <v>1538.32</v>
          </cell>
        </row>
        <row r="248">
          <cell r="C248" t="str">
            <v>NEYVELI TPS-II1</v>
          </cell>
          <cell r="D248">
            <v>1535.8599999999899</v>
          </cell>
        </row>
        <row r="249">
          <cell r="C249" t="str">
            <v>KAHALGAON TPS1</v>
          </cell>
          <cell r="D249">
            <v>1535.79999999999</v>
          </cell>
        </row>
        <row r="250">
          <cell r="C250" t="str">
            <v>NABI NAGAR TPP1</v>
          </cell>
          <cell r="D250">
            <v>1533.09</v>
          </cell>
        </row>
        <row r="251">
          <cell r="C251" t="str">
            <v>NEYVELI TPS-II4</v>
          </cell>
          <cell r="D251">
            <v>1530.23999999999</v>
          </cell>
        </row>
        <row r="252">
          <cell r="C252" t="str">
            <v>VIZAG TPS1</v>
          </cell>
          <cell r="D252">
            <v>1528.83</v>
          </cell>
        </row>
        <row r="253">
          <cell r="C253" t="str">
            <v>CHANDRAPURA(DVC)8</v>
          </cell>
          <cell r="D253">
            <v>1528.6499999999901</v>
          </cell>
        </row>
        <row r="254">
          <cell r="C254" t="str">
            <v>TORANGALLU TPS(SBU-II)3</v>
          </cell>
          <cell r="D254">
            <v>1528.6399999999901</v>
          </cell>
        </row>
        <row r="255">
          <cell r="C255" t="str">
            <v>ROSA TPP PH-I3</v>
          </cell>
          <cell r="D255">
            <v>1528.26</v>
          </cell>
        </row>
        <row r="256">
          <cell r="C256" t="str">
            <v>TANDA STPS5</v>
          </cell>
          <cell r="D256">
            <v>1526.49</v>
          </cell>
        </row>
        <row r="257">
          <cell r="C257" t="str">
            <v>ROSA TPP PH-I1</v>
          </cell>
          <cell r="D257">
            <v>1526.27</v>
          </cell>
        </row>
        <row r="258">
          <cell r="C258" t="str">
            <v>KORBA STPS1</v>
          </cell>
          <cell r="D258">
            <v>1521.86</v>
          </cell>
        </row>
        <row r="259">
          <cell r="C259" t="str">
            <v>UCHPINDA TPP2</v>
          </cell>
          <cell r="D259">
            <v>1513.13</v>
          </cell>
        </row>
        <row r="260">
          <cell r="C260" t="str">
            <v>PARICHHA TPS6</v>
          </cell>
          <cell r="D260">
            <v>1511.22</v>
          </cell>
        </row>
        <row r="261">
          <cell r="C261" t="str">
            <v>NEYVELI TPS-II3</v>
          </cell>
          <cell r="D261">
            <v>1508.8399999999899</v>
          </cell>
        </row>
        <row r="262">
          <cell r="C262" t="str">
            <v>BALCO TPS2</v>
          </cell>
          <cell r="D262">
            <v>1501.74</v>
          </cell>
        </row>
        <row r="263">
          <cell r="C263" t="str">
            <v>RAJIV GANDHI TPS2</v>
          </cell>
          <cell r="D263">
            <v>1500.48999999999</v>
          </cell>
        </row>
        <row r="264">
          <cell r="C264" t="str">
            <v>NABINAGAR STPP1</v>
          </cell>
          <cell r="D264">
            <v>1496.74</v>
          </cell>
        </row>
        <row r="265">
          <cell r="C265" t="str">
            <v>ANPARA TPS3</v>
          </cell>
          <cell r="D265">
            <v>1492.50999999999</v>
          </cell>
        </row>
        <row r="266">
          <cell r="C266" t="str">
            <v>BAKRESWAR TPS5</v>
          </cell>
          <cell r="D266">
            <v>1488.53999999999</v>
          </cell>
        </row>
        <row r="267">
          <cell r="C267" t="str">
            <v>BARA TPP2</v>
          </cell>
          <cell r="D267">
            <v>1482.8599999999899</v>
          </cell>
        </row>
        <row r="268">
          <cell r="C268" t="str">
            <v>ROSA TPP PH-I4</v>
          </cell>
          <cell r="D268">
            <v>1481.77</v>
          </cell>
        </row>
        <row r="269">
          <cell r="C269" t="str">
            <v>VINDHYACHAL STPS5</v>
          </cell>
          <cell r="D269">
            <v>1480.8199999999899</v>
          </cell>
        </row>
        <row r="270">
          <cell r="C270" t="str">
            <v>BAKRESWAR TPS2</v>
          </cell>
          <cell r="D270">
            <v>1477.3499999999899</v>
          </cell>
        </row>
        <row r="271">
          <cell r="C271" t="str">
            <v>NEYVELI TPS-II2</v>
          </cell>
          <cell r="D271">
            <v>1471.58</v>
          </cell>
        </row>
        <row r="272">
          <cell r="C272" t="str">
            <v>VINDHYACHAL STPS4</v>
          </cell>
          <cell r="D272">
            <v>1469.34</v>
          </cell>
        </row>
        <row r="273">
          <cell r="C273" t="str">
            <v>VINDHYACHAL STPS6</v>
          </cell>
          <cell r="D273">
            <v>1454.27</v>
          </cell>
        </row>
        <row r="274">
          <cell r="C274" t="str">
            <v>SINGRAULI STPS3</v>
          </cell>
          <cell r="D274">
            <v>1452.65</v>
          </cell>
        </row>
        <row r="275">
          <cell r="C275" t="str">
            <v>KAHALGAON TPS2</v>
          </cell>
          <cell r="D275">
            <v>1448.9099999999901</v>
          </cell>
        </row>
        <row r="276">
          <cell r="C276" t="str">
            <v>ANPARA TPS1</v>
          </cell>
          <cell r="D276">
            <v>1448.5699999999899</v>
          </cell>
        </row>
        <row r="277">
          <cell r="C277" t="str">
            <v>SIKKA REP. TPS3</v>
          </cell>
          <cell r="D277">
            <v>1448.41</v>
          </cell>
        </row>
        <row r="278">
          <cell r="C278" t="str">
            <v>KORBA STPS2</v>
          </cell>
          <cell r="D278">
            <v>1447.8199999999899</v>
          </cell>
        </row>
        <row r="279">
          <cell r="C279" t="str">
            <v>BINJKOTE  TPP2</v>
          </cell>
          <cell r="D279">
            <v>1445.97999999999</v>
          </cell>
        </row>
        <row r="280">
          <cell r="C280" t="str">
            <v>VIZAG TPS2</v>
          </cell>
          <cell r="D280">
            <v>1444.19</v>
          </cell>
        </row>
        <row r="281">
          <cell r="C281" t="str">
            <v>KAHALGAON TPS4</v>
          </cell>
          <cell r="D281">
            <v>1440.94</v>
          </cell>
        </row>
        <row r="282">
          <cell r="C282" t="str">
            <v>IB VALLEY TPS4</v>
          </cell>
          <cell r="D282">
            <v>1440.47999999999</v>
          </cell>
        </row>
        <row r="283">
          <cell r="C283" t="str">
            <v>DR. N TATA RAO TPS6</v>
          </cell>
          <cell r="D283">
            <v>1437.71999999999</v>
          </cell>
        </row>
        <row r="284">
          <cell r="C284" t="str">
            <v>UDUPI TPP1</v>
          </cell>
          <cell r="D284">
            <v>1427.70999999999</v>
          </cell>
        </row>
        <row r="285">
          <cell r="C285" t="str">
            <v>MAHADEV PRASAD STPP2</v>
          </cell>
          <cell r="D285">
            <v>1413.1899999999901</v>
          </cell>
        </row>
        <row r="286">
          <cell r="C286" t="str">
            <v>NEYVELI TPS (Z)1</v>
          </cell>
          <cell r="D286">
            <v>1410.22999999999</v>
          </cell>
        </row>
        <row r="287">
          <cell r="C287" t="str">
            <v>BONGAIGAON TPS2</v>
          </cell>
          <cell r="D287">
            <v>1403.17</v>
          </cell>
        </row>
        <row r="288">
          <cell r="C288" t="str">
            <v>NEYVELI TPS-II7</v>
          </cell>
          <cell r="D288">
            <v>1402.32</v>
          </cell>
        </row>
        <row r="289">
          <cell r="C289" t="str">
            <v>KORBA-WEST TPS2</v>
          </cell>
          <cell r="D289">
            <v>1400.97</v>
          </cell>
        </row>
        <row r="290">
          <cell r="C290" t="str">
            <v>IB VALLEY TPS2</v>
          </cell>
          <cell r="D290">
            <v>1397.0699999999899</v>
          </cell>
        </row>
        <row r="291">
          <cell r="C291" t="str">
            <v>KORBA-WEST TPS4</v>
          </cell>
          <cell r="D291">
            <v>1396.22</v>
          </cell>
        </row>
        <row r="292">
          <cell r="C292" t="str">
            <v>SINGRAULI STPS5</v>
          </cell>
          <cell r="D292">
            <v>1395.1499999999901</v>
          </cell>
        </row>
        <row r="293">
          <cell r="C293" t="str">
            <v>RAMAGUNDEM STPS3</v>
          </cell>
          <cell r="D293">
            <v>1390.1799999999901</v>
          </cell>
        </row>
        <row r="294">
          <cell r="C294" t="str">
            <v>DR. N TATA RAO TPS4</v>
          </cell>
          <cell r="D294">
            <v>1389.02</v>
          </cell>
        </row>
        <row r="295">
          <cell r="C295" t="str">
            <v>BINA TPS1</v>
          </cell>
          <cell r="D295">
            <v>1382.8699999999899</v>
          </cell>
        </row>
        <row r="296">
          <cell r="C296" t="str">
            <v>BAKRESWAR TPS1</v>
          </cell>
          <cell r="D296">
            <v>1381.95</v>
          </cell>
        </row>
        <row r="297">
          <cell r="C297" t="str">
            <v>DR. N TATA RAO TPS5</v>
          </cell>
          <cell r="D297">
            <v>1373.19999999999</v>
          </cell>
        </row>
        <row r="298">
          <cell r="C298" t="str">
            <v>FARAKKA STPS2</v>
          </cell>
          <cell r="D298">
            <v>1369.48</v>
          </cell>
        </row>
        <row r="299">
          <cell r="C299" t="str">
            <v>KOTA TPS7</v>
          </cell>
          <cell r="D299">
            <v>1367.17</v>
          </cell>
        </row>
        <row r="300">
          <cell r="C300" t="str">
            <v>METTUR TPS3</v>
          </cell>
          <cell r="D300">
            <v>1360.3999999999901</v>
          </cell>
        </row>
        <row r="301">
          <cell r="C301" t="str">
            <v>PARAS TPS3</v>
          </cell>
          <cell r="D301">
            <v>1358.49999999999</v>
          </cell>
        </row>
        <row r="302">
          <cell r="C302" t="str">
            <v>BAKRESWAR TPS3</v>
          </cell>
          <cell r="D302">
            <v>1358.28999999999</v>
          </cell>
        </row>
        <row r="303">
          <cell r="C303" t="str">
            <v>OBRA TPS9</v>
          </cell>
          <cell r="D303">
            <v>1355.15</v>
          </cell>
        </row>
        <row r="304">
          <cell r="C304" t="str">
            <v>FARAKKA STPS1</v>
          </cell>
          <cell r="D304">
            <v>1349.45</v>
          </cell>
        </row>
        <row r="305">
          <cell r="C305" t="str">
            <v>INDIRA GANDHI STPP3</v>
          </cell>
          <cell r="D305">
            <v>1346.32</v>
          </cell>
        </row>
        <row r="306">
          <cell r="C306" t="str">
            <v>INDIRA GANDHI STPP1</v>
          </cell>
          <cell r="D306">
            <v>1343.1499999999901</v>
          </cell>
        </row>
        <row r="307">
          <cell r="C307" t="str">
            <v>NAWAPARA TPP2</v>
          </cell>
          <cell r="D307">
            <v>1320.64</v>
          </cell>
        </row>
        <row r="308">
          <cell r="C308" t="str">
            <v>DR. N TATA RAO TPS3</v>
          </cell>
          <cell r="D308">
            <v>1313.92</v>
          </cell>
        </row>
        <row r="309">
          <cell r="C309" t="str">
            <v>NEYVELI TPS-II6</v>
          </cell>
          <cell r="D309">
            <v>1313.78</v>
          </cell>
        </row>
        <row r="310">
          <cell r="C310" t="str">
            <v>KORBA-WEST TPS1</v>
          </cell>
          <cell r="D310">
            <v>1312.22999999999</v>
          </cell>
        </row>
        <row r="311">
          <cell r="C311" t="str">
            <v>BONGAIGAON TPS1</v>
          </cell>
          <cell r="D311">
            <v>1311.25999999999</v>
          </cell>
        </row>
        <row r="312">
          <cell r="C312" t="str">
            <v>BHILAI TPS2</v>
          </cell>
          <cell r="D312">
            <v>1308.70999999999</v>
          </cell>
        </row>
        <row r="313">
          <cell r="C313" t="str">
            <v>D.P.L. TPS8</v>
          </cell>
          <cell r="D313">
            <v>1302.6600000000001</v>
          </cell>
        </row>
        <row r="314">
          <cell r="C314" t="str">
            <v>TUTICORIN TPS2</v>
          </cell>
          <cell r="D314">
            <v>1298.57</v>
          </cell>
        </row>
        <row r="315">
          <cell r="C315" t="str">
            <v>BAKRESWAR TPS4</v>
          </cell>
          <cell r="D315">
            <v>1295.96999999999</v>
          </cell>
        </row>
        <row r="316">
          <cell r="C316" t="str">
            <v>RAICHUR TPS4</v>
          </cell>
          <cell r="D316">
            <v>1290.5</v>
          </cell>
        </row>
        <row r="317">
          <cell r="C317" t="str">
            <v>YAMUNA NAGAR TPS2</v>
          </cell>
          <cell r="D317">
            <v>1288.23</v>
          </cell>
        </row>
        <row r="318">
          <cell r="C318" t="str">
            <v>IB VALLEY TPS1</v>
          </cell>
          <cell r="D318">
            <v>1286.9099999999901</v>
          </cell>
        </row>
        <row r="319">
          <cell r="C319" t="str">
            <v>PARAS TPS4</v>
          </cell>
          <cell r="D319">
            <v>1283.49999999999</v>
          </cell>
        </row>
        <row r="320">
          <cell r="C320" t="str">
            <v>TUTICORIN TPS4</v>
          </cell>
          <cell r="D320">
            <v>1272.8099999999899</v>
          </cell>
        </row>
        <row r="321">
          <cell r="C321" t="str">
            <v>RAMAGUNDEM STPS2</v>
          </cell>
          <cell r="D321">
            <v>1272.6499999999901</v>
          </cell>
        </row>
        <row r="322">
          <cell r="C322" t="str">
            <v>DR. N TATA RAO TPS2</v>
          </cell>
          <cell r="D322">
            <v>1264.17</v>
          </cell>
        </row>
        <row r="323">
          <cell r="C323" t="str">
            <v>RAMAGUNDEM STPS1</v>
          </cell>
          <cell r="D323">
            <v>1264.1199999999999</v>
          </cell>
        </row>
        <row r="324">
          <cell r="C324" t="str">
            <v>MUZAFFARPUR TPS4</v>
          </cell>
          <cell r="D324">
            <v>1259.4100000000001</v>
          </cell>
        </row>
        <row r="325">
          <cell r="C325" t="str">
            <v>SATPURA TPS10</v>
          </cell>
          <cell r="D325">
            <v>1258.8299999999899</v>
          </cell>
        </row>
        <row r="326">
          <cell r="C326" t="str">
            <v>KUDGI STPP1</v>
          </cell>
          <cell r="D326">
            <v>1257.1300000000001</v>
          </cell>
        </row>
        <row r="327">
          <cell r="C327" t="str">
            <v>METTUR TPS4</v>
          </cell>
          <cell r="D327">
            <v>1253.8</v>
          </cell>
        </row>
        <row r="328">
          <cell r="C328" t="str">
            <v>SINGRAULI STPS1</v>
          </cell>
          <cell r="D328">
            <v>1249.8499999999899</v>
          </cell>
        </row>
        <row r="329">
          <cell r="C329" t="str">
            <v>OBRA TPS11</v>
          </cell>
          <cell r="D329">
            <v>1246.9299999999901</v>
          </cell>
        </row>
        <row r="330">
          <cell r="C330" t="str">
            <v>INDIRA GANDHI STPP2</v>
          </cell>
          <cell r="D330">
            <v>1239.0899999999899</v>
          </cell>
        </row>
        <row r="331">
          <cell r="C331" t="str">
            <v>SURATGARH TPS1</v>
          </cell>
          <cell r="D331">
            <v>1237.1199999999999</v>
          </cell>
        </row>
        <row r="332">
          <cell r="C332" t="str">
            <v>OP JINDAL TPS3</v>
          </cell>
          <cell r="D332">
            <v>1235.54999999999</v>
          </cell>
        </row>
        <row r="333">
          <cell r="C333" t="str">
            <v>KOTA TPS6</v>
          </cell>
          <cell r="D333">
            <v>1223.0899999999999</v>
          </cell>
        </row>
        <row r="334">
          <cell r="C334" t="str">
            <v>CHANDRAPUR STPS4</v>
          </cell>
          <cell r="D334">
            <v>1219.97</v>
          </cell>
        </row>
        <row r="335">
          <cell r="C335" t="str">
            <v>FARAKKA STPS3</v>
          </cell>
          <cell r="D335">
            <v>1219.06</v>
          </cell>
        </row>
        <row r="336">
          <cell r="C336" t="str">
            <v>UNCHAHAR STPS4</v>
          </cell>
          <cell r="D336">
            <v>1214.51</v>
          </cell>
        </row>
        <row r="337">
          <cell r="C337" t="str">
            <v>UNCHAHAR STPS2</v>
          </cell>
          <cell r="D337">
            <v>1210.4399999999901</v>
          </cell>
        </row>
        <row r="338">
          <cell r="C338" t="str">
            <v>PANIPAT TPS8</v>
          </cell>
          <cell r="D338">
            <v>1207.57</v>
          </cell>
        </row>
        <row r="339">
          <cell r="C339" t="str">
            <v>NORTH CHENNAI TPS2</v>
          </cell>
          <cell r="D339">
            <v>1205.5599999999899</v>
          </cell>
        </row>
        <row r="340">
          <cell r="C340" t="str">
            <v>SIKKA REP. TPS4</v>
          </cell>
          <cell r="D340">
            <v>1203.1500000000001</v>
          </cell>
        </row>
        <row r="341">
          <cell r="C341" t="str">
            <v>NORTH CHENNAI TPS1</v>
          </cell>
          <cell r="D341">
            <v>1195.28</v>
          </cell>
        </row>
        <row r="342">
          <cell r="C342" t="str">
            <v>METTUR TPS2</v>
          </cell>
          <cell r="D342">
            <v>1192.6799999999901</v>
          </cell>
        </row>
        <row r="343">
          <cell r="C343" t="str">
            <v>UNCHAHAR STPS5</v>
          </cell>
          <cell r="D343">
            <v>1191.95999999999</v>
          </cell>
        </row>
        <row r="344">
          <cell r="C344" t="str">
            <v>TENUGHAT TPS1</v>
          </cell>
          <cell r="D344">
            <v>1190.08</v>
          </cell>
        </row>
        <row r="345">
          <cell r="C345" t="str">
            <v>BINA TPS2</v>
          </cell>
          <cell r="D345">
            <v>1185.8699999999899</v>
          </cell>
        </row>
        <row r="346">
          <cell r="C346" t="str">
            <v>DHARIWAL TPS1</v>
          </cell>
          <cell r="D346">
            <v>1180.98</v>
          </cell>
        </row>
        <row r="347">
          <cell r="C347" t="str">
            <v>BINJKOTE  TPP1</v>
          </cell>
          <cell r="D347">
            <v>1175.1899999999901</v>
          </cell>
        </row>
        <row r="348">
          <cell r="C348" t="str">
            <v>DR. N TATA RAO TPS1</v>
          </cell>
          <cell r="D348">
            <v>1174.5999999999899</v>
          </cell>
        </row>
        <row r="349">
          <cell r="C349" t="str">
            <v>WANAKBORI TPS3</v>
          </cell>
          <cell r="D349">
            <v>1173.8599999999899</v>
          </cell>
        </row>
        <row r="350">
          <cell r="C350" t="str">
            <v>BONGAIGAON TPS3</v>
          </cell>
          <cell r="D350">
            <v>1171.53</v>
          </cell>
        </row>
        <row r="351">
          <cell r="C351" t="str">
            <v>OP JINDAL TPS4</v>
          </cell>
          <cell r="D351">
            <v>1167.8699999999999</v>
          </cell>
        </row>
        <row r="352">
          <cell r="C352" t="str">
            <v>WANAKBORI TPS7</v>
          </cell>
          <cell r="D352">
            <v>1167.23999999999</v>
          </cell>
        </row>
        <row r="353">
          <cell r="C353" t="str">
            <v>MUTHIARA TPP2</v>
          </cell>
          <cell r="D353">
            <v>1161.76</v>
          </cell>
        </row>
        <row r="354">
          <cell r="C354" t="str">
            <v>TUTICORIN TPS3</v>
          </cell>
          <cell r="D354">
            <v>1158.78999999999</v>
          </cell>
        </row>
        <row r="355">
          <cell r="C355" t="str">
            <v>CHANDRAPUR STPS3</v>
          </cell>
          <cell r="D355">
            <v>1151.6400000000001</v>
          </cell>
        </row>
        <row r="356">
          <cell r="C356" t="str">
            <v>UKAI TPS4</v>
          </cell>
          <cell r="D356">
            <v>1148.6499999999901</v>
          </cell>
        </row>
        <row r="357">
          <cell r="C357" t="str">
            <v>KHAPARKHEDA TPS4</v>
          </cell>
          <cell r="D357">
            <v>1147.1899999999901</v>
          </cell>
        </row>
        <row r="358">
          <cell r="C358" t="str">
            <v>KOTA TPS4</v>
          </cell>
          <cell r="D358">
            <v>1144.03999999999</v>
          </cell>
        </row>
        <row r="359">
          <cell r="C359" t="str">
            <v>RAICHUR TPS6</v>
          </cell>
          <cell r="D359">
            <v>1133.1099999999999</v>
          </cell>
        </row>
        <row r="360">
          <cell r="C360" t="str">
            <v>SANJAY GANDHI TPS4</v>
          </cell>
          <cell r="D360">
            <v>1129.9199999999901</v>
          </cell>
        </row>
        <row r="361">
          <cell r="C361" t="str">
            <v>TENUGHAT TPS2</v>
          </cell>
          <cell r="D361">
            <v>1127.8800000000001</v>
          </cell>
        </row>
        <row r="362">
          <cell r="C362" t="str">
            <v>MEJIA TPS3</v>
          </cell>
          <cell r="D362">
            <v>1125.95999999999</v>
          </cell>
        </row>
        <row r="363">
          <cell r="C363" t="str">
            <v>KHAPARKHEDA TPS3</v>
          </cell>
          <cell r="D363">
            <v>1125.3999999999901</v>
          </cell>
        </row>
        <row r="364">
          <cell r="C364" t="str">
            <v>RAICHUR TPS5</v>
          </cell>
          <cell r="D364">
            <v>1123.74</v>
          </cell>
        </row>
        <row r="365">
          <cell r="C365" t="str">
            <v>RAYALSEEMA TPS3</v>
          </cell>
          <cell r="D365">
            <v>1123.27</v>
          </cell>
        </row>
        <row r="366">
          <cell r="C366" t="str">
            <v>MEJIA TPS1</v>
          </cell>
          <cell r="D366">
            <v>1109.8499999999999</v>
          </cell>
        </row>
        <row r="367">
          <cell r="C367" t="str">
            <v>TORANGALLU TPS(SBU-I)1</v>
          </cell>
          <cell r="D367">
            <v>1108.9100000000001</v>
          </cell>
        </row>
        <row r="368">
          <cell r="C368" t="str">
            <v>UNCHAHAR STPS1</v>
          </cell>
          <cell r="D368">
            <v>1105.8999999999901</v>
          </cell>
        </row>
        <row r="369">
          <cell r="C369" t="str">
            <v>PARICHHA TPS4</v>
          </cell>
          <cell r="D369">
            <v>1097.6899999999901</v>
          </cell>
        </row>
        <row r="370">
          <cell r="C370" t="str">
            <v>UNCHAHAR STPS3</v>
          </cell>
          <cell r="D370">
            <v>1096.8699999999899</v>
          </cell>
        </row>
        <row r="371">
          <cell r="C371" t="str">
            <v>KOTA TPS3</v>
          </cell>
          <cell r="D371">
            <v>1090.79</v>
          </cell>
        </row>
        <row r="372">
          <cell r="C372" t="str">
            <v>MEJIA TPS4</v>
          </cell>
          <cell r="D372">
            <v>1081.8</v>
          </cell>
        </row>
        <row r="373">
          <cell r="C373" t="str">
            <v>KOTA TPS5</v>
          </cell>
          <cell r="D373">
            <v>1073.73999999999</v>
          </cell>
        </row>
        <row r="374">
          <cell r="C374" t="str">
            <v>NORTH CHENNAI TPS3</v>
          </cell>
          <cell r="D374">
            <v>1072.47</v>
          </cell>
        </row>
        <row r="375">
          <cell r="C375" t="str">
            <v>GADARWARA TPP1</v>
          </cell>
          <cell r="D375">
            <v>1071.8599999999899</v>
          </cell>
        </row>
        <row r="376">
          <cell r="C376" t="str">
            <v>MUZAFFARPUR TPS3</v>
          </cell>
          <cell r="D376">
            <v>1068.8599999999899</v>
          </cell>
        </row>
        <row r="377">
          <cell r="C377" t="str">
            <v>MEJA STPP1</v>
          </cell>
          <cell r="D377">
            <v>1066.5999999999899</v>
          </cell>
        </row>
        <row r="378">
          <cell r="C378" t="str">
            <v>PARICHHA TPS3</v>
          </cell>
          <cell r="D378">
            <v>1058.3699999999999</v>
          </cell>
        </row>
        <row r="379">
          <cell r="C379" t="str">
            <v>MAHAN TPP1</v>
          </cell>
          <cell r="D379">
            <v>1053.79999999999</v>
          </cell>
        </row>
        <row r="380">
          <cell r="C380" t="str">
            <v>RAICHUR TPS2</v>
          </cell>
          <cell r="D380">
            <v>1051.51</v>
          </cell>
        </row>
        <row r="381">
          <cell r="C381" t="str">
            <v>SAGARDIGHI TPS2</v>
          </cell>
          <cell r="D381">
            <v>1051.23</v>
          </cell>
        </row>
        <row r="382">
          <cell r="C382" t="str">
            <v>OBRA TPS10</v>
          </cell>
          <cell r="D382">
            <v>1039.3399999999999</v>
          </cell>
        </row>
        <row r="383">
          <cell r="C383" t="str">
            <v>GANDHI NAGAR TPS5</v>
          </cell>
          <cell r="D383">
            <v>1037.75</v>
          </cell>
        </row>
        <row r="384">
          <cell r="C384" t="str">
            <v>UKAI TPS5</v>
          </cell>
          <cell r="D384">
            <v>1027.3699999999999</v>
          </cell>
        </row>
        <row r="385">
          <cell r="C385" t="str">
            <v>METTUR TPS1</v>
          </cell>
          <cell r="D385">
            <v>1025.69</v>
          </cell>
        </row>
        <row r="386">
          <cell r="C386" t="str">
            <v>PANIPAT TPS7</v>
          </cell>
          <cell r="D386">
            <v>996.83</v>
          </cell>
        </row>
        <row r="387">
          <cell r="C387" t="str">
            <v>KORBA-WEST TPS3</v>
          </cell>
          <cell r="D387">
            <v>978.95999999999901</v>
          </cell>
        </row>
        <row r="388">
          <cell r="C388" t="str">
            <v>UKAI TPS3</v>
          </cell>
          <cell r="D388">
            <v>975.06999999999903</v>
          </cell>
        </row>
        <row r="389">
          <cell r="C389" t="str">
            <v>RAYALSEEMA TPS4</v>
          </cell>
          <cell r="D389">
            <v>969.99999999999898</v>
          </cell>
        </row>
        <row r="390">
          <cell r="C390" t="str">
            <v>AMRAVATI TPS3</v>
          </cell>
          <cell r="D390">
            <v>965.51999999999896</v>
          </cell>
        </row>
        <row r="391">
          <cell r="C391" t="str">
            <v>RAICHUR TPS7</v>
          </cell>
          <cell r="D391">
            <v>958.3</v>
          </cell>
        </row>
        <row r="392">
          <cell r="C392" t="str">
            <v>RAYALSEEMA TPS1</v>
          </cell>
          <cell r="D392">
            <v>958.3</v>
          </cell>
        </row>
        <row r="393">
          <cell r="C393" t="str">
            <v>NASIK TPS4</v>
          </cell>
          <cell r="D393">
            <v>944.80999999999904</v>
          </cell>
        </row>
        <row r="394">
          <cell r="C394" t="str">
            <v>KASAIPALLI TPP1</v>
          </cell>
          <cell r="D394">
            <v>929.89</v>
          </cell>
        </row>
        <row r="395">
          <cell r="C395" t="str">
            <v>SURAT LIG. TPS4</v>
          </cell>
          <cell r="D395">
            <v>926.37999999999897</v>
          </cell>
        </row>
        <row r="396">
          <cell r="C396" t="str">
            <v>D.P.L. TPS7</v>
          </cell>
          <cell r="D396">
            <v>924.54</v>
          </cell>
        </row>
        <row r="397">
          <cell r="C397" t="str">
            <v>SURATGARH TPS3</v>
          </cell>
          <cell r="D397">
            <v>914.85</v>
          </cell>
        </row>
        <row r="398">
          <cell r="C398" t="str">
            <v>SANJAY GANDHI TPS1</v>
          </cell>
          <cell r="D398">
            <v>912.43999999999903</v>
          </cell>
        </row>
        <row r="399">
          <cell r="C399" t="str">
            <v>SURATGARH TPS4</v>
          </cell>
          <cell r="D399">
            <v>896.56999999999903</v>
          </cell>
        </row>
        <row r="400">
          <cell r="C400" t="str">
            <v>KHAPARKHEDA TPS1</v>
          </cell>
          <cell r="D400">
            <v>894.18</v>
          </cell>
        </row>
        <row r="401">
          <cell r="C401" t="str">
            <v>NEYVELI TPS-II EXP1</v>
          </cell>
          <cell r="D401">
            <v>887.13</v>
          </cell>
        </row>
        <row r="402">
          <cell r="C402" t="str">
            <v>KOLAGHAT TPS6</v>
          </cell>
          <cell r="D402">
            <v>872.95</v>
          </cell>
        </row>
        <row r="403">
          <cell r="C403" t="str">
            <v>RAICHUR TPS3</v>
          </cell>
          <cell r="D403">
            <v>869.479999999999</v>
          </cell>
        </row>
        <row r="404">
          <cell r="C404" t="str">
            <v>BELLARY TPS1</v>
          </cell>
          <cell r="D404">
            <v>863.12</v>
          </cell>
        </row>
        <row r="405">
          <cell r="C405" t="str">
            <v>TUTICORIN TPS5</v>
          </cell>
          <cell r="D405">
            <v>858.11</v>
          </cell>
        </row>
        <row r="406">
          <cell r="C406" t="str">
            <v>SURAT LIG. TPS1</v>
          </cell>
          <cell r="D406">
            <v>857.18</v>
          </cell>
        </row>
        <row r="407">
          <cell r="C407" t="str">
            <v>KHAPARKHEDA TPS2</v>
          </cell>
          <cell r="D407">
            <v>845.26999999999896</v>
          </cell>
        </row>
        <row r="408">
          <cell r="C408" t="str">
            <v>BARSINGSAR LIGNITE1</v>
          </cell>
          <cell r="D408">
            <v>843.86999999999898</v>
          </cell>
        </row>
        <row r="409">
          <cell r="C409" t="str">
            <v>GOINDWAL SAHIB1</v>
          </cell>
          <cell r="D409">
            <v>830.94</v>
          </cell>
        </row>
        <row r="410">
          <cell r="C410" t="str">
            <v>PARLI TPS8</v>
          </cell>
          <cell r="D410">
            <v>830.08999999999901</v>
          </cell>
        </row>
        <row r="411">
          <cell r="C411" t="str">
            <v>NAWAPARA TPP1</v>
          </cell>
          <cell r="D411">
            <v>823.11999999999898</v>
          </cell>
        </row>
        <row r="412">
          <cell r="C412" t="str">
            <v>SABARMATI (D-F STATIONS) TPP1</v>
          </cell>
          <cell r="D412">
            <v>821.10999999999899</v>
          </cell>
        </row>
        <row r="413">
          <cell r="C413" t="str">
            <v>SURAT LIG. TPS3</v>
          </cell>
          <cell r="D413">
            <v>814.88999999999896</v>
          </cell>
        </row>
        <row r="414">
          <cell r="C414" t="str">
            <v>TALCHER (OLD) TPS6</v>
          </cell>
          <cell r="D414">
            <v>811.21999999999696</v>
          </cell>
        </row>
        <row r="415">
          <cell r="C415" t="str">
            <v>SABARMATI (D-F STATIONS) TPP3</v>
          </cell>
          <cell r="D415">
            <v>801.479999999999</v>
          </cell>
        </row>
        <row r="416">
          <cell r="C416" t="str">
            <v>JALIPA KAPURDI TPP7</v>
          </cell>
          <cell r="D416">
            <v>797.72</v>
          </cell>
        </row>
        <row r="417">
          <cell r="C417" t="str">
            <v>SATPURA TPS7</v>
          </cell>
          <cell r="D417">
            <v>793.49999999999898</v>
          </cell>
        </row>
        <row r="418">
          <cell r="C418" t="str">
            <v>JALIPA KAPURDI TPP2</v>
          </cell>
          <cell r="D418">
            <v>791.57999999999902</v>
          </cell>
        </row>
        <row r="419">
          <cell r="C419" t="str">
            <v>SATPURA TPS6</v>
          </cell>
          <cell r="D419">
            <v>784.23</v>
          </cell>
        </row>
        <row r="420">
          <cell r="C420" t="str">
            <v>RAICHUR TPS1</v>
          </cell>
          <cell r="D420">
            <v>783.07</v>
          </cell>
        </row>
        <row r="421">
          <cell r="C421" t="str">
            <v>TUTICORIN TPS1</v>
          </cell>
          <cell r="D421">
            <v>781.81000000000097</v>
          </cell>
        </row>
        <row r="422">
          <cell r="C422" t="str">
            <v>RAJIV GANDHI TPS1</v>
          </cell>
          <cell r="D422">
            <v>778.229999999999</v>
          </cell>
        </row>
        <row r="423">
          <cell r="C423" t="str">
            <v>SURAT LIG. TPS2</v>
          </cell>
          <cell r="D423">
            <v>777.36</v>
          </cell>
        </row>
        <row r="424">
          <cell r="C424" t="str">
            <v>NASIK TPS5</v>
          </cell>
          <cell r="D424">
            <v>776.43</v>
          </cell>
        </row>
        <row r="425">
          <cell r="C425" t="str">
            <v>DADRI (NCTPP)4</v>
          </cell>
          <cell r="D425">
            <v>774.599999999999</v>
          </cell>
        </row>
        <row r="426">
          <cell r="C426" t="str">
            <v>UCHPINDA TPP3</v>
          </cell>
          <cell r="D426">
            <v>770.729999999999</v>
          </cell>
        </row>
        <row r="427">
          <cell r="C427" t="str">
            <v>SABARMATI (D-F STATIONS) TPP2</v>
          </cell>
          <cell r="D427">
            <v>770.18</v>
          </cell>
        </row>
        <row r="428">
          <cell r="C428" t="str">
            <v>PARLI TPS7</v>
          </cell>
          <cell r="D428">
            <v>766.29999999999905</v>
          </cell>
        </row>
        <row r="429">
          <cell r="C429" t="str">
            <v>JALIPA KAPURDI TPP5</v>
          </cell>
          <cell r="D429">
            <v>765.25</v>
          </cell>
        </row>
        <row r="430">
          <cell r="C430" t="str">
            <v>JALIPA KAPURDI TPP8</v>
          </cell>
          <cell r="D430">
            <v>764.40999999999894</v>
          </cell>
        </row>
        <row r="431">
          <cell r="C431" t="str">
            <v>JOJOBERA TPS3</v>
          </cell>
          <cell r="D431">
            <v>763.03999999999905</v>
          </cell>
        </row>
        <row r="432">
          <cell r="C432" t="str">
            <v>NEYVELI TPS-II EXP2</v>
          </cell>
          <cell r="D432">
            <v>762.93999999999903</v>
          </cell>
        </row>
        <row r="433">
          <cell r="C433" t="str">
            <v>TALCHER (OLD) TPS5</v>
          </cell>
          <cell r="D433">
            <v>762.70999999999697</v>
          </cell>
        </row>
        <row r="434">
          <cell r="C434" t="str">
            <v>GOINDWAL SAHIB2</v>
          </cell>
          <cell r="D434">
            <v>761.70999999999901</v>
          </cell>
        </row>
        <row r="435">
          <cell r="C435" t="str">
            <v>BARSINGSAR LIGNITE2</v>
          </cell>
          <cell r="D435">
            <v>758.2</v>
          </cell>
        </row>
        <row r="436">
          <cell r="C436" t="str">
            <v>JALIPA KAPURDI TPP3</v>
          </cell>
          <cell r="D436">
            <v>751.50999999999897</v>
          </cell>
        </row>
        <row r="437">
          <cell r="C437" t="str">
            <v>KOLAGHAT TPS2</v>
          </cell>
          <cell r="D437">
            <v>747.03</v>
          </cell>
        </row>
        <row r="438">
          <cell r="C438" t="str">
            <v>JALIPA KAPURDI TPP4</v>
          </cell>
          <cell r="D438">
            <v>744.16</v>
          </cell>
        </row>
        <row r="439">
          <cell r="C439" t="str">
            <v>KOLAGHAT TPS5</v>
          </cell>
          <cell r="D439">
            <v>734.44999999999902</v>
          </cell>
        </row>
        <row r="440">
          <cell r="C440" t="str">
            <v>KHARGONE STPP1</v>
          </cell>
          <cell r="D440">
            <v>722.86</v>
          </cell>
        </row>
        <row r="441">
          <cell r="C441" t="str">
            <v>KORBA-III2</v>
          </cell>
          <cell r="D441">
            <v>717.58</v>
          </cell>
        </row>
        <row r="442">
          <cell r="C442" t="str">
            <v>WANAKBORI TPS5</v>
          </cell>
          <cell r="D442">
            <v>711.479999999999</v>
          </cell>
        </row>
        <row r="443">
          <cell r="C443" t="str">
            <v>DADRI (NCTPP)3</v>
          </cell>
          <cell r="D443">
            <v>699.78</v>
          </cell>
        </row>
        <row r="444">
          <cell r="C444" t="str">
            <v>RAYALSEEMA TPS5</v>
          </cell>
          <cell r="D444">
            <v>697.93999999999903</v>
          </cell>
        </row>
        <row r="445">
          <cell r="C445" t="str">
            <v>JOJOBERA TPS2</v>
          </cell>
          <cell r="D445">
            <v>697.02999999999895</v>
          </cell>
        </row>
        <row r="446">
          <cell r="C446" t="str">
            <v>KOTHAGUDEM TPS5</v>
          </cell>
          <cell r="D446">
            <v>692.56999999999903</v>
          </cell>
        </row>
        <row r="447">
          <cell r="C447" t="str">
            <v>WANAKBORI TPS6</v>
          </cell>
          <cell r="D447">
            <v>688.32</v>
          </cell>
        </row>
        <row r="448">
          <cell r="C448" t="str">
            <v>KASAIPALLI TPP2</v>
          </cell>
          <cell r="D448">
            <v>682.31</v>
          </cell>
        </row>
        <row r="449">
          <cell r="C449" t="str">
            <v>WANAKBORI TPS4</v>
          </cell>
          <cell r="D449">
            <v>679.41999999999905</v>
          </cell>
        </row>
        <row r="450">
          <cell r="C450" t="str">
            <v>SANJAY GANDHI TPS2</v>
          </cell>
          <cell r="D450">
            <v>678.9</v>
          </cell>
        </row>
        <row r="451">
          <cell r="C451" t="str">
            <v>NASIK TPS3</v>
          </cell>
          <cell r="D451">
            <v>678.59</v>
          </cell>
        </row>
        <row r="452">
          <cell r="C452" t="str">
            <v>JALIPA KAPURDI TPP6</v>
          </cell>
          <cell r="D452">
            <v>675.55</v>
          </cell>
        </row>
        <row r="453">
          <cell r="C453" t="str">
            <v>AMRAVATI TPS2</v>
          </cell>
          <cell r="D453">
            <v>668.78</v>
          </cell>
        </row>
        <row r="454">
          <cell r="C454" t="str">
            <v>JALIPA KAPURDI TPP1</v>
          </cell>
          <cell r="D454">
            <v>666.49999999999898</v>
          </cell>
        </row>
        <row r="455">
          <cell r="C455" t="str">
            <v>KOLAGHAT TPS4</v>
          </cell>
          <cell r="D455">
            <v>643.53</v>
          </cell>
        </row>
        <row r="456">
          <cell r="C456" t="str">
            <v>PARLI TPS6</v>
          </cell>
          <cell r="D456">
            <v>641.94000000000005</v>
          </cell>
        </row>
        <row r="457">
          <cell r="C457" t="str">
            <v>KORBA-III1</v>
          </cell>
          <cell r="D457">
            <v>641.77999999999895</v>
          </cell>
        </row>
        <row r="458">
          <cell r="C458" t="str">
            <v>SANJAY GANDHI TPS3</v>
          </cell>
          <cell r="D458">
            <v>635.41</v>
          </cell>
        </row>
        <row r="459">
          <cell r="C459" t="str">
            <v>RAYALSEEMA TPS2</v>
          </cell>
          <cell r="D459">
            <v>632.92999999999995</v>
          </cell>
        </row>
        <row r="460">
          <cell r="C460" t="str">
            <v>AMRAVATI TPS5</v>
          </cell>
          <cell r="D460">
            <v>630.19000000000005</v>
          </cell>
        </row>
        <row r="461">
          <cell r="C461" t="str">
            <v>KOTHAGUDEM TPS7</v>
          </cell>
          <cell r="D461">
            <v>625.52</v>
          </cell>
        </row>
        <row r="462">
          <cell r="C462" t="str">
            <v>SURATGARH TPS2</v>
          </cell>
          <cell r="D462">
            <v>625.07999999999902</v>
          </cell>
        </row>
        <row r="463">
          <cell r="C463" t="str">
            <v>AMRAVATI TPS4</v>
          </cell>
          <cell r="D463">
            <v>619.03</v>
          </cell>
        </row>
        <row r="464">
          <cell r="C464" t="str">
            <v>DADRI (NCTPP)1</v>
          </cell>
          <cell r="D464">
            <v>610.82999999999902</v>
          </cell>
        </row>
        <row r="465">
          <cell r="C465" t="str">
            <v>SATPURA TPS8</v>
          </cell>
          <cell r="D465">
            <v>604.719999999999</v>
          </cell>
        </row>
        <row r="466">
          <cell r="C466" t="str">
            <v>SURATGARH TPS6</v>
          </cell>
          <cell r="D466">
            <v>600.25</v>
          </cell>
        </row>
        <row r="467">
          <cell r="C467" t="str">
            <v>BANDEL TPS5</v>
          </cell>
          <cell r="D467">
            <v>595.89</v>
          </cell>
        </row>
        <row r="468">
          <cell r="C468" t="str">
            <v>MEJIA TPS2</v>
          </cell>
          <cell r="D468">
            <v>595.13</v>
          </cell>
        </row>
        <row r="469">
          <cell r="C469" t="str">
            <v>SOLAPUR STPS1</v>
          </cell>
          <cell r="D469">
            <v>584.38</v>
          </cell>
        </row>
        <row r="470">
          <cell r="C470" t="str">
            <v>DADRI (NCTPP)2</v>
          </cell>
          <cell r="D470">
            <v>567.37</v>
          </cell>
        </row>
        <row r="471">
          <cell r="C471" t="str">
            <v>SATPURA TPS9</v>
          </cell>
          <cell r="D471">
            <v>566.29999999999905</v>
          </cell>
        </row>
        <row r="472">
          <cell r="C472" t="str">
            <v>TANDA STPS4</v>
          </cell>
          <cell r="D472">
            <v>551.62999999999897</v>
          </cell>
        </row>
        <row r="473">
          <cell r="C473" t="str">
            <v>TANDA STPS3</v>
          </cell>
          <cell r="D473">
            <v>551.08000000000004</v>
          </cell>
        </row>
        <row r="474">
          <cell r="C474" t="str">
            <v>NEYVELI TPS- I8</v>
          </cell>
          <cell r="D474">
            <v>522.96</v>
          </cell>
        </row>
        <row r="475">
          <cell r="C475" t="str">
            <v>DURGAPUR TPS4</v>
          </cell>
          <cell r="D475">
            <v>518.41999999999996</v>
          </cell>
        </row>
        <row r="476">
          <cell r="C476" t="str">
            <v>TANDA STPS1</v>
          </cell>
          <cell r="D476">
            <v>510.92</v>
          </cell>
        </row>
        <row r="477">
          <cell r="C477" t="str">
            <v>KORADI TPS6</v>
          </cell>
          <cell r="D477">
            <v>501.34</v>
          </cell>
        </row>
        <row r="478">
          <cell r="C478" t="str">
            <v>TALCHER (OLD) TPS2</v>
          </cell>
          <cell r="D478">
            <v>479.95999999999901</v>
          </cell>
        </row>
        <row r="479">
          <cell r="C479" t="str">
            <v>SURATGARH TPS5</v>
          </cell>
          <cell r="D479">
            <v>477.65</v>
          </cell>
        </row>
        <row r="480">
          <cell r="C480" t="str">
            <v>WANAKBORI TPS2</v>
          </cell>
          <cell r="D480">
            <v>461.67</v>
          </cell>
        </row>
        <row r="481">
          <cell r="C481" t="str">
            <v>TALCHER (OLD) TPS4</v>
          </cell>
          <cell r="D481">
            <v>457.36000000000098</v>
          </cell>
        </row>
        <row r="482">
          <cell r="C482" t="str">
            <v>TALCHER (OLD) TPS3</v>
          </cell>
          <cell r="D482">
            <v>452.55000000000098</v>
          </cell>
        </row>
        <row r="483">
          <cell r="C483" t="str">
            <v>TANDA STPS2</v>
          </cell>
          <cell r="D483">
            <v>450.27999999999901</v>
          </cell>
        </row>
        <row r="484">
          <cell r="C484" t="str">
            <v>NEYVELI TPS- I9</v>
          </cell>
          <cell r="D484">
            <v>444.3</v>
          </cell>
        </row>
        <row r="485">
          <cell r="C485" t="str">
            <v>TALCHER (OLD) TPS1</v>
          </cell>
          <cell r="D485">
            <v>443.39</v>
          </cell>
        </row>
        <row r="486">
          <cell r="C486" t="str">
            <v>GANDHI NAGAR TPS4</v>
          </cell>
          <cell r="D486">
            <v>418.909999999999</v>
          </cell>
        </row>
        <row r="487">
          <cell r="C487" t="str">
            <v>RAMAGUNDEM - B TPS1</v>
          </cell>
          <cell r="D487">
            <v>407.47</v>
          </cell>
        </row>
        <row r="488">
          <cell r="C488" t="str">
            <v>BHAVNAGAR TPP2</v>
          </cell>
          <cell r="D488">
            <v>406.79999999999899</v>
          </cell>
        </row>
        <row r="489">
          <cell r="C489" t="str">
            <v>STERLITE TPP2</v>
          </cell>
          <cell r="D489">
            <v>405.4</v>
          </cell>
        </row>
        <row r="490">
          <cell r="C490" t="str">
            <v>KOTA TPS1</v>
          </cell>
          <cell r="D490">
            <v>399.26</v>
          </cell>
        </row>
        <row r="491">
          <cell r="C491" t="str">
            <v>AKRIMOTA LIG TPS1</v>
          </cell>
          <cell r="D491">
            <v>395.95999999999901</v>
          </cell>
        </row>
        <row r="492">
          <cell r="C492" t="str">
            <v>KOTA TPS2</v>
          </cell>
          <cell r="D492">
            <v>393.13</v>
          </cell>
        </row>
        <row r="493">
          <cell r="C493" t="str">
            <v>KUTCH LIG. TPS3</v>
          </cell>
          <cell r="D493">
            <v>391.26</v>
          </cell>
        </row>
        <row r="494">
          <cell r="C494" t="str">
            <v>GH TPS (LEH.MOH.)3</v>
          </cell>
          <cell r="D494">
            <v>390.74999999999898</v>
          </cell>
        </row>
        <row r="495">
          <cell r="C495" t="str">
            <v>RATIJA TPS2</v>
          </cell>
          <cell r="D495">
            <v>390.66</v>
          </cell>
        </row>
        <row r="496">
          <cell r="C496" t="str">
            <v>KOTHAGUDEM TPS4</v>
          </cell>
          <cell r="D496">
            <v>381.14</v>
          </cell>
        </row>
        <row r="497">
          <cell r="C497" t="str">
            <v>AKRIMOTA LIG TPS2</v>
          </cell>
          <cell r="D497">
            <v>376.12</v>
          </cell>
        </row>
        <row r="498">
          <cell r="C498" t="str">
            <v>AMRAVATI TPS1</v>
          </cell>
          <cell r="D498">
            <v>375.55</v>
          </cell>
        </row>
        <row r="499">
          <cell r="C499" t="str">
            <v>NEYVELI NEW TPP1</v>
          </cell>
          <cell r="D499">
            <v>374.18</v>
          </cell>
        </row>
        <row r="500">
          <cell r="C500" t="str">
            <v>WANAKBORI TPS1</v>
          </cell>
          <cell r="D500">
            <v>360.51999999999902</v>
          </cell>
        </row>
        <row r="501">
          <cell r="C501" t="str">
            <v>ROPAR TPS4</v>
          </cell>
          <cell r="D501">
            <v>349.68</v>
          </cell>
        </row>
        <row r="502">
          <cell r="C502" t="str">
            <v>MUZAFFARPUR TPS2</v>
          </cell>
          <cell r="D502">
            <v>347.79</v>
          </cell>
        </row>
        <row r="503">
          <cell r="C503" t="str">
            <v>KOTHAGUDEM TPS2</v>
          </cell>
          <cell r="D503">
            <v>345.26999999999902</v>
          </cell>
        </row>
        <row r="504">
          <cell r="C504" t="str">
            <v>MUZAFFARPUR TPS1</v>
          </cell>
          <cell r="D504">
            <v>341.26</v>
          </cell>
        </row>
        <row r="505">
          <cell r="C505" t="str">
            <v>KOTHAGUDEM TPS1</v>
          </cell>
          <cell r="D505">
            <v>336.36</v>
          </cell>
        </row>
        <row r="506">
          <cell r="C506" t="str">
            <v>TORANGALLU TPS(SBU-II)4</v>
          </cell>
          <cell r="D506">
            <v>334.95</v>
          </cell>
        </row>
        <row r="507">
          <cell r="C507" t="str">
            <v>RATIJA TPS1</v>
          </cell>
          <cell r="D507">
            <v>327.31999999999903</v>
          </cell>
        </row>
        <row r="508">
          <cell r="C508" t="str">
            <v>KUTCH LIG. TPS4</v>
          </cell>
          <cell r="D508">
            <v>325.76999999999902</v>
          </cell>
        </row>
        <row r="509">
          <cell r="C509" t="str">
            <v>NEYVELI TPS- I5</v>
          </cell>
          <cell r="D509">
            <v>315.099999999999</v>
          </cell>
        </row>
        <row r="510">
          <cell r="C510" t="str">
            <v>GANDHI NAGAR TPS3</v>
          </cell>
          <cell r="D510">
            <v>310.92999999999898</v>
          </cell>
        </row>
        <row r="511">
          <cell r="C511" t="str">
            <v>NEYVELI TPS- I6</v>
          </cell>
          <cell r="D511">
            <v>304.57</v>
          </cell>
        </row>
        <row r="512">
          <cell r="C512" t="str">
            <v>ICCL IMP2</v>
          </cell>
          <cell r="D512">
            <v>304.56999999999903</v>
          </cell>
        </row>
        <row r="513">
          <cell r="C513" t="str">
            <v>ROPAR TPS6</v>
          </cell>
          <cell r="D513">
            <v>298.43999999999897</v>
          </cell>
        </row>
        <row r="514">
          <cell r="C514" t="str">
            <v>NEYVELI TPS- I4</v>
          </cell>
          <cell r="D514">
            <v>296.729999999999</v>
          </cell>
        </row>
        <row r="515">
          <cell r="C515" t="str">
            <v>NEYVELI TPS- I3</v>
          </cell>
          <cell r="D515">
            <v>293.10000000000002</v>
          </cell>
        </row>
        <row r="516">
          <cell r="C516" t="str">
            <v>NEYVELI TPS- I1</v>
          </cell>
          <cell r="D516">
            <v>282.409999999999</v>
          </cell>
        </row>
        <row r="517">
          <cell r="C517" t="str">
            <v>NEYVELI TPS- I2</v>
          </cell>
          <cell r="D517">
            <v>279.38</v>
          </cell>
        </row>
        <row r="518">
          <cell r="C518" t="str">
            <v>SVPL TPP1</v>
          </cell>
          <cell r="D518">
            <v>278.08999999999901</v>
          </cell>
        </row>
        <row r="519">
          <cell r="C519" t="str">
            <v>PARICHHA TPS2</v>
          </cell>
          <cell r="D519">
            <v>241.599999999999</v>
          </cell>
        </row>
        <row r="520">
          <cell r="C520" t="str">
            <v>CHAKABURA TPP2</v>
          </cell>
          <cell r="D520">
            <v>239.439999999999</v>
          </cell>
        </row>
        <row r="521">
          <cell r="C521" t="str">
            <v>ROPAR TPS3</v>
          </cell>
          <cell r="D521">
            <v>235.6</v>
          </cell>
        </row>
        <row r="522">
          <cell r="C522" t="str">
            <v>NIWARI TPP1</v>
          </cell>
          <cell r="D522">
            <v>224.599999999999</v>
          </cell>
        </row>
        <row r="523">
          <cell r="C523" t="str">
            <v>PARICHHA TPS5</v>
          </cell>
          <cell r="D523">
            <v>210.74</v>
          </cell>
        </row>
        <row r="524">
          <cell r="C524" t="str">
            <v>UCHPINDA TPP1</v>
          </cell>
          <cell r="D524">
            <v>207.73</v>
          </cell>
        </row>
        <row r="525">
          <cell r="C525" t="str">
            <v>BHAVNAGAR TPP1</v>
          </cell>
          <cell r="D525">
            <v>206.18</v>
          </cell>
        </row>
        <row r="526">
          <cell r="C526" t="str">
            <v>GH TPS (LEH.MOH.)1</v>
          </cell>
          <cell r="D526">
            <v>205.24999999999901</v>
          </cell>
        </row>
        <row r="527">
          <cell r="C527" t="str">
            <v>SOUTHERN REPL. TPS2</v>
          </cell>
          <cell r="D527">
            <v>200.26</v>
          </cell>
        </row>
        <row r="528">
          <cell r="C528" t="str">
            <v>GH TPS (LEH.MOH.)2</v>
          </cell>
          <cell r="D528">
            <v>199.27999999999901</v>
          </cell>
        </row>
        <row r="529">
          <cell r="C529" t="str">
            <v>BANDEL TPS1</v>
          </cell>
          <cell r="D529">
            <v>195.91</v>
          </cell>
        </row>
        <row r="530">
          <cell r="C530" t="str">
            <v>NALCO IMP1</v>
          </cell>
          <cell r="D530">
            <v>179.74</v>
          </cell>
        </row>
        <row r="531">
          <cell r="C531" t="str">
            <v>HARDUAGANJ TPS7</v>
          </cell>
          <cell r="D531">
            <v>173.93</v>
          </cell>
        </row>
        <row r="532">
          <cell r="C532" t="str">
            <v>SOLAPUR STPS2</v>
          </cell>
          <cell r="D532">
            <v>173.47</v>
          </cell>
        </row>
        <row r="533">
          <cell r="C533" t="str">
            <v>ROPAR TPS5</v>
          </cell>
          <cell r="D533">
            <v>171.24</v>
          </cell>
        </row>
        <row r="534">
          <cell r="C534" t="str">
            <v>GH TPS (LEH.MOH.)4</v>
          </cell>
          <cell r="D534">
            <v>170.16</v>
          </cell>
        </row>
        <row r="535">
          <cell r="C535" t="str">
            <v>OP JINDAL TPS21</v>
          </cell>
          <cell r="D535">
            <v>168.3</v>
          </cell>
        </row>
        <row r="536">
          <cell r="C536" t="str">
            <v>WANAKBORI TPS8</v>
          </cell>
          <cell r="D536">
            <v>163.35999999999899</v>
          </cell>
        </row>
        <row r="537">
          <cell r="C537" t="str">
            <v>BOKARO B TPS3</v>
          </cell>
          <cell r="D537">
            <v>157.879999999999</v>
          </cell>
        </row>
        <row r="538">
          <cell r="C538" t="str">
            <v>SOUTHERN REPL. TPS1</v>
          </cell>
          <cell r="D538">
            <v>153.35999999999899</v>
          </cell>
        </row>
        <row r="539">
          <cell r="C539" t="str">
            <v>KORADI TPS7</v>
          </cell>
          <cell r="D539">
            <v>128.18</v>
          </cell>
        </row>
        <row r="540">
          <cell r="C540" t="str">
            <v>AVANTHA BHANDAR1</v>
          </cell>
          <cell r="D540">
            <v>126.819999999999</v>
          </cell>
        </row>
        <row r="541">
          <cell r="C541" t="str">
            <v>BANDEL TPS2</v>
          </cell>
          <cell r="D541">
            <v>123.75</v>
          </cell>
        </row>
        <row r="542">
          <cell r="C542" t="str">
            <v>KUTCH LIG. TPS2</v>
          </cell>
          <cell r="D542">
            <v>112.6</v>
          </cell>
        </row>
        <row r="543">
          <cell r="C543" t="str">
            <v>KUTCH LIG. TPS1</v>
          </cell>
          <cell r="D543">
            <v>88.61</v>
          </cell>
        </row>
        <row r="544">
          <cell r="C544" t="str">
            <v>BARAUNI TPS7</v>
          </cell>
          <cell r="D544">
            <v>88.39</v>
          </cell>
        </row>
        <row r="545">
          <cell r="C545" t="str">
            <v>YERMARUS TPS1</v>
          </cell>
          <cell r="D545">
            <v>77.2</v>
          </cell>
        </row>
        <row r="546">
          <cell r="C546" t="str">
            <v>UTRAULA TPS1</v>
          </cell>
          <cell r="D546">
            <v>73.680000000000007</v>
          </cell>
        </row>
        <row r="547">
          <cell r="C547" t="str">
            <v>KUNDARKI TPS1</v>
          </cell>
          <cell r="D547">
            <v>68.939999999999898</v>
          </cell>
        </row>
        <row r="548">
          <cell r="C548" t="str">
            <v>MAQSOODPUR TPS1</v>
          </cell>
          <cell r="D548">
            <v>58.89</v>
          </cell>
        </row>
        <row r="549">
          <cell r="C549" t="str">
            <v>BARAUNI TPS8</v>
          </cell>
          <cell r="D549">
            <v>56.2899999999999</v>
          </cell>
        </row>
        <row r="550">
          <cell r="C550" t="str">
            <v>KUNDARKI TPS2</v>
          </cell>
          <cell r="D550">
            <v>56.2</v>
          </cell>
        </row>
        <row r="551">
          <cell r="C551" t="str">
            <v>BHUSAWAL TPS3</v>
          </cell>
          <cell r="D551">
            <v>52.53</v>
          </cell>
        </row>
        <row r="552">
          <cell r="C552" t="str">
            <v>BARKHERA TPS1</v>
          </cell>
          <cell r="D552">
            <v>52.09</v>
          </cell>
        </row>
        <row r="553">
          <cell r="C553" t="str">
            <v>WARDHA WARORA TPP2</v>
          </cell>
          <cell r="D553">
            <v>51.819999999999901</v>
          </cell>
        </row>
        <row r="554">
          <cell r="C554" t="str">
            <v>UTRAULA TPS2</v>
          </cell>
          <cell r="D554">
            <v>46.969999999999899</v>
          </cell>
        </row>
        <row r="555">
          <cell r="C555" t="str">
            <v>KHAMBARKHERA TPS1</v>
          </cell>
          <cell r="D555">
            <v>45.169999999999902</v>
          </cell>
        </row>
        <row r="556">
          <cell r="C556" t="str">
            <v>OP JINDAL TPS1</v>
          </cell>
          <cell r="D556">
            <v>43.45</v>
          </cell>
        </row>
        <row r="557">
          <cell r="C557" t="str">
            <v>MAQSOODPUR TPS2</v>
          </cell>
          <cell r="D557">
            <v>43.069999999999901</v>
          </cell>
        </row>
        <row r="558">
          <cell r="C558" t="str">
            <v>KOLAGHAT TPS3</v>
          </cell>
          <cell r="D558">
            <v>42.74</v>
          </cell>
        </row>
        <row r="559">
          <cell r="C559" t="str">
            <v>WARDHA WARORA TPP3</v>
          </cell>
          <cell r="D559">
            <v>42.709999999999901</v>
          </cell>
        </row>
        <row r="560">
          <cell r="C560" t="str">
            <v>BARKHERA TPS2</v>
          </cell>
          <cell r="D560">
            <v>39.11</v>
          </cell>
        </row>
        <row r="561">
          <cell r="C561" t="str">
            <v>KHAMBARKHERA TPS2</v>
          </cell>
          <cell r="D561">
            <v>35.229999999999897</v>
          </cell>
        </row>
        <row r="562">
          <cell r="C562" t="str">
            <v>OP JINDAL TPS2</v>
          </cell>
          <cell r="D562">
            <v>32.89</v>
          </cell>
        </row>
        <row r="563">
          <cell r="C563" t="str">
            <v>OBRA TPS12</v>
          </cell>
          <cell r="D563">
            <v>28.07</v>
          </cell>
        </row>
        <row r="564">
          <cell r="C564" t="str">
            <v>TORANGALLU TPS(SBU-I)2</v>
          </cell>
          <cell r="D564">
            <v>19.709999999999901</v>
          </cell>
        </row>
        <row r="565">
          <cell r="C565" t="str">
            <v>DARLIPALI STPS1</v>
          </cell>
          <cell r="D565">
            <v>10.46</v>
          </cell>
        </row>
        <row r="566">
          <cell r="C566" t="str">
            <v>BARAUNI TPS6</v>
          </cell>
          <cell r="D566">
            <v>10.2899999999999</v>
          </cell>
        </row>
        <row r="567">
          <cell r="C567" t="str">
            <v>NIWARI TPP2</v>
          </cell>
          <cell r="D567">
            <v>1.81</v>
          </cell>
        </row>
        <row r="568">
          <cell r="C568" t="str">
            <v>LARA TPP2</v>
          </cell>
          <cell r="D568">
            <v>0</v>
          </cell>
        </row>
        <row r="569">
          <cell r="C569" t="str">
            <v>NABI NAGAR TPP4</v>
          </cell>
          <cell r="D569">
            <v>0</v>
          </cell>
        </row>
        <row r="570">
          <cell r="C570" t="str">
            <v>MIHAN TPS2</v>
          </cell>
          <cell r="D570">
            <v>0</v>
          </cell>
        </row>
        <row r="571">
          <cell r="C571" t="str">
            <v>SIMHAPURI TPS1</v>
          </cell>
          <cell r="D571">
            <v>0</v>
          </cell>
        </row>
        <row r="572">
          <cell r="C572" t="str">
            <v>GND TPS(BHATINDA)2</v>
          </cell>
          <cell r="D572">
            <v>0</v>
          </cell>
        </row>
        <row r="573">
          <cell r="C573" t="str">
            <v>HIRANMAYE TPP2</v>
          </cell>
          <cell r="D573">
            <v>0</v>
          </cell>
        </row>
        <row r="574">
          <cell r="C574" t="str">
            <v>TITAGARH TPS4</v>
          </cell>
          <cell r="D574">
            <v>0</v>
          </cell>
        </row>
        <row r="575">
          <cell r="C575" t="str">
            <v>BADARPUR TPS1</v>
          </cell>
          <cell r="D575">
            <v>0</v>
          </cell>
        </row>
        <row r="576">
          <cell r="C576" t="str">
            <v>SWASTIK KORBA TPP1</v>
          </cell>
          <cell r="D576">
            <v>0</v>
          </cell>
        </row>
        <row r="577">
          <cell r="C577" t="str">
            <v>BHADRADRI TPP4</v>
          </cell>
          <cell r="D577">
            <v>0</v>
          </cell>
        </row>
        <row r="578">
          <cell r="C578" t="str">
            <v>BADARPUR TPS4</v>
          </cell>
          <cell r="D578">
            <v>0</v>
          </cell>
        </row>
        <row r="579">
          <cell r="C579" t="str">
            <v>SURATGARH TPS7</v>
          </cell>
          <cell r="D579">
            <v>0</v>
          </cell>
        </row>
        <row r="580">
          <cell r="C580" t="str">
            <v>SIMHAPURI TPS4</v>
          </cell>
          <cell r="D580">
            <v>0</v>
          </cell>
        </row>
        <row r="581">
          <cell r="C581" t="str">
            <v>KORBA-II2</v>
          </cell>
          <cell r="D581">
            <v>0</v>
          </cell>
        </row>
        <row r="582">
          <cell r="C582" t="str">
            <v>TITAGARH TPS2</v>
          </cell>
          <cell r="D582">
            <v>0</v>
          </cell>
        </row>
        <row r="583">
          <cell r="C583" t="str">
            <v>GEPL TPP PH-I1</v>
          </cell>
          <cell r="D583">
            <v>0</v>
          </cell>
        </row>
        <row r="584">
          <cell r="C584" t="str">
            <v>GND TPS(BHATINDA)1</v>
          </cell>
          <cell r="D584">
            <v>0</v>
          </cell>
        </row>
        <row r="585">
          <cell r="C585" t="str">
            <v>NABINAGAR STPP3</v>
          </cell>
          <cell r="D585">
            <v>0</v>
          </cell>
        </row>
        <row r="586">
          <cell r="C586" t="str">
            <v>THAMMINAPATNAM TPS3</v>
          </cell>
          <cell r="D586">
            <v>0</v>
          </cell>
        </row>
        <row r="587">
          <cell r="C587" t="str">
            <v>GND TPS(BHATINDA)4</v>
          </cell>
          <cell r="D587">
            <v>0</v>
          </cell>
        </row>
        <row r="588">
          <cell r="C588" t="str">
            <v>BADARPUR TPS2</v>
          </cell>
          <cell r="D588">
            <v>0</v>
          </cell>
        </row>
        <row r="589">
          <cell r="C589" t="str">
            <v>GADARWARA TPP2</v>
          </cell>
          <cell r="D589">
            <v>0</v>
          </cell>
        </row>
        <row r="590">
          <cell r="C590" t="str">
            <v>SABARMATI (C-STATION) TPP15</v>
          </cell>
          <cell r="D590">
            <v>0</v>
          </cell>
        </row>
        <row r="591">
          <cell r="C591" t="str">
            <v>NABINAGAR STPP2</v>
          </cell>
          <cell r="D591">
            <v>0</v>
          </cell>
        </row>
        <row r="592">
          <cell r="C592" t="str">
            <v>MIHAN TPS4</v>
          </cell>
          <cell r="D592">
            <v>0</v>
          </cell>
        </row>
        <row r="593">
          <cell r="C593" t="str">
            <v>THAMMINAPATNAM TPS4</v>
          </cell>
          <cell r="D593">
            <v>0</v>
          </cell>
        </row>
        <row r="594">
          <cell r="C594" t="str">
            <v>BUTIBORI TPP2</v>
          </cell>
          <cell r="D594">
            <v>0</v>
          </cell>
        </row>
        <row r="595">
          <cell r="C595" t="str">
            <v>OBRA TPS13</v>
          </cell>
          <cell r="D595">
            <v>0</v>
          </cell>
        </row>
        <row r="596">
          <cell r="C596" t="str">
            <v>STERLITE TPP1</v>
          </cell>
          <cell r="D596">
            <v>0</v>
          </cell>
        </row>
        <row r="597">
          <cell r="C597" t="str">
            <v>BADARPUR TPS3</v>
          </cell>
          <cell r="D597">
            <v>0</v>
          </cell>
        </row>
        <row r="598">
          <cell r="C598" t="str">
            <v>AKALTARA TPS1</v>
          </cell>
          <cell r="D598">
            <v>0</v>
          </cell>
        </row>
        <row r="599">
          <cell r="C599" t="str">
            <v>PANIPAT TPS5</v>
          </cell>
          <cell r="D599">
            <v>0</v>
          </cell>
        </row>
        <row r="600">
          <cell r="C600" t="str">
            <v>THAMMINAPATNAM TPS2</v>
          </cell>
          <cell r="D600">
            <v>0</v>
          </cell>
        </row>
        <row r="601">
          <cell r="C601" t="str">
            <v>CHAKABURA TPP1</v>
          </cell>
          <cell r="D601">
            <v>0</v>
          </cell>
        </row>
        <row r="602">
          <cell r="C602" t="str">
            <v>KOLAGHAT TPS1</v>
          </cell>
          <cell r="D602">
            <v>0</v>
          </cell>
        </row>
        <row r="603">
          <cell r="C603" t="str">
            <v>LANCO BABANDH TPP1</v>
          </cell>
          <cell r="D603">
            <v>0</v>
          </cell>
        </row>
        <row r="604">
          <cell r="C604" t="str">
            <v>KORBA-II1</v>
          </cell>
          <cell r="D604">
            <v>0</v>
          </cell>
        </row>
        <row r="605">
          <cell r="C605" t="str">
            <v>KOTHAGUDEM TPS8</v>
          </cell>
          <cell r="D605">
            <v>0</v>
          </cell>
        </row>
        <row r="606">
          <cell r="C606" t="str">
            <v>HIRANMAYE TPP3</v>
          </cell>
          <cell r="D606">
            <v>0</v>
          </cell>
        </row>
        <row r="607">
          <cell r="C607" t="str">
            <v>BELA TPS1</v>
          </cell>
          <cell r="D607">
            <v>0</v>
          </cell>
        </row>
        <row r="608">
          <cell r="C608" t="str">
            <v>SHIRPUR TPP1</v>
          </cell>
          <cell r="D608">
            <v>0</v>
          </cell>
        </row>
        <row r="609">
          <cell r="C609" t="str">
            <v>SHIRPUR TPP2</v>
          </cell>
          <cell r="D609">
            <v>0</v>
          </cell>
        </row>
        <row r="610">
          <cell r="C610" t="str">
            <v>WARDHA WARORA TPP1</v>
          </cell>
          <cell r="D610">
            <v>0</v>
          </cell>
        </row>
        <row r="611">
          <cell r="C611" t="str">
            <v>NEYVELI NEW TPP2</v>
          </cell>
          <cell r="D611">
            <v>0</v>
          </cell>
        </row>
        <row r="612">
          <cell r="C612" t="str">
            <v>KORBA-II4</v>
          </cell>
          <cell r="D612">
            <v>0</v>
          </cell>
        </row>
        <row r="613">
          <cell r="C613" t="str">
            <v>SINGHITARAI TPP1</v>
          </cell>
          <cell r="D613">
            <v>0</v>
          </cell>
        </row>
        <row r="614">
          <cell r="C614" t="str">
            <v>NEYVELI TPS- I7</v>
          </cell>
          <cell r="D614">
            <v>0</v>
          </cell>
        </row>
        <row r="615">
          <cell r="C615" t="str">
            <v>PARLI TPS5</v>
          </cell>
          <cell r="D615">
            <v>0</v>
          </cell>
        </row>
        <row r="616">
          <cell r="C616" t="str">
            <v>THAMMINAPATNAM TPS1</v>
          </cell>
          <cell r="D616">
            <v>0</v>
          </cell>
        </row>
        <row r="617">
          <cell r="C617" t="str">
            <v>NORTH CHENNAI TPS6</v>
          </cell>
          <cell r="D617">
            <v>0</v>
          </cell>
        </row>
        <row r="618">
          <cell r="C618" t="str">
            <v>NASIK (P) TPS5</v>
          </cell>
          <cell r="D618">
            <v>0</v>
          </cell>
        </row>
        <row r="619">
          <cell r="C619" t="str">
            <v>GIRAL TPS1</v>
          </cell>
          <cell r="D619">
            <v>0</v>
          </cell>
        </row>
        <row r="620">
          <cell r="C620" t="str">
            <v>SALORA TPP2</v>
          </cell>
          <cell r="D620">
            <v>0</v>
          </cell>
        </row>
        <row r="621">
          <cell r="C621" t="str">
            <v>RAJGHAT TPS1</v>
          </cell>
          <cell r="D621">
            <v>0</v>
          </cell>
        </row>
        <row r="622">
          <cell r="C622" t="str">
            <v>INDBHARATH TUTICORIN TPP2</v>
          </cell>
          <cell r="D622">
            <v>0</v>
          </cell>
        </row>
        <row r="623">
          <cell r="C623" t="str">
            <v>BHADRADRI TPP1</v>
          </cell>
          <cell r="D623">
            <v>0</v>
          </cell>
        </row>
        <row r="624">
          <cell r="C624" t="str">
            <v>TITAGARH TPS1</v>
          </cell>
          <cell r="D624">
            <v>0</v>
          </cell>
        </row>
        <row r="625">
          <cell r="C625" t="str">
            <v>DARLIPALI STPS2</v>
          </cell>
          <cell r="D625">
            <v>0</v>
          </cell>
        </row>
        <row r="626">
          <cell r="C626" t="str">
            <v>CHANDRAPURA(DVC)3</v>
          </cell>
          <cell r="D626">
            <v>0</v>
          </cell>
        </row>
        <row r="627">
          <cell r="C627" t="str">
            <v>GEPL TPP PH-I2</v>
          </cell>
          <cell r="D627">
            <v>0</v>
          </cell>
        </row>
        <row r="628">
          <cell r="C628" t="str">
            <v>TITAGARH TPS3</v>
          </cell>
          <cell r="D628">
            <v>0</v>
          </cell>
        </row>
        <row r="629">
          <cell r="C629" t="str">
            <v>INDBHARATH TUTICORIN TPP1</v>
          </cell>
          <cell r="D629">
            <v>0</v>
          </cell>
        </row>
        <row r="630">
          <cell r="C630" t="str">
            <v>PANIPAT TPS6</v>
          </cell>
          <cell r="D630">
            <v>0</v>
          </cell>
        </row>
        <row r="631">
          <cell r="C631" t="str">
            <v>BUTIBORI TPP1</v>
          </cell>
          <cell r="D631">
            <v>0</v>
          </cell>
        </row>
        <row r="632">
          <cell r="C632" t="str">
            <v>MIHAN TPS3</v>
          </cell>
          <cell r="D632">
            <v>0</v>
          </cell>
        </row>
        <row r="633">
          <cell r="C633" t="str">
            <v>DR. N TATA RAO TPS8</v>
          </cell>
          <cell r="D633">
            <v>0</v>
          </cell>
        </row>
        <row r="634">
          <cell r="C634" t="str">
            <v>UCHPINDA TPP4</v>
          </cell>
          <cell r="D634">
            <v>0</v>
          </cell>
        </row>
        <row r="635">
          <cell r="C635" t="str">
            <v>NASIK (P) TPS1</v>
          </cell>
          <cell r="D635">
            <v>0</v>
          </cell>
        </row>
        <row r="636">
          <cell r="C636" t="str">
            <v>BARH I1</v>
          </cell>
          <cell r="D636">
            <v>0</v>
          </cell>
        </row>
        <row r="637">
          <cell r="C637" t="str">
            <v>OBRA TPS8</v>
          </cell>
          <cell r="D637">
            <v>0</v>
          </cell>
        </row>
        <row r="638">
          <cell r="C638" t="str">
            <v>SABARMATI (C-STATION) TPP16</v>
          </cell>
          <cell r="D638">
            <v>0</v>
          </cell>
        </row>
        <row r="639">
          <cell r="C639" t="str">
            <v>BARAUNI TPS9</v>
          </cell>
          <cell r="D639">
            <v>0</v>
          </cell>
        </row>
        <row r="640">
          <cell r="C640" t="str">
            <v>YERMARUS TPS2</v>
          </cell>
          <cell r="D640">
            <v>0</v>
          </cell>
        </row>
        <row r="641">
          <cell r="C641" t="str">
            <v>TANDA STPS6</v>
          </cell>
          <cell r="D641">
            <v>0</v>
          </cell>
        </row>
        <row r="642">
          <cell r="C642" t="str">
            <v>RAJGHAT TPS2</v>
          </cell>
          <cell r="D642">
            <v>0</v>
          </cell>
        </row>
        <row r="643">
          <cell r="C643" t="str">
            <v>PARICHHA TPS1</v>
          </cell>
          <cell r="D643">
            <v>0</v>
          </cell>
        </row>
        <row r="644">
          <cell r="C644" t="str">
            <v>SINGHITARAI TPP2</v>
          </cell>
          <cell r="D644">
            <v>0</v>
          </cell>
        </row>
        <row r="645">
          <cell r="C645" t="str">
            <v>BADARPUR TPS5</v>
          </cell>
          <cell r="D645">
            <v>0</v>
          </cell>
        </row>
        <row r="646">
          <cell r="C646" t="str">
            <v>ROPAR TPS1</v>
          </cell>
          <cell r="D646">
            <v>0</v>
          </cell>
        </row>
        <row r="647">
          <cell r="C647" t="str">
            <v>LANCO VIDARBHA TPP1</v>
          </cell>
          <cell r="D647">
            <v>0</v>
          </cell>
        </row>
        <row r="648">
          <cell r="C648" t="str">
            <v>DAMODARAN SANJEEVAIAH TPS3</v>
          </cell>
          <cell r="D648">
            <v>0</v>
          </cell>
        </row>
        <row r="649">
          <cell r="C649" t="str">
            <v>OBRA TPS7</v>
          </cell>
          <cell r="D649">
            <v>0</v>
          </cell>
        </row>
        <row r="650">
          <cell r="C650" t="str">
            <v>BHADRADRI TPP2</v>
          </cell>
          <cell r="D650">
            <v>0</v>
          </cell>
        </row>
        <row r="651">
          <cell r="C651" t="str">
            <v>BANDEL TPS4</v>
          </cell>
          <cell r="D651">
            <v>0</v>
          </cell>
        </row>
        <row r="652">
          <cell r="C652" t="str">
            <v>KHARGONE STPP2</v>
          </cell>
          <cell r="D652">
            <v>0</v>
          </cell>
        </row>
        <row r="653">
          <cell r="C653" t="str">
            <v>KOTHAGUDEM TPS6</v>
          </cell>
          <cell r="D653">
            <v>0</v>
          </cell>
        </row>
        <row r="654">
          <cell r="C654" t="str">
            <v>NASIK (P) TPS2</v>
          </cell>
          <cell r="D654">
            <v>0</v>
          </cell>
        </row>
        <row r="655">
          <cell r="C655" t="str">
            <v>NASIK (P) TPS3</v>
          </cell>
          <cell r="D655">
            <v>0</v>
          </cell>
        </row>
        <row r="656">
          <cell r="C656" t="str">
            <v>GND TPS(BHATINDA)3</v>
          </cell>
          <cell r="D656">
            <v>0</v>
          </cell>
        </row>
        <row r="657">
          <cell r="C657" t="str">
            <v>BHADRADRI TPP3</v>
          </cell>
          <cell r="D657">
            <v>0</v>
          </cell>
        </row>
        <row r="658">
          <cell r="C658" t="str">
            <v>HIRANMAYE TPP1</v>
          </cell>
          <cell r="D658">
            <v>0</v>
          </cell>
        </row>
        <row r="659">
          <cell r="C659" t="str">
            <v>TROMBAY TPS6</v>
          </cell>
          <cell r="D659">
            <v>0</v>
          </cell>
        </row>
        <row r="660">
          <cell r="C660" t="str">
            <v>UTKAL TPP (IND BARATH)1</v>
          </cell>
          <cell r="D660">
            <v>0</v>
          </cell>
        </row>
        <row r="661">
          <cell r="C661" t="str">
            <v>SURATGARH TPS8</v>
          </cell>
          <cell r="D661">
            <v>0</v>
          </cell>
        </row>
        <row r="662">
          <cell r="C662" t="str">
            <v>KORBA-II3</v>
          </cell>
          <cell r="D662">
            <v>0</v>
          </cell>
        </row>
        <row r="663">
          <cell r="C663" t="str">
            <v>SIMHAPURI TPS3</v>
          </cell>
          <cell r="D663">
            <v>0</v>
          </cell>
        </row>
        <row r="664">
          <cell r="C664" t="str">
            <v>MEJA STPP2</v>
          </cell>
          <cell r="D664">
            <v>0</v>
          </cell>
        </row>
        <row r="665">
          <cell r="C665" t="str">
            <v>KOTHAGUDEM TPS3</v>
          </cell>
          <cell r="D665">
            <v>0</v>
          </cell>
        </row>
        <row r="666">
          <cell r="C666" t="str">
            <v>MAITRISHI USHA TPS1</v>
          </cell>
          <cell r="D666">
            <v>0</v>
          </cell>
        </row>
        <row r="667">
          <cell r="C667" t="str">
            <v>WARDHA WARORA TPP4</v>
          </cell>
          <cell r="D667">
            <v>0</v>
          </cell>
        </row>
        <row r="668">
          <cell r="C668" t="str">
            <v>PARLI TPS4</v>
          </cell>
          <cell r="D668">
            <v>0</v>
          </cell>
        </row>
        <row r="669">
          <cell r="C669" t="str">
            <v>NASIK (P) TPS4</v>
          </cell>
          <cell r="D669">
            <v>0</v>
          </cell>
        </row>
        <row r="670">
          <cell r="C670" t="str">
            <v>BANDEL TPS3</v>
          </cell>
          <cell r="D670">
            <v>0</v>
          </cell>
        </row>
        <row r="671">
          <cell r="C671" t="str">
            <v>SIMHAPURI TPS2</v>
          </cell>
          <cell r="D671">
            <v>0</v>
          </cell>
        </row>
        <row r="672">
          <cell r="C672" t="str">
            <v>MAITRISHI USHA TPS2</v>
          </cell>
          <cell r="D672">
            <v>0</v>
          </cell>
        </row>
        <row r="673">
          <cell r="C673" t="str">
            <v>D.P.L. TPS6</v>
          </cell>
          <cell r="D673">
            <v>0</v>
          </cell>
        </row>
        <row r="674">
          <cell r="C674" t="str">
            <v>PATHADI STAGE II1</v>
          </cell>
          <cell r="D674">
            <v>0</v>
          </cell>
        </row>
        <row r="675">
          <cell r="C675" t="str">
            <v>KATGHORA TPP1</v>
          </cell>
          <cell r="D675">
            <v>0</v>
          </cell>
        </row>
        <row r="676">
          <cell r="C676" t="str">
            <v>MIHAN TPS1</v>
          </cell>
          <cell r="D676">
            <v>0</v>
          </cell>
        </row>
        <row r="677">
          <cell r="C677" t="str">
            <v>SALORA TPP1</v>
          </cell>
          <cell r="D677">
            <v>0</v>
          </cell>
        </row>
        <row r="678">
          <cell r="C678" t="str">
            <v>GIRAL TPS2</v>
          </cell>
          <cell r="D678">
            <v>0</v>
          </cell>
        </row>
        <row r="679">
          <cell r="C679" t="str">
            <v>UTKAL TPP (IND BARATH)2</v>
          </cell>
          <cell r="D679">
            <v>0</v>
          </cell>
        </row>
        <row r="680">
          <cell r="C680" t="str">
            <v>ROPAR TPS2</v>
          </cell>
          <cell r="D680">
            <v>0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al savings based on coal req."/>
      <sheetName val="Calculated coal req (reg.)"/>
      <sheetName val="Capacity reallocation"/>
      <sheetName val="VC reg"/>
      <sheetName val="Sheet1"/>
      <sheetName val="SHR regression"/>
      <sheetName val="State allocation"/>
      <sheetName val="Allocation summary"/>
    </sheetNames>
    <sheetDataSet>
      <sheetData sheetId="0"/>
      <sheetData sheetId="1">
        <row r="2">
          <cell r="A2" t="str">
            <v>DARLIPALI STPS1</v>
          </cell>
          <cell r="B2" t="str">
            <v>DARLIPALI STPS</v>
          </cell>
        </row>
        <row r="3">
          <cell r="A3" t="str">
            <v>WANAKBORI TPS8</v>
          </cell>
          <cell r="B3" t="str">
            <v>WANAKBORI TPS UNIT 8</v>
          </cell>
        </row>
        <row r="4">
          <cell r="A4" t="str">
            <v>GADARWARA TPP1</v>
          </cell>
          <cell r="B4" t="str">
            <v>GADARWARA TPP</v>
          </cell>
        </row>
        <row r="5">
          <cell r="A5" t="str">
            <v>KOTHAGUDEM STAGE-7 TPS12</v>
          </cell>
          <cell r="B5" t="str">
            <v>KOTHAGUDEM STAGE-7 TPS UNIT 12</v>
          </cell>
        </row>
        <row r="6">
          <cell r="A6" t="str">
            <v>LARA TPP1</v>
          </cell>
          <cell r="B6" t="str">
            <v>LARA TPP UNIT 1</v>
          </cell>
        </row>
        <row r="7">
          <cell r="A7" t="str">
            <v>KUDGI STPP3</v>
          </cell>
          <cell r="B7" t="str">
            <v>KUDGI STPP</v>
          </cell>
        </row>
        <row r="8">
          <cell r="A8" t="str">
            <v>YERMARUS TPS2</v>
          </cell>
          <cell r="B8" t="str">
            <v>YERMARUS TPS</v>
          </cell>
        </row>
        <row r="9">
          <cell r="A9" t="str">
            <v>KUDGI STPP2</v>
          </cell>
          <cell r="B9" t="str">
            <v>KUDGI STPP</v>
          </cell>
        </row>
        <row r="10">
          <cell r="A10" t="str">
            <v>KUDGI STPP1</v>
          </cell>
          <cell r="B10" t="str">
            <v>KUDGI STPP</v>
          </cell>
        </row>
        <row r="11">
          <cell r="A11" t="str">
            <v>YERMARUS TPS1</v>
          </cell>
          <cell r="B11" t="str">
            <v>YERMARUS TPS</v>
          </cell>
        </row>
        <row r="12">
          <cell r="A12" t="str">
            <v>DAMODARAN SANJEEVAIAH TPS2</v>
          </cell>
          <cell r="B12" t="str">
            <v>DAMODARAN SANJEEVAIAH TPS</v>
          </cell>
        </row>
        <row r="13">
          <cell r="A13" t="str">
            <v>DAMODARAN SANJEEVAIAH TPS1</v>
          </cell>
          <cell r="B13" t="str">
            <v>DAMODARAN SANJEEVAIAH TPS</v>
          </cell>
        </row>
        <row r="14">
          <cell r="A14" t="str">
            <v>TANDA STPS5</v>
          </cell>
          <cell r="B14" t="str">
            <v>TANDA STPS UNIT 5-6</v>
          </cell>
        </row>
        <row r="15">
          <cell r="A15" t="str">
            <v>KHARGONE STPP1</v>
          </cell>
          <cell r="B15" t="str">
            <v>KHARGONE STPP UNIT 1</v>
          </cell>
        </row>
        <row r="16">
          <cell r="A16" t="str">
            <v>IB VALLEY TPS4</v>
          </cell>
          <cell r="B16" t="str">
            <v>IB VALLEY TPS UNIT 3-4</v>
          </cell>
        </row>
        <row r="17">
          <cell r="A17" t="str">
            <v>NABINAGAR STPP1</v>
          </cell>
          <cell r="B17" t="str">
            <v>NABINAGAR STPP</v>
          </cell>
        </row>
        <row r="18">
          <cell r="A18" t="str">
            <v>IB VALLEY TPS3</v>
          </cell>
          <cell r="B18" t="str">
            <v>IB VALLEY TPS UNIT 3-4</v>
          </cell>
        </row>
        <row r="19">
          <cell r="A19" t="str">
            <v>MUNDRA UMTPP5</v>
          </cell>
          <cell r="B19" t="str">
            <v>MUNDRA UMTPP</v>
          </cell>
        </row>
        <row r="20">
          <cell r="A20" t="str">
            <v>CHHABRA TPS6</v>
          </cell>
          <cell r="B20" t="str">
            <v>CHHABRA TPS UNIT 6</v>
          </cell>
        </row>
        <row r="21">
          <cell r="A21" t="str">
            <v>SHREE SINGAJI TPP4</v>
          </cell>
          <cell r="B21" t="str">
            <v>SHREE SINGAJI TPP UNIT 3-4</v>
          </cell>
        </row>
        <row r="22">
          <cell r="A22" t="str">
            <v>SOLAPUR STPS2</v>
          </cell>
          <cell r="B22" t="str">
            <v>SOLAPUR STPS</v>
          </cell>
        </row>
        <row r="23">
          <cell r="A23" t="str">
            <v>MUNDRA UMTPP4</v>
          </cell>
          <cell r="B23" t="str">
            <v>MUNDRA UMTPP</v>
          </cell>
        </row>
        <row r="24">
          <cell r="A24" t="str">
            <v>MUNDRA UMTPP3</v>
          </cell>
          <cell r="B24" t="str">
            <v>MUNDRA UMTPP</v>
          </cell>
        </row>
        <row r="25">
          <cell r="A25" t="str">
            <v>SHREE SINGAJI TPP3</v>
          </cell>
          <cell r="B25" t="str">
            <v>SHREE SINGAJI TPP UNIT 3-4</v>
          </cell>
        </row>
        <row r="26">
          <cell r="A26" t="str">
            <v>MUNDRA UMTPP2</v>
          </cell>
          <cell r="B26" t="str">
            <v>MUNDRA UMTPP</v>
          </cell>
        </row>
        <row r="27">
          <cell r="A27" t="str">
            <v>MUNDRA UMTPP1</v>
          </cell>
          <cell r="B27" t="str">
            <v>MUNDRA UMTPP</v>
          </cell>
        </row>
        <row r="28">
          <cell r="A28" t="str">
            <v>MEJA STPP1</v>
          </cell>
          <cell r="B28" t="str">
            <v>MEJA STPP</v>
          </cell>
        </row>
        <row r="29">
          <cell r="A29" t="str">
            <v>BELLARY TPS3</v>
          </cell>
          <cell r="B29" t="str">
            <v>BELLARY TPS UNIT 3</v>
          </cell>
        </row>
        <row r="30">
          <cell r="A30" t="str">
            <v>BARA TPP3</v>
          </cell>
          <cell r="B30" t="str">
            <v>BARA TPP</v>
          </cell>
        </row>
        <row r="31">
          <cell r="A31" t="str">
            <v>RAIKHEDA TPP2</v>
          </cell>
        </row>
        <row r="32">
          <cell r="A32" t="str">
            <v>CHHABRA TPS5</v>
          </cell>
          <cell r="B32" t="str">
            <v>CHHABRA TPS UNIT 5</v>
          </cell>
        </row>
        <row r="33">
          <cell r="A33" t="str">
            <v>SOLAPUR STPS1</v>
          </cell>
          <cell r="B33" t="str">
            <v>SOLAPUR STPS</v>
          </cell>
        </row>
        <row r="34">
          <cell r="A34" t="str">
            <v>SEMBCORP GAYATRI P. LTD2</v>
          </cell>
        </row>
        <row r="35">
          <cell r="A35" t="str">
            <v>MAUDA TPS4</v>
          </cell>
          <cell r="B35" t="str">
            <v>MAUDA TPS UNIT 3-4</v>
          </cell>
        </row>
        <row r="36">
          <cell r="A36" t="str">
            <v>KORADI TPS10</v>
          </cell>
          <cell r="B36" t="str">
            <v>KORADI TPS UNIT 8-10</v>
          </cell>
        </row>
        <row r="37">
          <cell r="A37" t="str">
            <v>BARA TPP1</v>
          </cell>
          <cell r="B37" t="str">
            <v>BARA TPP</v>
          </cell>
        </row>
        <row r="38">
          <cell r="A38" t="str">
            <v>SEMBCORP GAYATRI P. LTD1</v>
          </cell>
        </row>
        <row r="39">
          <cell r="A39" t="str">
            <v>RAJPURA TPS2</v>
          </cell>
          <cell r="B39" t="str">
            <v>RAJPURA TPS</v>
          </cell>
        </row>
        <row r="40">
          <cell r="A40" t="str">
            <v>LALITPUR TPS3</v>
          </cell>
          <cell r="B40" t="str">
            <v>LALITPUR TPS</v>
          </cell>
        </row>
        <row r="41">
          <cell r="A41" t="str">
            <v>RAIKHEDA TPP1</v>
          </cell>
        </row>
        <row r="42">
          <cell r="A42" t="str">
            <v>LALITPUR TPS1</v>
          </cell>
          <cell r="B42" t="str">
            <v>LALITPUR TPS</v>
          </cell>
        </row>
        <row r="43">
          <cell r="A43" t="str">
            <v>KORADI TPS9</v>
          </cell>
          <cell r="B43" t="str">
            <v>KORADI TPS UNIT 8-10</v>
          </cell>
        </row>
        <row r="44">
          <cell r="A44" t="str">
            <v>TALWANDI SABO TPS3</v>
          </cell>
          <cell r="B44" t="str">
            <v>TALWANDI SABO TPS</v>
          </cell>
        </row>
        <row r="45">
          <cell r="A45" t="str">
            <v>MAUDA TPS3</v>
          </cell>
          <cell r="B45" t="str">
            <v>MAUDA TPS UNIT 3-4</v>
          </cell>
        </row>
        <row r="46">
          <cell r="A46" t="str">
            <v>MAHAN TPP2</v>
          </cell>
        </row>
        <row r="47">
          <cell r="A47" t="str">
            <v>LALITPUR TPS2</v>
          </cell>
          <cell r="B47" t="str">
            <v>LALITPUR TPS</v>
          </cell>
        </row>
        <row r="48">
          <cell r="A48" t="str">
            <v>RAJPURA TPS1</v>
          </cell>
          <cell r="B48" t="str">
            <v>RAJPURA TPS</v>
          </cell>
        </row>
        <row r="49">
          <cell r="A49" t="str">
            <v>TALWANDI SABO TPS2</v>
          </cell>
          <cell r="B49" t="str">
            <v>TALWANDI SABO TPS</v>
          </cell>
        </row>
        <row r="50">
          <cell r="A50" t="str">
            <v>PAINAMPURAM TPP2</v>
          </cell>
          <cell r="B50" t="str">
            <v>PAINAMPURAM TPP</v>
          </cell>
        </row>
        <row r="51">
          <cell r="A51" t="str">
            <v>BARA TPP2</v>
          </cell>
          <cell r="B51" t="str">
            <v>BARA TPP</v>
          </cell>
        </row>
        <row r="52">
          <cell r="A52" t="str">
            <v>RAYALSEEMA TPS6</v>
          </cell>
          <cell r="B52" t="str">
            <v>RAYALSEEMA TPS UNIT 6</v>
          </cell>
        </row>
        <row r="53">
          <cell r="A53" t="str">
            <v>AKALTARA TPS2</v>
          </cell>
          <cell r="B53" t="str">
            <v>AKALTARA TPS</v>
          </cell>
        </row>
        <row r="54">
          <cell r="A54" t="str">
            <v>SASAN UMPTPP6</v>
          </cell>
          <cell r="B54" t="str">
            <v>SASAN UMPTPP</v>
          </cell>
        </row>
        <row r="55">
          <cell r="A55" t="str">
            <v>BARH II5</v>
          </cell>
          <cell r="B55" t="str">
            <v>BARH II</v>
          </cell>
        </row>
        <row r="56">
          <cell r="A56" t="str">
            <v>KORADI TPS8</v>
          </cell>
          <cell r="B56" t="str">
            <v>KORADI TPS UNIT 8-10</v>
          </cell>
        </row>
        <row r="57">
          <cell r="A57" t="str">
            <v>PAINAMPURAM TPP1</v>
          </cell>
          <cell r="B57" t="str">
            <v>PAINAMPURAM TPP</v>
          </cell>
        </row>
        <row r="58">
          <cell r="A58" t="str">
            <v>NIGRI TPP2</v>
          </cell>
          <cell r="B58" t="str">
            <v>NIGRI TPP</v>
          </cell>
        </row>
        <row r="59">
          <cell r="A59" t="str">
            <v>TIRORA TPS5</v>
          </cell>
          <cell r="B59" t="str">
            <v>TIRORA TPS UNIT 1,4-5</v>
          </cell>
        </row>
        <row r="60">
          <cell r="A60" t="str">
            <v>SASAN UMPTPP5</v>
          </cell>
          <cell r="B60" t="str">
            <v>SASAN UMPTPP</v>
          </cell>
        </row>
        <row r="61">
          <cell r="A61" t="str">
            <v>NIGRI TPP1</v>
          </cell>
          <cell r="B61" t="str">
            <v>NIGRI TPP</v>
          </cell>
        </row>
        <row r="62">
          <cell r="A62" t="str">
            <v>TALWANDI SABO TPS1</v>
          </cell>
          <cell r="B62" t="str">
            <v>TALWANDI SABO TPS</v>
          </cell>
        </row>
        <row r="63">
          <cell r="A63" t="str">
            <v>SASAN UMPTPP3</v>
          </cell>
          <cell r="B63" t="str">
            <v>SASAN UMPTPP</v>
          </cell>
        </row>
        <row r="64">
          <cell r="A64" t="str">
            <v>SINGARENI TPP2</v>
          </cell>
          <cell r="B64" t="str">
            <v>SINGARENI TPP</v>
          </cell>
        </row>
        <row r="65">
          <cell r="A65" t="str">
            <v>SASAN UMPTPP4</v>
          </cell>
          <cell r="B65" t="str">
            <v>SASAN UMPTPP</v>
          </cell>
        </row>
        <row r="66">
          <cell r="A66" t="str">
            <v>TIRORA TPS4</v>
          </cell>
          <cell r="B66" t="str">
            <v>TIRORA TPS UNIT 1,4-5</v>
          </cell>
        </row>
        <row r="67">
          <cell r="A67" t="str">
            <v>SASAN UMPTPP2</v>
          </cell>
          <cell r="B67" t="str">
            <v>SASAN UMPTPP</v>
          </cell>
        </row>
        <row r="68">
          <cell r="A68" t="str">
            <v>KAWAI TPS2</v>
          </cell>
          <cell r="B68" t="str">
            <v>KAWAI TPS</v>
          </cell>
        </row>
        <row r="69">
          <cell r="A69" t="str">
            <v>BARH II4</v>
          </cell>
          <cell r="B69" t="str">
            <v>BARH II</v>
          </cell>
        </row>
        <row r="70">
          <cell r="A70" t="str">
            <v>ITPCL TPP2</v>
          </cell>
          <cell r="B70" t="str">
            <v>ITPCL TPP UNIT 2</v>
          </cell>
        </row>
        <row r="71">
          <cell r="A71" t="str">
            <v>SINGARENI TPP1</v>
          </cell>
          <cell r="B71" t="str">
            <v>SINGARENI TPP</v>
          </cell>
        </row>
        <row r="72">
          <cell r="A72" t="str">
            <v>ANPARA TPS7</v>
          </cell>
          <cell r="B72" t="str">
            <v>ANPARA - D</v>
          </cell>
        </row>
        <row r="73">
          <cell r="A73" t="str">
            <v>ANUPPUR TPP2</v>
          </cell>
          <cell r="B73" t="str">
            <v>ANUPPUR TPP</v>
          </cell>
        </row>
        <row r="74">
          <cell r="A74" t="str">
            <v>SEIONI TPP1</v>
          </cell>
          <cell r="B74" t="str">
            <v>SEIONI TPP</v>
          </cell>
        </row>
        <row r="75">
          <cell r="A75" t="str">
            <v>TIRORA TPS3</v>
          </cell>
          <cell r="B75" t="str">
            <v>TIRORA TPS UNIT 2-3</v>
          </cell>
        </row>
        <row r="76">
          <cell r="A76" t="str">
            <v>RAGHUNATHPUR TPP2</v>
          </cell>
          <cell r="B76" t="str">
            <v>RAGHUNATHPUR TPP</v>
          </cell>
        </row>
        <row r="77">
          <cell r="A77" t="str">
            <v>MUTHIARA TPP2</v>
          </cell>
          <cell r="B77" t="str">
            <v>MUTHIARA TPP</v>
          </cell>
        </row>
        <row r="78">
          <cell r="A78" t="str">
            <v>SASAN UMPTPP1</v>
          </cell>
          <cell r="B78" t="str">
            <v>SASAN UMPTPP</v>
          </cell>
        </row>
        <row r="79">
          <cell r="A79" t="str">
            <v>KAWAI TPS1</v>
          </cell>
          <cell r="B79" t="str">
            <v>KAWAI TPS</v>
          </cell>
        </row>
        <row r="80">
          <cell r="A80" t="str">
            <v>KAKATIYA TPS2</v>
          </cell>
          <cell r="B80" t="str">
            <v>KAKATIYA TPS UNIT 2</v>
          </cell>
        </row>
        <row r="81">
          <cell r="A81" t="str">
            <v>TIRORA TPS2</v>
          </cell>
          <cell r="B81" t="str">
            <v>TIRORA TPS UNIT 2-3</v>
          </cell>
        </row>
        <row r="82">
          <cell r="A82" t="str">
            <v>ITPCL TPP1</v>
          </cell>
          <cell r="B82" t="str">
            <v>ITPCL TPP UNIT 1</v>
          </cell>
        </row>
        <row r="83">
          <cell r="A83" t="str">
            <v>NEYVELI NEW TPP1</v>
          </cell>
          <cell r="B83" t="str">
            <v>NEYVELI NEW TPP</v>
          </cell>
        </row>
        <row r="84">
          <cell r="A84" t="str">
            <v>KALISINDH TPS2</v>
          </cell>
          <cell r="B84" t="str">
            <v>KALISINDH TPS UNIT 2</v>
          </cell>
        </row>
        <row r="85">
          <cell r="A85" t="str">
            <v>ANPARA TPS6</v>
          </cell>
          <cell r="B85" t="str">
            <v>ANPARA - D</v>
          </cell>
        </row>
        <row r="86">
          <cell r="A86" t="str">
            <v>TIRORA TPS1</v>
          </cell>
          <cell r="B86" t="str">
            <v>TIRORA TPS UNIT 1,4-5</v>
          </cell>
        </row>
        <row r="87">
          <cell r="A87" t="str">
            <v>ANUPPUR TPP1</v>
          </cell>
          <cell r="B87" t="str">
            <v>ANUPPUR TPP</v>
          </cell>
        </row>
        <row r="88">
          <cell r="A88" t="str">
            <v>SIPAT STPS3</v>
          </cell>
          <cell r="B88" t="str">
            <v>SIPAT STPS UNIT 1-3</v>
          </cell>
        </row>
        <row r="89">
          <cell r="A89" t="str">
            <v>BARADARHA TPS2</v>
          </cell>
          <cell r="B89" t="str">
            <v>BARADARHA TPS</v>
          </cell>
        </row>
        <row r="90">
          <cell r="A90" t="str">
            <v>OP JINDAL TPS24</v>
          </cell>
          <cell r="B90" t="str">
            <v>OP JINDAL TPS2</v>
          </cell>
        </row>
        <row r="91">
          <cell r="A91" t="str">
            <v>OP JINDAL TPS23</v>
          </cell>
          <cell r="B91" t="str">
            <v>OP JINDAL TPS2</v>
          </cell>
        </row>
        <row r="92">
          <cell r="A92" t="str">
            <v>DERANG TPP2</v>
          </cell>
          <cell r="B92" t="str">
            <v>DERANG TPP</v>
          </cell>
        </row>
        <row r="93">
          <cell r="A93" t="str">
            <v>SIPAT STPS2</v>
          </cell>
          <cell r="B93" t="str">
            <v>SIPAT STPS UNIT 1-3</v>
          </cell>
        </row>
        <row r="94">
          <cell r="A94" t="str">
            <v>MUTHIARA TPP1</v>
          </cell>
          <cell r="B94" t="str">
            <v>MUTHIARA TPP</v>
          </cell>
        </row>
        <row r="95">
          <cell r="A95" t="str">
            <v>MAHATMA GANDHI TPS2</v>
          </cell>
          <cell r="B95" t="str">
            <v>MAHATMA GANDHI TPS</v>
          </cell>
        </row>
        <row r="96">
          <cell r="A96" t="str">
            <v>MUNDRA TPS8</v>
          </cell>
          <cell r="B96" t="str">
            <v>MUNDRA TPS UNIT 7-9</v>
          </cell>
        </row>
        <row r="97">
          <cell r="A97" t="str">
            <v>MUNDRA TPS9</v>
          </cell>
          <cell r="B97" t="str">
            <v>MUNDRA TPS UNIT 7-9</v>
          </cell>
        </row>
        <row r="98">
          <cell r="A98" t="str">
            <v>SHREE SINGAJI TPP2</v>
          </cell>
          <cell r="B98" t="str">
            <v>SHREE SINGAJI TPP UNIT 1-2</v>
          </cell>
        </row>
        <row r="99">
          <cell r="A99" t="str">
            <v>MAHATMA GANDHI TPS1</v>
          </cell>
          <cell r="B99" t="str">
            <v>MAHATMA GANDHI TPS</v>
          </cell>
        </row>
        <row r="100">
          <cell r="A100" t="str">
            <v>RAGHUNATHPUR TPP1</v>
          </cell>
          <cell r="B100" t="str">
            <v>RAGHUNATHPUR TPP</v>
          </cell>
        </row>
        <row r="101">
          <cell r="A101" t="str">
            <v>AKALTARA TPS4</v>
          </cell>
          <cell r="B101" t="str">
            <v>AKALTARA TPS</v>
          </cell>
        </row>
        <row r="102">
          <cell r="A102" t="str">
            <v>MUNDRA TPS7</v>
          </cell>
          <cell r="B102" t="str">
            <v>MUNDRA TPS UNIT 7-9</v>
          </cell>
        </row>
        <row r="103">
          <cell r="A103" t="str">
            <v>SIPAT STPS1</v>
          </cell>
          <cell r="B103" t="str">
            <v>SIPAT STPS UNIT 1-3</v>
          </cell>
        </row>
        <row r="104">
          <cell r="A104" t="str">
            <v>KALISINDH TPS1</v>
          </cell>
          <cell r="B104" t="str">
            <v>KALISINDH TPS UNIT 1</v>
          </cell>
        </row>
        <row r="105">
          <cell r="A105" t="str">
            <v>DERANG TPP1</v>
          </cell>
          <cell r="B105" t="str">
            <v>DERANG TPP</v>
          </cell>
        </row>
        <row r="106">
          <cell r="A106" t="str">
            <v>AVANTHA BHANDAR1</v>
          </cell>
          <cell r="B106" t="str">
            <v>AVANTHA BHANDAR</v>
          </cell>
        </row>
        <row r="107">
          <cell r="A107" t="str">
            <v>OP JINDAL TPS22</v>
          </cell>
          <cell r="B107" t="str">
            <v>OP JINDAL TPS2</v>
          </cell>
        </row>
        <row r="108">
          <cell r="A108" t="str">
            <v>OP JINDAL TPS21</v>
          </cell>
          <cell r="B108" t="str">
            <v>OP JINDAL TPS2</v>
          </cell>
        </row>
        <row r="109">
          <cell r="A109" t="str">
            <v>MUNDRA TPS6</v>
          </cell>
          <cell r="B109" t="str">
            <v>MUNDRA TPS UNIT 5-6</v>
          </cell>
        </row>
        <row r="110">
          <cell r="A110" t="str">
            <v>BARADARHA TPS1</v>
          </cell>
          <cell r="B110" t="str">
            <v>BARADARHA TPS</v>
          </cell>
        </row>
        <row r="111">
          <cell r="A111" t="str">
            <v>SHREE SINGAJI TPP1</v>
          </cell>
          <cell r="B111" t="str">
            <v>SHREE SINGAJI TPP UNIT 1-2</v>
          </cell>
        </row>
        <row r="112">
          <cell r="A112" t="str">
            <v>NORTH CHENNAI TPS4</v>
          </cell>
          <cell r="B112" t="str">
            <v>NORTH CHENNAI TPS UNIT 4-5</v>
          </cell>
        </row>
        <row r="113">
          <cell r="A113" t="str">
            <v>AKALTARA TPS3</v>
          </cell>
          <cell r="B113" t="str">
            <v>AKALTARA TPS</v>
          </cell>
        </row>
        <row r="114">
          <cell r="A114" t="str">
            <v>MUNDRA TPS5</v>
          </cell>
          <cell r="B114" t="str">
            <v>MUNDRA TPS UNIT 5-6</v>
          </cell>
        </row>
        <row r="115">
          <cell r="A115" t="str">
            <v>NORTH CHENNAI TPS5</v>
          </cell>
          <cell r="B115" t="str">
            <v>NORTH CHENNAI TPS UNIT 4-5</v>
          </cell>
        </row>
        <row r="116">
          <cell r="A116" t="str">
            <v>MAHAN TPP1</v>
          </cell>
        </row>
        <row r="117">
          <cell r="A117" t="str">
            <v>UNCHAHAR STPS6</v>
          </cell>
          <cell r="B117" t="str">
            <v>UNCHAHAR STPS UNIT 6</v>
          </cell>
        </row>
        <row r="118">
          <cell r="A118" t="str">
            <v>METTUR TPS EXT1</v>
          </cell>
          <cell r="B118" t="str">
            <v>METTUR TPS EXT</v>
          </cell>
        </row>
        <row r="119">
          <cell r="A119" t="str">
            <v>VIZAG TPS2</v>
          </cell>
          <cell r="B119" t="str">
            <v>VIZAG TPS</v>
          </cell>
        </row>
        <row r="120">
          <cell r="A120" t="str">
            <v>SAGARDIGHI TPS4</v>
          </cell>
          <cell r="B120" t="str">
            <v>SAGARDIGHI TPS UNIT 3-4</v>
          </cell>
        </row>
        <row r="121">
          <cell r="A121" t="str">
            <v>SALAYA TPP2</v>
          </cell>
          <cell r="B121" t="str">
            <v>SALAYA TPP</v>
          </cell>
        </row>
        <row r="122">
          <cell r="A122" t="str">
            <v>VIZAG TPS1</v>
          </cell>
          <cell r="B122" t="str">
            <v>VIZAG TPS</v>
          </cell>
        </row>
        <row r="123">
          <cell r="A123" t="str">
            <v>UDUPI TPP2</v>
          </cell>
          <cell r="B123" t="str">
            <v>UDUPI TPP</v>
          </cell>
        </row>
        <row r="124">
          <cell r="A124" t="str">
            <v>UDUPI TPP1</v>
          </cell>
          <cell r="B124" t="str">
            <v>UDUPI TPP</v>
          </cell>
        </row>
        <row r="125">
          <cell r="A125" t="str">
            <v>MARWA TPS2</v>
          </cell>
          <cell r="B125" t="str">
            <v>MARWA TPS</v>
          </cell>
        </row>
        <row r="126">
          <cell r="A126" t="str">
            <v>SALAYA TPP1</v>
          </cell>
          <cell r="B126" t="str">
            <v>SALAYA TPP</v>
          </cell>
        </row>
        <row r="127">
          <cell r="A127" t="str">
            <v>ANPARA C TPS2</v>
          </cell>
          <cell r="B127" t="str">
            <v>ANPARA C TPS</v>
          </cell>
        </row>
        <row r="128">
          <cell r="A128" t="str">
            <v>CHANDRAPUR STPS9</v>
          </cell>
          <cell r="B128" t="str">
            <v>CHANDRAPUR UNITS 8-9</v>
          </cell>
        </row>
        <row r="129">
          <cell r="A129" t="str">
            <v>BOKARO A TPS1</v>
          </cell>
        </row>
        <row r="130">
          <cell r="A130" t="str">
            <v>ANPARA C TPS1</v>
          </cell>
          <cell r="B130" t="str">
            <v>ANPARA C TPS</v>
          </cell>
        </row>
        <row r="131">
          <cell r="A131" t="str">
            <v>SAGARDIGHI TPS3</v>
          </cell>
          <cell r="B131" t="str">
            <v>SAGARDIGHI TPS UNIT 3-4</v>
          </cell>
        </row>
        <row r="132">
          <cell r="A132" t="str">
            <v>VINDHYACHAL STPS13</v>
          </cell>
          <cell r="B132" t="str">
            <v>VINDHYACHAL STPS UNIT 13</v>
          </cell>
        </row>
        <row r="133">
          <cell r="A133" t="str">
            <v>NTPL TUTICORIN (JV) TPP2</v>
          </cell>
          <cell r="B133" t="str">
            <v>NTPL TUTICORIN (JV) TPP</v>
          </cell>
        </row>
        <row r="134">
          <cell r="A134" t="str">
            <v>STERLITE TPP2</v>
          </cell>
          <cell r="B134" t="str">
            <v>STERLITE TPP UNIT 1-2</v>
          </cell>
        </row>
        <row r="135">
          <cell r="A135" t="str">
            <v>NTPL TUTICORIN (JV) TPP1</v>
          </cell>
          <cell r="B135" t="str">
            <v>NTPL TUTICORIN (JV) TPP</v>
          </cell>
        </row>
        <row r="136">
          <cell r="A136" t="str">
            <v>CHANDRAPUR STPS8</v>
          </cell>
          <cell r="B136" t="str">
            <v>CHANDRAPUR UNITS 8-9</v>
          </cell>
        </row>
        <row r="137">
          <cell r="A137" t="str">
            <v>RAJIV GANDHI TPS2</v>
          </cell>
          <cell r="B137" t="str">
            <v>RAJIV GANDHI TPS</v>
          </cell>
        </row>
        <row r="138">
          <cell r="A138" t="str">
            <v>RAJIV GANDHI TPS1</v>
          </cell>
          <cell r="B138" t="str">
            <v>RAJIV GANDHI TPS</v>
          </cell>
        </row>
        <row r="139">
          <cell r="A139" t="str">
            <v>STERLITE TPP1</v>
          </cell>
          <cell r="B139" t="str">
            <v>STERLITE TPP UNIT 1-2</v>
          </cell>
        </row>
        <row r="140">
          <cell r="A140" t="str">
            <v>MARWA TPS1</v>
          </cell>
          <cell r="B140" t="str">
            <v>MARWA TPS</v>
          </cell>
        </row>
        <row r="141">
          <cell r="A141" t="str">
            <v>VALLUR TPP3</v>
          </cell>
          <cell r="B141" t="str">
            <v>VALLUR TPP</v>
          </cell>
        </row>
        <row r="142">
          <cell r="A142" t="str">
            <v>RIHAND STPS6</v>
          </cell>
          <cell r="B142" t="str">
            <v>RIHAND STPS UNIT 5-6</v>
          </cell>
        </row>
        <row r="143">
          <cell r="A143" t="str">
            <v>MAITHON RB TPP2</v>
          </cell>
          <cell r="B143" t="str">
            <v>MAITHON RB TPP</v>
          </cell>
        </row>
        <row r="144">
          <cell r="A144" t="str">
            <v>KORBA-WEST TPS5</v>
          </cell>
          <cell r="B144" t="str">
            <v>KORBA-WEST TPS UNIT 5</v>
          </cell>
        </row>
        <row r="145">
          <cell r="A145" t="str">
            <v>UKAI TPS6</v>
          </cell>
          <cell r="B145" t="str">
            <v>UKAI TPS UNIT 6</v>
          </cell>
        </row>
        <row r="146">
          <cell r="A146" t="str">
            <v>VINDHYACHAL STPS12</v>
          </cell>
          <cell r="B146" t="str">
            <v>VINDHYACHAL STPS UNIT 11-12</v>
          </cell>
        </row>
        <row r="147">
          <cell r="A147" t="str">
            <v>MAUDA TPS2</v>
          </cell>
          <cell r="B147" t="str">
            <v>MAUDA TPS UNIT 1-2</v>
          </cell>
        </row>
        <row r="148">
          <cell r="A148" t="str">
            <v>KODARMA TPS2</v>
          </cell>
          <cell r="B148" t="str">
            <v>KODARMA TPS</v>
          </cell>
        </row>
        <row r="149">
          <cell r="A149" t="str">
            <v>VALLUR TPP2</v>
          </cell>
          <cell r="B149" t="str">
            <v>VALLUR TPP</v>
          </cell>
        </row>
        <row r="150">
          <cell r="A150" t="str">
            <v>INDIRA GANDHI STPP3</v>
          </cell>
          <cell r="B150" t="str">
            <v>INDIRA GANDHI STPP</v>
          </cell>
        </row>
        <row r="151">
          <cell r="A151" t="str">
            <v>MAITHON RB TPP1</v>
          </cell>
          <cell r="B151" t="str">
            <v>MAITHON RB TPP</v>
          </cell>
        </row>
        <row r="152">
          <cell r="A152" t="str">
            <v>VINDHYACHAL STPS11</v>
          </cell>
          <cell r="B152" t="str">
            <v>VINDHYACHAL STPS UNIT 11-12</v>
          </cell>
        </row>
        <row r="153">
          <cell r="A153" t="str">
            <v>RIHAND STPS5</v>
          </cell>
          <cell r="B153" t="str">
            <v>RIHAND STPS UNIT 5-6</v>
          </cell>
        </row>
        <row r="154">
          <cell r="A154" t="str">
            <v>MAUDA TPS1</v>
          </cell>
          <cell r="B154" t="str">
            <v>MAUDA TPS UNIT 1-2</v>
          </cell>
        </row>
        <row r="155">
          <cell r="A155" t="str">
            <v>DURGAPUR STEEL TPS2</v>
          </cell>
          <cell r="B155" t="str">
            <v>DURGAPUR STEEL TPS</v>
          </cell>
        </row>
        <row r="156">
          <cell r="A156" t="str">
            <v>SIMHADRI STPP4</v>
          </cell>
          <cell r="B156" t="str">
            <v>SIMHADRI STPP UNIT 3-4</v>
          </cell>
        </row>
        <row r="157">
          <cell r="A157" t="str">
            <v>BHUSAWAL TPS5</v>
          </cell>
          <cell r="B157" t="str">
            <v>BHUSAWAL TPS UNIT 4-5</v>
          </cell>
        </row>
        <row r="158">
          <cell r="A158" t="str">
            <v>BHUSAWAL TPS4</v>
          </cell>
          <cell r="B158" t="str">
            <v>BHUSAWAL TPS UNIT 4-5</v>
          </cell>
        </row>
        <row r="159">
          <cell r="A159" t="str">
            <v>BELLARY TPS2</v>
          </cell>
          <cell r="B159" t="str">
            <v>BELLARY TPS UNIT 2</v>
          </cell>
        </row>
        <row r="160">
          <cell r="A160" t="str">
            <v>VALLUR TPP1</v>
          </cell>
          <cell r="B160" t="str">
            <v>VALLUR TPP</v>
          </cell>
        </row>
        <row r="161">
          <cell r="A161" t="str">
            <v>INDIRA GANDHI STPP2</v>
          </cell>
          <cell r="B161" t="str">
            <v>INDIRA GANDHI STPP</v>
          </cell>
        </row>
        <row r="162">
          <cell r="A162" t="str">
            <v>KHAPARKHEDA TPS5</v>
          </cell>
          <cell r="B162" t="str">
            <v>KHAPARKHEDA TPS UNIT 5</v>
          </cell>
        </row>
        <row r="163">
          <cell r="A163" t="str">
            <v>KODARMA TPS1</v>
          </cell>
          <cell r="B163" t="str">
            <v>KODARMA TPS</v>
          </cell>
        </row>
        <row r="164">
          <cell r="A164" t="str">
            <v>DURGAPUR STEEL TPS1</v>
          </cell>
          <cell r="B164" t="str">
            <v>DURGAPUR STEEL TPS</v>
          </cell>
        </row>
        <row r="165">
          <cell r="A165" t="str">
            <v>KOTHAGUDEM NEW TPS11</v>
          </cell>
          <cell r="B165" t="str">
            <v>KOTHAGUDEM NEW TPS UNIT 11</v>
          </cell>
        </row>
        <row r="166">
          <cell r="A166" t="str">
            <v>SIMHADRI STPP3</v>
          </cell>
          <cell r="B166" t="str">
            <v>SIMHADRI STPP UNIT 3-4</v>
          </cell>
        </row>
        <row r="167">
          <cell r="A167" t="str">
            <v>MEJIA TPS8</v>
          </cell>
          <cell r="B167" t="str">
            <v>MEJIA TPS</v>
          </cell>
        </row>
        <row r="168">
          <cell r="A168" t="str">
            <v>FARAKKA STPS6</v>
          </cell>
          <cell r="B168" t="str">
            <v>FARAKKA STPS UNIT 6</v>
          </cell>
        </row>
        <row r="169">
          <cell r="A169" t="str">
            <v>KORBA STPS7</v>
          </cell>
          <cell r="B169" t="str">
            <v>KORBA STPS UNIT 7</v>
          </cell>
        </row>
        <row r="170">
          <cell r="A170" t="str">
            <v>INDIRA GANDHI STPP1</v>
          </cell>
          <cell r="B170" t="str">
            <v>INDIRA GANDHI STPP</v>
          </cell>
        </row>
        <row r="171">
          <cell r="A171" t="str">
            <v>MEJIA TPS7</v>
          </cell>
          <cell r="B171" t="str">
            <v>MEJIA TPS</v>
          </cell>
        </row>
        <row r="172">
          <cell r="A172" t="str">
            <v>KAKATIYA TPS1</v>
          </cell>
          <cell r="B172" t="str">
            <v>KAKATIYA TPS UNIT 1</v>
          </cell>
        </row>
        <row r="173">
          <cell r="A173" t="str">
            <v>DADRI (NCTPP)6</v>
          </cell>
          <cell r="B173" t="str">
            <v>DADRI (NCTPP) UNIT 5-6</v>
          </cell>
        </row>
        <row r="174">
          <cell r="A174" t="str">
            <v>UCHPINDA TPP3</v>
          </cell>
        </row>
        <row r="175">
          <cell r="A175" t="str">
            <v>DR. N TATA RAO TPS7</v>
          </cell>
          <cell r="B175" t="str">
            <v>DR. N TATA RAO TPS UNIT 7</v>
          </cell>
        </row>
        <row r="176">
          <cell r="A176" t="str">
            <v>UCHPINDA TPP1</v>
          </cell>
          <cell r="B176" t="str">
            <v>UCHPINDA TPP UNIT 1-2</v>
          </cell>
        </row>
        <row r="177">
          <cell r="A177" t="str">
            <v>DADRI (NCTPP)5</v>
          </cell>
          <cell r="B177" t="str">
            <v>DADRI (NCTPP) UNIT 5-6</v>
          </cell>
        </row>
        <row r="178">
          <cell r="A178" t="str">
            <v>KAHALGAON TPS7</v>
          </cell>
          <cell r="B178" t="str">
            <v>KAHALGAON TPS UNIT 5-7</v>
          </cell>
        </row>
        <row r="179">
          <cell r="A179" t="str">
            <v>BINJKOTE  TPP2</v>
          </cell>
        </row>
        <row r="180">
          <cell r="A180" t="str">
            <v>UCHPINDA TPP2</v>
          </cell>
          <cell r="B180" t="str">
            <v>UCHPINDA TPP UNIT 1-2</v>
          </cell>
        </row>
        <row r="181">
          <cell r="A181" t="str">
            <v>SIPAT STPS5</v>
          </cell>
          <cell r="B181" t="str">
            <v>SIPAT STPS UNIT 4-5</v>
          </cell>
        </row>
        <row r="182">
          <cell r="A182" t="str">
            <v>BINJKOTE  TPP1</v>
          </cell>
        </row>
        <row r="183">
          <cell r="A183" t="str">
            <v>NAWAPARA TPP2</v>
          </cell>
          <cell r="B183" t="str">
            <v>NAWAPARA TPP</v>
          </cell>
        </row>
        <row r="184">
          <cell r="A184" t="str">
            <v>SIPAT STPS4</v>
          </cell>
          <cell r="B184" t="str">
            <v>SIPAT STPS UNIT 4-5</v>
          </cell>
        </row>
        <row r="185">
          <cell r="A185" t="str">
            <v>KAHALGAON TPS6</v>
          </cell>
          <cell r="B185" t="str">
            <v>KAHALGAON TPS UNIT 5-7</v>
          </cell>
        </row>
        <row r="186">
          <cell r="A186" t="str">
            <v>NABI NAGAR TPP3</v>
          </cell>
          <cell r="B186" t="str">
            <v>NABI NAGAR TPP</v>
          </cell>
        </row>
        <row r="187">
          <cell r="A187" t="str">
            <v>BONGAIGAON TPS3</v>
          </cell>
          <cell r="B187" t="str">
            <v>BONGAIGAON TPS</v>
          </cell>
        </row>
        <row r="188">
          <cell r="A188" t="str">
            <v>BELLARY TPS1</v>
          </cell>
          <cell r="B188" t="str">
            <v>BELLARY TPS UNIT 1</v>
          </cell>
        </row>
        <row r="189">
          <cell r="A189" t="str">
            <v>NAWAPARA TPP1</v>
          </cell>
          <cell r="B189" t="str">
            <v>NAWAPARA TPP</v>
          </cell>
        </row>
        <row r="190">
          <cell r="A190" t="str">
            <v>KAMALANGA TPS3</v>
          </cell>
          <cell r="B190" t="str">
            <v>KAMALANGA TPS</v>
          </cell>
        </row>
        <row r="191">
          <cell r="A191" t="str">
            <v>SANJAY GANDHI TPS5</v>
          </cell>
        </row>
        <row r="192">
          <cell r="A192" t="str">
            <v>BALCO TPS2</v>
          </cell>
          <cell r="B192" t="str">
            <v>BALCO TPS</v>
          </cell>
        </row>
        <row r="193">
          <cell r="A193" t="str">
            <v>VINDHYACHAL STPS10</v>
          </cell>
          <cell r="B193" t="str">
            <v>VINDHYACHAL STPS UNIT 9-10</v>
          </cell>
        </row>
        <row r="194">
          <cell r="A194" t="str">
            <v>KAHALGAON TPS5</v>
          </cell>
          <cell r="B194" t="str">
            <v>KAHALGAON TPS UNIT 5-7</v>
          </cell>
        </row>
        <row r="195">
          <cell r="A195" t="str">
            <v>KAMALANGA TPS2</v>
          </cell>
          <cell r="B195" t="str">
            <v>KAMALANGA TPS</v>
          </cell>
        </row>
        <row r="196">
          <cell r="A196" t="str">
            <v>BARAUNI TPS8</v>
          </cell>
          <cell r="B196" t="str">
            <v>BARAUNI TPS</v>
          </cell>
        </row>
        <row r="197">
          <cell r="A197" t="str">
            <v>BANDAKHAR TPP1</v>
          </cell>
          <cell r="B197" t="str">
            <v>BANDAKHAR TPP</v>
          </cell>
        </row>
        <row r="198">
          <cell r="A198" t="str">
            <v>BALCO TPS1</v>
          </cell>
          <cell r="B198" t="str">
            <v>BALCO TPS</v>
          </cell>
        </row>
        <row r="199">
          <cell r="A199" t="str">
            <v>KAMALANGA TPS1</v>
          </cell>
          <cell r="B199" t="str">
            <v>KAMALANGA TPS</v>
          </cell>
        </row>
        <row r="200">
          <cell r="A200" t="str">
            <v>VINDHYACHAL STPS9</v>
          </cell>
          <cell r="B200" t="str">
            <v>VINDHYACHAL STPS UNIT 9-10</v>
          </cell>
        </row>
        <row r="201">
          <cell r="A201" t="str">
            <v>HALDIA TPP2</v>
          </cell>
          <cell r="B201" t="str">
            <v>HALDIA TPP</v>
          </cell>
        </row>
        <row r="202">
          <cell r="A202" t="str">
            <v>NABI NAGAR TPP2</v>
          </cell>
          <cell r="B202" t="str">
            <v>NABI NAGAR TPP</v>
          </cell>
        </row>
        <row r="203">
          <cell r="A203" t="str">
            <v>BONGAIGAON TPS2</v>
          </cell>
          <cell r="B203" t="str">
            <v>BONGAIGAON TPS</v>
          </cell>
        </row>
        <row r="204">
          <cell r="A204" t="str">
            <v>HALDIA TPP1</v>
          </cell>
          <cell r="B204" t="str">
            <v>HALDIA TPP</v>
          </cell>
        </row>
        <row r="205">
          <cell r="A205" t="str">
            <v>BHAVNAGAR TPP2</v>
          </cell>
          <cell r="B205" t="str">
            <v>BHAVNAGAR TPP</v>
          </cell>
        </row>
        <row r="206">
          <cell r="A206" t="str">
            <v>GOINDWAL SAHIB2</v>
          </cell>
          <cell r="B206" t="str">
            <v>GOINDWAL SAHIB</v>
          </cell>
        </row>
        <row r="207">
          <cell r="A207" t="str">
            <v>GOINDWAL SAHIB1</v>
          </cell>
          <cell r="B207" t="str">
            <v>GOINDWAL SAHIB</v>
          </cell>
        </row>
        <row r="208">
          <cell r="A208" t="str">
            <v>RIHAND STPS4</v>
          </cell>
          <cell r="B208" t="str">
            <v>RIHAND STPS UNIT 3-4</v>
          </cell>
        </row>
        <row r="209">
          <cell r="A209" t="str">
            <v>DHARIWAL TPS2</v>
          </cell>
          <cell r="B209" t="str">
            <v>DHARIWAL TPS</v>
          </cell>
        </row>
        <row r="210">
          <cell r="A210" t="str">
            <v>BHAVNAGAR TPP1</v>
          </cell>
          <cell r="B210" t="str">
            <v>BHAVNAGAR TPP</v>
          </cell>
        </row>
        <row r="211">
          <cell r="A211" t="str">
            <v>NABI NAGAR TPP1</v>
          </cell>
          <cell r="B211" t="str">
            <v>NABI NAGAR TPP</v>
          </cell>
        </row>
        <row r="212">
          <cell r="A212" t="str">
            <v>PARLI TPS8</v>
          </cell>
          <cell r="B212" t="str">
            <v>PARLI TPS UNIT 8</v>
          </cell>
        </row>
        <row r="213">
          <cell r="A213" t="str">
            <v>TALCHER STPS6</v>
          </cell>
          <cell r="B213" t="str">
            <v>TALCHER STPS UNIT 3-6</v>
          </cell>
        </row>
        <row r="214">
          <cell r="A214" t="str">
            <v>AMRAVATI TPS5</v>
          </cell>
          <cell r="B214" t="str">
            <v>AMRAVATI TPS</v>
          </cell>
        </row>
        <row r="215">
          <cell r="A215" t="str">
            <v>AMRAVATI TPS4</v>
          </cell>
          <cell r="B215" t="str">
            <v>AMRAVATI TPS</v>
          </cell>
        </row>
        <row r="216">
          <cell r="A216" t="str">
            <v>DHARIWAL TPS1</v>
          </cell>
          <cell r="B216" t="str">
            <v>DHARIWAL TPS</v>
          </cell>
        </row>
        <row r="217">
          <cell r="A217" t="str">
            <v>RIHAND STPS3</v>
          </cell>
          <cell r="B217" t="str">
            <v>RIHAND STPS UNIT 3-4</v>
          </cell>
        </row>
        <row r="218">
          <cell r="A218" t="str">
            <v>AMRAVATI TPS3</v>
          </cell>
          <cell r="B218" t="str">
            <v>AMRAVATI TPS</v>
          </cell>
        </row>
        <row r="219">
          <cell r="A219" t="str">
            <v>GMR WARORA TPS2</v>
          </cell>
        </row>
        <row r="220">
          <cell r="A220" t="str">
            <v>SIKKA REP. TPS4</v>
          </cell>
          <cell r="B220" t="str">
            <v>SIKKA REP. TPS UNIT 3-4</v>
          </cell>
        </row>
        <row r="221">
          <cell r="A221" t="str">
            <v>RAMAGUNDEM STPS7</v>
          </cell>
          <cell r="B221" t="str">
            <v>RAMAGUNDEM STPS UNIT 7</v>
          </cell>
        </row>
        <row r="222">
          <cell r="A222" t="str">
            <v>BONGAIGAON TPS1</v>
          </cell>
          <cell r="B222" t="str">
            <v>BONGAIGAON TPS</v>
          </cell>
        </row>
        <row r="223">
          <cell r="A223" t="str">
            <v>BUTIBORI TPP2</v>
          </cell>
          <cell r="B223" t="str">
            <v>BUTIBORI TPP</v>
          </cell>
        </row>
        <row r="224">
          <cell r="A224" t="str">
            <v>TALCHER STPS5</v>
          </cell>
          <cell r="B224" t="str">
            <v>TALCHER STPS UNIT 3-6</v>
          </cell>
        </row>
        <row r="225">
          <cell r="A225" t="str">
            <v>GMR WARORA TPS1</v>
          </cell>
        </row>
        <row r="226">
          <cell r="A226" t="str">
            <v>SIKKA REP. TPS3</v>
          </cell>
          <cell r="B226" t="str">
            <v>SIKKA REP. TPS UNIT 3-4</v>
          </cell>
        </row>
        <row r="227">
          <cell r="A227" t="str">
            <v>NEYVELI TPS-II EXP2</v>
          </cell>
          <cell r="B227" t="str">
            <v>NEYVELI TPS-II EXP</v>
          </cell>
        </row>
        <row r="228">
          <cell r="A228" t="str">
            <v>AMRAVATI TPS2</v>
          </cell>
          <cell r="B228" t="str">
            <v>AMRAVATI TPS</v>
          </cell>
        </row>
        <row r="229">
          <cell r="A229" t="str">
            <v>BUTIBORI TPP1</v>
          </cell>
          <cell r="B229" t="str">
            <v>BUTIBORI TPP</v>
          </cell>
        </row>
        <row r="230">
          <cell r="A230" t="str">
            <v>MUZAFFARPUR TPS4</v>
          </cell>
          <cell r="B230" t="str">
            <v>MUZAFFARPUR TPS UNIT 3-4</v>
          </cell>
        </row>
        <row r="231">
          <cell r="A231" t="str">
            <v>TALCHER STPS4</v>
          </cell>
          <cell r="B231" t="str">
            <v>TALCHER STPS UNIT 3-6</v>
          </cell>
        </row>
        <row r="232">
          <cell r="A232" t="str">
            <v>MUNDRA TPS4</v>
          </cell>
          <cell r="B232" t="str">
            <v>MUNDRA TPS UNIT 1-4</v>
          </cell>
        </row>
        <row r="233">
          <cell r="A233" t="str">
            <v>CHHABRA TPS4</v>
          </cell>
          <cell r="B233" t="str">
            <v>CHHABRA TPS UNIT 1-4</v>
          </cell>
        </row>
        <row r="234">
          <cell r="A234" t="str">
            <v>ROSA TPP PH-I4</v>
          </cell>
          <cell r="B234" t="str">
            <v>ROSA TPP PH-I UNIT 3-4</v>
          </cell>
        </row>
        <row r="235">
          <cell r="A235" t="str">
            <v>D.P.L. TPS8</v>
          </cell>
        </row>
        <row r="236">
          <cell r="A236" t="str">
            <v>ROSA TPP PH-I3</v>
          </cell>
          <cell r="B236" t="str">
            <v>ROSA TPP PH-I UNIT 3-4</v>
          </cell>
        </row>
        <row r="237">
          <cell r="A237" t="str">
            <v>MUNDRA TPS3</v>
          </cell>
          <cell r="B237" t="str">
            <v>MUNDRA TPS UNIT 1-4</v>
          </cell>
        </row>
        <row r="238">
          <cell r="A238" t="str">
            <v>TALCHER STPS3</v>
          </cell>
          <cell r="B238" t="str">
            <v>TALCHER STPS UNIT 3-6</v>
          </cell>
        </row>
        <row r="239">
          <cell r="A239" t="str">
            <v>BELA TPS1</v>
          </cell>
        </row>
        <row r="240">
          <cell r="A240" t="str">
            <v>AMRAVATI TPS1</v>
          </cell>
          <cell r="B240" t="str">
            <v>AMRAVATI TPS</v>
          </cell>
        </row>
        <row r="241">
          <cell r="A241" t="str">
            <v>MAHADEV PRASAD STPP2</v>
          </cell>
          <cell r="B241" t="str">
            <v>MAHADEV PRASAD STPP</v>
          </cell>
        </row>
        <row r="242">
          <cell r="A242" t="str">
            <v>JSW RATNAGIRI TPP4</v>
          </cell>
        </row>
        <row r="243">
          <cell r="A243" t="str">
            <v>SATPURA TPS11</v>
          </cell>
          <cell r="B243" t="str">
            <v>SATPURA TPS UNIT 10-11</v>
          </cell>
        </row>
        <row r="244">
          <cell r="A244" t="str">
            <v>MAHADEV PRASAD STPP1</v>
          </cell>
          <cell r="B244" t="str">
            <v>MAHADEV PRASAD STPP</v>
          </cell>
        </row>
        <row r="245">
          <cell r="A245" t="str">
            <v>MUNDRA TPS2</v>
          </cell>
          <cell r="B245" t="str">
            <v>MUNDRA TPS UNIT 1-4</v>
          </cell>
        </row>
        <row r="246">
          <cell r="A246" t="str">
            <v>CHHABRA TPS3</v>
          </cell>
          <cell r="B246" t="str">
            <v>CHHABRA TPS UNIT 1-4</v>
          </cell>
        </row>
        <row r="247">
          <cell r="A247" t="str">
            <v>SIMHADRI STPP2</v>
          </cell>
          <cell r="B247" t="str">
            <v>SIMHADRI STPP UNIT 1-2</v>
          </cell>
        </row>
        <row r="248">
          <cell r="A248" t="str">
            <v>JSW RATNAGIRI TPP3</v>
          </cell>
        </row>
        <row r="249">
          <cell r="A249" t="str">
            <v>SHIRPUR TPP1</v>
          </cell>
        </row>
        <row r="250">
          <cell r="A250" t="str">
            <v>SATPURA TPS10</v>
          </cell>
          <cell r="B250" t="str">
            <v>SATPURA TPS UNIT 10-11</v>
          </cell>
        </row>
        <row r="251">
          <cell r="A251" t="str">
            <v>PARICHHA TPS6</v>
          </cell>
          <cell r="B251" t="str">
            <v>PARICHHA TPS UNIT 5-6</v>
          </cell>
        </row>
        <row r="252">
          <cell r="A252" t="str">
            <v>BINA TPS2</v>
          </cell>
          <cell r="B252" t="str">
            <v>BINA TPS</v>
          </cell>
        </row>
        <row r="253">
          <cell r="A253" t="str">
            <v>JSW RATNAGIRI TPP2</v>
          </cell>
        </row>
        <row r="254">
          <cell r="A254" t="str">
            <v>MUNDRA TPS1</v>
          </cell>
          <cell r="B254" t="str">
            <v>MUNDRA TPS UNIT 1-4</v>
          </cell>
        </row>
        <row r="255">
          <cell r="A255" t="str">
            <v>SIMHADRI STPP1</v>
          </cell>
          <cell r="B255" t="str">
            <v>SIMHADRI STPP UNIT 1-2</v>
          </cell>
        </row>
        <row r="256">
          <cell r="A256" t="str">
            <v>JSW RATNAGIRI TPP1</v>
          </cell>
          <cell r="B256" t="str">
            <v>JSW RATNAGIRI TPP UNIT 1</v>
          </cell>
        </row>
        <row r="257">
          <cell r="A257" t="str">
            <v>MUZAFFARPUR TPS3</v>
          </cell>
          <cell r="B257" t="str">
            <v>MUZAFFARPUR TPS UNIT 3-4</v>
          </cell>
        </row>
        <row r="258">
          <cell r="A258" t="str">
            <v>ROSA TPP PH-I2</v>
          </cell>
          <cell r="B258" t="str">
            <v>ROSA TPP PH-I UNIT 1-2</v>
          </cell>
        </row>
        <row r="259">
          <cell r="A259" t="str">
            <v>BINA TPS1</v>
          </cell>
          <cell r="B259" t="str">
            <v>BINA TPS</v>
          </cell>
        </row>
        <row r="260">
          <cell r="A260" t="str">
            <v>PATHADI TPS2</v>
          </cell>
          <cell r="B260" t="str">
            <v>PATHADI TPS</v>
          </cell>
        </row>
        <row r="261">
          <cell r="A261" t="str">
            <v>HARDUAGANJ TPS9</v>
          </cell>
          <cell r="B261" t="str">
            <v>HARDUAGANJ TPS UNIT 8-9</v>
          </cell>
        </row>
        <row r="262">
          <cell r="A262" t="str">
            <v>PARICHHA TPS5</v>
          </cell>
          <cell r="B262" t="str">
            <v>PARICHHA TPS UNIT 5-6</v>
          </cell>
        </row>
        <row r="263">
          <cell r="A263" t="str">
            <v>ROSA TPP PH-I1</v>
          </cell>
          <cell r="B263" t="str">
            <v>ROSA TPP PH-I UNIT 1-2</v>
          </cell>
        </row>
        <row r="264">
          <cell r="A264" t="str">
            <v>NEYVELI TPS-II EXP1</v>
          </cell>
          <cell r="B264" t="str">
            <v>NEYVELI TPS-II EXP</v>
          </cell>
        </row>
        <row r="265">
          <cell r="A265" t="str">
            <v>TORANGALLU TPS(SBU-II)4</v>
          </cell>
        </row>
        <row r="266">
          <cell r="A266" t="str">
            <v>SANTALDIH TPS6</v>
          </cell>
          <cell r="B266" t="str">
            <v>SANTALDIH TPS</v>
          </cell>
        </row>
        <row r="267">
          <cell r="A267" t="str">
            <v>HARDUAGANJ TPS8</v>
          </cell>
          <cell r="B267" t="str">
            <v>HARDUAGANJ TPS UNIT 8-9</v>
          </cell>
        </row>
        <row r="268">
          <cell r="A268" t="str">
            <v>PATHADI TPS1</v>
          </cell>
          <cell r="B268" t="str">
            <v>PATHADI TPS</v>
          </cell>
        </row>
        <row r="269">
          <cell r="A269" t="str">
            <v>TORANGALLU TPS(SBU-II)3</v>
          </cell>
        </row>
        <row r="270">
          <cell r="A270" t="str">
            <v>VINDHYACHAL STPS8</v>
          </cell>
          <cell r="B270" t="str">
            <v>VINDHYACHAL STPS UNIT 7-8</v>
          </cell>
        </row>
        <row r="271">
          <cell r="A271" t="str">
            <v>SAGARDIGHI TPS1</v>
          </cell>
          <cell r="B271" t="str">
            <v>SAGARDIGHI TPS UNIT 1-2</v>
          </cell>
        </row>
        <row r="272">
          <cell r="A272" t="str">
            <v>BARAUNI TPS7</v>
          </cell>
          <cell r="B272" t="str">
            <v>BARAUNI TPS</v>
          </cell>
        </row>
        <row r="273">
          <cell r="A273" t="str">
            <v>NIWARI TPP2</v>
          </cell>
        </row>
        <row r="274">
          <cell r="A274" t="str">
            <v>RAICHUR TPS8</v>
          </cell>
          <cell r="B274" t="str">
            <v>RAICHUR TPS UNIT 8</v>
          </cell>
        </row>
        <row r="275">
          <cell r="A275" t="str">
            <v>YAMUNA NAGAR TPS2</v>
          </cell>
          <cell r="B275" t="str">
            <v>YAMUNA NAGAR TPS</v>
          </cell>
        </row>
        <row r="276">
          <cell r="A276" t="str">
            <v>CHHABRA TPS2</v>
          </cell>
          <cell r="B276" t="str">
            <v>CHHABRA TPS UNIT 1-4</v>
          </cell>
        </row>
        <row r="277">
          <cell r="A277" t="str">
            <v>CHANDRAPURA(DVC)8</v>
          </cell>
          <cell r="B277" t="str">
            <v>CHANDRAPURA(DVC)</v>
          </cell>
        </row>
        <row r="278">
          <cell r="A278" t="str">
            <v>PARAS TPS4</v>
          </cell>
          <cell r="B278" t="str">
            <v>PARAS TPS</v>
          </cell>
        </row>
        <row r="279">
          <cell r="A279" t="str">
            <v>VINDHYACHAL STPS7</v>
          </cell>
          <cell r="B279" t="str">
            <v>VINDHYACHAL STPS UNIT 7-8</v>
          </cell>
        </row>
        <row r="280">
          <cell r="A280" t="str">
            <v>SAGARDIGHI TPS2</v>
          </cell>
          <cell r="B280" t="str">
            <v>SAGARDIGHI TPS UNIT 1-2</v>
          </cell>
        </row>
        <row r="281">
          <cell r="A281" t="str">
            <v>D.P.L. TPS7</v>
          </cell>
        </row>
        <row r="282">
          <cell r="A282" t="str">
            <v>PARLI TPS7</v>
          </cell>
          <cell r="B282" t="str">
            <v>PARLI TPS UNIT 6-7</v>
          </cell>
        </row>
        <row r="283">
          <cell r="A283" t="str">
            <v>YAMUNA NAGAR TPS1</v>
          </cell>
          <cell r="B283" t="str">
            <v>YAMUNA NAGAR TPS</v>
          </cell>
        </row>
        <row r="284">
          <cell r="A284" t="str">
            <v>CHANDRAPURA(DVC)7</v>
          </cell>
          <cell r="B284" t="str">
            <v>CHANDRAPURA(DVC)</v>
          </cell>
        </row>
        <row r="285">
          <cell r="A285" t="str">
            <v>CHHABRA TPS1</v>
          </cell>
          <cell r="B285" t="str">
            <v>CHHABRA TPS UNIT 1-4</v>
          </cell>
        </row>
        <row r="286">
          <cell r="A286" t="str">
            <v>SIMHAPURI TPS3</v>
          </cell>
        </row>
        <row r="287">
          <cell r="A287" t="str">
            <v>BUDGE BUDGE TPS3</v>
          </cell>
          <cell r="B287" t="str">
            <v>BUDGE BUDGE TPS</v>
          </cell>
        </row>
        <row r="288">
          <cell r="A288" t="str">
            <v>SURATGARH TPS6</v>
          </cell>
          <cell r="B288" t="str">
            <v>SURATGARH TPS</v>
          </cell>
        </row>
        <row r="289">
          <cell r="A289" t="str">
            <v>BHILAI TPS2</v>
          </cell>
          <cell r="B289" t="str">
            <v>BHILAI TPS</v>
          </cell>
        </row>
        <row r="290">
          <cell r="A290" t="str">
            <v>SANTALDIH TPS5</v>
          </cell>
          <cell r="B290" t="str">
            <v>SANTALDIH TPS</v>
          </cell>
        </row>
        <row r="291">
          <cell r="A291" t="str">
            <v>TROMBAY TPS8</v>
          </cell>
          <cell r="B291" t="str">
            <v>TROMBAY TPS UNIT 8</v>
          </cell>
        </row>
        <row r="292">
          <cell r="A292" t="str">
            <v>RAYALSEEMA TPS5</v>
          </cell>
          <cell r="B292" t="str">
            <v>RAYALSEEMA TPS UNIT 1-5</v>
          </cell>
        </row>
        <row r="293">
          <cell r="A293" t="str">
            <v>CHANDRAPUR STPS7</v>
          </cell>
          <cell r="B293" t="str">
            <v>CHANDRAPUR UNITS 3-7</v>
          </cell>
        </row>
        <row r="294">
          <cell r="A294" t="str">
            <v>MUZAFFARPUR TPS2</v>
          </cell>
          <cell r="B294" t="str">
            <v>MUZAFFARPUR TPS UNIT 1-2</v>
          </cell>
        </row>
        <row r="295">
          <cell r="A295" t="str">
            <v>GH TPS (LEH.MOH.)4</v>
          </cell>
          <cell r="B295" t="str">
            <v>GH TPS (LEH.MOH.)</v>
          </cell>
        </row>
        <row r="296">
          <cell r="A296" t="str">
            <v>OP JINDAL TPS4</v>
          </cell>
          <cell r="B296" t="str">
            <v>OP JINDAL TPS</v>
          </cell>
        </row>
        <row r="297">
          <cell r="A297" t="str">
            <v>BHILAI TPS1</v>
          </cell>
          <cell r="B297" t="str">
            <v>BHILAI TPS</v>
          </cell>
        </row>
        <row r="298">
          <cell r="A298" t="str">
            <v>OP JINDAL TPS3</v>
          </cell>
          <cell r="B298" t="str">
            <v>OP JINDAL TPS</v>
          </cell>
        </row>
        <row r="299">
          <cell r="A299" t="str">
            <v>JALIPA KAPURDI TPP7</v>
          </cell>
          <cell r="B299" t="str">
            <v>JALIPA KAPURDI TPP</v>
          </cell>
        </row>
        <row r="300">
          <cell r="A300" t="str">
            <v>JALIPA KAPURDI TPP6</v>
          </cell>
          <cell r="B300" t="str">
            <v>JALIPA KAPURDI TPP</v>
          </cell>
        </row>
        <row r="301">
          <cell r="A301" t="str">
            <v>SIMHAPURI TPS2</v>
          </cell>
        </row>
        <row r="302">
          <cell r="A302" t="str">
            <v>THAMMINAPATNAM TPS2</v>
          </cell>
        </row>
        <row r="303">
          <cell r="A303" t="str">
            <v>OP JINDAL TPS2</v>
          </cell>
          <cell r="B303" t="str">
            <v>OP JINDAL TPS</v>
          </cell>
        </row>
        <row r="304">
          <cell r="A304" t="str">
            <v>RATIJA TPS2</v>
          </cell>
          <cell r="B304" t="str">
            <v>RATIJA TPS</v>
          </cell>
        </row>
        <row r="305">
          <cell r="A305" t="str">
            <v>JALIPA KAPURDI TPP5</v>
          </cell>
          <cell r="B305" t="str">
            <v>JALIPA KAPURDI TPP</v>
          </cell>
        </row>
        <row r="306">
          <cell r="A306" t="str">
            <v>JALIPA KAPURDI TPP8</v>
          </cell>
          <cell r="B306" t="str">
            <v>JALIPA KAPURDI TPP</v>
          </cell>
        </row>
        <row r="307">
          <cell r="A307" t="str">
            <v>GH TPS (LEH.MOH.)3</v>
          </cell>
          <cell r="B307" t="str">
            <v>GH TPS (LEH.MOH.)</v>
          </cell>
        </row>
        <row r="308">
          <cell r="A308" t="str">
            <v>DSPM TPS2</v>
          </cell>
          <cell r="B308" t="str">
            <v>DSPM TPS</v>
          </cell>
        </row>
        <row r="309">
          <cell r="A309" t="str">
            <v>THAMMINAPATNAM TPS1</v>
          </cell>
        </row>
        <row r="310">
          <cell r="A310" t="str">
            <v>MEJIA TPS5</v>
          </cell>
          <cell r="B310" t="str">
            <v>MEJIA TPS</v>
          </cell>
        </row>
        <row r="311">
          <cell r="A311" t="str">
            <v>MUZAFFARPUR TPS1</v>
          </cell>
          <cell r="B311" t="str">
            <v>MUZAFFARPUR TPS UNIT 1-2</v>
          </cell>
        </row>
        <row r="312">
          <cell r="A312" t="str">
            <v>OP JINDAL TPS1</v>
          </cell>
          <cell r="B312" t="str">
            <v>OP JINDAL TPS</v>
          </cell>
        </row>
        <row r="313">
          <cell r="A313" t="str">
            <v>BAKRESWAR TPS1</v>
          </cell>
          <cell r="B313" t="str">
            <v>BAKRESWAR TPS UNIT 1-3</v>
          </cell>
        </row>
        <row r="314">
          <cell r="A314" t="str">
            <v>KASAIPALLI TPP2</v>
          </cell>
          <cell r="B314" t="str">
            <v>KASAIPALLI TPP</v>
          </cell>
        </row>
        <row r="315">
          <cell r="A315" t="str">
            <v>PARAS TPS3</v>
          </cell>
          <cell r="B315" t="str">
            <v>PARAS TPS</v>
          </cell>
        </row>
        <row r="316">
          <cell r="A316" t="str">
            <v>KOTA TPS7</v>
          </cell>
          <cell r="B316" t="str">
            <v>KOTA TPS</v>
          </cell>
        </row>
        <row r="317">
          <cell r="A317" t="str">
            <v>DSPM TPS1</v>
          </cell>
          <cell r="B317" t="str">
            <v>DSPM TPS</v>
          </cell>
        </row>
        <row r="318">
          <cell r="A318" t="str">
            <v>MEJIA TPS6</v>
          </cell>
          <cell r="B318" t="str">
            <v>MEJIA TPS</v>
          </cell>
        </row>
        <row r="319">
          <cell r="A319" t="str">
            <v>TALCHER STPS2</v>
          </cell>
          <cell r="B319" t="str">
            <v>TALCHER STPS UNIT 1-2</v>
          </cell>
        </row>
        <row r="320">
          <cell r="A320" t="str">
            <v>PARLI TPS6</v>
          </cell>
          <cell r="B320" t="str">
            <v>PARLI TPS UNIT 6-7</v>
          </cell>
        </row>
        <row r="321">
          <cell r="A321" t="str">
            <v>KASAIPALLI TPP1</v>
          </cell>
          <cell r="B321" t="str">
            <v>KASAIPALLI TPP</v>
          </cell>
        </row>
        <row r="322">
          <cell r="A322" t="str">
            <v>JALIPA KAPURDI TPP4</v>
          </cell>
          <cell r="B322" t="str">
            <v>JALIPA KAPURDI TPP</v>
          </cell>
        </row>
        <row r="323">
          <cell r="A323" t="str">
            <v>JALIPA KAPURDI TPP3</v>
          </cell>
          <cell r="B323" t="str">
            <v>JALIPA KAPURDI TPP</v>
          </cell>
        </row>
        <row r="324">
          <cell r="A324" t="str">
            <v>AMARKANTAK TPS3</v>
          </cell>
          <cell r="B324" t="str">
            <v>AMARKANTAK TPS</v>
          </cell>
        </row>
        <row r="325">
          <cell r="A325" t="str">
            <v>WARDHA WARORA TPP4</v>
          </cell>
        </row>
        <row r="326">
          <cell r="A326" t="str">
            <v>BAKRESWAR TPS5</v>
          </cell>
          <cell r="B326" t="str">
            <v>BAKRESWAR TPS UNIT 4-5</v>
          </cell>
        </row>
        <row r="327">
          <cell r="A327" t="str">
            <v>TALCHER STPS1</v>
          </cell>
          <cell r="B327" t="str">
            <v>TALCHER STPS UNIT 1-2</v>
          </cell>
        </row>
        <row r="328">
          <cell r="A328" t="str">
            <v>RAYALSEEMA TPS4</v>
          </cell>
          <cell r="B328" t="str">
            <v>RAYALSEEMA TPS UNIT 1-5</v>
          </cell>
        </row>
        <row r="329">
          <cell r="A329" t="str">
            <v>WARDHA WARORA TPP3</v>
          </cell>
        </row>
        <row r="330">
          <cell r="A330" t="str">
            <v>WARDHA WARORA TPP2</v>
          </cell>
        </row>
        <row r="331">
          <cell r="A331" t="str">
            <v>BARSINGSAR LIGNITE2</v>
          </cell>
          <cell r="B331" t="str">
            <v>BARSINGSAR LIGNITE</v>
          </cell>
        </row>
        <row r="332">
          <cell r="A332" t="str">
            <v>ANPARA TPS5</v>
          </cell>
          <cell r="B332" t="str">
            <v>ANPARA - B</v>
          </cell>
        </row>
        <row r="333">
          <cell r="A333" t="str">
            <v>JALIPA KAPURDI TPP2</v>
          </cell>
          <cell r="B333" t="str">
            <v>JALIPA KAPURDI TPP</v>
          </cell>
        </row>
        <row r="334">
          <cell r="A334" t="str">
            <v>RAYALSEEMA TPS3</v>
          </cell>
          <cell r="B334" t="str">
            <v>RAYALSEEMA TPS UNIT 1-5</v>
          </cell>
        </row>
        <row r="335">
          <cell r="A335" t="str">
            <v>PARICHHA TPS4</v>
          </cell>
          <cell r="B335" t="str">
            <v>PARICHHA TPS UNIT 3-4</v>
          </cell>
        </row>
        <row r="336">
          <cell r="A336" t="str">
            <v>FARAKKA STPS5</v>
          </cell>
          <cell r="B336" t="str">
            <v>FARAKKA STPS UNIT 1-5</v>
          </cell>
        </row>
        <row r="337">
          <cell r="A337" t="str">
            <v>PANIPAT TPS8</v>
          </cell>
          <cell r="B337" t="str">
            <v>PANIPAT TPS UNIT 8</v>
          </cell>
        </row>
        <row r="338">
          <cell r="A338" t="str">
            <v>BARSINGSAR LIGNITE1</v>
          </cell>
          <cell r="B338" t="str">
            <v>BARSINGSAR LIGNITE</v>
          </cell>
        </row>
        <row r="339">
          <cell r="A339" t="str">
            <v>UNCHAHAR STPS5</v>
          </cell>
          <cell r="B339" t="str">
            <v>UNCHAHAR STPS UNIT 5</v>
          </cell>
        </row>
        <row r="340">
          <cell r="A340" t="str">
            <v>NIWARI TPP1</v>
          </cell>
        </row>
        <row r="341">
          <cell r="A341" t="str">
            <v>SURAT LIG. TPS4</v>
          </cell>
          <cell r="B341" t="str">
            <v>SURAT LIG. TPS UNIT 3-4</v>
          </cell>
        </row>
        <row r="342">
          <cell r="A342" t="str">
            <v>SURAT LIG. TPS3</v>
          </cell>
          <cell r="B342" t="str">
            <v>SURAT LIG. TPS UNIT 3-4</v>
          </cell>
        </row>
        <row r="343">
          <cell r="A343" t="str">
            <v>JALIPA KAPURDI TPP1</v>
          </cell>
          <cell r="B343" t="str">
            <v>JALIPA KAPURDI TPP</v>
          </cell>
        </row>
        <row r="344">
          <cell r="A344" t="str">
            <v>PANIPAT TPS7</v>
          </cell>
          <cell r="B344" t="str">
            <v>PANIPAT TPS UNIT 7</v>
          </cell>
        </row>
        <row r="345">
          <cell r="A345" t="str">
            <v>ANPARA TPS4</v>
          </cell>
          <cell r="B345" t="str">
            <v>ANPARA - B</v>
          </cell>
        </row>
        <row r="346">
          <cell r="A346" t="str">
            <v>CHAKABURA TPP2</v>
          </cell>
        </row>
        <row r="347">
          <cell r="A347" t="str">
            <v>PARICHHA TPS3</v>
          </cell>
          <cell r="B347" t="str">
            <v>PARICHHA TPS UNIT 3-4</v>
          </cell>
        </row>
        <row r="348">
          <cell r="A348" t="str">
            <v>RATIJA TPS1</v>
          </cell>
          <cell r="B348" t="str">
            <v>RATIJA TPS</v>
          </cell>
        </row>
        <row r="349">
          <cell r="A349" t="str">
            <v>SVPL TPP1</v>
          </cell>
        </row>
        <row r="350">
          <cell r="A350" t="str">
            <v>FARAKKA STPS4</v>
          </cell>
          <cell r="B350" t="str">
            <v>FARAKKA STPS UNIT 1-5</v>
          </cell>
        </row>
        <row r="351">
          <cell r="A351" t="str">
            <v>SURATGARH TPS5</v>
          </cell>
          <cell r="B351" t="str">
            <v>SURATGARH TPS</v>
          </cell>
        </row>
        <row r="352">
          <cell r="A352" t="str">
            <v>CHANDRAPUR STPS6</v>
          </cell>
          <cell r="B352" t="str">
            <v>CHANDRAPUR UNITS 3-7</v>
          </cell>
        </row>
        <row r="353">
          <cell r="A353" t="str">
            <v>UTRAULA TPS2</v>
          </cell>
          <cell r="B353" t="str">
            <v>UTRAULA TPS</v>
          </cell>
        </row>
        <row r="354">
          <cell r="A354" t="str">
            <v>KUNDARKI TPS2</v>
          </cell>
          <cell r="B354" t="str">
            <v>KUNDARKI TPS</v>
          </cell>
        </row>
        <row r="355">
          <cell r="A355" t="str">
            <v>UTRAULA TPS1</v>
          </cell>
          <cell r="B355" t="str">
            <v>UTRAULA TPS</v>
          </cell>
        </row>
        <row r="356">
          <cell r="A356" t="str">
            <v>MEJIA TPS4</v>
          </cell>
          <cell r="B356" t="str">
            <v>MEJIA TPS</v>
          </cell>
        </row>
        <row r="357">
          <cell r="A357" t="str">
            <v>KUNDARKI TPS1</v>
          </cell>
          <cell r="B357" t="str">
            <v>KUNDARKI TPS</v>
          </cell>
        </row>
        <row r="358">
          <cell r="A358" t="str">
            <v>BARKHERA TPS2</v>
          </cell>
          <cell r="B358" t="str">
            <v>BARKHERA TPS</v>
          </cell>
        </row>
        <row r="359">
          <cell r="A359" t="str">
            <v>MAQSOODPUR TPS2</v>
          </cell>
          <cell r="B359" t="str">
            <v>MAQSOODPUR TPS</v>
          </cell>
        </row>
        <row r="360">
          <cell r="A360" t="str">
            <v>BARKHERA TPS1</v>
          </cell>
          <cell r="B360" t="str">
            <v>BARKHERA TPS</v>
          </cell>
        </row>
        <row r="361">
          <cell r="A361" t="str">
            <v>KHAMBARKHERA TPS2</v>
          </cell>
          <cell r="B361" t="str">
            <v>KHAMBARKHERA TPS</v>
          </cell>
        </row>
        <row r="362">
          <cell r="A362" t="str">
            <v>MAQSOODPUR TPS1</v>
          </cell>
          <cell r="B362" t="str">
            <v>MAQSOODPUR TPS</v>
          </cell>
        </row>
        <row r="363">
          <cell r="A363" t="str">
            <v>NEYVELI TPS (Z)1</v>
          </cell>
          <cell r="B363" t="str">
            <v>NEYVELI TPS (Z)</v>
          </cell>
        </row>
        <row r="364">
          <cell r="A364" t="str">
            <v>KHAMBARKHERA TPS1</v>
          </cell>
          <cell r="B364" t="str">
            <v>KHAMBARKHERA TPS</v>
          </cell>
        </row>
        <row r="365">
          <cell r="A365" t="str">
            <v>NORTH CHENNAI TPS2</v>
          </cell>
          <cell r="B365" t="str">
            <v>NORTH CHENNAI TPS UNIT 1-3</v>
          </cell>
        </row>
        <row r="366">
          <cell r="A366" t="str">
            <v>NORTH CHENNAI TPS1</v>
          </cell>
          <cell r="B366" t="str">
            <v>NORTH CHENNAI TPS UNIT 1-3</v>
          </cell>
        </row>
        <row r="367">
          <cell r="A367" t="str">
            <v>SURATGARH TPS4</v>
          </cell>
          <cell r="B367" t="str">
            <v>SURATGARH TPS</v>
          </cell>
        </row>
        <row r="368">
          <cell r="A368" t="str">
            <v>CHANDRAPUR STPS5</v>
          </cell>
          <cell r="B368" t="str">
            <v>CHANDRAPUR UNITS 3-7</v>
          </cell>
        </row>
        <row r="369">
          <cell r="A369" t="str">
            <v>KUTCH LIG. TPS4</v>
          </cell>
          <cell r="B369" t="str">
            <v>KUTCH LIG. TPS UNIT 4</v>
          </cell>
        </row>
        <row r="370">
          <cell r="A370" t="str">
            <v>SURATGARH TPS3</v>
          </cell>
          <cell r="B370" t="str">
            <v>SURATGARH TPS</v>
          </cell>
        </row>
        <row r="371">
          <cell r="A371" t="str">
            <v>NEYVELI (EXT) TPS2</v>
          </cell>
          <cell r="B371" t="str">
            <v>NEYVELI (EXT) TPS</v>
          </cell>
        </row>
        <row r="372">
          <cell r="A372" t="str">
            <v>RAICHUR TPS7</v>
          </cell>
          <cell r="B372" t="str">
            <v>RAICHUR TPS UNIT 1-7</v>
          </cell>
        </row>
        <row r="373">
          <cell r="A373" t="str">
            <v>KOTA TPS6</v>
          </cell>
          <cell r="B373" t="str">
            <v>KOTA TPS</v>
          </cell>
        </row>
        <row r="374">
          <cell r="A374" t="str">
            <v>NEYVELI (EXT) TPS1</v>
          </cell>
          <cell r="B374" t="str">
            <v>NEYVELI (EXT) TPS</v>
          </cell>
        </row>
        <row r="375">
          <cell r="A375" t="str">
            <v>RAMAGUNDEM STPS6</v>
          </cell>
          <cell r="B375" t="str">
            <v>RAMAGUNDEM STPS UNIT 1-6</v>
          </cell>
        </row>
        <row r="376">
          <cell r="A376" t="str">
            <v>RIHAND STPS2</v>
          </cell>
          <cell r="B376" t="str">
            <v>RIHAND STPS UNIT 1-2</v>
          </cell>
        </row>
        <row r="377">
          <cell r="A377" t="str">
            <v>AKRIMOTA LIG TPS2</v>
          </cell>
          <cell r="B377" t="str">
            <v>AKRIMOTA LIG TPS</v>
          </cell>
        </row>
        <row r="378">
          <cell r="A378" t="str">
            <v>SURATGARH TPS2</v>
          </cell>
          <cell r="B378" t="str">
            <v>SURATGARH TPS</v>
          </cell>
        </row>
        <row r="379">
          <cell r="A379" t="str">
            <v>RAMAGUNDEM STPS5</v>
          </cell>
          <cell r="B379" t="str">
            <v>RAMAGUNDEM STPS UNIT 1-6</v>
          </cell>
        </row>
        <row r="380">
          <cell r="A380" t="str">
            <v>KORBA STPS6</v>
          </cell>
          <cell r="B380" t="str">
            <v>KORBA STPS UNIT 1-6</v>
          </cell>
        </row>
        <row r="381">
          <cell r="A381" t="str">
            <v>AKRIMOTA LIG TPS1</v>
          </cell>
          <cell r="B381" t="str">
            <v>AKRIMOTA LIG TPS</v>
          </cell>
        </row>
        <row r="382">
          <cell r="A382" t="str">
            <v>RAMAGUNDEM STPS4</v>
          </cell>
          <cell r="B382" t="str">
            <v>RAMAGUNDEM STPS UNIT 1-6</v>
          </cell>
        </row>
        <row r="383">
          <cell r="A383" t="str">
            <v>BAKRESWAR TPS4</v>
          </cell>
          <cell r="B383" t="str">
            <v>BAKRESWAR TPS UNIT 4-5</v>
          </cell>
        </row>
        <row r="384">
          <cell r="A384" t="str">
            <v>PANIPAT TPS6</v>
          </cell>
          <cell r="B384" t="str">
            <v>PANIPAT TPS UNIT 6</v>
          </cell>
        </row>
        <row r="385">
          <cell r="A385" t="str">
            <v>KHAPARKHEDA TPS4</v>
          </cell>
          <cell r="B385" t="str">
            <v>KHAPARKHEDA TPS UNIT 1-4</v>
          </cell>
        </row>
        <row r="386">
          <cell r="A386" t="str">
            <v>BUDGE BUDGE TPS2</v>
          </cell>
          <cell r="B386" t="str">
            <v>BUDGE BUDGE TPS</v>
          </cell>
        </row>
        <row r="387">
          <cell r="A387" t="str">
            <v>RIHAND STPS1</v>
          </cell>
          <cell r="B387" t="str">
            <v>RIHAND STPS UNIT 1-2</v>
          </cell>
        </row>
        <row r="388">
          <cell r="A388" t="str">
            <v>KORBA STPS5</v>
          </cell>
          <cell r="B388" t="str">
            <v>KORBA STPS UNIT 1-6</v>
          </cell>
        </row>
        <row r="389">
          <cell r="A389" t="str">
            <v>SINGRAULI STPS7</v>
          </cell>
          <cell r="B389" t="str">
            <v>SINGRAULI STPS</v>
          </cell>
        </row>
        <row r="390">
          <cell r="A390" t="str">
            <v>BAKRESWAR TPS3</v>
          </cell>
          <cell r="B390" t="str">
            <v>BAKRESWAR TPS UNIT 1-3</v>
          </cell>
        </row>
        <row r="391">
          <cell r="A391" t="str">
            <v>KHAPARKHEDA TPS3</v>
          </cell>
          <cell r="B391" t="str">
            <v>KHAPARKHEDA TPS UNIT 1-4</v>
          </cell>
        </row>
        <row r="392">
          <cell r="A392" t="str">
            <v>SURATGARH TPS1</v>
          </cell>
          <cell r="B392" t="str">
            <v>SURATGARH TPS</v>
          </cell>
        </row>
        <row r="393">
          <cell r="A393" t="str">
            <v>KORBA STPS4</v>
          </cell>
          <cell r="B393" t="str">
            <v>KORBA STPS UNIT 1-6</v>
          </cell>
        </row>
        <row r="394">
          <cell r="A394" t="str">
            <v>KOTHAGUDEM NEW TPS10</v>
          </cell>
          <cell r="B394" t="str">
            <v>KOTHAGUDEM NEW TPS UNIT 9-10</v>
          </cell>
        </row>
        <row r="395">
          <cell r="A395" t="str">
            <v>SANJAY GANDHI TPS4</v>
          </cell>
        </row>
        <row r="396">
          <cell r="A396" t="str">
            <v>UNCHAHAR STPS4</v>
          </cell>
          <cell r="B396" t="str">
            <v>UNCHAHAR STPS UNIT 3-4</v>
          </cell>
        </row>
        <row r="397">
          <cell r="A397" t="str">
            <v>SINGRAULI STPS6</v>
          </cell>
          <cell r="B397" t="str">
            <v>SINGRAULI STPS</v>
          </cell>
        </row>
        <row r="398">
          <cell r="A398" t="str">
            <v>BAKRESWAR TPS2</v>
          </cell>
          <cell r="B398" t="str">
            <v>BAKRESWAR TPS UNIT 1-3</v>
          </cell>
        </row>
        <row r="399">
          <cell r="A399" t="str">
            <v>RAICHUR TPS6</v>
          </cell>
          <cell r="B399" t="str">
            <v>RAICHUR TPS UNIT 1-7</v>
          </cell>
        </row>
        <row r="400">
          <cell r="A400" t="str">
            <v>BUDGE BUDGE TPS1</v>
          </cell>
          <cell r="B400" t="str">
            <v>BUDGE BUDGE TPS</v>
          </cell>
        </row>
        <row r="401">
          <cell r="A401" t="str">
            <v>SANJAY GANDHI TPS3</v>
          </cell>
        </row>
        <row r="402">
          <cell r="A402" t="str">
            <v>UNCHAHAR STPS3</v>
          </cell>
          <cell r="B402" t="str">
            <v>UNCHAHAR STPS UNIT 3-4</v>
          </cell>
        </row>
        <row r="403">
          <cell r="A403" t="str">
            <v>RAICHUR TPS5</v>
          </cell>
          <cell r="B403" t="str">
            <v>RAICHUR TPS UNIT 1-7</v>
          </cell>
        </row>
        <row r="404">
          <cell r="A404" t="str">
            <v>KOTHAGUDEM NEW TPS9</v>
          </cell>
          <cell r="B404" t="str">
            <v>KOTHAGUDEM NEW TPS UNIT 9-10</v>
          </cell>
        </row>
        <row r="405">
          <cell r="A405" t="str">
            <v>WANAKBORI TPS7</v>
          </cell>
          <cell r="B405" t="str">
            <v>WANAKBORI TPS UNIT 7</v>
          </cell>
        </row>
        <row r="406">
          <cell r="A406" t="str">
            <v>GH TPS (LEH.MOH.)2</v>
          </cell>
          <cell r="B406" t="str">
            <v>GH TPS (LEH.MOH.)</v>
          </cell>
        </row>
        <row r="407">
          <cell r="A407" t="str">
            <v>MEJIA TPS3</v>
          </cell>
          <cell r="B407" t="str">
            <v>MEJIA TPS</v>
          </cell>
        </row>
        <row r="408">
          <cell r="A408" t="str">
            <v>GANDHI NAGAR TPS5</v>
          </cell>
          <cell r="B408" t="str">
            <v>GANDHI NAGAR TPS UNIT 5</v>
          </cell>
        </row>
        <row r="409">
          <cell r="A409" t="str">
            <v>JOJOBERA TPS3</v>
          </cell>
        </row>
        <row r="410">
          <cell r="A410" t="str">
            <v>GH TPS (LEH.MOH.)1</v>
          </cell>
          <cell r="B410" t="str">
            <v>GH TPS (LEH.MOH.)</v>
          </cell>
        </row>
        <row r="411">
          <cell r="A411" t="str">
            <v>TENUGHAT TPS2</v>
          </cell>
          <cell r="B411" t="str">
            <v>TENUGHAT TPS</v>
          </cell>
        </row>
        <row r="412">
          <cell r="A412" t="str">
            <v>MEJIA TPS2</v>
          </cell>
          <cell r="B412" t="str">
            <v>MEJIA TPS</v>
          </cell>
        </row>
        <row r="413">
          <cell r="A413" t="str">
            <v>JOJOBERA TPS2</v>
          </cell>
        </row>
        <row r="414">
          <cell r="A414" t="str">
            <v>DAHANU TPS2</v>
          </cell>
          <cell r="B414" t="str">
            <v>DAHANU TPS</v>
          </cell>
        </row>
        <row r="415">
          <cell r="A415" t="str">
            <v>DAHANU TPS1</v>
          </cell>
          <cell r="B415" t="str">
            <v>DAHANU TPS</v>
          </cell>
        </row>
        <row r="416">
          <cell r="A416" t="str">
            <v>TROMBAY TPS5</v>
          </cell>
          <cell r="B416" t="str">
            <v>TROMBAY TPS UNIT 5</v>
          </cell>
        </row>
        <row r="417">
          <cell r="A417" t="str">
            <v>TENUGHAT TPS1</v>
          </cell>
          <cell r="B417" t="str">
            <v>TENUGHAT TPS</v>
          </cell>
        </row>
        <row r="418">
          <cell r="A418" t="str">
            <v>SURAT LIG. TPS1</v>
          </cell>
          <cell r="B418" t="str">
            <v>SURAT LIG. TPS UNIT 1-2</v>
          </cell>
        </row>
        <row r="419">
          <cell r="A419" t="str">
            <v>MEJIA TPS1</v>
          </cell>
          <cell r="B419" t="str">
            <v>MEJIA TPS</v>
          </cell>
        </row>
        <row r="420">
          <cell r="A420" t="str">
            <v>KAHALGAON TPS4</v>
          </cell>
          <cell r="B420" t="str">
            <v>KAHALGAON TPS UNIT 1-4</v>
          </cell>
        </row>
        <row r="421">
          <cell r="A421" t="str">
            <v>SURAT LIG. TPS2</v>
          </cell>
          <cell r="B421" t="str">
            <v>SURAT LIG. TPS UNIT 1-2</v>
          </cell>
        </row>
        <row r="422">
          <cell r="A422" t="str">
            <v>NORTH CHENNAI TPS3</v>
          </cell>
          <cell r="B422" t="str">
            <v>NORTH CHENNAI TPS UNIT 1-3</v>
          </cell>
        </row>
        <row r="423">
          <cell r="A423" t="str">
            <v>TORANGALLU TPS(SBU-I)2</v>
          </cell>
        </row>
        <row r="424">
          <cell r="A424" t="str">
            <v>IB VALLEY TPS2</v>
          </cell>
          <cell r="B424" t="str">
            <v>IB VALLEY TPS UNIT 1-2</v>
          </cell>
        </row>
        <row r="425">
          <cell r="A425" t="str">
            <v>TORANGALLU TPS(SBU-I)1</v>
          </cell>
        </row>
        <row r="426">
          <cell r="A426" t="str">
            <v>KAHALGAON TPS3</v>
          </cell>
          <cell r="B426" t="str">
            <v>KAHALGAON TPS UNIT 1-4</v>
          </cell>
        </row>
        <row r="427">
          <cell r="A427" t="str">
            <v>DR. N TATA RAO TPS6</v>
          </cell>
          <cell r="B427" t="str">
            <v>DR. N TATA RAO TPS UNIT 1-6</v>
          </cell>
        </row>
        <row r="428">
          <cell r="A428" t="str">
            <v>RAYALSEEMA TPS2</v>
          </cell>
          <cell r="B428" t="str">
            <v>RAYALSEEMA TPS UNIT 1-5</v>
          </cell>
        </row>
        <row r="429">
          <cell r="A429" t="str">
            <v>RAICHUR TPS4</v>
          </cell>
          <cell r="B429" t="str">
            <v>RAICHUR TPS UNIT 1-7</v>
          </cell>
        </row>
        <row r="430">
          <cell r="A430" t="str">
            <v>IB VALLEY TPS1</v>
          </cell>
          <cell r="B430" t="str">
            <v>IB VALLEY TPS UNIT 1-2</v>
          </cell>
        </row>
        <row r="431">
          <cell r="A431" t="str">
            <v>DR. N TATA RAO TPS5</v>
          </cell>
          <cell r="B431" t="str">
            <v>DR. N TATA RAO TPS UNIT 1-6</v>
          </cell>
        </row>
        <row r="432">
          <cell r="A432" t="str">
            <v>DADRI (NCTPP)4</v>
          </cell>
          <cell r="B432" t="str">
            <v>DADRI (NCTPP) UNIT 1-4</v>
          </cell>
        </row>
        <row r="433">
          <cell r="A433" t="str">
            <v>KOTA TPS5</v>
          </cell>
          <cell r="B433" t="str">
            <v>KOTA TPS</v>
          </cell>
        </row>
        <row r="434">
          <cell r="A434" t="str">
            <v>RAYALSEEMA TPS1</v>
          </cell>
          <cell r="B434" t="str">
            <v>RAYALSEEMA TPS UNIT 1-5</v>
          </cell>
        </row>
        <row r="435">
          <cell r="A435" t="str">
            <v>KAHALGAON TPS2</v>
          </cell>
          <cell r="B435" t="str">
            <v>KAHALGAON TPS UNIT 1-4</v>
          </cell>
        </row>
        <row r="436">
          <cell r="A436" t="str">
            <v>KOLAGHAT TPS5</v>
          </cell>
          <cell r="B436" t="str">
            <v>KOLAGHAT TPS</v>
          </cell>
        </row>
        <row r="437">
          <cell r="A437" t="str">
            <v>TANDA STPS4</v>
          </cell>
          <cell r="B437" t="str">
            <v>TANDA STPS UNIT 1-4</v>
          </cell>
        </row>
        <row r="438">
          <cell r="A438" t="str">
            <v>BOKARO B TPS3</v>
          </cell>
        </row>
        <row r="439">
          <cell r="A439" t="str">
            <v>NEYVELI TPS-II7</v>
          </cell>
          <cell r="B439" t="str">
            <v>NEYVELI TPS-II UNIT 4-7</v>
          </cell>
        </row>
        <row r="440">
          <cell r="A440" t="str">
            <v>DADRI (NCTPP)3</v>
          </cell>
          <cell r="B440" t="str">
            <v>DADRI (NCTPP) UNIT 1-4</v>
          </cell>
        </row>
        <row r="441">
          <cell r="A441" t="str">
            <v>SANJAY GANDHI TPS1</v>
          </cell>
        </row>
        <row r="442">
          <cell r="A442" t="str">
            <v>SANJAY GANDHI TPS2</v>
          </cell>
        </row>
        <row r="443">
          <cell r="A443" t="str">
            <v>ROPAR TPS6</v>
          </cell>
          <cell r="B443" t="str">
            <v>ROPAR TPS</v>
          </cell>
        </row>
        <row r="444">
          <cell r="A444" t="str">
            <v>KOLAGHAT TPS1</v>
          </cell>
          <cell r="B444" t="str">
            <v>KOLAGHAT TPS</v>
          </cell>
        </row>
        <row r="445">
          <cell r="A445" t="str">
            <v>DADRI (NCTPP)2</v>
          </cell>
          <cell r="B445" t="str">
            <v>DADRI (NCTPP) UNIT 1-4</v>
          </cell>
        </row>
        <row r="446">
          <cell r="A446" t="str">
            <v>NEYVELI TPS-II6</v>
          </cell>
          <cell r="B446" t="str">
            <v>NEYVELI TPS-II UNIT 4-7</v>
          </cell>
        </row>
        <row r="447">
          <cell r="A447" t="str">
            <v>ROPAR TPS5</v>
          </cell>
          <cell r="B447" t="str">
            <v>ROPAR TPS</v>
          </cell>
        </row>
        <row r="448">
          <cell r="A448" t="str">
            <v>KAHALGAON TPS1</v>
          </cell>
          <cell r="B448" t="str">
            <v>KAHALGAON TPS UNIT 1-4</v>
          </cell>
        </row>
        <row r="449">
          <cell r="A449" t="str">
            <v>TUTICORIN TPS4</v>
          </cell>
          <cell r="B449" t="str">
            <v>TUTICORIN TPS</v>
          </cell>
        </row>
        <row r="450">
          <cell r="A450" t="str">
            <v>DADRI (NCTPP)1</v>
          </cell>
          <cell r="B450" t="str">
            <v>DADRI (NCTPP) UNIT 1-4</v>
          </cell>
        </row>
        <row r="451">
          <cell r="A451" t="str">
            <v>NEYVELI TPS-II5</v>
          </cell>
          <cell r="B451" t="str">
            <v>NEYVELI TPS-II UNIT 4-7</v>
          </cell>
        </row>
        <row r="452">
          <cell r="A452" t="str">
            <v>GANDHI NAGAR TPS4</v>
          </cell>
          <cell r="B452" t="str">
            <v>GANDHI NAGAR TPS UNIT 3-4</v>
          </cell>
        </row>
        <row r="453">
          <cell r="A453" t="str">
            <v>TUTICORIN TPS5</v>
          </cell>
          <cell r="B453" t="str">
            <v>TUTICORIN TPS</v>
          </cell>
        </row>
        <row r="454">
          <cell r="A454" t="str">
            <v>KUTCH LIG. TPS3</v>
          </cell>
          <cell r="B454" t="str">
            <v>KUTCH LIG. TPS UNIT 1-3</v>
          </cell>
        </row>
        <row r="455">
          <cell r="A455" t="str">
            <v>NEYVELI TPS-II4</v>
          </cell>
          <cell r="B455" t="str">
            <v>NEYVELI TPS-II UNIT 4-7</v>
          </cell>
        </row>
        <row r="456">
          <cell r="A456" t="str">
            <v>RAICHUR TPS3</v>
          </cell>
          <cell r="B456" t="str">
            <v>RAICHUR TPS UNIT 1-7</v>
          </cell>
        </row>
        <row r="457">
          <cell r="A457" t="str">
            <v>KOLAGHAT TPS6</v>
          </cell>
          <cell r="B457" t="str">
            <v>KOLAGHAT TPS</v>
          </cell>
        </row>
        <row r="458">
          <cell r="A458" t="str">
            <v>VINDHYACHAL STPS6</v>
          </cell>
          <cell r="B458" t="str">
            <v>VINDHYACHAL STPS UNIT 1-6</v>
          </cell>
        </row>
        <row r="459">
          <cell r="A459" t="str">
            <v>DR. N TATA RAO TPS4</v>
          </cell>
          <cell r="B459" t="str">
            <v>DR. N TATA RAO TPS UNIT 1-6</v>
          </cell>
        </row>
        <row r="460">
          <cell r="A460" t="str">
            <v>KOLAGHAT TPS2</v>
          </cell>
          <cell r="B460" t="str">
            <v>KOLAGHAT TPS</v>
          </cell>
        </row>
        <row r="461">
          <cell r="A461" t="str">
            <v>METTUR TPS4</v>
          </cell>
          <cell r="B461" t="str">
            <v>METTUR TPS</v>
          </cell>
        </row>
        <row r="462">
          <cell r="A462" t="str">
            <v>GANDHI NAGAR TPS3</v>
          </cell>
          <cell r="B462" t="str">
            <v>GANDHI NAGAR TPS UNIT 3-4</v>
          </cell>
        </row>
        <row r="463">
          <cell r="A463" t="str">
            <v>VINDHYACHAL STPS5</v>
          </cell>
          <cell r="B463" t="str">
            <v>VINDHYACHAL STPS UNIT 1-6</v>
          </cell>
        </row>
        <row r="464">
          <cell r="A464" t="str">
            <v>KHAPARKHEDA TPS2</v>
          </cell>
          <cell r="B464" t="str">
            <v>KHAPARKHEDA TPS UNIT 1-4</v>
          </cell>
        </row>
        <row r="465">
          <cell r="A465" t="str">
            <v>VINDHYACHAL STPS4</v>
          </cell>
          <cell r="B465" t="str">
            <v>VINDHYACHAL STPS UNIT 1-6</v>
          </cell>
        </row>
        <row r="466">
          <cell r="A466" t="str">
            <v>DR. N TATA RAO TPS3</v>
          </cell>
          <cell r="B466" t="str">
            <v>DR. N TATA RAO TPS UNIT 1-6</v>
          </cell>
        </row>
        <row r="467">
          <cell r="A467" t="str">
            <v>KOTA TPS4</v>
          </cell>
          <cell r="B467" t="str">
            <v>KOTA TPS</v>
          </cell>
        </row>
        <row r="468">
          <cell r="A468" t="str">
            <v>METTUR TPS3</v>
          </cell>
          <cell r="B468" t="str">
            <v>METTUR TPS</v>
          </cell>
        </row>
        <row r="469">
          <cell r="A469" t="str">
            <v>UNCHAHAR STPS2</v>
          </cell>
          <cell r="B469" t="str">
            <v>UNCHAHAR STPS UNIT 1-2</v>
          </cell>
        </row>
        <row r="470">
          <cell r="A470" t="str">
            <v>PANIPAT TPS5</v>
          </cell>
          <cell r="B470" t="str">
            <v>PANIPAT TPS UNIT 5</v>
          </cell>
        </row>
        <row r="471">
          <cell r="A471" t="str">
            <v>KHAPARKHEDA TPS1</v>
          </cell>
          <cell r="B471" t="str">
            <v>KHAPARKHEDA TPS UNIT 1-4</v>
          </cell>
        </row>
        <row r="472">
          <cell r="A472" t="str">
            <v>VINDHYACHAL STPS3</v>
          </cell>
          <cell r="B472" t="str">
            <v>VINDHYACHAL STPS UNIT 1-6</v>
          </cell>
        </row>
        <row r="473">
          <cell r="A473" t="str">
            <v>ROPAR TPS4</v>
          </cell>
          <cell r="B473" t="str">
            <v>ROPAR TPS</v>
          </cell>
        </row>
        <row r="474">
          <cell r="A474" t="str">
            <v>UNCHAHAR STPS1</v>
          </cell>
          <cell r="B474" t="str">
            <v>UNCHAHAR STPS UNIT 1-2</v>
          </cell>
        </row>
        <row r="475">
          <cell r="A475" t="str">
            <v>KOTA TPS3</v>
          </cell>
          <cell r="B475" t="str">
            <v>KOTA TPS</v>
          </cell>
        </row>
        <row r="476">
          <cell r="A476" t="str">
            <v>VINDHYACHAL STPS2</v>
          </cell>
          <cell r="B476" t="str">
            <v>VINDHYACHAL STPS UNIT 1-6</v>
          </cell>
        </row>
        <row r="477">
          <cell r="A477" t="str">
            <v>ANPARA TPS3</v>
          </cell>
          <cell r="B477" t="str">
            <v>ANPARA - A</v>
          </cell>
        </row>
        <row r="478">
          <cell r="A478" t="str">
            <v>ROPAR TPS3</v>
          </cell>
          <cell r="B478" t="str">
            <v>ROPAR TPS</v>
          </cell>
        </row>
        <row r="479">
          <cell r="A479" t="str">
            <v>NEYVELI TPS-II1</v>
          </cell>
          <cell r="B479" t="str">
            <v>NEYVELI TPS-II UNIT 1-3</v>
          </cell>
        </row>
        <row r="480">
          <cell r="A480" t="str">
            <v>METTUR TPS2</v>
          </cell>
          <cell r="B480" t="str">
            <v>METTUR TPS</v>
          </cell>
        </row>
        <row r="481">
          <cell r="A481" t="str">
            <v>WANAKBORI TPS6</v>
          </cell>
          <cell r="B481" t="str">
            <v>WANAKBORI TPS UNIT 1-6</v>
          </cell>
        </row>
        <row r="482">
          <cell r="A482" t="str">
            <v>VINDHYACHAL STPS1</v>
          </cell>
          <cell r="B482" t="str">
            <v>VINDHYACHAL STPS UNIT 1-6</v>
          </cell>
        </row>
        <row r="483">
          <cell r="A483" t="str">
            <v>NEYVELI TPS-II3</v>
          </cell>
          <cell r="B483" t="str">
            <v>NEYVELI TPS-II UNIT 1-3</v>
          </cell>
        </row>
        <row r="484">
          <cell r="A484" t="str">
            <v>FARAKKA STPS3</v>
          </cell>
          <cell r="B484" t="str">
            <v>FARAKKA STPS UNIT 1-5</v>
          </cell>
        </row>
        <row r="485">
          <cell r="A485" t="str">
            <v>ANPARA TPS2</v>
          </cell>
          <cell r="B485" t="str">
            <v>ANPARA - A</v>
          </cell>
        </row>
        <row r="486">
          <cell r="A486" t="str">
            <v>NEYVELI TPS-II2</v>
          </cell>
          <cell r="B486" t="str">
            <v>NEYVELI TPS-II UNIT 1-3</v>
          </cell>
        </row>
        <row r="487">
          <cell r="A487" t="str">
            <v>METTUR TPS1</v>
          </cell>
          <cell r="B487" t="str">
            <v>METTUR TPS</v>
          </cell>
        </row>
        <row r="488">
          <cell r="A488" t="str">
            <v>WANAKBORI TPS5</v>
          </cell>
          <cell r="B488" t="str">
            <v>WANAKBORI TPS UNIT 1-6</v>
          </cell>
        </row>
        <row r="489">
          <cell r="A489" t="str">
            <v>FARAKKA STPS2</v>
          </cell>
          <cell r="B489" t="str">
            <v>FARAKKA STPS UNIT 1-5</v>
          </cell>
        </row>
        <row r="490">
          <cell r="A490" t="str">
            <v>WANAKBORI TPS4</v>
          </cell>
          <cell r="B490" t="str">
            <v>WANAKBORI TPS UNIT 1-6</v>
          </cell>
        </row>
        <row r="491">
          <cell r="A491" t="str">
            <v>ANPARA TPS1</v>
          </cell>
          <cell r="B491" t="str">
            <v>ANPARA - A</v>
          </cell>
        </row>
        <row r="492">
          <cell r="A492" t="str">
            <v>RAICHUR TPS2</v>
          </cell>
          <cell r="B492" t="str">
            <v>RAICHUR TPS UNIT 1-7</v>
          </cell>
        </row>
        <row r="493">
          <cell r="A493" t="str">
            <v>KORBA-WEST TPS4</v>
          </cell>
          <cell r="B493" t="str">
            <v>KORBA-WEST TPS UNIT 1-4</v>
          </cell>
        </row>
        <row r="494">
          <cell r="A494" t="str">
            <v>CHANDRAPUR STPS4</v>
          </cell>
          <cell r="B494" t="str">
            <v>CHANDRAPUR UNITS 3-7</v>
          </cell>
        </row>
        <row r="495">
          <cell r="A495" t="str">
            <v>KOLAGHAT TPS3</v>
          </cell>
          <cell r="B495" t="str">
            <v>KOLAGHAT TPS</v>
          </cell>
        </row>
        <row r="496">
          <cell r="A496" t="str">
            <v>TANDA STPS3</v>
          </cell>
          <cell r="B496" t="str">
            <v>TANDA STPS UNIT 1-4</v>
          </cell>
        </row>
        <row r="497">
          <cell r="A497" t="str">
            <v>FARAKKA STPS1</v>
          </cell>
          <cell r="B497" t="str">
            <v>FARAKKA STPS UNIT 1-5</v>
          </cell>
        </row>
        <row r="498">
          <cell r="A498" t="str">
            <v>CHANDRAPUR STPS3</v>
          </cell>
          <cell r="B498" t="str">
            <v>CHANDRAPUR UNITS 3-7</v>
          </cell>
        </row>
        <row r="499">
          <cell r="A499" t="str">
            <v>ROPAR TPS2</v>
          </cell>
          <cell r="B499" t="str">
            <v>ROPAR TPS</v>
          </cell>
        </row>
        <row r="500">
          <cell r="A500" t="str">
            <v>RAICHUR TPS1</v>
          </cell>
          <cell r="B500" t="str">
            <v>RAICHUR TPS UNIT 1-7</v>
          </cell>
        </row>
        <row r="501">
          <cell r="A501" t="str">
            <v>KORBA-WEST TPS3</v>
          </cell>
          <cell r="B501" t="str">
            <v>KORBA-WEST TPS UNIT 1-4</v>
          </cell>
        </row>
        <row r="502">
          <cell r="A502" t="str">
            <v>KUTCH LIG. TPS2</v>
          </cell>
          <cell r="B502" t="str">
            <v>KUTCH LIG. TPS UNIT 1-3</v>
          </cell>
        </row>
        <row r="503">
          <cell r="A503" t="str">
            <v>UKAI TPS5</v>
          </cell>
          <cell r="B503" t="str">
            <v>UKAI TPS UNIT 1-5</v>
          </cell>
        </row>
        <row r="504">
          <cell r="A504" t="str">
            <v>SOUTHERN REPL. TPS1</v>
          </cell>
          <cell r="B504" t="str">
            <v>SOUTHERN REPL. TPS</v>
          </cell>
        </row>
        <row r="505">
          <cell r="A505" t="str">
            <v>TANDA STPS2</v>
          </cell>
          <cell r="B505" t="str">
            <v>TANDA STPS UNIT 1-4</v>
          </cell>
        </row>
        <row r="506">
          <cell r="A506" t="str">
            <v>SABARMATI (D-F STATIONS) TPP3</v>
          </cell>
          <cell r="B506" t="str">
            <v>SABARMATI (D-F STATIONS) TPP</v>
          </cell>
        </row>
        <row r="507">
          <cell r="A507" t="str">
            <v>ROPAR TPS1</v>
          </cell>
          <cell r="B507" t="str">
            <v>ROPAR TPS</v>
          </cell>
        </row>
        <row r="508">
          <cell r="A508" t="str">
            <v>RAMAGUNDEM STPS3</v>
          </cell>
          <cell r="B508" t="str">
            <v>RAMAGUNDEM STPS UNIT 1-6</v>
          </cell>
        </row>
        <row r="509">
          <cell r="A509" t="str">
            <v>SOUTHERN REPL. TPS2</v>
          </cell>
          <cell r="B509" t="str">
            <v>SOUTHERN REPL. TPS</v>
          </cell>
        </row>
        <row r="510">
          <cell r="A510" t="str">
            <v>WANAKBORI TPS3</v>
          </cell>
          <cell r="B510" t="str">
            <v>WANAKBORI TPS UNIT 1-6</v>
          </cell>
        </row>
        <row r="511">
          <cell r="A511" t="str">
            <v>KORBA-WEST TPS2</v>
          </cell>
          <cell r="B511" t="str">
            <v>KORBA-WEST TPS UNIT 1-4</v>
          </cell>
        </row>
        <row r="512">
          <cell r="A512" t="str">
            <v>SATPURA TPS9</v>
          </cell>
          <cell r="B512" t="str">
            <v>SATPURA TPS UNIT 6-9</v>
          </cell>
        </row>
        <row r="513">
          <cell r="A513" t="str">
            <v>KUTCH LIG. TPS1</v>
          </cell>
          <cell r="B513" t="str">
            <v>KUTCH LIG. TPS UNIT 1-3</v>
          </cell>
        </row>
        <row r="514">
          <cell r="A514" t="str">
            <v>KOLAGHAT TPS4</v>
          </cell>
          <cell r="B514" t="str">
            <v>KOLAGHAT TPS</v>
          </cell>
        </row>
        <row r="515">
          <cell r="A515" t="str">
            <v>RAMAGUNDEM STPS2</v>
          </cell>
          <cell r="B515" t="str">
            <v>RAMAGUNDEM STPS UNIT 1-6</v>
          </cell>
        </row>
        <row r="516">
          <cell r="A516" t="str">
            <v>KORBA-WEST TPS1</v>
          </cell>
          <cell r="B516" t="str">
            <v>KORBA-WEST TPS UNIT 1-4</v>
          </cell>
        </row>
        <row r="517">
          <cell r="A517" t="str">
            <v>TANDA STPS1</v>
          </cell>
          <cell r="B517" t="str">
            <v>TANDA STPS UNIT 1-4</v>
          </cell>
        </row>
        <row r="518">
          <cell r="A518" t="str">
            <v>KORBA STPS3</v>
          </cell>
          <cell r="B518" t="str">
            <v>KORBA STPS UNIT 1-6</v>
          </cell>
        </row>
        <row r="519">
          <cell r="A519" t="str">
            <v>SINGRAULI STPS5</v>
          </cell>
          <cell r="B519" t="str">
            <v>SINGRAULI STPS</v>
          </cell>
        </row>
        <row r="520">
          <cell r="A520" t="str">
            <v>SINGRAULI STPS4</v>
          </cell>
          <cell r="B520" t="str">
            <v>SINGRAULI STPS</v>
          </cell>
        </row>
        <row r="521">
          <cell r="A521" t="str">
            <v>RAMAGUNDEM STPS1</v>
          </cell>
          <cell r="B521" t="str">
            <v>RAMAGUNDEM STPS UNIT 1-6</v>
          </cell>
        </row>
        <row r="522">
          <cell r="A522" t="str">
            <v>KORBA STPS2</v>
          </cell>
          <cell r="B522" t="str">
            <v>KORBA STPS UNIT 1-6</v>
          </cell>
        </row>
        <row r="523">
          <cell r="A523" t="str">
            <v>DURGAPUR TPS4</v>
          </cell>
          <cell r="B523" t="str">
            <v>DURGAPUR TPS</v>
          </cell>
        </row>
        <row r="524">
          <cell r="A524" t="str">
            <v>WANAKBORI TPS2</v>
          </cell>
          <cell r="B524" t="str">
            <v>WANAKBORI TPS UNIT 1-6</v>
          </cell>
        </row>
        <row r="525">
          <cell r="A525" t="str">
            <v>SATPURA TPS8</v>
          </cell>
          <cell r="B525" t="str">
            <v>SATPURA TPS UNIT 6-9</v>
          </cell>
        </row>
        <row r="526">
          <cell r="A526" t="str">
            <v>KORADI TPS7</v>
          </cell>
          <cell r="B526" t="str">
            <v>KORADI TPS UNIT 5-7</v>
          </cell>
        </row>
        <row r="527">
          <cell r="A527" t="str">
            <v>BANDEL TPS5</v>
          </cell>
          <cell r="B527" t="str">
            <v>BANDEL TPS</v>
          </cell>
        </row>
        <row r="528">
          <cell r="A528" t="str">
            <v>SINGRAULI STPS3</v>
          </cell>
          <cell r="B528" t="str">
            <v>SINGRAULI STPS</v>
          </cell>
        </row>
        <row r="529">
          <cell r="A529" t="str">
            <v>BHUSAWAL TPS3</v>
          </cell>
          <cell r="B529" t="str">
            <v>BHUSAWAL TPS UNIT 2-3</v>
          </cell>
        </row>
        <row r="530">
          <cell r="A530" t="str">
            <v>KORBA STPS1</v>
          </cell>
          <cell r="B530" t="str">
            <v>KORBA STPS UNIT 1-6</v>
          </cell>
        </row>
        <row r="531">
          <cell r="A531" t="str">
            <v>D.P.L. TPS6</v>
          </cell>
        </row>
        <row r="532">
          <cell r="A532" t="str">
            <v>SINGRAULI STPS2</v>
          </cell>
          <cell r="B532" t="str">
            <v>SINGRAULI STPS</v>
          </cell>
        </row>
        <row r="533">
          <cell r="A533" t="str">
            <v>TUTICORIN TPS3</v>
          </cell>
          <cell r="B533" t="str">
            <v>TUTICORIN TPS</v>
          </cell>
        </row>
        <row r="534">
          <cell r="A534" t="str">
            <v>WANAKBORI TPS1</v>
          </cell>
          <cell r="B534" t="str">
            <v>WANAKBORI TPS UNIT 1-6</v>
          </cell>
        </row>
        <row r="535">
          <cell r="A535" t="str">
            <v>KORADI TPS6</v>
          </cell>
          <cell r="B535" t="str">
            <v>KORADI TPS UNIT 5-7</v>
          </cell>
        </row>
        <row r="536">
          <cell r="A536" t="str">
            <v>OBRA TPS13</v>
          </cell>
          <cell r="B536" t="str">
            <v>OBRA TPS UNIT 9-13</v>
          </cell>
        </row>
        <row r="537">
          <cell r="A537" t="str">
            <v>BADARPUR TPS5</v>
          </cell>
          <cell r="B537" t="str">
            <v>BADARPUR TPS</v>
          </cell>
        </row>
        <row r="538">
          <cell r="A538" t="str">
            <v>SINGRAULI STPS1</v>
          </cell>
          <cell r="B538" t="str">
            <v>SINGRAULI STPS</v>
          </cell>
        </row>
        <row r="539">
          <cell r="A539" t="str">
            <v>SABARMATI (D-F STATIONS) TPP2</v>
          </cell>
          <cell r="B539" t="str">
            <v>SABARMATI (D-F STATIONS) TPP</v>
          </cell>
        </row>
        <row r="540">
          <cell r="A540" t="str">
            <v>NASIK TPS5</v>
          </cell>
          <cell r="B540" t="str">
            <v>NASIK TPS</v>
          </cell>
        </row>
        <row r="541">
          <cell r="A541" t="str">
            <v>TUTICORIN TPS2</v>
          </cell>
          <cell r="B541" t="str">
            <v>TUTICORIN TPS</v>
          </cell>
        </row>
        <row r="542">
          <cell r="A542" t="str">
            <v>DR. N TATA RAO TPS2</v>
          </cell>
          <cell r="B542" t="str">
            <v>DR. N TATA RAO TPS UNIT 1-6</v>
          </cell>
        </row>
        <row r="543">
          <cell r="A543" t="str">
            <v>OBRA TPS12</v>
          </cell>
          <cell r="B543" t="str">
            <v>OBRA TPS UNIT 9-13</v>
          </cell>
        </row>
        <row r="544">
          <cell r="A544" t="str">
            <v>PARICHHA TPS2</v>
          </cell>
          <cell r="B544" t="str">
            <v>PARICHHA TPS UNIT 1-2</v>
          </cell>
        </row>
        <row r="545">
          <cell r="A545" t="str">
            <v>SATPURA TPS7</v>
          </cell>
          <cell r="B545" t="str">
            <v>SATPURA TPS UNIT 6-9</v>
          </cell>
        </row>
        <row r="546">
          <cell r="A546" t="str">
            <v>NASIK TPS4</v>
          </cell>
          <cell r="B546" t="str">
            <v>NASIK TPS</v>
          </cell>
        </row>
        <row r="547">
          <cell r="A547" t="str">
            <v>OBRA TPS9</v>
          </cell>
          <cell r="B547" t="str">
            <v>OBRA TPS UNIT 9-13</v>
          </cell>
        </row>
        <row r="548">
          <cell r="A548" t="str">
            <v>DR. N TATA RAO TPS1</v>
          </cell>
          <cell r="B548" t="str">
            <v>DR. N TATA RAO TPS UNIT 1-6</v>
          </cell>
        </row>
        <row r="549">
          <cell r="A549" t="str">
            <v>TUTICORIN TPS1</v>
          </cell>
          <cell r="B549" t="str">
            <v>TUTICORIN TPS</v>
          </cell>
        </row>
        <row r="550">
          <cell r="A550" t="str">
            <v>NASIK TPS3</v>
          </cell>
          <cell r="B550" t="str">
            <v>NASIK TPS</v>
          </cell>
        </row>
        <row r="551">
          <cell r="A551" t="str">
            <v>KOTA TPS2</v>
          </cell>
          <cell r="B551" t="str">
            <v>KOTA TPS</v>
          </cell>
        </row>
        <row r="552">
          <cell r="A552" t="str">
            <v>SATPURA TPS6</v>
          </cell>
          <cell r="B552" t="str">
            <v>SATPURA TPS UNIT 6-9</v>
          </cell>
        </row>
        <row r="553">
          <cell r="A553" t="str">
            <v>BADARPUR TPS4</v>
          </cell>
          <cell r="B553" t="str">
            <v>BADARPUR TPS</v>
          </cell>
        </row>
        <row r="554">
          <cell r="A554" t="str">
            <v>UKAI TPS4</v>
          </cell>
          <cell r="B554" t="str">
            <v>UKAI TPS UNIT 1-5</v>
          </cell>
        </row>
        <row r="555">
          <cell r="A555" t="str">
            <v>KOTA TPS1</v>
          </cell>
          <cell r="B555" t="str">
            <v>KOTA TPS</v>
          </cell>
        </row>
        <row r="556">
          <cell r="A556" t="str">
            <v>UKAI TPS3</v>
          </cell>
          <cell r="B556" t="str">
            <v>UKAI TPS UNIT 1-5</v>
          </cell>
        </row>
        <row r="557">
          <cell r="A557" t="str">
            <v>OBRA TPS10</v>
          </cell>
          <cell r="B557" t="str">
            <v>OBRA TPS UNIT 9-13</v>
          </cell>
        </row>
        <row r="558">
          <cell r="A558" t="str">
            <v>OBRA TPS11</v>
          </cell>
          <cell r="B558" t="str">
            <v>OBRA TPS UNIT 9-13</v>
          </cell>
        </row>
        <row r="559">
          <cell r="A559" t="str">
            <v>KORBA-III2</v>
          </cell>
          <cell r="B559" t="str">
            <v>KORBA EAST TPS (STG II &amp; III)</v>
          </cell>
        </row>
        <row r="560">
          <cell r="A560" t="str">
            <v>GND TPS(BHATINDA)4</v>
          </cell>
          <cell r="B560">
            <v>0</v>
          </cell>
        </row>
        <row r="561">
          <cell r="A561" t="str">
            <v>SABARMATI (D-F STATIONS) TPP1</v>
          </cell>
          <cell r="B561" t="str">
            <v>SABARMATI (D-F STATIONS) TPP</v>
          </cell>
        </row>
        <row r="562">
          <cell r="A562" t="str">
            <v>GND TPS(BHATINDA)3</v>
          </cell>
          <cell r="B562">
            <v>0</v>
          </cell>
        </row>
        <row r="563">
          <cell r="A563" t="str">
            <v>KOTHAGUDEM TPS8</v>
          </cell>
          <cell r="B563" t="str">
            <v>KOTHAGUDEM TPS</v>
          </cell>
        </row>
        <row r="564">
          <cell r="A564" t="str">
            <v>HARDUAGANJ TPS7</v>
          </cell>
          <cell r="B564" t="str">
            <v>HARDUAGANJ TPS UNIT 7</v>
          </cell>
        </row>
        <row r="565">
          <cell r="A565" t="str">
            <v>KOTHAGUDEM TPS7</v>
          </cell>
          <cell r="B565" t="str">
            <v>KOTHAGUDEM TPS</v>
          </cell>
        </row>
        <row r="566">
          <cell r="A566" t="str">
            <v>PANKI TPS4</v>
          </cell>
          <cell r="B566" t="str">
            <v>PANKI TPS</v>
          </cell>
        </row>
        <row r="567">
          <cell r="A567" t="str">
            <v>PANKI TPS3</v>
          </cell>
          <cell r="B567" t="str">
            <v>PANKI TPS</v>
          </cell>
        </row>
        <row r="568">
          <cell r="A568" t="str">
            <v>KORBA-III1</v>
          </cell>
          <cell r="B568" t="str">
            <v>KORBA EAST TPS (STG II &amp; III)</v>
          </cell>
        </row>
        <row r="569">
          <cell r="A569" t="str">
            <v>GND TPS(BHATINDA)2</v>
          </cell>
          <cell r="B569">
            <v>0</v>
          </cell>
        </row>
        <row r="570">
          <cell r="A570" t="str">
            <v>KOTHAGUDEM TPS6</v>
          </cell>
          <cell r="B570" t="str">
            <v>KOTHAGUDEM TPS</v>
          </cell>
        </row>
        <row r="571">
          <cell r="A571" t="str">
            <v>KOTHAGUDEM TPS5</v>
          </cell>
          <cell r="B571" t="str">
            <v>KOTHAGUDEM TPS</v>
          </cell>
        </row>
        <row r="572">
          <cell r="A572" t="str">
            <v>GND TPS(BHATINDA)1</v>
          </cell>
          <cell r="B572">
            <v>0</v>
          </cell>
        </row>
        <row r="573">
          <cell r="A573" t="str">
            <v>TALCHER (OLD) TPS6</v>
          </cell>
          <cell r="B573" t="str">
            <v>TALCHER (OLD) TPS</v>
          </cell>
        </row>
        <row r="574">
          <cell r="A574" t="str">
            <v>TALCHER (OLD) TPS5</v>
          </cell>
          <cell r="B574" t="str">
            <v>TALCHER (OLD) TPS</v>
          </cell>
        </row>
        <row r="575">
          <cell r="A575" t="str">
            <v>TALCHER (OLD) TPS4</v>
          </cell>
          <cell r="B575" t="str">
            <v>TALCHER (OLD) TPS</v>
          </cell>
        </row>
        <row r="576">
          <cell r="A576" t="str">
            <v>NEYVELI TPS- I9</v>
          </cell>
        </row>
        <row r="577">
          <cell r="A577" t="str">
            <v>TALCHER (OLD) TPS3</v>
          </cell>
          <cell r="B577" t="str">
            <v>TALCHER (OLD) TPS</v>
          </cell>
        </row>
        <row r="578">
          <cell r="A578" t="str">
            <v>RAMAGUNDEM - B TPS1</v>
          </cell>
          <cell r="B578" t="str">
            <v>RAMAGUNDEM - B TPS</v>
          </cell>
        </row>
        <row r="579">
          <cell r="A579" t="str">
            <v>TALCHER (OLD) TPS2</v>
          </cell>
          <cell r="B579" t="str">
            <v>TALCHER (OLD) TPS</v>
          </cell>
        </row>
        <row r="580">
          <cell r="A580" t="str">
            <v>NEYVELI TPS- I8</v>
          </cell>
        </row>
        <row r="581">
          <cell r="A581" t="str">
            <v>TALCHER (OLD) TPS1</v>
          </cell>
          <cell r="B581" t="str">
            <v>TALCHER (OLD) TPS</v>
          </cell>
        </row>
        <row r="582">
          <cell r="A582" t="str">
            <v>NEYVELI TPS- I7</v>
          </cell>
        </row>
        <row r="583">
          <cell r="A583" t="str">
            <v>KORBA-II4</v>
          </cell>
          <cell r="B583" t="str">
            <v>KORBA EAST TPS (STG II &amp; III)</v>
          </cell>
        </row>
        <row r="584">
          <cell r="A584" t="str">
            <v>KORBA-II3</v>
          </cell>
          <cell r="B584" t="str">
            <v>KORBA EAST TPS (STG II &amp; III)</v>
          </cell>
        </row>
        <row r="585">
          <cell r="A585" t="str">
            <v>KOTHAGUDEM TPS4</v>
          </cell>
          <cell r="B585" t="str">
            <v>KOTHAGUDEM TPS</v>
          </cell>
        </row>
        <row r="586">
          <cell r="A586" t="str">
            <v>OBRA TPS1</v>
          </cell>
          <cell r="B586" t="str">
            <v>OBRA TPS UNIT 1-8</v>
          </cell>
        </row>
        <row r="587">
          <cell r="A587" t="str">
            <v>NEYVELI TPS- I6</v>
          </cell>
        </row>
        <row r="588">
          <cell r="A588" t="str">
            <v>KOTHAGUDEM TPS2</v>
          </cell>
          <cell r="B588" t="str">
            <v>KOTHAGUDEM TPS</v>
          </cell>
        </row>
        <row r="589">
          <cell r="A589" t="str">
            <v>KORBA-II2</v>
          </cell>
          <cell r="B589" t="str">
            <v>KORBA EAST TPS (STG II &amp; III)</v>
          </cell>
        </row>
        <row r="590">
          <cell r="A590" t="str">
            <v>BANDEL TPS4</v>
          </cell>
          <cell r="B590" t="str">
            <v>BANDEL TPS</v>
          </cell>
        </row>
        <row r="591">
          <cell r="A591" t="str">
            <v>KOTHAGUDEM TPS1</v>
          </cell>
          <cell r="B591" t="str">
            <v>KOTHAGUDEM TPS</v>
          </cell>
        </row>
        <row r="592">
          <cell r="A592" t="str">
            <v>BANDEL TPS3</v>
          </cell>
          <cell r="B592" t="str">
            <v>BANDEL TPS</v>
          </cell>
        </row>
        <row r="593">
          <cell r="A593" t="str">
            <v>NEYVELI TPS- I5</v>
          </cell>
        </row>
        <row r="594">
          <cell r="A594" t="str">
            <v>BANDEL TPS2</v>
          </cell>
          <cell r="B594" t="str">
            <v>BANDEL TPS</v>
          </cell>
        </row>
        <row r="595">
          <cell r="A595" t="str">
            <v>BANDEL TPS1</v>
          </cell>
          <cell r="B595" t="str">
            <v>BANDEL TPS</v>
          </cell>
        </row>
        <row r="596">
          <cell r="A596" t="str">
            <v>NEYVELI TPS- I4</v>
          </cell>
        </row>
        <row r="597">
          <cell r="A597" t="str">
            <v>NEYVELI TPS- I3</v>
          </cell>
        </row>
        <row r="598">
          <cell r="A598" t="str">
            <v>NEYVELI TPS- I2</v>
          </cell>
        </row>
        <row r="599">
          <cell r="A599" t="str">
            <v>NEYVELI TPS- I1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ngeeth Selvaraju" id="{4684FF13-A0EA-3548-B089-D1568444BB79}" userId="S::197429@hertie-school.org::ecf2d177-3c46-4b5d-b40a-8c5cee3edc7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want" refreshedDate="44302.456715624998" createdVersion="6" refreshedVersion="6" minRefreshableVersion="3" recordCount="541" xr:uid="{00000000-000A-0000-FFFF-FFFF27000000}">
  <cacheSource type="worksheet">
    <worksheetSource ref="A1:N542" sheet="Sheet3"/>
  </cacheSource>
  <cacheFields count="14">
    <cacheField name="Unit ID" numFmtId="0">
      <sharedItems/>
    </cacheField>
    <cacheField name="State" numFmtId="0">
      <sharedItems/>
    </cacheField>
    <cacheField name="Region" numFmtId="0">
      <sharedItems/>
    </cacheField>
    <cacheField name="Ownership" numFmtId="0">
      <sharedItems/>
    </cacheField>
    <cacheField name="Age grouping" numFmtId="0">
      <sharedItems/>
    </cacheField>
    <cacheField name="Age" numFmtId="1">
      <sharedItems containsSemiMixedTypes="0" containsString="0" containsNumber="1" minValue="0.34223134839151198" maxValue="54.672142368240898"/>
    </cacheField>
    <cacheField name="Capacity" numFmtId="0">
      <sharedItems containsSemiMixedTypes="0" containsString="0" containsNumber="1" minValue="30" maxValue="800"/>
    </cacheField>
    <cacheField name=" VC" numFmtId="0">
      <sharedItems containsSemiMixedTypes="0" containsString="0" containsNumber="1" minValue="0.61" maxValue="4.3600000000000003"/>
    </cacheField>
    <cacheField name="Wtd VC" numFmtId="0">
      <sharedItems containsSemiMixedTypes="0" containsString="0" containsNumber="1" minValue="71.652430140319012" maxValue="3052"/>
    </cacheField>
    <cacheField name="Actual SHR" numFmtId="0">
      <sharedItems containsSemiMixedTypes="0" containsString="0" containsNumber="1" minValue="2482.7574599226896" maxValue="3771.9741133656012"/>
    </cacheField>
    <cacheField name="Wtd SHR" numFmtId="0">
      <sharedItems containsSemiMixedTypes="0" containsString="0" containsNumber="1" minValue="96095.484560864585" maxValue="2203828.4433119167"/>
    </cacheField>
    <cacheField name="Auxiliary consumption (%)" numFmtId="0">
      <sharedItems containsString="0" containsBlank="1" containsNumber="1" minValue="2.064213334024792E-2" maxValue="0.17551275347161696"/>
    </cacheField>
    <cacheField name="Wtd aux" numFmtId="0">
      <sharedItems containsSemiMixedTypes="0" containsString="0" containsNumber="1" minValue="0" maxValue="105.76881152764339"/>
    </cacheField>
    <cacheField name="Plant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want" refreshedDate="44302.456715856482" createdVersion="6" refreshedVersion="6" minRefreshableVersion="3" recordCount="543" xr:uid="{00000000-000A-0000-FFFF-FFFF2A000000}">
  <cacheSource type="worksheet">
    <worksheetSource ref="A1:AR546" sheet="Coal savings"/>
  </cacheSource>
  <cacheFields count="43">
    <cacheField name="Unit ID" numFmtId="0">
      <sharedItems containsBlank="1"/>
    </cacheField>
    <cacheField name="Plant name" numFmtId="0">
      <sharedItems containsBlank="1" count="169">
        <s v="DARLIPALI STPS"/>
        <s v="GADARWARA TPP"/>
        <s v="KOTHAGUDEM STAGE-7 TPS"/>
        <s v="LARA TPP"/>
        <s v="YERMARUS TPS"/>
        <s v="KUDGI STPP"/>
        <s v="WANAKBORI TPS"/>
        <s v="DAMODARAN SANJEEVAIAH TPS"/>
        <s v="BELLARY TPS"/>
        <s v="KHARGONE STPP"/>
        <s v="TANDA STPS"/>
        <s v="IB VALLEY TPS"/>
        <s v="NABINAGAR STPP"/>
        <s v="CHHABRA TPS"/>
        <s v="SHREE SINGAJI TPP"/>
        <s v="RAIKHEDA TPP"/>
        <s v="MEJA STPP"/>
        <s v="SOLAPUR STPS"/>
        <s v="BARA TPP"/>
        <s v="MAUDA TPS"/>
        <s v="LALITPUR TPS"/>
        <s v="SASAN UMPTPP"/>
        <s v="NIGRI TPP"/>
        <s v="BARH II"/>
        <s v="KORADI TPS"/>
        <s v="RAJPURA TPS"/>
        <s v="TIRORA TPS"/>
        <s v="SIPAT STPS"/>
        <s v="MAHATMA GANDHI TPS"/>
        <s v="TALWANDI SABO TPS"/>
        <s v="MAHAN TPP"/>
        <s v="RAYALSEEMA TPS"/>
        <s v="SINGARENI TPP"/>
        <s v="KAWAI TPS"/>
        <s v="AKALTARA TPS"/>
        <s v="ANPARA TPS"/>
        <s v="SEIONI TPP"/>
        <s v="ANUPPUR TPP"/>
        <s v="RAGHUNATHPUR TPP"/>
        <s v="KAKATIYA TPS"/>
        <s v="KALISINDH TPS"/>
        <s v="BARADARHA TPS"/>
        <s v="DERANG TPP"/>
        <s v="OP JINDAL TPS2"/>
        <s v="ANPARA C TPS"/>
        <s v="RAJIV GANDHI TPS"/>
        <s v="STERLITE TPP"/>
        <s v="NORTH CHENNAI TPS"/>
        <s v="MUNDRA UMTPP"/>
        <s v="PAINAMPURAM TPP"/>
        <s v="AVANTHA BHANDAR"/>
        <s v="VIZAG TPS"/>
        <s v="SAGARDIGHI TPS"/>
        <s v="UNCHAHAR STPS"/>
        <s v="MARWA TPS"/>
        <s v="BOKARO A TPS"/>
        <s v="METTUR TPS EXT"/>
        <s v="VINDHYACHAL STPS"/>
        <s v="CHANDRAPUR STPS"/>
        <s v="MAITHON RB TPP"/>
        <s v="VALLUR TPP"/>
        <s v="RIHAND STPS"/>
        <s v="KORBA-WEST TPS"/>
        <s v="KODARMA TPS"/>
        <s v="DURGAPUR STEEL TPS"/>
        <s v="SIMHADRI STPP"/>
        <s v="INDIRA GANDHI STPP"/>
        <s v="KOTHAGUDEM NEW TPS"/>
        <s v="MEJIA TPS"/>
        <s v="BHUSAWAL TPS"/>
        <s v="KHAPARKHEDA TPS"/>
        <s v="FARAKKA STPS"/>
        <s v="KORBA STPS"/>
        <s v="NTPL TUTICORIN (JV) TPP"/>
        <s v="UKAI TPS"/>
        <s v="DADRI (NCTPP)"/>
        <s v="DR. N TATA RAO TPS"/>
        <s v="KAHALGAON TPS"/>
        <s v="SEMBCORP GAYATRI P. LTD"/>
        <s v="SANJAY GANDHI TPS"/>
        <s v="MUNDRA TPS"/>
        <s v="RAMAGUNDEM STPS"/>
        <s v="TALCHER STPS"/>
        <s v="UCHPINDA TPP"/>
        <s v="ITPCL TPP"/>
        <s v="MUTHIARA TPP"/>
        <s v="SALAYA TPP"/>
        <s v="UDUPI TPP"/>
        <s v="KAMALANGA TPS"/>
        <s v="BINJKOTE  TPP"/>
        <s v="NAWAPARA TPP"/>
        <s v="BANDAKHAR TPP"/>
        <s v="HALDIA TPP"/>
        <s v="DHARIWAL TPS"/>
        <s v="GMR WARORA TPS"/>
        <s v="NABI NAGAR TPP"/>
        <s v="BONGAIGAON TPS"/>
        <s v="BUTIBORI TPP"/>
        <s v="ROSA TPP PH-I"/>
        <s v="SINGRAULI STPS"/>
        <s v="BARAUNI TPS"/>
        <s v="GOINDWAL SAHIB"/>
        <s v="BALCO TPS"/>
        <s v="AMRAVATI TPS"/>
        <s v="PATHADI TPS"/>
        <s v="PARLI TPS"/>
        <s v="MAHADEV PRASAD STPP"/>
        <s v="YAMUNA NAGAR TPS"/>
        <s v="D.P.L. TPS"/>
        <s v="SATPURA TPS"/>
        <s v="BINA TPS"/>
        <s v="PARICHHA TPS"/>
        <s v="HARDUAGANJ TPS"/>
        <s v="SANTALDIH TPS"/>
        <s v="MUZAFFARPUR TPS"/>
        <s v="RAICHUR TPS"/>
        <s v="AMARKANTAK TPS"/>
        <s v="BAKRESWAR TPS"/>
        <s v="BANDEL TPS"/>
        <s v="BARKHERA TPS"/>
        <s v="BELA TPS"/>
        <s v="BHILAI TPS"/>
        <s v="BOKARO B TPS"/>
        <s v="BUDGE BUDGE TPS"/>
        <s v="CHAKABURA TPP"/>
        <s v="CHANDRAPURA(DVC)"/>
        <s v="DAHANU TPS"/>
        <s v="DSPM TPS"/>
        <s v="DURGAPUR TPS"/>
        <s v="GANDHI NAGAR TPS"/>
        <s v="GH TPS (LEH.MOH.)"/>
        <s v="JOJOBERA TPS"/>
        <s v="JSW RATNAGIRI TPP"/>
        <s v="KASAIPALLI TPP"/>
        <s v="KHAMBARKHERA TPS"/>
        <s v="KOLAGHAT TPS"/>
        <s v="KORBA-II"/>
        <s v="KORBA-III"/>
        <s v="KOTA TPS"/>
        <s v="KOTHAGUDEM TPS"/>
        <s v="KUNDARKI TPS"/>
        <s v="MAQSOODPUR TPS"/>
        <s v="METTUR TPS"/>
        <s v="NASIK TPS"/>
        <s v="NIWARI TPP"/>
        <s v="OBRA TPS"/>
        <s v="OP JINDAL TPS"/>
        <s v="PANIPAT TPS"/>
        <s v="PARAS TPS"/>
        <s v="RAMAGUNDEM - B TPS"/>
        <s v="RATIJA TPS"/>
        <s v="ROPAR TPS"/>
        <s v="SABARMATI (D-F STATIONS) TPP"/>
        <s v="SHIRPUR TPP"/>
        <s v="SIKKA REP. TPS"/>
        <s v="SIMHAPURI TPS"/>
        <s v="SOUTHERN REPL. TPS"/>
        <s v="SURATGARH TPS"/>
        <s v="SVPL TPP"/>
        <s v="TALCHER (OLD) TPS"/>
        <s v="TENUGHAT TPS"/>
        <s v="THAMMINAPATNAM TPS"/>
        <s v="TORANGALLU TPS(SBU-I)"/>
        <s v="TORANGALLU TPS(SBU-II)"/>
        <s v="TROMBAY TPS"/>
        <s v="TUTICORIN TPS"/>
        <s v="UTRAULA TPS"/>
        <s v="WARDHA WARORA TPP"/>
        <m/>
      </sharedItems>
    </cacheField>
    <cacheField name="State" numFmtId="0">
      <sharedItems containsBlank="1"/>
    </cacheField>
    <cacheField name="Region" numFmtId="0">
      <sharedItems containsBlank="1"/>
    </cacheField>
    <cacheField name="Ownership" numFmtId="0">
      <sharedItems containsBlank="1" count="4">
        <s v="CENTRAL SECTOR"/>
        <s v="STATE SECTOR"/>
        <s v="PVT SECTOR"/>
        <m/>
      </sharedItems>
    </cacheField>
    <cacheField name="Age grouping" numFmtId="0">
      <sharedItems containsBlank="1" count="11">
        <s v=" 0-5 years"/>
        <s v=" 5-10 years"/>
        <s v=" 10-15 years"/>
        <s v=" 15-20 years"/>
        <s v=" 20-25 years"/>
        <s v=" 25-30 years"/>
        <s v=" 30-35 years"/>
        <s v=" 45+ years"/>
        <s v=" 35-40 years"/>
        <s v=" 40-45 years"/>
        <m/>
      </sharedItems>
    </cacheField>
    <cacheField name="Age" numFmtId="0">
      <sharedItems containsString="0" containsBlank="1" containsNumber="1" minValue="0.34223134839151198" maxValue="54.672142368240898"/>
    </cacheField>
    <cacheField name="Capacity" numFmtId="0">
      <sharedItems containsString="0" containsBlank="1" containsNumber="1" minValue="30" maxValue="800"/>
    </cacheField>
    <cacheField name="Avg daily generation" numFmtId="0">
      <sharedItems containsString="0" containsBlank="1" containsNumber="1" minValue="7.2983870967741902E-3" maxValue="16.703360893938498"/>
    </cacheField>
    <cacheField name="Actual avg PLF" numFmtId="2">
      <sharedItems containsString="0" containsBlank="1" containsNumber="1" minValue="2.5185185185185172E-3" maxValue="1.278399378399375"/>
    </cacheField>
    <cacheField name="Target PLF" numFmtId="2">
      <sharedItems containsString="0" containsBlank="1" containsNumber="1" minValue="0.49249999999999999" maxValue="0.85"/>
    </cacheField>
    <cacheField name="Coeff of variation" numFmtId="0">
      <sharedItems containsBlank="1"/>
    </cacheField>
    <cacheField name="Daily actual coal consumption - calc (tons/MW)" numFmtId="0">
      <sharedItems containsString="0" containsBlank="1" containsNumber="1" minValue="9.421002002951645E-2" maxValue="22.618143655844051"/>
    </cacheField>
    <cacheField name="Annual actual coal consumption (tons)" numFmtId="0">
      <sharedItems containsString="0" containsBlank="1" containsNumber="1" minValue="27509.325848618806" maxValue="3135496.294211735"/>
    </cacheField>
    <cacheField name="Daily target coal consumption at 85%(tons/MW)" numFmtId="0">
      <sharedItems containsString="0" containsBlank="1" containsNumber="1" minValue="10.447103201471595" maxValue="16.66623385951403"/>
    </cacheField>
    <cacheField name="Daily target generation" numFmtId="0">
      <sharedItems containsString="0" containsBlank="1" containsNumber="1" minValue="0.61199999999999999" maxValue="16.32"/>
    </cacheField>
    <cacheField name="Annual target coal consumption (tons)" numFmtId="0">
      <sharedItems containsString="0" containsBlank="1" containsNumber="1" minValue="591047.4048181806" maxValue="3297244.3203691989"/>
    </cacheField>
    <cacheField name="Not contracted in MERIT" numFmtId="0">
      <sharedItems containsBlank="1"/>
    </cacheField>
    <cacheField name="Import share" numFmtId="2">
      <sharedItems containsString="0" containsBlank="1" containsNumber="1" minValue="0" maxValue="1"/>
    </cacheField>
    <cacheField name="Imported coal" numFmtId="2">
      <sharedItems containsString="0" containsBlank="1" containsNumber="1" minValue="0" maxValue="3135496.294211735"/>
    </cacheField>
    <cacheField name="Target SHR" numFmtId="0">
      <sharedItems containsString="0" containsBlank="1" containsNumber="1" minValue="2398.8474712799452" maxValue="3598.1778286338122"/>
    </cacheField>
    <cacheField name="Actual SHR" numFmtId="0">
      <sharedItems containsString="0" containsBlank="1" containsNumber="1" minValue="2482.7574599226896" maxValue="3771.9741133656012"/>
    </cacheField>
    <cacheField name="Efficiency" numFmtId="9">
      <sharedItems containsString="0" containsBlank="1" containsNumber="1" minValue="0.23900986581492342" maxValue="0.35850549494967787"/>
    </cacheField>
    <cacheField name="Target coal used" numFmtId="0">
      <sharedItems containsString="0" containsBlank="1" containsNumber="1" minValue="544953.98631289799" maxValue="4237628.7806397388"/>
    </cacheField>
    <cacheField name="Actual coal used" numFmtId="0">
      <sharedItems containsString="0" containsBlank="1" containsNumber="1" minValue="2140.2595391128098" maxValue="3802380.6898254338"/>
    </cacheField>
    <cacheField name="Plant status" numFmtId="0">
      <sharedItems containsBlank="1" count="3">
        <s v="Operational"/>
        <s v="Relegated"/>
        <m/>
      </sharedItems>
    </cacheField>
    <cacheField name="GCV" numFmtId="0">
      <sharedItems containsString="0" containsBlank="1" containsNumber="1" minValue="3249.9999999999991" maxValue="6550"/>
    </cacheField>
    <cacheField name="Wtd GCV" numFmtId="1">
      <sharedItems containsString="0" containsBlank="1" containsNumber="1" minValue="0" maxValue="5240000"/>
    </cacheField>
    <cacheField name="Pithead plant" numFmtId="0">
      <sharedItems containsBlank="1"/>
    </cacheField>
    <cacheField name="BCCL" numFmtId="43">
      <sharedItems containsString="0" containsBlank="1" containsNumber="1" minValue="0" maxValue="1236516.1994832342"/>
    </cacheField>
    <cacheField name="CCL" numFmtId="43">
      <sharedItems containsString="0" containsBlank="1" containsNumber="1" minValue="0" maxValue="1839051.1164920323"/>
    </cacheField>
    <cacheField name="ECL" numFmtId="43">
      <sharedItems containsString="0" containsBlank="1" containsNumber="1" minValue="0" maxValue="2330930.2537144865"/>
    </cacheField>
    <cacheField name="MCL" numFmtId="43">
      <sharedItems containsString="0" containsBlank="1" containsNumber="1" minValue="0" maxValue="2704562.8786193281"/>
    </cacheField>
    <cacheField name="NCL" numFmtId="43">
      <sharedItems containsString="0" containsBlank="1" containsNumber="1" minValue="0" maxValue="2637893.9563286868"/>
    </cacheField>
    <cacheField name="NEC" numFmtId="43">
      <sharedItems containsString="0" containsBlank="1" containsNumber="1" minValue="0" maxValue="350690.02693205368"/>
    </cacheField>
    <cacheField name="SECL" numFmtId="43">
      <sharedItems containsString="0" containsBlank="1" containsNumber="1" minValue="0" maxValue="3065388.3587467796"/>
    </cacheField>
    <cacheField name="WCL" numFmtId="43">
      <sharedItems containsString="0" containsBlank="1" containsNumber="1" minValue="0" maxValue="2039078.0465254262"/>
    </cacheField>
    <cacheField name="Total" numFmtId="43">
      <sharedItems containsString="0" containsBlank="1" containsNumber="1" minValue="0" maxValue="3067819.6460455596"/>
    </cacheField>
    <cacheField name="Auxiliary consumption (%)" numFmtId="9">
      <sharedItems containsString="0" containsBlank="1" containsNumber="1" minValue="2.064213334024792E-2" maxValue="0.17551275347161696"/>
    </cacheField>
    <cacheField name="Actual aux, MU" numFmtId="2">
      <sharedItems containsString="0" containsBlank="1" containsNumber="1" minValue="0" maxValue="1.2982024986671648"/>
    </cacheField>
    <cacheField name="Targeted aux, MU" numFmtId="2">
      <sharedItems containsString="0" containsBlank="1" containsNumber="1" minValue="0" maxValue="2.1576837551639252"/>
    </cacheField>
    <cacheField name=" VC" numFmtId="0">
      <sharedItems containsString="0" containsBlank="1" containsNumber="1" minValue="0.61437499999999101" maxValue="4.3600000000000003"/>
    </cacheField>
    <cacheField name="Wtd avg GCV" numFmtId="0" formula="'Wtd GCV'/Capaci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want" refreshedDate="44302.496087268519" createdVersion="6" refreshedVersion="6" minRefreshableVersion="3" recordCount="541" xr:uid="{00000000-000A-0000-FFFF-FFFF29000000}">
  <cacheSource type="worksheet">
    <worksheetSource ref="A1:P542" sheet="Sheet3"/>
  </cacheSource>
  <cacheFields count="17">
    <cacheField name="Unit ID" numFmtId="0">
      <sharedItems/>
    </cacheField>
    <cacheField name="State" numFmtId="0">
      <sharedItems/>
    </cacheField>
    <cacheField name="Region" numFmtId="0">
      <sharedItems/>
    </cacheField>
    <cacheField name="Ownership" numFmtId="0">
      <sharedItems count="3">
        <s v="CENTRAL SECTOR"/>
        <s v="STATE SECTOR"/>
        <s v="PVT SECTOR"/>
      </sharedItems>
    </cacheField>
    <cacheField name="Age grouping" numFmtId="0">
      <sharedItems count="10">
        <s v=" 0-5 years"/>
        <s v=" 5-10 years"/>
        <s v=" 10-15 years"/>
        <s v=" 15-20 years"/>
        <s v=" 20-25 years"/>
        <s v=" 25-30 years"/>
        <s v=" 30-35 years"/>
        <s v=" 45+ years"/>
        <s v=" 35-40 years"/>
        <s v=" 40-45 years"/>
      </sharedItems>
    </cacheField>
    <cacheField name="Age" numFmtId="1">
      <sharedItems containsSemiMixedTypes="0" containsString="0" containsNumber="1" minValue="0.34223134839151198" maxValue="54.672142368240898"/>
    </cacheField>
    <cacheField name="Capacity" numFmtId="0">
      <sharedItems containsSemiMixedTypes="0" containsString="0" containsNumber="1" minValue="30" maxValue="800"/>
    </cacheField>
    <cacheField name=" VC" numFmtId="0">
      <sharedItems containsSemiMixedTypes="0" containsString="0" containsNumber="1" minValue="0.61" maxValue="4.3600000000000003"/>
    </cacheField>
    <cacheField name="Wtd VC" numFmtId="0">
      <sharedItems containsSemiMixedTypes="0" containsString="0" containsNumber="1" minValue="71.652430140319012" maxValue="3052"/>
    </cacheField>
    <cacheField name="Actual SHR" numFmtId="0">
      <sharedItems containsSemiMixedTypes="0" containsString="0" containsNumber="1" minValue="2482.7574599226896" maxValue="3771.9741133656012"/>
    </cacheField>
    <cacheField name="Wtd SHR" numFmtId="0">
      <sharedItems containsSemiMixedTypes="0" containsString="0" containsNumber="1" minValue="96095.484560864585" maxValue="2203828.4433119167"/>
    </cacheField>
    <cacheField name="Auxiliary consumption (%)" numFmtId="0">
      <sharedItems containsString="0" containsBlank="1" containsNumber="1" minValue="2.064213334024792E-2" maxValue="0.17551275347161696"/>
    </cacheField>
    <cacheField name="Wtd aux" numFmtId="0">
      <sharedItems containsSemiMixedTypes="0" containsString="0" containsNumber="1" minValue="0" maxValue="105.76881152764339"/>
    </cacheField>
    <cacheField name="Plant status" numFmtId="0">
      <sharedItems/>
    </cacheField>
    <cacheField name="Actual daily PLF" numFmtId="0">
      <sharedItems containsSemiMixedTypes="0" containsString="0" containsNumber="1" minValue="2.5185185185185172E-3" maxValue="1.278399378399375"/>
    </cacheField>
    <cacheField name="Wtd PLF" numFmtId="0">
      <sharedItems containsSemiMixedTypes="0" containsString="0" containsNumber="1" minValue="0.30409946236559127" maxValue="695.97337058077073"/>
    </cacheField>
    <cacheField name="Wd PLF" numFmtId="0" formula="'Wtd PLF'/Capaci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1">
  <r>
    <s v="DARLIPALI STPS1"/>
    <s v="Odisha"/>
    <s v="ER"/>
    <s v="CENTRAL SECTOR"/>
    <s v=" 0-5 years"/>
    <n v="0.34223134839151198"/>
    <n v="800"/>
    <n v="3.3299311885747009"/>
    <n v="2663.9449508597609"/>
    <n v="2677.896513484246"/>
    <n v="2142317.2107873969"/>
    <m/>
    <n v="0"/>
    <s v="Operational"/>
  </r>
  <r>
    <s v="GADARWARA TPP1"/>
    <s v="Madhya Pradesh"/>
    <s v="WR"/>
    <s v="CENTRAL SECTOR"/>
    <s v=" 0-5 years"/>
    <n v="1.06776180698151"/>
    <n v="800"/>
    <n v="3.37"/>
    <n v="2696"/>
    <n v="2628.5422010575162"/>
    <n v="2102833.7608460127"/>
    <m/>
    <n v="0"/>
    <s v="Operational"/>
  </r>
  <r>
    <s v="KOTHAGUDEM STAGE-7 TPS12"/>
    <s v="Telangana"/>
    <s v="SR"/>
    <s v="STATE SECTOR"/>
    <s v=" 0-5 years"/>
    <n v="1.9603011635865799"/>
    <n v="800"/>
    <n v="2.63"/>
    <n v="2104"/>
    <n v="2482.7574599226896"/>
    <n v="1986205.9679381517"/>
    <n v="7.0000000000000007E-2"/>
    <n v="56.000000000000007"/>
    <s v="Operational"/>
  </r>
  <r>
    <s v="LARA TPP1"/>
    <s v="Chhatisgarh"/>
    <s v="WR"/>
    <s v="CENTRAL SECTOR"/>
    <s v=" 0-5 years"/>
    <n v="2.0917180013689198"/>
    <n v="800"/>
    <n v="2.4700000000000002"/>
    <n v="1976.0000000000002"/>
    <n v="2630.0168898634179"/>
    <n v="2104013.5118907341"/>
    <n v="5.2489445057243921E-2"/>
    <n v="41.991556045795136"/>
    <s v="Operational"/>
  </r>
  <r>
    <s v="YERMARUS TPS2"/>
    <s v="Karnataka"/>
    <s v="SR"/>
    <s v="STATE SECTOR"/>
    <s v=" 0-5 years"/>
    <n v="3.0910335386721401"/>
    <n v="800"/>
    <n v="3.75"/>
    <n v="3000"/>
    <n v="2687.3982645488704"/>
    <n v="2149918.6116390964"/>
    <n v="0.13221101440955424"/>
    <n v="105.76881152764339"/>
    <s v="Operational"/>
  </r>
  <r>
    <s v="KUDGI STPP3"/>
    <s v="Karnataka"/>
    <s v="SR"/>
    <s v="CENTRAL SECTOR"/>
    <s v=" 0-5 years"/>
    <n v="2.1163586584531102"/>
    <n v="800"/>
    <n v="3.78"/>
    <n v="3024"/>
    <n v="2625.3919606827776"/>
    <n v="2100313.5685462221"/>
    <n v="7.8813638844723796E-2"/>
    <n v="63.050911075779034"/>
    <s v="Operational"/>
  </r>
  <r>
    <s v="WANAKBORI TPS8"/>
    <s v="Gujarat"/>
    <s v="WR"/>
    <s v="STATE SECTOR"/>
    <s v=" 0-5 years"/>
    <n v="0.53661875427789096"/>
    <n v="800"/>
    <n v="3.3"/>
    <n v="2640"/>
    <n v="2674.799012558261"/>
    <n v="2139839.2100466089"/>
    <n v="9.2496856160444826E-2"/>
    <n v="73.99748492835586"/>
    <s v="Operational"/>
  </r>
  <r>
    <s v="YERMARUS TPS1"/>
    <s v="Karnataka"/>
    <s v="SR"/>
    <s v="STATE SECTOR"/>
    <s v=" 0-5 years"/>
    <n v="4.1752224503764497"/>
    <n v="800"/>
    <n v="3.75"/>
    <n v="3000"/>
    <n v="2691.5318984448991"/>
    <n v="2153225.5187559193"/>
    <n v="0.13221101440955424"/>
    <n v="105.76881152764339"/>
    <s v="Operational"/>
  </r>
  <r>
    <s v="KUDGI STPP2"/>
    <s v="Karnataka"/>
    <s v="SR"/>
    <s v="CENTRAL SECTOR"/>
    <s v=" 0-5 years"/>
    <n v="3.1074606433949299"/>
    <n v="800"/>
    <n v="3.78"/>
    <n v="3024"/>
    <n v="2615.8899564925246"/>
    <n v="2092711.9651940197"/>
    <n v="7.8813638844723796E-2"/>
    <n v="63.050911075779034"/>
    <s v="Operational"/>
  </r>
  <r>
    <s v="KUDGI STPP1"/>
    <s v="Karnataka"/>
    <s v="SR"/>
    <s v="CENTRAL SECTOR"/>
    <s v=" 0-5 years"/>
    <n v="3.3566050650239498"/>
    <n v="800"/>
    <n v="3.78"/>
    <n v="3024"/>
    <n v="2603.5364940747231"/>
    <n v="2082829.1952597785"/>
    <n v="7.8813638844723796E-2"/>
    <n v="63.050911075779034"/>
    <s v="Operational"/>
  </r>
  <r>
    <s v="DAMODARAN SANJEEVAIAH TPS2"/>
    <s v="Andhra Pradesh"/>
    <s v="SR"/>
    <s v="STATE SECTOR"/>
    <s v=" 5-10 years"/>
    <n v="5.1772758384667998"/>
    <n v="800"/>
    <n v="3.18"/>
    <n v="2544"/>
    <n v="2585.1393587278744"/>
    <n v="2068111.4869822995"/>
    <n v="7.43080715713893E-2"/>
    <n v="59.44645725711144"/>
    <s v="Operational"/>
  </r>
  <r>
    <s v="DAMODARAN SANJEEVAIAH TPS1"/>
    <s v="Andhra Pradesh"/>
    <s v="SR"/>
    <s v="STATE SECTOR"/>
    <s v=" 5-10 years"/>
    <n v="5.7577002053388"/>
    <n v="800"/>
    <n v="3.18"/>
    <n v="2544"/>
    <n v="2601.8707233817827"/>
    <n v="2081496.5787054261"/>
    <n v="7.43080715713893E-2"/>
    <n v="59.44645725711144"/>
    <s v="Operational"/>
  </r>
  <r>
    <s v="BELLARY TPS3"/>
    <s v="Karnataka"/>
    <s v="SR"/>
    <s v="STATE SECTOR"/>
    <s v=" 0-5 years"/>
    <n v="4.1752224503764497"/>
    <n v="700"/>
    <n v="4.3600000000000003"/>
    <n v="3052"/>
    <n v="2745.532258825393"/>
    <n v="1921872.581177775"/>
    <n v="6.6702414133670743E-2"/>
    <n v="46.691689893569517"/>
    <s v="Operational"/>
  </r>
  <r>
    <s v="KHARGONE STPP1"/>
    <s v="Madhya Pradesh"/>
    <s v="WR"/>
    <s v="CENTRAL SECTOR"/>
    <s v=" 0-5 years"/>
    <n v="0.60232717316906204"/>
    <n v="660"/>
    <n v="2.83"/>
    <n v="1867.8"/>
    <n v="2718.1367960428233"/>
    <n v="1793970.2853882634"/>
    <m/>
    <n v="0"/>
    <s v="Operational"/>
  </r>
  <r>
    <s v="TANDA STPS5"/>
    <s v="Uttar Pradesh"/>
    <s v="NR"/>
    <s v="CENTRAL SECTOR"/>
    <s v=" 0-5 years"/>
    <n v="0.60232717316906204"/>
    <n v="660"/>
    <n v="2.41"/>
    <n v="1590.6000000000001"/>
    <n v="2630.7900814638019"/>
    <n v="1736321.4537661092"/>
    <n v="0.12115813368341415"/>
    <n v="79.964368231053342"/>
    <s v="Operational"/>
  </r>
  <r>
    <s v="IB VALLEY TPS4"/>
    <s v="Odisha"/>
    <s v="ER"/>
    <s v="STATE SECTOR"/>
    <s v=" 0-5 years"/>
    <n v="0.67898699520876105"/>
    <n v="660"/>
    <n v="1.51"/>
    <n v="996.6"/>
    <n v="2646.4886894914889"/>
    <n v="1746682.5350643827"/>
    <n v="0.10945422612917571"/>
    <n v="72.239789245255977"/>
    <s v="Operational"/>
  </r>
  <r>
    <s v="NABINAGAR STPP1"/>
    <s v="Bihar"/>
    <s v="ER"/>
    <s v="CENTRAL SECTOR"/>
    <s v=" 0-5 years"/>
    <n v="0.81040383299110197"/>
    <n v="660"/>
    <n v="2.06"/>
    <n v="1359.6000000000001"/>
    <n v="2683.781408315142"/>
    <n v="1771295.7294879938"/>
    <n v="7.0000000000000007E-2"/>
    <n v="46.2"/>
    <s v="Operational"/>
  </r>
  <r>
    <s v="IB VALLEY TPS3"/>
    <s v="Odisha"/>
    <s v="ER"/>
    <s v="STATE SECTOR"/>
    <s v=" 0-5 years"/>
    <n v="0.84052019164955505"/>
    <n v="660"/>
    <n v="1.51"/>
    <n v="996.6"/>
    <n v="2660.8914865511697"/>
    <n v="1756188.3811237719"/>
    <n v="0.10945422612917571"/>
    <n v="72.239789245255977"/>
    <s v="Operational"/>
  </r>
  <r>
    <s v="CHHABRA TPS6"/>
    <s v="Rajasthan"/>
    <s v="NR"/>
    <s v="STATE SECTOR"/>
    <s v=" 0-5 years"/>
    <n v="1.06776180698151"/>
    <n v="660"/>
    <n v="2.14"/>
    <n v="1412.4"/>
    <n v="2612.943978273177"/>
    <n v="1724543.0256602969"/>
    <m/>
    <n v="0"/>
    <s v="Operational"/>
  </r>
  <r>
    <s v="SHREE SINGAJI TPP4"/>
    <s v="Madhya Pradesh"/>
    <s v="WR"/>
    <s v="STATE SECTOR"/>
    <s v=" 0-5 years"/>
    <n v="1.06776180698151"/>
    <n v="660"/>
    <n v="2.8110574316462347"/>
    <n v="1855.297904886515"/>
    <n v="2693.6318028836072"/>
    <n v="1777796.9899031806"/>
    <m/>
    <n v="0"/>
    <s v="Operational"/>
  </r>
  <r>
    <s v="RAIKHEDA TPP2"/>
    <s v="Chhatisgarh"/>
    <s v="WR"/>
    <s v="PVT SECTOR"/>
    <s v=" 0-5 years"/>
    <n v="4.1752224503764497"/>
    <n v="685"/>
    <n v="2.9172054378698418"/>
    <n v="1998.2857249408416"/>
    <n v="2742.1369836228182"/>
    <n v="1878363.8337816305"/>
    <n v="9.4685661559992765E-2"/>
    <n v="64.859678168595039"/>
    <s v="Operational"/>
  </r>
  <r>
    <s v="SHREE SINGAJI TPP3"/>
    <s v="Madhya Pradesh"/>
    <s v="WR"/>
    <s v="STATE SECTOR"/>
    <s v=" 0-5 years"/>
    <n v="1.45379876796714"/>
    <n v="660"/>
    <n v="2.7274988194594498"/>
    <n v="1800.1492208432369"/>
    <n v="2657.8505685419959"/>
    <n v="1754181.3752377173"/>
    <m/>
    <n v="0"/>
    <s v="Operational"/>
  </r>
  <r>
    <s v="MEJA STPP1"/>
    <s v="Uttar Pradesh"/>
    <s v="NR"/>
    <s v="CENTRAL SECTOR"/>
    <s v=" 0-5 years"/>
    <n v="2.0917180013689198"/>
    <n v="660"/>
    <n v="3.28"/>
    <n v="2164.7999999999997"/>
    <n v="2790.7223159179648"/>
    <n v="1841876.7285058568"/>
    <n v="6.4933199252980744E-2"/>
    <n v="42.855911506967288"/>
    <s v="Operational"/>
  </r>
  <r>
    <s v="RAIKHEDA TPP1"/>
    <s v="Chhatisgarh"/>
    <s v="WR"/>
    <s v="PVT SECTOR"/>
    <s v=" 5-10 years"/>
    <n v="5.2539356605065004"/>
    <n v="685"/>
    <n v="2.7918203016194005"/>
    <n v="1912.3969066092893"/>
    <n v="2690.5330340365863"/>
    <n v="1843015.1283150616"/>
    <n v="9.4685661559992765E-2"/>
    <n v="64.859678168595039"/>
    <s v="Operational"/>
  </r>
  <r>
    <s v="SOLAPUR STPS2"/>
    <s v="Maharashtra"/>
    <s v="WR"/>
    <s v="CENTRAL SECTOR"/>
    <s v=" 0-5 years"/>
    <n v="1.06776180698151"/>
    <n v="660"/>
    <n v="3.66"/>
    <n v="2415.6"/>
    <n v="2818.2986455129321"/>
    <n v="1860077.1060385352"/>
    <n v="0.09"/>
    <n v="59.4"/>
    <s v="Operational"/>
  </r>
  <r>
    <s v="BARA TPP3"/>
    <s v="Uttar Pradesh"/>
    <s v="NR"/>
    <s v="PVT SECTOR"/>
    <s v=" 0-5 years"/>
    <n v="3.0088980150581701"/>
    <n v="660"/>
    <n v="2.33"/>
    <n v="1537.8"/>
    <n v="2677.608789275967"/>
    <n v="1767221.8009221382"/>
    <n v="7.2032085285824013E-2"/>
    <n v="47.541176288643847"/>
    <s v="Operational"/>
  </r>
  <r>
    <s v="CHHABRA TPS5"/>
    <s v="Rajasthan"/>
    <s v="NR"/>
    <s v="STATE SECTOR"/>
    <s v=" 0-5 years"/>
    <n v="3.0910335386721401"/>
    <n v="660"/>
    <n v="2.13"/>
    <n v="1405.8"/>
    <n v="2683.2311592343785"/>
    <n v="1770932.5650946898"/>
    <m/>
    <n v="0"/>
    <s v="Operational"/>
  </r>
  <r>
    <s v="BARA TPP1"/>
    <s v="Uttar Pradesh"/>
    <s v="NR"/>
    <s v="PVT SECTOR"/>
    <s v=" 0-5 years"/>
    <n v="3.4223134839151199"/>
    <n v="660"/>
    <n v="2.33"/>
    <n v="1537.8"/>
    <n v="2647.0921269602272"/>
    <n v="1747080.80379375"/>
    <n v="7.2032085285824013E-2"/>
    <n v="47.541176288643847"/>
    <s v="Operational"/>
  </r>
  <r>
    <s v="MAUDA TPS4"/>
    <s v="Maharashtra"/>
    <s v="WR"/>
    <s v="CENTRAL SECTOR"/>
    <s v=" 0-5 years"/>
    <n v="3.1759069130732298"/>
    <n v="660"/>
    <n v="2.9"/>
    <n v="1914"/>
    <n v="2678.2286873027865"/>
    <n v="1767630.9336198391"/>
    <n v="7.3009693702312639E-2"/>
    <n v="48.186397843526343"/>
    <s v="Operational"/>
  </r>
  <r>
    <s v="LALITPUR TPS3"/>
    <s v="Uttar Pradesh"/>
    <s v="NR"/>
    <s v="PVT SECTOR"/>
    <s v=" 0-5 years"/>
    <n v="4.0903490759753502"/>
    <n v="660"/>
    <n v="2.9"/>
    <n v="1914"/>
    <n v="2691.6909286400519"/>
    <n v="1776516.0129024342"/>
    <n v="5.6784412022982754E-2"/>
    <n v="37.477711935168621"/>
    <s v="Operational"/>
  </r>
  <r>
    <s v="LALITPUR TPS1"/>
    <s v="Uttar Pradesh"/>
    <s v="NR"/>
    <s v="PVT SECTOR"/>
    <s v=" 0-5 years"/>
    <n v="4.1752224503764497"/>
    <n v="660"/>
    <n v="2.9"/>
    <n v="1914"/>
    <n v="2710.9501550944578"/>
    <n v="1789227.1023623422"/>
    <n v="5.6784412022982754E-2"/>
    <n v="37.477711935168621"/>
    <s v="Operational"/>
  </r>
  <r>
    <s v="LALITPUR TPS2"/>
    <s v="Uttar Pradesh"/>
    <s v="NR"/>
    <s v="PVT SECTOR"/>
    <s v=" 0-5 years"/>
    <n v="4.33949349760438"/>
    <n v="660"/>
    <n v="2.9"/>
    <n v="1914"/>
    <n v="2724.4060714120214"/>
    <n v="1798108.0071319342"/>
    <n v="5.6784412022982754E-2"/>
    <n v="37.477711935168621"/>
    <s v="Operational"/>
  </r>
  <r>
    <s v="BARA TPP2"/>
    <s v="Uttar Pradesh"/>
    <s v="NR"/>
    <s v="PVT SECTOR"/>
    <s v=" 0-5 years"/>
    <n v="4.6735112936344896"/>
    <n v="660"/>
    <n v="2.33"/>
    <n v="1537.8"/>
    <n v="2730.771881295801"/>
    <n v="1802309.4416552286"/>
    <n v="7.2032085285824013E-2"/>
    <n v="47.541176288643847"/>
    <s v="Operational"/>
  </r>
  <r>
    <s v="SOLAPUR STPS1"/>
    <s v="Maharashtra"/>
    <s v="WR"/>
    <s v="CENTRAL SECTOR"/>
    <s v=" 0-5 years"/>
    <n v="3.0910335386721401"/>
    <n v="660"/>
    <n v="3.66"/>
    <n v="2415.6"/>
    <n v="2763.934057916772"/>
    <n v="1824196.4782250696"/>
    <n v="0.09"/>
    <n v="59.4"/>
    <s v="Operational"/>
  </r>
  <r>
    <s v="MAUDA TPS3"/>
    <s v="Maharashtra"/>
    <s v="WR"/>
    <s v="CENTRAL SECTOR"/>
    <s v=" 0-5 years"/>
    <n v="4.1752224503764497"/>
    <n v="660"/>
    <n v="2.9"/>
    <n v="1914"/>
    <n v="2679.1024714016098"/>
    <n v="1768207.6311250625"/>
    <n v="7.3009693702312639E-2"/>
    <n v="48.186397843526343"/>
    <s v="Operational"/>
  </r>
  <r>
    <s v="SASAN UMPTPP6"/>
    <s v="Madhya Pradesh"/>
    <s v="WR"/>
    <s v="PVT SECTOR"/>
    <s v=" 5-10 years"/>
    <n v="5.1772758384667998"/>
    <n v="660"/>
    <n v="1.34"/>
    <n v="884.40000000000009"/>
    <n v="2526.7125657220299"/>
    <n v="1667630.2933765398"/>
    <n v="5.9985033260734698E-2"/>
    <n v="39.5901219520849"/>
    <s v="Operational"/>
  </r>
  <r>
    <s v="NIGRI TPP2"/>
    <s v="Madhya Pradesh"/>
    <s v="WR"/>
    <s v="PVT SECTOR"/>
    <s v=" 5-10 years"/>
    <n v="5.2539356605065004"/>
    <n v="660"/>
    <n v="0.61"/>
    <n v="402.59999999999997"/>
    <n v="2650.1077045604775"/>
    <n v="1749071.0850099151"/>
    <n v="6.0287169912146825E-2"/>
    <n v="39.789532142016903"/>
    <s v="Operational"/>
  </r>
  <r>
    <s v="BARH II5"/>
    <s v="Bihar"/>
    <s v="ER"/>
    <s v="CENTRAL SECTOR"/>
    <s v=" 5-10 years"/>
    <n v="5.1772758384667998"/>
    <n v="660"/>
    <n v="2.31"/>
    <n v="1524.6000000000001"/>
    <n v="2585.0296110159238"/>
    <n v="1706119.5432705097"/>
    <n v="7.8938602528921195E-2"/>
    <n v="52.099477669087989"/>
    <s v="Operational"/>
  </r>
  <r>
    <s v="KORADI TPS10"/>
    <s v="Maharashtra"/>
    <s v="WR"/>
    <s v="STATE SECTOR"/>
    <s v=" 0-5 years"/>
    <n v="3.4223134839151199"/>
    <n v="660"/>
    <n v="2.19"/>
    <n v="1445.3999999999999"/>
    <n v="2678.5773768317194"/>
    <n v="1767861.0687089348"/>
    <n v="8.2497496941869752E-2"/>
    <n v="54.448347981634036"/>
    <s v="Operational"/>
  </r>
  <r>
    <s v="NIGRI TPP1"/>
    <s v="Madhya Pradesh"/>
    <s v="WR"/>
    <s v="PVT SECTOR"/>
    <s v=" 5-10 years"/>
    <n v="5.7577002053388"/>
    <n v="660"/>
    <n v="0.61"/>
    <n v="402.59999999999997"/>
    <n v="2654.6252352012957"/>
    <n v="1752052.6552328551"/>
    <n v="6.0287169912146825E-2"/>
    <n v="39.789532142016903"/>
    <s v="Operational"/>
  </r>
  <r>
    <s v="SASAN UMPTPP5"/>
    <s v="Madhya Pradesh"/>
    <s v="WR"/>
    <s v="PVT SECTOR"/>
    <s v=" 5-10 years"/>
    <n v="5.7577002053388"/>
    <n v="660"/>
    <n v="1.34"/>
    <n v="884.40000000000009"/>
    <n v="2525.3075794452971"/>
    <n v="1666703.0024338961"/>
    <n v="5.9985033260734698E-2"/>
    <n v="39.5901219520849"/>
    <s v="Operational"/>
  </r>
  <r>
    <s v="SASAN UMPTPP3"/>
    <s v="Madhya Pradesh"/>
    <s v="WR"/>
    <s v="PVT SECTOR"/>
    <s v=" 5-10 years"/>
    <n v="6.00958247775496"/>
    <n v="660"/>
    <n v="1.34"/>
    <n v="884.40000000000009"/>
    <n v="2544.6447009853359"/>
    <n v="1679465.5026503217"/>
    <n v="5.9985033260734698E-2"/>
    <n v="39.5901219520849"/>
    <s v="Operational"/>
  </r>
  <r>
    <s v="SASAN UMPTPP4"/>
    <s v="Madhya Pradesh"/>
    <s v="WR"/>
    <s v="PVT SECTOR"/>
    <s v=" 5-10 years"/>
    <n v="6.1765913757700197"/>
    <n v="660"/>
    <n v="1.34"/>
    <n v="884.40000000000009"/>
    <n v="2551.4825823397746"/>
    <n v="1683978.5043442512"/>
    <n v="5.9985033260734698E-2"/>
    <n v="39.5901219520849"/>
    <s v="Operational"/>
  </r>
  <r>
    <s v="KORADI TPS9"/>
    <s v="Maharashtra"/>
    <s v="WR"/>
    <s v="STATE SECTOR"/>
    <s v=" 0-5 years"/>
    <n v="4.1752224503764497"/>
    <n v="660"/>
    <n v="2.19"/>
    <n v="1445.3999999999999"/>
    <n v="2701.7430118303091"/>
    <n v="1783150.3878080039"/>
    <n v="8.2497496941869752E-2"/>
    <n v="54.448347981634036"/>
    <s v="Operational"/>
  </r>
  <r>
    <s v="SASAN UMPTPP2"/>
    <s v="Madhya Pradesh"/>
    <s v="WR"/>
    <s v="PVT SECTOR"/>
    <s v=" 5-10 years"/>
    <n v="6.4229979466118996"/>
    <n v="660"/>
    <n v="1.34"/>
    <n v="884.40000000000009"/>
    <n v="2538.3943953418784"/>
    <n v="1675340.3009256397"/>
    <n v="5.9985033260734698E-2"/>
    <n v="39.5901219520849"/>
    <s v="Operational"/>
  </r>
  <r>
    <s v="RAJPURA TPS2"/>
    <s v="Punjab"/>
    <s v="NR"/>
    <s v="PVT SECTOR"/>
    <s v=" 5-10 years"/>
    <n v="5.8425735797399003"/>
    <n v="700"/>
    <n v="2.2599999999999998"/>
    <n v="1581.9999999999998"/>
    <n v="2609.3879658222372"/>
    <n v="1826571.576075566"/>
    <n v="5.271272326947618E-2"/>
    <n v="36.898906288633327"/>
    <s v="Operational"/>
  </r>
  <r>
    <s v="BARH II4"/>
    <s v="Bihar"/>
    <s v="ER"/>
    <s v="CENTRAL SECTOR"/>
    <s v=" 5-10 years"/>
    <n v="6.5051334702258696"/>
    <n v="660"/>
    <n v="2.31"/>
    <n v="1524.6000000000001"/>
    <n v="2603.456054478007"/>
    <n v="1718280.9959554847"/>
    <n v="7.8938602528921195E-2"/>
    <n v="52.099477669087989"/>
    <s v="Operational"/>
  </r>
  <r>
    <s v="RAJPURA TPS1"/>
    <s v="Punjab"/>
    <s v="NR"/>
    <s v="PVT SECTOR"/>
    <s v=" 5-10 years"/>
    <n v="6.3381245722108099"/>
    <n v="700"/>
    <n v="2.2599999999999998"/>
    <n v="1581.9999999999998"/>
    <n v="2612.3257496137326"/>
    <n v="1828628.0247296127"/>
    <n v="5.271272326947618E-2"/>
    <n v="36.898906288633327"/>
    <s v="Operational"/>
  </r>
  <r>
    <s v="TIRORA TPS5"/>
    <s v="Maharashtra"/>
    <s v="WR"/>
    <s v="PVT SECTOR"/>
    <s v=" 5-10 years"/>
    <n v="5.6728268309377103"/>
    <n v="660"/>
    <n v="2.39"/>
    <n v="1577.4"/>
    <n v="2619.0387898864901"/>
    <n v="1728565.6013250835"/>
    <n v="5.508216674000762E-2"/>
    <n v="36.354230048405029"/>
    <s v="Operational"/>
  </r>
  <r>
    <s v="SASAN UMPTPP1"/>
    <s v="Madhya Pradesh"/>
    <s v="WR"/>
    <s v="PVT SECTOR"/>
    <s v=" 5-10 years"/>
    <n v="7.0088980150581701"/>
    <n v="660"/>
    <n v="1.34"/>
    <n v="884.40000000000009"/>
    <n v="2543.998959622139"/>
    <n v="1679039.3133506116"/>
    <n v="5.9985033260734698E-2"/>
    <n v="39.5901219520849"/>
    <s v="Operational"/>
  </r>
  <r>
    <s v="KORADI TPS8"/>
    <s v="Maharashtra"/>
    <s v="WR"/>
    <s v="STATE SECTOR"/>
    <s v=" 5-10 years"/>
    <n v="5.1772758384667998"/>
    <n v="660"/>
    <n v="2.19"/>
    <n v="1445.3999999999999"/>
    <n v="2707.498098621164"/>
    <n v="1786948.7450899682"/>
    <n v="8.2497496941869752E-2"/>
    <n v="54.448347981634036"/>
    <s v="Operational"/>
  </r>
  <r>
    <s v="TIRORA TPS4"/>
    <s v="Maharashtra"/>
    <s v="WR"/>
    <s v="PVT SECTOR"/>
    <s v=" 5-10 years"/>
    <n v="6.1765913757700197"/>
    <n v="660"/>
    <n v="2.39"/>
    <n v="1577.4"/>
    <n v="2633.0538535582114"/>
    <n v="1737815.5433484195"/>
    <n v="5.508216674000762E-2"/>
    <n v="36.354230048405029"/>
    <s v="Operational"/>
  </r>
  <r>
    <s v="SIPAT STPS3"/>
    <s v="Chhatisgarh"/>
    <s v="WR"/>
    <s v="CENTRAL SECTOR"/>
    <s v=" 5-10 years"/>
    <n v="7.7563312799452397"/>
    <n v="660"/>
    <n v="1.35"/>
    <n v="891.00000000000011"/>
    <n v="2586.6655689966797"/>
    <n v="1707199.2755378087"/>
    <n v="5.4595359838897593E-2"/>
    <n v="36.032937493672414"/>
    <s v="Operational"/>
  </r>
  <r>
    <s v="MAHATMA GANDHI TPS2"/>
    <s v="Haryana"/>
    <s v="NR"/>
    <s v="PVT SECTOR"/>
    <s v=" 5-10 years"/>
    <n v="8.0903490759753591"/>
    <n v="660"/>
    <n v="3.33"/>
    <n v="2197.8000000000002"/>
    <n v="2674.6583413135963"/>
    <n v="1765274.5052669735"/>
    <n v="6.2602876632131307E-2"/>
    <n v="41.317898577206662"/>
    <s v="Operational"/>
  </r>
  <r>
    <s v="SIPAT STPS2"/>
    <s v="Chhatisgarh"/>
    <s v="WR"/>
    <s v="CENTRAL SECTOR"/>
    <s v=" 5-10 years"/>
    <n v="8.00821355236139"/>
    <n v="660"/>
    <n v="1.35"/>
    <n v="891.00000000000011"/>
    <n v="2574.6160248419378"/>
    <n v="1699246.576395679"/>
    <n v="5.4595359838897593E-2"/>
    <n v="36.032937493672414"/>
    <s v="Operational"/>
  </r>
  <r>
    <s v="TIRORA TPS3"/>
    <s v="Maharashtra"/>
    <s v="WR"/>
    <s v="PVT SECTOR"/>
    <s v=" 5-10 years"/>
    <n v="6.9240246406570796"/>
    <n v="660"/>
    <n v="1.82"/>
    <n v="1201.2"/>
    <n v="2617.2513035111429"/>
    <n v="1727385.8603173543"/>
    <n v="5.508216674000762E-2"/>
    <n v="36.354230048405029"/>
    <s v="Operational"/>
  </r>
  <r>
    <s v="MAHATMA GANDHI TPS1"/>
    <s v="Haryana"/>
    <s v="NR"/>
    <s v="PVT SECTOR"/>
    <s v=" 5-10 years"/>
    <n v="8.33949349760438"/>
    <n v="660"/>
    <n v="3.33"/>
    <n v="2197.8000000000002"/>
    <n v="2667.4483877385769"/>
    <n v="1760515.9359074607"/>
    <n v="6.2602876632131307E-2"/>
    <n v="41.317898577206662"/>
    <s v="Operational"/>
  </r>
  <r>
    <s v="TIRORA TPS2"/>
    <s v="Maharashtra"/>
    <s v="WR"/>
    <s v="PVT SECTOR"/>
    <s v=" 5-10 years"/>
    <n v="7.1759069130732298"/>
    <n v="660"/>
    <n v="1.82"/>
    <n v="1201.2"/>
    <n v="2645.0729929002923"/>
    <n v="1745748.1753141929"/>
    <n v="5.508216674000762E-2"/>
    <n v="36.354230048405029"/>
    <s v="Operational"/>
  </r>
  <r>
    <s v="SIPAT STPS1"/>
    <s v="Chhatisgarh"/>
    <s v="WR"/>
    <s v="CENTRAL SECTOR"/>
    <s v=" 5-10 years"/>
    <n v="8.5913757700205302"/>
    <n v="660"/>
    <n v="1.35"/>
    <n v="891.00000000000011"/>
    <n v="2577.3249035348281"/>
    <n v="1701034.4363329865"/>
    <n v="5.4595359838897593E-2"/>
    <n v="36.032937493672414"/>
    <s v="Operational"/>
  </r>
  <r>
    <s v="TALWANDI SABO TPS3"/>
    <s v="Punjab"/>
    <s v="NR"/>
    <s v="PVT SECTOR"/>
    <s v=" 0-5 years"/>
    <n v="4.1752224503764497"/>
    <n v="660"/>
    <n v="2.85"/>
    <n v="1881"/>
    <n v="2686.6982422450437"/>
    <n v="1773220.8398817289"/>
    <n v="7.1090892196094782E-2"/>
    <n v="46.919988849422559"/>
    <s v="Operational"/>
  </r>
  <r>
    <s v="MAHAN TPP2"/>
    <s v="Madhya Pradesh"/>
    <s v="WR"/>
    <s v="PVT SECTOR"/>
    <s v=" 0-5 years"/>
    <n v="1.67008898015058"/>
    <n v="600"/>
    <n v="2.8202813325377867"/>
    <n v="1692.1687995226721"/>
    <n v="2766.6676986341572"/>
    <n v="1660000.6191804942"/>
    <n v="9.2920955405355318E-2"/>
    <n v="55.752573243213192"/>
    <s v="Operational"/>
  </r>
  <r>
    <s v="TIRORA TPS1"/>
    <s v="Maharashtra"/>
    <s v="WR"/>
    <s v="PVT SECTOR"/>
    <s v=" 5-10 years"/>
    <n v="7.6714579055441403"/>
    <n v="660"/>
    <n v="2.39"/>
    <n v="1577.4"/>
    <n v="2624.7888952344365"/>
    <n v="1732360.6708547282"/>
    <n v="5.508216674000762E-2"/>
    <n v="36.354230048405029"/>
    <s v="Operational"/>
  </r>
  <r>
    <s v="TALWANDI SABO TPS2"/>
    <s v="Punjab"/>
    <s v="NR"/>
    <s v="PVT SECTOR"/>
    <s v=" 0-5 years"/>
    <n v="4.5913757700205302"/>
    <n v="660"/>
    <n v="2.85"/>
    <n v="1881"/>
    <n v="2687.3510434465675"/>
    <n v="1773651.6886747344"/>
    <n v="7.1090892196094782E-2"/>
    <n v="46.919988849422559"/>
    <s v="Operational"/>
  </r>
  <r>
    <s v="RAYALSEEMA TPS6"/>
    <s v="Andhra Pradesh"/>
    <s v="SR"/>
    <s v="STATE SECTOR"/>
    <s v=" 0-5 years"/>
    <n v="2.1163586584531102"/>
    <n v="600"/>
    <n v="3.39"/>
    <n v="2034"/>
    <n v="2768.624458007363"/>
    <n v="1661174.6748044179"/>
    <n v="0.10362859790133408"/>
    <n v="62.177158740800451"/>
    <s v="Operational"/>
  </r>
  <r>
    <s v="TALWANDI SABO TPS1"/>
    <s v="Punjab"/>
    <s v="NR"/>
    <s v="PVT SECTOR"/>
    <s v=" 5-10 years"/>
    <n v="5.9247091033538597"/>
    <n v="660"/>
    <n v="2.85"/>
    <n v="1881"/>
    <n v="2688.3360560670285"/>
    <n v="1774301.7970042387"/>
    <n v="7.1090892196094782E-2"/>
    <n v="46.919988849422559"/>
    <s v="Operational"/>
  </r>
  <r>
    <s v="SINGARENI TPP2"/>
    <s v="Telangana"/>
    <s v="SR"/>
    <s v="STATE SECTOR"/>
    <s v=" 0-5 years"/>
    <n v="3.4250513347022502"/>
    <n v="600"/>
    <n v="2.39"/>
    <n v="1434"/>
    <n v="2602.6327581788437"/>
    <n v="1561579.6549073062"/>
    <n v="5.8057563443709923E-2"/>
    <n v="34.834538066225953"/>
    <s v="Operational"/>
  </r>
  <r>
    <s v="KAWAI TPS2"/>
    <s v="Rajasthan"/>
    <s v="NR"/>
    <s v="PVT SECTOR"/>
    <s v=" 5-10 years"/>
    <n v="6.4229979466118996"/>
    <n v="660"/>
    <n v="2.36"/>
    <n v="1557.6"/>
    <n v="2690.6087005102427"/>
    <n v="1775801.7423367603"/>
    <n v="5.4957824315639968E-2"/>
    <n v="36.272164048322381"/>
    <s v="Operational"/>
  </r>
  <r>
    <s v="AKALTARA TPS2"/>
    <s v="Chhatisgarh"/>
    <s v="WR"/>
    <s v="PVT SECTOR"/>
    <s v=" 0-5 years"/>
    <n v="2.3381245722108099"/>
    <n v="600"/>
    <n v="2.4900000000000002"/>
    <n v="1494.0000000000002"/>
    <n v="2680.1273613497228"/>
    <n v="1608076.4168098336"/>
    <n v="8.0030636155213206E-2"/>
    <n v="48.018381693127921"/>
    <s v="Operational"/>
  </r>
  <r>
    <s v="KAWAI TPS1"/>
    <s v="Rajasthan"/>
    <s v="NR"/>
    <s v="PVT SECTOR"/>
    <s v=" 5-10 years"/>
    <n v="7.0088980150581701"/>
    <n v="660"/>
    <n v="2.36"/>
    <n v="1557.6"/>
    <n v="2696.2169125758082"/>
    <n v="1779503.1623000335"/>
    <n v="5.4957824315639968E-2"/>
    <n v="36.272164048322381"/>
    <s v="Operational"/>
  </r>
  <r>
    <s v="ANPARA TPS7"/>
    <s v="Uttar Pradesh"/>
    <s v="NR"/>
    <s v="STATE SECTOR"/>
    <s v=" 0-5 years"/>
    <n v="4.1752224503764497"/>
    <n v="600"/>
    <n v="1.39"/>
    <n v="833.99999999999989"/>
    <n v="2727.410853601883"/>
    <n v="1636446.5121611299"/>
    <n v="9.3255770253987805E-2"/>
    <n v="55.953462152392682"/>
    <s v="Operational"/>
  </r>
  <r>
    <s v="SEIONI TPP1"/>
    <s v="Madhya Pradesh"/>
    <s v="WR"/>
    <s v="PVT SECTOR"/>
    <s v=" 0-5 years"/>
    <n v="4.1752224503764497"/>
    <n v="600"/>
    <n v="2.08"/>
    <n v="1248"/>
    <n v="2734.9308652273457"/>
    <n v="1640958.5191364074"/>
    <n v="6.5611235962542022E-2"/>
    <n v="39.366741577525211"/>
    <s v="Operational"/>
  </r>
  <r>
    <s v="SINGARENI TPP1"/>
    <s v="Telangana"/>
    <s v="SR"/>
    <s v="STATE SECTOR"/>
    <s v=" 0-5 years"/>
    <n v="4.1752224503764497"/>
    <n v="600"/>
    <n v="2.39"/>
    <n v="1434"/>
    <n v="2606.1627216397683"/>
    <n v="1563697.632983861"/>
    <n v="5.8057563443709923E-2"/>
    <n v="34.834538066225953"/>
    <s v="Operational"/>
  </r>
  <r>
    <s v="ANUPPUR TPP2"/>
    <s v="Madhya Pradesh"/>
    <s v="WR"/>
    <s v="PVT SECTOR"/>
    <s v=" 0-5 years"/>
    <n v="4.1752224503764497"/>
    <n v="600"/>
    <n v="2.16"/>
    <n v="1296"/>
    <n v="2683.8821443326406"/>
    <n v="1610329.2865995844"/>
    <n v="6.7965223168433342E-2"/>
    <n v="40.779133901060007"/>
    <s v="Operational"/>
  </r>
  <r>
    <s v="RAGHUNATHPUR TPP2"/>
    <s v="West Bengal"/>
    <s v="ER"/>
    <s v="CENTRAL SECTOR"/>
    <s v=" 0-5 years"/>
    <n v="4.33949349760438"/>
    <n v="600"/>
    <n v="2.21"/>
    <n v="1326"/>
    <n v="2765.3528626088691"/>
    <n v="1659211.7175653216"/>
    <n v="7.8899454574965444E-2"/>
    <n v="47.339672744979268"/>
    <s v="Operational"/>
  </r>
  <r>
    <s v="KAKATIYA TPS2"/>
    <s v="Telangana"/>
    <s v="SR"/>
    <s v="STATE SECTOR"/>
    <s v=" 0-5 years"/>
    <n v="4.4243668720054696"/>
    <n v="600"/>
    <n v="2.77"/>
    <n v="1662"/>
    <n v="2638.9552340083037"/>
    <n v="1583373.1404049823"/>
    <n v="5.7626698395538668E-2"/>
    <n v="34.576019037323199"/>
    <s v="Operational"/>
  </r>
  <r>
    <s v="ANPARA TPS6"/>
    <s v="Uttar Pradesh"/>
    <s v="NR"/>
    <s v="STATE SECTOR"/>
    <s v=" 0-5 years"/>
    <n v="4.9253935660506496"/>
    <n v="600"/>
    <n v="1.39"/>
    <n v="833.99999999999989"/>
    <n v="2681.5226523904639"/>
    <n v="1608913.5914342783"/>
    <n v="9.3255770253987805E-2"/>
    <n v="55.953462152392682"/>
    <s v="Operational"/>
  </r>
  <r>
    <s v="KALISINDH TPS2"/>
    <s v="Rajasthan"/>
    <s v="NR"/>
    <s v="STATE SECTOR"/>
    <s v=" 0-5 years"/>
    <n v="4.9253935660506496"/>
    <n v="600"/>
    <n v="2.61"/>
    <n v="1566"/>
    <n v="2763.9042155115267"/>
    <n v="1658342.5293069161"/>
    <n v="6.7338649205241949E-2"/>
    <n v="40.403189523145173"/>
    <s v="Operational"/>
  </r>
  <r>
    <s v="BARADARHA TPS2"/>
    <s v="Chhatisgarh"/>
    <s v="WR"/>
    <s v="PVT SECTOR"/>
    <s v=" 5-10 years"/>
    <n v="5.1772758384667998"/>
    <n v="600"/>
    <n v="1.76"/>
    <n v="1056"/>
    <n v="2705.9608745821961"/>
    <n v="1623576.5247493177"/>
    <n v="5.7818434756539937E-2"/>
    <n v="34.691060853923965"/>
    <s v="Operational"/>
  </r>
  <r>
    <s v="ANUPPUR TPP1"/>
    <s v="Madhya Pradesh"/>
    <s v="WR"/>
    <s v="PVT SECTOR"/>
    <s v=" 0-5 years"/>
    <n v="5.0924024640657004"/>
    <n v="600"/>
    <n v="2.16"/>
    <n v="1296"/>
    <n v="2699.6814844629025"/>
    <n v="1619808.8906777415"/>
    <n v="6.7965223168433342E-2"/>
    <n v="40.779133901060007"/>
    <s v="Operational"/>
  </r>
  <r>
    <s v="DERANG TPP2"/>
    <s v="Odisha"/>
    <s v="ER"/>
    <s v="PVT SECTOR"/>
    <s v=" 5-10 years"/>
    <n v="5.3388090349075901"/>
    <n v="600"/>
    <n v="1"/>
    <n v="600"/>
    <n v="2788.1056173695415"/>
    <n v="1672863.3704217249"/>
    <n v="5.9866711601157967E-2"/>
    <n v="35.920026960694777"/>
    <s v="Operational"/>
  </r>
  <r>
    <s v="OP JINDAL TPS24"/>
    <s v="Chhatisgarh"/>
    <s v="WR"/>
    <s v="PVT SECTOR"/>
    <s v=" 5-10 years"/>
    <n v="5.1772758384667998"/>
    <n v="600"/>
    <n v="1.51"/>
    <n v="906"/>
    <n v="2830.5015258510098"/>
    <n v="1698300.9155106058"/>
    <n v="5.7803709694753805E-2"/>
    <n v="34.682225816852281"/>
    <s v="Operational"/>
  </r>
  <r>
    <s v="OP JINDAL TPS23"/>
    <s v="Chhatisgarh"/>
    <s v="WR"/>
    <s v="PVT SECTOR"/>
    <s v=" 5-10 years"/>
    <n v="5.3388090349075901"/>
    <n v="600"/>
    <n v="1.51"/>
    <n v="906"/>
    <n v="2749.2142053138587"/>
    <n v="1649528.5231883151"/>
    <n v="5.7803709694753805E-2"/>
    <n v="34.682225816852281"/>
    <s v="Operational"/>
  </r>
  <r>
    <s v="SHREE SINGAJI TPP2"/>
    <s v="Madhya Pradesh"/>
    <s v="WR"/>
    <s v="STATE SECTOR"/>
    <s v=" 5-10 years"/>
    <n v="5.5906913073237501"/>
    <n v="600"/>
    <n v="2.64"/>
    <n v="1584"/>
    <n v="2745.7554247287694"/>
    <n v="1647453.2548372617"/>
    <m/>
    <n v="0"/>
    <s v="Operational"/>
  </r>
  <r>
    <s v="RAGHUNATHPUR TPP1"/>
    <s v="West Bengal"/>
    <s v="ER"/>
    <s v="CENTRAL SECTOR"/>
    <s v=" 5-10 years"/>
    <n v="5.7577002053388"/>
    <n v="600"/>
    <n v="2.21"/>
    <n v="1326"/>
    <n v="2802.7402493911018"/>
    <n v="1681644.1496346612"/>
    <n v="7.8899454574965444E-2"/>
    <n v="47.339672744979268"/>
    <s v="Operational"/>
  </r>
  <r>
    <s v="KALISINDH TPS1"/>
    <s v="Rajasthan"/>
    <s v="NR"/>
    <s v="STATE SECTOR"/>
    <s v=" 5-10 years"/>
    <n v="6.00958247775496"/>
    <n v="600"/>
    <n v="2.61"/>
    <n v="1566"/>
    <n v="2662.0058623351124"/>
    <n v="1597203.5174010675"/>
    <n v="6.7338649205241949E-2"/>
    <n v="40.403189523145173"/>
    <s v="Operational"/>
  </r>
  <r>
    <s v="DERANG TPP1"/>
    <s v="Odisha"/>
    <s v="ER"/>
    <s v="PVT SECTOR"/>
    <s v=" 5-10 years"/>
    <n v="6.0917180013689203"/>
    <n v="600"/>
    <n v="1"/>
    <n v="600"/>
    <n v="2748.0350900754347"/>
    <n v="1648821.0540452609"/>
    <n v="5.9866711601157967E-2"/>
    <n v="35.920026960694777"/>
    <s v="Operational"/>
  </r>
  <r>
    <s v="BARADARHA TPS1"/>
    <s v="Chhatisgarh"/>
    <s v="WR"/>
    <s v="PVT SECTOR"/>
    <s v=" 5-10 years"/>
    <n v="6.2532511978097096"/>
    <n v="600"/>
    <n v="1.76"/>
    <n v="1056"/>
    <n v="2704.5964026048528"/>
    <n v="1622757.8415629116"/>
    <n v="5.7818434756539937E-2"/>
    <n v="34.691060853923965"/>
    <s v="Operational"/>
  </r>
  <r>
    <s v="OP JINDAL TPS21"/>
    <s v="Chhatisgarh"/>
    <s v="WR"/>
    <s v="PVT SECTOR"/>
    <s v=" 5-10 years"/>
    <n v="6.1765913757700197"/>
    <n v="600"/>
    <n v="1.51"/>
    <n v="906"/>
    <n v="2869.7515084349607"/>
    <n v="1721850.9050609765"/>
    <n v="5.7803709694753805E-2"/>
    <n v="34.682225816852281"/>
    <s v="Operational"/>
  </r>
  <r>
    <s v="OP JINDAL TPS22"/>
    <s v="Chhatisgarh"/>
    <s v="WR"/>
    <s v="PVT SECTOR"/>
    <s v=" 5-10 years"/>
    <n v="6.1765913757700197"/>
    <n v="600"/>
    <n v="1.51"/>
    <n v="906"/>
    <n v="2734.8474710308215"/>
    <n v="1640908.4826184928"/>
    <n v="5.7803709694753805E-2"/>
    <n v="34.682225816852281"/>
    <s v="Operational"/>
  </r>
  <r>
    <s v="SHREE SINGAJI TPP1"/>
    <s v="Madhya Pradesh"/>
    <s v="WR"/>
    <s v="STATE SECTOR"/>
    <s v=" 5-10 years"/>
    <n v="6.5051334702258696"/>
    <n v="600"/>
    <n v="2.64"/>
    <n v="1584"/>
    <n v="2743.0914573705668"/>
    <n v="1645854.8744223402"/>
    <m/>
    <n v="0"/>
    <s v="Operational"/>
  </r>
  <r>
    <s v="AKALTARA TPS4"/>
    <s v="Chhatisgarh"/>
    <s v="WR"/>
    <s v="PVT SECTOR"/>
    <s v=" 5-10 years"/>
    <n v="5.7577002053388"/>
    <n v="600"/>
    <n v="2.4900000000000002"/>
    <n v="1494.0000000000002"/>
    <n v="2685.8019019196545"/>
    <n v="1611481.1411517926"/>
    <n v="8.0030636155213206E-2"/>
    <n v="48.018381693127921"/>
    <s v="Operational"/>
  </r>
  <r>
    <s v="MAHAN TPP1"/>
    <s v="Madhya Pradesh"/>
    <s v="WR"/>
    <s v="PVT SECTOR"/>
    <s v=" 5-10 years"/>
    <n v="7.2525667351129304"/>
    <n v="600"/>
    <n v="2.8116068206159666"/>
    <n v="1686.9640923695799"/>
    <n v="2786.1255108669025"/>
    <n v="1671675.3065201414"/>
    <n v="9.2920955405355318E-2"/>
    <n v="55.752573243213192"/>
    <s v="Operational"/>
  </r>
  <r>
    <s v="AKALTARA TPS3"/>
    <s v="Chhatisgarh"/>
    <s v="WR"/>
    <s v="PVT SECTOR"/>
    <s v=" 5-10 years"/>
    <n v="6.7570157426420199"/>
    <n v="600"/>
    <n v="2.4900000000000002"/>
    <n v="1494.0000000000002"/>
    <n v="2834.3359818973217"/>
    <n v="1700601.5891383931"/>
    <n v="8.0030636155213206E-2"/>
    <n v="48.018381693127921"/>
    <s v="Operational"/>
  </r>
  <r>
    <s v="ANPARA C TPS2"/>
    <s v="Uttar Pradesh"/>
    <s v="NR"/>
    <s v="PVT SECTOR"/>
    <s v=" 5-10 years"/>
    <n v="8.33949349760438"/>
    <n v="600"/>
    <n v="1.88"/>
    <n v="1128"/>
    <n v="2666.8259900233074"/>
    <n v="1600095.5940139845"/>
    <n v="6.2540016954501773E-2"/>
    <n v="37.524010172701061"/>
    <s v="Operational"/>
  </r>
  <r>
    <s v="ANPARA C TPS1"/>
    <s v="Uttar Pradesh"/>
    <s v="NR"/>
    <s v="PVT SECTOR"/>
    <s v=" 5-10 years"/>
    <n v="8.5913757700205302"/>
    <n v="600"/>
    <n v="1.88"/>
    <n v="1128"/>
    <n v="2671.3855817448057"/>
    <n v="1602831.3490468834"/>
    <n v="6.2540016954501773E-2"/>
    <n v="37.524010172701061"/>
    <s v="Operational"/>
  </r>
  <r>
    <s v="RAJIV GANDHI TPS2"/>
    <s v="Haryana"/>
    <s v="NR"/>
    <s v="STATE SECTOR"/>
    <s v=" 5-10 years"/>
    <n v="9.5906913073237501"/>
    <n v="600"/>
    <n v="3.54"/>
    <n v="2124"/>
    <n v="2815.8337646212435"/>
    <n v="1689500.2587727462"/>
    <n v="6.0133050822696911E-2"/>
    <n v="36.079830493618147"/>
    <s v="Operational"/>
  </r>
  <r>
    <s v="STERLITE TPP2"/>
    <s v="Odisha"/>
    <s v="ER"/>
    <s v="PVT SECTOR"/>
    <s v=" 5-10 years"/>
    <n v="9.4236824093086895"/>
    <n v="600"/>
    <n v="1.61"/>
    <n v="966.00000000000011"/>
    <n v="2918.6804989429479"/>
    <n v="1751208.2993657687"/>
    <n v="0.05"/>
    <n v="30"/>
    <s v="Operational"/>
  </r>
  <r>
    <s v="NORTH CHENNAI TPS4"/>
    <s v="Tamil Nadu"/>
    <s v="SR"/>
    <s v="STATE SECTOR"/>
    <s v=" 5-10 years"/>
    <n v="6.6009582477754902"/>
    <n v="600"/>
    <n v="3.18"/>
    <n v="1908"/>
    <n v="2762.1453669319726"/>
    <n v="1657287.2201591835"/>
    <n v="7.8776329249988286E-2"/>
    <n v="47.265797549992975"/>
    <s v="Operational"/>
  </r>
  <r>
    <s v="RAJIV GANDHI TPS1"/>
    <s v="Haryana"/>
    <s v="NR"/>
    <s v="STATE SECTOR"/>
    <s v=" 10-15 years"/>
    <n v="10.17659137577"/>
    <n v="600"/>
    <n v="3.54"/>
    <n v="2124"/>
    <n v="2847.5201426165622"/>
    <n v="1708512.0855699372"/>
    <n v="6.0133050822696911E-2"/>
    <n v="36.079830493618147"/>
    <s v="Operational"/>
  </r>
  <r>
    <s v="NORTH CHENNAI TPS5"/>
    <s v="Tamil Nadu"/>
    <s v="SR"/>
    <s v="STATE SECTOR"/>
    <s v=" 5-10 years"/>
    <n v="7.1348391512662497"/>
    <n v="600"/>
    <n v="3.18"/>
    <n v="1908"/>
    <n v="2768.9859667153796"/>
    <n v="1661391.5800292278"/>
    <n v="7.8776329249988286E-2"/>
    <n v="47.265797549992975"/>
    <s v="Operational"/>
  </r>
  <r>
    <s v="MUNDRA UMTPP5"/>
    <s v="Gujarat"/>
    <s v="WR"/>
    <s v="PVT SECTOR"/>
    <s v=" 5-10 years"/>
    <n v="7.1759069130732298"/>
    <n v="800"/>
    <n v="1.74"/>
    <n v="1392"/>
    <n v="2754.7855541398958"/>
    <n v="2203828.4433119167"/>
    <n v="7.7721035120439194E-2"/>
    <n v="62.176828096351358"/>
    <s v="Operational"/>
  </r>
  <r>
    <s v="MUNDRA UMTPP4"/>
    <s v="Gujarat"/>
    <s v="WR"/>
    <s v="PVT SECTOR"/>
    <s v=" 5-10 years"/>
    <n v="7.3374401095140298"/>
    <n v="800"/>
    <n v="1.74"/>
    <n v="1392"/>
    <n v="2701.9346640107833"/>
    <n v="2161547.7312086266"/>
    <n v="7.7721035120439194E-2"/>
    <n v="62.176828096351358"/>
    <s v="Operational"/>
  </r>
  <r>
    <s v="PAINAMPURAM TPP2"/>
    <s v="Andhra Pradesh"/>
    <s v="SR"/>
    <s v="PVT SECTOR"/>
    <s v=" 0-5 years"/>
    <n v="4.6735112936344896"/>
    <n v="660"/>
    <n v="2.2000000000000002"/>
    <n v="1452.0000000000002"/>
    <n v="2674.6655586440984"/>
    <n v="1765279.2687051049"/>
    <n v="5.9223285155824042E-2"/>
    <n v="39.087368202843869"/>
    <s v="Operational"/>
  </r>
  <r>
    <s v="MUNDRA UMTPP3"/>
    <s v="Gujarat"/>
    <s v="WR"/>
    <s v="PVT SECTOR"/>
    <s v=" 5-10 years"/>
    <n v="7.5893223819301801"/>
    <n v="800"/>
    <n v="1.74"/>
    <n v="1392"/>
    <n v="2673.0743181129028"/>
    <n v="2138459.4544903222"/>
    <n v="7.7721035120439194E-2"/>
    <n v="62.176828096351358"/>
    <s v="Operational"/>
  </r>
  <r>
    <s v="MUNDRA UMTPP2"/>
    <s v="Gujarat"/>
    <s v="WR"/>
    <s v="PVT SECTOR"/>
    <s v=" 5-10 years"/>
    <n v="7.8412046543463303"/>
    <n v="800"/>
    <n v="1.74"/>
    <n v="1392"/>
    <n v="2685.0510001023376"/>
    <n v="2148040.8000818701"/>
    <n v="7.7721035120439194E-2"/>
    <n v="62.176828096351358"/>
    <s v="Operational"/>
  </r>
  <r>
    <s v="PAINAMPURAM TPP1"/>
    <s v="Andhra Pradesh"/>
    <s v="SR"/>
    <s v="PVT SECTOR"/>
    <s v=" 5-10 years"/>
    <n v="5.2539356605065004"/>
    <n v="660"/>
    <n v="2.2000000000000002"/>
    <n v="1452.0000000000002"/>
    <n v="2728.3184579976555"/>
    <n v="1800690.1822784527"/>
    <n v="5.9223285155824042E-2"/>
    <n v="39.087368202843869"/>
    <s v="Operational"/>
  </r>
  <r>
    <s v="MUNDRA UMTPP1"/>
    <s v="Gujarat"/>
    <s v="WR"/>
    <s v="PVT SECTOR"/>
    <s v=" 5-10 years"/>
    <n v="8.1752224503764506"/>
    <n v="800"/>
    <n v="1.74"/>
    <n v="1392"/>
    <n v="2706.0756449267574"/>
    <n v="2164860.5159414057"/>
    <n v="7.7721035120439194E-2"/>
    <n v="62.176828096351358"/>
    <s v="Operational"/>
  </r>
  <r>
    <s v="STERLITE TPP1"/>
    <s v="Odisha"/>
    <s v="ER"/>
    <s v="PVT SECTOR"/>
    <s v=" 10-15 years"/>
    <n v="10.17659137577"/>
    <n v="600"/>
    <n v="1.61"/>
    <n v="966.00000000000011"/>
    <n v="2953.1966725455877"/>
    <n v="1771918.0035273526"/>
    <n v="0.05"/>
    <n v="30"/>
    <s v="Operational"/>
  </r>
  <r>
    <s v="AVANTHA BHANDAR1"/>
    <s v="Chhatisgarh"/>
    <s v="WR"/>
    <s v="PVT SECTOR"/>
    <s v=" 5-10 years"/>
    <n v="6.1765913757700197"/>
    <n v="600"/>
    <n v="1.72"/>
    <n v="1032"/>
    <n v="2969.2442178823821"/>
    <n v="1781546.5307294293"/>
    <n v="5.5651687553528041E-2"/>
    <n v="33.391012532116825"/>
    <s v="Operational"/>
  </r>
  <r>
    <s v="VIZAG TPS2"/>
    <s v="Andhra Pradesh"/>
    <s v="SR"/>
    <s v="PVT SECTOR"/>
    <s v=" 0-5 years"/>
    <n v="4.1752224503764497"/>
    <n v="520"/>
    <n v="3.16"/>
    <n v="1643.2"/>
    <n v="2892.5067212890344"/>
    <n v="1504103.495070298"/>
    <n v="2.064213334024792E-2"/>
    <n v="10.733909336928919"/>
    <s v="Operational"/>
  </r>
  <r>
    <s v="SAGARDIGHI TPS4"/>
    <s v="West Bengal"/>
    <s v="ER"/>
    <s v="STATE SECTOR"/>
    <s v=" 0-5 years"/>
    <n v="3.4223134839151199"/>
    <n v="500"/>
    <n v="3"/>
    <n v="1500"/>
    <n v="2852.6070450229736"/>
    <n v="1426303.5225114869"/>
    <n v="9.5849721553511083E-2"/>
    <n v="47.924860776755544"/>
    <s v="Operational"/>
  </r>
  <r>
    <s v="VIZAG TPS1"/>
    <s v="Andhra Pradesh"/>
    <s v="SR"/>
    <s v="PVT SECTOR"/>
    <s v=" 0-5 years"/>
    <n v="4.4243668720054696"/>
    <n v="520"/>
    <n v="3.16"/>
    <n v="1643.2"/>
    <n v="2896.0381375072666"/>
    <n v="1505939.8315037787"/>
    <n v="2.064213334024792E-2"/>
    <n v="10.733909336928919"/>
    <s v="Operational"/>
  </r>
  <r>
    <s v="UNCHAHAR STPS6"/>
    <s v="Uttar Pradesh"/>
    <s v="NR"/>
    <s v="CENTRAL SECTOR"/>
    <s v=" 0-5 years"/>
    <n v="3.1759069130732298"/>
    <n v="500"/>
    <n v="3.08"/>
    <n v="1540"/>
    <n v="2874.3914901616677"/>
    <n v="1437195.7450808338"/>
    <n v="0.10083552828968442"/>
    <n v="50.417764144842209"/>
    <s v="Operational"/>
  </r>
  <r>
    <s v="MARWA TPS2"/>
    <s v="Chhatisgarh"/>
    <s v="WR"/>
    <s v="STATE SECTOR"/>
    <s v=" 0-5 years"/>
    <n v="3.8412046543463298"/>
    <n v="500"/>
    <n v="1.29"/>
    <n v="645"/>
    <n v="2773.4261343599328"/>
    <n v="1386713.0671799665"/>
    <n v="6.1306523812621402E-2"/>
    <n v="30.6532619063107"/>
    <s v="Operational"/>
  </r>
  <r>
    <s v="BOKARO A TPS1"/>
    <s v="Jharkhand"/>
    <s v="ER"/>
    <s v="CENTRAL SECTOR"/>
    <s v=" 0-5 years"/>
    <n v="4.1752224503764497"/>
    <n v="500"/>
    <n v="1.7365039962146149"/>
    <n v="868.25199810730749"/>
    <n v="2765.7891183057081"/>
    <n v="1382894.5591528541"/>
    <n v="6.4777032841771623E-2"/>
    <n v="32.388516420885814"/>
    <s v="Operational"/>
  </r>
  <r>
    <s v="METTUR TPS EXT1"/>
    <s v="Tamil Nadu"/>
    <s v="SR"/>
    <s v="STATE SECTOR"/>
    <s v=" 5-10 years"/>
    <n v="7.5893223819301801"/>
    <n v="600"/>
    <n v="3.64"/>
    <n v="2184"/>
    <n v="2807.3962435483236"/>
    <n v="1684437.746128994"/>
    <n v="0.08"/>
    <n v="48"/>
    <s v="Operational"/>
  </r>
  <r>
    <s v="SAGARDIGHI TPS3"/>
    <s v="West Bengal"/>
    <s v="ER"/>
    <s v="STATE SECTOR"/>
    <s v=" 0-5 years"/>
    <n v="4.4243668720054696"/>
    <n v="500"/>
    <n v="3"/>
    <n v="1500"/>
    <n v="2839.3979243691565"/>
    <n v="1419698.9621845782"/>
    <n v="9.5849721553511083E-2"/>
    <n v="47.924860776755544"/>
    <s v="Operational"/>
  </r>
  <r>
    <s v="VINDHYACHAL STPS13"/>
    <s v="Madhya Pradesh"/>
    <s v="WR"/>
    <s v="CENTRAL SECTOR"/>
    <s v=" 0-5 years"/>
    <n v="4.7583846680355899"/>
    <n v="500"/>
    <n v="1.58"/>
    <n v="790"/>
    <n v="2688.7113925947556"/>
    <n v="1344355.6962973778"/>
    <n v="6.5179373950034494E-2"/>
    <n v="32.589686975017244"/>
    <s v="Operational"/>
  </r>
  <r>
    <s v="CHANDRAPUR STPS9"/>
    <s v="Maharashtra"/>
    <s v="WR"/>
    <s v="STATE SECTOR"/>
    <s v=" 0-5 years"/>
    <n v="4.1752224503764497"/>
    <n v="500"/>
    <n v="2.2400000000000002"/>
    <n v="1120"/>
    <n v="2749.4181928470903"/>
    <n v="1374709.0964235452"/>
    <n v="7.096074531932961E-2"/>
    <n v="35.480372659664802"/>
    <s v="Operational"/>
  </r>
  <r>
    <s v="MAITHON RB TPP2"/>
    <s v="Jharkhand"/>
    <s v="ER"/>
    <s v="PVT SECTOR"/>
    <s v=" 5-10 years"/>
    <n v="7.8412046543463303"/>
    <n v="525"/>
    <n v="2.46"/>
    <n v="1291.5"/>
    <n v="2739.5867187245922"/>
    <n v="1438283.0273304109"/>
    <n v="5.5111041599405448E-2"/>
    <n v="28.933296839687859"/>
    <s v="Operational"/>
  </r>
  <r>
    <s v="CHANDRAPUR STPS8"/>
    <s v="Maharashtra"/>
    <s v="WR"/>
    <s v="STATE SECTOR"/>
    <s v=" 5-10 years"/>
    <n v="5.1772758384667998"/>
    <n v="500"/>
    <n v="2.2400000000000002"/>
    <n v="1120"/>
    <n v="2766.2913900783165"/>
    <n v="1383145.6950391582"/>
    <n v="7.096074531932961E-2"/>
    <n v="35.480372659664802"/>
    <s v="Operational"/>
  </r>
  <r>
    <s v="MAITHON RB TPP1"/>
    <s v="Jharkhand"/>
    <s v="ER"/>
    <s v="PVT SECTOR"/>
    <s v=" 5-10 years"/>
    <n v="8.6735112936344905"/>
    <n v="525"/>
    <n v="2.46"/>
    <n v="1291.5"/>
    <n v="2763.0041103956951"/>
    <n v="1450577.1579577399"/>
    <n v="5.5111041599405448E-2"/>
    <n v="28.933296839687859"/>
    <s v="Operational"/>
  </r>
  <r>
    <s v="MARWA TPS1"/>
    <s v="Chhatisgarh"/>
    <s v="WR"/>
    <s v="STATE SECTOR"/>
    <s v=" 5-10 years"/>
    <n v="6.1765913757700197"/>
    <n v="500"/>
    <n v="1.29"/>
    <n v="645"/>
    <n v="2787.8536861166563"/>
    <n v="1393926.8430583281"/>
    <n v="6.1306523812621402E-2"/>
    <n v="30.6532619063107"/>
    <s v="Operational"/>
  </r>
  <r>
    <s v="VALLUR TPP3"/>
    <s v="Tamil Nadu"/>
    <s v="SR"/>
    <s v="CENTRAL SECTOR"/>
    <s v=" 5-10 years"/>
    <n v="6.2532511978097096"/>
    <n v="500"/>
    <n v="3.4"/>
    <n v="1700"/>
    <n v="2861.6212345938616"/>
    <n v="1430810.6172969309"/>
    <n v="7.9840284877193357E-2"/>
    <n v="39.920142438596677"/>
    <s v="Operational"/>
  </r>
  <r>
    <s v="RIHAND STPS6"/>
    <s v="Uttar Pradesh"/>
    <s v="NR"/>
    <s v="CENTRAL SECTOR"/>
    <s v=" 5-10 years"/>
    <n v="6.5900068446269602"/>
    <n v="500"/>
    <n v="1.37"/>
    <n v="685"/>
    <n v="2689.6628985969369"/>
    <n v="1344831.4492984684"/>
    <n v="6.6356788102148762E-2"/>
    <n v="33.178394051074378"/>
    <s v="Operational"/>
  </r>
  <r>
    <s v="KORBA-WEST TPS5"/>
    <s v="Chhatisgarh"/>
    <s v="WR"/>
    <s v="STATE SECTOR"/>
    <s v=" 5-10 years"/>
    <n v="6.8418891170431202"/>
    <n v="500"/>
    <n v="1.29"/>
    <n v="645"/>
    <n v="2719.8682061205"/>
    <n v="1359934.1030602499"/>
    <n v="6.0941992912102581E-2"/>
    <n v="30.470996456051292"/>
    <s v="Operational"/>
  </r>
  <r>
    <s v="VINDHYACHAL STPS12"/>
    <s v="Madhya Pradesh"/>
    <s v="WR"/>
    <s v="CENTRAL SECTOR"/>
    <s v=" 5-10 years"/>
    <n v="7.1759069130732298"/>
    <n v="500"/>
    <n v="1.54"/>
    <n v="770"/>
    <n v="2699.2122217254682"/>
    <n v="1349606.110862734"/>
    <n v="6.5179373950034494E-2"/>
    <n v="32.589686975017244"/>
    <s v="Operational"/>
  </r>
  <r>
    <s v="KODARMA TPS2"/>
    <s v="Jharkhand"/>
    <s v="ER"/>
    <s v="CENTRAL SECTOR"/>
    <s v=" 5-10 years"/>
    <n v="7.2525667351129304"/>
    <n v="500"/>
    <n v="2.23"/>
    <n v="1115"/>
    <n v="2787.8464441402375"/>
    <n v="1393923.2220701186"/>
    <n v="8.5199811693282709E-2"/>
    <n v="42.599905846641356"/>
    <s v="Operational"/>
  </r>
  <r>
    <s v="VALLUR TPP2"/>
    <s v="Tamil Nadu"/>
    <s v="SR"/>
    <s v="CENTRAL SECTOR"/>
    <s v=" 5-10 years"/>
    <n v="7.2525667351129304"/>
    <n v="500"/>
    <n v="3.4"/>
    <n v="1700"/>
    <n v="2838.4253014931528"/>
    <n v="1419212.6507465765"/>
    <n v="7.9840284877193357E-2"/>
    <n v="39.920142438596677"/>
    <s v="Operational"/>
  </r>
  <r>
    <s v="VINDHYACHAL STPS11"/>
    <s v="Madhya Pradesh"/>
    <s v="WR"/>
    <s v="CENTRAL SECTOR"/>
    <s v=" 5-10 years"/>
    <n v="7.9233401779603003"/>
    <n v="500"/>
    <n v="1.54"/>
    <n v="770"/>
    <n v="2712.8979182200824"/>
    <n v="1356448.9591100411"/>
    <n v="6.5179373950034494E-2"/>
    <n v="32.589686975017244"/>
    <s v="Operational"/>
  </r>
  <r>
    <s v="RIHAND STPS5"/>
    <s v="Uttar Pradesh"/>
    <s v="NR"/>
    <s v="CENTRAL SECTOR"/>
    <s v=" 5-10 years"/>
    <n v="8.00821355236139"/>
    <n v="500"/>
    <n v="1.37"/>
    <n v="685"/>
    <n v="2718.1561867951741"/>
    <n v="1359078.0933975871"/>
    <n v="6.6356788102148762E-2"/>
    <n v="33.178394051074378"/>
    <s v="Operational"/>
  </r>
  <r>
    <s v="MAUDA TPS2"/>
    <s v="Maharashtra"/>
    <s v="WR"/>
    <s v="CENTRAL SECTOR"/>
    <s v=" 5-10 years"/>
    <n v="7.1759069130732298"/>
    <n v="500"/>
    <n v="2.99"/>
    <n v="1495"/>
    <n v="2840.5493916397254"/>
    <n v="1420274.6958198627"/>
    <n v="7.3009693702312639E-2"/>
    <n v="36.504846851156323"/>
    <s v="Operational"/>
  </r>
  <r>
    <s v="BELLARY TPS2"/>
    <s v="Karnataka"/>
    <s v="SR"/>
    <s v="STATE SECTOR"/>
    <s v=" 5-10 years"/>
    <n v="8.1752224503764506"/>
    <n v="500"/>
    <n v="3.58"/>
    <n v="1790"/>
    <n v="2874.0519077067866"/>
    <n v="1437025.9538533932"/>
    <n v="6.6702414133670743E-2"/>
    <n v="33.351207066835372"/>
    <s v="Operational"/>
  </r>
  <r>
    <s v="DURGAPUR STEEL TPS2"/>
    <s v="West Bengal"/>
    <s v="ER"/>
    <s v="CENTRAL SECTOR"/>
    <s v=" 5-10 years"/>
    <n v="8.1752224503764506"/>
    <n v="500"/>
    <n v="2.17"/>
    <n v="1085"/>
    <n v="2763.4419880899891"/>
    <n v="1381720.9940449945"/>
    <n v="5.4428108538354968E-2"/>
    <n v="27.214054269177485"/>
    <s v="Operational"/>
  </r>
  <r>
    <s v="VALLUR TPP1"/>
    <s v="Tamil Nadu"/>
    <s v="SR"/>
    <s v="CENTRAL SECTOR"/>
    <s v=" 5-10 years"/>
    <n v="8.1752224503764506"/>
    <n v="500"/>
    <n v="3.4"/>
    <n v="1700"/>
    <n v="2844.9624159512978"/>
    <n v="1422481.2079756488"/>
    <n v="7.9840284877193357E-2"/>
    <n v="39.920142438596677"/>
    <s v="Operational"/>
  </r>
  <r>
    <s v="SIMHADRI STPP4"/>
    <s v="Andhra Pradesh"/>
    <s v="SR"/>
    <s v="CENTRAL SECTOR"/>
    <s v=" 5-10 years"/>
    <n v="8.1752224503764506"/>
    <n v="500"/>
    <n v="2.96"/>
    <n v="1480"/>
    <n v="2795.3788720901389"/>
    <n v="1397689.4360450695"/>
    <n v="5.6962700163683135E-2"/>
    <n v="28.481350081841569"/>
    <s v="Operational"/>
  </r>
  <r>
    <s v="DURGAPUR STEEL TPS1"/>
    <s v="West Bengal"/>
    <s v="ER"/>
    <s v="CENTRAL SECTOR"/>
    <s v=" 5-10 years"/>
    <n v="8.8432580424366805"/>
    <n v="500"/>
    <n v="2.17"/>
    <n v="1085"/>
    <n v="2791.8751246593433"/>
    <n v="1395937.5623296716"/>
    <n v="5.4428108538354968E-2"/>
    <n v="27.214054269177485"/>
    <s v="Operational"/>
  </r>
  <r>
    <s v="KODARMA TPS1"/>
    <s v="Jharkhand"/>
    <s v="ER"/>
    <s v="CENTRAL SECTOR"/>
    <s v=" 5-10 years"/>
    <n v="8.8432580424366805"/>
    <n v="500"/>
    <n v="2.23"/>
    <n v="1115"/>
    <n v="2757.5814765104346"/>
    <n v="1378790.7382552172"/>
    <n v="8.5199811693282709E-2"/>
    <n v="42.599905846641356"/>
    <s v="Operational"/>
  </r>
  <r>
    <s v="INDIRA GANDHI STPP3"/>
    <s v="Haryana"/>
    <s v="NR"/>
    <s v="CENTRAL SECTOR"/>
    <s v=" 5-10 years"/>
    <n v="7.5044490075290797"/>
    <n v="500"/>
    <n v="3.4"/>
    <n v="1700"/>
    <n v="2846.6856845857533"/>
    <n v="1423342.8422928767"/>
    <n v="6.5600274643046297E-2"/>
    <n v="32.800137321523145"/>
    <s v="Operational"/>
  </r>
  <r>
    <s v="KOTHAGUDEM NEW TPS11"/>
    <s v="Telangana"/>
    <s v="SR"/>
    <s v="STATE SECTOR"/>
    <s v=" 5-10 years"/>
    <n v="8.9253935660506496"/>
    <n v="500"/>
    <n v="3.04"/>
    <n v="1520"/>
    <n v="2745.1159198544069"/>
    <n v="1372557.9599272034"/>
    <n v="7.0000000000000007E-2"/>
    <n v="35"/>
    <s v="Operational"/>
  </r>
  <r>
    <s v="MAUDA TPS1"/>
    <s v="Maharashtra"/>
    <s v="WR"/>
    <s v="CENTRAL SECTOR"/>
    <s v=" 5-10 years"/>
    <n v="8.0903490759753591"/>
    <n v="500"/>
    <n v="2.99"/>
    <n v="1495"/>
    <n v="2819.1907276673173"/>
    <n v="1409595.3638336586"/>
    <n v="7.3009693702312639E-2"/>
    <n v="36.504846851156323"/>
    <s v="Operational"/>
  </r>
  <r>
    <s v="MEJIA TPS8"/>
    <s v="West Bengal"/>
    <s v="ER"/>
    <s v="CENTRAL SECTOR"/>
    <s v=" 5-10 years"/>
    <n v="9.1772758384667998"/>
    <n v="500"/>
    <n v="2.59"/>
    <n v="1295"/>
    <n v="2833.4214076223343"/>
    <n v="1416710.703811167"/>
    <n v="8.3678646324733194E-2"/>
    <n v="41.839323162366597"/>
    <s v="Operational"/>
  </r>
  <r>
    <s v="BHUSAWAL TPS4"/>
    <s v="Maharashtra"/>
    <s v="WR"/>
    <s v="STATE SECTOR"/>
    <s v=" 5-10 years"/>
    <n v="8.1752224503764506"/>
    <n v="500"/>
    <n v="2.73"/>
    <n v="1365"/>
    <n v="2797.9330838110654"/>
    <n v="1398966.5419055328"/>
    <n v="6.8124170867604139E-2"/>
    <n v="34.062085433802068"/>
    <s v="Operational"/>
  </r>
  <r>
    <s v="BHUSAWAL TPS5"/>
    <s v="Maharashtra"/>
    <s v="WR"/>
    <s v="STATE SECTOR"/>
    <s v=" 5-10 years"/>
    <n v="8.1752224503764506"/>
    <n v="500"/>
    <n v="2.73"/>
    <n v="1365"/>
    <n v="2795.6878246182259"/>
    <n v="1397843.912309113"/>
    <n v="6.8124170867604139E-2"/>
    <n v="34.062085433802068"/>
    <s v="Operational"/>
  </r>
  <r>
    <s v="KHAPARKHEDA TPS5"/>
    <s v="Maharashtra"/>
    <s v="WR"/>
    <s v="STATE SECTOR"/>
    <s v=" 5-10 years"/>
    <n v="8.7583846680355908"/>
    <n v="500"/>
    <n v="2.35"/>
    <n v="1175"/>
    <n v="2792.1344813463502"/>
    <n v="1396067.2406731751"/>
    <n v="8.9781177379789912E-2"/>
    <n v="44.890588689894955"/>
    <s v="Operational"/>
  </r>
  <r>
    <s v="FARAKKA STPS6"/>
    <s v="West Bengal"/>
    <s v="ER"/>
    <s v="CENTRAL SECTOR"/>
    <s v=" 5-10 years"/>
    <n v="9.1772758384667998"/>
    <n v="500"/>
    <n v="2.54"/>
    <n v="1270"/>
    <n v="2787.9764411893266"/>
    <n v="1393988.2205946632"/>
    <n v="7.0380830688675913E-2"/>
    <n v="35.190415344337957"/>
    <s v="Operational"/>
  </r>
  <r>
    <s v="KORBA STPS7"/>
    <s v="Chhatisgarh"/>
    <s v="WR"/>
    <s v="CENTRAL SECTOR"/>
    <s v=" 5-10 years"/>
    <n v="9.5058179329226498"/>
    <n v="500"/>
    <n v="1.28"/>
    <n v="640"/>
    <n v="2728.1590513272954"/>
    <n v="1364079.5256636478"/>
    <n v="6.2610933454142856E-2"/>
    <n v="31.305466727071426"/>
    <s v="Operational"/>
  </r>
  <r>
    <s v="SIMHADRI STPP3"/>
    <s v="Andhra Pradesh"/>
    <s v="SR"/>
    <s v="CENTRAL SECTOR"/>
    <s v=" 5-10 years"/>
    <n v="9.1772758384667998"/>
    <n v="500"/>
    <n v="2.96"/>
    <n v="1480"/>
    <n v="2815.5860790246134"/>
    <n v="1407793.0395123067"/>
    <n v="5.6962700163683135E-2"/>
    <n v="28.481350081841569"/>
    <s v="Operational"/>
  </r>
  <r>
    <s v="MEJIA TPS7"/>
    <s v="West Bengal"/>
    <s v="ER"/>
    <s v="CENTRAL SECTOR"/>
    <s v=" 5-10 years"/>
    <n v="9.6728268309377103"/>
    <n v="500"/>
    <n v="2.59"/>
    <n v="1295"/>
    <n v="2814.3032679315943"/>
    <n v="1407151.6339657973"/>
    <n v="8.3678646324733194E-2"/>
    <n v="41.839323162366597"/>
    <s v="Operational"/>
  </r>
  <r>
    <s v="INDIRA GANDHI STPP2"/>
    <s v="Haryana"/>
    <s v="NR"/>
    <s v="CENTRAL SECTOR"/>
    <s v=" 5-10 years"/>
    <n v="8.5065023956194299"/>
    <n v="500"/>
    <n v="3.4"/>
    <n v="1700"/>
    <n v="2885.4483397589597"/>
    <n v="1442724.1698794798"/>
    <n v="6.5600274643046297E-2"/>
    <n v="32.800137321523145"/>
    <s v="Operational"/>
  </r>
  <r>
    <s v="KAKATIYA TPS1"/>
    <s v="Telangana"/>
    <s v="SR"/>
    <s v="STATE SECTOR"/>
    <s v=" 5-10 years"/>
    <n v="10.009582477754901"/>
    <n v="500"/>
    <n v="3.06"/>
    <n v="1530"/>
    <n v="2766.4674479647924"/>
    <n v="1383233.7239823963"/>
    <n v="5.7626698395538668E-2"/>
    <n v="28.813349197769334"/>
    <s v="Operational"/>
  </r>
  <r>
    <s v="NTPL TUTICORIN (JV) TPP2"/>
    <s v="Tamil Nadu"/>
    <s v="SR"/>
    <s v="CENTRAL SECTOR"/>
    <s v=" 0-5 years"/>
    <n v="4.8432580424366796"/>
    <n v="500"/>
    <n v="3.18"/>
    <n v="1590"/>
    <n v="2876.1434936860082"/>
    <n v="1438071.7468430041"/>
    <n v="7.0217798966479852E-2"/>
    <n v="35.108899483239924"/>
    <s v="Operational"/>
  </r>
  <r>
    <s v="UKAI TPS6"/>
    <s v="Gujarat"/>
    <s v="WR"/>
    <s v="STATE SECTOR"/>
    <s v=" 5-10 years"/>
    <n v="7.1759069130732298"/>
    <n v="500"/>
    <n v="3.16"/>
    <n v="1580"/>
    <n v="2796.0690294981723"/>
    <n v="1398034.5147490862"/>
    <n v="8.0187863271519652E-2"/>
    <n v="40.093931635759823"/>
    <s v="Operational"/>
  </r>
  <r>
    <s v="NTPL TUTICORIN (JV) TPP1"/>
    <s v="Tamil Nadu"/>
    <s v="SR"/>
    <s v="CENTRAL SECTOR"/>
    <s v=" 5-10 years"/>
    <n v="5.1772758384667998"/>
    <n v="500"/>
    <n v="3.18"/>
    <n v="1590"/>
    <n v="2808.2636435505624"/>
    <n v="1404131.8217752811"/>
    <n v="7.0217798966479852E-2"/>
    <n v="35.108899483239924"/>
    <s v="Operational"/>
  </r>
  <r>
    <s v="INDIRA GANDHI STPP1"/>
    <s v="Haryana"/>
    <s v="NR"/>
    <s v="CENTRAL SECTOR"/>
    <s v=" 5-10 years"/>
    <n v="9.5906913073237501"/>
    <n v="500"/>
    <n v="3.4"/>
    <n v="1700"/>
    <n v="2895.8739903826481"/>
    <n v="1447936.995191324"/>
    <n v="6.5600274643046297E-2"/>
    <n v="32.800137321523145"/>
    <s v="Operational"/>
  </r>
  <r>
    <s v="DADRI (NCTPP)6"/>
    <s v="Uttar Pradesh"/>
    <s v="NR"/>
    <s v="CENTRAL SECTOR"/>
    <s v=" 5-10 years"/>
    <n v="9.8425735797399003"/>
    <n v="490"/>
    <n v="3.48"/>
    <n v="1705.2"/>
    <n v="2849.7475910020685"/>
    <n v="1396376.3195910135"/>
    <n v="6.6665772632952203E-2"/>
    <n v="32.666228590146581"/>
    <s v="Operational"/>
  </r>
  <r>
    <s v="DR. N TATA RAO TPS7"/>
    <s v="Andhra Pradesh"/>
    <s v="SR"/>
    <s v="STATE SECTOR"/>
    <s v=" 10-15 years"/>
    <n v="10.590006844626901"/>
    <n v="500"/>
    <n v="2.77"/>
    <n v="1385"/>
    <n v="2797.9268813410122"/>
    <n v="1398963.4406705061"/>
    <n v="8.8971276393347468E-2"/>
    <n v="44.485638196673733"/>
    <s v="Operational"/>
  </r>
  <r>
    <s v="KAHALGAON TPS7"/>
    <s v="Bihar"/>
    <s v="ER"/>
    <s v="CENTRAL SECTOR"/>
    <s v=" 10-15 years"/>
    <n v="10.841889117043101"/>
    <n v="500"/>
    <n v="2.31"/>
    <n v="1155"/>
    <n v="2767.521325820082"/>
    <n v="1383760.6629100409"/>
    <n v="7.2417181230320551E-2"/>
    <n v="36.208590615160276"/>
    <s v="Operational"/>
  </r>
  <r>
    <s v="SEMBCORP GAYATRI P. LTD2"/>
    <s v="Andhra Pradesh"/>
    <s v="SR"/>
    <s v="PVT SECTOR"/>
    <s v=" 0-5 years"/>
    <n v="3.1649555099247002"/>
    <n v="660"/>
    <n v="2.4836542648497839"/>
    <n v="1639.2118148008574"/>
    <n v="2792.1770059313139"/>
    <n v="1842836.8239146671"/>
    <n v="6.2368964750631896E-2"/>
    <n v="41.163516735417055"/>
    <s v="Operational"/>
  </r>
  <r>
    <s v="SIPAT STPS5"/>
    <s v="Chhatisgarh"/>
    <s v="WR"/>
    <s v="CENTRAL SECTOR"/>
    <s v=" 10-15 years"/>
    <n v="11.337440109514"/>
    <n v="500"/>
    <n v="1.39"/>
    <n v="695"/>
    <n v="2750.7265844453291"/>
    <n v="1375363.2922226645"/>
    <n v="5.4595359838897593E-2"/>
    <n v="27.297679919448797"/>
    <s v="Operational"/>
  </r>
  <r>
    <s v="SEMBCORP GAYATRI P. LTD1"/>
    <s v="Andhra Pradesh"/>
    <s v="SR"/>
    <s v="PVT SECTOR"/>
    <s v=" 0-5 years"/>
    <n v="3.5044490075290802"/>
    <n v="660"/>
    <n v="2.4893672071791673"/>
    <n v="1642.9823567382505"/>
    <n v="2796.1531336521593"/>
    <n v="1845461.0682104251"/>
    <n v="6.2368964750631896E-2"/>
    <n v="41.163516735417055"/>
    <s v="Operational"/>
  </r>
  <r>
    <s v="SIPAT STPS4"/>
    <s v="Chhatisgarh"/>
    <s v="WR"/>
    <s v="CENTRAL SECTOR"/>
    <s v=" 10-15 years"/>
    <n v="11.9233401779603"/>
    <n v="500"/>
    <n v="1.39"/>
    <n v="695"/>
    <n v="2757.6022659797218"/>
    <n v="1378801.1329898608"/>
    <n v="5.4595359838897593E-2"/>
    <n v="27.297679919448797"/>
    <s v="Operational"/>
  </r>
  <r>
    <s v="KAHALGAON TPS6"/>
    <s v="Bihar"/>
    <s v="ER"/>
    <s v="CENTRAL SECTOR"/>
    <s v=" 10-15 years"/>
    <n v="12.175222450376401"/>
    <n v="500"/>
    <n v="2.31"/>
    <n v="1155"/>
    <n v="2796.197415208258"/>
    <n v="1398098.7076041291"/>
    <n v="7.2417181230320551E-2"/>
    <n v="36.208590615160276"/>
    <s v="Operational"/>
  </r>
  <r>
    <s v="DADRI (NCTPP)5"/>
    <s v="Uttar Pradesh"/>
    <s v="NR"/>
    <s v="CENTRAL SECTOR"/>
    <s v=" 10-15 years"/>
    <n v="10.3381245722108"/>
    <n v="490"/>
    <n v="3.48"/>
    <n v="1705.2"/>
    <n v="2832.7938463834034"/>
    <n v="1388068.9847278676"/>
    <n v="6.6665772632952203E-2"/>
    <n v="32.666228590146581"/>
    <s v="Operational"/>
  </r>
  <r>
    <s v="BELLARY TPS1"/>
    <s v="Karnataka"/>
    <s v="SR"/>
    <s v="STATE SECTOR"/>
    <s v=" 10-15 years"/>
    <n v="12.4243668720054"/>
    <n v="500"/>
    <n v="3.87"/>
    <n v="1935"/>
    <n v="2940.9816386161829"/>
    <n v="1470490.8193080914"/>
    <n v="6.6702414133670743E-2"/>
    <n v="33.351207066835372"/>
    <s v="Operational"/>
  </r>
  <r>
    <s v="SANJAY GANDHI TPS5"/>
    <s v="Madhya Pradesh"/>
    <s v="WR"/>
    <s v="STATE SECTOR"/>
    <s v=" 10-15 years"/>
    <n v="12.9253935660506"/>
    <n v="500"/>
    <n v="2.0299999999999998"/>
    <n v="1014.9999999999999"/>
    <n v="2791.6298654696725"/>
    <n v="1395814.9327348364"/>
    <n v="8.2584159496713896E-2"/>
    <n v="41.292079748356947"/>
    <s v="Operational"/>
  </r>
  <r>
    <s v="KAHALGAON TPS5"/>
    <s v="Bihar"/>
    <s v="ER"/>
    <s v="CENTRAL SECTOR"/>
    <s v=" 10-15 years"/>
    <n v="13.1772758384668"/>
    <n v="500"/>
    <n v="2.31"/>
    <n v="1155"/>
    <n v="2782.1708198111751"/>
    <n v="1391085.4099055876"/>
    <n v="7.2417181230320551E-2"/>
    <n v="36.208590615160276"/>
    <s v="Operational"/>
  </r>
  <r>
    <s v="VINDHYACHAL STPS10"/>
    <s v="Madhya Pradesh"/>
    <s v="WR"/>
    <s v="CENTRAL SECTOR"/>
    <s v=" 10-15 years"/>
    <n v="13.1772758384668"/>
    <n v="500"/>
    <n v="1.55"/>
    <n v="775"/>
    <n v="2755.5998504715199"/>
    <n v="1377799.9252357599"/>
    <n v="6.5179373950034494E-2"/>
    <n v="32.589686975017244"/>
    <s v="Operational"/>
  </r>
  <r>
    <s v="VINDHYACHAL STPS9"/>
    <s v="Madhya Pradesh"/>
    <s v="WR"/>
    <s v="CENTRAL SECTOR"/>
    <s v=" 10-15 years"/>
    <n v="13.8425735797399"/>
    <n v="500"/>
    <n v="1.55"/>
    <n v="775"/>
    <n v="2765.0499248264296"/>
    <n v="1382524.9624132148"/>
    <n v="6.5179373950034494E-2"/>
    <n v="32.589686975017244"/>
    <s v="Operational"/>
  </r>
  <r>
    <s v="RIHAND STPS4"/>
    <s v="Uttar Pradesh"/>
    <s v="NR"/>
    <s v="CENTRAL SECTOR"/>
    <s v=" 10-15 years"/>
    <n v="14.6721423682409"/>
    <n v="500"/>
    <n v="1.36"/>
    <n v="680"/>
    <n v="2796.1820123850912"/>
    <n v="1398091.0061925456"/>
    <n v="6.6356788102148762E-2"/>
    <n v="33.178394051074378"/>
    <s v="Operational"/>
  </r>
  <r>
    <s v="MUNDRA TPS8"/>
    <s v="Gujarat"/>
    <s v="WR"/>
    <s v="PVT SECTOR"/>
    <s v=" 5-10 years"/>
    <n v="8.1752224503764506"/>
    <n v="660"/>
    <n v="2.48"/>
    <n v="1636.8"/>
    <n v="2849.8672298559504"/>
    <n v="1880912.3717049272"/>
    <n v="7.3165418961100362E-2"/>
    <n v="48.289176514326236"/>
    <s v="Operational"/>
  </r>
  <r>
    <s v="MUNDRA TPS9"/>
    <s v="Gujarat"/>
    <s v="WR"/>
    <s v="PVT SECTOR"/>
    <s v=" 5-10 years"/>
    <n v="8.1752224503764506"/>
    <n v="660"/>
    <n v="2.48"/>
    <n v="1636.8"/>
    <n v="2884.8918273221543"/>
    <n v="1904028.6060326218"/>
    <n v="7.3165418961100362E-2"/>
    <n v="48.289176514326236"/>
    <s v="Operational"/>
  </r>
  <r>
    <s v="MUNDRA TPS7"/>
    <s v="Gujarat"/>
    <s v="WR"/>
    <s v="PVT SECTOR"/>
    <s v=" 5-10 years"/>
    <n v="8.5065023956194299"/>
    <n v="660"/>
    <n v="2.48"/>
    <n v="1636.8"/>
    <n v="2878.2985303750111"/>
    <n v="1899677.0300475073"/>
    <n v="7.3165418961100362E-2"/>
    <n v="48.289176514326236"/>
    <s v="Operational"/>
  </r>
  <r>
    <s v="MUNDRA TPS6"/>
    <s v="Gujarat"/>
    <s v="WR"/>
    <s v="PVT SECTOR"/>
    <s v=" 5-10 years"/>
    <n v="8.8432580424366805"/>
    <n v="660"/>
    <n v="2.13"/>
    <n v="1405.8"/>
    <n v="2966.8386423346519"/>
    <n v="1958113.5039408703"/>
    <n v="7.3165418961100362E-2"/>
    <n v="48.289176514326236"/>
    <s v="Operational"/>
  </r>
  <r>
    <s v="MUNDRA TPS5"/>
    <s v="Gujarat"/>
    <s v="WR"/>
    <s v="PVT SECTOR"/>
    <s v=" 5-10 years"/>
    <n v="9.4236824093086895"/>
    <n v="660"/>
    <n v="2.13"/>
    <n v="1405.8"/>
    <n v="2942.0068824405389"/>
    <n v="1941724.5424107558"/>
    <n v="7.3165418961100362E-2"/>
    <n v="48.289176514326236"/>
    <s v="Operational"/>
  </r>
  <r>
    <s v="RIHAND STPS3"/>
    <s v="Uttar Pradesh"/>
    <s v="NR"/>
    <s v="CENTRAL SECTOR"/>
    <s v=" 15-20 years"/>
    <n v="15.337440109514"/>
    <n v="500"/>
    <n v="1.36"/>
    <n v="680"/>
    <n v="2768.9616561650082"/>
    <n v="1384480.8280825042"/>
    <n v="6.6356788102148762E-2"/>
    <n v="33.178394051074378"/>
    <s v="Operational"/>
  </r>
  <r>
    <s v="RAMAGUNDEM STPS7"/>
    <s v="Telangana"/>
    <s v="SR"/>
    <s v="CENTRAL SECTOR"/>
    <s v=" 15-20 years"/>
    <n v="15.6714579055441"/>
    <n v="500"/>
    <n v="2.48"/>
    <n v="1240"/>
    <n v="2796.6787992317777"/>
    <n v="1398339.3996158889"/>
    <n v="6.1716058959159902E-2"/>
    <n v="30.858029479579951"/>
    <s v="Operational"/>
  </r>
  <r>
    <s v="TALCHER STPS6"/>
    <s v="Odisha"/>
    <s v="ER"/>
    <s v="CENTRAL SECTOR"/>
    <s v=" 15-20 years"/>
    <n v="15.2525667351129"/>
    <n v="500"/>
    <n v="1.71"/>
    <n v="855"/>
    <n v="2798.6559284800851"/>
    <n v="1399327.9642400425"/>
    <n v="6.4093993789743203E-2"/>
    <n v="32.046996894871604"/>
    <s v="Operational"/>
  </r>
  <r>
    <s v="TALCHER STPS5"/>
    <s v="Odisha"/>
    <s v="ER"/>
    <s v="CENTRAL SECTOR"/>
    <s v=" 15-20 years"/>
    <n v="16.008213552361301"/>
    <n v="500"/>
    <n v="1.71"/>
    <n v="855"/>
    <n v="2816.7010645202809"/>
    <n v="1408350.5322601404"/>
    <n v="6.4093993789743203E-2"/>
    <n v="32.046996894871604"/>
    <s v="Operational"/>
  </r>
  <r>
    <s v="UCHPINDA TPP3"/>
    <s v="Chhatisgarh"/>
    <s v="WR"/>
    <s v="PVT SECTOR"/>
    <s v=" 0-5 years"/>
    <n v="4.33949349760438"/>
    <n v="360"/>
    <n v="2.9952674821979093"/>
    <n v="1078.2962935912474"/>
    <n v="3078.3184982947009"/>
    <n v="1108194.6593860923"/>
    <n v="0.1"/>
    <n v="36"/>
    <s v="Operational"/>
  </r>
  <r>
    <s v="ITPCL TPP2"/>
    <s v="Tamil Nadu"/>
    <s v="SR"/>
    <s v="PVT SECTOR"/>
    <s v=" 0-5 years"/>
    <n v="4.0903490759753502"/>
    <n v="600"/>
    <n v="4.0199999999999996"/>
    <n v="2411.9999999999995"/>
    <n v="2915.0344176230437"/>
    <n v="1749020.6505738262"/>
    <n v="7.3246042254860019E-2"/>
    <n v="43.947625352916013"/>
    <s v="Operational"/>
  </r>
  <r>
    <s v="UCHPINDA TPP1"/>
    <s v="Chhatisgarh"/>
    <s v="WR"/>
    <s v="PVT SECTOR"/>
    <s v=" 0-5 years"/>
    <n v="4.5913757700205302"/>
    <n v="360"/>
    <n v="1.75"/>
    <n v="630"/>
    <n v="3040.8506900169637"/>
    <n v="1094706.2484061068"/>
    <n v="0.1"/>
    <n v="36"/>
    <s v="Operational"/>
  </r>
  <r>
    <s v="TALCHER STPS4"/>
    <s v="Odisha"/>
    <s v="ER"/>
    <s v="CENTRAL SECTOR"/>
    <s v=" 15-20 years"/>
    <n v="16.591375770020498"/>
    <n v="500"/>
    <n v="1.71"/>
    <n v="855"/>
    <n v="2817.7594297930041"/>
    <n v="1408879.714896502"/>
    <n v="6.4093993789743203E-2"/>
    <n v="32.046996894871604"/>
    <s v="Operational"/>
  </r>
  <r>
    <s v="MUTHIARA TPP2"/>
    <s v="Tamil Nadu"/>
    <s v="SR"/>
    <s v="PVT SECTOR"/>
    <s v=" 0-5 years"/>
    <n v="4.33949349760438"/>
    <n v="600"/>
    <n v="3.03"/>
    <n v="1817.9999999999998"/>
    <n v="3009.053306827368"/>
    <n v="1805431.9840964209"/>
    <n v="7.2208785753758192E-2"/>
    <n v="43.325271452254917"/>
    <s v="Operational"/>
  </r>
  <r>
    <s v="UCHPINDA TPP2"/>
    <s v="Chhatisgarh"/>
    <s v="WR"/>
    <s v="PVT SECTOR"/>
    <s v=" 0-5 years"/>
    <n v="4.8240930869267604"/>
    <n v="360"/>
    <n v="1.75"/>
    <n v="630"/>
    <n v="3032.5832798883675"/>
    <n v="1091729.9807598123"/>
    <n v="0.1"/>
    <n v="36"/>
    <s v="Operational"/>
  </r>
  <r>
    <s v="ITPCL TPP1"/>
    <s v="Tamil Nadu"/>
    <s v="SR"/>
    <s v="PVT SECTOR"/>
    <s v=" 0-5 years"/>
    <n v="4.6735112936344896"/>
    <n v="600"/>
    <n v="2.87"/>
    <n v="1722"/>
    <n v="2927.0387415056739"/>
    <n v="1756223.2449034043"/>
    <n v="7.3246042254860019E-2"/>
    <n v="43.947625352916013"/>
    <s v="Operational"/>
  </r>
  <r>
    <s v="TALCHER STPS3"/>
    <s v="Odisha"/>
    <s v="ER"/>
    <s v="CENTRAL SECTOR"/>
    <s v=" 15-20 years"/>
    <n v="17.2539356605065"/>
    <n v="500"/>
    <n v="1.71"/>
    <n v="855"/>
    <n v="2831.1009191714365"/>
    <n v="1415550.4595857183"/>
    <n v="6.4093993789743203E-2"/>
    <n v="32.046996894871604"/>
    <s v="Operational"/>
  </r>
  <r>
    <s v="SIMHADRI STPP2"/>
    <s v="Andhra Pradesh"/>
    <s v="SR"/>
    <s v="CENTRAL SECTOR"/>
    <s v=" 15-20 years"/>
    <n v="17.7577002053388"/>
    <n v="500"/>
    <n v="2.97"/>
    <n v="1485"/>
    <n v="2869.0277989870551"/>
    <n v="1434513.8994935276"/>
    <n v="5.6962700163683135E-2"/>
    <n v="28.481350081841569"/>
    <s v="Operational"/>
  </r>
  <r>
    <s v="MUTHIARA TPP1"/>
    <s v="Tamil Nadu"/>
    <s v="SR"/>
    <s v="PVT SECTOR"/>
    <s v=" 5-10 years"/>
    <n v="5.4236824093086904"/>
    <n v="600"/>
    <n v="3.03"/>
    <n v="1817.9999999999998"/>
    <n v="3018.6751599509935"/>
    <n v="1811205.0959705962"/>
    <n v="7.2208785753758192E-2"/>
    <n v="43.325271452254917"/>
    <s v="Operational"/>
  </r>
  <r>
    <s v="SIMHADRI STPP1"/>
    <s v="Andhra Pradesh"/>
    <s v="SR"/>
    <s v="CENTRAL SECTOR"/>
    <s v=" 15-20 years"/>
    <n v="18.2532511978097"/>
    <n v="500"/>
    <n v="2.97"/>
    <n v="1485"/>
    <n v="2884.3518786155264"/>
    <n v="1442175.9393077632"/>
    <n v="5.6962700163683135E-2"/>
    <n v="28.481350081841569"/>
    <s v="Operational"/>
  </r>
  <r>
    <s v="SALAYA TPP2"/>
    <s v="Gujarat"/>
    <s v="WR"/>
    <s v="PVT SECTOR"/>
    <s v=" 5-10 years"/>
    <n v="7.9233401779603003"/>
    <n v="600"/>
    <n v="2.1800000000000002"/>
    <n v="1308"/>
    <n v="3096.4924808207716"/>
    <n v="1857895.488492463"/>
    <n v="5.2816503866712272E-2"/>
    <n v="31.689902320027365"/>
    <s v="Operational"/>
  </r>
  <r>
    <s v="UDUPI TPP1"/>
    <s v="Karnataka"/>
    <s v="SR"/>
    <s v="PVT SECTOR"/>
    <s v=" 5-10 years"/>
    <n v="8.1752224503764506"/>
    <n v="600"/>
    <n v="3.49"/>
    <n v="2094"/>
    <n v="3012.961027737012"/>
    <n v="1807776.6166422071"/>
    <n v="6.0725940133071567E-2"/>
    <n v="36.435564079842941"/>
    <s v="Operational"/>
  </r>
  <r>
    <s v="UDUPI TPP2"/>
    <s v="Karnataka"/>
    <s v="SR"/>
    <s v="PVT SECTOR"/>
    <s v=" 5-10 years"/>
    <n v="8.1752224503764506"/>
    <n v="600"/>
    <n v="3.49"/>
    <n v="2094"/>
    <n v="2997.3220120104743"/>
    <n v="1798393.2072062846"/>
    <n v="6.0725940133071567E-2"/>
    <n v="36.435564079842941"/>
    <s v="Operational"/>
  </r>
  <r>
    <s v="KAMALANGA TPS3"/>
    <s v="Odisha"/>
    <s v="ER"/>
    <s v="PVT SECTOR"/>
    <s v=" 5-10 years"/>
    <n v="6.1765913757700197"/>
    <n v="350"/>
    <n v="1.42"/>
    <n v="497"/>
    <n v="2930.5576839077607"/>
    <n v="1025695.1893677163"/>
    <n v="7.5971148628802138E-2"/>
    <n v="26.58990202008075"/>
    <s v="Operational"/>
  </r>
  <r>
    <s v="SALAYA TPP1"/>
    <s v="Gujarat"/>
    <s v="WR"/>
    <s v="PVT SECTOR"/>
    <s v=" 5-10 years"/>
    <n v="8.33949349760438"/>
    <n v="600"/>
    <n v="2.1800000000000002"/>
    <n v="1308"/>
    <n v="3081.4069188290923"/>
    <n v="1848844.1512974554"/>
    <n v="5.2816503866712272E-2"/>
    <n v="31.689902320027365"/>
    <s v="Operational"/>
  </r>
  <r>
    <s v="KAMALANGA TPS2"/>
    <s v="Odisha"/>
    <s v="ER"/>
    <s v="PVT SECTOR"/>
    <s v=" 5-10 years"/>
    <n v="6.6721423682409302"/>
    <n v="350"/>
    <n v="1.42"/>
    <n v="497"/>
    <n v="2934.735401616565"/>
    <n v="1027157.3905657978"/>
    <n v="7.5971148628802138E-2"/>
    <n v="26.58990202008075"/>
    <s v="Operational"/>
  </r>
  <r>
    <s v="BINJKOTE  TPP2"/>
    <s v="Chhatisgarh"/>
    <s v="WR"/>
    <s v="PVT SECTOR"/>
    <s v=" 0-5 years"/>
    <n v="2.0917180013689198"/>
    <n v="300"/>
    <n v="2.7676375328531964"/>
    <n v="830.29125985595886"/>
    <n v="3022.5933576044768"/>
    <n v="906778.00728134299"/>
    <n v="0.11609507686426573"/>
    <n v="34.828523059279718"/>
    <s v="Operational"/>
  </r>
  <r>
    <s v="KAMALANGA TPS1"/>
    <s v="Odisha"/>
    <s v="ER"/>
    <s v="PVT SECTOR"/>
    <s v=" 5-10 years"/>
    <n v="7.1759069130732298"/>
    <n v="350"/>
    <n v="1.42"/>
    <n v="497"/>
    <n v="2950.9020333162325"/>
    <n v="1032815.7116606814"/>
    <n v="7.5971148628802138E-2"/>
    <n v="26.58990202008075"/>
    <s v="Operational"/>
  </r>
  <r>
    <s v="VINDHYACHAL STPS8"/>
    <s v="Madhya Pradesh"/>
    <s v="WR"/>
    <s v="CENTRAL SECTOR"/>
    <s v=" 20-25 years"/>
    <n v="20.2546201232032"/>
    <n v="500"/>
    <n v="1.57"/>
    <n v="785"/>
    <n v="2818.6919025337179"/>
    <n v="1409345.951266859"/>
    <n v="6.5179373950034494E-2"/>
    <n v="32.589686975017244"/>
    <s v="Operational"/>
  </r>
  <r>
    <s v="BINJKOTE  TPP1"/>
    <s v="Chhatisgarh"/>
    <s v="WR"/>
    <s v="PVT SECTOR"/>
    <s v=" 0-5 years"/>
    <n v="3.0910335386721401"/>
    <n v="300"/>
    <n v="2.814827859518465"/>
    <n v="844.44835785553948"/>
    <n v="3047.8906480132605"/>
    <n v="914367.19440397818"/>
    <n v="0.11609507686426573"/>
    <n v="34.828523059279718"/>
    <s v="Operational"/>
  </r>
  <r>
    <s v="NAWAPARA TPP2"/>
    <s v="Chhatisgarh"/>
    <s v="WR"/>
    <s v="PVT SECTOR"/>
    <s v=" 0-5 years"/>
    <n v="3.0910335386721401"/>
    <n v="300"/>
    <n v="1.66"/>
    <n v="498"/>
    <n v="2985.553667303082"/>
    <n v="895666.1001909246"/>
    <n v="8.9083336269112648E-2"/>
    <n v="26.725000880733795"/>
    <s v="Operational"/>
  </r>
  <r>
    <s v="VINDHYACHAL STPS7"/>
    <s v="Madhya Pradesh"/>
    <s v="WR"/>
    <s v="CENTRAL SECTOR"/>
    <s v=" 20-25 years"/>
    <n v="21.177275838466802"/>
    <n v="500"/>
    <n v="1.57"/>
    <n v="785"/>
    <n v="2834.0983054357157"/>
    <n v="1417049.1527178579"/>
    <n v="6.5179373950034494E-2"/>
    <n v="32.589686975017244"/>
    <s v="Operational"/>
  </r>
  <r>
    <s v="NAWAPARA TPP1"/>
    <s v="Chhatisgarh"/>
    <s v="WR"/>
    <s v="PVT SECTOR"/>
    <s v=" 0-5 years"/>
    <n v="3.7563312799452402"/>
    <n v="300"/>
    <n v="1.66"/>
    <n v="498"/>
    <n v="2978.4724443998825"/>
    <n v="893541.73331996473"/>
    <n v="8.9083336269112648E-2"/>
    <n v="26.725000880733795"/>
    <s v="Operational"/>
  </r>
  <r>
    <s v="BANDAKHAR TPP1"/>
    <s v="Chhatisgarh"/>
    <s v="WR"/>
    <s v="PVT SECTOR"/>
    <s v=" 0-5 years"/>
    <n v="4.8432580424366796"/>
    <n v="300"/>
    <n v="1.65"/>
    <n v="495"/>
    <n v="2904.2483711200871"/>
    <n v="871274.51133602613"/>
    <n v="8.8068952930357491E-2"/>
    <n v="26.420685879107246"/>
    <s v="Operational"/>
  </r>
  <r>
    <s v="CHANDRAPUR STPS7"/>
    <s v="Maharashtra"/>
    <s v="WR"/>
    <s v="STATE SECTOR"/>
    <s v=" 20-25 years"/>
    <n v="22.590006844626899"/>
    <n v="500"/>
    <n v="2.31"/>
    <n v="1155"/>
    <n v="2949.8048395036776"/>
    <n v="1474902.4197518388"/>
    <n v="7.096074531932961E-2"/>
    <n v="35.480372659664802"/>
    <s v="Operational"/>
  </r>
  <r>
    <s v="HALDIA TPP2"/>
    <s v="West Bengal"/>
    <s v="ER"/>
    <s v="PVT SECTOR"/>
    <s v=" 5-10 years"/>
    <n v="5.2539356605065004"/>
    <n v="300"/>
    <n v="1.6778236607803951"/>
    <n v="503.34709823411856"/>
    <n v="2898.8090451903672"/>
    <n v="869642.71355711017"/>
    <n v="7.8501687626901739E-2"/>
    <n v="23.550506288070522"/>
    <s v="Operational"/>
  </r>
  <r>
    <s v="HALDIA TPP1"/>
    <s v="West Bengal"/>
    <s v="ER"/>
    <s v="PVT SECTOR"/>
    <s v=" 5-10 years"/>
    <n v="5.3388090349075901"/>
    <n v="300"/>
    <n v="1.6857664904051768"/>
    <n v="505.72994712155304"/>
    <n v="2902.718572232583"/>
    <n v="870815.57166977494"/>
    <n v="7.8501687626901739E-2"/>
    <n v="23.550506288070522"/>
    <s v="Operational"/>
  </r>
  <r>
    <s v="DHARIWAL TPS2"/>
    <s v="Maharashtra"/>
    <s v="WR"/>
    <s v="PVT SECTOR"/>
    <s v=" 5-10 years"/>
    <n v="6.00958247775496"/>
    <n v="300"/>
    <n v="1.99"/>
    <n v="597"/>
    <n v="2931.4469140426431"/>
    <n v="879434.07421279291"/>
    <n v="8.4082972715828666E-2"/>
    <n v="25.224891814748599"/>
    <s v="Operational"/>
  </r>
  <r>
    <s v="GMR WARORA TPS2"/>
    <s v="Maharashtra"/>
    <s v="WR"/>
    <s v="PVT SECTOR"/>
    <s v=" 5-10 years"/>
    <n v="6.7570157426420199"/>
    <n v="300"/>
    <n v="1.9"/>
    <n v="570"/>
    <n v="2951.6847194973798"/>
    <n v="885505.41584921395"/>
    <n v="8.7066312766907406E-2"/>
    <n v="26.119893830072222"/>
    <s v="Operational"/>
  </r>
  <r>
    <s v="TALCHER STPS2"/>
    <s v="Odisha"/>
    <s v="ER"/>
    <s v="CENTRAL SECTOR"/>
    <s v=" 20-25 years"/>
    <n v="24.175222450376399"/>
    <n v="500"/>
    <n v="1.69"/>
    <n v="845"/>
    <n v="2886.4112379116996"/>
    <n v="1443205.6189558497"/>
    <n v="6.4093993789743203E-2"/>
    <n v="32.046996894871604"/>
    <s v="Operational"/>
  </r>
  <r>
    <s v="NABI NAGAR TPP3"/>
    <s v="Bihar"/>
    <s v="ER"/>
    <s v="CENTRAL SECTOR"/>
    <s v=" 0-5 years"/>
    <n v="1.2539356605065"/>
    <n v="250"/>
    <n v="1.97"/>
    <n v="492.5"/>
    <n v="2960.7599646738304"/>
    <n v="740189.99116845755"/>
    <n v="7.0000000000000007E-2"/>
    <n v="17.5"/>
    <s v="Operational"/>
  </r>
  <r>
    <s v="ANPARA TPS5"/>
    <s v="Uttar Pradesh"/>
    <s v="NR"/>
    <s v="STATE SECTOR"/>
    <s v=" 25-30 years"/>
    <n v="25.842573579739899"/>
    <n v="500"/>
    <n v="1.49"/>
    <n v="745"/>
    <n v="2895.4625819983767"/>
    <n v="1447731.2909991883"/>
    <n v="9.3255770253987805E-2"/>
    <n v="46.627885126993903"/>
    <s v="Operational"/>
  </r>
  <r>
    <s v="TALCHER STPS1"/>
    <s v="Odisha"/>
    <s v="ER"/>
    <s v="CENTRAL SECTOR"/>
    <s v=" 25-30 years"/>
    <n v="25.2539356605065"/>
    <n v="500"/>
    <n v="1.69"/>
    <n v="845"/>
    <n v="2898.1419671048852"/>
    <n v="1449070.9835524426"/>
    <n v="6.4093993789743203E-2"/>
    <n v="32.046996894871604"/>
    <s v="Operational"/>
  </r>
  <r>
    <s v="FARAKKA STPS5"/>
    <s v="West Bengal"/>
    <s v="ER"/>
    <s v="CENTRAL SECTOR"/>
    <s v=" 25-30 years"/>
    <n v="26.2532511978097"/>
    <n v="500"/>
    <n v="2.56"/>
    <n v="1280"/>
    <n v="2899.8809642232563"/>
    <n v="1449940.4821116282"/>
    <n v="7.0380830688675913E-2"/>
    <n v="35.190415344337957"/>
    <s v="Operational"/>
  </r>
  <r>
    <s v="ANPARA TPS4"/>
    <s v="Uttar Pradesh"/>
    <s v="NR"/>
    <s v="STATE SECTOR"/>
    <s v=" 25-30 years"/>
    <n v="26.841889117043099"/>
    <n v="500"/>
    <n v="1.49"/>
    <n v="745"/>
    <n v="2856.2095273210498"/>
    <n v="1428104.763660525"/>
    <n v="9.3255770253987805E-2"/>
    <n v="46.627885126993903"/>
    <s v="Operational"/>
  </r>
  <r>
    <s v="FARAKKA STPS4"/>
    <s v="West Bengal"/>
    <s v="ER"/>
    <s v="CENTRAL SECTOR"/>
    <s v=" 25-30 years"/>
    <n v="27.671457905544099"/>
    <n v="500"/>
    <n v="2.56"/>
    <n v="1280"/>
    <n v="2918.3835655819189"/>
    <n v="1459191.7827909593"/>
    <n v="7.0380830688675913E-2"/>
    <n v="35.190415344337957"/>
    <s v="Operational"/>
  </r>
  <r>
    <s v="CHANDRAPUR STPS6"/>
    <s v="Maharashtra"/>
    <s v="WR"/>
    <s v="STATE SECTOR"/>
    <s v=" 25-30 years"/>
    <n v="28.175222450376399"/>
    <n v="500"/>
    <n v="2.31"/>
    <n v="1155"/>
    <n v="3015.8610690343939"/>
    <n v="1507930.5345171969"/>
    <n v="7.096074531932961E-2"/>
    <n v="35.480372659664802"/>
    <s v="Operational"/>
  </r>
  <r>
    <s v="CHANDRAPUR STPS5"/>
    <s v="Maharashtra"/>
    <s v="WR"/>
    <s v="STATE SECTOR"/>
    <s v=" 25-30 years"/>
    <n v="29.177275838466802"/>
    <n v="500"/>
    <n v="2.31"/>
    <n v="1155"/>
    <n v="2982.8447481243338"/>
    <n v="1491422.374062167"/>
    <n v="7.096074531932961E-2"/>
    <n v="35.480372659664802"/>
    <s v="Operational"/>
  </r>
  <r>
    <s v="RAMAGUNDEM STPS6"/>
    <s v="Telangana"/>
    <s v="SR"/>
    <s v="CENTRAL SECTOR"/>
    <s v=" 30-35 years"/>
    <n v="30.590006844626899"/>
    <n v="500"/>
    <n v="2.52"/>
    <n v="1260"/>
    <n v="2923.0406660004787"/>
    <n v="1461520.3330002395"/>
    <n v="6.1716058959159902E-2"/>
    <n v="30.858029479579951"/>
    <s v="Operational"/>
  </r>
  <r>
    <s v="RIHAND STPS2"/>
    <s v="Uttar Pradesh"/>
    <s v="NR"/>
    <s v="CENTRAL SECTOR"/>
    <s v=" 30-35 years"/>
    <n v="30.841889117043099"/>
    <n v="500"/>
    <n v="1.38"/>
    <n v="690"/>
    <n v="2915.7049162779158"/>
    <n v="1457852.4581389579"/>
    <n v="6.6356788102148762E-2"/>
    <n v="33.178394051074378"/>
    <s v="Operational"/>
  </r>
  <r>
    <s v="RAMAGUNDEM STPS5"/>
    <s v="Telangana"/>
    <s v="SR"/>
    <s v="CENTRAL SECTOR"/>
    <s v=" 30-35 years"/>
    <n v="31.175906913073199"/>
    <n v="500"/>
    <n v="2.52"/>
    <n v="1260"/>
    <n v="2931.9820113963374"/>
    <n v="1465991.0056981687"/>
    <n v="6.1716058959159902E-2"/>
    <n v="30.858029479579951"/>
    <s v="Operational"/>
  </r>
  <r>
    <s v="KORBA STPS6"/>
    <s v="Chhatisgarh"/>
    <s v="WR"/>
    <s v="CENTRAL SECTOR"/>
    <s v=" 30-35 years"/>
    <n v="31.2525667351129"/>
    <n v="500"/>
    <n v="1.32"/>
    <n v="660"/>
    <n v="2902.2520679156155"/>
    <n v="1451126.0339578078"/>
    <n v="6.2610933454142856E-2"/>
    <n v="31.305466727071426"/>
    <s v="Operational"/>
  </r>
  <r>
    <s v="DHARIWAL TPS1"/>
    <s v="Maharashtra"/>
    <s v="WR"/>
    <s v="PVT SECTOR"/>
    <s v=" 5-10 years"/>
    <n v="6.5051334702258696"/>
    <n v="300"/>
    <n v="1.99"/>
    <n v="597"/>
    <n v="3079.4011096127497"/>
    <n v="923820.33288382494"/>
    <n v="8.4082972715828666E-2"/>
    <n v="25.224891814748599"/>
    <s v="Operational"/>
  </r>
  <r>
    <s v="GMR WARORA TPS1"/>
    <s v="Maharashtra"/>
    <s v="WR"/>
    <s v="PVT SECTOR"/>
    <s v=" 5-10 years"/>
    <n v="7.2525667351129304"/>
    <n v="300"/>
    <n v="1.9"/>
    <n v="570"/>
    <n v="2940.6078419256801"/>
    <n v="882182.352577704"/>
    <n v="8.7066312766907406E-2"/>
    <n v="26.119893830072222"/>
    <s v="Operational"/>
  </r>
  <r>
    <s v="BONGAIGAON TPS3"/>
    <s v="Assam"/>
    <s v="NER"/>
    <s v="CENTRAL SECTOR"/>
    <s v=" 0-5 years"/>
    <n v="1.3388090349075901"/>
    <n v="250"/>
    <n v="2.97"/>
    <n v="742.5"/>
    <n v="3034.2790040540422"/>
    <n v="758569.75101351051"/>
    <n v="0.06"/>
    <n v="15"/>
    <s v="Operational"/>
  </r>
  <r>
    <s v="RAMAGUNDEM STPS4"/>
    <s v="Telangana"/>
    <s v="SR"/>
    <s v="CENTRAL SECTOR"/>
    <s v=" 30-35 years"/>
    <n v="31.923340177960299"/>
    <n v="500"/>
    <n v="2.52"/>
    <n v="1260"/>
    <n v="2949.8116970325996"/>
    <n v="1474905.8485162999"/>
    <n v="6.1716058959159902E-2"/>
    <n v="30.858029479579951"/>
    <s v="Operational"/>
  </r>
  <r>
    <s v="KORBA STPS5"/>
    <s v="Chhatisgarh"/>
    <s v="WR"/>
    <s v="CENTRAL SECTOR"/>
    <s v=" 30-35 years"/>
    <n v="32.175222450376403"/>
    <n v="500"/>
    <n v="1.32"/>
    <n v="660"/>
    <n v="2925.5808012035236"/>
    <n v="1462790.4006017619"/>
    <n v="6.2610933454142856E-2"/>
    <n v="31.305466727071426"/>
    <s v="Operational"/>
  </r>
  <r>
    <s v="RIHAND STPS1"/>
    <s v="Uttar Pradesh"/>
    <s v="NR"/>
    <s v="CENTRAL SECTOR"/>
    <s v=" 30-35 years"/>
    <n v="32.175222450376403"/>
    <n v="500"/>
    <n v="1.38"/>
    <n v="690"/>
    <n v="2911.6238440025709"/>
    <n v="1455811.9220012855"/>
    <n v="6.6356788102148762E-2"/>
    <n v="33.178394051074378"/>
    <s v="Operational"/>
  </r>
  <r>
    <s v="BUTIBORI TPP2"/>
    <s v="Maharashtra"/>
    <s v="WR"/>
    <s v="PVT SECTOR"/>
    <s v=" 5-10 years"/>
    <n v="7.1759069130732298"/>
    <n v="300"/>
    <n v="2.46"/>
    <n v="738"/>
    <n v="3061.4038392128355"/>
    <n v="918421.15176385059"/>
    <n v="8.5770417782561448E-2"/>
    <n v="25.731125334768436"/>
    <s v="Operational"/>
  </r>
  <r>
    <s v="ROSA TPP PH-I4"/>
    <s v="Uttar Pradesh"/>
    <s v="NR"/>
    <s v="PVT SECTOR"/>
    <s v=" 5-10 years"/>
    <n v="8.1752224503764506"/>
    <n v="300"/>
    <n v="2.96"/>
    <n v="888"/>
    <n v="3024.3360117614607"/>
    <n v="907300.80352843821"/>
    <n v="9.6241360115922034E-2"/>
    <n v="28.872408034776612"/>
    <s v="Operational"/>
  </r>
  <r>
    <s v="SINGRAULI STPS7"/>
    <s v="Uttar Pradesh"/>
    <s v="NR"/>
    <s v="CENTRAL SECTOR"/>
    <s v=" 30-35 years"/>
    <n v="32.5065023956194"/>
    <n v="500"/>
    <n v="1.43"/>
    <n v="715"/>
    <n v="2911.5898484431596"/>
    <n v="1455794.9242215797"/>
    <n v="7.690693382449007E-2"/>
    <n v="38.453466912245034"/>
    <s v="Operational"/>
  </r>
  <r>
    <s v="BARAUNI TPS8"/>
    <s v="Bihar"/>
    <s v="ER"/>
    <s v="CENTRAL SECTOR"/>
    <s v=" 0-5 years"/>
    <n v="2.3381245722108099"/>
    <n v="250"/>
    <n v="2.3143015454828655"/>
    <n v="578.57538637071639"/>
    <n v="3200.26869775471"/>
    <n v="800067.1744386775"/>
    <n v="0.09"/>
    <n v="22.5"/>
    <s v="Operational"/>
  </r>
  <r>
    <s v="ROSA TPP PH-I3"/>
    <s v="Uttar Pradesh"/>
    <s v="NR"/>
    <s v="PVT SECTOR"/>
    <s v=" 5-10 years"/>
    <n v="8.4243668720054696"/>
    <n v="300"/>
    <n v="2.96"/>
    <n v="888"/>
    <n v="3027.431094263427"/>
    <n v="908229.32827902806"/>
    <n v="9.6241360115922034E-2"/>
    <n v="28.872408034776612"/>
    <s v="Operational"/>
  </r>
  <r>
    <s v="GOINDWAL SAHIB2"/>
    <s v="Punjab"/>
    <s v="NR"/>
    <s v="PVT SECTOR"/>
    <s v=" 0-5 years"/>
    <n v="4.1752224503764497"/>
    <n v="270"/>
    <n v="2.94"/>
    <n v="793.8"/>
    <n v="3068.7973355822119"/>
    <n v="828575.2806071972"/>
    <n v="0.10288394721047496"/>
    <n v="27.778665746828239"/>
    <s v="Operational"/>
  </r>
  <r>
    <s v="BUTIBORI TPP1"/>
    <s v="Maharashtra"/>
    <s v="WR"/>
    <s v="PVT SECTOR"/>
    <s v=" 5-10 years"/>
    <n v="7.7563312799452397"/>
    <n v="300"/>
    <n v="2.46"/>
    <n v="738"/>
    <n v="3130.9885891409017"/>
    <n v="939296.5767422705"/>
    <n v="8.5770417782561448E-2"/>
    <n v="25.731125334768436"/>
    <s v="Operational"/>
  </r>
  <r>
    <s v="GOINDWAL SAHIB1"/>
    <s v="Punjab"/>
    <s v="NR"/>
    <s v="PVT SECTOR"/>
    <s v=" 0-5 years"/>
    <n v="4.2546201232032796"/>
    <n v="270"/>
    <n v="2.94"/>
    <n v="793.8"/>
    <n v="3076.4063149038184"/>
    <n v="830629.70502403099"/>
    <n v="0.10288394721047496"/>
    <n v="27.778665746828239"/>
    <s v="Operational"/>
  </r>
  <r>
    <s v="BALCO TPS2"/>
    <s v="Chhatisgarh"/>
    <s v="WR"/>
    <s v="PVT SECTOR"/>
    <s v=" 0-5 years"/>
    <n v="4.1752224503764497"/>
    <n v="300"/>
    <n v="2.06"/>
    <n v="618"/>
    <n v="3046.3573982835874"/>
    <n v="913907.21948507626"/>
    <n v="9.4685999964455439E-2"/>
    <n v="28.405799989336632"/>
    <s v="Operational"/>
  </r>
  <r>
    <s v="KORBA STPS4"/>
    <s v="Chhatisgarh"/>
    <s v="WR"/>
    <s v="CENTRAL SECTOR"/>
    <s v=" 30-35 years"/>
    <n v="33.0102669404517"/>
    <n v="500"/>
    <n v="1.32"/>
    <n v="660"/>
    <n v="2918.2812541451203"/>
    <n v="1459140.6270725601"/>
    <n v="6.2610933454142856E-2"/>
    <n v="31.305466727071426"/>
    <s v="Operational"/>
  </r>
  <r>
    <s v="NABI NAGAR TPP2"/>
    <s v="Bihar"/>
    <s v="ER"/>
    <s v="CENTRAL SECTOR"/>
    <s v=" 0-5 years"/>
    <n v="3.0910335386721401"/>
    <n v="250"/>
    <n v="1.97"/>
    <n v="492.5"/>
    <n v="3051.4595400442577"/>
    <n v="762864.88501106447"/>
    <n v="7.0000000000000007E-2"/>
    <n v="17.5"/>
    <s v="Operational"/>
  </r>
  <r>
    <s v="SINGRAULI STPS6"/>
    <s v="Uttar Pradesh"/>
    <s v="NR"/>
    <s v="CENTRAL SECTOR"/>
    <s v=" 30-35 years"/>
    <n v="33.423682409308597"/>
    <n v="500"/>
    <n v="1.43"/>
    <n v="715"/>
    <n v="2923.731618170837"/>
    <n v="1461865.8090854185"/>
    <n v="7.690693382449007E-2"/>
    <n v="38.453466912245034"/>
    <s v="Operational"/>
  </r>
  <r>
    <s v="BONGAIGAON TPS2"/>
    <s v="Assam"/>
    <s v="NER"/>
    <s v="CENTRAL SECTOR"/>
    <s v=" 0-5 years"/>
    <n v="3.1074606433949299"/>
    <n v="250"/>
    <n v="2.97"/>
    <n v="742.5"/>
    <n v="3015.2336738046033"/>
    <n v="753808.41845115088"/>
    <n v="0.06"/>
    <n v="15"/>
    <s v="Operational"/>
  </r>
  <r>
    <s v="BALCO TPS1"/>
    <s v="Chhatisgarh"/>
    <s v="WR"/>
    <s v="PVT SECTOR"/>
    <s v=" 0-5 years"/>
    <n v="4.9253935660506496"/>
    <n v="300"/>
    <n v="2.06"/>
    <n v="618"/>
    <n v="3011.4502250347246"/>
    <n v="903435.06751041731"/>
    <n v="9.4685999964455439E-2"/>
    <n v="28.405799989336632"/>
    <s v="Operational"/>
  </r>
  <r>
    <s v="AMRAVATI TPS4"/>
    <s v="Maharashtra"/>
    <s v="WR"/>
    <s v="PVT SECTOR"/>
    <s v=" 5-10 years"/>
    <n v="5.1772758384667998"/>
    <n v="270"/>
    <n v="3.03"/>
    <n v="818.09999999999991"/>
    <n v="3111.5487144789831"/>
    <n v="840118.15290932544"/>
    <n v="8.9360960918391241E-2"/>
    <n v="24.127459447965634"/>
    <s v="Operational"/>
  </r>
  <r>
    <s v="AMRAVATI TPS5"/>
    <s v="Maharashtra"/>
    <s v="WR"/>
    <s v="PVT SECTOR"/>
    <s v=" 5-10 years"/>
    <n v="5.1772758384667998"/>
    <n v="270"/>
    <n v="3.03"/>
    <n v="818.09999999999991"/>
    <n v="3104.6546622805017"/>
    <n v="838256.75881573546"/>
    <n v="8.9360960918391241E-2"/>
    <n v="24.127459447965634"/>
    <s v="Operational"/>
  </r>
  <r>
    <s v="AMRAVATI TPS3"/>
    <s v="Maharashtra"/>
    <s v="WR"/>
    <s v="PVT SECTOR"/>
    <s v=" 5-10 years"/>
    <n v="5.3388090349075901"/>
    <n v="270"/>
    <n v="3.03"/>
    <n v="818.09999999999991"/>
    <n v="3094.0128408361184"/>
    <n v="835383.46702575195"/>
    <n v="8.9360960918391241E-2"/>
    <n v="24.127459447965634"/>
    <s v="Operational"/>
  </r>
  <r>
    <s v="ROSA TPP PH-I2"/>
    <s v="Uttar Pradesh"/>
    <s v="NR"/>
    <s v="PVT SECTOR"/>
    <s v=" 5-10 years"/>
    <n v="9.9247091033538606"/>
    <n v="300"/>
    <n v="2.96"/>
    <n v="888"/>
    <n v="3026.0441096395548"/>
    <n v="907813.23289186647"/>
    <n v="9.6241360115922034E-2"/>
    <n v="28.872408034776612"/>
    <s v="Operational"/>
  </r>
  <r>
    <s v="PATHADI TPS2"/>
    <s v="Chhatisgarh"/>
    <s v="WR"/>
    <s v="PVT SECTOR"/>
    <s v=" 10-15 years"/>
    <n v="10.17659137577"/>
    <n v="300"/>
    <n v="2.0299999999999998"/>
    <n v="608.99999999999989"/>
    <n v="2979.4319801381512"/>
    <n v="893829.59404144541"/>
    <n v="8.7832676734947532E-2"/>
    <n v="26.349803020484259"/>
    <s v="Operational"/>
  </r>
  <r>
    <s v="NABI NAGAR TPP1"/>
    <s v="Bihar"/>
    <s v="ER"/>
    <s v="CENTRAL SECTOR"/>
    <s v=" 0-5 years"/>
    <n v="4.1752224503764497"/>
    <n v="250"/>
    <n v="1.97"/>
    <n v="492.5"/>
    <n v="2991.2578353594718"/>
    <n v="747814.45883986796"/>
    <n v="7.0000000000000007E-2"/>
    <n v="17.5"/>
    <s v="Operational"/>
  </r>
  <r>
    <s v="PARLI TPS8"/>
    <s v="Maharashtra"/>
    <s v="WR"/>
    <s v="STATE SECTOR"/>
    <s v=" 0-5 years"/>
    <n v="4.1752224503764497"/>
    <n v="250"/>
    <n v="3.02"/>
    <n v="755"/>
    <n v="3050.3660373810912"/>
    <n v="762591.50934527279"/>
    <n v="0.10765374232246352"/>
    <n v="26.913435580615882"/>
    <s v="Operational"/>
  </r>
  <r>
    <s v="ROSA TPP PH-I1"/>
    <s v="Uttar Pradesh"/>
    <s v="NR"/>
    <s v="PVT SECTOR"/>
    <s v=" 10-15 years"/>
    <n v="10.2532511978097"/>
    <n v="300"/>
    <n v="2.96"/>
    <n v="888"/>
    <n v="3040.4167379019482"/>
    <n v="912125.02137058449"/>
    <n v="9.6241360115922034E-2"/>
    <n v="28.872408034776612"/>
    <s v="Operational"/>
  </r>
  <r>
    <s v="AMRAVATI TPS2"/>
    <s v="Maharashtra"/>
    <s v="WR"/>
    <s v="PVT SECTOR"/>
    <s v=" 5-10 years"/>
    <n v="6.2532511978097096"/>
    <n v="270"/>
    <n v="3.03"/>
    <n v="818.09999999999991"/>
    <n v="3085.3310483031614"/>
    <n v="833039.38304185355"/>
    <n v="8.9360960918391241E-2"/>
    <n v="24.127459447965634"/>
    <s v="Operational"/>
  </r>
  <r>
    <s v="MAHADEV PRASAD STPP2"/>
    <s v="Jharkhand"/>
    <s v="ER"/>
    <s v="PVT SECTOR"/>
    <s v=" 5-10 years"/>
    <n v="7.1759069130732298"/>
    <n v="270"/>
    <n v="1.88"/>
    <n v="507.59999999999997"/>
    <n v="3078.021783900469"/>
    <n v="831065.88165312668"/>
    <n v="8.795755336381729E-2"/>
    <n v="23.74853940823067"/>
    <s v="Operational"/>
  </r>
  <r>
    <s v="PATHADI TPS1"/>
    <s v="Chhatisgarh"/>
    <s v="WR"/>
    <s v="PVT SECTOR"/>
    <s v=" 10-15 years"/>
    <n v="10.924024640657001"/>
    <n v="300"/>
    <n v="2.0299999999999998"/>
    <n v="608.99999999999989"/>
    <n v="2973.8156924158325"/>
    <n v="892144.70772474969"/>
    <n v="8.7832676734947532E-2"/>
    <n v="26.349803020484259"/>
    <s v="Operational"/>
  </r>
  <r>
    <s v="MAHADEV PRASAD STPP1"/>
    <s v="Jharkhand"/>
    <s v="ER"/>
    <s v="PVT SECTOR"/>
    <s v=" 5-10 years"/>
    <n v="7.5044490075290797"/>
    <n v="270"/>
    <n v="1.88"/>
    <n v="507.59999999999997"/>
    <n v="2979.1808481774247"/>
    <n v="804378.82900790463"/>
    <n v="8.795755336381729E-2"/>
    <n v="23.74853940823067"/>
    <s v="Operational"/>
  </r>
  <r>
    <s v="BONGAIGAON TPS1"/>
    <s v="Assam"/>
    <s v="NER"/>
    <s v="CENTRAL SECTOR"/>
    <s v=" 0-5 years"/>
    <n v="4.9253935660506496"/>
    <n v="250"/>
    <n v="2.97"/>
    <n v="742.5"/>
    <n v="3006.4856715997412"/>
    <n v="751621.41789993527"/>
    <n v="0.06"/>
    <n v="15"/>
    <s v="Operational"/>
  </r>
  <r>
    <s v="AMRAVATI TPS1"/>
    <s v="Maharashtra"/>
    <s v="WR"/>
    <s v="PVT SECTOR"/>
    <s v=" 5-10 years"/>
    <n v="7.1759069130732298"/>
    <n v="270"/>
    <n v="3.03"/>
    <n v="818.09999999999991"/>
    <n v="3123.9035450001397"/>
    <n v="843453.95715003775"/>
    <n v="8.9360960918391241E-2"/>
    <n v="24.127459447965634"/>
    <s v="Operational"/>
  </r>
  <r>
    <s v="SAGARDIGHI TPS1"/>
    <s v="West Bengal"/>
    <s v="ER"/>
    <s v="STATE SECTOR"/>
    <s v=" 10-15 years"/>
    <n v="11.841204654346299"/>
    <n v="300"/>
    <n v="3.15"/>
    <n v="945"/>
    <n v="3036.0272848592176"/>
    <n v="910808.18545776524"/>
    <n v="9.5849721553511083E-2"/>
    <n v="28.754916466053324"/>
    <s v="Operational"/>
  </r>
  <r>
    <s v="CHHABRA TPS4"/>
    <s v="Rajasthan"/>
    <s v="NR"/>
    <s v="STATE SECTOR"/>
    <s v=" 5-10 years"/>
    <n v="5.9247091033538597"/>
    <n v="250"/>
    <n v="2.34"/>
    <n v="585"/>
    <n v="2960.5488860790738"/>
    <n v="740137.22151976847"/>
    <m/>
    <n v="0"/>
    <s v="Operational"/>
  </r>
  <r>
    <s v="YAMUNA NAGAR TPS2"/>
    <s v="Haryana"/>
    <s v="NR"/>
    <s v="STATE SECTOR"/>
    <s v=" 10-15 years"/>
    <n v="12.175222450376401"/>
    <n v="300"/>
    <n v="3.48"/>
    <n v="1044"/>
    <n v="3017.5864229058511"/>
    <n v="905275.92687175539"/>
    <n v="8.7483637832043534E-2"/>
    <n v="26.245091349613059"/>
    <s v="Operational"/>
  </r>
  <r>
    <s v="D.P.L. TPS8"/>
    <s v="West Bengal"/>
    <s v="ER"/>
    <s v="STATE SECTOR"/>
    <s v=" 5-10 years"/>
    <n v="6.1765913757700197"/>
    <n v="250"/>
    <n v="2.7087756164055898"/>
    <n v="677.19390410139749"/>
    <n v="3048.2264574967198"/>
    <n v="762056.61437417998"/>
    <n v="0.12054583600181658"/>
    <n v="30.136459000454145"/>
    <s v="Operational"/>
  </r>
  <r>
    <s v="D.P.L. TPS7"/>
    <s v="West Bengal"/>
    <s v="ER"/>
    <s v="STATE SECTOR"/>
    <s v=" 10-15 years"/>
    <n v="12.4435318275154"/>
    <n v="300"/>
    <n v="2.8732482974155298"/>
    <n v="861.9744892246589"/>
    <n v="3101.747908478314"/>
    <n v="930524.37254349422"/>
    <n v="0.12054583600181658"/>
    <n v="36.163750800544975"/>
    <s v="Operational"/>
  </r>
  <r>
    <s v="SAGARDIGHI TPS2"/>
    <s v="West Bengal"/>
    <s v="ER"/>
    <s v="STATE SECTOR"/>
    <s v=" 10-15 years"/>
    <n v="12.4243668720054"/>
    <n v="300"/>
    <n v="3.15"/>
    <n v="945"/>
    <n v="3097.9193375553668"/>
    <n v="929375.80126661004"/>
    <n v="9.5849721553511083E-2"/>
    <n v="28.754916466053324"/>
    <s v="Operational"/>
  </r>
  <r>
    <s v="SATPURA TPS11"/>
    <s v="Madhya Pradesh"/>
    <s v="WR"/>
    <s v="STATE SECTOR"/>
    <s v=" 5-10 years"/>
    <n v="6.4229979466118996"/>
    <n v="250"/>
    <n v="2.06"/>
    <n v="515"/>
    <n v="2985.1992397883423"/>
    <n v="746299.80994708557"/>
    <n v="0.1003219631047786"/>
    <n v="25.080490776194651"/>
    <s v="Operational"/>
  </r>
  <r>
    <s v="YAMUNA NAGAR TPS1"/>
    <s v="Haryana"/>
    <s v="NR"/>
    <s v="STATE SECTOR"/>
    <s v=" 10-15 years"/>
    <n v="12.5065023956194"/>
    <n v="300"/>
    <n v="3.48"/>
    <n v="1044"/>
    <n v="3049.7698613455022"/>
    <n v="914930.95840365067"/>
    <n v="8.7483637832043534E-2"/>
    <n v="26.245091349613059"/>
    <s v="Operational"/>
  </r>
  <r>
    <s v="CHHABRA TPS3"/>
    <s v="Rajasthan"/>
    <s v="NR"/>
    <s v="STATE SECTOR"/>
    <s v=" 5-10 years"/>
    <n v="6.6721423682409302"/>
    <n v="250"/>
    <n v="2.34"/>
    <n v="585"/>
    <n v="2996.4554115422839"/>
    <n v="749113.85288557096"/>
    <m/>
    <n v="0"/>
    <s v="Operational"/>
  </r>
  <r>
    <s v="BINA TPS2"/>
    <s v="Madhya Pradesh"/>
    <s v="WR"/>
    <s v="PVT SECTOR"/>
    <s v=" 5-10 years"/>
    <n v="7.1759069130732298"/>
    <n v="250"/>
    <n v="2.8"/>
    <n v="700"/>
    <n v="3063.331884029009"/>
    <n v="765832.97100725223"/>
    <n v="8.3913060272884019E-2"/>
    <n v="20.978265068221006"/>
    <s v="Operational"/>
  </r>
  <r>
    <s v="PARICHHA TPS6"/>
    <s v="Uttar Pradesh"/>
    <s v="NR"/>
    <s v="STATE SECTOR"/>
    <s v=" 5-10 years"/>
    <n v="7.1759069130732298"/>
    <n v="250"/>
    <n v="2.77"/>
    <n v="692.5"/>
    <n v="3021.9714912540917"/>
    <n v="755492.87281352293"/>
    <n v="0.10527848654994208"/>
    <n v="26.319621637485522"/>
    <s v="Operational"/>
  </r>
  <r>
    <s v="SATPURA TPS10"/>
    <s v="Madhya Pradesh"/>
    <s v="WR"/>
    <s v="STATE SECTOR"/>
    <s v=" 5-10 years"/>
    <n v="7.1759069130732298"/>
    <n v="250"/>
    <n v="2.06"/>
    <n v="515"/>
    <n v="3006.2925363300978"/>
    <n v="751573.13408252446"/>
    <n v="0.1003219631047786"/>
    <n v="25.080490776194651"/>
    <s v="Operational"/>
  </r>
  <r>
    <s v="BINA TPS1"/>
    <s v="Madhya Pradesh"/>
    <s v="WR"/>
    <s v="PVT SECTOR"/>
    <s v=" 5-10 years"/>
    <n v="7.7563312799452397"/>
    <n v="250"/>
    <n v="2.8"/>
    <n v="700"/>
    <n v="3043.9432718286221"/>
    <n v="760985.81795715552"/>
    <n v="8.3913060272884019E-2"/>
    <n v="20.978265068221006"/>
    <s v="Operational"/>
  </r>
  <r>
    <s v="HARDUAGANJ TPS9"/>
    <s v="Uttar Pradesh"/>
    <s v="NR"/>
    <s v="STATE SECTOR"/>
    <s v=" 5-10 years"/>
    <n v="8.00821355236139"/>
    <n v="250"/>
    <n v="2.8"/>
    <n v="700"/>
    <n v="3006.1505423538279"/>
    <n v="751537.63558845699"/>
    <n v="8.6582291374875858E-2"/>
    <n v="21.645572843718966"/>
    <s v="Operational"/>
  </r>
  <r>
    <s v="PARICHHA TPS5"/>
    <s v="Uttar Pradesh"/>
    <s v="NR"/>
    <s v="STATE SECTOR"/>
    <s v=" 5-10 years"/>
    <n v="8.00821355236139"/>
    <n v="250"/>
    <n v="2.77"/>
    <n v="692.5"/>
    <n v="3102.1724374693881"/>
    <n v="775543.10936734697"/>
    <n v="0.10527848654994208"/>
    <n v="26.319621637485522"/>
    <s v="Operational"/>
  </r>
  <r>
    <s v="SANTALDIH TPS6"/>
    <s v="West Bengal"/>
    <s v="ER"/>
    <s v="STATE SECTOR"/>
    <s v=" 5-10 years"/>
    <n v="8.5941136208076596"/>
    <n v="250"/>
    <n v="2.57"/>
    <n v="642.5"/>
    <n v="2974.1955356895501"/>
    <n v="743548.8839223875"/>
    <n v="8.5383480246584514E-2"/>
    <n v="21.345870061646128"/>
    <s v="Operational"/>
  </r>
  <r>
    <s v="HARDUAGANJ TPS8"/>
    <s v="Uttar Pradesh"/>
    <s v="NR"/>
    <s v="STATE SECTOR"/>
    <s v=" 5-10 years"/>
    <n v="8.6735112936344905"/>
    <n v="250"/>
    <n v="2.8"/>
    <n v="700"/>
    <n v="3022.4668470105471"/>
    <n v="755616.71175263682"/>
    <n v="8.6582291374875858E-2"/>
    <n v="21.645572843718966"/>
    <s v="Operational"/>
  </r>
  <r>
    <s v="MUZAFFARPUR TPS4"/>
    <s v="Bihar"/>
    <s v="ER"/>
    <s v="CENTRAL SECTOR"/>
    <s v=" 0-5 years"/>
    <n v="3.1759069130732298"/>
    <n v="195"/>
    <n v="2.69"/>
    <n v="524.54999999999995"/>
    <n v="3055.2044096190893"/>
    <n v="595764.85987572244"/>
    <n v="9.4599688742977306E-2"/>
    <n v="18.446939304880576"/>
    <s v="Operational"/>
  </r>
  <r>
    <s v="RAICHUR TPS8"/>
    <s v="Karnataka"/>
    <s v="SR"/>
    <s v="STATE SECTOR"/>
    <s v=" 5-10 years"/>
    <n v="9.9247091033538606"/>
    <n v="250"/>
    <n v="3.44"/>
    <n v="860"/>
    <n v="3029.2531457132345"/>
    <n v="757313.28642830858"/>
    <n v="9.2407885740745169E-2"/>
    <n v="23.101971435186293"/>
    <s v="Operational"/>
  </r>
  <r>
    <s v="AMARKANTAK TPS3"/>
    <s v="Madhya Pradesh"/>
    <s v="WR"/>
    <s v="STATE SECTOR"/>
    <s v=" 10-15 years"/>
    <n v="11.9233401779603"/>
    <n v="210"/>
    <n v="1.69"/>
    <n v="354.9"/>
    <n v="3013.1174247261338"/>
    <n v="632754.65919248806"/>
    <n v="9.414842901808744E-2"/>
    <n v="19.771170093798361"/>
    <s v="Relegated"/>
  </r>
  <r>
    <s v="ANPARA TPS1"/>
    <s v="Uttar Pradesh"/>
    <s v="NR"/>
    <s v="STATE SECTOR"/>
    <s v=" 30-35 years"/>
    <n v="34.176591375770002"/>
    <n v="210"/>
    <n v="1.72"/>
    <n v="361.2"/>
    <n v="3217.953122698982"/>
    <n v="675770.15576678619"/>
    <n v="9.3255770253987805E-2"/>
    <n v="19.58371175333744"/>
    <s v="Relegated"/>
  </r>
  <r>
    <s v="ANPARA TPS2"/>
    <s v="Uttar Pradesh"/>
    <s v="NR"/>
    <s v="STATE SECTOR"/>
    <s v=" 30-35 years"/>
    <n v="33.2539356605065"/>
    <n v="210"/>
    <n v="1.72"/>
    <n v="361.2"/>
    <n v="3222.3011966167055"/>
    <n v="676683.25128950819"/>
    <n v="9.3255770253987805E-2"/>
    <n v="19.58371175333744"/>
    <s v="Relegated"/>
  </r>
  <r>
    <s v="ANPARA TPS3"/>
    <s v="Uttar Pradesh"/>
    <s v="NR"/>
    <s v="STATE SECTOR"/>
    <s v=" 30-35 years"/>
    <n v="32.175222450376403"/>
    <n v="210"/>
    <n v="1.72"/>
    <n v="361.2"/>
    <n v="3195.5071186352661"/>
    <n v="671056.49491340586"/>
    <n v="9.3255770253987805E-2"/>
    <n v="19.58371175333744"/>
    <s v="Relegated"/>
  </r>
  <r>
    <s v="BAKRESWAR TPS1"/>
    <s v="West Bengal"/>
    <s v="ER"/>
    <s v="STATE SECTOR"/>
    <s v=" 10-15 years"/>
    <n v="10.924024640657001"/>
    <n v="210"/>
    <n v="2.6"/>
    <n v="546"/>
    <n v="3046.5926649238581"/>
    <n v="639784.45963401021"/>
    <n v="9.8262750849406444E-2"/>
    <n v="20.635177678375353"/>
    <s v="Relegated"/>
  </r>
  <r>
    <s v="BAKRESWAR TPS2"/>
    <s v="West Bengal"/>
    <s v="ER"/>
    <s v="STATE SECTOR"/>
    <s v=" 20-25 years"/>
    <n v="20.843258042436599"/>
    <n v="210"/>
    <n v="2.6"/>
    <n v="546"/>
    <n v="3120.0324989953706"/>
    <n v="655206.8247890278"/>
    <n v="9.8262750849406444E-2"/>
    <n v="20.635177678375353"/>
    <s v="Relegated"/>
  </r>
  <r>
    <s v="BAKRESWAR TPS3"/>
    <s v="West Bengal"/>
    <s v="ER"/>
    <s v="STATE SECTOR"/>
    <s v=" 15-20 years"/>
    <n v="20.008213552361301"/>
    <n v="210"/>
    <n v="2.6"/>
    <n v="546"/>
    <n v="3131.3599798705222"/>
    <n v="657585.5957728097"/>
    <n v="9.8262750849406444E-2"/>
    <n v="20.635177678375353"/>
    <s v="Relegated"/>
  </r>
  <r>
    <s v="BAKRESWAR TPS4"/>
    <s v="West Bengal"/>
    <s v="ER"/>
    <s v="STATE SECTOR"/>
    <s v=" 15-20 years"/>
    <n v="19.175906913073199"/>
    <n v="210"/>
    <n v="2.6"/>
    <n v="546"/>
    <n v="3107.1206027053936"/>
    <n v="652495.32656813262"/>
    <n v="9.8262750849406444E-2"/>
    <n v="20.635177678375353"/>
    <s v="Relegated"/>
  </r>
  <r>
    <s v="BAKRESWAR TPS5"/>
    <s v="West Bengal"/>
    <s v="ER"/>
    <s v="STATE SECTOR"/>
    <s v=" 10-15 years"/>
    <n v="12.4243668720054"/>
    <n v="210"/>
    <n v="2.6"/>
    <n v="546"/>
    <n v="3071.29199723687"/>
    <n v="644971.31941974268"/>
    <n v="9.8262750849406444E-2"/>
    <n v="20.635177678375353"/>
    <s v="Relegated"/>
  </r>
  <r>
    <s v="BANDEL TPS1"/>
    <s v="West Bengal"/>
    <s v="ER"/>
    <s v="STATE SECTOR"/>
    <s v=" 45+ years"/>
    <n v="54.672142368240898"/>
    <n v="60"/>
    <n v="3.66"/>
    <n v="219.60000000000002"/>
    <n v="3660.7803302603902"/>
    <n v="219646.8198156234"/>
    <n v="0.1207682612530637"/>
    <n v="7.2460956751838221"/>
    <s v="Relegated"/>
  </r>
  <r>
    <s v="BANDEL TPS2"/>
    <s v="West Bengal"/>
    <s v="ER"/>
    <s v="STATE SECTOR"/>
    <s v=" 45+ years"/>
    <n v="54.590006844626899"/>
    <n v="60"/>
    <n v="3.66"/>
    <n v="219.60000000000002"/>
    <n v="3656.4742951525377"/>
    <n v="219388.45770915225"/>
    <n v="0.1207682612530637"/>
    <n v="7.2460956751838221"/>
    <s v="Relegated"/>
  </r>
  <r>
    <s v="BANDEL TPS5"/>
    <s v="West Bengal"/>
    <s v="ER"/>
    <s v="STATE SECTOR"/>
    <s v=" 35-40 years"/>
    <n v="37.590691307323702"/>
    <n v="210"/>
    <n v="3.66"/>
    <n v="768.6"/>
    <n v="3350.9707734417611"/>
    <n v="703703.86242276989"/>
    <n v="0.1207682612530637"/>
    <n v="25.361334863143377"/>
    <s v="Relegated"/>
  </r>
  <r>
    <s v="BARAUNI TPS7"/>
    <s v="Bihar"/>
    <s v="ER"/>
    <s v="CENTRAL SECTOR"/>
    <s v=" 0-5 years"/>
    <n v="3.4962354551676902"/>
    <n v="110"/>
    <n v="3.04"/>
    <n v="334.4"/>
    <n v="3323.8948286463105"/>
    <n v="365628.43115109415"/>
    <n v="0.09"/>
    <n v="9.9"/>
    <s v="Relegated"/>
  </r>
  <r>
    <s v="BARKHERA TPS1"/>
    <s v="Uttar Pradesh"/>
    <s v="NR"/>
    <s v="PVT SECTOR"/>
    <s v=" 5-10 years"/>
    <n v="8.5065023956194299"/>
    <n v="45"/>
    <n v="3.73"/>
    <n v="167.85"/>
    <n v="3386.2741253729387"/>
    <n v="152382.33564178224"/>
    <n v="0.10106329868235293"/>
    <n v="4.5478484407058817"/>
    <s v="Relegated"/>
  </r>
  <r>
    <s v="BARKHERA TPS2"/>
    <s v="Uttar Pradesh"/>
    <s v="NR"/>
    <s v="PVT SECTOR"/>
    <s v=" 5-10 years"/>
    <n v="8.33949349760438"/>
    <n v="45"/>
    <n v="3.73"/>
    <n v="167.85"/>
    <n v="3393.5343894834632"/>
    <n v="152709.04752675584"/>
    <n v="0.10106329868235293"/>
    <n v="4.5478484407058817"/>
    <s v="Relegated"/>
  </r>
  <r>
    <s v="BELA TPS1"/>
    <s v="Maharashtra"/>
    <s v="WR"/>
    <s v="PVT SECTOR"/>
    <s v=" 5-10 years"/>
    <n v="7.1759069130732298"/>
    <n v="270"/>
    <n v="3.0389811943050504"/>
    <n v="820.52492246236363"/>
    <n v="3276.3328003729403"/>
    <n v="884609.85610069381"/>
    <n v="9.4448436788302656E-2"/>
    <n v="25.501077932841717"/>
    <s v="Relegated"/>
  </r>
  <r>
    <s v="BHILAI TPS1"/>
    <s v="Chhatisgarh"/>
    <s v="WR"/>
    <s v="CENTRAL SECTOR"/>
    <s v=" 10-15 years"/>
    <n v="12.090349075975301"/>
    <n v="250"/>
    <n v="2.5499999999999998"/>
    <n v="637.5"/>
    <n v="3033.9618185784338"/>
    <n v="758490.45464460843"/>
    <n v="8.0634482570770813E-2"/>
    <n v="20.158620642692703"/>
    <s v="Relegated"/>
  </r>
  <r>
    <s v="BHILAI TPS2"/>
    <s v="Chhatisgarh"/>
    <s v="WR"/>
    <s v="CENTRAL SECTOR"/>
    <s v=" 10-15 years"/>
    <n v="10.841889117043101"/>
    <n v="250"/>
    <n v="2.5499999999999998"/>
    <n v="637.5"/>
    <n v="3017.4020665786752"/>
    <n v="754350.51664466877"/>
    <n v="8.0634482570770813E-2"/>
    <n v="20.158620642692703"/>
    <s v="Relegated"/>
  </r>
  <r>
    <s v="BHUSAWAL TPS3"/>
    <s v="Maharashtra"/>
    <s v="WR"/>
    <s v="STATE SECTOR"/>
    <s v=" 35-40 years"/>
    <n v="37.672826830937701"/>
    <n v="210"/>
    <n v="3.07"/>
    <n v="644.69999999999993"/>
    <n v="3480.4498129004405"/>
    <n v="730894.46070909256"/>
    <n v="6.8124170867604139E-2"/>
    <n v="14.306075882196868"/>
    <s v="Relegated"/>
  </r>
  <r>
    <s v="BOKARO B TPS3"/>
    <s v="Jharkhand"/>
    <s v="ER"/>
    <s v="CENTRAL SECTOR"/>
    <s v=" 25-30 years"/>
    <n v="26.757015742642"/>
    <n v="210"/>
    <n v="2.0954104135977465"/>
    <n v="440.03618685552675"/>
    <n v="3356.187865189991"/>
    <n v="704799.45168989815"/>
    <n v="0.17551275347161696"/>
    <n v="36.857678229039564"/>
    <s v="Relegated"/>
  </r>
  <r>
    <s v="BUDGE BUDGE TPS1"/>
    <s v="West Bengal"/>
    <s v="ER"/>
    <s v="PVT SECTOR"/>
    <s v=" 20-25 years"/>
    <n v="22.672142368240898"/>
    <n v="250"/>
    <n v="1.5860046716954532"/>
    <n v="396.50116792386331"/>
    <n v="3061.430337284547"/>
    <n v="765357.5843211367"/>
    <n v="8.0053382136410028E-2"/>
    <n v="20.013345534102505"/>
    <s v="Relegated"/>
  </r>
  <r>
    <s v="BUDGE BUDGE TPS2"/>
    <s v="West Bengal"/>
    <s v="ER"/>
    <s v="PVT SECTOR"/>
    <s v=" 20-25 years"/>
    <n v="21.177275838466802"/>
    <n v="250"/>
    <n v="1.6235939665300607"/>
    <n v="405.89849163251517"/>
    <n v="3072.002852685659"/>
    <n v="768000.7131714148"/>
    <n v="8.0053382136410028E-2"/>
    <n v="20.013345534102505"/>
    <s v="Relegated"/>
  </r>
  <r>
    <s v="BUDGE BUDGE TPS3"/>
    <s v="West Bengal"/>
    <s v="ER"/>
    <s v="PVT SECTOR"/>
    <s v=" 10-15 years"/>
    <n v="10.6721423682409"/>
    <n v="250"/>
    <n v="1.4700491838975502"/>
    <n v="367.51229597438754"/>
    <n v="2959.3652977069278"/>
    <n v="739841.32442673191"/>
    <n v="8.0053382136410028E-2"/>
    <n v="20.013345534102505"/>
    <s v="Relegated"/>
  </r>
  <r>
    <s v="CHAKABURA TPP2"/>
    <s v="Chhatisgarh"/>
    <s v="WR"/>
    <s v="PVT SECTOR"/>
    <s v=" 5-10 years"/>
    <n v="6.1765913757700197"/>
    <n v="30"/>
    <n v="2.3884143380106337"/>
    <n v="71.652430140319012"/>
    <n v="3203.1828186954863"/>
    <n v="96095.484560864585"/>
    <m/>
    <n v="0"/>
    <s v="Relegated"/>
  </r>
  <r>
    <s v="CHANDRAPUR STPS3"/>
    <s v="Maharashtra"/>
    <s v="WR"/>
    <s v="STATE SECTOR"/>
    <s v=" 30-35 years"/>
    <n v="35.008898015058101"/>
    <n v="210"/>
    <n v="2.31"/>
    <n v="485.1"/>
    <n v="3363.9572582847109"/>
    <n v="706431.02423978923"/>
    <n v="7.096074531932961E-2"/>
    <n v="14.901756517059217"/>
    <s v="Relegated"/>
  </r>
  <r>
    <s v="CHANDRAPUR STPS4"/>
    <s v="Maharashtra"/>
    <s v="WR"/>
    <s v="STATE SECTOR"/>
    <s v=" 30-35 years"/>
    <n v="34.176591375770002"/>
    <n v="210"/>
    <n v="2.31"/>
    <n v="485.1"/>
    <n v="3343.1414891861291"/>
    <n v="702059.7127290871"/>
    <n v="7.096074531932961E-2"/>
    <n v="14.901756517059217"/>
    <s v="Relegated"/>
  </r>
  <r>
    <s v="CHANDRAPURA(DVC)7"/>
    <s v="Jharkhand"/>
    <s v="ER"/>
    <s v="CENTRAL SECTOR"/>
    <s v=" 10-15 years"/>
    <n v="10.5051334702258"/>
    <n v="250"/>
    <n v="2.04"/>
    <n v="510"/>
    <n v="2991.648929500454"/>
    <n v="747912.23237511353"/>
    <n v="9.1459561477170895E-2"/>
    <n v="22.864890369292723"/>
    <s v="Relegated"/>
  </r>
  <r>
    <s v="CHANDRAPURA(DVC)8"/>
    <s v="Jharkhand"/>
    <s v="ER"/>
    <s v="CENTRAL SECTOR"/>
    <s v=" 10-15 years"/>
    <n v="10.17659137577"/>
    <n v="250"/>
    <n v="2.04"/>
    <n v="510"/>
    <n v="2999.7339134091799"/>
    <n v="749933.478352295"/>
    <n v="9.1459561477170895E-2"/>
    <n v="22.864890369292723"/>
    <s v="Relegated"/>
  </r>
  <r>
    <s v="CHHABRA TPS1"/>
    <s v="Rajasthan"/>
    <s v="NR"/>
    <s v="STATE SECTOR"/>
    <s v=" 10-15 years"/>
    <n v="10.590006844626901"/>
    <n v="250"/>
    <n v="2.34"/>
    <n v="585"/>
    <n v="2984.5926364724755"/>
    <n v="746148.15911811893"/>
    <m/>
    <n v="0"/>
    <s v="Relegated"/>
  </r>
  <r>
    <s v="CHHABRA TPS2"/>
    <s v="Rajasthan"/>
    <s v="NR"/>
    <s v="STATE SECTOR"/>
    <s v=" 5-10 years"/>
    <n v="10.009582477754901"/>
    <n v="250"/>
    <n v="2.34"/>
    <n v="585"/>
    <n v="2996.8931558442864"/>
    <n v="749223.28896107164"/>
    <m/>
    <n v="0"/>
    <s v="Relegated"/>
  </r>
  <r>
    <s v="DADRI (NCTPP)1"/>
    <s v="Uttar Pradesh"/>
    <s v="NR"/>
    <s v="CENTRAL SECTOR"/>
    <s v=" 25-30 years"/>
    <n v="28.4243668720054"/>
    <n v="210"/>
    <n v="3.75"/>
    <n v="787.5"/>
    <n v="3286.9749414914118"/>
    <n v="690264.73771319643"/>
    <n v="6.6665772632952203E-2"/>
    <n v="13.999812252919963"/>
    <s v="Relegated"/>
  </r>
  <r>
    <s v="DADRI (NCTPP)2"/>
    <s v="Uttar Pradesh"/>
    <s v="NR"/>
    <s v="CENTRAL SECTOR"/>
    <s v=" 25-30 years"/>
    <n v="27.422313483915101"/>
    <n v="210"/>
    <n v="3.75"/>
    <n v="787.5"/>
    <n v="3290.8825885594665"/>
    <n v="691085.34359748801"/>
    <n v="6.6665772632952203E-2"/>
    <n v="13.999812252919963"/>
    <s v="Relegated"/>
  </r>
  <r>
    <s v="DADRI (NCTPP)3"/>
    <s v="Uttar Pradesh"/>
    <s v="NR"/>
    <s v="CENTRAL SECTOR"/>
    <s v=" 25-30 years"/>
    <n v="27.175906913073199"/>
    <n v="210"/>
    <n v="3.75"/>
    <n v="787.5"/>
    <n v="3265.4129499414098"/>
    <n v="685736.71948769607"/>
    <n v="6.6665772632952203E-2"/>
    <n v="13.999812252919963"/>
    <s v="Relegated"/>
  </r>
  <r>
    <s v="DADRI (NCTPP)4"/>
    <s v="Uttar Pradesh"/>
    <s v="NR"/>
    <s v="CENTRAL SECTOR"/>
    <s v=" 25-30 years"/>
    <n v="26.176591375769998"/>
    <n v="210"/>
    <n v="3.75"/>
    <n v="787.5"/>
    <n v="3240.2915967893082"/>
    <n v="680461.23532575474"/>
    <n v="6.6665772632952203E-2"/>
    <n v="13.999812252919963"/>
    <s v="Relegated"/>
  </r>
  <r>
    <s v="DAHANU TPS1"/>
    <s v="Maharashtra"/>
    <s v="WR"/>
    <s v="PVT SECTOR"/>
    <s v=" 25-30 years"/>
    <n v="25.338809034907499"/>
    <n v="250"/>
    <n v="3.39"/>
    <n v="847.5"/>
    <n v="3180.0236738017743"/>
    <n v="795005.91845044354"/>
    <n v="9.2649498418971077E-2"/>
    <n v="23.162374604742769"/>
    <s v="Relegated"/>
  </r>
  <r>
    <s v="DAHANU TPS2"/>
    <s v="Maharashtra"/>
    <s v="WR"/>
    <s v="PVT SECTOR"/>
    <s v=" 25-30 years"/>
    <n v="25.177275838466802"/>
    <n v="250"/>
    <n v="3.39"/>
    <n v="847.5"/>
    <n v="3193.1700282391421"/>
    <n v="798292.50705978554"/>
    <n v="9.2649498418971077E-2"/>
    <n v="23.162374604742769"/>
    <s v="Relegated"/>
  </r>
  <r>
    <s v="DR. N TATA RAO TPS1"/>
    <s v="Andhra Pradesh"/>
    <s v="SR"/>
    <s v="STATE SECTOR"/>
    <s v=" 40-45 years"/>
    <n v="40.5065023956194"/>
    <n v="210"/>
    <n v="3.1"/>
    <n v="651"/>
    <n v="3347.8955168094913"/>
    <n v="703058.05852999317"/>
    <n v="8.8971276393347468E-2"/>
    <n v="18.683968042602967"/>
    <s v="Relegated"/>
  </r>
  <r>
    <s v="DR. N TATA RAO TPS2"/>
    <s v="Andhra Pradesh"/>
    <s v="SR"/>
    <s v="STATE SECTOR"/>
    <s v=" 35-40 years"/>
    <n v="39.564681724845997"/>
    <n v="210"/>
    <n v="3.1"/>
    <n v="651"/>
    <n v="3317.4483328955112"/>
    <n v="696664.1499080573"/>
    <n v="8.8971276393347468E-2"/>
    <n v="18.683968042602967"/>
    <s v="Relegated"/>
  </r>
  <r>
    <s v="DR. N TATA RAO TPS3"/>
    <s v="Andhra Pradesh"/>
    <s v="SR"/>
    <s v="STATE SECTOR"/>
    <s v=" 30-35 years"/>
    <n v="30.579055441478399"/>
    <n v="210"/>
    <n v="3.1"/>
    <n v="651"/>
    <n v="3209.8580459646537"/>
    <n v="674070.18965257728"/>
    <n v="8.8971276393347468E-2"/>
    <n v="18.683968042602967"/>
    <s v="Relegated"/>
  </r>
  <r>
    <s v="DR. N TATA RAO TPS4"/>
    <s v="Andhra Pradesh"/>
    <s v="SR"/>
    <s v="STATE SECTOR"/>
    <s v=" 25-30 years"/>
    <n v="29.6974674880219"/>
    <n v="210"/>
    <n v="3.1"/>
    <n v="651"/>
    <n v="3193.0815610882787"/>
    <n v="670547.12782853853"/>
    <n v="8.8971276393347468E-2"/>
    <n v="18.683968042602967"/>
    <s v="Relegated"/>
  </r>
  <r>
    <s v="DR. N TATA RAO TPS5"/>
    <s v="Andhra Pradesh"/>
    <s v="SR"/>
    <s v="STATE SECTOR"/>
    <s v=" 25-30 years"/>
    <n v="26.094455852155999"/>
    <n v="210"/>
    <n v="3.1"/>
    <n v="651"/>
    <n v="3167.3357818605296"/>
    <n v="665140.5141907112"/>
    <n v="8.8971276393347468E-2"/>
    <n v="18.683968042602967"/>
    <s v="Relegated"/>
  </r>
  <r>
    <s v="DR. N TATA RAO TPS6"/>
    <s v="Andhra Pradesh"/>
    <s v="SR"/>
    <s v="STATE SECTOR"/>
    <s v=" 25-30 years"/>
    <n v="25.190965092402401"/>
    <n v="210"/>
    <n v="3.1"/>
    <n v="651"/>
    <n v="3164.9073165711693"/>
    <n v="664630.53647994553"/>
    <n v="8.8971276393347468E-2"/>
    <n v="18.683968042602967"/>
    <s v="Relegated"/>
  </r>
  <r>
    <s v="DSPM TPS1"/>
    <s v="Chhatisgarh"/>
    <s v="WR"/>
    <s v="STATE SECTOR"/>
    <s v=" 10-15 years"/>
    <n v="13.1772758384668"/>
    <n v="250"/>
    <n v="1.49"/>
    <n v="372.5"/>
    <n v="2996.6539560616093"/>
    <n v="749163.48901540227"/>
    <m/>
    <n v="0"/>
    <s v="Relegated"/>
  </r>
  <r>
    <s v="DSPM TPS2"/>
    <s v="Chhatisgarh"/>
    <s v="WR"/>
    <s v="STATE SECTOR"/>
    <s v=" 10-15 years"/>
    <n v="12.4243668720054"/>
    <n v="250"/>
    <n v="1.49"/>
    <n v="372.5"/>
    <n v="2983.9348388406584"/>
    <n v="745983.70971016458"/>
    <m/>
    <n v="0"/>
    <s v="Relegated"/>
  </r>
  <r>
    <s v="DURGAPUR TPS4"/>
    <s v="West Bengal"/>
    <s v="ER"/>
    <s v="CENTRAL SECTOR"/>
    <s v=" 35-40 years"/>
    <n v="37.672826830937701"/>
    <n v="220"/>
    <n v="2.69"/>
    <n v="591.79999999999995"/>
    <n v="3365.9200081007493"/>
    <n v="740502.40178216482"/>
    <n v="0.12433386465223378"/>
    <n v="27.353450223491432"/>
    <s v="Relegated"/>
  </r>
  <r>
    <s v="FARAKKA STPS1"/>
    <s v="West Bengal"/>
    <s v="ER"/>
    <s v="CENTRAL SECTOR"/>
    <s v=" 30-35 years"/>
    <n v="34.338124572210802"/>
    <n v="200"/>
    <n v="2.56"/>
    <n v="512"/>
    <n v="3239.787572923351"/>
    <n v="647957.51458467019"/>
    <n v="7.0380830688675913E-2"/>
    <n v="14.076166137735182"/>
    <s v="Relegated"/>
  </r>
  <r>
    <s v="FARAKKA STPS2"/>
    <s v="West Bengal"/>
    <s v="ER"/>
    <s v="CENTRAL SECTOR"/>
    <s v=" 30-35 years"/>
    <n v="33.423682409308597"/>
    <n v="200"/>
    <n v="2.56"/>
    <n v="512"/>
    <n v="3227.9114963670645"/>
    <n v="645582.29927341291"/>
    <n v="7.0380830688675913E-2"/>
    <n v="14.076166137735182"/>
    <s v="Relegated"/>
  </r>
  <r>
    <s v="FARAKKA STPS3"/>
    <s v="West Bengal"/>
    <s v="ER"/>
    <s v="CENTRAL SECTOR"/>
    <s v=" 30-35 years"/>
    <n v="32.758384668035497"/>
    <n v="200"/>
    <n v="2.56"/>
    <n v="512"/>
    <n v="3233.0128017583061"/>
    <n v="646602.56035166117"/>
    <n v="7.0380830688675913E-2"/>
    <n v="14.076166137735182"/>
    <s v="Relegated"/>
  </r>
  <r>
    <s v="GANDHI NAGAR TPS3"/>
    <s v="Gujarat"/>
    <s v="WR"/>
    <s v="STATE SECTOR"/>
    <s v=" 30-35 years"/>
    <n v="30.176591375769998"/>
    <n v="210"/>
    <n v="3.99"/>
    <n v="837.90000000000009"/>
    <n v="3311.2155942149197"/>
    <n v="695355.2747851332"/>
    <n v="0.10218427974471911"/>
    <n v="21.458698746391011"/>
    <s v="Relegated"/>
  </r>
  <r>
    <s v="GANDHI NAGAR TPS4"/>
    <s v="Gujarat"/>
    <s v="WR"/>
    <s v="STATE SECTOR"/>
    <s v=" 25-30 years"/>
    <n v="28.843258042436599"/>
    <n v="210"/>
    <n v="3.99"/>
    <n v="837.90000000000009"/>
    <n v="3306.2759771298252"/>
    <n v="694317.95519726328"/>
    <n v="0.10218427974471911"/>
    <n v="21.458698746391011"/>
    <s v="Relegated"/>
  </r>
  <r>
    <s v="GANDHI NAGAR TPS5"/>
    <s v="Gujarat"/>
    <s v="WR"/>
    <s v="STATE SECTOR"/>
    <s v=" 20-25 years"/>
    <n v="22.176591375769998"/>
    <n v="210"/>
    <n v="3.78"/>
    <n v="793.8"/>
    <n v="3172.6248785453254"/>
    <n v="666251.22449451836"/>
    <n v="0.10218427974471911"/>
    <n v="21.458698746391011"/>
    <s v="Relegated"/>
  </r>
  <r>
    <s v="GH TPS (LEH.MOH.)1"/>
    <s v="Punjab"/>
    <s v="NR"/>
    <s v="STATE SECTOR"/>
    <s v=" 20-25 years"/>
    <n v="22.4229979466119"/>
    <n v="210"/>
    <n v="3.61"/>
    <n v="758.1"/>
    <n v="3320.855980478299"/>
    <n v="697379.75590044283"/>
    <n v="0.11114699610484161"/>
    <n v="23.340869182016736"/>
    <s v="Relegated"/>
  </r>
  <r>
    <s v="GH TPS (LEH.MOH.)2"/>
    <s v="Punjab"/>
    <s v="NR"/>
    <s v="STATE SECTOR"/>
    <s v=" 20-25 years"/>
    <n v="21.590691307323699"/>
    <n v="210"/>
    <n v="3.61"/>
    <n v="758.1"/>
    <n v="3313.823386972776"/>
    <n v="695902.911264283"/>
    <n v="0.11114699610484161"/>
    <n v="23.340869182016736"/>
    <s v="Relegated"/>
  </r>
  <r>
    <s v="GH TPS (LEH.MOH.)3"/>
    <s v="Punjab"/>
    <s v="NR"/>
    <s v="STATE SECTOR"/>
    <s v=" 10-15 years"/>
    <n v="12.3394934976043"/>
    <n v="250"/>
    <n v="3.61"/>
    <n v="902.5"/>
    <n v="3182.6859644912947"/>
    <n v="795671.49112282367"/>
    <n v="0.11114699610484161"/>
    <n v="27.786749026210401"/>
    <s v="Relegated"/>
  </r>
  <r>
    <s v="GH TPS (LEH.MOH.)4"/>
    <s v="Punjab"/>
    <s v="NR"/>
    <s v="STATE SECTOR"/>
    <s v=" 10-15 years"/>
    <n v="11.841204654346299"/>
    <n v="250"/>
    <n v="3.61"/>
    <n v="902.5"/>
    <n v="3203.2763202056753"/>
    <n v="800819.08005141886"/>
    <n v="0.11114699610484161"/>
    <n v="27.786749026210401"/>
    <s v="Relegated"/>
  </r>
  <r>
    <s v="HARDUAGANJ TPS7"/>
    <s v="Uttar Pradesh"/>
    <s v="NR"/>
    <s v="STATE SECTOR"/>
    <s v=" 40-45 years"/>
    <n v="42.176591375770002"/>
    <n v="105"/>
    <n v="3.47"/>
    <n v="364.35"/>
    <n v="3573.1817612168879"/>
    <n v="375184.08492777322"/>
    <n v="8.6582291374875858E-2"/>
    <n v="9.0911405943619652"/>
    <s v="Relegated"/>
  </r>
  <r>
    <s v="IB VALLEY TPS1"/>
    <s v="Odisha"/>
    <s v="ER"/>
    <s v="STATE SECTOR"/>
    <s v=" 25-30 years"/>
    <n v="25.924709103353798"/>
    <n v="210"/>
    <n v="1.34"/>
    <n v="281.40000000000003"/>
    <n v="3170.4655915227595"/>
    <n v="665797.77421977953"/>
    <n v="0.10945422612917571"/>
    <n v="22.9853874871269"/>
    <s v="Relegated"/>
  </r>
  <r>
    <s v="IB VALLEY TPS2"/>
    <s v="Odisha"/>
    <s v="ER"/>
    <s v="STATE SECTOR"/>
    <s v=" 20-25 years"/>
    <n v="24.591375770020498"/>
    <n v="210"/>
    <n v="1.34"/>
    <n v="281.40000000000003"/>
    <n v="3159.5699382344401"/>
    <n v="663509.68702923239"/>
    <n v="0.10945422612917571"/>
    <n v="22.9853874871269"/>
    <s v="Relegated"/>
  </r>
  <r>
    <s v="JOJOBERA TPS2"/>
    <s v="Jharkhand"/>
    <s v="ER"/>
    <s v="PVT SECTOR"/>
    <s v=" 15-20 years"/>
    <n v="19.337440109513999"/>
    <n v="120"/>
    <n v="1.942570990397406"/>
    <n v="233.10851884768871"/>
    <n v="3228.4360999596247"/>
    <n v="387412.33199515496"/>
    <m/>
    <n v="0"/>
    <s v="Relegated"/>
  </r>
  <r>
    <s v="JOJOBERA TPS3"/>
    <s v="Jharkhand"/>
    <s v="ER"/>
    <s v="PVT SECTOR"/>
    <s v=" 15-20 years"/>
    <n v="18.338124572210798"/>
    <n v="120"/>
    <n v="1.9542322361748641"/>
    <n v="234.50786834098369"/>
    <n v="3221.6656981600786"/>
    <n v="386599.88377920946"/>
    <m/>
    <n v="0"/>
    <s v="Relegated"/>
  </r>
  <r>
    <s v="JSW RATNAGIRI TPP1"/>
    <s v="Maharashtra"/>
    <s v="WR"/>
    <s v="PVT SECTOR"/>
    <s v=" 5-10 years"/>
    <n v="9.7577002053388"/>
    <n v="300"/>
    <n v="2.0699999999999998"/>
    <n v="621"/>
    <n v="3163.070662575069"/>
    <n v="948921.19877252076"/>
    <n v="9.0376126869674167E-2"/>
    <n v="27.112838060902249"/>
    <s v="Relegated"/>
  </r>
  <r>
    <s v="JSW RATNAGIRI TPP2"/>
    <s v="Maharashtra"/>
    <s v="WR"/>
    <s v="PVT SECTOR"/>
    <s v=" 5-10 years"/>
    <n v="9.4236824093086895"/>
    <n v="300"/>
    <n v="2.5940864372397465"/>
    <n v="778.225931171924"/>
    <n v="3221.1813152633604"/>
    <n v="966354.39457900811"/>
    <n v="9.0376126869674167E-2"/>
    <n v="27.112838060902249"/>
    <s v="Relegated"/>
  </r>
  <r>
    <s v="JSW RATNAGIRI TPP3"/>
    <s v="Maharashtra"/>
    <s v="WR"/>
    <s v="PVT SECTOR"/>
    <s v=" 5-10 years"/>
    <n v="9.0102669404517393"/>
    <n v="300"/>
    <n v="2.5249528855718557"/>
    <n v="757.48586567155667"/>
    <n v="3188.5133163394612"/>
    <n v="956553.99490183836"/>
    <n v="9.0376126869674167E-2"/>
    <n v="27.112838060902249"/>
    <s v="Relegated"/>
  </r>
  <r>
    <s v="JSW RATNAGIRI TPP4"/>
    <s v="Maharashtra"/>
    <s v="WR"/>
    <s v="PVT SECTOR"/>
    <s v=" 5-10 years"/>
    <n v="8.5913757700205302"/>
    <n v="300"/>
    <n v="2.0699999999999998"/>
    <n v="621"/>
    <n v="3183.9926969177823"/>
    <n v="955197.80907533469"/>
    <n v="9.0376126869674167E-2"/>
    <n v="27.112838060902249"/>
    <s v="Relegated"/>
  </r>
  <r>
    <s v="KAHALGAON TPS1"/>
    <s v="Bihar"/>
    <s v="ER"/>
    <s v="CENTRAL SECTOR"/>
    <s v=" 25-30 years"/>
    <n v="28.175222450376399"/>
    <n v="210"/>
    <n v="2.36"/>
    <n v="495.59999999999997"/>
    <n v="3179.7383386481356"/>
    <n v="667745.05111610843"/>
    <n v="7.2417181230320551E-2"/>
    <n v="15.207608058367315"/>
    <s v="Relegated"/>
  </r>
  <r>
    <s v="KAHALGAON TPS2"/>
    <s v="Bihar"/>
    <s v="ER"/>
    <s v="CENTRAL SECTOR"/>
    <s v=" 25-30 years"/>
    <n v="26.176591375769998"/>
    <n v="210"/>
    <n v="2.36"/>
    <n v="495.59999999999997"/>
    <n v="3157.0703796317912"/>
    <n v="662984.77972267615"/>
    <n v="7.2417181230320551E-2"/>
    <n v="15.207608058367315"/>
    <s v="Relegated"/>
  </r>
  <r>
    <s v="KAHALGAON TPS3"/>
    <s v="Bihar"/>
    <s v="ER"/>
    <s v="CENTRAL SECTOR"/>
    <s v=" 25-30 years"/>
    <n v="25.177275838466802"/>
    <n v="210"/>
    <n v="2.36"/>
    <n v="495.59999999999997"/>
    <n v="3142.4477712884354"/>
    <n v="659914.03197057149"/>
    <n v="7.2417181230320551E-2"/>
    <n v="15.207608058367315"/>
    <s v="Relegated"/>
  </r>
  <r>
    <s v="KAHALGAON TPS4"/>
    <s v="Bihar"/>
    <s v="ER"/>
    <s v="CENTRAL SECTOR"/>
    <s v=" 20-25 years"/>
    <n v="24.175222450376399"/>
    <n v="210"/>
    <n v="2.36"/>
    <n v="495.59999999999997"/>
    <n v="3134.1146394730058"/>
    <n v="658164.07428933121"/>
    <n v="7.2417181230320551E-2"/>
    <n v="15.207608058367315"/>
    <s v="Relegated"/>
  </r>
  <r>
    <s v="KASAIPALLI TPP1"/>
    <s v="Chhatisgarh"/>
    <s v="WR"/>
    <s v="PVT SECTOR"/>
    <s v=" 5-10 years"/>
    <n v="8.4243668720054696"/>
    <n v="135"/>
    <n v="0.76"/>
    <n v="102.6"/>
    <n v="3158.3194946248941"/>
    <n v="426373.13177436072"/>
    <n v="0.11279107493880862"/>
    <n v="15.226795116739163"/>
    <s v="Relegated"/>
  </r>
  <r>
    <s v="KASAIPALLI TPP2"/>
    <s v="Chhatisgarh"/>
    <s v="WR"/>
    <s v="PVT SECTOR"/>
    <s v=" 5-10 years"/>
    <n v="7.9233401779603003"/>
    <n v="135"/>
    <n v="0.76"/>
    <n v="102.6"/>
    <n v="3177.7254466733098"/>
    <n v="428992.93530089682"/>
    <n v="0.11279107493880862"/>
    <n v="15.226795116739163"/>
    <s v="Relegated"/>
  </r>
  <r>
    <s v="KHAMBARKHERA TPS1"/>
    <s v="Uttar Pradesh"/>
    <s v="NR"/>
    <s v="PVT SECTOR"/>
    <s v=" 5-10 years"/>
    <n v="8.5913757700205302"/>
    <n v="45"/>
    <n v="3.73"/>
    <n v="167.85"/>
    <n v="3397.779343546682"/>
    <n v="152900.07045960068"/>
    <n v="0.10098421534569983"/>
    <n v="4.544289690556492"/>
    <s v="Relegated"/>
  </r>
  <r>
    <s v="KHAMBARKHERA TPS2"/>
    <s v="Uttar Pradesh"/>
    <s v="NR"/>
    <s v="PVT SECTOR"/>
    <s v=" 5-10 years"/>
    <n v="8.5065023956194299"/>
    <n v="45"/>
    <n v="3.73"/>
    <n v="167.85"/>
    <n v="3395.3930595933407"/>
    <n v="152792.68768170034"/>
    <n v="0.10098421534569983"/>
    <n v="4.544289690556492"/>
    <s v="Relegated"/>
  </r>
  <r>
    <s v="KHAPARKHEDA TPS1"/>
    <s v="Maharashtra"/>
    <s v="WR"/>
    <s v="STATE SECTOR"/>
    <s v=" 30-35 years"/>
    <n v="31.175906913073199"/>
    <n v="210"/>
    <n v="2.73"/>
    <n v="573.29999999999995"/>
    <n v="3338.9098710585563"/>
    <n v="701171.07292229682"/>
    <n v="8.9781177379789912E-2"/>
    <n v="18.854047249755883"/>
    <s v="Relegated"/>
  </r>
  <r>
    <s v="KHAPARKHEDA TPS2"/>
    <s v="Maharashtra"/>
    <s v="WR"/>
    <s v="STATE SECTOR"/>
    <s v=" 30-35 years"/>
    <n v="30.338124572210798"/>
    <n v="210"/>
    <n v="2.73"/>
    <n v="573.29999999999995"/>
    <n v="3280.7975416845516"/>
    <n v="688967.48375375581"/>
    <n v="8.9781177379789912E-2"/>
    <n v="18.854047249755883"/>
    <s v="Relegated"/>
  </r>
  <r>
    <s v="KHAPARKHEDA TPS3"/>
    <s v="Maharashtra"/>
    <s v="WR"/>
    <s v="STATE SECTOR"/>
    <s v=" 15-20 years"/>
    <n v="20.008213552361301"/>
    <n v="210"/>
    <n v="2.73"/>
    <n v="573.29999999999995"/>
    <n v="3201.7848048526539"/>
    <n v="672374.80901905731"/>
    <n v="8.9781177379789912E-2"/>
    <n v="18.854047249755883"/>
    <s v="Relegated"/>
  </r>
  <r>
    <s v="KHAPARKHEDA TPS4"/>
    <s v="Maharashtra"/>
    <s v="WR"/>
    <s v="STATE SECTOR"/>
    <s v=" 15-20 years"/>
    <n v="19.337440109513999"/>
    <n v="210"/>
    <n v="2.73"/>
    <n v="573.29999999999995"/>
    <n v="3167.9625443316245"/>
    <n v="665272.13430964109"/>
    <n v="8.9781177379789912E-2"/>
    <n v="18.854047249755883"/>
    <s v="Relegated"/>
  </r>
  <r>
    <s v="KOLAGHAT TPS1"/>
    <s v="West Bengal"/>
    <s v="ER"/>
    <s v="STATE SECTOR"/>
    <s v=" 25-30 years"/>
    <n v="27.337440109513999"/>
    <n v="210"/>
    <n v="3.59"/>
    <n v="753.9"/>
    <n v="3377.3417532245253"/>
    <n v="709241.76817715028"/>
    <n v="0.11038497174813085"/>
    <n v="23.180844067107479"/>
    <s v="Relegated"/>
  </r>
  <r>
    <s v="KOLAGHAT TPS2"/>
    <s v="West Bengal"/>
    <s v="ER"/>
    <s v="STATE SECTOR"/>
    <s v=" 25-30 years"/>
    <n v="29.7577002053388"/>
    <n v="210"/>
    <n v="3.59"/>
    <n v="753.9"/>
    <n v="3299.5290536997491"/>
    <n v="692901.1012769473"/>
    <n v="0.11038497174813085"/>
    <n v="23.180844067107479"/>
    <s v="Relegated"/>
  </r>
  <r>
    <s v="KOLAGHAT TPS3"/>
    <s v="West Bengal"/>
    <s v="ER"/>
    <s v="STATE SECTOR"/>
    <s v=" 30-35 years"/>
    <n v="34.4229979466119"/>
    <n v="210"/>
    <n v="3.59"/>
    <n v="753.9"/>
    <n v="3483.7068461446243"/>
    <n v="731578.43769037107"/>
    <n v="0.11038497174813085"/>
    <n v="23.180844067107479"/>
    <s v="Relegated"/>
  </r>
  <r>
    <s v="KOLAGHAT TPS4"/>
    <s v="West Bengal"/>
    <s v="ER"/>
    <s v="STATE SECTOR"/>
    <s v=" 35-40 years"/>
    <n v="36.339493497604302"/>
    <n v="210"/>
    <n v="3.59"/>
    <n v="753.9"/>
    <n v="3341.7738060502888"/>
    <n v="701772.49927056069"/>
    <n v="0.11038497174813085"/>
    <n v="23.180844067107479"/>
    <s v="Relegated"/>
  </r>
  <r>
    <s v="KOLAGHAT TPS5"/>
    <s v="West Bengal"/>
    <s v="ER"/>
    <s v="STATE SECTOR"/>
    <s v=" 25-30 years"/>
    <n v="26.4229979466119"/>
    <n v="210"/>
    <n v="3.59"/>
    <n v="753.9"/>
    <n v="3239.1377389905183"/>
    <n v="680218.92518800881"/>
    <n v="0.11038497174813085"/>
    <n v="23.180844067107479"/>
    <s v="Relegated"/>
  </r>
  <r>
    <s v="KOLAGHAT TPS6"/>
    <s v="West Bengal"/>
    <s v="ER"/>
    <s v="STATE SECTOR"/>
    <s v=" 25-30 years"/>
    <n v="29.177275838466802"/>
    <n v="210"/>
    <n v="3.59"/>
    <n v="753.9"/>
    <n v="3277.1178622931388"/>
    <n v="688194.75108155911"/>
    <n v="0.11038497174813085"/>
    <n v="23.180844067107479"/>
    <s v="Relegated"/>
  </r>
  <r>
    <s v="KORADI TPS6"/>
    <s v="Maharashtra"/>
    <s v="WR"/>
    <s v="STATE SECTOR"/>
    <s v=" 35-40 years"/>
    <n v="38.176591375770002"/>
    <n v="210"/>
    <n v="2.29"/>
    <n v="480.90000000000003"/>
    <n v="3479.8377194060204"/>
    <n v="730765.92107526422"/>
    <n v="8.2497496941869752E-2"/>
    <n v="17.324474357792649"/>
    <s v="Relegated"/>
  </r>
  <r>
    <s v="KORADI TPS7"/>
    <s v="Maharashtra"/>
    <s v="WR"/>
    <s v="STATE SECTOR"/>
    <s v=" 35-40 years"/>
    <n v="37.338809034907598"/>
    <n v="210"/>
    <n v="2.29"/>
    <n v="480.90000000000003"/>
    <n v="3493.9363240657976"/>
    <n v="733726.62805381755"/>
    <n v="8.2497496941869752E-2"/>
    <n v="17.324474357792649"/>
    <s v="Relegated"/>
  </r>
  <r>
    <s v="KORBA STPS1"/>
    <s v="Chhatisgarh"/>
    <s v="WR"/>
    <s v="CENTRAL SECTOR"/>
    <s v=" 35-40 years"/>
    <n v="37.2539356605065"/>
    <n v="200"/>
    <n v="1.32"/>
    <n v="264"/>
    <n v="3227.1319198565448"/>
    <n v="645426.38397130894"/>
    <n v="6.2610933454142856E-2"/>
    <n v="12.522186690828571"/>
    <s v="Relegated"/>
  </r>
  <r>
    <s v="KORBA STPS2"/>
    <s v="Chhatisgarh"/>
    <s v="WR"/>
    <s v="CENTRAL SECTOR"/>
    <s v=" 35-40 years"/>
    <n v="36.591375770020498"/>
    <n v="200"/>
    <n v="1.32"/>
    <n v="264"/>
    <n v="3229.0673049453144"/>
    <n v="645813.46098906291"/>
    <n v="6.2610933454142856E-2"/>
    <n v="12.522186690828571"/>
    <s v="Relegated"/>
  </r>
  <r>
    <s v="KORBA STPS3"/>
    <s v="Chhatisgarh"/>
    <s v="WR"/>
    <s v="CENTRAL SECTOR"/>
    <s v=" 35-40 years"/>
    <n v="36.175222450376403"/>
    <n v="200"/>
    <n v="1.32"/>
    <n v="264"/>
    <n v="3205.5579901456995"/>
    <n v="641111.59802913992"/>
    <n v="6.2610933454142856E-2"/>
    <n v="12.522186690828571"/>
    <s v="Relegated"/>
  </r>
  <r>
    <s v="KORBA-II2"/>
    <s v="Chhatisgarh"/>
    <s v="WR"/>
    <s v="STATE SECTOR"/>
    <s v=" 45+ years"/>
    <n v="53.0102669404517"/>
    <n v="50"/>
    <n v="2.04"/>
    <n v="102"/>
    <n v="3771.9741133656012"/>
    <n v="188598.70566828005"/>
    <m/>
    <n v="0"/>
    <s v="Relegated"/>
  </r>
  <r>
    <s v="KORBA-II3"/>
    <s v="Chhatisgarh"/>
    <s v="WR"/>
    <s v="STATE SECTOR"/>
    <s v=" 45+ years"/>
    <n v="52.175222450376403"/>
    <n v="50"/>
    <n v="2.04"/>
    <n v="102"/>
    <n v="3666.8627461983524"/>
    <n v="183343.13730991763"/>
    <m/>
    <n v="0"/>
    <s v="Relegated"/>
  </r>
  <r>
    <s v="KORBA-II4"/>
    <s v="Chhatisgarh"/>
    <s v="WR"/>
    <s v="STATE SECTOR"/>
    <s v=" 45+ years"/>
    <n v="51.589322381930103"/>
    <n v="50"/>
    <n v="2.04"/>
    <n v="102"/>
    <n v="3680.2460655863188"/>
    <n v="184012.30327931594"/>
    <m/>
    <n v="0"/>
    <s v="Relegated"/>
  </r>
  <r>
    <s v="KORBA-III1"/>
    <s v="Chhatisgarh"/>
    <s v="WR"/>
    <s v="STATE SECTOR"/>
    <s v=" 40-45 years"/>
    <n v="44.090349075975297"/>
    <n v="120"/>
    <n v="2.04"/>
    <n v="244.8"/>
    <n v="3432.699746788775"/>
    <n v="411923.96961465297"/>
    <m/>
    <n v="0"/>
    <s v="Relegated"/>
  </r>
  <r>
    <s v="KORBA-III2"/>
    <s v="Chhatisgarh"/>
    <s v="WR"/>
    <s v="STATE SECTOR"/>
    <s v=" 35-40 years"/>
    <n v="39.0910335386721"/>
    <n v="120"/>
    <n v="2.04"/>
    <n v="244.8"/>
    <n v="3400.0568704449365"/>
    <n v="408006.82445339236"/>
    <m/>
    <n v="0"/>
    <s v="Relegated"/>
  </r>
  <r>
    <s v="KORBA-WEST TPS1"/>
    <s v="Chhatisgarh"/>
    <s v="WR"/>
    <s v="STATE SECTOR"/>
    <s v=" 35-40 years"/>
    <n v="36.925393566050602"/>
    <n v="210"/>
    <n v="1.54"/>
    <n v="323.40000000000003"/>
    <n v="3282.1596872926953"/>
    <n v="689253.53433146595"/>
    <n v="6.0941992912102581E-2"/>
    <n v="12.797818511541543"/>
    <s v="Relegated"/>
  </r>
  <r>
    <s v="KORBA-WEST TPS2"/>
    <s v="Chhatisgarh"/>
    <s v="WR"/>
    <s v="STATE SECTOR"/>
    <s v=" 35-40 years"/>
    <n v="36.175222450376403"/>
    <n v="210"/>
    <n v="1.54"/>
    <n v="323.40000000000003"/>
    <n v="3258.3762347583001"/>
    <n v="684259.00929924299"/>
    <n v="6.0941992912102581E-2"/>
    <n v="12.797818511541543"/>
    <s v="Relegated"/>
  </r>
  <r>
    <s v="KORBA-WEST TPS3"/>
    <s v="Chhatisgarh"/>
    <s v="WR"/>
    <s v="STATE SECTOR"/>
    <s v=" 35-40 years"/>
    <n v="35.175906913073199"/>
    <n v="210"/>
    <n v="1.54"/>
    <n v="323.40000000000003"/>
    <n v="3277.1370905066437"/>
    <n v="688198.78900639515"/>
    <n v="6.0941992912102581E-2"/>
    <n v="12.797818511541543"/>
    <s v="Relegated"/>
  </r>
  <r>
    <s v="KORBA-WEST TPS4"/>
    <s v="Chhatisgarh"/>
    <s v="WR"/>
    <s v="STATE SECTOR"/>
    <s v=" 30-35 years"/>
    <n v="34.176591375770002"/>
    <n v="210"/>
    <n v="1.54"/>
    <n v="323.40000000000003"/>
    <n v="3236.3652917612171"/>
    <n v="679636.71126985562"/>
    <n v="6.0941992912102581E-2"/>
    <n v="12.797818511541543"/>
    <s v="Relegated"/>
  </r>
  <r>
    <s v="KOTA TPS1"/>
    <s v="Rajasthan"/>
    <s v="NR"/>
    <s v="STATE SECTOR"/>
    <s v=" 35-40 years"/>
    <n v="37.338809034907598"/>
    <n v="110"/>
    <n v="3"/>
    <n v="330"/>
    <n v="3466.989510478486"/>
    <n v="381368.84615263343"/>
    <n v="0.10601035704694049"/>
    <n v="11.661139275163455"/>
    <s v="Relegated"/>
  </r>
  <r>
    <s v="KOTA TPS2"/>
    <s v="Rajasthan"/>
    <s v="NR"/>
    <s v="STATE SECTOR"/>
    <s v=" 35-40 years"/>
    <n v="36.843258042436602"/>
    <n v="110"/>
    <n v="3"/>
    <n v="330"/>
    <n v="3409.4466203515822"/>
    <n v="375039.12823867402"/>
    <n v="0.10601035704694049"/>
    <n v="11.661139275163455"/>
    <s v="Relegated"/>
  </r>
  <r>
    <s v="KOTA TPS3"/>
    <s v="Rajasthan"/>
    <s v="NR"/>
    <s v="STATE SECTOR"/>
    <s v=" 30-35 years"/>
    <n v="31.671457905544099"/>
    <n v="210"/>
    <n v="3"/>
    <n v="630"/>
    <n v="3239.2932649719605"/>
    <n v="680251.58564411174"/>
    <n v="0.10601035704694049"/>
    <n v="22.262174979857502"/>
    <s v="Relegated"/>
  </r>
  <r>
    <s v="KOTA TPS4"/>
    <s v="Rajasthan"/>
    <s v="NR"/>
    <s v="STATE SECTOR"/>
    <s v=" 30-35 years"/>
    <n v="31.008898015058101"/>
    <n v="210"/>
    <n v="3"/>
    <n v="630"/>
    <n v="3231.8695694253006"/>
    <n v="678692.60957931308"/>
    <n v="0.10601035704694049"/>
    <n v="22.262174979857502"/>
    <s v="Relegated"/>
  </r>
  <r>
    <s v="KOTA TPS5"/>
    <s v="Rajasthan"/>
    <s v="NR"/>
    <s v="STATE SECTOR"/>
    <s v=" 25-30 years"/>
    <n v="26.176591375769998"/>
    <n v="210"/>
    <n v="3"/>
    <n v="630"/>
    <n v="3187.839386182432"/>
    <n v="669446.27109831071"/>
    <n v="0.10601035704694049"/>
    <n v="22.262174979857502"/>
    <s v="Relegated"/>
  </r>
  <r>
    <s v="KOTA TPS6"/>
    <s v="Rajasthan"/>
    <s v="NR"/>
    <s v="STATE SECTOR"/>
    <s v=" 15-20 years"/>
    <n v="16.843258042436599"/>
    <n v="195"/>
    <n v="3"/>
    <n v="585"/>
    <n v="3091.4951384416963"/>
    <n v="602841.55199613073"/>
    <n v="0.10601035704694049"/>
    <n v="20.672019624153396"/>
    <s v="Relegated"/>
  </r>
  <r>
    <s v="KOTA TPS7"/>
    <s v="Rajasthan"/>
    <s v="NR"/>
    <s v="STATE SECTOR"/>
    <s v=" 10-15 years"/>
    <n v="10.757015742642"/>
    <n v="195"/>
    <n v="3"/>
    <n v="585"/>
    <n v="3033.4259706279008"/>
    <n v="591518.06427244062"/>
    <n v="0.10601035704694049"/>
    <n v="20.672019624153396"/>
    <s v="Relegated"/>
  </r>
  <r>
    <s v="KOTHAGUDEM NEW TPS10"/>
    <s v="Telangana"/>
    <s v="SR"/>
    <s v="STATE SECTOR"/>
    <s v=" 20-25 years"/>
    <n v="22.179329226557101"/>
    <n v="250"/>
    <n v="2.74"/>
    <n v="685"/>
    <n v="3073.0400953759022"/>
    <n v="768260.0238439755"/>
    <n v="7.0000000000000007E-2"/>
    <n v="17.5"/>
    <s v="Relegated"/>
  </r>
  <r>
    <s v="KOTHAGUDEM NEW TPS9"/>
    <s v="Telangana"/>
    <s v="SR"/>
    <s v="STATE SECTOR"/>
    <s v=" 20-25 years"/>
    <n v="23.104722792607799"/>
    <n v="250"/>
    <n v="2.74"/>
    <n v="685"/>
    <n v="3077.3501845957476"/>
    <n v="769337.54614893685"/>
    <n v="7.0000000000000007E-2"/>
    <n v="17.5"/>
    <s v="Relegated"/>
  </r>
  <r>
    <s v="KOTHAGUDEM TPS1"/>
    <s v="Telangana"/>
    <s v="SR"/>
    <s v="STATE SECTOR"/>
    <s v=" 45+ years"/>
    <n v="53.834360027378501"/>
    <n v="60"/>
    <n v="3.1"/>
    <n v="186"/>
    <n v="3543.6932164098407"/>
    <n v="212621.59298459045"/>
    <n v="0.10678657853863342"/>
    <n v="6.4071947123180051"/>
    <s v="Relegated"/>
  </r>
  <r>
    <s v="KOTHAGUDEM TPS2"/>
    <s v="Telangana"/>
    <s v="SR"/>
    <s v="STATE SECTOR"/>
    <s v=" 45+ years"/>
    <n v="53.4346338124572"/>
    <n v="60"/>
    <n v="3.1"/>
    <n v="186"/>
    <n v="3528.9357210722669"/>
    <n v="211736.14326433602"/>
    <n v="0.10678657853863342"/>
    <n v="6.4071947123180051"/>
    <s v="Relegated"/>
  </r>
  <r>
    <s v="KOTHAGUDEM TPS4"/>
    <s v="Telangana"/>
    <s v="SR"/>
    <s v="STATE SECTOR"/>
    <s v=" 45+ years"/>
    <n v="52.824093086926702"/>
    <n v="60"/>
    <n v="3.1"/>
    <n v="186"/>
    <n v="3513.8062818640237"/>
    <n v="210828.37691184142"/>
    <n v="0.10678657853863342"/>
    <n v="6.4071947123180051"/>
    <s v="Relegated"/>
  </r>
  <r>
    <s v="KOTHAGUDEM TPS5"/>
    <s v="Telangana"/>
    <s v="SR"/>
    <s v="STATE SECTOR"/>
    <s v=" 45+ years"/>
    <n v="45.724845995893197"/>
    <n v="120"/>
    <n v="3.1"/>
    <n v="372"/>
    <n v="3434.0584185670873"/>
    <n v="412087.01022805047"/>
    <n v="0.10678657853863342"/>
    <n v="12.81438942463601"/>
    <s v="Relegated"/>
  </r>
  <r>
    <s v="KOTHAGUDEM TPS6"/>
    <s v="Telangana"/>
    <s v="SR"/>
    <s v="STATE SECTOR"/>
    <s v=" 40-45 years"/>
    <n v="45.3744010951403"/>
    <n v="120"/>
    <n v="3.1"/>
    <n v="372"/>
    <n v="3486.0860091627842"/>
    <n v="418330.32109953411"/>
    <n v="0.10678657853863342"/>
    <n v="12.81438942463601"/>
    <s v="Relegated"/>
  </r>
  <r>
    <s v="KOTHAGUDEM TPS7"/>
    <s v="Telangana"/>
    <s v="SR"/>
    <s v="STATE SECTOR"/>
    <s v=" 40-45 years"/>
    <n v="43.151266255989"/>
    <n v="120"/>
    <n v="3.1"/>
    <n v="372"/>
    <n v="3430.0546946704967"/>
    <n v="411606.56336045958"/>
    <n v="0.10678657853863342"/>
    <n v="12.81438942463601"/>
    <s v="Relegated"/>
  </r>
  <r>
    <s v="KOTHAGUDEM TPS8"/>
    <s v="Telangana"/>
    <s v="SR"/>
    <s v="STATE SECTOR"/>
    <s v=" 40-45 years"/>
    <n v="42.313483915126596"/>
    <n v="120"/>
    <n v="3.1"/>
    <n v="372"/>
    <n v="3464.3111937307517"/>
    <n v="415717.34324769018"/>
    <n v="0.10678657853863342"/>
    <n v="12.81438942463601"/>
    <s v="Relegated"/>
  </r>
  <r>
    <s v="KUNDARKI TPS1"/>
    <s v="Uttar Pradesh"/>
    <s v="NR"/>
    <s v="PVT SECTOR"/>
    <s v=" 5-10 years"/>
    <n v="8.33949349760438"/>
    <n v="45"/>
    <n v="3.37"/>
    <n v="151.65"/>
    <n v="3370.0468374283687"/>
    <n v="151652.10768427659"/>
    <n v="9.1179878523889146E-2"/>
    <n v="4.1030945335750113"/>
    <s v="Relegated"/>
  </r>
  <r>
    <s v="KUNDARKI TPS2"/>
    <s v="Uttar Pradesh"/>
    <s v="NR"/>
    <s v="PVT SECTOR"/>
    <s v=" 5-10 years"/>
    <n v="8.2546201232032796"/>
    <n v="45"/>
    <n v="3.37"/>
    <n v="151.65"/>
    <n v="3378.5201584292058"/>
    <n v="152033.40712931426"/>
    <n v="9.1179878523889146E-2"/>
    <n v="4.1030945335750113"/>
    <s v="Relegated"/>
  </r>
  <r>
    <s v="MAQSOODPUR TPS1"/>
    <s v="Uttar Pradesh"/>
    <s v="NR"/>
    <s v="PVT SECTOR"/>
    <s v=" 5-10 years"/>
    <n v="8.5065023956194299"/>
    <n v="45"/>
    <n v="3.68"/>
    <n v="165.6"/>
    <n v="3391.3679754880209"/>
    <n v="152611.55889696095"/>
    <n v="0.10171085784825233"/>
    <n v="4.5769886031713547"/>
    <s v="Relegated"/>
  </r>
  <r>
    <s v="MAQSOODPUR TPS2"/>
    <s v="Uttar Pradesh"/>
    <s v="NR"/>
    <s v="PVT SECTOR"/>
    <s v=" 5-10 years"/>
    <n v="8.33949349760438"/>
    <n v="45"/>
    <n v="3.68"/>
    <n v="165.6"/>
    <n v="3393.9555572907116"/>
    <n v="152728.00007808203"/>
    <n v="0.10171085784825233"/>
    <n v="4.5769886031713547"/>
    <s v="Relegated"/>
  </r>
  <r>
    <s v="MEJIA TPS1"/>
    <s v="West Bengal"/>
    <s v="ER"/>
    <s v="CENTRAL SECTOR"/>
    <s v=" 20-25 years"/>
    <n v="24.175222450376399"/>
    <n v="210"/>
    <n v="2.59"/>
    <n v="543.9"/>
    <n v="3208.1652363702683"/>
    <n v="673714.69963775633"/>
    <n v="8.3678646324733194E-2"/>
    <n v="17.57251572819397"/>
    <s v="Relegated"/>
  </r>
  <r>
    <s v="MEJIA TPS2"/>
    <s v="West Bengal"/>
    <s v="ER"/>
    <s v="CENTRAL SECTOR"/>
    <s v=" 20-25 years"/>
    <n v="23.175906913073199"/>
    <n v="210"/>
    <n v="2.59"/>
    <n v="543.9"/>
    <n v="3231.7258186118938"/>
    <n v="678662.42190849769"/>
    <n v="8.3678646324733194E-2"/>
    <n v="17.57251572819397"/>
    <s v="Relegated"/>
  </r>
  <r>
    <s v="MEJIA TPS3"/>
    <s v="West Bengal"/>
    <s v="ER"/>
    <s v="CENTRAL SECTOR"/>
    <s v=" 20-25 years"/>
    <n v="22.176591375769998"/>
    <n v="210"/>
    <n v="2.59"/>
    <n v="543.9"/>
    <n v="3208.9296544774984"/>
    <n v="673875.22744027467"/>
    <n v="8.3678646324733194E-2"/>
    <n v="17.57251572819397"/>
    <s v="Relegated"/>
  </r>
  <r>
    <s v="MEJIA TPS4"/>
    <s v="West Bengal"/>
    <s v="ER"/>
    <s v="CENTRAL SECTOR"/>
    <s v=" 15-20 years"/>
    <n v="15.589322381930099"/>
    <n v="210"/>
    <n v="2.59"/>
    <n v="543.9"/>
    <n v="3146.7128723512287"/>
    <n v="660809.70319375803"/>
    <n v="8.3678646324733194E-2"/>
    <n v="17.57251572819397"/>
    <s v="Relegated"/>
  </r>
  <r>
    <s v="MEJIA TPS5"/>
    <s v="West Bengal"/>
    <s v="ER"/>
    <s v="CENTRAL SECTOR"/>
    <s v=" 10-15 years"/>
    <n v="12.5913757700205"/>
    <n v="250"/>
    <n v="2.59"/>
    <n v="647.5"/>
    <n v="3069.7091801062388"/>
    <n v="767427.29502655973"/>
    <n v="8.3678646324733194E-2"/>
    <n v="20.919661581183298"/>
    <s v="Relegated"/>
  </r>
  <r>
    <s v="MEJIA TPS6"/>
    <s v="West Bengal"/>
    <s v="ER"/>
    <s v="CENTRAL SECTOR"/>
    <s v=" 10-15 years"/>
    <n v="13.1772758384668"/>
    <n v="250"/>
    <n v="2.59"/>
    <n v="647.5"/>
    <n v="3049.4701834109178"/>
    <n v="762367.54585272947"/>
    <n v="8.3678646324733194E-2"/>
    <n v="20.919661581183298"/>
    <s v="Relegated"/>
  </r>
  <r>
    <s v="METTUR TPS1"/>
    <s v="Tamil Nadu"/>
    <s v="SR"/>
    <s v="STATE SECTOR"/>
    <s v=" 30-35 years"/>
    <n v="33.338809034907598"/>
    <n v="210"/>
    <n v="3.6"/>
    <n v="756"/>
    <n v="3318.2975417372099"/>
    <n v="696842.4837648141"/>
    <n v="7.9545486780113542E-2"/>
    <n v="16.704552223823843"/>
    <s v="Relegated"/>
  </r>
  <r>
    <s v="METTUR TPS2"/>
    <s v="Tamil Nadu"/>
    <s v="SR"/>
    <s v="STATE SECTOR"/>
    <s v=" 30-35 years"/>
    <n v="32.4243668720054"/>
    <n v="210"/>
    <n v="3.6"/>
    <n v="756"/>
    <n v="3283.2788845943596"/>
    <n v="689488.56576481555"/>
    <n v="7.9545486780113542E-2"/>
    <n v="16.704552223823843"/>
    <s v="Relegated"/>
  </r>
  <r>
    <s v="METTUR TPS3"/>
    <s v="Tamil Nadu"/>
    <s v="SR"/>
    <s v="STATE SECTOR"/>
    <s v=" 30-35 years"/>
    <n v="31.175906913073199"/>
    <n v="210"/>
    <n v="3.6"/>
    <n v="756"/>
    <n v="3266.6918283117943"/>
    <n v="686005.28394547675"/>
    <n v="7.9545486780113542E-2"/>
    <n v="16.704552223823843"/>
    <s v="Relegated"/>
  </r>
  <r>
    <s v="METTUR TPS4"/>
    <s v="Tamil Nadu"/>
    <s v="SR"/>
    <s v="STATE SECTOR"/>
    <s v=" 30-35 years"/>
    <n v="30.176591375769998"/>
    <n v="210"/>
    <n v="3.6"/>
    <n v="756"/>
    <n v="3255.3250814804678"/>
    <n v="683618.26711089828"/>
    <n v="7.9545486780113542E-2"/>
    <n v="16.704552223823843"/>
    <s v="Relegated"/>
  </r>
  <r>
    <s v="MUNDRA TPS1"/>
    <s v="Gujarat"/>
    <s v="WR"/>
    <s v="PVT SECTOR"/>
    <s v=" 10-15 years"/>
    <n v="10.757015742642"/>
    <n v="330"/>
    <n v="2.58"/>
    <n v="851.4"/>
    <n v="3196.9061860799184"/>
    <n v="1054979.041406373"/>
    <n v="7.3165418961100362E-2"/>
    <n v="24.144588257163118"/>
    <s v="Relegated"/>
  </r>
  <r>
    <s v="MUNDRA TPS2"/>
    <s v="Gujarat"/>
    <s v="WR"/>
    <s v="PVT SECTOR"/>
    <s v=" 10-15 years"/>
    <n v="10.17659137577"/>
    <n v="330"/>
    <n v="2.58"/>
    <n v="851.4"/>
    <n v="3175.2552013704753"/>
    <n v="1047834.2164522569"/>
    <n v="7.3165418961100362E-2"/>
    <n v="24.144588257163118"/>
    <s v="Relegated"/>
  </r>
  <r>
    <s v="MUNDRA TPS3"/>
    <s v="Gujarat"/>
    <s v="WR"/>
    <s v="PVT SECTOR"/>
    <s v=" 5-10 years"/>
    <n v="9.7577002053388"/>
    <n v="330"/>
    <n v="2.58"/>
    <n v="851.4"/>
    <n v="3172.8557619378917"/>
    <n v="1047042.4014395042"/>
    <n v="7.3165418961100362E-2"/>
    <n v="24.144588257163118"/>
    <s v="Relegated"/>
  </r>
  <r>
    <s v="MUNDRA TPS4"/>
    <s v="Gujarat"/>
    <s v="WR"/>
    <s v="PVT SECTOR"/>
    <s v=" 5-10 years"/>
    <n v="9.4236824093086895"/>
    <n v="330"/>
    <n v="2.58"/>
    <n v="851.4"/>
    <n v="3170.9825918361912"/>
    <n v="1046424.2553059431"/>
    <n v="7.3165418961100362E-2"/>
    <n v="24.144588257163118"/>
    <s v="Relegated"/>
  </r>
  <r>
    <s v="MUZAFFARPUR TPS1"/>
    <s v="Bihar"/>
    <s v="ER"/>
    <s v="CENTRAL SECTOR"/>
    <s v=" 5-10 years"/>
    <n v="6.5051334702258696"/>
    <n v="110"/>
    <n v="3.39"/>
    <n v="372.90000000000003"/>
    <n v="3220.4231747763038"/>
    <n v="354246.54922539339"/>
    <n v="9.4599688742977306E-2"/>
    <n v="10.405965761727504"/>
    <s v="Relegated"/>
  </r>
  <r>
    <s v="MUZAFFARPUR TPS2"/>
    <s v="Bihar"/>
    <s v="ER"/>
    <s v="CENTRAL SECTOR"/>
    <s v=" 5-10 years"/>
    <n v="5.5058179329226498"/>
    <n v="110"/>
    <n v="3.39"/>
    <n v="372.90000000000003"/>
    <n v="3248.6944075343031"/>
    <n v="357356.38482877333"/>
    <n v="9.4599688742977306E-2"/>
    <n v="10.405965761727504"/>
    <s v="Relegated"/>
  </r>
  <r>
    <s v="MUZAFFARPUR TPS3"/>
    <s v="Bihar"/>
    <s v="ER"/>
    <s v="CENTRAL SECTOR"/>
    <s v=" 5-10 years"/>
    <n v="5.1772758384667998"/>
    <n v="195"/>
    <n v="2.69"/>
    <n v="524.54999999999995"/>
    <n v="3078.1701940591511"/>
    <n v="600243.1878415345"/>
    <n v="9.4599688742977306E-2"/>
    <n v="18.446939304880576"/>
    <s v="Relegated"/>
  </r>
  <r>
    <s v="NASIK TPS3"/>
    <s v="Maharashtra"/>
    <s v="WR"/>
    <s v="STATE SECTOR"/>
    <s v=" 40-45 years"/>
    <n v="41.0924024640657"/>
    <n v="210"/>
    <n v="3.27"/>
    <n v="686.7"/>
    <n v="3395.1120144230922"/>
    <n v="712973.52302884939"/>
    <n v="0.10328378773749107"/>
    <n v="21.689595424873126"/>
    <s v="Relegated"/>
  </r>
  <r>
    <s v="NASIK TPS4"/>
    <s v="Maharashtra"/>
    <s v="WR"/>
    <s v="STATE SECTOR"/>
    <s v=" 35-40 years"/>
    <n v="39.841204654346299"/>
    <n v="210"/>
    <n v="3.27"/>
    <n v="686.7"/>
    <n v="3341.546201768947"/>
    <n v="701724.7023714789"/>
    <n v="0.10328378773749107"/>
    <n v="21.689595424873126"/>
    <s v="Relegated"/>
  </r>
  <r>
    <s v="NASIK TPS5"/>
    <s v="Maharashtra"/>
    <s v="WR"/>
    <s v="STATE SECTOR"/>
    <s v=" 35-40 years"/>
    <n v="39.337440109513999"/>
    <n v="210"/>
    <n v="3.27"/>
    <n v="686.7"/>
    <n v="3406.0493100429985"/>
    <n v="715270.35510902968"/>
    <n v="0.10328378773749107"/>
    <n v="21.689595424873126"/>
    <s v="Relegated"/>
  </r>
  <r>
    <s v="NIWARI TPP1"/>
    <s v="Madhya Pradesh"/>
    <s v="WR"/>
    <s v="PVT SECTOR"/>
    <s v=" 5-10 years"/>
    <n v="6.4229979466118996"/>
    <n v="45"/>
    <n v="1.7841299515598099"/>
    <n v="80.285847820191449"/>
    <n v="3373.6629455509064"/>
    <n v="151814.83254979079"/>
    <n v="0.11909037109527723"/>
    <n v="5.3590666992874754"/>
    <s v="Relegated"/>
  </r>
  <r>
    <s v="NIWARI TPP2"/>
    <s v="Madhya Pradesh"/>
    <s v="WR"/>
    <s v="PVT SECTOR"/>
    <s v=" 0-5 years"/>
    <n v="0.84325804243668701"/>
    <n v="45"/>
    <n v="3.0062276726978059"/>
    <n v="135.28024527140127"/>
    <n v="3443.490186013928"/>
    <n v="154957.05837062676"/>
    <n v="0.11909037109527723"/>
    <n v="5.3590666992874754"/>
    <s v="Relegated"/>
  </r>
  <r>
    <s v="NORTH CHENNAI TPS1"/>
    <s v="Tamil Nadu"/>
    <s v="SR"/>
    <s v="STATE SECTOR"/>
    <s v=" 25-30 years"/>
    <n v="16.383299110198401"/>
    <n v="210"/>
    <n v="3.07"/>
    <n v="644.69999999999993"/>
    <n v="3177.9094861821163"/>
    <n v="667360.99209824437"/>
    <n v="7.8776329249988286E-2"/>
    <n v="16.543029142497542"/>
    <s v="Relegated"/>
  </r>
  <r>
    <s v="NORTH CHENNAI TPS2"/>
    <s v="Tamil Nadu"/>
    <s v="SR"/>
    <s v="STATE SECTOR"/>
    <s v=" 25-30 years"/>
    <n v="15.9247091033538"/>
    <n v="210"/>
    <n v="3.07"/>
    <n v="644.69999999999993"/>
    <n v="3146.2141733658523"/>
    <n v="660704.97640682897"/>
    <n v="7.8776329249988286E-2"/>
    <n v="16.543029142497542"/>
    <s v="Relegated"/>
  </r>
  <r>
    <s v="NORTH CHENNAI TPS3"/>
    <s v="Tamil Nadu"/>
    <s v="SR"/>
    <s v="STATE SECTOR"/>
    <s v=" 20-25 years"/>
    <n v="24.2546201232032"/>
    <n v="210"/>
    <n v="3.07"/>
    <n v="644.69999999999993"/>
    <n v="3211.738848625751"/>
    <n v="674465.15821140772"/>
    <n v="7.8776329249988286E-2"/>
    <n v="16.543029142497542"/>
    <s v="Relegated"/>
  </r>
  <r>
    <s v="OBRA TPS1"/>
    <s v="Uttar Pradesh"/>
    <s v="NR"/>
    <s v="STATE SECTOR"/>
    <s v=" 45+ years"/>
    <n v="52.758384668035497"/>
    <n v="50"/>
    <n v="2.34"/>
    <n v="117"/>
    <n v="3352.0252585196222"/>
    <n v="167601.26292598111"/>
    <n v="9.0180179439313821E-2"/>
    <n v="4.5090089719656907"/>
    <s v="Relegated"/>
  </r>
  <r>
    <s v="OBRA TPS10"/>
    <s v="Uttar Pradesh"/>
    <s v="NR"/>
    <s v="STATE SECTOR"/>
    <s v=" 40-45 years"/>
    <n v="41.338809034907598"/>
    <n v="200"/>
    <n v="1.89"/>
    <n v="378"/>
    <n v="3341.6442979257267"/>
    <n v="668328.85958514537"/>
    <n v="9.0180179439313821E-2"/>
    <n v="18.036035887862763"/>
    <s v="Relegated"/>
  </r>
  <r>
    <s v="OBRA TPS11"/>
    <s v="Uttar Pradesh"/>
    <s v="NR"/>
    <s v="STATE SECTOR"/>
    <s v=" 40-45 years"/>
    <n v="42.4229979466119"/>
    <n v="200"/>
    <n v="1.89"/>
    <n v="378"/>
    <n v="3319.3701602006026"/>
    <n v="663874.03204012057"/>
    <n v="9.0180179439313821E-2"/>
    <n v="18.036035887862763"/>
    <s v="Relegated"/>
  </r>
  <r>
    <s v="OBRA TPS12"/>
    <s v="Uttar Pradesh"/>
    <s v="NR"/>
    <s v="STATE SECTOR"/>
    <s v=" 35-40 years"/>
    <n v="39.175906913073199"/>
    <n v="200"/>
    <n v="1.89"/>
    <n v="378"/>
    <n v="3529.0770141889657"/>
    <n v="705815.40283779311"/>
    <n v="9.0180179439313821E-2"/>
    <n v="18.036035887862763"/>
    <s v="Relegated"/>
  </r>
  <r>
    <s v="OBRA TPS13"/>
    <s v="Uttar Pradesh"/>
    <s v="NR"/>
    <s v="STATE SECTOR"/>
    <s v=" 35-40 years"/>
    <n v="37.842573579739899"/>
    <n v="200"/>
    <n v="1.89"/>
    <n v="378"/>
    <n v="3494.7583388004068"/>
    <n v="698951.66776008136"/>
    <n v="9.0180179439313821E-2"/>
    <n v="18.036035887862763"/>
    <s v="Relegated"/>
  </r>
  <r>
    <s v="OBRA TPS9"/>
    <s v="Uttar Pradesh"/>
    <s v="NR"/>
    <s v="STATE SECTOR"/>
    <s v=" 35-40 years"/>
    <n v="39.589322381930103"/>
    <n v="200"/>
    <n v="1.89"/>
    <n v="378"/>
    <n v="3315.6628865852663"/>
    <n v="663132.57731705322"/>
    <n v="9.0180179439313821E-2"/>
    <n v="18.036035887862763"/>
    <s v="Relegated"/>
  </r>
  <r>
    <s v="OP JINDAL TPS1"/>
    <s v="Chhatisgarh"/>
    <s v="WR"/>
    <s v="PVT SECTOR"/>
    <s v=" 10-15 years"/>
    <n v="12.6735112936344"/>
    <n v="250"/>
    <n v="2.949348504284746"/>
    <n v="737.3371260711865"/>
    <n v="3224.5243009391625"/>
    <n v="806131.07523479057"/>
    <n v="9.6900494936795964E-2"/>
    <n v="24.225123734198991"/>
    <s v="Relegated"/>
  </r>
  <r>
    <s v="OP JINDAL TPS2"/>
    <s v="Chhatisgarh"/>
    <s v="WR"/>
    <s v="PVT SECTOR"/>
    <s v=" 10-15 years"/>
    <n v="12.2546201232032"/>
    <n v="250"/>
    <n v="3.0088047980560875"/>
    <n v="752.20119951402182"/>
    <n v="3249.3815939082251"/>
    <n v="812345.3984770563"/>
    <n v="9.6900494936795964E-2"/>
    <n v="24.225123734198991"/>
    <s v="Relegated"/>
  </r>
  <r>
    <s v="OP JINDAL TPS3"/>
    <s v="Chhatisgarh"/>
    <s v="WR"/>
    <s v="PVT SECTOR"/>
    <s v=" 10-15 years"/>
    <n v="12.175222450376401"/>
    <n v="250"/>
    <n v="2.7273424512092577"/>
    <n v="681.83561280231447"/>
    <n v="3123.085979823758"/>
    <n v="780771.49495593947"/>
    <n v="9.6900494936795964E-2"/>
    <n v="24.225123734198991"/>
    <s v="Relegated"/>
  </r>
  <r>
    <s v="OP JINDAL TPS4"/>
    <s v="Chhatisgarh"/>
    <s v="WR"/>
    <s v="PVT SECTOR"/>
    <s v=" 10-15 years"/>
    <n v="11.9233401779603"/>
    <n v="250"/>
    <n v="2.7547444809275095"/>
    <n v="688.68612023187734"/>
    <n v="3134.2961876004333"/>
    <n v="783574.04690010834"/>
    <n v="9.6900494936795964E-2"/>
    <n v="24.225123734198991"/>
    <s v="Relegated"/>
  </r>
  <r>
    <s v="PANIPAT TPS5"/>
    <s v="Haryana"/>
    <s v="NR"/>
    <s v="STATE SECTOR"/>
    <s v=" 30-35 years"/>
    <n v="31.175906913073199"/>
    <n v="210"/>
    <n v="3.92"/>
    <n v="823.19999999999993"/>
    <n v="3444.3549042018371"/>
    <n v="723314.52988238574"/>
    <n v="9.6798449718982396E-2"/>
    <n v="20.327674440986303"/>
    <s v="Relegated"/>
  </r>
  <r>
    <s v="PANIPAT TPS6"/>
    <s v="Haryana"/>
    <s v="NR"/>
    <s v="STATE SECTOR"/>
    <s v=" 15-20 years"/>
    <n v="19.175906913073199"/>
    <n v="210"/>
    <n v="3.81"/>
    <n v="800.1"/>
    <n v="3329.497075194759"/>
    <n v="699194.3857908994"/>
    <n v="9.6798449718982396E-2"/>
    <n v="20.327674440986303"/>
    <s v="Relegated"/>
  </r>
  <r>
    <s v="PANIPAT TPS7"/>
    <s v="Haryana"/>
    <s v="NR"/>
    <s v="STATE SECTOR"/>
    <s v=" 15-20 years"/>
    <n v="15.6714579055441"/>
    <n v="250"/>
    <n v="3.56"/>
    <n v="890"/>
    <n v="3129.1454918609811"/>
    <n v="782286.37296524527"/>
    <n v="9.6798449718982396E-2"/>
    <n v="24.199612429745599"/>
    <s v="Relegated"/>
  </r>
  <r>
    <s v="PANIPAT TPS8"/>
    <s v="Haryana"/>
    <s v="NR"/>
    <s v="STATE SECTOR"/>
    <s v=" 15-20 years"/>
    <n v="15.337440109514"/>
    <n v="250"/>
    <n v="3.57"/>
    <n v="892.5"/>
    <n v="3115.378436211342"/>
    <n v="778844.6090528355"/>
    <n v="9.6798449718982396E-2"/>
    <n v="24.199612429745599"/>
    <s v="Relegated"/>
  </r>
  <r>
    <s v="PARAS TPS3"/>
    <s v="Maharashtra"/>
    <s v="WR"/>
    <s v="STATE SECTOR"/>
    <s v=" 10-15 years"/>
    <n v="13.0102669404517"/>
    <n v="250"/>
    <n v="2.2400000000000002"/>
    <n v="560"/>
    <n v="3110.0649254263117"/>
    <n v="777516.23135657795"/>
    <n v="0.10363937129574924"/>
    <n v="25.909842823937311"/>
    <s v="Relegated"/>
  </r>
  <r>
    <s v="PARAS TPS4"/>
    <s v="Maharashtra"/>
    <s v="WR"/>
    <s v="STATE SECTOR"/>
    <s v=" 10-15 years"/>
    <n v="10.17659137577"/>
    <n v="250"/>
    <n v="2.2400000000000002"/>
    <n v="560"/>
    <n v="3024.0917455183017"/>
    <n v="756022.9363795754"/>
    <n v="0.10363937129574924"/>
    <n v="25.909842823937311"/>
    <s v="Relegated"/>
  </r>
  <r>
    <s v="PARICHHA TPS2"/>
    <s v="Uttar Pradesh"/>
    <s v="NR"/>
    <s v="STATE SECTOR"/>
    <s v=" 35-40 years"/>
    <n v="35.2525667351129"/>
    <n v="110"/>
    <n v="3.49"/>
    <n v="383.90000000000003"/>
    <n v="3514.0041139908813"/>
    <n v="386540.45253899693"/>
    <n v="0.10527848654994208"/>
    <n v="11.580633520493629"/>
    <s v="Relegated"/>
  </r>
  <r>
    <s v="PARICHHA TPS3"/>
    <s v="Uttar Pradesh"/>
    <s v="NR"/>
    <s v="STATE SECTOR"/>
    <s v=" 10-15 years"/>
    <n v="14.17659137577"/>
    <n v="210"/>
    <n v="2.97"/>
    <n v="623.70000000000005"/>
    <n v="3128.2249507079791"/>
    <n v="656927.23964867566"/>
    <n v="0.10527848654994208"/>
    <n v="22.108482175487836"/>
    <s v="Relegated"/>
  </r>
  <r>
    <s v="PARICHHA TPS4"/>
    <s v="Uttar Pradesh"/>
    <s v="NR"/>
    <s v="STATE SECTOR"/>
    <s v=" 10-15 years"/>
    <n v="13.423682409308601"/>
    <n v="210"/>
    <n v="2.97"/>
    <n v="623.70000000000005"/>
    <n v="3113.7527348826593"/>
    <n v="653888.0743253585"/>
    <n v="0.10527848654994208"/>
    <n v="22.108482175487836"/>
    <s v="Relegated"/>
  </r>
  <r>
    <s v="PARLI TPS6"/>
    <s v="Maharashtra"/>
    <s v="WR"/>
    <s v="STATE SECTOR"/>
    <s v=" 10-15 years"/>
    <n v="13.2539356605065"/>
    <n v="250"/>
    <n v="3.46"/>
    <n v="865"/>
    <n v="3152.7502878454056"/>
    <n v="788187.57196135144"/>
    <n v="0.10765374232246352"/>
    <n v="26.913435580615882"/>
    <s v="Relegated"/>
  </r>
  <r>
    <s v="PARLI TPS7"/>
    <s v="Maharashtra"/>
    <s v="WR"/>
    <s v="STATE SECTOR"/>
    <s v=" 10-15 years"/>
    <n v="10.2532511978097"/>
    <n v="250"/>
    <n v="3.46"/>
    <n v="865"/>
    <n v="3149.5090032066091"/>
    <n v="787377.25080165232"/>
    <n v="0.10765374232246352"/>
    <n v="26.913435580615882"/>
    <s v="Relegated"/>
  </r>
  <r>
    <s v="RAICHUR TPS1"/>
    <s v="Karnataka"/>
    <s v="SR"/>
    <s v="STATE SECTOR"/>
    <s v=" 35-40 years"/>
    <n v="35.175906913073199"/>
    <n v="210"/>
    <n v="3.59"/>
    <n v="753.9"/>
    <n v="3345.6637458790274"/>
    <n v="702589.38663459569"/>
    <n v="9.2407885740745169E-2"/>
    <n v="19.405656005556484"/>
    <s v="Relegated"/>
  </r>
  <r>
    <s v="RAICHUR TPS2"/>
    <s v="Karnataka"/>
    <s v="SR"/>
    <s v="STATE SECTOR"/>
    <s v=" 30-35 years"/>
    <n v="34.176591375770002"/>
    <n v="210"/>
    <n v="3.59"/>
    <n v="753.9"/>
    <n v="3330.9871675598238"/>
    <n v="699507.30518756295"/>
    <n v="9.2407885740745169E-2"/>
    <n v="19.405656005556484"/>
    <s v="Relegated"/>
  </r>
  <r>
    <s v="RAICHUR TPS3"/>
    <s v="Karnataka"/>
    <s v="SR"/>
    <s v="STATE SECTOR"/>
    <s v=" 25-30 years"/>
    <n v="29.177275838466802"/>
    <n v="210"/>
    <n v="3.59"/>
    <n v="753.9"/>
    <n v="3253.9959911740689"/>
    <n v="683339.15814655449"/>
    <n v="9.2407885740745169E-2"/>
    <n v="19.405656005556484"/>
    <s v="Relegated"/>
  </r>
  <r>
    <s v="RAICHUR TPS4"/>
    <s v="Karnataka"/>
    <s v="SR"/>
    <s v="STATE SECTOR"/>
    <s v=" 25-30 years"/>
    <n v="25.672826830937701"/>
    <n v="210"/>
    <n v="3.59"/>
    <n v="753.9"/>
    <n v="3163.0810621639057"/>
    <n v="664247.02305442025"/>
    <n v="9.2407885740745169E-2"/>
    <n v="19.405656005556484"/>
    <s v="Relegated"/>
  </r>
  <r>
    <s v="RAICHUR TPS5"/>
    <s v="Karnataka"/>
    <s v="SR"/>
    <s v="STATE SECTOR"/>
    <s v=" 20-25 years"/>
    <n v="21.338809034907499"/>
    <n v="210"/>
    <n v="3.59"/>
    <n v="753.9"/>
    <n v="3147.8796388232222"/>
    <n v="661054.72415287665"/>
    <n v="9.2407885740745169E-2"/>
    <n v="19.405656005556484"/>
    <s v="Relegated"/>
  </r>
  <r>
    <s v="RAICHUR TPS6"/>
    <s v="Karnataka"/>
    <s v="SR"/>
    <s v="STATE SECTOR"/>
    <s v=" 20-25 years"/>
    <n v="20.843258042436599"/>
    <n v="210"/>
    <n v="3.59"/>
    <n v="753.9"/>
    <n v="3182.1222761559566"/>
    <n v="668245.67799275089"/>
    <n v="9.2407885740745169E-2"/>
    <n v="19.405656005556484"/>
    <s v="Relegated"/>
  </r>
  <r>
    <s v="RAICHUR TPS7"/>
    <s v="Karnataka"/>
    <s v="SR"/>
    <s v="STATE SECTOR"/>
    <s v=" 15-20 years"/>
    <n v="17.423682409308601"/>
    <n v="210"/>
    <n v="3.59"/>
    <n v="753.9"/>
    <n v="3196.290130565716"/>
    <n v="671220.92741880042"/>
    <n v="9.2407885740745169E-2"/>
    <n v="19.405656005556484"/>
    <s v="Relegated"/>
  </r>
  <r>
    <s v="RAMAGUNDEM - B TPS1"/>
    <s v="Telangana"/>
    <s v="SR"/>
    <s v="STATE SECTOR"/>
    <s v=" 45+ years"/>
    <n v="48.591375770020498"/>
    <n v="62.5"/>
    <n v="2.98"/>
    <n v="186.25"/>
    <n v="3699.3491748998154"/>
    <n v="231209.32343123847"/>
    <n v="0.11094719987198574"/>
    <n v="6.9341999919991091"/>
    <s v="Relegated"/>
  </r>
  <r>
    <s v="RAMAGUNDEM STPS1"/>
    <s v="Telangana"/>
    <s v="SR"/>
    <s v="CENTRAL SECTOR"/>
    <s v=" 35-40 years"/>
    <n v="36.591375770020498"/>
    <n v="200"/>
    <n v="2.52"/>
    <n v="504"/>
    <n v="3257.6465875413769"/>
    <n v="651529.31750827539"/>
    <n v="6.1716058959159902E-2"/>
    <n v="12.34321179183198"/>
    <s v="Relegated"/>
  </r>
  <r>
    <s v="RAMAGUNDEM STPS2"/>
    <s v="Telangana"/>
    <s v="SR"/>
    <s v="CENTRAL SECTOR"/>
    <s v=" 35-40 years"/>
    <n v="36.008213552361397"/>
    <n v="200"/>
    <n v="2.52"/>
    <n v="504"/>
    <n v="3238.4989763986628"/>
    <n v="647699.79527973256"/>
    <n v="6.1716058959159902E-2"/>
    <n v="12.34321179183198"/>
    <s v="Relegated"/>
  </r>
  <r>
    <s v="RAMAGUNDEM STPS3"/>
    <s v="Telangana"/>
    <s v="SR"/>
    <s v="CENTRAL SECTOR"/>
    <s v=" 35-40 years"/>
    <n v="35.422313483915097"/>
    <n v="200"/>
    <n v="2.52"/>
    <n v="504"/>
    <n v="3222.8333157801794"/>
    <n v="644566.66315603594"/>
    <n v="6.1716058959159902E-2"/>
    <n v="12.34321179183198"/>
    <s v="Relegated"/>
  </r>
  <r>
    <s v="RATIJA TPS1"/>
    <s v="Chhatisgarh"/>
    <s v="WR"/>
    <s v="PVT SECTOR"/>
    <s v=" 5-10 years"/>
    <n v="7.2525667351129304"/>
    <n v="50"/>
    <n v="1.7"/>
    <n v="85"/>
    <n v="3226.9664843936071"/>
    <n v="161348.32421968036"/>
    <n v="0.13697380423430899"/>
    <n v="6.84869021171545"/>
    <s v="Relegated"/>
  </r>
  <r>
    <s v="RATIJA TPS2"/>
    <s v="Chhatisgarh"/>
    <s v="WR"/>
    <s v="PVT SECTOR"/>
    <s v=" 0-5 years"/>
    <n v="3.5044490075290802"/>
    <n v="50"/>
    <n v="1.7"/>
    <n v="85"/>
    <n v="3157.753028527653"/>
    <n v="157887.65142638265"/>
    <n v="0.13697380423430899"/>
    <n v="6.84869021171545"/>
    <s v="Relegated"/>
  </r>
  <r>
    <s v="RAYALSEEMA TPS1"/>
    <s v="Andhra Pradesh"/>
    <s v="SR"/>
    <s v="STATE SECTOR"/>
    <s v=" 25-30 years"/>
    <n v="26.176591375769998"/>
    <n v="210"/>
    <n v="3.61"/>
    <n v="758.1"/>
    <n v="3215.5918627423598"/>
    <n v="675274.2911758956"/>
    <n v="0.10362859790133408"/>
    <n v="21.762005559280158"/>
    <s v="Relegated"/>
  </r>
  <r>
    <s v="RAYALSEEMA TPS2"/>
    <s v="Andhra Pradesh"/>
    <s v="SR"/>
    <s v="STATE SECTOR"/>
    <s v=" 25-30 years"/>
    <n v="25.2539356605065"/>
    <n v="210"/>
    <n v="3.61"/>
    <n v="758.1"/>
    <n v="3237.3382529434011"/>
    <n v="679841.03311811422"/>
    <n v="0.10362859790133408"/>
    <n v="21.762005559280158"/>
    <s v="Relegated"/>
  </r>
  <r>
    <s v="RAYALSEEMA TPS3"/>
    <s v="Andhra Pradesh"/>
    <s v="SR"/>
    <s v="STATE SECTOR"/>
    <s v=" 10-15 years"/>
    <n v="13.3388090349075"/>
    <n v="210"/>
    <n v="3.61"/>
    <n v="758.1"/>
    <n v="3131.9984292409026"/>
    <n v="657719.67014058959"/>
    <n v="0.10362859790133408"/>
    <n v="21.762005559280158"/>
    <s v="Relegated"/>
  </r>
  <r>
    <s v="RAYALSEEMA TPS4"/>
    <s v="Andhra Pradesh"/>
    <s v="SR"/>
    <s v="STATE SECTOR"/>
    <s v=" 10-15 years"/>
    <n v="12.5065023956194"/>
    <n v="210"/>
    <n v="3.61"/>
    <n v="758.1"/>
    <n v="3099.6100397882587"/>
    <n v="650918.10835553438"/>
    <n v="0.10362859790133408"/>
    <n v="21.762005559280158"/>
    <s v="Relegated"/>
  </r>
  <r>
    <s v="RAYALSEEMA TPS5"/>
    <s v="Andhra Pradesh"/>
    <s v="SR"/>
    <s v="STATE SECTOR"/>
    <s v=" 5-10 years"/>
    <n v="9.4236824093086895"/>
    <n v="210"/>
    <n v="3.61"/>
    <n v="758.1"/>
    <n v="3119.281222848228"/>
    <n v="655049.05679812783"/>
    <n v="0.10362859790133408"/>
    <n v="21.762005559280158"/>
    <s v="Relegated"/>
  </r>
  <r>
    <s v="ROPAR TPS3"/>
    <s v="Punjab"/>
    <s v="NR"/>
    <s v="STATE SECTOR"/>
    <s v=" 30-35 years"/>
    <n v="32.175222450376403"/>
    <n v="210"/>
    <n v="3.78"/>
    <n v="793.8"/>
    <n v="3410.0216229920266"/>
    <n v="716104.54082832555"/>
    <n v="8.4396929249325001E-2"/>
    <n v="17.723355142358251"/>
    <s v="Relegated"/>
  </r>
  <r>
    <s v="ROPAR TPS4"/>
    <s v="Punjab"/>
    <s v="NR"/>
    <s v="STATE SECTOR"/>
    <s v=" 30-35 years"/>
    <n v="31.337440109513999"/>
    <n v="210"/>
    <n v="3.78"/>
    <n v="793.8"/>
    <n v="3403.904542636305"/>
    <n v="714819.953953624"/>
    <n v="8.4396929249325001E-2"/>
    <n v="17.723355142358251"/>
    <s v="Relegated"/>
  </r>
  <r>
    <s v="ROPAR TPS5"/>
    <s v="Punjab"/>
    <s v="NR"/>
    <s v="STATE SECTOR"/>
    <s v=" 25-30 years"/>
    <n v="28.175222450376399"/>
    <n v="210"/>
    <n v="3.78"/>
    <n v="793.8"/>
    <n v="3364.3324329605211"/>
    <n v="706509.8109217094"/>
    <n v="8.4396929249325001E-2"/>
    <n v="17.723355142358251"/>
    <s v="Relegated"/>
  </r>
  <r>
    <s v="ROPAR TPS6"/>
    <s v="Punjab"/>
    <s v="NR"/>
    <s v="STATE SECTOR"/>
    <s v=" 25-30 years"/>
    <n v="27.175906913073199"/>
    <n v="210"/>
    <n v="3.78"/>
    <n v="793.8"/>
    <n v="3353.2744571733165"/>
    <n v="704187.6360063965"/>
    <n v="8.4396929249325001E-2"/>
    <n v="17.723355142358251"/>
    <s v="Relegated"/>
  </r>
  <r>
    <s v="SABARMATI (D-F STATIONS) TPP1"/>
    <s v="Gujarat"/>
    <s v="WR"/>
    <s v="PVT SECTOR"/>
    <s v=" 40-45 years"/>
    <n v="41.590691307323702"/>
    <n v="120"/>
    <n v="3.46"/>
    <n v="415.2"/>
    <n v="3412.5519398612773"/>
    <n v="409506.23278335331"/>
    <n v="0.09"/>
    <n v="10.799999999999999"/>
    <s v="Relegated"/>
  </r>
  <r>
    <s v="SABARMATI (D-F STATIONS) TPP2"/>
    <s v="Gujarat"/>
    <s v="WR"/>
    <s v="PVT SECTOR"/>
    <s v=" 35-40 years"/>
    <n v="35.422313483915097"/>
    <n v="121"/>
    <n v="3.46"/>
    <n v="418.65999999999997"/>
    <n v="3361.773716278371"/>
    <n v="406774.61966968287"/>
    <n v="0.09"/>
    <n v="10.889999999999999"/>
    <s v="Relegated"/>
  </r>
  <r>
    <s v="SABARMATI (D-F STATIONS) TPP3"/>
    <s v="Gujarat"/>
    <s v="WR"/>
    <s v="PVT SECTOR"/>
    <s v=" 30-35 years"/>
    <n v="31.671457905544099"/>
    <n v="121"/>
    <n v="3.46"/>
    <n v="418.65999999999997"/>
    <n v="3332.7188526801469"/>
    <n v="403258.98117429781"/>
    <n v="0.09"/>
    <n v="10.889999999999999"/>
    <s v="Relegated"/>
  </r>
  <r>
    <s v="SANJAY GANDHI TPS1"/>
    <s v="Madhya Pradesh"/>
    <s v="WR"/>
    <s v="STATE SECTOR"/>
    <s v=" 25-30 years"/>
    <n v="27.175906913073199"/>
    <n v="210"/>
    <n v="2.15"/>
    <n v="451.5"/>
    <n v="3225.4628082946965"/>
    <n v="677347.18974188622"/>
    <n v="8.2584159496713896E-2"/>
    <n v="17.342673494309917"/>
    <s v="Relegated"/>
  </r>
  <r>
    <s v="SANJAY GANDHI TPS2"/>
    <s v="Madhya Pradesh"/>
    <s v="WR"/>
    <s v="STATE SECTOR"/>
    <s v=" 25-30 years"/>
    <n v="27.175906913073199"/>
    <n v="210"/>
    <n v="2.15"/>
    <n v="451.5"/>
    <n v="3246.9319705184566"/>
    <n v="681855.71380887588"/>
    <n v="8.2584159496713896E-2"/>
    <n v="17.342673494309917"/>
    <s v="Relegated"/>
  </r>
  <r>
    <s v="SANJAY GANDHI TPS3"/>
    <s v="Madhya Pradesh"/>
    <s v="WR"/>
    <s v="STATE SECTOR"/>
    <s v=" 20-25 years"/>
    <n v="21.2539356605065"/>
    <n v="210"/>
    <n v="2.15"/>
    <n v="451.5"/>
    <n v="3214.0028810795911"/>
    <n v="674940.60502671415"/>
    <n v="8.2584159496713896E-2"/>
    <n v="17.342673494309917"/>
    <s v="Relegated"/>
  </r>
  <r>
    <s v="SANJAY GANDHI TPS4"/>
    <s v="Madhya Pradesh"/>
    <s v="WR"/>
    <s v="STATE SECTOR"/>
    <s v=" 20-25 years"/>
    <n v="20.5065023956194"/>
    <n v="210"/>
    <n v="2.15"/>
    <n v="451.5"/>
    <n v="3160.2747297623114"/>
    <n v="663657.69325008534"/>
    <n v="8.2584159496713896E-2"/>
    <n v="17.342673494309917"/>
    <s v="Relegated"/>
  </r>
  <r>
    <s v="SANTALDIH TPS5"/>
    <s v="West Bengal"/>
    <s v="ER"/>
    <s v="STATE SECTOR"/>
    <s v=" 10-15 years"/>
    <n v="11.0910335386721"/>
    <n v="250"/>
    <n v="2.57"/>
    <n v="642.5"/>
    <n v="3024.9604675991991"/>
    <n v="756240.11689979979"/>
    <n v="8.5383480246584514E-2"/>
    <n v="21.345870061646128"/>
    <s v="Relegated"/>
  </r>
  <r>
    <s v="SATPURA TPS6"/>
    <s v="Madhya Pradesh"/>
    <s v="WR"/>
    <s v="STATE SECTOR"/>
    <s v=" 40-45 years"/>
    <n v="40.843258042436602"/>
    <n v="200"/>
    <n v="2.5299999999999998"/>
    <n v="505.99999999999994"/>
    <n v="3385.9332840002039"/>
    <n v="677186.65680004074"/>
    <n v="0.1003219631047786"/>
    <n v="20.064392620955722"/>
    <s v="Relegated"/>
  </r>
  <r>
    <s v="SATPURA TPS7"/>
    <s v="Madhya Pradesh"/>
    <s v="WR"/>
    <s v="STATE SECTOR"/>
    <s v=" 35-40 years"/>
    <n v="39.671457905544102"/>
    <n v="210"/>
    <n v="2.5299999999999998"/>
    <n v="531.29999999999995"/>
    <n v="3395.2557285371631"/>
    <n v="713003.70299280423"/>
    <n v="0.1003219631047786"/>
    <n v="21.067612252003507"/>
    <s v="Relegated"/>
  </r>
  <r>
    <s v="SATPURA TPS8"/>
    <s v="Madhya Pradesh"/>
    <s v="WR"/>
    <s v="STATE SECTOR"/>
    <s v=" 35-40 years"/>
    <n v="37.338809034907598"/>
    <n v="210"/>
    <n v="2.5299999999999998"/>
    <n v="531.29999999999995"/>
    <n v="3344.5304350489109"/>
    <n v="702351.39136027126"/>
    <n v="0.1003219631047786"/>
    <n v="21.067612252003507"/>
    <s v="Relegated"/>
  </r>
  <r>
    <s v="SATPURA TPS9"/>
    <s v="Madhya Pradesh"/>
    <s v="WR"/>
    <s v="STATE SECTOR"/>
    <s v=" 35-40 years"/>
    <n v="36.254620123203203"/>
    <n v="210"/>
    <n v="2.5299999999999998"/>
    <n v="531.29999999999995"/>
    <n v="3398.9131495820507"/>
    <n v="713771.76141223067"/>
    <n v="0.1003219631047786"/>
    <n v="21.067612252003507"/>
    <s v="Relegated"/>
  </r>
  <r>
    <s v="SHIRPUR TPP1"/>
    <s v="Maharashtra"/>
    <s v="WR"/>
    <s v="PVT SECTOR"/>
    <s v=" 0-5 years"/>
    <n v="2.6036960985626201"/>
    <n v="150"/>
    <n v="3.0229678928240324"/>
    <n v="453.44518392360487"/>
    <n v="3361.1393096889346"/>
    <n v="504170.89645334019"/>
    <m/>
    <n v="0"/>
    <s v="Relegated"/>
  </r>
  <r>
    <s v="SIKKA REP. TPS3"/>
    <s v="Gujarat"/>
    <s v="WR"/>
    <s v="STATE SECTOR"/>
    <s v=" 5-10 years"/>
    <n v="5.1772758384667998"/>
    <n v="250"/>
    <n v="3.81"/>
    <n v="952.5"/>
    <n v="3236.092758707307"/>
    <n v="809023.1896768267"/>
    <n v="9.4899722296610672E-2"/>
    <n v="23.724930574152669"/>
    <s v="Relegated"/>
  </r>
  <r>
    <s v="SIKKA REP. TPS4"/>
    <s v="Gujarat"/>
    <s v="WR"/>
    <s v="STATE SECTOR"/>
    <s v=" 0-5 years"/>
    <n v="4.6735112936344896"/>
    <n v="250"/>
    <n v="3.81"/>
    <n v="952.5"/>
    <n v="3246.0771404162501"/>
    <n v="811519.28510406252"/>
    <n v="9.4899722296610672E-2"/>
    <n v="23.724930574152669"/>
    <s v="Relegated"/>
  </r>
  <r>
    <s v="SIMHAPURI TPS2"/>
    <s v="Andhra Pradesh"/>
    <s v="SR"/>
    <s v="PVT SECTOR"/>
    <s v=" 5-10 years"/>
    <n v="7.8412046543463303"/>
    <n v="150"/>
    <n v="3.0609280083981312"/>
    <n v="459.1392012597197"/>
    <n v="3562.3533919957827"/>
    <n v="534353.00879936735"/>
    <n v="0.10923025650701258"/>
    <n v="16.384538476051887"/>
    <s v="Relegated"/>
  </r>
  <r>
    <s v="SIMHAPURI TPS3"/>
    <s v="Andhra Pradesh"/>
    <s v="SR"/>
    <s v="PVT SECTOR"/>
    <s v=" 5-10 years"/>
    <n v="6.2532511978097096"/>
    <n v="150"/>
    <n v="3.0373201285257871"/>
    <n v="455.59801927886809"/>
    <n v="3545.1489690115368"/>
    <n v="531772.34535173047"/>
    <n v="0.10923025650701258"/>
    <n v="16.384538476051887"/>
    <s v="Relegated"/>
  </r>
  <r>
    <s v="SINGRAULI STPS1"/>
    <s v="Uttar Pradesh"/>
    <s v="NR"/>
    <s v="CENTRAL SECTOR"/>
    <s v=" 35-40 years"/>
    <n v="38.253251197809703"/>
    <n v="200"/>
    <n v="1.43"/>
    <n v="286"/>
    <n v="3254.8894888215145"/>
    <n v="650977.89776430291"/>
    <n v="7.690693382449007E-2"/>
    <n v="15.381386764898014"/>
    <s v="Relegated"/>
  </r>
  <r>
    <s v="SINGRAULI STPS2"/>
    <s v="Uttar Pradesh"/>
    <s v="NR"/>
    <s v="CENTRAL SECTOR"/>
    <s v=" 35-40 years"/>
    <n v="37.505817932922596"/>
    <n v="200"/>
    <n v="1.43"/>
    <n v="286"/>
    <n v="3233.3977337268125"/>
    <n v="646679.54674536246"/>
    <n v="7.690693382449007E-2"/>
    <n v="15.381386764898014"/>
    <s v="Relegated"/>
  </r>
  <r>
    <s v="SINGRAULI STPS3"/>
    <s v="Uttar Pradesh"/>
    <s v="NR"/>
    <s v="CENTRAL SECTOR"/>
    <s v=" 35-40 years"/>
    <n v="37.177275838466798"/>
    <n v="200"/>
    <n v="1.43"/>
    <n v="286"/>
    <n v="3244.3798941454424"/>
    <n v="648875.9788290885"/>
    <n v="7.690693382449007E-2"/>
    <n v="15.381386764898014"/>
    <s v="Relegated"/>
  </r>
  <r>
    <s v="SINGRAULI STPS4"/>
    <s v="Uttar Pradesh"/>
    <s v="NR"/>
    <s v="CENTRAL SECTOR"/>
    <s v=" 35-40 years"/>
    <n v="36.5065023956194"/>
    <n v="200"/>
    <n v="1.43"/>
    <n v="286"/>
    <n v="3227.1673024321649"/>
    <n v="645433.460486433"/>
    <n v="7.690693382449007E-2"/>
    <n v="15.381386764898014"/>
    <s v="Relegated"/>
  </r>
  <r>
    <s v="SINGRAULI STPS5"/>
    <s v="Uttar Pradesh"/>
    <s v="NR"/>
    <s v="CENTRAL SECTOR"/>
    <s v=" 35-40 years"/>
    <n v="36.254620123203203"/>
    <n v="200"/>
    <n v="1.43"/>
    <n v="286"/>
    <n v="3247.5430998858483"/>
    <n v="649508.61997716967"/>
    <n v="7.690693382449007E-2"/>
    <n v="15.381386764898014"/>
    <s v="Relegated"/>
  </r>
  <r>
    <s v="SOUTHERN REPL. TPS1"/>
    <s v="West Bengal"/>
    <s v="ER"/>
    <s v="PVT SECTOR"/>
    <s v=" 25-30 years"/>
    <n v="29.0924024640657"/>
    <n v="68"/>
    <n v="2.28788678035616"/>
    <n v="155.57630106421888"/>
    <n v="3504.6743418645306"/>
    <n v="238317.85524678807"/>
    <n v="9.2383897720522315E-2"/>
    <n v="6.2821050449955171"/>
    <s v="Relegated"/>
  </r>
  <r>
    <s v="SOUTHERN REPL. TPS2"/>
    <s v="West Bengal"/>
    <s v="ER"/>
    <s v="PVT SECTOR"/>
    <s v=" 25-30 years"/>
    <n v="29.7577002053388"/>
    <n v="68"/>
    <n v="2.22980310998165"/>
    <n v="151.62661147875221"/>
    <n v="3481.4615513255881"/>
    <n v="236739.38549013998"/>
    <n v="9.2383897720522315E-2"/>
    <n v="6.2821050449955171"/>
    <s v="Relegated"/>
  </r>
  <r>
    <s v="SURATGARH TPS1"/>
    <s v="Rajasthan"/>
    <s v="NR"/>
    <s v="STATE SECTOR"/>
    <s v=" 20-25 years"/>
    <n v="22.009582477754901"/>
    <n v="250"/>
    <n v="3.5"/>
    <n v="875"/>
    <n v="3161.0931209739401"/>
    <n v="790273.280243485"/>
    <n v="9.9196739166571735E-2"/>
    <n v="24.799184791642933"/>
    <s v="Relegated"/>
  </r>
  <r>
    <s v="SURATGARH TPS2"/>
    <s v="Rajasthan"/>
    <s v="NR"/>
    <s v="STATE SECTOR"/>
    <s v=" 20-25 years"/>
    <n v="20.175222450376399"/>
    <n v="250"/>
    <n v="3.5"/>
    <n v="875"/>
    <n v="3200.3263815697692"/>
    <n v="800081.59539244231"/>
    <n v="9.9196739166571735E-2"/>
    <n v="24.799184791642933"/>
    <s v="Relegated"/>
  </r>
  <r>
    <s v="SURATGARH TPS3"/>
    <s v="Rajasthan"/>
    <s v="NR"/>
    <s v="STATE SECTOR"/>
    <s v=" 15-20 years"/>
    <n v="18.590006844626899"/>
    <n v="250"/>
    <n v="3.5"/>
    <n v="875"/>
    <n v="3180.4175022160462"/>
    <n v="795104.37555401155"/>
    <n v="9.9196739166571735E-2"/>
    <n v="24.799184791642933"/>
    <s v="Relegated"/>
  </r>
  <r>
    <s v="SURATGARH TPS4"/>
    <s v="Rajasthan"/>
    <s v="NR"/>
    <s v="STATE SECTOR"/>
    <s v=" 15-20 years"/>
    <n v="18.176591375769998"/>
    <n v="250"/>
    <n v="3.5"/>
    <n v="875"/>
    <n v="3158.2225526757629"/>
    <n v="789555.63816894079"/>
    <n v="9.9196739166571735E-2"/>
    <n v="24.799184791642933"/>
    <s v="Relegated"/>
  </r>
  <r>
    <s v="SURATGARH TPS5"/>
    <s v="Rajasthan"/>
    <s v="NR"/>
    <s v="STATE SECTOR"/>
    <s v=" 15-20 years"/>
    <n v="16.925393566050602"/>
    <n v="250"/>
    <n v="3.5"/>
    <n v="875"/>
    <n v="3159.6907441670619"/>
    <n v="789922.6860417655"/>
    <n v="9.9196739166571735E-2"/>
    <n v="24.799184791642933"/>
    <s v="Relegated"/>
  </r>
  <r>
    <s v="SURATGARH TPS6"/>
    <s v="Rajasthan"/>
    <s v="NR"/>
    <s v="STATE SECTOR"/>
    <s v=" 10-15 years"/>
    <n v="10.757015742642"/>
    <n v="250"/>
    <n v="3.5"/>
    <n v="875"/>
    <n v="3137.4112584032246"/>
    <n v="784352.8146008061"/>
    <n v="9.9196739166571735E-2"/>
    <n v="24.799184791642933"/>
    <s v="Relegated"/>
  </r>
  <r>
    <s v="SVPL TPP1"/>
    <s v="Chhatisgarh"/>
    <s v="WR"/>
    <s v="PVT SECTOR"/>
    <s v=" 5-10 years"/>
    <n v="8.4243668720054696"/>
    <n v="63"/>
    <n v="2.9197578094847327"/>
    <n v="183.94474199753816"/>
    <n v="3419.8247923831836"/>
    <n v="215448.96192014057"/>
    <n v="0.12897083607149668"/>
    <n v="8.12516267250429"/>
    <s v="Relegated"/>
  </r>
  <r>
    <s v="TALCHER (OLD) TPS1"/>
    <s v="Odisha"/>
    <s v="ER"/>
    <s v="CENTRAL SECTOR"/>
    <s v=" 45+ years"/>
    <n v="49.338809034907598"/>
    <n v="60"/>
    <n v="1.67"/>
    <n v="100.19999999999999"/>
    <n v="3433.8542344419475"/>
    <n v="206031.25406651685"/>
    <n v="0.10471132406131005"/>
    <n v="6.2826794436786031"/>
    <s v="Relegated"/>
  </r>
  <r>
    <s v="TALCHER (OLD) TPS2"/>
    <s v="Odisha"/>
    <s v="ER"/>
    <s v="CENTRAL SECTOR"/>
    <s v=" 45+ years"/>
    <n v="48.925393566050602"/>
    <n v="60"/>
    <n v="1.67"/>
    <n v="100.19999999999999"/>
    <n v="3419.1211451090498"/>
    <n v="205147.26870654299"/>
    <n v="0.10471132406131005"/>
    <n v="6.2826794436786031"/>
    <s v="Relegated"/>
  </r>
  <r>
    <s v="TALCHER (OLD) TPS3"/>
    <s v="Odisha"/>
    <s v="ER"/>
    <s v="CENTRAL SECTOR"/>
    <s v=" 45+ years"/>
    <n v="48.339493497604302"/>
    <n v="60"/>
    <n v="1.67"/>
    <n v="100.19999999999999"/>
    <n v="3431.6125816015629"/>
    <n v="205896.75489609377"/>
    <n v="0.10471132406131005"/>
    <n v="6.2826794436786031"/>
    <s v="Relegated"/>
  </r>
  <r>
    <s v="TALCHER (OLD) TPS4"/>
    <s v="Odisha"/>
    <s v="ER"/>
    <s v="CENTRAL SECTOR"/>
    <s v=" 45+ years"/>
    <n v="47.923340177960299"/>
    <n v="60"/>
    <n v="1.67"/>
    <n v="100.19999999999999"/>
    <n v="3438.6086664836366"/>
    <n v="206316.51998901821"/>
    <n v="0.10471132406131005"/>
    <n v="6.2826794436786031"/>
    <s v="Relegated"/>
  </r>
  <r>
    <s v="TALCHER (OLD) TPS5"/>
    <s v="Odisha"/>
    <s v="ER"/>
    <s v="CENTRAL SECTOR"/>
    <s v=" 45+ years"/>
    <n v="47.337440109513999"/>
    <n v="110"/>
    <n v="1.67"/>
    <n v="183.7"/>
    <n v="3413.1790123975225"/>
    <n v="375449.69136372744"/>
    <n v="0.10471132406131005"/>
    <n v="11.518245646744106"/>
    <s v="Relegated"/>
  </r>
  <r>
    <s v="TALCHER (OLD) TPS6"/>
    <s v="Odisha"/>
    <s v="ER"/>
    <s v="CENTRAL SECTOR"/>
    <s v=" 45+ years"/>
    <n v="46.924024640657002"/>
    <n v="110"/>
    <n v="1.67"/>
    <n v="183.7"/>
    <n v="3382.2855567002393"/>
    <n v="372051.41123702633"/>
    <n v="0.10471132406131005"/>
    <n v="11.518245646744106"/>
    <s v="Relegated"/>
  </r>
  <r>
    <s v="TANDA STPS1"/>
    <s v="Uttar Pradesh"/>
    <s v="NR"/>
    <s v="CENTRAL SECTOR"/>
    <s v=" 30-35 years"/>
    <n v="32.175222450376403"/>
    <n v="110"/>
    <n v="2.88"/>
    <n v="316.8"/>
    <n v="3339.8005575516227"/>
    <n v="367378.06133067847"/>
    <n v="0.12115813368341415"/>
    <n v="13.327394705175555"/>
    <s v="Relegated"/>
  </r>
  <r>
    <s v="TANDA STPS2"/>
    <s v="Uttar Pradesh"/>
    <s v="NR"/>
    <s v="CENTRAL SECTOR"/>
    <s v=" 30-35 years"/>
    <n v="31.175906913073199"/>
    <n v="110"/>
    <n v="2.88"/>
    <n v="316.8"/>
    <n v="3335.0896580124286"/>
    <n v="366859.86238136713"/>
    <n v="0.12115813368341415"/>
    <n v="13.327394705175555"/>
    <s v="Relegated"/>
  </r>
  <r>
    <s v="TANDA STPS3"/>
    <s v="Uttar Pradesh"/>
    <s v="NR"/>
    <s v="CENTRAL SECTOR"/>
    <s v=" 30-35 years"/>
    <n v="30.176591375769998"/>
    <n v="110"/>
    <n v="2.88"/>
    <n v="316.8"/>
    <n v="3332.9769725759907"/>
    <n v="366627.46698335896"/>
    <n v="0.12115813368341415"/>
    <n v="13.327394705175555"/>
    <s v="Relegated"/>
  </r>
  <r>
    <s v="TANDA STPS4"/>
    <s v="Uttar Pradesh"/>
    <s v="NR"/>
    <s v="CENTRAL SECTOR"/>
    <s v=" 20-25 years"/>
    <n v="22.2532511978097"/>
    <n v="110"/>
    <n v="2.88"/>
    <n v="316.8"/>
    <n v="3266.5754987121668"/>
    <n v="359323.30485833832"/>
    <n v="0.12115813368341415"/>
    <n v="13.327394705175555"/>
    <s v="Relegated"/>
  </r>
  <r>
    <s v="TENUGHAT TPS1"/>
    <s v="Jharkhand"/>
    <s v="ER"/>
    <s v="STATE SECTOR"/>
    <s v=" 20-25 years"/>
    <n v="23.671457905544099"/>
    <n v="210"/>
    <n v="1.93"/>
    <n v="405.3"/>
    <n v="3233.5462241064861"/>
    <n v="679044.70706236211"/>
    <n v="0.12642862786873815"/>
    <n v="26.550011852435013"/>
    <s v="Relegated"/>
  </r>
  <r>
    <s v="TENUGHAT TPS2"/>
    <s v="Jharkhand"/>
    <s v="ER"/>
    <s v="STATE SECTOR"/>
    <s v=" 20-25 years"/>
    <n v="22.672142368240898"/>
    <n v="210"/>
    <n v="1.93"/>
    <n v="405.3"/>
    <n v="3193.266544183261"/>
    <n v="670585.97427848482"/>
    <n v="0.12642862786873815"/>
    <n v="26.550011852435013"/>
    <s v="Relegated"/>
  </r>
  <r>
    <s v="THAMMINAPATNAM TPS1"/>
    <s v="Andhra Pradesh"/>
    <s v="SR"/>
    <s v="PVT SECTOR"/>
    <s v=" 5-10 years"/>
    <n v="8.1752224503764506"/>
    <n v="150"/>
    <n v="3.0435133574326607"/>
    <n v="456.52700361489912"/>
    <n v="3555.956267486391"/>
    <n v="533393.44012295862"/>
    <n v="0.1233619249363473"/>
    <n v="18.504288740452097"/>
    <s v="Relegated"/>
  </r>
  <r>
    <s v="THAMMINAPATNAM TPS2"/>
    <s v="Andhra Pradesh"/>
    <s v="SR"/>
    <s v="PVT SECTOR"/>
    <s v=" 5-10 years"/>
    <n v="7.8412046543463303"/>
    <n v="150"/>
    <n v="3.0256664269830327"/>
    <n v="453.84996404745488"/>
    <n v="3546.5726744886597"/>
    <n v="531985.90117329895"/>
    <n v="0.1233619249363473"/>
    <n v="18.504288740452097"/>
    <s v="Relegated"/>
  </r>
  <r>
    <s v="TORANGALLU TPS(SBU-I)1"/>
    <s v="Karnataka"/>
    <s v="SR"/>
    <s v="PVT SECTOR"/>
    <s v=" 20-25 years"/>
    <n v="21.338809034907499"/>
    <n v="130"/>
    <n v="2.5934702527617701"/>
    <n v="337.1511328590301"/>
    <n v="3428.0980386927176"/>
    <n v="445652.74503005331"/>
    <n v="7.183708757655409E-2"/>
    <n v="9.3388213849520323"/>
    <s v="Relegated"/>
  </r>
  <r>
    <s v="TORANGALLU TPS(SBU-I)2"/>
    <s v="Karnataka"/>
    <s v="SR"/>
    <s v="PVT SECTOR"/>
    <s v=" 20-25 years"/>
    <n v="21.0102669404517"/>
    <n v="130"/>
    <n v="2.8954423434688423"/>
    <n v="376.40750465094948"/>
    <n v="3561.8668706672634"/>
    <n v="463042.69318674423"/>
    <n v="7.183708757655409E-2"/>
    <n v="9.3388213849520323"/>
    <s v="Relegated"/>
  </r>
  <r>
    <s v="TORANGALLU TPS(SBU-II)3"/>
    <s v="Karnataka"/>
    <s v="SR"/>
    <s v="PVT SECTOR"/>
    <s v=" 10-15 years"/>
    <n v="11.0910335386721"/>
    <n v="300"/>
    <n v="2.6506499885796617"/>
    <n v="795.19499657389849"/>
    <n v="3241.3756714842771"/>
    <n v="972412.70144528314"/>
    <n v="7.7914431957709626E-2"/>
    <n v="23.374329587312889"/>
    <s v="Relegated"/>
  </r>
  <r>
    <s v="TORANGALLU TPS(SBU-II)4"/>
    <s v="Karnataka"/>
    <s v="SR"/>
    <s v="PVT SECTOR"/>
    <s v=" 10-15 years"/>
    <n v="10.757015742642"/>
    <n v="300"/>
    <n v="2.9129883048913001"/>
    <n v="873.89649146738998"/>
    <n v="3357.3841922647989"/>
    <n v="1007215.2576794396"/>
    <n v="7.7914431957709626E-2"/>
    <n v="23.374329587312889"/>
    <s v="Relegated"/>
  </r>
  <r>
    <s v="TROMBAY TPS5"/>
    <s v="Maharashtra"/>
    <s v="WR"/>
    <s v="PVT SECTOR"/>
    <s v=" 35-40 years"/>
    <n v="36.339493497604302"/>
    <n v="500"/>
    <n v="3.76"/>
    <n v="1880"/>
    <n v="3221.6563818890554"/>
    <n v="1610828.1909445277"/>
    <n v="5.8556660392843879E-2"/>
    <n v="29.27833019642194"/>
    <s v="Relegated"/>
  </r>
  <r>
    <s v="TROMBAY TPS8"/>
    <s v="Maharashtra"/>
    <s v="WR"/>
    <s v="PVT SECTOR"/>
    <s v=" 10-15 years"/>
    <n v="11.1759069130732"/>
    <n v="250"/>
    <n v="3.92"/>
    <n v="980"/>
    <n v="3235.246119258315"/>
    <n v="808811.52981457871"/>
    <n v="5.8556660392843879E-2"/>
    <n v="14.63916509821097"/>
    <s v="Relegated"/>
  </r>
  <r>
    <s v="TUTICORIN TPS1"/>
    <s v="Tamil Nadu"/>
    <s v="SR"/>
    <s v="STATE SECTOR"/>
    <s v=" 40-45 years"/>
    <n v="40.821355236139603"/>
    <n v="210"/>
    <n v="3.39"/>
    <n v="711.9"/>
    <n v="3419.9715579587428"/>
    <n v="718194.027171336"/>
    <n v="8.1569433810636374E-2"/>
    <n v="17.12958110023364"/>
    <s v="Relegated"/>
  </r>
  <r>
    <s v="TUTICORIN TPS2"/>
    <s v="Tamil Nadu"/>
    <s v="SR"/>
    <s v="STATE SECTOR"/>
    <s v=" 35-40 years"/>
    <n v="39.378507871320998"/>
    <n v="210"/>
    <n v="3.39"/>
    <n v="711.9"/>
    <n v="3356.6174483352252"/>
    <n v="704889.66415039729"/>
    <n v="8.1569433810636374E-2"/>
    <n v="17.12958110023364"/>
    <s v="Relegated"/>
  </r>
  <r>
    <s v="TUTICORIN TPS3"/>
    <s v="Tamil Nadu"/>
    <s v="SR"/>
    <s v="STATE SECTOR"/>
    <s v=" 35-40 years"/>
    <n v="38.050650239561897"/>
    <n v="210"/>
    <n v="3.39"/>
    <n v="711.9"/>
    <n v="3346.7299187838235"/>
    <n v="702813.28294460289"/>
    <n v="8.1569433810636374E-2"/>
    <n v="17.12958110023364"/>
    <s v="Relegated"/>
  </r>
  <r>
    <s v="TUTICORIN TPS4"/>
    <s v="Tamil Nadu"/>
    <s v="SR"/>
    <s v="STATE SECTOR"/>
    <s v=" 25-30 years"/>
    <n v="28.227241615331899"/>
    <n v="210"/>
    <n v="3.39"/>
    <n v="711.9"/>
    <n v="3273.0009108985432"/>
    <n v="687330.19128869404"/>
    <n v="8.1569433810636374E-2"/>
    <n v="17.12958110023364"/>
    <s v="Relegated"/>
  </r>
  <r>
    <s v="TUTICORIN TPS5"/>
    <s v="Tamil Nadu"/>
    <s v="SR"/>
    <s v="STATE SECTOR"/>
    <s v=" 25-30 years"/>
    <n v="29.095140314852799"/>
    <n v="210"/>
    <n v="3.39"/>
    <n v="711.9"/>
    <n v="3283.5694020813398"/>
    <n v="689549.57443708135"/>
    <n v="8.1569433810636374E-2"/>
    <n v="17.12958110023364"/>
    <s v="Relegated"/>
  </r>
  <r>
    <s v="UKAI TPS3"/>
    <s v="Gujarat"/>
    <s v="WR"/>
    <s v="STATE SECTOR"/>
    <s v=" 40-45 years"/>
    <n v="41.338809034907598"/>
    <n v="200"/>
    <n v="3.59"/>
    <n v="718"/>
    <n v="3352.2609853750323"/>
    <n v="670452.19707500644"/>
    <n v="8.0187863271519652E-2"/>
    <n v="16.037572654303929"/>
    <s v="Relegated"/>
  </r>
  <r>
    <s v="UKAI TPS4"/>
    <s v="Gujarat"/>
    <s v="WR"/>
    <s v="STATE SECTOR"/>
    <s v=" 40-45 years"/>
    <n v="41.177275838466798"/>
    <n v="200"/>
    <n v="3.59"/>
    <n v="718"/>
    <n v="3326.5226581781831"/>
    <n v="665304.53163563658"/>
    <n v="8.0187863271519652E-2"/>
    <n v="16.037572654303929"/>
    <s v="Relegated"/>
  </r>
  <r>
    <s v="UKAI TPS5"/>
    <s v="Gujarat"/>
    <s v="WR"/>
    <s v="STATE SECTOR"/>
    <s v=" 35-40 years"/>
    <n v="35.337440109513999"/>
    <n v="210"/>
    <n v="3.59"/>
    <n v="753.9"/>
    <n v="3292.4679737578217"/>
    <n v="691418.27448914258"/>
    <n v="8.0187863271519652E-2"/>
    <n v="16.839451287019127"/>
    <s v="Relegated"/>
  </r>
  <r>
    <s v="UNCHAHAR STPS1"/>
    <s v="Uttar Pradesh"/>
    <s v="NR"/>
    <s v="CENTRAL SECTOR"/>
    <s v=" 30-35 years"/>
    <n v="31.504449007529001"/>
    <n v="210"/>
    <n v="3.13"/>
    <n v="657.3"/>
    <n v="3249.7755094254094"/>
    <n v="682452.85697933601"/>
    <n v="0.10083552828968442"/>
    <n v="21.17546094083373"/>
    <s v="Relegated"/>
  </r>
  <r>
    <s v="UNCHAHAR STPS2"/>
    <s v="Uttar Pradesh"/>
    <s v="NR"/>
    <s v="CENTRAL SECTOR"/>
    <s v=" 30-35 years"/>
    <n v="31.175906913073199"/>
    <n v="210"/>
    <n v="3.13"/>
    <n v="657.3"/>
    <n v="3236.7329407326306"/>
    <n v="679713.91755385243"/>
    <n v="0.10083552828968442"/>
    <n v="21.17546094083373"/>
    <s v="Relegated"/>
  </r>
  <r>
    <s v="UNCHAHAR STPS3"/>
    <s v="Uttar Pradesh"/>
    <s v="NR"/>
    <s v="CENTRAL SECTOR"/>
    <s v=" 20-25 years"/>
    <n v="21.338809034907499"/>
    <n v="210"/>
    <n v="3.11"/>
    <n v="653.1"/>
    <n v="3163.0703088471378"/>
    <n v="664244.76485789893"/>
    <n v="0.10083552828968442"/>
    <n v="21.17546094083373"/>
    <s v="Relegated"/>
  </r>
  <r>
    <s v="UNCHAHAR STPS4"/>
    <s v="Uttar Pradesh"/>
    <s v="NR"/>
    <s v="CENTRAL SECTOR"/>
    <s v=" 20-25 years"/>
    <n v="20.591375770020498"/>
    <n v="210"/>
    <n v="3.11"/>
    <n v="653.1"/>
    <n v="3149.6774175165233"/>
    <n v="661432.25767846988"/>
    <n v="0.10083552828968442"/>
    <n v="21.17546094083373"/>
    <s v="Relegated"/>
  </r>
  <r>
    <s v="UNCHAHAR STPS5"/>
    <s v="Uttar Pradesh"/>
    <s v="NR"/>
    <s v="CENTRAL SECTOR"/>
    <s v=" 10-15 years"/>
    <n v="13.6728268309377"/>
    <n v="210"/>
    <n v="3.11"/>
    <n v="653.1"/>
    <n v="3101.217139212315"/>
    <n v="651255.59923458612"/>
    <n v="0.10083552828968442"/>
    <n v="21.17546094083373"/>
    <s v="Relegated"/>
  </r>
  <r>
    <s v="UTRAULA TPS1"/>
    <s v="Uttar Pradesh"/>
    <s v="NR"/>
    <s v="PVT SECTOR"/>
    <s v=" 5-10 years"/>
    <n v="8.2546201232032796"/>
    <n v="45"/>
    <n v="3.49"/>
    <n v="157.05000000000001"/>
    <n v="3376.1427066707715"/>
    <n v="151926.42180018473"/>
    <n v="0.11683063103919883"/>
    <n v="5.2573783967639471"/>
    <s v="Relegated"/>
  </r>
  <r>
    <s v="UTRAULA TPS2"/>
    <s v="Uttar Pradesh"/>
    <s v="NR"/>
    <s v="PVT SECTOR"/>
    <s v=" 5-10 years"/>
    <n v="8.1752224503764506"/>
    <n v="45"/>
    <n v="3.49"/>
    <n v="157.05000000000001"/>
    <n v="3378.741340427126"/>
    <n v="152043.36031922066"/>
    <n v="0.11683063103919883"/>
    <n v="5.2573783967639471"/>
    <s v="Relegated"/>
  </r>
  <r>
    <s v="VINDHYACHAL STPS1"/>
    <s v="Madhya Pradesh"/>
    <s v="WR"/>
    <s v="CENTRAL SECTOR"/>
    <s v=" 30-35 years"/>
    <n v="32.591375770020498"/>
    <n v="210"/>
    <n v="1.64"/>
    <n v="344.4"/>
    <n v="3157.2268591545344"/>
    <n v="663017.64042245224"/>
    <n v="6.5179373950034494E-2"/>
    <n v="13.687668529507244"/>
    <s v="Relegated"/>
  </r>
  <r>
    <s v="VINDHYACHAL STPS2"/>
    <s v="Madhya Pradesh"/>
    <s v="WR"/>
    <s v="CENTRAL SECTOR"/>
    <s v=" 30-35 years"/>
    <n v="31.841204654346299"/>
    <n v="210"/>
    <n v="1.64"/>
    <n v="344.4"/>
    <n v="3172.9682772728984"/>
    <n v="666323.3382273087"/>
    <n v="6.5179373950034494E-2"/>
    <n v="13.687668529507244"/>
    <s v="Relegated"/>
  </r>
  <r>
    <s v="VINDHYACHAL STPS3"/>
    <s v="Madhya Pradesh"/>
    <s v="WR"/>
    <s v="CENTRAL SECTOR"/>
    <s v=" 30-35 years"/>
    <n v="31.2525667351129"/>
    <n v="210"/>
    <n v="1.64"/>
    <n v="344.4"/>
    <n v="3164.9307960764068"/>
    <n v="664635.46717604541"/>
    <n v="6.5179373950034494E-2"/>
    <n v="13.687668529507244"/>
    <s v="Relegated"/>
  </r>
  <r>
    <s v="VINDHYACHAL STPS4"/>
    <s v="Madhya Pradesh"/>
    <s v="WR"/>
    <s v="CENTRAL SECTOR"/>
    <s v=" 30-35 years"/>
    <n v="30.4229979466119"/>
    <n v="210"/>
    <n v="1.64"/>
    <n v="344.4"/>
    <n v="3170.7855154096569"/>
    <n v="665864.95823602797"/>
    <n v="6.5179373950034494E-2"/>
    <n v="13.687668529507244"/>
    <s v="Relegated"/>
  </r>
  <r>
    <s v="VINDHYACHAL STPS5"/>
    <s v="Madhya Pradesh"/>
    <s v="WR"/>
    <s v="CENTRAL SECTOR"/>
    <s v=" 30-35 years"/>
    <n v="30.176591375769998"/>
    <n v="210"/>
    <n v="1.64"/>
    <n v="344.4"/>
    <n v="3173.6952089431752"/>
    <n v="666475.99387806677"/>
    <n v="6.5179373950034494E-2"/>
    <n v="13.687668529507244"/>
    <s v="Relegated"/>
  </r>
  <r>
    <s v="VINDHYACHAL STPS6"/>
    <s v="Madhya Pradesh"/>
    <s v="WR"/>
    <s v="CENTRAL SECTOR"/>
    <s v=" 25-30 years"/>
    <n v="29.2539356605065"/>
    <n v="210"/>
    <n v="1.64"/>
    <n v="344.4"/>
    <n v="3166.4735150388956"/>
    <n v="664959.43815816811"/>
    <n v="6.5179373950034494E-2"/>
    <n v="13.687668529507244"/>
    <s v="Relegated"/>
  </r>
  <r>
    <s v="WANAKBORI TPS1"/>
    <s v="Gujarat"/>
    <s v="WR"/>
    <s v="STATE SECTOR"/>
    <s v=" 35-40 years"/>
    <n v="38.176591375770002"/>
    <n v="210"/>
    <n v="3.83"/>
    <n v="804.30000000000007"/>
    <n v="3399.9459424428956"/>
    <n v="713988.64791300811"/>
    <n v="9.2496856160444826E-2"/>
    <n v="19.424339793693413"/>
    <s v="Relegated"/>
  </r>
  <r>
    <s v="WANAKBORI TPS2"/>
    <s v="Gujarat"/>
    <s v="WR"/>
    <s v="STATE SECTOR"/>
    <s v=" 35-40 years"/>
    <n v="37.338809034907598"/>
    <n v="210"/>
    <n v="3.83"/>
    <n v="804.30000000000007"/>
    <n v="3386.51419112432"/>
    <n v="711167.98013610719"/>
    <n v="9.2496856160444826E-2"/>
    <n v="19.424339793693413"/>
    <s v="Relegated"/>
  </r>
  <r>
    <s v="WANAKBORI TPS3"/>
    <s v="Gujarat"/>
    <s v="WR"/>
    <s v="STATE SECTOR"/>
    <s v=" 35-40 years"/>
    <n v="36.175222450376403"/>
    <n v="210"/>
    <n v="3.83"/>
    <n v="804.30000000000007"/>
    <n v="3297.6499983182221"/>
    <n v="692506.49964682665"/>
    <n v="9.2496856160444826E-2"/>
    <n v="19.424339793693413"/>
    <s v="Relegated"/>
  </r>
  <r>
    <s v="WANAKBORI TPS4"/>
    <s v="Gujarat"/>
    <s v="WR"/>
    <s v="STATE SECTOR"/>
    <s v=" 30-35 years"/>
    <n v="34.176591375770002"/>
    <n v="210"/>
    <n v="3.83"/>
    <n v="804.30000000000007"/>
    <n v="3310.1750581411502"/>
    <n v="695136.76220964151"/>
    <n v="9.2496856160444826E-2"/>
    <n v="19.424339793693413"/>
    <s v="Relegated"/>
  </r>
  <r>
    <s v="WANAKBORI TPS5"/>
    <s v="Gujarat"/>
    <s v="WR"/>
    <s v="STATE SECTOR"/>
    <s v=" 30-35 years"/>
    <n v="33.672826830937701"/>
    <n v="210"/>
    <n v="3.83"/>
    <n v="804.30000000000007"/>
    <n v="3314.4577925323483"/>
    <n v="696036.1364317931"/>
    <n v="9.2496856160444826E-2"/>
    <n v="19.424339793693413"/>
    <s v="Relegated"/>
  </r>
  <r>
    <s v="WANAKBORI TPS6"/>
    <s v="Gujarat"/>
    <s v="WR"/>
    <s v="STATE SECTOR"/>
    <s v=" 30-35 years"/>
    <n v="32.5065023956194"/>
    <n v="210"/>
    <n v="3.83"/>
    <n v="804.30000000000007"/>
    <n v="3303.7980296427277"/>
    <n v="693797.58622497285"/>
    <n v="9.2496856160444826E-2"/>
    <n v="19.424339793693413"/>
    <s v="Relegated"/>
  </r>
  <r>
    <s v="WANAKBORI TPS7"/>
    <s v="Gujarat"/>
    <s v="WR"/>
    <s v="STATE SECTOR"/>
    <s v=" 20-25 years"/>
    <n v="21.423682409308601"/>
    <n v="210"/>
    <n v="3.66"/>
    <n v="768.6"/>
    <n v="3157.0075054040867"/>
    <n v="662971.57613485819"/>
    <n v="9.2496856160444826E-2"/>
    <n v="19.424339793693413"/>
    <s v="Relegated"/>
  </r>
  <r>
    <s v="WARDHA WARORA TPP2"/>
    <s v="Maharashtra"/>
    <s v="WR"/>
    <s v="PVT SECTOR"/>
    <s v=" 5-10 years"/>
    <n v="9.5906913073237501"/>
    <n v="135"/>
    <n v="3.052278236188442"/>
    <n v="412.05756188543967"/>
    <n v="3354.2273479368127"/>
    <n v="452820.69197146973"/>
    <n v="0.11099569562813016"/>
    <n v="14.984418909797572"/>
    <s v="Relegated"/>
  </r>
  <r>
    <s v="WARDHA WARORA TPP3"/>
    <s v="Maharashtra"/>
    <s v="WR"/>
    <s v="PVT SECTOR"/>
    <s v=" 5-10 years"/>
    <n v="9.3388090349075892"/>
    <n v="135"/>
    <n v="2.8726044703129405"/>
    <n v="387.80160349224695"/>
    <n v="3272.7643260486211"/>
    <n v="441823.18401656387"/>
    <n v="0.11099569562813016"/>
    <n v="14.984418909797572"/>
    <s v="Relegated"/>
  </r>
  <r>
    <s v="WARDHA WARORA TPP4"/>
    <s v="Maharashtra"/>
    <s v="WR"/>
    <s v="PVT SECTOR"/>
    <s v=" 5-10 years"/>
    <n v="9.0924024640656995"/>
    <n v="135"/>
    <n v="2.8580881490737098"/>
    <n v="385.84190012495083"/>
    <n v="3265.2375865115437"/>
    <n v="440807.07417905837"/>
    <n v="0.11099569562813016"/>
    <n v="14.984418909797572"/>
    <s v="Relega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3">
  <r>
    <s v="DARLIPALI STPS1"/>
    <x v="0"/>
    <s v="Odisha"/>
    <s v="ER"/>
    <x v="0"/>
    <x v="0"/>
    <n v="0.34223134839151198"/>
    <n v="800"/>
    <n v="0.112473118279569"/>
    <n v="5.8579749103942194E-3"/>
    <n v="0.85"/>
    <s v="0.15"/>
    <n v="9.421002002951645E-2"/>
    <n v="27509.325848618806"/>
    <n v="11.120397627960301"/>
    <n v="16.32"/>
    <n v="3247156.1073644082"/>
    <s v="Contracted"/>
    <n v="0"/>
    <n v="0"/>
    <n v="2398.8474712799452"/>
    <n v="2677.896513484246"/>
    <n v="0.35850549494967787"/>
    <n v="3333983.8116939757"/>
    <n v="25649.755138840188"/>
    <x v="0"/>
    <m/>
    <n v="0"/>
    <m/>
    <m/>
    <m/>
    <m/>
    <m/>
    <m/>
    <m/>
    <m/>
    <m/>
    <n v="0"/>
    <m/>
    <n v="0"/>
    <n v="0"/>
    <m/>
  </r>
  <r>
    <s v="GADARWARA TPP1"/>
    <x v="1"/>
    <s v="Madhya Pradesh"/>
    <s v="WR"/>
    <x v="0"/>
    <x v="0"/>
    <n v="1.06776180698151"/>
    <n v="800"/>
    <n v="3.3010052439218098"/>
    <n v="0.17192735645426094"/>
    <n v="0.85"/>
    <s v="0.15"/>
    <n v="1.7091506937912078"/>
    <n v="499072.00258703268"/>
    <n v="11.143378805236139"/>
    <n v="16.32"/>
    <n v="3253866.6111289528"/>
    <s v="Contracted"/>
    <n v="0"/>
    <n v="0"/>
    <n v="2404.3909135934291"/>
    <n v="2628.5422010575162"/>
    <n v="0.35767894277836298"/>
    <n v="3451198.9865285149"/>
    <n v="763143.01932280301"/>
    <x v="0"/>
    <n v="4150"/>
    <n v="3320000"/>
    <m/>
    <n v="0"/>
    <n v="0"/>
    <n v="0"/>
    <n v="0"/>
    <n v="0"/>
    <n v="0"/>
    <n v="0"/>
    <n v="499072.00258703268"/>
    <n v="499072.00258703268"/>
    <m/>
    <n v="0"/>
    <n v="0"/>
    <n v="3.3710578127253199"/>
  </r>
  <r>
    <s v="KOTHAGUDEM STAGE-7 TPS12"/>
    <x v="2"/>
    <s v="Telangana"/>
    <s v="SR"/>
    <x v="1"/>
    <x v="0"/>
    <n v="1.9603011635865799"/>
    <n v="800"/>
    <n v="12.164454465657199"/>
    <n v="0.6335653367529791"/>
    <n v="0.85"/>
    <s v="0.15"/>
    <n v="8.1603295892018277"/>
    <n v="2382816.2400469338"/>
    <n v="11.171649989356604"/>
    <n v="16.32"/>
    <n v="3262121.7968921289"/>
    <s v="Contracted"/>
    <n v="0"/>
    <n v="0"/>
    <n v="2411.2103935715259"/>
    <n v="2482.7574599226896"/>
    <n v="0.35666734113822118"/>
    <n v="3351166.1391569921"/>
    <n v="2571980.2556538973"/>
    <x v="0"/>
    <m/>
    <n v="0"/>
    <m/>
    <m/>
    <m/>
    <m/>
    <m/>
    <m/>
    <m/>
    <m/>
    <m/>
    <n v="0"/>
    <n v="7.0000000000000007E-2"/>
    <n v="0.85151181259600406"/>
    <n v="1.1424000000000001"/>
    <n v="2.62913705583756"/>
  </r>
  <r>
    <s v="LARA TPP1"/>
    <x v="3"/>
    <s v="Chhatisgarh"/>
    <s v="WR"/>
    <x v="0"/>
    <x v="0"/>
    <n v="2.0917180013689198"/>
    <n v="800"/>
    <n v="3.6697567218694802"/>
    <n v="0.19113316259736876"/>
    <n v="0.85"/>
    <s v="0.15"/>
    <n v="2.0088006488593311"/>
    <n v="586569.78946692473"/>
    <n v="11.17581261769336"/>
    <n v="16.32"/>
    <n v="3263337.284366461"/>
    <s v="Contracted"/>
    <n v="0"/>
    <n v="0"/>
    <n v="2412.2144887830254"/>
    <n v="2630.0168898634179"/>
    <n v="0.35651887674129445"/>
    <n v="2193752.5598141565"/>
    <n v="537832.91427105165"/>
    <x v="0"/>
    <n v="6550"/>
    <n v="5240000"/>
    <m/>
    <n v="0"/>
    <n v="0"/>
    <n v="0"/>
    <n v="0"/>
    <n v="0"/>
    <n v="0"/>
    <n v="586569.78946692473"/>
    <n v="0"/>
    <n v="586569.78946692473"/>
    <n v="5.2489445057243921E-2"/>
    <n v="0.19262349382601965"/>
    <n v="0.85662774333422076"/>
    <n v="2.4661387221164501"/>
  </r>
  <r>
    <s v="YERMARUS TPS2"/>
    <x v="4"/>
    <s v="Karnataka"/>
    <s v="SR"/>
    <x v="1"/>
    <x v="0"/>
    <n v="3.0910335386721401"/>
    <n v="800"/>
    <n v="0.78044121863799198"/>
    <n v="4.0647980137395415E-2"/>
    <n v="0.85"/>
    <s v="0.15"/>
    <n v="0.61694784485311183"/>
    <n v="180148.77069710864"/>
    <n v="11.207465937337441"/>
    <n v="16.32"/>
    <n v="3272580.0537025328"/>
    <s v="Contracted"/>
    <n v="0"/>
    <n v="0"/>
    <n v="2419.8497961204657"/>
    <n v="2687.3982645488704"/>
    <n v="0.35539395931878209"/>
    <n v="3363173.4170626197"/>
    <n v="178612.9438732625"/>
    <x v="0"/>
    <m/>
    <n v="0"/>
    <m/>
    <m/>
    <m/>
    <m/>
    <m/>
    <m/>
    <m/>
    <m/>
    <m/>
    <n v="0"/>
    <n v="0.13221101440955424"/>
    <n v="0.10318292520315762"/>
    <n v="2.1576837551639252"/>
    <n v="3.75454148471615"/>
  </r>
  <r>
    <s v="KUDGI STPP3"/>
    <x v="5"/>
    <s v="Karnataka"/>
    <s v="SR"/>
    <x v="0"/>
    <x v="0"/>
    <n v="2.1163586584531102"/>
    <n v="800"/>
    <n v="4.5897522158659498"/>
    <n v="0.23904959457635153"/>
    <n v="0.85"/>
    <s v="0.15"/>
    <n v="2.6762568347256539"/>
    <n v="781466.99573989096"/>
    <n v="11.176593110506502"/>
    <n v="16.32"/>
    <n v="3263565.1882678987"/>
    <s v="Contracted"/>
    <n v="4.8908057223748518E-2"/>
    <n v="38220.032546117429"/>
    <n v="2423.429352021396"/>
    <n v="2625.3919606827776"/>
    <n v="0.35486902033379647"/>
    <n v="2417611.864105802"/>
    <n v="736579.20098252222"/>
    <x v="0"/>
    <n v="5971.1338194728896"/>
    <n v="4776907.0555783119"/>
    <m/>
    <n v="0"/>
    <n v="0"/>
    <n v="781466.99573989096"/>
    <n v="0"/>
    <n v="0"/>
    <n v="0"/>
    <n v="0"/>
    <n v="0"/>
    <n v="781466.99573989096"/>
    <n v="7.8813638844723796E-2"/>
    <n v="0.36173507352802975"/>
    <n v="1.2862385859458925"/>
    <n v="3.77865221712625"/>
  </r>
  <r>
    <s v="WANAKBORI TPS8"/>
    <x v="6"/>
    <s v="Gujarat"/>
    <s v="WR"/>
    <x v="1"/>
    <x v="0"/>
    <n v="0.53661875427789096"/>
    <n v="800"/>
    <n v="1.7629333333333299"/>
    <n v="9.1819444444444273E-2"/>
    <n v="0.85"/>
    <s v="0.15"/>
    <n v="1.4185237744505705"/>
    <n v="414208.94213956658"/>
    <n v="11.126554849041753"/>
    <n v="16.32"/>
    <n v="3248954.015920192"/>
    <s v="Contracted"/>
    <n v="0.10571332468406133"/>
    <n v="43787.40438744158"/>
    <n v="2424.1663564915939"/>
    <n v="2674.799012558261"/>
    <n v="0.35476113167606455"/>
    <n v="3311967.2693642345"/>
    <n v="394757.60531903402"/>
    <x v="0"/>
    <n v="4360.0292448303944"/>
    <n v="3488023.3958643153"/>
    <m/>
    <n v="0"/>
    <n v="0"/>
    <n v="0"/>
    <n v="0"/>
    <n v="0"/>
    <n v="0"/>
    <n v="382108.08448455721"/>
    <n v="32100.857655009368"/>
    <n v="414208.94213956658"/>
    <n v="9.2496856160444826E-2"/>
    <n v="0.16306579095378654"/>
    <n v="1.5095486925384596"/>
    <n v="3.2968224299065398"/>
  </r>
  <r>
    <s v="YERMARUS TPS1"/>
    <x v="4"/>
    <s v="Karnataka"/>
    <s v="SR"/>
    <x v="1"/>
    <x v="0"/>
    <n v="4.1752224503764497"/>
    <n v="800"/>
    <n v="1.02148735543902"/>
    <n v="5.3202466429115629E-2"/>
    <n v="0.85"/>
    <s v="0.15"/>
    <n v="0.80749761472443271"/>
    <n v="235789.30349953435"/>
    <n v="11.241807621115674"/>
    <n v="16.32"/>
    <n v="3282607.8253657767"/>
    <s v="Contracted"/>
    <n v="0"/>
    <n v="0"/>
    <n v="2428.1335816153314"/>
    <n v="2691.5318984448991"/>
    <n v="0.3541815024146569"/>
    <n v="3374686.4486622042"/>
    <n v="234138.71147296298"/>
    <x v="0"/>
    <m/>
    <n v="0"/>
    <m/>
    <m/>
    <m/>
    <m/>
    <m/>
    <m/>
    <m/>
    <m/>
    <m/>
    <n v="0"/>
    <n v="0.13221101440955424"/>
    <n v="0.13505187946912572"/>
    <n v="2.1576837551639252"/>
    <n v="3.75454148471615"/>
  </r>
  <r>
    <s v="KUDGI STPP2"/>
    <x v="5"/>
    <s v="Karnataka"/>
    <s v="SR"/>
    <x v="0"/>
    <x v="0"/>
    <n v="3.1074606433949299"/>
    <n v="800"/>
    <n v="5.5814643404488198"/>
    <n v="0.29070126773170935"/>
    <n v="0.85"/>
    <s v="0.15"/>
    <n v="3.4262952142111267"/>
    <n v="1000478.2025496489"/>
    <n v="11.207986265879535"/>
    <n v="16.32"/>
    <n v="3272731.9896368245"/>
    <s v="Contracted"/>
    <n v="4.8908057223748518E-2"/>
    <n v="48931.445181411291"/>
    <n v="2431.001903408117"/>
    <n v="2615.8899564925246"/>
    <n v="0.35376360618818614"/>
    <n v="2425166.2374399444"/>
    <n v="892490.67053673812"/>
    <x v="0"/>
    <n v="5971.1338194728896"/>
    <n v="4776907.0555783119"/>
    <m/>
    <n v="0"/>
    <n v="0"/>
    <n v="1000478.2025496489"/>
    <n v="0"/>
    <n v="0"/>
    <n v="0"/>
    <n v="0"/>
    <n v="0"/>
    <n v="1000478.2025496489"/>
    <n v="7.8813638844723796E-2"/>
    <n v="0.43989551475283778"/>
    <n v="1.2862385859458925"/>
    <n v="3.77865221712625"/>
  </r>
  <r>
    <s v="KUDGI STPP1"/>
    <x v="5"/>
    <s v="Karnataka"/>
    <s v="SR"/>
    <x v="0"/>
    <x v="0"/>
    <n v="3.3566050650239498"/>
    <n v="800"/>
    <n v="6.4095326782845099"/>
    <n v="0.33382982699398489"/>
    <n v="0.85"/>
    <s v="0.15"/>
    <n v="4.0342474473500438"/>
    <n v="1178000.2546262126"/>
    <n v="11.215877915434634"/>
    <n v="16.32"/>
    <n v="3275036.351306913"/>
    <s v="Contracted"/>
    <n v="4.8908057223748518E-2"/>
    <n v="57613.703862849135"/>
    <n v="2432.9055005799173"/>
    <n v="2603.5364940747231"/>
    <n v="0.35348680817853667"/>
    <n v="2427065.2649907926"/>
    <n v="1020060.8880949911"/>
    <x v="0"/>
    <n v="5971.1338194728896"/>
    <n v="4776907.0555783119"/>
    <m/>
    <n v="0"/>
    <n v="0"/>
    <n v="1178000.2546262126"/>
    <n v="0"/>
    <n v="0"/>
    <n v="0"/>
    <n v="0"/>
    <n v="0"/>
    <n v="1178000.2546262126"/>
    <n v="7.8813638844723796E-2"/>
    <n v="0.50515859366977056"/>
    <n v="1.2862385859458925"/>
    <n v="3.77865221712625"/>
  </r>
  <r>
    <s v="DAMODARAN SANJEEVAIAH TPS2"/>
    <x v="7"/>
    <s v="Andhra Pradesh"/>
    <s v="SR"/>
    <x v="1"/>
    <x v="1"/>
    <n v="5.1772758384667998"/>
    <n v="800"/>
    <n v="9.2233283641663597"/>
    <n v="0.48038168563366457"/>
    <n v="0.85"/>
    <s v="0.15"/>
    <n v="6.1309371689103012"/>
    <n v="1790233.653321808"/>
    <n v="11.273547662183436"/>
    <n v="16.32"/>
    <n v="3291875.9173575635"/>
    <s v="Contracted"/>
    <n v="0.12048661201055144"/>
    <n v="215699.18759601674"/>
    <n v="2462.9541890058176"/>
    <n v="2585.1393587278744"/>
    <n v="0.34917417621443575"/>
    <n v="3903586.9922350878"/>
    <n v="2315575.8099571392"/>
    <x v="0"/>
    <n v="3758.421560030215"/>
    <n v="3006737.2480241721"/>
    <m/>
    <n v="0"/>
    <n v="0"/>
    <n v="0"/>
    <n v="1790233.653321808"/>
    <n v="0"/>
    <n v="0"/>
    <n v="0"/>
    <n v="0"/>
    <n v="1790233.653321808"/>
    <n v="7.43080715713893E-2"/>
    <n v="0.68536774421089885"/>
    <n v="1.2127077280450733"/>
    <n v="3.1773464912280698"/>
  </r>
  <r>
    <s v="DAMODARAN SANJEEVAIAH TPS1"/>
    <x v="7"/>
    <s v="Andhra Pradesh"/>
    <s v="SR"/>
    <x v="1"/>
    <x v="1"/>
    <n v="5.7577002053388"/>
    <n v="800"/>
    <n v="8.5091254105517393"/>
    <n v="0.44318361513290311"/>
    <n v="0.85"/>
    <s v="0.15"/>
    <n v="5.631774196432727"/>
    <n v="1644478.0653583563"/>
    <n v="11.291932604004106"/>
    <n v="16.32"/>
    <n v="3297244.3203691989"/>
    <s v="Contracted"/>
    <n v="0.12048661201055144"/>
    <n v="198137.59062069451"/>
    <n v="2467.3889428566049"/>
    <n v="2601.8707233817827"/>
    <n v="0.34854658909362707"/>
    <n v="3910615.7252594265"/>
    <n v="2150096.7988271676"/>
    <x v="0"/>
    <n v="3758.421560030215"/>
    <n v="3006737.2480241721"/>
    <m/>
    <n v="0"/>
    <n v="0"/>
    <n v="0"/>
    <n v="1644478.0653583563"/>
    <n v="0"/>
    <n v="0"/>
    <n v="0"/>
    <n v="0"/>
    <n v="1644478.0653583563"/>
    <n v="7.43080715713893E-2"/>
    <n v="0.63229670001720606"/>
    <n v="1.2127077280450733"/>
    <n v="3.1773464912280698"/>
  </r>
  <r>
    <s v="BELLARY TPS3"/>
    <x v="8"/>
    <s v="Karnataka"/>
    <s v="SR"/>
    <x v="1"/>
    <x v="0"/>
    <n v="4.1752224503764497"/>
    <n v="700"/>
    <n v="2.8541688533997198"/>
    <n v="0.16989100317855477"/>
    <n v="0.85"/>
    <s v="0.15"/>
    <n v="2.30003711563986"/>
    <n v="587659.48304598429"/>
    <n v="11.762597621115674"/>
    <n v="14.28"/>
    <n v="3005343.6921950546"/>
    <s v="Contracted"/>
    <n v="0"/>
    <n v="0"/>
    <n v="2520.7078116153316"/>
    <n v="2745.532258825393"/>
    <n v="0.34117401312327861"/>
    <n v="3814557.0467658192"/>
    <n v="830423.46583911765"/>
    <x v="0"/>
    <n v="3444.2880509129841"/>
    <n v="2411001.6356390887"/>
    <m/>
    <n v="0"/>
    <n v="0"/>
    <n v="0"/>
    <n v="587659.48304598429"/>
    <n v="0"/>
    <n v="0"/>
    <n v="0"/>
    <n v="0"/>
    <n v="587659.48304598429"/>
    <n v="6.6702414133670743E-2"/>
    <n v="0.1903799528668923"/>
    <n v="0.95251047382881815"/>
    <n v="4.3600000000000003"/>
  </r>
  <r>
    <s v="KHARGONE STPP1"/>
    <x v="9"/>
    <s v="Madhya Pradesh"/>
    <s v="WR"/>
    <x v="0"/>
    <x v="0"/>
    <n v="0.60232717316906204"/>
    <n v="660"/>
    <n v="4.4700574094673096"/>
    <n v="0.28220059403202707"/>
    <n v="0.85"/>
    <s v="0.15"/>
    <n v="3.957778688155932"/>
    <n v="953428.88597676402"/>
    <n v="11.85774216321013"/>
    <n v="13.464"/>
    <n v="2856530.0871173204"/>
    <s v="Contracted"/>
    <n v="0"/>
    <n v="0"/>
    <n v="2530.4386650527031"/>
    <n v="2718.1367960428233"/>
    <n v="0.33986202150530614"/>
    <n v="2901420.102190481"/>
    <n v="1034725.3958610332"/>
    <x v="0"/>
    <m/>
    <n v="0"/>
    <m/>
    <m/>
    <m/>
    <m/>
    <m/>
    <m/>
    <m/>
    <m/>
    <m/>
    <n v="0"/>
    <m/>
    <n v="0"/>
    <n v="0"/>
    <n v="2.8299999999999899"/>
  </r>
  <r>
    <s v="TANDA STPS5"/>
    <x v="10"/>
    <s v="Uttar Pradesh"/>
    <s v="NR"/>
    <x v="0"/>
    <x v="0"/>
    <n v="0.60232717316906204"/>
    <n v="660"/>
    <n v="8.6554551662340806"/>
    <n v="0.54643025039356563"/>
    <n v="0.85"/>
    <s v="0.15"/>
    <n v="7.6340851660109266"/>
    <n v="1839051.1164920323"/>
    <n v="11.85774216321013"/>
    <n v="13.464"/>
    <n v="2856530.0871173204"/>
    <s v="Contracted"/>
    <n v="0"/>
    <n v="0"/>
    <n v="2530.4386650527031"/>
    <n v="2630.7900814638019"/>
    <n v="0.33986202150530614"/>
    <n v="2857686.5259743878"/>
    <n v="1909944.6259554164"/>
    <x v="0"/>
    <n v="4351.5922565188512"/>
    <n v="2872050.8893024419"/>
    <m/>
    <n v="0"/>
    <n v="1839051.1164920323"/>
    <n v="0"/>
    <n v="0"/>
    <n v="0"/>
    <n v="0"/>
    <n v="0"/>
    <n v="0"/>
    <n v="1839051.1164920323"/>
    <n v="0.12115813368341415"/>
    <n v="1.0486787941213864"/>
    <n v="1.631273111913488"/>
    <n v="2.4057923702741499"/>
  </r>
  <r>
    <s v="IB VALLEY TPS4"/>
    <x v="11"/>
    <s v="Odisha"/>
    <s v="ER"/>
    <x v="1"/>
    <x v="0"/>
    <n v="0.67898699520876105"/>
    <n v="660"/>
    <n v="7.9312901107050102"/>
    <n v="0.50071275951420524"/>
    <n v="0.85"/>
    <s v="0.15"/>
    <n v="7.000432200022229"/>
    <n v="1686404.1169853548"/>
    <n v="11.860170363073237"/>
    <n v="13.464"/>
    <n v="2857115.0404643426"/>
    <s v="Contracted"/>
    <n v="0"/>
    <n v="0"/>
    <n v="2531.024387259411"/>
    <n v="2646.4886894914889"/>
    <n v="0.33978337163760264"/>
    <n v="3827189.2331606657"/>
    <n v="2357346.27490327"/>
    <x v="0"/>
    <n v="3249.9999999999991"/>
    <n v="2144999.9999999995"/>
    <s v="Pithead plant"/>
    <n v="0"/>
    <n v="0"/>
    <n v="0"/>
    <n v="1686404.1169853548"/>
    <n v="0"/>
    <n v="0"/>
    <n v="0"/>
    <n v="0"/>
    <n v="1686404.1169853548"/>
    <n v="0.10945422612917571"/>
    <n v="0.86811322127320123"/>
    <n v="1.4736917006032217"/>
    <n v="1.51"/>
  </r>
  <r>
    <s v="NABINAGAR STPP1"/>
    <x v="12"/>
    <s v="Bihar"/>
    <s v="ER"/>
    <x v="0"/>
    <x v="0"/>
    <n v="0.81040383299110197"/>
    <n v="660"/>
    <n v="6.1924459584723701"/>
    <n v="0.39093724485305364"/>
    <n v="0.85"/>
    <s v="0.15"/>
    <n v="5.4772551602239847"/>
    <n v="1319470.7680979578"/>
    <n v="11.864332991409993"/>
    <n v="13.464"/>
    <n v="2858117.8176306672"/>
    <s v="Contracted"/>
    <n v="0"/>
    <n v="0"/>
    <n v="2532.0284824709097"/>
    <n v="2683.781408315142"/>
    <n v="0.33964862794938189"/>
    <n v="3152265.5592279127"/>
    <n v="1536701.3491950922"/>
    <x v="0"/>
    <n v="3947.4147273821336"/>
    <n v="2605293.720072208"/>
    <m/>
    <n v="0"/>
    <n v="1319470.7680979578"/>
    <n v="0"/>
    <n v="0"/>
    <n v="0"/>
    <n v="0"/>
    <n v="0"/>
    <n v="0"/>
    <n v="1319470.7680979578"/>
    <n v="7.0000000000000007E-2"/>
    <n v="0.43347121709306596"/>
    <n v="0.9424800000000001"/>
    <n v="2.0572391480183301"/>
  </r>
  <r>
    <s v="IB VALLEY TPS3"/>
    <x v="11"/>
    <s v="Odisha"/>
    <s v="ER"/>
    <x v="1"/>
    <x v="0"/>
    <n v="0.84052019164955505"/>
    <n v="660"/>
    <n v="7.3002896737115304"/>
    <n v="0.46087687334037442"/>
    <n v="0.85"/>
    <s v="0.15"/>
    <n v="6.451300128917131"/>
    <n v="1554118.201056137"/>
    <n v="11.8652869270705"/>
    <n v="13.464"/>
    <n v="2858347.6207312834"/>
    <s v="Contracted"/>
    <n v="0"/>
    <n v="0"/>
    <n v="2532.2585876235453"/>
    <n v="2660.8914865511697"/>
    <n v="0.33961776423753243"/>
    <n v="3829055.480822661"/>
    <n v="2181608.2167322459"/>
    <x v="0"/>
    <n v="3249.9999999999991"/>
    <n v="2144999.9999999995"/>
    <s v="Pithead plant"/>
    <n v="0"/>
    <n v="0"/>
    <n v="0"/>
    <n v="1554118.201056137"/>
    <n v="0"/>
    <n v="0"/>
    <n v="0"/>
    <n v="0"/>
    <n v="1554118.201056137"/>
    <n v="0.10945422612917571"/>
    <n v="0.79904755675490824"/>
    <n v="1.4736917006032217"/>
    <n v="1.51"/>
  </r>
  <r>
    <s v="CHHABRA TPS6"/>
    <x v="13"/>
    <s v="Rajasthan"/>
    <s v="NR"/>
    <x v="1"/>
    <x v="0"/>
    <n v="1.06776180698151"/>
    <n v="660"/>
    <n v="9.6809891991582706"/>
    <n v="0.61117356055292105"/>
    <n v="0.85"/>
    <s v="0.15"/>
    <n v="8.5496209052770951"/>
    <n v="2059603.6760812523"/>
    <n v="11.872484805236139"/>
    <n v="13.464"/>
    <n v="2860081.5895813862"/>
    <s v="Contracted"/>
    <n v="0"/>
    <n v="0"/>
    <n v="2533.9948355934284"/>
    <n v="2612.943978273177"/>
    <n v="0.33938506421564951"/>
    <n v="2809835.0303206411"/>
    <n v="2083295.2721869031"/>
    <x v="0"/>
    <n v="4431.9195703193527"/>
    <n v="2925066.9164107726"/>
    <m/>
    <n v="0"/>
    <n v="0"/>
    <n v="0"/>
    <n v="0"/>
    <n v="0"/>
    <n v="0"/>
    <n v="2059603.6760812523"/>
    <n v="0"/>
    <n v="2059603.6760812523"/>
    <m/>
    <n v="0"/>
    <n v="0"/>
    <n v="2.1394704049844102"/>
  </r>
  <r>
    <s v="SHREE SINGAJI TPP4"/>
    <x v="14"/>
    <s v="Madhya Pradesh"/>
    <s v="WR"/>
    <x v="1"/>
    <x v="0"/>
    <n v="1.06776180698151"/>
    <n v="660"/>
    <n v="5.8407741598409002"/>
    <n v="0.36873574241419826"/>
    <n v="0.85"/>
    <s v="0.15"/>
    <n v="5.1765108101676045"/>
    <n v="1247021.4541693758"/>
    <n v="11.872484805236139"/>
    <n v="13.464"/>
    <n v="2860081.5895813862"/>
    <s v="Contracted"/>
    <n v="2.4167248138043805E-3"/>
    <n v="3013.7076916375527"/>
    <n v="2534.5396997363596"/>
    <n v="2693.6318028836072"/>
    <n v="0.33931210471449957"/>
    <n v="2896052.9559463691"/>
    <n v="1335186.5315735582"/>
    <x v="0"/>
    <n v="4300.9021962880979"/>
    <n v="2838595.4495501448"/>
    <m/>
    <n v="0"/>
    <n v="0"/>
    <n v="0"/>
    <n v="0"/>
    <n v="127359.74250064102"/>
    <n v="0"/>
    <n v="731583.21115771646"/>
    <n v="388078.50051101862"/>
    <n v="1247021.4541693761"/>
    <m/>
    <n v="0"/>
    <n v="0"/>
    <m/>
  </r>
  <r>
    <s v="RAIKHEDA TPP2"/>
    <x v="15"/>
    <s v="Chhatisgarh"/>
    <s v="WR"/>
    <x v="2"/>
    <x v="0"/>
    <n v="4.1752224503764497"/>
    <n v="685"/>
    <n v="3.6677102194678302"/>
    <n v="0.22309672867809185"/>
    <n v="0.85"/>
    <s v="0.15"/>
    <n v="2.2286717362325694"/>
    <n v="557223.65085154818"/>
    <n v="10.950965021115673"/>
    <n v="13.974"/>
    <n v="2738015.029404446"/>
    <s v="Not contracted"/>
    <n v="1.3611142179564709E-3"/>
    <n v="758.44503375565455"/>
    <n v="2534.900816938009"/>
    <n v="2742.1369836228182"/>
    <n v="0.33926376695038607"/>
    <n v="3115490.8351326459"/>
    <n v="884563.32551208325"/>
    <x v="0"/>
    <n v="4150.0000000000009"/>
    <n v="2842750.0000000005"/>
    <m/>
    <n v="0"/>
    <n v="0"/>
    <n v="0"/>
    <n v="0"/>
    <n v="0"/>
    <n v="0"/>
    <n v="557223.65085154818"/>
    <n v="0"/>
    <n v="557223.65085154818"/>
    <n v="9.4685661559992765E-2"/>
    <n v="0.34727956854065778"/>
    <n v="1.323137434639339"/>
    <m/>
  </r>
  <r>
    <s v="SHREE SINGAJI TPP3"/>
    <x v="14"/>
    <s v="Madhya Pradesh"/>
    <s v="WR"/>
    <x v="1"/>
    <x v="0"/>
    <n v="1.45379876796714"/>
    <n v="660"/>
    <n v="7.6966385006007103"/>
    <n v="0.48589889523994384"/>
    <n v="0.85"/>
    <s v="0.15"/>
    <n v="6.8188646251172695"/>
    <n v="1642664.4881907501"/>
    <n v="11.88471252597536"/>
    <n v="13.464"/>
    <n v="2863027.2475074641"/>
    <s v="Contracted"/>
    <n v="2.4167248138043805E-3"/>
    <n v="3969.868029365859"/>
    <n v="2537.4892294201381"/>
    <n v="2657.8505685419959"/>
    <n v="0.33891769471530936"/>
    <n v="2899423.1908494746"/>
    <n v="1736060.8634169083"/>
    <x v="0"/>
    <n v="4300.9021962880979"/>
    <n v="2838595.4495501448"/>
    <m/>
    <n v="0"/>
    <n v="0"/>
    <n v="0"/>
    <n v="0"/>
    <n v="167767.22287450355"/>
    <n v="0"/>
    <n v="963692.93175136449"/>
    <n v="511204.33356488234"/>
    <n v="1642664.4881907504"/>
    <m/>
    <n v="0"/>
    <n v="0"/>
    <m/>
  </r>
  <r>
    <s v="MEJA STPP1"/>
    <x v="16"/>
    <s v="Uttar Pradesh"/>
    <s v="NR"/>
    <x v="0"/>
    <x v="0"/>
    <n v="2.0917180013689198"/>
    <n v="660"/>
    <n v="1.53725666199158"/>
    <n v="9.7049031691387622E-2"/>
    <n v="0.85"/>
    <s v="0.15"/>
    <n v="1.4288859103251439"/>
    <n v="344218.61579732719"/>
    <n v="11.904918617693362"/>
    <n v="13.464"/>
    <n v="2867894.8950023311"/>
    <s v="Contracted"/>
    <n v="0"/>
    <n v="0"/>
    <n v="2541.8184107830248"/>
    <n v="2790.7223159179648"/>
    <n v="0.33834045593173234"/>
    <n v="2982469.5941866124"/>
    <n v="373869.82080685976"/>
    <x v="0"/>
    <n v="4188.277643991325"/>
    <n v="2764263.2450342746"/>
    <m/>
    <n v="0"/>
    <n v="0"/>
    <n v="0"/>
    <n v="0"/>
    <n v="0"/>
    <n v="0"/>
    <n v="344218.61579732719"/>
    <n v="0"/>
    <n v="344218.61579732719"/>
    <n v="6.4933199252980744E-2"/>
    <n v="9.981899313607133E-2"/>
    <n v="0.8742605947421328"/>
    <n v="3.2819118535366498"/>
  </r>
  <r>
    <s v="RAIKHEDA TPP1"/>
    <x v="15"/>
    <s v="Chhatisgarh"/>
    <s v="WR"/>
    <x v="2"/>
    <x v="1"/>
    <n v="5.2539356605065004"/>
    <n v="685"/>
    <n v="6.6439723969151903"/>
    <n v="0.40413457402160524"/>
    <n v="0.85"/>
    <s v="0.15"/>
    <n v="4.7816738307813438"/>
    <n v="1195537.9995411055"/>
    <n v="10.985133262046542"/>
    <n v="13.974"/>
    <n v="2746557.9438431864"/>
    <s v="Not contracted"/>
    <n v="1.3611142179564709E-3"/>
    <n v="1627.2637692826356"/>
    <n v="2543.142765132397"/>
    <n v="2690.5330340365863"/>
    <n v="0.33816426344245287"/>
    <n v="3125620.5072254068"/>
    <n v="1572211.3089304958"/>
    <x v="0"/>
    <n v="4150.0000000000009"/>
    <n v="2842750.0000000005"/>
    <m/>
    <n v="0"/>
    <n v="0"/>
    <n v="0"/>
    <n v="0"/>
    <n v="0"/>
    <n v="0"/>
    <n v="1195537.9995411055"/>
    <n v="0"/>
    <n v="1195537.9995411055"/>
    <n v="9.4685661559992765E-2"/>
    <n v="0.6290889217882456"/>
    <n v="1.323137434639339"/>
    <m/>
  </r>
  <r>
    <s v="SOLAPUR STPS2"/>
    <x v="17"/>
    <s v="Maharashtra"/>
    <s v="WR"/>
    <x v="0"/>
    <x v="0"/>
    <n v="1.06776180698151"/>
    <n v="660"/>
    <n v="0.51650048875855303"/>
    <n v="3.2607354088292489E-2"/>
    <n v="0.85"/>
    <s v="0.15"/>
    <n v="0.49985570487277897"/>
    <n v="120415.23930385245"/>
    <n v="11.872484805236139"/>
    <n v="13.464"/>
    <n v="2860081.5895813862"/>
    <s v="Not contracted"/>
    <n v="6.2528240989779438E-2"/>
    <n v="7529.3531020332475"/>
    <n v="2548.0921776827236"/>
    <n v="2818.2986455129321"/>
    <n v="0.33750741340217055"/>
    <n v="3226271.8042369694"/>
    <n v="136889.28775109933"/>
    <x v="0"/>
    <n v="3881.3351862889454"/>
    <n v="2561681.2229507039"/>
    <m/>
    <n v="44846.124047069323"/>
    <n v="0"/>
    <n v="0"/>
    <n v="68780.344211622651"/>
    <n v="2166.6819423758207"/>
    <n v="0"/>
    <n v="270.41457908574358"/>
    <n v="4351.6745236989309"/>
    <n v="120415.23930385248"/>
    <n v="0.09"/>
    <n v="4.6485043988269768E-2"/>
    <n v="1.2117599999999999"/>
    <n v="3.66088418655512"/>
  </r>
  <r>
    <s v="BARA TPP3"/>
    <x v="18"/>
    <s v="Uttar Pradesh"/>
    <s v="NR"/>
    <x v="2"/>
    <x v="0"/>
    <n v="3.0088980150581701"/>
    <n v="660"/>
    <n v="7.2931149691897499"/>
    <n v="0.46042392482258521"/>
    <n v="0.85"/>
    <s v="0.15"/>
    <n v="5.6239303878610425"/>
    <n v="1354804.8304357252"/>
    <n v="11.044219194626969"/>
    <n v="13.464"/>
    <n v="2660552.4039856368"/>
    <s v="Contracted"/>
    <n v="0"/>
    <n v="0"/>
    <n v="2548.8261586132785"/>
    <n v="2677.608789275967"/>
    <n v="0.33741022199328574"/>
    <n v="2752175.7686297358"/>
    <n v="1566109.1718373036"/>
    <x v="0"/>
    <n v="4551.2533987170345"/>
    <n v="3003827.2431532429"/>
    <m/>
    <n v="16401.020766954884"/>
    <n v="122853.10752548611"/>
    <n v="9836.3945596572066"/>
    <n v="0"/>
    <n v="1198493.1303152875"/>
    <n v="0"/>
    <n v="7221.1772683393365"/>
    <n v="0"/>
    <n v="1354804.8304357249"/>
    <n v="7.2032085285824013E-2"/>
    <n v="0.52533827945999578"/>
    <n v="0.9698399962883345"/>
    <n v="2.3263157894736799"/>
  </r>
  <r>
    <s v="CHHABRA TPS5"/>
    <x v="13"/>
    <s v="Rajasthan"/>
    <s v="NR"/>
    <x v="1"/>
    <x v="0"/>
    <n v="3.0910335386721401"/>
    <n v="660"/>
    <n v="7.0537783374825596"/>
    <n v="0.44531428898248482"/>
    <n v="0.85"/>
    <s v="0.15"/>
    <n v="6.3060582342374456"/>
    <n v="1519129.4286278007"/>
    <n v="11.93657193733744"/>
    <n v="13.464"/>
    <n v="2875520.1797045893"/>
    <s v="Contracted"/>
    <n v="0"/>
    <n v="0"/>
    <n v="2549.4537181204651"/>
    <n v="2683.2311592343785"/>
    <n v="0.3373271669485407"/>
    <n v="2826976.7028465467"/>
    <n v="1558765.8793630085"/>
    <x v="0"/>
    <n v="4431.9195703193527"/>
    <n v="2925066.9164107726"/>
    <m/>
    <n v="0"/>
    <n v="0"/>
    <n v="0"/>
    <n v="0"/>
    <n v="0"/>
    <n v="0"/>
    <n v="1519129.4286278007"/>
    <n v="0"/>
    <n v="1519129.4286278007"/>
    <m/>
    <n v="0"/>
    <n v="0"/>
    <n v="2.1333236151603598"/>
  </r>
  <r>
    <s v="BARA TPP1"/>
    <x v="18"/>
    <s v="Uttar Pradesh"/>
    <s v="NR"/>
    <x v="2"/>
    <x v="0"/>
    <n v="3.4223134839151199"/>
    <n v="660"/>
    <n v="8.9067400988752894"/>
    <n v="0.56229419816131876"/>
    <n v="0.85"/>
    <s v="0.15"/>
    <n v="7.0543769968808885"/>
    <n v="1699399.4185486059"/>
    <n v="11.057314129603013"/>
    <n v="13.464"/>
    <n v="2663706.9738213657"/>
    <s v="Contracted"/>
    <n v="0"/>
    <n v="0"/>
    <n v="2551.984874799452"/>
    <n v="2647.0921269602272"/>
    <n v="0.33699259289990235"/>
    <n v="2755586.4924714491"/>
    <n v="1890817.8093818873"/>
    <x v="0"/>
    <n v="4551.2533987170345"/>
    <n v="3003827.2431532429"/>
    <m/>
    <n v="20572.620150758343"/>
    <n v="154100.79356489662"/>
    <n v="12338.281367006957"/>
    <n v="0"/>
    <n v="1503329.8398687136"/>
    <n v="0"/>
    <n v="9057.8835972304078"/>
    <n v="0"/>
    <n v="1699399.4185486059"/>
    <n v="7.2032085285824013E-2"/>
    <n v="0.64157106242085349"/>
    <n v="0.9698399962883345"/>
    <n v="2.3263157894736799"/>
  </r>
  <r>
    <s v="MAUDA TPS4"/>
    <x v="19"/>
    <s v="Maharashtra"/>
    <s v="WR"/>
    <x v="0"/>
    <x v="0"/>
    <n v="3.1759069130732298"/>
    <n v="660"/>
    <n v="7.6447717225488603"/>
    <n v="0.48262447743364018"/>
    <n v="0.85"/>
    <s v="0.15"/>
    <n v="6.82785444334906"/>
    <n v="1644830.1354027886"/>
    <n v="11.939260301471595"/>
    <n v="13.464"/>
    <n v="2876167.8066245071"/>
    <s v="Contracted"/>
    <n v="2.9640974451316578E-2"/>
    <n v="48754.368020229638"/>
    <n v="2556.7849199573975"/>
    <n v="2678.2286873027865"/>
    <n v="0.33635993128993025"/>
    <n v="3001643.5859895339"/>
    <n v="1785266.2840754038"/>
    <x v="0"/>
    <n v="4186.0271478899185"/>
    <n v="2762777.9176073461"/>
    <m/>
    <n v="120177.24487691188"/>
    <n v="7442.4594781033475"/>
    <n v="16945.683767844639"/>
    <n v="387216.50716453855"/>
    <n v="235927.89943242451"/>
    <n v="0"/>
    <n v="158958.99894397723"/>
    <n v="718161.34173898841"/>
    <n v="1644830.1354027886"/>
    <n v="7.3009693702312639E-2"/>
    <n v="0.55814244188739326"/>
    <n v="0.98300251600793742"/>
    <n v="2.8954572092241402"/>
  </r>
  <r>
    <s v="LALITPUR TPS3"/>
    <x v="20"/>
    <s v="Uttar Pradesh"/>
    <s v="NR"/>
    <x v="2"/>
    <x v="0"/>
    <n v="4.0903490759753502"/>
    <n v="660"/>
    <n v="7.0142725391528504"/>
    <n v="0.44282023605762943"/>
    <n v="0.85"/>
    <s v="0.15"/>
    <n v="5.4132599473221354"/>
    <n v="1304054.3213099025"/>
    <n v="11.078474156981519"/>
    <n v="13.464"/>
    <n v="2668804.424416848"/>
    <s v="Contracted"/>
    <n v="0"/>
    <n v="0"/>
    <n v="2557.0890254579053"/>
    <n v="2691.6909286400519"/>
    <n v="0.33631992919996101"/>
    <n v="2700007.1851995457"/>
    <n v="1480651.3121993938"/>
    <x v="0"/>
    <n v="4654.2305857680822"/>
    <n v="3071792.1866069343"/>
    <m/>
    <n v="0"/>
    <n v="368431.65657863376"/>
    <n v="0"/>
    <n v="2627.2348120449087"/>
    <n v="545336.32262992626"/>
    <n v="0"/>
    <n v="263773.2727522449"/>
    <n v="123885.83453705267"/>
    <n v="1304054.3213099027"/>
    <n v="5.6784412022982754E-2"/>
    <n v="0.39830134190474886"/>
    <n v="0.76454532347743986"/>
    <n v="2.9009429824561401"/>
  </r>
  <r>
    <s v="LALITPUR TPS1"/>
    <x v="20"/>
    <s v="Uttar Pradesh"/>
    <s v="NR"/>
    <x v="2"/>
    <x v="0"/>
    <n v="4.1752224503764497"/>
    <n v="660"/>
    <n v="6.12250019775058"/>
    <n v="0.38652147713071844"/>
    <n v="0.85"/>
    <s v="0.15"/>
    <n v="4.6326467888784988"/>
    <n v="1116004.6114408304"/>
    <n v="11.081162521115674"/>
    <n v="13.464"/>
    <n v="2669452.0513367658"/>
    <s v="Contracted"/>
    <n v="0"/>
    <n v="0"/>
    <n v="2557.7375036153317"/>
    <n v="2710.9501550944578"/>
    <n v="0.33623466004013319"/>
    <n v="2700691.9074235526"/>
    <n v="1301653.2555703437"/>
    <x v="0"/>
    <n v="4654.2305857680822"/>
    <n v="3071792.1866069343"/>
    <m/>
    <n v="0"/>
    <n v="315302.37738066324"/>
    <n v="0"/>
    <n v="2248.3773242167144"/>
    <n v="466696.7018903438"/>
    <n v="0"/>
    <n v="225736.13994135841"/>
    <n v="106021.01490424821"/>
    <n v="1116004.6114408304"/>
    <n v="5.6784412022982754E-2"/>
    <n v="0.34766257383986232"/>
    <n v="0.76454532347743986"/>
    <n v="2.9009429824561401"/>
  </r>
  <r>
    <s v="LALITPUR TPS2"/>
    <x v="20"/>
    <s v="Uttar Pradesh"/>
    <s v="NR"/>
    <x v="2"/>
    <x v="0"/>
    <n v="4.33949349760438"/>
    <n v="660"/>
    <n v="5.5378738622364096"/>
    <n v="0.34961324887856121"/>
    <n v="0.85"/>
    <s v="0.15"/>
    <n v="4.1243348221587048"/>
    <n v="993552.25865803193"/>
    <n v="11.08636580653662"/>
    <n v="13.464"/>
    <n v="2670705.5227946714"/>
    <s v="Contracted"/>
    <n v="0"/>
    <n v="0"/>
    <n v="2558.9926226297057"/>
    <n v="2724.4060714120214"/>
    <n v="0.33606974572526727"/>
    <n v="2702017.1762442128"/>
    <n v="1183204.6493314961"/>
    <x v="0"/>
    <n v="4654.2305857680822"/>
    <n v="3071792.1866069343"/>
    <m/>
    <n v="0"/>
    <n v="280706.17808859696"/>
    <n v="0"/>
    <n v="2001.6766471125438"/>
    <n v="415488.93034837575"/>
    <n v="0"/>
    <n v="200967.49547470253"/>
    <n v="94387.978099244254"/>
    <n v="993552.25865803217"/>
    <n v="5.6784412022982754E-2"/>
    <n v="0.31446491112453911"/>
    <n v="0.76454532347743986"/>
    <n v="2.9009429824561401"/>
  </r>
  <r>
    <s v="BARA TPP2"/>
    <x v="18"/>
    <s v="Uttar Pradesh"/>
    <s v="NR"/>
    <x v="2"/>
    <x v="0"/>
    <n v="4.6735112936344896"/>
    <n v="660"/>
    <n v="5.3551309150464101"/>
    <n v="0.33807644665697034"/>
    <n v="0.85"/>
    <s v="0.15"/>
    <n v="3.9743998454982989"/>
    <n v="957432.92278054019"/>
    <n v="11.096945820225873"/>
    <n v="13.464"/>
    <n v="2673254.2480924129"/>
    <s v="Contracted"/>
    <n v="0"/>
    <n v="0"/>
    <n v="2561.5446979589315"/>
    <n v="2730.771881295801"/>
    <n v="0.33573491834253683"/>
    <n v="2765909.0142970327"/>
    <n v="1172782.1919495726"/>
    <x v="0"/>
    <n v="4551.2533987170345"/>
    <n v="3003827.2431532429"/>
    <m/>
    <n v="11590.508755744304"/>
    <n v="86819.597309059391"/>
    <n v="6951.3244869715563"/>
    <n v="0"/>
    <n v="846968.32703284605"/>
    <n v="0"/>
    <n v="5103.1651959189949"/>
    <n v="0"/>
    <n v="957432.92278054031"/>
    <n v="7.2032085285824013E-2"/>
    <n v="0.38574124678937582"/>
    <n v="0.9698399962883345"/>
    <n v="2.3263157894736799"/>
  </r>
  <r>
    <s v="SOLAPUR STPS1"/>
    <x v="17"/>
    <s v="Maharashtra"/>
    <s v="WR"/>
    <x v="0"/>
    <x v="0"/>
    <n v="3.0910335386721401"/>
    <n v="660"/>
    <n v="3.86223589084873"/>
    <n v="0.24382802341216731"/>
    <n v="0.85"/>
    <s v="0.15"/>
    <n v="3.5027193754779473"/>
    <n v="843805.09755263745"/>
    <n v="11.93657193733744"/>
    <n v="13.464"/>
    <n v="2875520.1797045893"/>
    <s v="Contracted"/>
    <n v="6.2528240989779438E-2"/>
    <n v="52761.648488175662"/>
    <n v="2563.5510602097602"/>
    <n v="2763.934057916772"/>
    <n v="0.33547215553788551"/>
    <n v="3245845.0980364685"/>
    <n v="1003871.6457649379"/>
    <x v="0"/>
    <n v="3881.3351862889454"/>
    <n v="2561681.2229507039"/>
    <m/>
    <n v="314257.46687183931"/>
    <n v="0"/>
    <n v="0"/>
    <n v="481975.58210005926"/>
    <n v="15182.939288428384"/>
    <n v="0"/>
    <n v="1894.9196264878506"/>
    <n v="30494.189665822694"/>
    <n v="843805.09755263757"/>
    <n v="0.09"/>
    <n v="0.34760123017638567"/>
    <n v="1.2117599999999999"/>
    <n v="3.66088418655512"/>
  </r>
  <r>
    <s v="MAUDA TPS3"/>
    <x v="19"/>
    <s v="Maharashtra"/>
    <s v="WR"/>
    <x v="0"/>
    <x v="0"/>
    <n v="4.1752224503764497"/>
    <n v="660"/>
    <n v="7.9687640367604198"/>
    <n v="0.50307853767426891"/>
    <n v="0.85"/>
    <s v="0.15"/>
    <n v="7.1440912393390796"/>
    <n v="1721011.5795567844"/>
    <n v="11.970913621115674"/>
    <n v="13.464"/>
    <n v="2883793.0913267657"/>
    <s v="Contracted"/>
    <n v="2.9640974451316578E-2"/>
    <n v="51012.460260062631"/>
    <n v="2564.4202272948378"/>
    <n v="2679.1024714016098"/>
    <n v="0.33535845289568589"/>
    <n v="3010607.3713739021"/>
    <n v="1861534.6137964954"/>
    <x v="0"/>
    <n v="4186.0271478899185"/>
    <n v="2762777.9176073461"/>
    <m/>
    <n v="125743.33700528207"/>
    <n v="7787.1621309159809"/>
    <n v="17730.534819527977"/>
    <n v="405150.70722638076"/>
    <n v="246855.06310004508"/>
    <n v="0"/>
    <n v="166321.29480674135"/>
    <n v="751423.4804678912"/>
    <n v="1721011.5795567846"/>
    <n v="7.3009693702312639E-2"/>
    <n v="0.58179702150988266"/>
    <n v="0.98300251600793742"/>
    <n v="2.8954572092241402"/>
  </r>
  <r>
    <s v="SASAN UMPTPP6"/>
    <x v="21"/>
    <s v="Madhya Pradesh"/>
    <s v="WR"/>
    <x v="2"/>
    <x v="1"/>
    <n v="5.1772758384667998"/>
    <n v="660"/>
    <n v="15.3174876476679"/>
    <n v="0.9670131090699432"/>
    <n v="0.85"/>
    <s v="0.15"/>
    <n v="12.740941052606274"/>
    <n v="3069292.6995728514"/>
    <n v="11.112902562183436"/>
    <n v="13.464"/>
    <n v="2677098.2272299896"/>
    <s v="Contracted"/>
    <n v="0"/>
    <n v="0"/>
    <n v="2565.3937296030117"/>
    <n v="2526.7125657220299"/>
    <n v="0.33523119280917663"/>
    <n v="2941499.8434465365"/>
    <n v="3295976.2734131771"/>
    <x v="0"/>
    <m/>
    <n v="0"/>
    <m/>
    <m/>
    <m/>
    <m/>
    <m/>
    <m/>
    <m/>
    <m/>
    <m/>
    <n v="0"/>
    <n v="5.9985033260734698E-2"/>
    <n v="0.9188200060162518"/>
    <n v="0.807638487822532"/>
    <n v="1.3375862509674501"/>
  </r>
  <r>
    <s v="NIGRI TPP2"/>
    <x v="22"/>
    <s v="Madhya Pradesh"/>
    <s v="WR"/>
    <x v="2"/>
    <x v="1"/>
    <n v="5.2539356605065004"/>
    <n v="660"/>
    <n v="9.4328214715255996"/>
    <n v="0.59550640603065652"/>
    <n v="0.85"/>
    <s v="0.15"/>
    <n v="7.5744850410728777"/>
    <n v="1824693.4463944561"/>
    <n v="11.115330762046543"/>
    <n v="13.464"/>
    <n v="2677683.1805770127"/>
    <s v="Contracted"/>
    <n v="0"/>
    <n v="0"/>
    <n v="2565.9794518097187"/>
    <n v="2650.1077045604775"/>
    <n v="0.33515467140372629"/>
    <n v="2812339.1163517633"/>
    <n v="2034911.6110553499"/>
    <x v="0"/>
    <n v="4483.8642343935417"/>
    <n v="2959350.3946997374"/>
    <s v="Pithead plant"/>
    <n v="74701.057396103934"/>
    <n v="0"/>
    <n v="0"/>
    <n v="0"/>
    <n v="1749992.3889983525"/>
    <n v="0"/>
    <n v="0"/>
    <n v="0"/>
    <n v="1824693.4463944563"/>
    <n v="6.0287169912146825E-2"/>
    <n v="0.56867811080481068"/>
    <n v="0.81170645569714484"/>
    <n v="0.61437499999999101"/>
  </r>
  <r>
    <s v="BARH II5"/>
    <x v="23"/>
    <s v="Bihar"/>
    <s v="ER"/>
    <x v="0"/>
    <x v="1"/>
    <n v="5.1772758384667998"/>
    <n v="660"/>
    <n v="12.5744592662268"/>
    <n v="0.79384212539310606"/>
    <n v="0.85"/>
    <s v="0.15"/>
    <n v="11.221312305415339"/>
    <n v="2703214.1343745552"/>
    <n v="12.002653662183436"/>
    <n v="13.464"/>
    <n v="2891439.26721999"/>
    <s v="Contracted"/>
    <n v="4.7535098469989852E-3"/>
    <n v="12849.755006296286"/>
    <n v="2566.4654350176729"/>
    <n v="2585.0296110159238"/>
    <n v="0.33509120686602117"/>
    <n v="2942728.6689765402"/>
    <n v="2768187.7237947024"/>
    <x v="0"/>
    <m/>
    <n v="0"/>
    <m/>
    <m/>
    <m/>
    <m/>
    <m/>
    <m/>
    <m/>
    <m/>
    <m/>
    <n v="0"/>
    <n v="7.8938602528921195E-2"/>
    <n v="0.99261024203278736"/>
    <n v="1.062829344449395"/>
    <n v="2.3142443367293999"/>
  </r>
  <r>
    <s v="KORADI TPS10"/>
    <x v="24"/>
    <s v="Maharashtra"/>
    <s v="WR"/>
    <x v="1"/>
    <x v="0"/>
    <n v="3.4223134839151199"/>
    <n v="660"/>
    <n v="8.1700420061090799"/>
    <n v="0.515785480183654"/>
    <n v="0.85"/>
    <s v="0.15"/>
    <n v="7.2970383510422447"/>
    <n v="1757856.5387660768"/>
    <n v="11.947065229603012"/>
    <n v="13.464"/>
    <n v="2878048.0138113657"/>
    <s v="Contracted"/>
    <n v="7.1458891059498833E-2"/>
    <n v="125614.47890191278"/>
    <n v="2568.0956819586058"/>
    <n v="2678.5773768317194"/>
    <n v="0.3348784883840874"/>
    <n v="3097344.8707390283"/>
    <n v="1960346.0704983198"/>
    <x v="0"/>
    <n v="4074.6339921065437"/>
    <n v="2689258.4347903188"/>
    <m/>
    <n v="0"/>
    <n v="0"/>
    <n v="0"/>
    <n v="278535.11827910878"/>
    <n v="0"/>
    <n v="0"/>
    <n v="403265.33816993143"/>
    <n v="1076056.0823170366"/>
    <n v="1757856.5387660768"/>
    <n v="8.2497496941869752E-2"/>
    <n v="0.67400801541393118"/>
    <n v="1.1107462988253345"/>
    <n v="2.1859560439560699"/>
  </r>
  <r>
    <s v="NIGRI TPP1"/>
    <x v="22"/>
    <s v="Madhya Pradesh"/>
    <s v="WR"/>
    <x v="2"/>
    <x v="1"/>
    <n v="5.7577002053388"/>
    <n v="660"/>
    <n v="9.4007889650388101"/>
    <n v="0.5934841518332582"/>
    <n v="0.85"/>
    <s v="0.15"/>
    <n v="7.5623055537057784"/>
    <n v="1821759.4078877221"/>
    <n v="11.131287504004106"/>
    <n v="13.464"/>
    <n v="2681527.1597145894"/>
    <s v="Contracted"/>
    <n v="0"/>
    <n v="0"/>
    <n v="2569.8284834537981"/>
    <n v="2654.6252352012957"/>
    <n v="0.33465268423057448"/>
    <n v="2816557.6934900517"/>
    <n v="2031458.3948549831"/>
    <x v="0"/>
    <n v="4483.8642343935417"/>
    <n v="2959350.3946997374"/>
    <s v="Pithead plant"/>
    <n v="74580.940902384391"/>
    <n v="0"/>
    <n v="0"/>
    <n v="0"/>
    <n v="1747178.4669853377"/>
    <n v="0"/>
    <n v="0"/>
    <n v="0"/>
    <n v="1821759.4078877221"/>
    <n v="6.0287169912146825E-2"/>
    <n v="0.56674696164352967"/>
    <n v="0.81170645569714484"/>
    <n v="0.61437499999999101"/>
  </r>
  <r>
    <s v="SASAN UMPTPP5"/>
    <x v="21"/>
    <s v="Madhya Pradesh"/>
    <s v="WR"/>
    <x v="2"/>
    <x v="1"/>
    <n v="5.7577002053388"/>
    <n v="660"/>
    <n v="15.597310825306799"/>
    <n v="0.98467871371886351"/>
    <n v="0.85"/>
    <s v="0.15"/>
    <n v="13.00511285158877"/>
    <n v="3132931.6859477349"/>
    <n v="11.131287504004106"/>
    <n v="13.464"/>
    <n v="2681527.1597145894"/>
    <s v="Contracted"/>
    <n v="0"/>
    <n v="0"/>
    <n v="2569.8284834537981"/>
    <n v="2525.3075794452971"/>
    <n v="0.33465268423057448"/>
    <n v="2946584.7657363531"/>
    <n v="3354321.6623496679"/>
    <x v="0"/>
    <m/>
    <n v="0"/>
    <m/>
    <m/>
    <m/>
    <m/>
    <m/>
    <m/>
    <m/>
    <m/>
    <m/>
    <n v="0"/>
    <n v="5.9985033260734698E-2"/>
    <n v="0.93560520863404573"/>
    <n v="0.807638487822532"/>
    <n v="1.3375862509674501"/>
  </r>
  <r>
    <s v="SASAN UMPTPP3"/>
    <x v="21"/>
    <s v="Madhya Pradesh"/>
    <s v="WR"/>
    <x v="2"/>
    <x v="1"/>
    <n v="6.00958247775496"/>
    <n v="660"/>
    <n v="14.7629499536607"/>
    <n v="0.93200441626645836"/>
    <n v="0.85"/>
    <s v="0.15"/>
    <n v="12.280217919823002"/>
    <n v="2958304.4968853611"/>
    <n v="11.13926587498289"/>
    <n v="13.464"/>
    <n v="2683449.1492833779"/>
    <s v="Contracted"/>
    <n v="0"/>
    <n v="0"/>
    <n v="2571.7529992758382"/>
    <n v="2544.6447009853359"/>
    <n v="0.33440225412089003"/>
    <n v="2948791.4301262735"/>
    <n v="3199197.098747191"/>
    <x v="0"/>
    <m/>
    <n v="0"/>
    <m/>
    <m/>
    <m/>
    <m/>
    <m/>
    <m/>
    <m/>
    <m/>
    <m/>
    <n v="0"/>
    <n v="5.9985033260734698E-2"/>
    <n v="0.8855560439968988"/>
    <n v="0.807638487822532"/>
    <n v="1.3375862509674501"/>
  </r>
  <r>
    <s v="SASAN UMPTPP4"/>
    <x v="21"/>
    <s v="Madhya Pradesh"/>
    <s v="WR"/>
    <x v="2"/>
    <x v="1"/>
    <n v="6.1765913757700197"/>
    <n v="660"/>
    <n v="14.4964427562798"/>
    <n v="0.91517946693685603"/>
    <n v="0.85"/>
    <s v="0.15"/>
    <n v="12.051417359160075"/>
    <n v="2903186.4418216618"/>
    <n v="11.144555881827516"/>
    <n v="13.464"/>
    <n v="2684723.5119322492"/>
    <s v="Contracted"/>
    <n v="0"/>
    <n v="0"/>
    <n v="2573.0290369404511"/>
    <n v="2551.4825823397746"/>
    <n v="0.33423641461217735"/>
    <n v="2950254.5445587202"/>
    <n v="3149885.3797164559"/>
    <x v="0"/>
    <m/>
    <n v="0"/>
    <m/>
    <m/>
    <m/>
    <m/>
    <m/>
    <m/>
    <m/>
    <m/>
    <m/>
    <n v="0"/>
    <n v="5.9985033260734698E-2"/>
    <n v="0.86956960089778035"/>
    <n v="0.807638487822532"/>
    <n v="1.3375862509674501"/>
  </r>
  <r>
    <s v="KORADI TPS9"/>
    <x v="24"/>
    <s v="Maharashtra"/>
    <s v="WR"/>
    <x v="1"/>
    <x v="0"/>
    <n v="4.1752224503764497"/>
    <n v="660"/>
    <n v="7.3356619453713998"/>
    <n v="0.46310997129869952"/>
    <n v="0.85"/>
    <s v="0.15"/>
    <n v="6.5879965847858699"/>
    <n v="1587048.377274916"/>
    <n v="11.970913621115674"/>
    <n v="13.464"/>
    <n v="2883793.0913267657"/>
    <s v="Contracted"/>
    <n v="7.1458891059498833E-2"/>
    <n v="113408.71709784261"/>
    <n v="2573.8483107744855"/>
    <n v="2701.7430118303091"/>
    <n v="0.33413002483476623"/>
    <n v="3104283.0372105134"/>
    <n v="1775364.8068279172"/>
    <x v="0"/>
    <n v="4074.6339921065437"/>
    <n v="2689258.4347903188"/>
    <m/>
    <n v="0"/>
    <n v="0"/>
    <n v="0"/>
    <n v="251470.29790567062"/>
    <n v="0"/>
    <n v="0"/>
    <n v="364080.67805297556"/>
    <n v="971497.40131626988"/>
    <n v="1587048.377274916"/>
    <n v="8.2497496941869752E-2"/>
    <n v="0.60517374890486741"/>
    <n v="1.1107462988253345"/>
    <n v="2.1859560439560699"/>
  </r>
  <r>
    <s v="SASAN UMPTPP2"/>
    <x v="21"/>
    <s v="Madhya Pradesh"/>
    <s v="WR"/>
    <x v="2"/>
    <x v="1"/>
    <n v="6.4229979466118996"/>
    <n v="660"/>
    <n v="15.2138026165102"/>
    <n v="0.96046733690089647"/>
    <n v="0.85"/>
    <s v="0.15"/>
    <n v="12.689326008462174"/>
    <n v="3056858.6354385382"/>
    <n v="11.152360809958932"/>
    <n v="13.464"/>
    <n v="2686603.7191191069"/>
    <s v="Contracted"/>
    <n v="0"/>
    <n v="0"/>
    <n v="2574.9117154620117"/>
    <n v="2538.3943953418784"/>
    <n v="0.33399203352713464"/>
    <n v="2952413.2379836426"/>
    <n v="3288800.8451141599"/>
    <x v="0"/>
    <m/>
    <n v="0"/>
    <m/>
    <m/>
    <m/>
    <m/>
    <m/>
    <m/>
    <m/>
    <m/>
    <m/>
    <n v="0"/>
    <n v="5.9985033260734698E-2"/>
    <n v="0.91260045597361694"/>
    <n v="0.807638487822532"/>
    <n v="1.3375862509674501"/>
  </r>
  <r>
    <s v="RAJPURA TPS2"/>
    <x v="25"/>
    <s v="Punjab"/>
    <s v="NR"/>
    <x v="2"/>
    <x v="1"/>
    <n v="5.8425735797399003"/>
    <n v="700"/>
    <n v="12.553751259890999"/>
    <n v="0.74724709880303575"/>
    <n v="0.85"/>
    <s v="0.15"/>
    <n v="9.4960279279145379"/>
    <n v="2426235.1355821644"/>
    <n v="10.925659868138261"/>
    <n v="14.28"/>
    <n v="2791506.0963093261"/>
    <s v="capacity not mentioned"/>
    <n v="0.18617211707693215"/>
    <n v="451697.33171776909"/>
    <n v="2575.4208159700752"/>
    <n v="2609.3879658222372"/>
    <n v="0.33392601110745729"/>
    <n v="3190288.7703241459"/>
    <n v="2841618.4284373461"/>
    <x v="0"/>
    <n v="4207.6468129984778"/>
    <n v="2945352.7690989343"/>
    <m/>
    <n v="70887.11696230511"/>
    <n v="47379.575574605435"/>
    <n v="0"/>
    <n v="0"/>
    <n v="0"/>
    <n v="0"/>
    <n v="2307968.4430452539"/>
    <n v="0"/>
    <n v="2426235.1355821644"/>
    <n v="5.271272326947618E-2"/>
    <n v="0.66174241615647222"/>
    <n v="0.75273768828811982"/>
    <n v="2.2599999999999998"/>
  </r>
  <r>
    <s v="BARH II4"/>
    <x v="23"/>
    <s v="Bihar"/>
    <s v="ER"/>
    <x v="0"/>
    <x v="1"/>
    <n v="6.5051334702258696"/>
    <n v="660"/>
    <n v="12.1776629759299"/>
    <n v="0.76879185454102905"/>
    <n v="0.85"/>
    <s v="0.15"/>
    <n v="10.914840262455105"/>
    <n v="2629385.0192254349"/>
    <n v="12.044713552669405"/>
    <n v="13.464"/>
    <n v="2901571.4948380599"/>
    <s v="Contracted"/>
    <n v="4.7535098469989852E-3"/>
    <n v="12498.807580439719"/>
    <n v="2576.6109803838604"/>
    <n v="2603.456054478007"/>
    <n v="0.33377176707982448"/>
    <n v="2954361.6279886207"/>
    <n v="2699944.889754605"/>
    <x v="0"/>
    <m/>
    <n v="0"/>
    <m/>
    <m/>
    <m/>
    <m/>
    <m/>
    <m/>
    <m/>
    <m/>
    <m/>
    <n v="0"/>
    <n v="7.8938602528921195E-2"/>
    <n v="0.96128769738809006"/>
    <n v="1.062829344449395"/>
    <n v="2.3142443367293999"/>
  </r>
  <r>
    <s v="RAJPURA TPS1"/>
    <x v="25"/>
    <s v="Punjab"/>
    <s v="NR"/>
    <x v="2"/>
    <x v="1"/>
    <n v="6.3381245722108099"/>
    <n v="700"/>
    <n v="12.5968725721872"/>
    <n v="0.74981384358257142"/>
    <n v="0.85"/>
    <s v="0.15"/>
    <n v="9.5474363957421673"/>
    <n v="2439369.9991121236"/>
    <n v="10.941356445824779"/>
    <n v="14.28"/>
    <n v="2795516.5719082314"/>
    <s v="capacity not mentioned"/>
    <n v="0.18617211707693215"/>
    <n v="454142.67706865817"/>
    <n v="2579.2070916634352"/>
    <n v="2612.3257496137326"/>
    <n v="0.33343580776421916"/>
    <n v="3194978.9991018958"/>
    <n v="2854589.4314116994"/>
    <x v="0"/>
    <n v="4207.6468129984778"/>
    <n v="2945352.7690989343"/>
    <m/>
    <n v="71270.877214424589"/>
    <n v="47636.073491956107"/>
    <n v="0"/>
    <n v="0"/>
    <n v="0"/>
    <n v="0"/>
    <n v="2320463.0484057427"/>
    <n v="0"/>
    <n v="2439369.9991121236"/>
    <n v="5.271272326947618E-2"/>
    <n v="0.66401545795855854"/>
    <n v="0.75273768828811982"/>
    <n v="2.2599999999999998"/>
  </r>
  <r>
    <s v="TIRORA TPS5"/>
    <x v="26"/>
    <s v="Maharashtra"/>
    <s v="WR"/>
    <x v="2"/>
    <x v="1"/>
    <n v="5.6728268309377103"/>
    <n v="660"/>
    <n v="11.562372339807499"/>
    <n v="0.72994774872522095"/>
    <n v="0.85"/>
    <s v="0.15"/>
    <n v="9.458276152208569"/>
    <n v="2278498.7250670441"/>
    <n v="11.128599139869953"/>
    <n v="13.464"/>
    <n v="2680879.5327946721"/>
    <s v="Contracted"/>
    <n v="4.5121823647374507E-2"/>
    <n v="102810.01765324283"/>
    <n v="2579.3529731198846"/>
    <n v="2619.0387898864901"/>
    <n v="0.33341694950721601"/>
    <n v="2981136.2032103208"/>
    <n v="2599476.0450966447"/>
    <x v="0"/>
    <n v="4252.0261447065277"/>
    <n v="2806337.2555063083"/>
    <m/>
    <n v="0"/>
    <n v="0"/>
    <n v="0"/>
    <n v="125485.87598117297"/>
    <n v="0"/>
    <n v="0"/>
    <n v="1605633.9729529193"/>
    <n v="547378.87613295205"/>
    <n v="2278498.7250670446"/>
    <n v="5.508216674000762E-2"/>
    <n v="0.63688052113132876"/>
    <n v="0.74162629298746263"/>
    <n v="2.3944739905986698"/>
  </r>
  <r>
    <s v="SASAN UMPTPP1"/>
    <x v="21"/>
    <s v="Madhya Pradesh"/>
    <s v="WR"/>
    <x v="2"/>
    <x v="1"/>
    <n v="7.0088980150581701"/>
    <n v="660"/>
    <n v="15.159753460494001"/>
    <n v="0.95705514270795466"/>
    <n v="0.85"/>
    <s v="0.15"/>
    <n v="12.660409511665552"/>
    <n v="3049892.6513602319"/>
    <n v="11.170919194626968"/>
    <n v="13.464"/>
    <n v="2691074.433985637"/>
    <s v="Contracted"/>
    <n v="0"/>
    <n v="0"/>
    <n v="2579.3883066132785"/>
    <n v="2543.998959622139"/>
    <n v="0.33341238222839542"/>
    <n v="2957546.1312384582"/>
    <n v="3284352.5236918046"/>
    <x v="0"/>
    <m/>
    <n v="0"/>
    <m/>
    <m/>
    <m/>
    <m/>
    <m/>
    <m/>
    <m/>
    <m/>
    <m/>
    <n v="0"/>
    <n v="5.9985033260734698E-2"/>
    <n v="0.90935831555227054"/>
    <n v="0.807638487822532"/>
    <n v="1.3375862509674501"/>
  </r>
  <r>
    <s v="KORADI TPS8"/>
    <x v="24"/>
    <s v="Maharashtra"/>
    <s v="WR"/>
    <x v="1"/>
    <x v="1"/>
    <n v="5.1772758384667998"/>
    <n v="660"/>
    <n v="7.4267589461921304"/>
    <n v="0.46886104458283651"/>
    <n v="0.85"/>
    <s v="0.15"/>
    <n v="6.6997530337778146"/>
    <n v="1613970.5058370756"/>
    <n v="12.002653662183436"/>
    <n v="13.464"/>
    <n v="2891439.26721999"/>
    <s v="Contracted"/>
    <n v="7.1458891059498833E-2"/>
    <n v="115332.54254985579"/>
    <n v="2581.5045367621656"/>
    <n v="2707.498098621164"/>
    <n v="0.33313906202878463"/>
    <n v="3113517.1060416531"/>
    <n v="1801240.689129509"/>
    <x v="0"/>
    <n v="4074.6339921065437"/>
    <n v="2689258.4347903188"/>
    <m/>
    <n v="0"/>
    <n v="0"/>
    <n v="0"/>
    <n v="255736.1512890475"/>
    <n v="0"/>
    <n v="0"/>
    <n v="370256.81418209022"/>
    <n v="987977.54036593786"/>
    <n v="1613970.5058370756"/>
    <n v="8.2497496941869752E-2"/>
    <n v="0.61268902345148912"/>
    <n v="1.1107462988253345"/>
    <n v="2.1859560439560699"/>
  </r>
  <r>
    <s v="TIRORA TPS4"/>
    <x v="26"/>
    <s v="Maharashtra"/>
    <s v="WR"/>
    <x v="2"/>
    <x v="1"/>
    <n v="6.1765913757700197"/>
    <n v="660"/>
    <n v="11.0752459739358"/>
    <n v="0.69919482158685609"/>
    <n v="0.85"/>
    <s v="0.15"/>
    <n v="9.0463581930119208"/>
    <n v="2179267.6886965716"/>
    <n v="11.144555881827516"/>
    <n v="13.464"/>
    <n v="2684723.5119322492"/>
    <s v="Contracted"/>
    <n v="4.5121823647374507E-2"/>
    <n v="98332.53232978817"/>
    <n v="2583.2020047639639"/>
    <n v="2633.0538535582114"/>
    <n v="0.33292015042338169"/>
    <n v="2985584.7946598222"/>
    <n v="2503283.636057734"/>
    <x v="0"/>
    <n v="4252.0261447065277"/>
    <n v="2806337.2555063083"/>
    <m/>
    <n v="0"/>
    <n v="0"/>
    <n v="0"/>
    <n v="120020.83297435629"/>
    <n v="0"/>
    <n v="0"/>
    <n v="1535706.9102712981"/>
    <n v="523539.94545091753"/>
    <n v="2179267.6886965721"/>
    <n v="5.508216674000762E-2"/>
    <n v="0.61004854542292986"/>
    <n v="0.74162629298746263"/>
    <n v="2.3944739905986698"/>
  </r>
  <r>
    <s v="SIPAT STPS3"/>
    <x v="27"/>
    <s v="Chhatisgarh"/>
    <s v="WR"/>
    <x v="0"/>
    <x v="1"/>
    <n v="7.7563312799452397"/>
    <n v="660"/>
    <n v="13.421149081872199"/>
    <n v="0.84729476526970959"/>
    <n v="0.85"/>
    <s v="0.15"/>
    <n v="12.046706500919313"/>
    <n v="2902051.5960714626"/>
    <n v="12.084345243292265"/>
    <n v="13.464"/>
    <n v="2911118.7691091066"/>
    <s v="Contracted"/>
    <n v="2.9815102260802168E-3"/>
    <n v="8652.4965102994793"/>
    <n v="2585.7712963056056"/>
    <n v="2586.6655689966797"/>
    <n v="0.33258935205472978"/>
    <n v="3025953.3306646324"/>
    <n v="3017366.0197836356"/>
    <x v="0"/>
    <n v="4199.473567201816"/>
    <n v="2771652.5543531985"/>
    <s v="Pithead plant"/>
    <n v="0"/>
    <n v="0"/>
    <n v="0"/>
    <n v="0"/>
    <n v="2299.9139454066594"/>
    <n v="0"/>
    <n v="2899751.6821260559"/>
    <n v="0"/>
    <n v="2902051.5960714626"/>
    <n v="5.4595359838897593E-2"/>
    <n v="0.73273246357630284"/>
    <n v="0.73507192487091721"/>
    <n v="1.3472208353353701"/>
  </r>
  <r>
    <s v="MAHATMA GANDHI TPS2"/>
    <x v="28"/>
    <s v="Haryana"/>
    <s v="NR"/>
    <x v="2"/>
    <x v="1"/>
    <n v="8.0903490759753591"/>
    <n v="660"/>
    <n v="9.2948723239225206"/>
    <n v="0.58679749519712876"/>
    <n v="0.85"/>
    <s v="0.15"/>
    <n v="7.5431587469077304"/>
    <n v="1817146.9421300723"/>
    <n v="11.205174156981521"/>
    <n v="13.464"/>
    <n v="2699326.4544168483"/>
    <s v="Contracted"/>
    <n v="0"/>
    <n v="0"/>
    <n v="2587.6511734579053"/>
    <n v="2674.6583413135963"/>
    <n v="0.33234773250011629"/>
    <n v="2820889.4510656171"/>
    <n v="2012880.416946549"/>
    <x v="0"/>
    <n v="4508.0282802258562"/>
    <n v="2975298.6649490651"/>
    <m/>
    <n v="397982.80396201625"/>
    <n v="969437.16239596938"/>
    <n v="223727.33237701005"/>
    <n v="0"/>
    <n v="225999.64339507642"/>
    <n v="0"/>
    <n v="0"/>
    <n v="0"/>
    <n v="1817146.942130072"/>
    <n v="6.2602876632131307E-2"/>
    <n v="0.58188574540593319"/>
    <n v="0.84288513097501594"/>
    <n v="3.3316093229744701"/>
  </r>
  <r>
    <s v="SIPAT STPS2"/>
    <x v="27"/>
    <s v="Chhatisgarh"/>
    <s v="WR"/>
    <x v="0"/>
    <x v="1"/>
    <n v="8.00821355236139"/>
    <n v="660"/>
    <n v="14.0907449511803"/>
    <n v="0.88956723176643315"/>
    <n v="0.85"/>
    <s v="0.15"/>
    <n v="12.642834380006962"/>
    <n v="3045658.8021436771"/>
    <n v="12.092323614271047"/>
    <n v="13.464"/>
    <n v="2913040.7586778952"/>
    <s v="Contracted"/>
    <n v="2.9815102260802168E-3"/>
    <n v="9080.6628637425965"/>
    <n v="2587.6958121276457"/>
    <n v="2574.6160248419378"/>
    <n v="0.33234199938395925"/>
    <n v="3028205.4614195595"/>
    <n v="3153148.5716116629"/>
    <x v="0"/>
    <n v="4199.473567201816"/>
    <n v="2771652.5543531985"/>
    <s v="Pithead plant"/>
    <n v="0"/>
    <n v="0"/>
    <n v="0"/>
    <n v="0"/>
    <n v="2413.7245393855819"/>
    <n v="0"/>
    <n v="3043245.0776042915"/>
    <n v="0"/>
    <n v="3045658.8021436771"/>
    <n v="5.4595359838897593E-2"/>
    <n v="0.76928929100781795"/>
    <n v="0.73507192487091721"/>
    <n v="1.3472208353353701"/>
  </r>
  <r>
    <s v="TIRORA TPS3"/>
    <x v="26"/>
    <s v="Maharashtra"/>
    <s v="WR"/>
    <x v="2"/>
    <x v="1"/>
    <n v="6.9240246406570796"/>
    <n v="660"/>
    <n v="12.1061020507795"/>
    <n v="0.76427411936739265"/>
    <n v="0.85"/>
    <s v="0.15"/>
    <n v="9.9755009354871582"/>
    <n v="2403098.1753588561"/>
    <n v="11.168230830492814"/>
    <n v="13.464"/>
    <n v="2690426.8070657193"/>
    <s v="Contracted"/>
    <n v="4.5121823647374507E-2"/>
    <n v="108432.17207586979"/>
    <n v="2588.912796279365"/>
    <n v="2617.2513035111429"/>
    <n v="0.33218577359420604"/>
    <n v="2992185.1504517463"/>
    <n v="2719860.8986646705"/>
    <x v="0"/>
    <n v="4252.0261447065277"/>
    <n v="2806337.2555063083"/>
    <m/>
    <n v="0"/>
    <n v="0"/>
    <n v="0"/>
    <n v="132348.05720367096"/>
    <n v="0"/>
    <n v="0"/>
    <n v="1693437.8888378867"/>
    <n v="577312.22931729886"/>
    <n v="2403098.1753588566"/>
    <n v="5.508216674000762E-2"/>
    <n v="0.66683033173258455"/>
    <n v="0.74162629298746263"/>
    <n v="1.8199999999999601"/>
  </r>
  <r>
    <s v="MAHATMA GANDHI TPS1"/>
    <x v="28"/>
    <s v="Haryana"/>
    <s v="NR"/>
    <x v="2"/>
    <x v="1"/>
    <n v="8.33949349760438"/>
    <n v="660"/>
    <n v="9.7315668811907408"/>
    <n v="0.61436659603476895"/>
    <n v="0.85"/>
    <s v="0.15"/>
    <n v="7.9346275671471709"/>
    <n v="1911451.7809257535"/>
    <n v="11.213065806536619"/>
    <n v="13.464"/>
    <n v="2701227.5527946716"/>
    <s v="Contracted"/>
    <n v="0"/>
    <n v="0"/>
    <n v="2589.5547706297057"/>
    <n v="2667.4483877385769"/>
    <n v="0.33210342169780505"/>
    <n v="2822964.6292179464"/>
    <n v="2101769.2286808747"/>
    <x v="0"/>
    <n v="4508.0282802258562"/>
    <n v="2975298.6649490651"/>
    <m/>
    <n v="418636.997247616"/>
    <n v="1019748.2369726506"/>
    <n v="235338.15455370749"/>
    <n v="0"/>
    <n v="237728.39215177906"/>
    <n v="0"/>
    <n v="0"/>
    <n v="0"/>
    <n v="1911451.7809257531"/>
    <n v="6.2602876632131307E-2"/>
    <n v="0.60922408090051872"/>
    <n v="0.84288513097501594"/>
    <n v="3.3316093229744701"/>
  </r>
  <r>
    <s v="TIRORA TPS2"/>
    <x v="26"/>
    <s v="Maharashtra"/>
    <s v="WR"/>
    <x v="2"/>
    <x v="1"/>
    <n v="7.1759069130732298"/>
    <n v="660"/>
    <n v="10.8651856330667"/>
    <n v="0.68593343643097848"/>
    <n v="0.85"/>
    <s v="0.15"/>
    <n v="8.8935018825667278"/>
    <n v="2142444.6035103248"/>
    <n v="11.176209201471595"/>
    <n v="13.464"/>
    <n v="2692348.7966345069"/>
    <s v="Contracted"/>
    <n v="4.5121823647374507E-2"/>
    <n v="96671.007573862065"/>
    <n v="2590.8373121014042"/>
    <n v="2645.0729929002923"/>
    <n v="0.33193902063362751"/>
    <n v="2994409.4461764968"/>
    <n v="2467014.7730812328"/>
    <x v="0"/>
    <n v="4252.0261447065277"/>
    <n v="2806337.2555063083"/>
    <m/>
    <n v="0"/>
    <n v="0"/>
    <n v="0"/>
    <n v="117992.84101189002"/>
    <n v="0"/>
    <n v="0"/>
    <n v="1509758.0712776585"/>
    <n v="514693.69122077624"/>
    <n v="2142444.6035103248"/>
    <n v="5.508216674000762E-2"/>
    <n v="0.59847796670171516"/>
    <n v="0.74162629298746263"/>
    <n v="1.8199999999999601"/>
  </r>
  <r>
    <s v="SIPAT STPS1"/>
    <x v="27"/>
    <s v="Chhatisgarh"/>
    <s v="WR"/>
    <x v="0"/>
    <x v="1"/>
    <n v="8.5913757700205302"/>
    <n v="660"/>
    <n v="14.174446174762"/>
    <n v="0.89485139992184348"/>
    <n v="0.85"/>
    <s v="0.15"/>
    <n v="12.734826260047985"/>
    <n v="3067819.6460455596"/>
    <n v="12.1107952775154"/>
    <n v="13.464"/>
    <n v="2917490.5823534601"/>
    <s v="Contracted"/>
    <n v="2.9815102260802168E-3"/>
    <n v="9146.7356464546265"/>
    <n v="2592.1514846286718"/>
    <n v="2577.3249035348281"/>
    <n v="0.33177073373209737"/>
    <n v="3033419.6337108579"/>
    <n v="3175216.0539719965"/>
    <x v="0"/>
    <n v="4199.473567201816"/>
    <n v="2771652.5543531985"/>
    <s v="Pithead plant"/>
    <n v="0"/>
    <n v="0"/>
    <n v="0"/>
    <n v="0"/>
    <n v="2431.2872987799756"/>
    <n v="0"/>
    <n v="3065388.3587467796"/>
    <n v="0"/>
    <n v="3067819.6460455596"/>
    <n v="5.4595359838897593E-2"/>
    <n v="0.77385898942821696"/>
    <n v="0.73507192487091721"/>
    <n v="1.3472208353353701"/>
  </r>
  <r>
    <s v="TALWANDI SABO TPS3"/>
    <x v="29"/>
    <s v="Punjab"/>
    <s v="NR"/>
    <x v="2"/>
    <x v="0"/>
    <n v="4.1752224503764497"/>
    <n v="660"/>
    <n v="8.9884295209845106"/>
    <n v="0.56745135864801211"/>
    <n v="0.85"/>
    <s v="0.15"/>
    <n v="7.1499785093930601"/>
    <n v="1722429.8229127883"/>
    <n v="11.081162521115674"/>
    <n v="13.464"/>
    <n v="2669452.0513367658"/>
    <s v="Contracted"/>
    <n v="0.15771750712608484"/>
    <n v="271657.33786942874"/>
    <n v="2593.2957988149474"/>
    <n v="2686.6982422450437"/>
    <n v="0.33162433702819105"/>
    <n v="3774356.5054768198"/>
    <n v="2610474.5771597126"/>
    <x v="0"/>
    <n v="3376.5727014317126"/>
    <n v="2228537.9829449304"/>
    <m/>
    <n v="0"/>
    <n v="0"/>
    <n v="0"/>
    <n v="1722429.8229127883"/>
    <n v="0"/>
    <n v="0"/>
    <n v="0"/>
    <n v="0"/>
    <n v="1722429.8229127883"/>
    <n v="7.1090892196094782E-2"/>
    <n v="0.63899547408850565"/>
    <n v="0.95716777252822016"/>
    <n v="2.85"/>
  </r>
  <r>
    <s v="MAHAN TPP2"/>
    <x v="30"/>
    <s v="Madhya Pradesh"/>
    <s v="WR"/>
    <x v="2"/>
    <x v="0"/>
    <n v="1.67008898015058"/>
    <n v="600"/>
    <n v="4.7245915293662799"/>
    <n v="0.32809663398376948"/>
    <n v="0.85"/>
    <s v="0.15"/>
    <n v="4.0528883160526501"/>
    <n v="887582.54121553036"/>
    <n v="11.314286418446271"/>
    <n v="12.24"/>
    <n v="2477828.7256397335"/>
    <s v="Not contracted"/>
    <n v="0"/>
    <n v="0"/>
    <n v="2594.141476646133"/>
    <n v="2766.6676986341572"/>
    <n v="0.33151622906544842"/>
    <n v="2306250.5717220278"/>
    <n v="949407.55313131947"/>
    <x v="0"/>
    <n v="5025.2936966908019"/>
    <n v="3015176.218014481"/>
    <m/>
    <n v="0"/>
    <n v="13594.430575639004"/>
    <n v="0"/>
    <n v="0"/>
    <n v="873988.11063989135"/>
    <n v="0"/>
    <n v="0"/>
    <n v="0"/>
    <n v="887582.54121553036"/>
    <n v="9.2920955405355318E-2"/>
    <n v="0.43901355880876358"/>
    <n v="1.1373524941615492"/>
    <m/>
  </r>
  <r>
    <s v="TIRORA TPS1"/>
    <x v="26"/>
    <s v="Maharashtra"/>
    <s v="WR"/>
    <x v="2"/>
    <x v="1"/>
    <n v="7.6714579055441403"/>
    <n v="660"/>
    <n v="12.018567155746201"/>
    <n v="0.75874792649912881"/>
    <n v="0.85"/>
    <s v="0.15"/>
    <n v="9.9222883049184389"/>
    <n v="2390279.2526548519"/>
    <n v="11.191905779158111"/>
    <n v="13.464"/>
    <n v="2696130.1021991889"/>
    <s v="Contracted"/>
    <n v="4.5121823647374507E-2"/>
    <n v="107853.75890627036"/>
    <n v="2594.6235877947652"/>
    <n v="2624.7888952344365"/>
    <n v="0.3314546295059837"/>
    <n v="2998785.5062436694"/>
    <n v="2707971.0224503754"/>
    <x v="0"/>
    <n v="4252.0261447065277"/>
    <n v="2806337.2555063083"/>
    <m/>
    <n v="0"/>
    <n v="0"/>
    <n v="0"/>
    <n v="131642.06877060758"/>
    <n v="0"/>
    <n v="0"/>
    <n v="1684404.529475528"/>
    <n v="574232.65440871648"/>
    <n v="2390279.2526548523"/>
    <n v="5.508216674000762E-2"/>
    <n v="0.66200872004879141"/>
    <n v="0.74162629298746263"/>
    <n v="2.3944739905986698"/>
  </r>
  <r>
    <s v="TALWANDI SABO TPS2"/>
    <x v="29"/>
    <s v="Punjab"/>
    <s v="NR"/>
    <x v="2"/>
    <x v="0"/>
    <n v="4.5913757700205302"/>
    <n v="660"/>
    <n v="9.1095079596889494"/>
    <n v="0.57509519947531251"/>
    <n v="0.85"/>
    <s v="0.15"/>
    <n v="7.2695112163752675"/>
    <n v="1751225.2520248021"/>
    <n v="11.094344177515401"/>
    <n v="13.464"/>
    <n v="2672627.5123634599"/>
    <s v="Contracted"/>
    <n v="0.15771750712608484"/>
    <n v="276198.88116560143"/>
    <n v="2596.4754336513606"/>
    <n v="2687.3510434465675"/>
    <n v="0.33121823101195408"/>
    <n v="3778984.2365036244"/>
    <n v="2646281.7413310329"/>
    <x v="0"/>
    <n v="3376.5727014317126"/>
    <n v="2228537.9829449304"/>
    <m/>
    <n v="0"/>
    <n v="0"/>
    <n v="0"/>
    <n v="1751225.2520248021"/>
    <n v="0"/>
    <n v="0"/>
    <n v="0"/>
    <n v="0"/>
    <n v="1751225.2520248021"/>
    <n v="7.1090892196094782E-2"/>
    <n v="0.64760304832171445"/>
    <n v="0.95716777252822016"/>
    <n v="2.85"/>
  </r>
  <r>
    <s v="RAYALSEEMA TPS6"/>
    <x v="31"/>
    <s v="Andhra Pradesh"/>
    <s v="SR"/>
    <x v="1"/>
    <x v="0"/>
    <n v="2.1163586584531102"/>
    <n v="600"/>
    <n v="4.7878847650387497"/>
    <n v="0.33249199757213538"/>
    <n v="0.85"/>
    <s v="0.15"/>
    <n v="5.0179290203268945"/>
    <n v="1098926.4554515898"/>
    <n v="12.218173110506502"/>
    <n v="12.24"/>
    <n v="2675779.9112009243"/>
    <s v="Contracted"/>
    <n v="0"/>
    <n v="0"/>
    <n v="2597.5512166351809"/>
    <n v="2768.624458007363"/>
    <n v="0.33108105607019672"/>
    <n v="3131467.5788996727"/>
    <n v="1305599.9441140855"/>
    <x v="0"/>
    <n v="3705.8725734969948"/>
    <n v="2223523.544098197"/>
    <m/>
    <n v="0"/>
    <n v="0"/>
    <n v="0"/>
    <n v="1098926.4554515898"/>
    <n v="0"/>
    <n v="0"/>
    <n v="0"/>
    <n v="0"/>
    <n v="1098926.4554515898"/>
    <n v="0.10362859790133408"/>
    <n v="0.49616178511412401"/>
    <n v="1.2684140383123292"/>
    <n v="3.3901125703564698"/>
  </r>
  <r>
    <s v="TALWANDI SABO TPS1"/>
    <x v="29"/>
    <s v="Punjab"/>
    <s v="NR"/>
    <x v="2"/>
    <x v="1"/>
    <n v="5.9247091033538597"/>
    <n v="660"/>
    <n v="9.5504584766483909"/>
    <n v="0.60293298463689338"/>
    <n v="0.85"/>
    <s v="0.15"/>
    <n v="7.6990600059972216"/>
    <n v="1854703.5554447309"/>
    <n v="11.136577510848735"/>
    <n v="13.464"/>
    <n v="2682801.5223634602"/>
    <s v="Contracted"/>
    <n v="0.15771750712608484"/>
    <n v="292519.22122262919"/>
    <n v="2606.6628163180276"/>
    <n v="2688.3360560670285"/>
    <n v="0.32992376099290438"/>
    <n v="3793811.2431487162"/>
    <n v="2775393.3094075858"/>
    <x v="0"/>
    <n v="3376.5727014317126"/>
    <n v="2228537.9829449304"/>
    <m/>
    <n v="0"/>
    <n v="0"/>
    <n v="0"/>
    <n v="1854703.5554447309"/>
    <n v="0"/>
    <n v="0"/>
    <n v="0"/>
    <n v="0"/>
    <n v="1854703.5554447309"/>
    <n v="7.1090892196094782E-2"/>
    <n v="0.67895061398669032"/>
    <n v="0.95716777252822016"/>
    <n v="2.85"/>
  </r>
  <r>
    <s v="SINGARENI TPP2"/>
    <x v="32"/>
    <s v="Telangana"/>
    <s v="SR"/>
    <x v="1"/>
    <x v="0"/>
    <n v="3.4250513347022502"/>
    <n v="600"/>
    <n v="12.4542142300969"/>
    <n v="0.86487598820117362"/>
    <n v="0.85"/>
    <s v="0.15"/>
    <n v="12.466600037666083"/>
    <n v="2730185.4082488725"/>
    <n v="12.259625951026694"/>
    <n v="12.24"/>
    <n v="2684858.0832748455"/>
    <s v="Contracted"/>
    <n v="0"/>
    <n v="0"/>
    <n v="2607.5503314496918"/>
    <n v="2602.6327581788437"/>
    <n v="0.32981146696481023"/>
    <n v="2718033.5652787318"/>
    <n v="2760386.6694841259"/>
    <x v="0"/>
    <m/>
    <n v="0"/>
    <m/>
    <m/>
    <m/>
    <m/>
    <m/>
    <m/>
    <m/>
    <m/>
    <m/>
    <n v="0"/>
    <n v="5.8057563443709923E-2"/>
    <n v="0.72306133280540574"/>
    <n v="0.71062457655100941"/>
    <n v="2.3885855263157798"/>
  </r>
  <r>
    <s v="KAWAI TPS2"/>
    <x v="33"/>
    <s v="Rajasthan"/>
    <s v="NR"/>
    <x v="2"/>
    <x v="1"/>
    <n v="6.4229979466118996"/>
    <n v="660"/>
    <n v="9.4914593964278406"/>
    <n v="0.59920829522903041"/>
    <n v="0.85"/>
    <s v="0.15"/>
    <n v="7.6630205839690007"/>
    <n v="1846021.6586781323"/>
    <n v="11.152360809958932"/>
    <n v="13.464"/>
    <n v="2686603.7191191069"/>
    <s v="Contracted"/>
    <n v="0.14544979256246485"/>
    <n v="268503.46732055163"/>
    <n v="2607.7041857140575"/>
    <n v="2690.6087005102427"/>
    <n v="0.32979200812400028"/>
    <n v="2870272.8909108532"/>
    <n v="2087729.8395919565"/>
    <x v="0"/>
    <n v="4464.8009541834754"/>
    <n v="2946768.6297610938"/>
    <m/>
    <n v="0"/>
    <n v="0"/>
    <n v="0"/>
    <n v="312978.54790632654"/>
    <n v="1145931.4429839186"/>
    <n v="0"/>
    <n v="387111.66778788716"/>
    <n v="0"/>
    <n v="1846021.6586781323"/>
    <n v="5.4957824315639968E-2"/>
    <n v="0.52162995800791145"/>
    <n v="0.73995214658577657"/>
    <n v="2.3595170142700299"/>
  </r>
  <r>
    <s v="AKALTARA TPS2"/>
    <x v="34"/>
    <s v="Chhatisgarh"/>
    <s v="WR"/>
    <x v="2"/>
    <x v="0"/>
    <n v="2.3381245722108099"/>
    <n v="600"/>
    <n v="9.1471877322380895"/>
    <n v="0.6352213702943118"/>
    <n v="0.85"/>
    <s v="0.15"/>
    <n v="8.3471669371406279"/>
    <n v="1828029.5592337975"/>
    <n v="11.335446445824777"/>
    <n v="12.24"/>
    <n v="2482462.7716356264"/>
    <s v="Contracted"/>
    <n v="4.3831710939856224E-2"/>
    <n v="80125.663229848593"/>
    <n v="2609.1277319935575"/>
    <n v="2680.1273613497228"/>
    <n v="0.32961207282209193"/>
    <n v="2724294.2552560051"/>
    <n v="2091318.9888804336"/>
    <x v="0"/>
    <n v="4278.737156592154"/>
    <n v="2567242.2939552926"/>
    <m/>
    <n v="1042.1756534246188"/>
    <n v="0"/>
    <n v="0"/>
    <n v="301328.23716136324"/>
    <n v="0"/>
    <n v="0"/>
    <n v="1525659.1464190094"/>
    <n v="0"/>
    <n v="1828029.5592337972"/>
    <n v="8.0030636155213206E-2"/>
    <n v="0.73205525324217635"/>
    <n v="0.97957498653980968"/>
    <n v="2.4868647268903099"/>
  </r>
  <r>
    <s v="KAWAI TPS1"/>
    <x v="33"/>
    <s v="Rajasthan"/>
    <s v="NR"/>
    <x v="2"/>
    <x v="1"/>
    <n v="7.0088980150581701"/>
    <n v="660"/>
    <n v="9.4372354492646107"/>
    <n v="0.59578506624145267"/>
    <n v="0.85"/>
    <s v="0.15"/>
    <n v="7.6339505567641712"/>
    <n v="1839018.689124489"/>
    <n v="11.170919194626968"/>
    <n v="13.464"/>
    <n v="2691074.433985637"/>
    <s v="Contracted"/>
    <n v="0.14544979256246485"/>
    <n v="267484.88685165293"/>
    <n v="2612.1807768653243"/>
    <n v="2696.2169125758082"/>
    <n v="0.32922683131908631"/>
    <n v="2875200.228258227"/>
    <n v="2080129.5381119638"/>
    <x v="0"/>
    <n v="4464.8009541834754"/>
    <n v="2946768.6297610938"/>
    <m/>
    <n v="0"/>
    <n v="0"/>
    <n v="0"/>
    <n v="311791.24913784891"/>
    <n v="1141584.298426836"/>
    <n v="0"/>
    <n v="385643.14155980386"/>
    <n v="0"/>
    <n v="1839018.6891244887"/>
    <n v="5.4957824315639968E-2"/>
    <n v="0.51864992784601405"/>
    <n v="0.73995214658577657"/>
    <n v="2.3595170142700299"/>
  </r>
  <r>
    <s v="ANPARA TPS7"/>
    <x v="35"/>
    <s v="Uttar Pradesh"/>
    <s v="NR"/>
    <x v="1"/>
    <x v="0"/>
    <n v="4.1752224503764497"/>
    <n v="600"/>
    <n v="7.2684389789360297"/>
    <n v="0.50475270687055762"/>
    <n v="0.85"/>
    <s v="0.15"/>
    <n v="7.4798584576178033"/>
    <n v="1638089.0022182988"/>
    <n v="12.283387621115674"/>
    <n v="12.24"/>
    <n v="2690061.8890243326"/>
    <s v="Contracted"/>
    <n v="0"/>
    <n v="0"/>
    <n v="2613.2820416153318"/>
    <n v="2727.410853601883"/>
    <n v="0.32908809164295699"/>
    <n v="2600748.5315157329"/>
    <n v="1611841.6482311497"/>
    <x v="0"/>
    <n v="4489.130228333277"/>
    <n v="2693478.1369999661"/>
    <s v="Pithead plant"/>
    <n v="0"/>
    <n v="0"/>
    <n v="0"/>
    <n v="0"/>
    <n v="1638089.0022182988"/>
    <n v="0"/>
    <n v="0"/>
    <n v="0"/>
    <n v="1638089.0022182988"/>
    <n v="9.3255770253987805E-2"/>
    <n v="0.67782387552478807"/>
    <n v="1.1414506279088108"/>
    <n v="1.39269736842105"/>
  </r>
  <r>
    <s v="SEIONI TPP1"/>
    <x v="36"/>
    <s v="Madhya Pradesh"/>
    <s v="WR"/>
    <x v="2"/>
    <x v="0"/>
    <n v="4.1752224503764497"/>
    <n v="600"/>
    <n v="6.94086002648445"/>
    <n v="0.48200416850586458"/>
    <n v="0.85"/>
    <s v="0.15"/>
    <n v="6.2736001187883197"/>
    <n v="1373918.426014642"/>
    <n v="11.393636521115674"/>
    <n v="12.24"/>
    <n v="2495206.3981243325"/>
    <s v="Contracted"/>
    <n v="0"/>
    <n v="0"/>
    <n v="2613.2820416153318"/>
    <n v="2734.9308652273457"/>
    <n v="0.32908809164295699"/>
    <n v="2993135.0046919421"/>
    <n v="1776307.8823728918"/>
    <x v="0"/>
    <n v="3900.6255417210209"/>
    <n v="2340375.3250326128"/>
    <m/>
    <n v="0"/>
    <n v="0"/>
    <n v="0"/>
    <n v="392908.68771283136"/>
    <n v="0"/>
    <n v="0"/>
    <n v="981009.73830181058"/>
    <n v="0"/>
    <n v="1373918.426014642"/>
    <n v="6.5611235962542022E-2"/>
    <n v="0.45539840498064693"/>
    <n v="0.80308152818151435"/>
    <n v="2.0769568454351699"/>
  </r>
  <r>
    <s v="SINGARENI TPP1"/>
    <x v="32"/>
    <s v="Telangana"/>
    <s v="SR"/>
    <x v="1"/>
    <x v="0"/>
    <n v="4.1752224503764497"/>
    <n v="600"/>
    <n v="12.550124438088099"/>
    <n v="0.87153641931167358"/>
    <n v="0.85"/>
    <s v="0.15"/>
    <n v="12.583030283924781"/>
    <n v="2755683.6321795271"/>
    <n v="12.283387621115674"/>
    <n v="12.24"/>
    <n v="2690061.8890243326"/>
    <s v="Contracted"/>
    <n v="0"/>
    <n v="0"/>
    <n v="2613.2820416153318"/>
    <n v="2606.1627216397683"/>
    <n v="0.32908809164295699"/>
    <n v="2724008.1309194253"/>
    <n v="2785417.2325728391"/>
    <x v="0"/>
    <m/>
    <n v="0"/>
    <m/>
    <m/>
    <m/>
    <m/>
    <m/>
    <m/>
    <m/>
    <m/>
    <m/>
    <n v="0"/>
    <n v="5.8057563443709923E-2"/>
    <n v="0.72862964579075418"/>
    <n v="0.71062457655100941"/>
    <n v="2.3885855263157798"/>
  </r>
  <r>
    <s v="ANUPPUR TPP2"/>
    <x v="37"/>
    <s v="Madhya Pradesh"/>
    <s v="WR"/>
    <x v="2"/>
    <x v="0"/>
    <n v="4.1752224503764497"/>
    <n v="600"/>
    <n v="9.1933028096474008"/>
    <n v="0.63842380622551398"/>
    <n v="0.85"/>
    <s v="0.15"/>
    <n v="8.4499134642731182"/>
    <n v="1850531.0486758128"/>
    <n v="11.393636521115674"/>
    <n v="12.24"/>
    <n v="2495206.3981243325"/>
    <s v="Not contracted"/>
    <n v="2.9234423533710946E-3"/>
    <n v="5409.9208439270978"/>
    <n v="2613.9411480651765"/>
    <n v="2683.8821443326406"/>
    <n v="0.32900511193091198"/>
    <n v="2764397.7592171403"/>
    <n v="2131858.2045941115"/>
    <x v="0"/>
    <n v="4224.4439803059058"/>
    <n v="2534666.3881835435"/>
    <m/>
    <n v="0"/>
    <n v="20575.450741979366"/>
    <n v="0"/>
    <n v="0"/>
    <n v="0"/>
    <n v="0"/>
    <n v="1829955.5979338335"/>
    <n v="0"/>
    <n v="1850531.0486758128"/>
    <n v="6.7965223168433342E-2"/>
    <n v="0.62482487711267087"/>
    <n v="0.83189433158162407"/>
    <n v="2.1630853042415898"/>
  </r>
  <r>
    <s v="RAGHUNATHPUR TPP2"/>
    <x v="38"/>
    <s v="West Bengal"/>
    <s v="ER"/>
    <x v="0"/>
    <x v="0"/>
    <n v="4.33949349760438"/>
    <n v="600"/>
    <n v="5.6703227005257597"/>
    <n v="0.39377240975873329"/>
    <n v="0.85"/>
    <s v="0.15"/>
    <n v="5.940959575232803"/>
    <n v="1301070.1469759839"/>
    <n v="12.288590906536619"/>
    <n v="12.24"/>
    <n v="2691201.4085315196"/>
    <s v="Contracted"/>
    <n v="0"/>
    <n v="0"/>
    <n v="2614.5371606297058"/>
    <n v="2765.3528626088691"/>
    <n v="0.328930111589185"/>
    <n v="2465736.6179354247"/>
    <n v="1208172.0356029705"/>
    <x v="0"/>
    <n v="4737.2075889474336"/>
    <n v="2842324.5533684599"/>
    <m/>
    <n v="519228.22613096115"/>
    <n v="442837.2711581398"/>
    <n v="339004.6496868828"/>
    <n v="0"/>
    <n v="0"/>
    <n v="0"/>
    <n v="0"/>
    <n v="0"/>
    <n v="1301070.1469759836"/>
    <n v="7.8899454574965444E-2"/>
    <n v="0.44738536833552756"/>
    <n v="0.96572932399757705"/>
    <n v="2.2117206507948399"/>
  </r>
  <r>
    <s v="KAKATIYA TPS2"/>
    <x v="39"/>
    <s v="Telangana"/>
    <s v="SR"/>
    <x v="1"/>
    <x v="0"/>
    <n v="4.4243668720054696"/>
    <n v="600"/>
    <n v="11.204573528532199"/>
    <n v="0.77809538392584709"/>
    <n v="0.85"/>
    <s v="0.15"/>
    <n v="11.290848775846262"/>
    <n v="2472695.8819103315"/>
    <n v="12.291279270670774"/>
    <n v="12.24"/>
    <n v="2691790.1602768996"/>
    <s v="Contracted"/>
    <n v="0"/>
    <n v="0"/>
    <n v="2615.1856387871321"/>
    <n v="2638.9552340083037"/>
    <n v="0.32884854797491542"/>
    <n v="2725992.384471627"/>
    <n v="2518071.4663210665"/>
    <x v="0"/>
    <m/>
    <n v="0"/>
    <s v="Pithead plant"/>
    <m/>
    <m/>
    <m/>
    <m/>
    <m/>
    <m/>
    <m/>
    <m/>
    <n v="0"/>
    <n v="5.7626698395538668E-2"/>
    <n v="0.64568257937936147"/>
    <n v="0.70535078836139331"/>
    <n v="2.7681469298245598"/>
  </r>
  <r>
    <s v="ANPARA TPS6"/>
    <x v="35"/>
    <s v="Uttar Pradesh"/>
    <s v="NR"/>
    <x v="1"/>
    <x v="0"/>
    <n v="4.9253935660506496"/>
    <n v="600"/>
    <n v="9.5170520578420401"/>
    <n v="0.66090639290569719"/>
    <n v="0.85"/>
    <s v="0.15"/>
    <n v="9.676233207619493"/>
    <n v="2119095.0724686692"/>
    <n v="12.307149291204654"/>
    <n v="12.24"/>
    <n v="2695265.6947738198"/>
    <s v="Contracted"/>
    <n v="0"/>
    <n v="0"/>
    <n v="2619.0137517809717"/>
    <n v="2681.5226523904639"/>
    <n v="0.32836788253409749"/>
    <n v="2606452.7519400804"/>
    <n v="2074983.1533832806"/>
    <x v="0"/>
    <n v="4489.130228333277"/>
    <n v="2693478.1369999661"/>
    <s v="Pithead plant"/>
    <n v="0"/>
    <n v="0"/>
    <n v="0"/>
    <n v="0"/>
    <n v="2119095.0724686692"/>
    <n v="0"/>
    <n v="0"/>
    <n v="0"/>
    <n v="2119095.0724686692"/>
    <n v="9.3255770253987805E-2"/>
    <n v="0.88752002020135912"/>
    <n v="1.1414506279088108"/>
    <n v="1.39269736842105"/>
  </r>
  <r>
    <s v="KALISINDH TPS2"/>
    <x v="40"/>
    <s v="Rajasthan"/>
    <s v="NR"/>
    <x v="1"/>
    <x v="0"/>
    <n v="4.9253935660506496"/>
    <n v="600"/>
    <n v="5.9284317880081803"/>
    <n v="0.41169665194501248"/>
    <n v="0.85"/>
    <s v="0.15"/>
    <n v="6.2089033187111973"/>
    <n v="1359749.8267977522"/>
    <n v="12.307149291204654"/>
    <n v="12.24"/>
    <n v="2695265.6947738198"/>
    <s v="Contracted"/>
    <n v="0"/>
    <n v="0"/>
    <n v="2619.0137517809717"/>
    <n v="2763.9042155115267"/>
    <n v="0.32836788253409749"/>
    <n v="2469428.5299037509"/>
    <n v="1262234.5986357259"/>
    <x v="0"/>
    <n v="4738.2241258517897"/>
    <n v="2842934.4755110741"/>
    <m/>
    <n v="0"/>
    <n v="0"/>
    <n v="0"/>
    <n v="0"/>
    <n v="0"/>
    <n v="0"/>
    <n v="1359749.8267977522"/>
    <n v="0"/>
    <n v="1359749.8267977522"/>
    <n v="6.7338649205241949E-2"/>
    <n v="0.39921258850988817"/>
    <n v="0.82422506627216152"/>
    <n v="2.61"/>
  </r>
  <r>
    <s v="BARADARHA TPS2"/>
    <x v="41"/>
    <s v="Chhatisgarh"/>
    <s v="WR"/>
    <x v="2"/>
    <x v="1"/>
    <n v="5.1772758384667998"/>
    <n v="600"/>
    <n v="8.5363333148796503"/>
    <n v="0.59280092464442014"/>
    <n v="0.85"/>
    <s v="0.15"/>
    <n v="7.8468886670386482"/>
    <n v="1718468.6180814642"/>
    <n v="11.425376562183436"/>
    <n v="12.24"/>
    <n v="2502157.4671181724"/>
    <s v="Contracted"/>
    <n v="0"/>
    <n v="0"/>
    <n v="2620.9382676030118"/>
    <n v="2705.9608745821961"/>
    <n v="0.32812676690264664"/>
    <n v="2871005.7918500854"/>
    <n v="2067229.7017245064"/>
    <x v="0"/>
    <n v="4078.467496506757"/>
    <n v="2447080.4979040544"/>
    <m/>
    <n v="26041.523872535647"/>
    <n v="79395.026746322212"/>
    <n v="9282.4104042029394"/>
    <n v="373945.36160770425"/>
    <n v="0"/>
    <n v="0"/>
    <n v="1229804.2954506986"/>
    <n v="0"/>
    <n v="1718468.6180814635"/>
    <n v="5.7818434756539937E-2"/>
    <n v="0.49355743082644732"/>
    <n v="0.70769764142004887"/>
    <n v="1.7560228523892201"/>
  </r>
  <r>
    <s v="ANUPPUR TPP1"/>
    <x v="37"/>
    <s v="Madhya Pradesh"/>
    <s v="WR"/>
    <x v="2"/>
    <x v="0"/>
    <n v="5.0924024640657004"/>
    <n v="600"/>
    <n v="8.8103325777574995"/>
    <n v="0.61182865123315966"/>
    <n v="0.85"/>
    <s v="0.15"/>
    <n v="8.1089387712516032"/>
    <n v="1775857.5909041013"/>
    <n v="11.422688198049281"/>
    <n v="12.24"/>
    <n v="2501568.7153727924"/>
    <s v="Contracted"/>
    <n v="2.9234423533710946E-3"/>
    <n v="5191.6172948046078"/>
    <n v="2620.9488958954294"/>
    <n v="2699.6814844629025"/>
    <n v="0.32812543630545948"/>
    <n v="2771808.8680760558"/>
    <n v="2055077.1942298561"/>
    <x v="0"/>
    <n v="4224.4439803059058"/>
    <n v="2534666.3881835435"/>
    <m/>
    <n v="0"/>
    <n v="19745.180937419987"/>
    <n v="0"/>
    <n v="0"/>
    <n v="0"/>
    <n v="0"/>
    <n v="1756112.4099666812"/>
    <n v="0"/>
    <n v="1775857.590904101"/>
    <n v="6.7965223168433342E-2"/>
    <n v="0.5987962198354071"/>
    <n v="0.83189433158162407"/>
    <n v="2.1630853042415898"/>
  </r>
  <r>
    <s v="DERANG TPP2"/>
    <x v="42"/>
    <s v="Odisha"/>
    <s v="ER"/>
    <x v="2"/>
    <x v="1"/>
    <n v="5.3388090349075901"/>
    <n v="600"/>
    <n v="5.0220295252789802"/>
    <n v="0.34875205036659584"/>
    <n v="0.85"/>
    <s v="0.15"/>
    <n v="4.456480028546256"/>
    <n v="975969.12625163014"/>
    <n v="11.430493126180698"/>
    <n v="12.24"/>
    <n v="2503277.9946335731"/>
    <s v="Contracted"/>
    <n v="1.0423923581497694E-3"/>
    <n v="1017.3427589948067"/>
    <n v="2622.4074811616874"/>
    <n v="2788.1056173695415"/>
    <n v="0.32794293265935653"/>
    <n v="3321008.3511168407"/>
    <n v="1448694.6550544894"/>
    <x v="0"/>
    <n v="3527.8043365648145"/>
    <n v="2116682.6019388889"/>
    <m/>
    <n v="0"/>
    <n v="0"/>
    <n v="0"/>
    <n v="975831.50184753304"/>
    <n v="0"/>
    <n v="0"/>
    <n v="137.62440409709052"/>
    <n v="0"/>
    <n v="975969.12625163014"/>
    <n v="5.9866711601157967E-2"/>
    <n v="0.30065239324237697"/>
    <n v="0.73276854999817354"/>
    <n v="0.995304347826095"/>
  </r>
  <r>
    <s v="OP JINDAL TPS24"/>
    <x v="43"/>
    <s v="Chhatisgarh"/>
    <s v="WR"/>
    <x v="2"/>
    <x v="1"/>
    <n v="5.1772758384667998"/>
    <n v="600"/>
    <n v="3.1952090494815"/>
    <n v="0.22188951732510417"/>
    <n v="0.85"/>
    <s v="0.15"/>
    <n v="2.686286983582808"/>
    <n v="588296.84940463491"/>
    <n v="11.425376562183436"/>
    <n v="12.24"/>
    <n v="2502157.4671181724"/>
    <s v="Contracted"/>
    <n v="8.5516716266012364E-3"/>
    <n v="5030.9214750725178"/>
    <n v="2622.8662898605903"/>
    <n v="2830.5015258510098"/>
    <n v="0.32788556676509439"/>
    <n v="2997418.2878278801"/>
    <n v="844408.22387927922"/>
    <x v="0"/>
    <n v="3909.3367396089129"/>
    <n v="2345602.0437653479"/>
    <m/>
    <n v="0"/>
    <n v="0"/>
    <n v="0"/>
    <n v="290114.68680974544"/>
    <n v="0"/>
    <n v="0"/>
    <n v="298182.16259488947"/>
    <n v="0"/>
    <n v="588296.84940463491"/>
    <n v="5.7803709694753805E-2"/>
    <n v="0.18469493631027886"/>
    <n v="0.7075174066637866"/>
    <n v="1.5060451098035099"/>
  </r>
  <r>
    <s v="OP JINDAL TPS23"/>
    <x v="43"/>
    <s v="Chhatisgarh"/>
    <s v="WR"/>
    <x v="2"/>
    <x v="1"/>
    <n v="5.3388090349075901"/>
    <n v="600"/>
    <n v="6.7899260150807503"/>
    <n v="0.47152263993616322"/>
    <n v="0.85"/>
    <s v="0.15"/>
    <n v="6.1646240724045178"/>
    <n v="1350052.6718565894"/>
    <n v="11.430493126180698"/>
    <n v="12.24"/>
    <n v="2503277.9946335731"/>
    <s v="Contracted"/>
    <n v="8.5516716266012364E-3"/>
    <n v="11545.207128333186"/>
    <n v="2624.1004902247237"/>
    <n v="2749.2142053138587"/>
    <n v="0.32773135144925453"/>
    <n v="2998828.7351528537"/>
    <n v="1742863.6207170286"/>
    <x v="0"/>
    <n v="3909.3367396089129"/>
    <n v="2345602.0437653479"/>
    <m/>
    <n v="0"/>
    <n v="0"/>
    <n v="0"/>
    <n v="665769.51494591613"/>
    <n v="0"/>
    <n v="0"/>
    <n v="684283.15691067325"/>
    <n v="0"/>
    <n v="1350052.6718565894"/>
    <n v="5.7803709694753805E-2"/>
    <n v="0.39248291222458426"/>
    <n v="0.7075174066637866"/>
    <n v="1.5060451098035099"/>
  </r>
  <r>
    <s v="SHREE SINGAJI TPP2"/>
    <x v="14"/>
    <s v="Madhya Pradesh"/>
    <s v="WR"/>
    <x v="1"/>
    <x v="1"/>
    <n v="5.5906913073237501"/>
    <n v="600"/>
    <n v="6.9641758935085702"/>
    <n v="0.48362332593809515"/>
    <n v="0.85"/>
    <s v="0.15"/>
    <n v="7.2307140179339786"/>
    <n v="1583526.3699275414"/>
    <n v="12.328222597159479"/>
    <n v="12.24"/>
    <n v="2699880.7487779264"/>
    <s v="Contracted"/>
    <n v="2.4167248138043805E-3"/>
    <n v="3826.9474715174633"/>
    <n v="2624.6418479321164"/>
    <n v="2745.7554247287694"/>
    <n v="0.32766375369560252"/>
    <n v="2726369.8137431587"/>
    <n v="1622799.5536674699"/>
    <x v="0"/>
    <n v="4300.9021962880979"/>
    <n v="2580541.3177728588"/>
    <m/>
    <n v="0"/>
    <n v="0"/>
    <n v="0"/>
    <n v="0"/>
    <n v="161727.37850070198"/>
    <n v="0"/>
    <n v="928998.69748925942"/>
    <n v="492800.29393757996"/>
    <n v="1583526.3699275414"/>
    <m/>
    <n v="0"/>
    <n v="0"/>
    <n v="2.6436184210526301"/>
  </r>
  <r>
    <s v="RAGHUNATHPUR TPP1"/>
    <x v="38"/>
    <s v="West Bengal"/>
    <s v="ER"/>
    <x v="0"/>
    <x v="1"/>
    <n v="5.7577002053388"/>
    <n v="600"/>
    <n v="4.51371264557479"/>
    <n v="0.31345226705380486"/>
    <n v="0.85"/>
    <s v="0.15"/>
    <n v="4.8683630312038106"/>
    <n v="1066171.5038336345"/>
    <n v="12.333512604004106"/>
    <n v="12.24"/>
    <n v="2701039.2602768992"/>
    <s v="Contracted"/>
    <n v="0"/>
    <n v="0"/>
    <n v="2625.3730214537982"/>
    <n v="2802.7402493911018"/>
    <n v="0.32757249844967773"/>
    <n v="2475955.7799435803"/>
    <n v="974736.44799538224"/>
    <x v="0"/>
    <n v="4737.2075889474336"/>
    <n v="2842324.5533684599"/>
    <m/>
    <n v="425485.38983358588"/>
    <n v="362886.25977748458"/>
    <n v="277799.85422256408"/>
    <n v="0"/>
    <n v="0"/>
    <n v="0"/>
    <n v="0"/>
    <n v="0"/>
    <n v="1066171.5038336345"/>
    <n v="7.8899454574965444E-2"/>
    <n v="0.35612946584397526"/>
    <n v="0.96572932399757705"/>
    <n v="2.2117206507948399"/>
  </r>
  <r>
    <s v="KALISINDH TPS1"/>
    <x v="40"/>
    <s v="Rajasthan"/>
    <s v="NR"/>
    <x v="1"/>
    <x v="1"/>
    <n v="6.00958247775496"/>
    <n v="600"/>
    <n v="10.728071916568799"/>
    <n v="0.74500499420616662"/>
    <n v="0.85"/>
    <s v="0.15"/>
    <n v="10.880663960871548"/>
    <n v="2382865.4074308691"/>
    <n v="12.341490974982889"/>
    <n v="12.24"/>
    <n v="2702786.5235212529"/>
    <s v="Contracted"/>
    <n v="0"/>
    <n v="0"/>
    <n v="2627.2975372758383"/>
    <n v="2662.0058623351124"/>
    <n v="0.32733254905407738"/>
    <n v="2477239.1861947747"/>
    <n v="2199925.3717949865"/>
    <x v="0"/>
    <n v="4738.2241258517897"/>
    <n v="2842934.4755110741"/>
    <m/>
    <n v="0"/>
    <n v="0"/>
    <n v="0"/>
    <n v="0"/>
    <n v="0"/>
    <n v="0"/>
    <n v="2382865.4074308691"/>
    <n v="0"/>
    <n v="2382865.4074308691"/>
    <n v="6.7338649205241949E-2"/>
    <n v="0.72241387143843405"/>
    <n v="0.82422506627216152"/>
    <n v="2.61"/>
  </r>
  <r>
    <s v="DERANG TPP1"/>
    <x v="42"/>
    <s v="Odisha"/>
    <s v="ER"/>
    <x v="2"/>
    <x v="1"/>
    <n v="6.0917180013689203"/>
    <n v="600"/>
    <n v="7.01813035918045"/>
    <n v="0.48737016383197568"/>
    <n v="0.85"/>
    <s v="0.15"/>
    <n v="6.4089638181367885"/>
    <n v="1403563.0761719567"/>
    <n v="11.454341517693361"/>
    <n v="12.24"/>
    <n v="2508500.7923748465"/>
    <s v="Contracted"/>
    <n v="1.0423923581497694E-3"/>
    <n v="1463.0634247828305"/>
    <n v="2628.1601099775671"/>
    <n v="2748.0350900754347"/>
    <n v="0.32722511719704195"/>
    <n v="3328293.4616405293"/>
    <n v="1995409.7020794335"/>
    <x v="0"/>
    <n v="3527.8043365648145"/>
    <n v="2116682.6019388889"/>
    <m/>
    <n v="0"/>
    <n v="0"/>
    <n v="0"/>
    <n v="1403365.1554316639"/>
    <n v="0"/>
    <n v="0"/>
    <n v="197.92074029301008"/>
    <n v="0"/>
    <n v="1403563.076171957"/>
    <n v="5.9866711601157967E-2"/>
    <n v="0.42015238619238715"/>
    <n v="0.73276854999817354"/>
    <n v="0.995304347826095"/>
  </r>
  <r>
    <s v="BARADARHA TPS1"/>
    <x v="41"/>
    <s v="Chhatisgarh"/>
    <s v="WR"/>
    <x v="2"/>
    <x v="1"/>
    <n v="6.2532511978097096"/>
    <n v="600"/>
    <n v="8.9538869974432505"/>
    <n v="0.62179770815578128"/>
    <n v="0.85"/>
    <s v="0.15"/>
    <n v="8.2844111345744551"/>
    <n v="1814286.0384718056"/>
    <n v="11.459458081690624"/>
    <n v="12.24"/>
    <n v="2509621.3198902463"/>
    <s v="Contracted"/>
    <n v="0"/>
    <n v="0"/>
    <n v="2629.1592971471591"/>
    <n v="2704.5964026048528"/>
    <n v="0.32710075838050834"/>
    <n v="2880011.2017553719"/>
    <n v="2167254.6030893615"/>
    <x v="0"/>
    <n v="4078.467496506757"/>
    <n v="2447080.4979040544"/>
    <m/>
    <n v="27493.532721719985"/>
    <n v="83821.890626529625"/>
    <n v="9799.9738968247366"/>
    <n v="394795.59974367078"/>
    <n v="0"/>
    <n v="0"/>
    <n v="1298375.0414830602"/>
    <n v="0"/>
    <n v="1814286.0384718054"/>
    <n v="5.7818434756539937E-2"/>
    <n v="0.51769973117910384"/>
    <n v="0.70769764142004887"/>
    <n v="1.7560228523892201"/>
  </r>
  <r>
    <s v="OP JINDAL TPS21"/>
    <x v="43"/>
    <s v="Chhatisgarh"/>
    <s v="WR"/>
    <x v="2"/>
    <x v="1"/>
    <n v="6.1765913757700197"/>
    <n v="600"/>
    <n v="1.8180433328378101"/>
    <n v="0.12625300922484792"/>
    <n v="0.85"/>
    <s v="0.15"/>
    <n v="1.3873208750755921"/>
    <n v="303823.27164155466"/>
    <n v="11.457029881827516"/>
    <n v="12.24"/>
    <n v="2509089.5441202261"/>
    <s v="Contracted"/>
    <n v="8.5516716266012364E-3"/>
    <n v="2598.196851598243"/>
    <n v="2630.5015971980297"/>
    <n v="2869.7515084349607"/>
    <n v="0.32693384444854889"/>
    <n v="3006143.9365332294"/>
    <n v="487122.63094191242"/>
    <x v="0"/>
    <n v="3909.3367396089129"/>
    <n v="2345602.0437653479"/>
    <m/>
    <n v="0"/>
    <n v="0"/>
    <n v="0"/>
    <n v="149828.42996185421"/>
    <n v="0"/>
    <n v="0"/>
    <n v="153994.84167970045"/>
    <n v="0"/>
    <n v="303823.27164155466"/>
    <n v="5.7803709694753805E-2"/>
    <n v="0.10508964902383944"/>
    <n v="0.7075174066637866"/>
    <n v="1.5060451098035099"/>
  </r>
  <r>
    <s v="OP JINDAL TPS22"/>
    <x v="43"/>
    <s v="Chhatisgarh"/>
    <s v="WR"/>
    <x v="2"/>
    <x v="1"/>
    <n v="6.1765913757700197"/>
    <n v="600"/>
    <n v="7.6945931914449996"/>
    <n v="0.53434674940590277"/>
    <n v="0.85"/>
    <s v="0.15"/>
    <n v="7.0652515103366635"/>
    <n v="1547290.0807637291"/>
    <n v="11.457029881827516"/>
    <n v="12.24"/>
    <n v="2509089.5441202261"/>
    <s v="Contracted"/>
    <n v="8.5516716266012364E-3"/>
    <n v="13231.91668178872"/>
    <n v="2630.5015971980297"/>
    <n v="2734.8474710308215"/>
    <n v="0.32693384444854889"/>
    <n v="3006143.9365332294"/>
    <n v="1964755.6985085718"/>
    <x v="0"/>
    <n v="3909.3367396089129"/>
    <n v="2345602.0437653479"/>
    <m/>
    <n v="0"/>
    <n v="0"/>
    <n v="0"/>
    <n v="763035.83410123631"/>
    <n v="0"/>
    <n v="0"/>
    <n v="784254.24666249298"/>
    <n v="0"/>
    <n v="1547290.0807637293"/>
    <n v="5.7803709694753805E-2"/>
    <n v="0.44477603105751595"/>
    <n v="0.7075174066637866"/>
    <n v="1.5060451098035099"/>
  </r>
  <r>
    <s v="SHREE SINGAJI TPP1"/>
    <x v="14"/>
    <s v="Madhya Pradesh"/>
    <s v="WR"/>
    <x v="1"/>
    <x v="1"/>
    <n v="6.5051334702258696"/>
    <n v="600"/>
    <n v="7.3845738899169397"/>
    <n v="0.51281763124423196"/>
    <n v="0.85"/>
    <s v="0.15"/>
    <n v="7.6658681014597772"/>
    <n v="1678825.1142196914"/>
    <n v="12.357187552669405"/>
    <n v="12.24"/>
    <n v="2706224.0740345996"/>
    <s v="Contracted"/>
    <n v="2.4167248138043805E-3"/>
    <n v="4057.2583115727007"/>
    <n v="2631.6286771121304"/>
    <n v="2743.0914573705668"/>
    <n v="0.32679382447820793"/>
    <n v="2733627.4440309554"/>
    <n v="1719091.630007515"/>
    <x v="0"/>
    <n v="4300.9021962880979"/>
    <n v="2580541.3177728588"/>
    <m/>
    <n v="0"/>
    <n v="0"/>
    <n v="0"/>
    <n v="0"/>
    <n v="171460.34940757952"/>
    <n v="0"/>
    <n v="984907.08714482305"/>
    <n v="522457.67766728863"/>
    <n v="1678825.1142196911"/>
    <m/>
    <n v="0"/>
    <n v="0"/>
    <n v="2.6436184210526301"/>
  </r>
  <r>
    <s v="AKALTARA TPS4"/>
    <x v="34"/>
    <s v="Chhatisgarh"/>
    <s v="WR"/>
    <x v="2"/>
    <x v="1"/>
    <n v="5.7577002053388"/>
    <n v="600"/>
    <n v="10.038133741877299"/>
    <n v="0.69709262096370139"/>
    <n v="0.85"/>
    <s v="0.15"/>
    <n v="9.3163152672583749"/>
    <n v="2040273.0435295841"/>
    <n v="11.443761504004106"/>
    <n v="12.24"/>
    <n v="2506183.7693768991"/>
    <s v="Not contracted"/>
    <n v="4.3831710939856224E-2"/>
    <n v="89428.658282369419"/>
    <n v="2635.2551261427702"/>
    <n v="2685.8019019196545"/>
    <n v="0.32634411426372378"/>
    <n v="2751574.9088294976"/>
    <n v="2299874.8845214779"/>
    <x v="0"/>
    <n v="4278.737156592154"/>
    <n v="2567242.2939552926"/>
    <m/>
    <n v="1163.1775217006389"/>
    <n v="0"/>
    <n v="0"/>
    <n v="336313.97065171285"/>
    <n v="0"/>
    <n v="0"/>
    <n v="1702795.8953561704"/>
    <n v="0"/>
    <n v="2040273.0435295838"/>
    <n v="8.0030636155213206E-2"/>
    <n v="0.80335822917355104"/>
    <n v="0.97957498653980968"/>
    <n v="2.4868647268903099"/>
  </r>
  <r>
    <s v="MAHAN TPP1"/>
    <x v="30"/>
    <s v="Madhya Pradesh"/>
    <s v="WR"/>
    <x v="2"/>
    <x v="1"/>
    <n v="7.2525667351129304"/>
    <n v="600"/>
    <n v="5.7350018274272898"/>
    <n v="0.3982640157935618"/>
    <n v="0.85"/>
    <s v="0.15"/>
    <n v="5.2059731322752656"/>
    <n v="1140108.115968283"/>
    <n v="11.491111401334702"/>
    <n v="12.24"/>
    <n v="2516553.3968922999"/>
    <s v="Not contracted"/>
    <n v="0"/>
    <n v="0"/>
    <n v="2636.7946044845994"/>
    <n v="2786.1255108669025"/>
    <n v="0.32615358000859523"/>
    <n v="2344170.1691490631"/>
    <n v="1160554.8031902444"/>
    <x v="0"/>
    <n v="5025.2936966908019"/>
    <n v="3015176.218014481"/>
    <m/>
    <n v="0"/>
    <n v="17462.173839097381"/>
    <n v="0"/>
    <n v="0"/>
    <n v="1122645.9421291859"/>
    <n v="0"/>
    <n v="0"/>
    <n v="0"/>
    <n v="1140108.1159682833"/>
    <n v="9.2920955405355318E-2"/>
    <n v="0.53290184905600246"/>
    <n v="1.1373524941615492"/>
    <m/>
  </r>
  <r>
    <s v="AKALTARA TPS3"/>
    <x v="34"/>
    <s v="Chhatisgarh"/>
    <s v="WR"/>
    <x v="2"/>
    <x v="1"/>
    <n v="6.7570157426420199"/>
    <n v="600"/>
    <n v="3.90044744004802"/>
    <n v="0.27086440555889024"/>
    <n v="0.85"/>
    <s v="0.15"/>
    <n v="3.4177275575106938"/>
    <n v="748482.33509484201"/>
    <n v="11.475414823648187"/>
    <n v="12.24"/>
    <n v="2513115.8463789527"/>
    <s v="Not contracted"/>
    <n v="4.3831710939856224E-2"/>
    <n v="32807.261355465715"/>
    <n v="2642.8904334802105"/>
    <n v="2834.3359818973217"/>
    <n v="0.32540130650347654"/>
    <n v="2759547.2375359228"/>
    <n v="943068.01607225428"/>
    <x v="0"/>
    <n v="4278.737156592154"/>
    <n v="2567242.2939552926"/>
    <m/>
    <n v="426.71633109762325"/>
    <n v="0"/>
    <n v="0"/>
    <n v="123378.12670550149"/>
    <n v="0"/>
    <n v="0"/>
    <n v="624677.49205824279"/>
    <n v="0"/>
    <n v="748482.3350948419"/>
    <n v="8.0030636155213206E-2"/>
    <n v="0.31215528991701585"/>
    <n v="0.97957498653980968"/>
    <n v="2.4868647268903099"/>
  </r>
  <r>
    <s v="ANPARA C TPS2"/>
    <x v="44"/>
    <s v="Uttar Pradesh"/>
    <s v="NR"/>
    <x v="2"/>
    <x v="1"/>
    <n v="8.33949349760438"/>
    <n v="600"/>
    <n v="11.2935648233486"/>
    <n v="0.78427533495476387"/>
    <n v="0.85"/>
    <s v="0.15"/>
    <n v="10.611092824362736"/>
    <n v="2323829.328535439"/>
    <n v="11.525539806536619"/>
    <n v="12.24"/>
    <n v="2524093.2176315198"/>
    <s v="Contracted"/>
    <n v="0"/>
    <n v="0"/>
    <n v="2645.0993086297058"/>
    <n v="2666.8259900233074"/>
    <n v="0.32512956968920881"/>
    <n v="2408397.396715044"/>
    <n v="2240425.3461839263"/>
    <x v="0"/>
    <n v="4906.6842902887674"/>
    <n v="2944010.5741732605"/>
    <s v="Pithead plant"/>
    <n v="0"/>
    <n v="0"/>
    <n v="0"/>
    <n v="0"/>
    <n v="2323829.328535439"/>
    <n v="0"/>
    <n v="0"/>
    <n v="0"/>
    <n v="2323829.328535439"/>
    <n v="6.2540016954501773E-2"/>
    <n v="0.70629973552898628"/>
    <n v="0.7654898075231017"/>
    <n v="1.88077850877192"/>
  </r>
  <r>
    <s v="ANPARA C TPS1"/>
    <x v="44"/>
    <s v="Uttar Pradesh"/>
    <s v="NR"/>
    <x v="2"/>
    <x v="1"/>
    <n v="8.5913757700205302"/>
    <n v="600"/>
    <n v="11.178778378092"/>
    <n v="0.77630405403416669"/>
    <n v="0.85"/>
    <s v="0.15"/>
    <n v="10.508164372508972"/>
    <n v="2301287.9975794652"/>
    <n v="11.533518177515401"/>
    <n v="12.24"/>
    <n v="2525840.4808758725"/>
    <s v="Contracted"/>
    <n v="0"/>
    <n v="0"/>
    <n v="2647.023824451745"/>
    <n v="2671.3855817448057"/>
    <n v="0.32489318458556915"/>
    <n v="2410149.6934551382"/>
    <n v="2221445.5524576446"/>
    <x v="0"/>
    <n v="4906.6842902887674"/>
    <n v="2944010.5741732605"/>
    <s v="Pithead plant"/>
    <n v="0"/>
    <n v="0"/>
    <n v="0"/>
    <n v="0"/>
    <n v="2301287.9975794652"/>
    <n v="0"/>
    <n v="0"/>
    <n v="0"/>
    <n v="2301287.9975794652"/>
    <n v="6.2540016954501773E-2"/>
    <n v="0.69912098929649147"/>
    <n v="0.7654898075231017"/>
    <n v="1.88077850877192"/>
  </r>
  <r>
    <s v="RAJIV GANDHI TPS2"/>
    <x v="45"/>
    <s v="Haryana"/>
    <s v="NR"/>
    <x v="1"/>
    <x v="1"/>
    <n v="9.5906913073237501"/>
    <n v="600"/>
    <n v="5.2190776910340704"/>
    <n v="0.36243595076625484"/>
    <n v="0.85"/>
    <s v="0.15"/>
    <n v="5.6712977109556135"/>
    <n v="1242014.1986992792"/>
    <n v="12.454922597159481"/>
    <n v="12.24"/>
    <n v="2727628.0487779267"/>
    <s v="Contracted"/>
    <n v="0"/>
    <n v="0"/>
    <n v="2654.6591317891853"/>
    <n v="2815.8337646212435"/>
    <n v="0.32395872965444639"/>
    <n v="2703331.9537634901"/>
    <n v="1222672.0097248529"/>
    <x v="0"/>
    <n v="4387.1619690176503"/>
    <n v="2632297.1814105902"/>
    <m/>
    <n v="124494.97227985889"/>
    <n v="271791.88406234898"/>
    <n v="120702.97440711643"/>
    <n v="256821.23980749876"/>
    <n v="468203.12814245629"/>
    <n v="0"/>
    <n v="0"/>
    <n v="0"/>
    <n v="1242014.1986992792"/>
    <n v="6.0133050822696911E-2"/>
    <n v="0.3138390640425554"/>
    <n v="0.73602854206981017"/>
    <n v="3.5368923418423899"/>
  </r>
  <r>
    <s v="STERLITE TPP2"/>
    <x v="46"/>
    <s v="Odisha"/>
    <s v="ER"/>
    <x v="2"/>
    <x v="1"/>
    <n v="9.4236824093086895"/>
    <n v="600"/>
    <n v="1.36523654376171"/>
    <n v="9.4808093316785413E-2"/>
    <n v="0.85"/>
    <s v="0.15"/>
    <n v="2.1198999999999999"/>
    <n v="464258.09999999992"/>
    <n v="11.559881490314853"/>
    <n v="12.24"/>
    <n v="2531614.0463789529"/>
    <s v="Not contracted"/>
    <n v="6.9427017984107053E-2"/>
    <n v="32232.055457967366"/>
    <n v="2669.0358041203899"/>
    <n v="2918.6804989429479"/>
    <n v="0.32221373676304893"/>
    <n v="3380839.2706011459"/>
    <n v="412366.30177369184"/>
    <x v="0"/>
    <n v="3526.9894260214323"/>
    <n v="2116193.6556128594"/>
    <m/>
    <n v="0"/>
    <n v="0"/>
    <n v="0"/>
    <n v="464258.09999999992"/>
    <n v="0"/>
    <n v="0"/>
    <n v="0"/>
    <n v="0"/>
    <n v="464258.09999999992"/>
    <n v="0.05"/>
    <n v="6.8261827188085503E-2"/>
    <n v="0.6120000000000001"/>
    <n v="1.6054299754299699"/>
  </r>
  <r>
    <s v="NORTH CHENNAI TPS4"/>
    <x v="47"/>
    <s v="Tamil Nadu"/>
    <s v="SR"/>
    <x v="1"/>
    <x v="1"/>
    <n v="6.6009582477754902"/>
    <n v="600"/>
    <n v="8.3027348638879399"/>
    <n v="0.576578809992218"/>
    <n v="0.85"/>
    <s v="0.15"/>
    <n v="8.556031759563016"/>
    <n v="1873770.9553443005"/>
    <n v="12.360222802498289"/>
    <n v="12.24"/>
    <n v="2706888.7937471247"/>
    <s v="Contracted"/>
    <n v="0.17717116061028612"/>
    <n v="331978.17487619433"/>
    <n v="2671.7601960456723"/>
    <n v="2762.1453669319726"/>
    <n v="0.32188517565043429"/>
    <n v="3189771.8208173197"/>
    <n v="2236909.5538961953"/>
    <x v="0"/>
    <n v="3742.0720109048975"/>
    <n v="2245243.2065429385"/>
    <m/>
    <n v="0"/>
    <n v="0"/>
    <n v="0"/>
    <n v="1873770.9553443005"/>
    <n v="0"/>
    <n v="0"/>
    <n v="0"/>
    <n v="0"/>
    <n v="1873770.9553443005"/>
    <n v="7.8776329249988286E-2"/>
    <n v="0.65405897531299306"/>
    <n v="0.96422227001985661"/>
    <n v="3.1766666666666601"/>
  </r>
  <r>
    <s v="RAJIV GANDHI TPS1"/>
    <x v="45"/>
    <s v="Haryana"/>
    <s v="NR"/>
    <x v="1"/>
    <x v="2"/>
    <n v="10.17659137577"/>
    <n v="600"/>
    <n v="4.0337931576132497"/>
    <n v="0.28012452483425343"/>
    <n v="0.8"/>
    <s v="0.15"/>
    <n v="4.5446325332039335"/>
    <n v="995274.5247716615"/>
    <n v="12.473480981827516"/>
    <n v="11.52"/>
    <n v="2571004.5506072715"/>
    <s v="Contracted"/>
    <n v="0"/>
    <n v="0"/>
    <n v="2675.6642829404514"/>
    <n v="2847.5201426165622"/>
    <n v="0.32141550996633006"/>
    <n v="2564444.4532389101"/>
    <n v="955629.67180784524"/>
    <x v="0"/>
    <n v="4387.1619690176503"/>
    <n v="2632297.1814105902"/>
    <m/>
    <n v="99762.68749750292"/>
    <n v="217797.46039154989"/>
    <n v="96724.011381979159"/>
    <n v="205800.89798358726"/>
    <n v="375189.46751704224"/>
    <n v="0"/>
    <n v="0"/>
    <n v="0"/>
    <n v="995274.5247716615"/>
    <n v="6.0133050822696911E-2"/>
    <n v="0.24256428895500459"/>
    <n v="0.69273274547746844"/>
    <n v="3.5368923418423899"/>
  </r>
  <r>
    <s v="NORTH CHENNAI TPS5"/>
    <x v="47"/>
    <s v="Tamil Nadu"/>
    <s v="SR"/>
    <x v="1"/>
    <x v="1"/>
    <n v="7.1348391512662497"/>
    <n v="600"/>
    <n v="8.1824428753288494"/>
    <n v="0.56822519967561458"/>
    <n v="0.85"/>
    <s v="0.15"/>
    <n v="8.4567161507630875"/>
    <n v="1852020.8370171161"/>
    <n v="12.377133480116358"/>
    <n v="12.24"/>
    <n v="2710592.2321454827"/>
    <s v="Contracted"/>
    <n v="0.17717116061028612"/>
    <n v="328124.68116875604"/>
    <n v="2675.8393328423872"/>
    <n v="2768.9859667153796"/>
    <n v="0.32139448338494692"/>
    <n v="3194641.83708101"/>
    <n v="2209960.2417221493"/>
    <x v="0"/>
    <n v="3742.0720109048975"/>
    <n v="2245243.2065429385"/>
    <m/>
    <n v="0"/>
    <n v="0"/>
    <n v="0"/>
    <n v="1852020.8370171161"/>
    <n v="0"/>
    <n v="0"/>
    <n v="0"/>
    <n v="0"/>
    <n v="1852020.8370171161"/>
    <n v="7.8776329249988286E-2"/>
    <n v="0.64458281401612627"/>
    <n v="0.96422227001985661"/>
    <n v="3.1766666666666601"/>
  </r>
  <r>
    <s v="MUNDRA UMTPP5"/>
    <x v="48"/>
    <s v="Gujarat"/>
    <s v="WR"/>
    <x v="2"/>
    <x v="1"/>
    <n v="7.1759069130732298"/>
    <n v="800"/>
    <n v="11.7740050320461"/>
    <n v="0.61322942875240105"/>
    <n v="0.85"/>
    <s v="0.15"/>
    <n v="7.1528432125323764"/>
    <n v="2088630.2180594539"/>
    <n v="10.447103201471595"/>
    <n v="16.32"/>
    <n v="3050554.1348297056"/>
    <s v="Contracted"/>
    <n v="1"/>
    <n v="2088630.2180594539"/>
    <n v="2676.5160222778923"/>
    <n v="2754.7855541398958"/>
    <n v="0.32131322691208219"/>
    <n v="3719895.1566740437"/>
    <n v="2762184.6771996333"/>
    <x v="0"/>
    <m/>
    <n v="0"/>
    <m/>
    <m/>
    <m/>
    <m/>
    <m/>
    <m/>
    <m/>
    <m/>
    <m/>
    <n v="0"/>
    <n v="7.7721035120439194E-2"/>
    <n v="0.91508785860388275"/>
    <n v="1.2684072931655677"/>
    <n v="1.7424751657907001"/>
  </r>
  <r>
    <s v="MUNDRA UMTPP4"/>
    <x v="48"/>
    <s v="Gujarat"/>
    <s v="WR"/>
    <x v="2"/>
    <x v="1"/>
    <n v="7.3374401095140298"/>
    <n v="800"/>
    <n v="14.915336574147601"/>
    <n v="0.77684044657018758"/>
    <n v="0.85"/>
    <s v="0.15"/>
    <n v="9.4343289507338479"/>
    <n v="2754824.0536142834"/>
    <n v="10.452219765468858"/>
    <n v="16.32"/>
    <n v="3052048.171516906"/>
    <s v="Contracted"/>
    <n v="1"/>
    <n v="2754824.0536142834"/>
    <n v="2677.7502226420265"/>
    <n v="2701.9346640107833"/>
    <n v="0.32116513061157481"/>
    <n v="3721610.482089133"/>
    <n v="3432010.4279055516"/>
    <x v="0"/>
    <m/>
    <n v="0"/>
    <m/>
    <m/>
    <m/>
    <m/>
    <m/>
    <m/>
    <m/>
    <m/>
    <m/>
    <n v="0"/>
    <n v="7.7721035120439194E-2"/>
    <n v="1.159235397712497"/>
    <n v="1.2684072931655677"/>
    <n v="1.7424751657907001"/>
  </r>
  <r>
    <s v="PAINAMPURAM TPP2"/>
    <x v="49"/>
    <s v="Andhra Pradesh"/>
    <s v="SR"/>
    <x v="2"/>
    <x v="0"/>
    <n v="4.6735112936344896"/>
    <n v="660"/>
    <n v="13.611962717578299"/>
    <n v="0.85934108065519565"/>
    <n v="0.85"/>
    <s v="0.15"/>
    <n v="11.226911077705804"/>
    <n v="2704562.8786193281"/>
    <n v="11.096945820225873"/>
    <n v="13.464"/>
    <n v="2673254.2480924129"/>
    <s v="Contracted"/>
    <n v="0.51543963834409801"/>
    <n v="1394038.9120344191"/>
    <n v="2677.7534508855829"/>
    <n v="2674.6655586440984"/>
    <n v="0.32116474342161039"/>
    <n v="3515112.1264091302"/>
    <n v="3549643.423314671"/>
    <x v="0"/>
    <n v="3743.6770082031862"/>
    <n v="2470826.825414103"/>
    <m/>
    <n v="0"/>
    <n v="0"/>
    <n v="0"/>
    <n v="2704562.8786193281"/>
    <n v="0"/>
    <n v="0"/>
    <n v="0"/>
    <n v="0"/>
    <n v="2704562.8786193281"/>
    <n v="5.9223285155824042E-2"/>
    <n v="0.80614514955358518"/>
    <n v="0.79738231133801496"/>
    <n v="2.2044338211181902"/>
  </r>
  <r>
    <s v="MUNDRA UMTPP3"/>
    <x v="48"/>
    <s v="Gujarat"/>
    <s v="WR"/>
    <x v="2"/>
    <x v="1"/>
    <n v="7.5893223819301801"/>
    <n v="800"/>
    <n v="16.703360893938498"/>
    <n v="0.86996671322596342"/>
    <n v="0.85"/>
    <s v="0.15"/>
    <n v="10.738001007574436"/>
    <n v="3135496.294211735"/>
    <n v="10.460198136447639"/>
    <n v="16.32"/>
    <n v="3054377.8558427109"/>
    <s v="Contracted"/>
    <n v="1"/>
    <n v="3135496.294211735"/>
    <n v="2679.6747384640657"/>
    <n v="2673.0743181129028"/>
    <n v="0.320934472999859"/>
    <n v="3724285.2268041871"/>
    <n v="3802380.6898254338"/>
    <x v="0"/>
    <m/>
    <n v="0"/>
    <m/>
    <m/>
    <m/>
    <m/>
    <m/>
    <m/>
    <m/>
    <m/>
    <m/>
    <n v="0"/>
    <n v="7.7721035120439194E-2"/>
    <n v="1.2982024986671648"/>
    <n v="1.2684072931655677"/>
    <n v="1.7424751657907001"/>
  </r>
  <r>
    <s v="MUNDRA UMTPP2"/>
    <x v="48"/>
    <s v="Gujarat"/>
    <s v="WR"/>
    <x v="2"/>
    <x v="1"/>
    <n v="7.8412046543463303"/>
    <n v="800"/>
    <n v="16.119518168335102"/>
    <n v="0.83955823793411988"/>
    <n v="0.85"/>
    <s v="0.15"/>
    <n v="10.322897139275211"/>
    <n v="3014285.9646683615"/>
    <n v="10.468176507426421"/>
    <n v="16.32"/>
    <n v="3056707.5401685145"/>
    <s v="Contracted"/>
    <n v="1"/>
    <n v="3014285.9646683615"/>
    <n v="2681.5992542861059"/>
    <n v="2685.0510001023376"/>
    <n v="0.32070414646238737"/>
    <n v="3726959.9715192434"/>
    <n v="3685914.8059625356"/>
    <x v="0"/>
    <m/>
    <n v="0"/>
    <m/>
    <m/>
    <m/>
    <m/>
    <m/>
    <m/>
    <m/>
    <m/>
    <m/>
    <n v="0"/>
    <n v="7.7721035120439194E-2"/>
    <n v="1.2528256376857301"/>
    <n v="1.2684072931655677"/>
    <n v="1.7424751657907001"/>
  </r>
  <r>
    <s v="PAINAMPURAM TPP1"/>
    <x v="49"/>
    <s v="Andhra Pradesh"/>
    <s v="SR"/>
    <x v="2"/>
    <x v="1"/>
    <n v="5.2539356605065004"/>
    <n v="660"/>
    <n v="11.253573890106701"/>
    <n v="0.71045289710269566"/>
    <n v="0.85"/>
    <s v="0.15"/>
    <n v="9.1737700553054786"/>
    <n v="2209961.20632309"/>
    <n v="11.115330762046543"/>
    <n v="13.464"/>
    <n v="2677683.1805770127"/>
    <s v="Contracted"/>
    <n v="0.51543963834409801"/>
    <n v="1139101.6049416601"/>
    <n v="2682.1882047363702"/>
    <n v="2728.3184579976555"/>
    <n v="0.32063372677627916"/>
    <n v="3520933.6694766548"/>
    <n v="2993505.2230394087"/>
    <x v="0"/>
    <n v="3743.6770082031862"/>
    <n v="2470826.825414103"/>
    <m/>
    <n v="0"/>
    <n v="0"/>
    <n v="0"/>
    <n v="2209961.20632309"/>
    <n v="0"/>
    <n v="0"/>
    <n v="0"/>
    <n v="0"/>
    <n v="2209961.20632309"/>
    <n v="5.9223285155824042E-2"/>
    <n v="0.66647361551592521"/>
    <n v="0.79738231133801496"/>
    <n v="2.2044338211181902"/>
  </r>
  <r>
    <s v="MUNDRA UMTPP1"/>
    <x v="48"/>
    <s v="Gujarat"/>
    <s v="WR"/>
    <x v="2"/>
    <x v="1"/>
    <n v="8.1752224503764506"/>
    <n v="800"/>
    <n v="15.0466075992725"/>
    <n v="0.78367747912877606"/>
    <n v="0.85"/>
    <s v="0.15"/>
    <n v="9.5559913914780736"/>
    <n v="2790349.4863115973"/>
    <n v="10.478756521115674"/>
    <n v="16.32"/>
    <n v="3059796.9041657764"/>
    <s v="Contracted"/>
    <n v="1"/>
    <n v="2790349.4863115973"/>
    <n v="2684.1513296153325"/>
    <n v="2706.0756449267574"/>
    <n v="0.32039922284234518"/>
    <n v="3730506.9155979035"/>
    <n v="3467522.0024623964"/>
    <x v="0"/>
    <m/>
    <n v="0"/>
    <m/>
    <m/>
    <m/>
    <m/>
    <m/>
    <m/>
    <m/>
    <m/>
    <m/>
    <n v="0"/>
    <n v="7.7721035120439194E-2"/>
    <n v="1.1694379176665253"/>
    <n v="1.2684072931655677"/>
    <n v="1.7424751657907001"/>
  </r>
  <r>
    <s v="STERLITE TPP1"/>
    <x v="46"/>
    <s v="Odisha"/>
    <s v="ER"/>
    <x v="2"/>
    <x v="2"/>
    <n v="10.17659137577"/>
    <n v="600"/>
    <n v="0.112268817204301"/>
    <n v="7.7964456391875691E-3"/>
    <n v="0.8"/>
    <s v="0.15"/>
    <n v="0.17430000000000001"/>
    <n v="38171.700000000004"/>
    <n v="11.583729881827516"/>
    <n v="11.52"/>
    <n v="2387611.1474072719"/>
    <s v="Contracted"/>
    <n v="6.9427017984107053E-2"/>
    <n v="2650.1473023839394"/>
    <n v="2691.3169929362689"/>
    <n v="2953.1966725455877"/>
    <n v="0.31954615612251852"/>
    <n v="3208529.5205049063"/>
    <n v="34311.541071705462"/>
    <x v="0"/>
    <n v="3526.9894260214323"/>
    <n v="2116193.6556128594"/>
    <m/>
    <n v="0"/>
    <n v="0"/>
    <n v="0"/>
    <n v="38171.700000000004"/>
    <n v="0"/>
    <n v="0"/>
    <n v="0"/>
    <n v="0"/>
    <n v="38171.700000000004"/>
    <n v="0.05"/>
    <n v="5.6134408602150502E-3"/>
    <n v="0.57599999999999996"/>
    <n v="1.6054299754299699"/>
  </r>
  <r>
    <s v="AVANTHA BHANDAR1"/>
    <x v="50"/>
    <s v="Chhatisgarh"/>
    <s v="WR"/>
    <x v="2"/>
    <x v="1"/>
    <n v="6.1765913757700197"/>
    <n v="600"/>
    <n v="0.14995622376116799"/>
    <n v="1.0413626650081111E-2"/>
    <n v="0.85"/>
    <s v="0.15"/>
    <n v="0.1497"/>
    <n v="32784.299999999996"/>
    <n v="11.457029881827516"/>
    <n v="12.24"/>
    <n v="2509089.5441202261"/>
    <s v="Contracted"/>
    <n v="0.28000000000000003"/>
    <n v="9179.6039999999994"/>
    <n v="2691.7011429404511"/>
    <n v="2969.2442178823821"/>
    <n v="0.31950055163275826"/>
    <n v="2805749.8894542134"/>
    <n v="37918.496820692613"/>
    <x v="0"/>
    <m/>
    <n v="0"/>
    <m/>
    <m/>
    <m/>
    <m/>
    <m/>
    <m/>
    <m/>
    <m/>
    <m/>
    <n v="0"/>
    <n v="5.5651687553528041E-2"/>
    <n v="8.3453169114634587E-3"/>
    <n v="0.68117665565518326"/>
    <n v="1.72394366197184"/>
  </r>
  <r>
    <s v="VIZAG TPS2"/>
    <x v="51"/>
    <s v="Andhra Pradesh"/>
    <s v="SR"/>
    <x v="2"/>
    <x v="0"/>
    <n v="4.1752224503764497"/>
    <n v="520"/>
    <n v="3.2796099313169802"/>
    <n v="0.26278925731706571"/>
    <n v="0.85"/>
    <s v="0.15"/>
    <n v="3.640229294945204"/>
    <n v="690915.52018059976"/>
    <n v="11.810268521115674"/>
    <n v="10.608000000000001"/>
    <n v="2241588.9653077549"/>
    <s v="Contracted"/>
    <n v="4.9013357007384684E-2"/>
    <n v="33864.089052554635"/>
    <n v="2698.391761427446"/>
    <n v="2892.5067212890344"/>
    <n v="0.31870835521120217"/>
    <n v="2840471.1035635858"/>
    <n v="941344.15839165472"/>
    <x v="0"/>
    <n v="3678.2479553474091"/>
    <n v="1912688.9367806527"/>
    <m/>
    <n v="0"/>
    <n v="0"/>
    <n v="0"/>
    <n v="690915.52018059976"/>
    <n v="0"/>
    <n v="0"/>
    <n v="0"/>
    <n v="0"/>
    <n v="690915.52018059976"/>
    <n v="2.064213334024792E-2"/>
    <n v="6.7698145506246435E-2"/>
    <n v="0.21897175047334994"/>
    <n v="3.1644736842104799"/>
  </r>
  <r>
    <s v="SAGARDIGHI TPS4"/>
    <x v="52"/>
    <s v="West Bengal"/>
    <s v="ER"/>
    <x v="1"/>
    <x v="0"/>
    <n v="3.4223134839151199"/>
    <n v="500"/>
    <n v="4.6693541995515302"/>
    <n v="0.38911284996262746"/>
    <n v="0.85"/>
    <s v="0.15"/>
    <n v="6.367868044988036"/>
    <n v="1162135.9182103164"/>
    <n v="12.780329229603012"/>
    <n v="10.199999999999999"/>
    <n v="2332410.0844025495"/>
    <s v="Contracted"/>
    <n v="6.5371616889120401E-4"/>
    <n v="759.7070401833098"/>
    <n v="2700.2510267705393"/>
    <n v="2852.6070450229736"/>
    <n v="0.31848890768816684"/>
    <n v="1719665.5888322038"/>
    <n v="831645.91543334827"/>
    <x v="0"/>
    <n v="5845.9241366186579"/>
    <n v="2922962.068309329"/>
    <m/>
    <n v="139089.64809830999"/>
    <n v="31395.972584654504"/>
    <n v="991650.29752735188"/>
    <n v="0"/>
    <n v="0"/>
    <n v="0"/>
    <n v="0"/>
    <n v="0"/>
    <n v="1162135.9182103164"/>
    <n v="9.5849721553511083E-2"/>
    <n v="0.44755629986173179"/>
    <n v="0.97766715984581298"/>
    <n v="2.9959402654867202"/>
  </r>
  <r>
    <s v="VIZAG TPS1"/>
    <x v="51"/>
    <s v="Andhra Pradesh"/>
    <s v="SR"/>
    <x v="2"/>
    <x v="0"/>
    <n v="4.4243668720054696"/>
    <n v="520"/>
    <n v="3.2181551472962702"/>
    <n v="0.25786499577694472"/>
    <n v="0.85"/>
    <s v="0.15"/>
    <n v="3.5796082164141385"/>
    <n v="679409.63947540347"/>
    <n v="11.818160170670774"/>
    <n v="10.608000000000001"/>
    <n v="2243086.8003933132"/>
    <s v="Contracted"/>
    <n v="4.9013357007384684E-2"/>
    <n v="33300.147213866469"/>
    <n v="2700.2953585992464"/>
    <n v="2896.0381375072666"/>
    <n v="0.31848367892841067"/>
    <n v="2842474.9314868012"/>
    <n v="924832.57124745531"/>
    <x v="0"/>
    <n v="3678.2479553474091"/>
    <n v="1912688.9367806527"/>
    <m/>
    <n v="0"/>
    <n v="0"/>
    <n v="0"/>
    <n v="679409.63947540347"/>
    <n v="0"/>
    <n v="0"/>
    <n v="0"/>
    <n v="0"/>
    <n v="679409.63947540347"/>
    <n v="2.064213334024792E-2"/>
    <n v="6.6429587660094797E-2"/>
    <n v="0.21897175047334994"/>
    <n v="3.1644736842104799"/>
  </r>
  <r>
    <s v="UNCHAHAR STPS6"/>
    <x v="53"/>
    <s v="Uttar Pradesh"/>
    <s v="NR"/>
    <x v="0"/>
    <x v="0"/>
    <n v="3.1759069130732298"/>
    <n v="500"/>
    <n v="3.89785620354185"/>
    <n v="0.32482135029515419"/>
    <n v="0.85"/>
    <s v="0.15"/>
    <n v="5.4655561945331641"/>
    <n v="997464.00550230243"/>
    <n v="12.772524301471595"/>
    <n v="10.199999999999999"/>
    <n v="2330985.6850185664"/>
    <s v="Contracted"/>
    <n v="1.1361835485414404E-2"/>
    <n v="11333.021933139647"/>
    <n v="2700.7825537143572"/>
    <n v="2874.3914901616677"/>
    <n v="0.31842622754551314"/>
    <n v="2329192.6124893883"/>
    <n v="947299.57960541453"/>
    <x v="0"/>
    <n v="4316.9523179673752"/>
    <n v="2158476.1589836874"/>
    <m/>
    <n v="424266.93318035739"/>
    <n v="524309.13117930223"/>
    <n v="34129.95821215913"/>
    <n v="0"/>
    <n v="14757.982930483966"/>
    <n v="0"/>
    <n v="0"/>
    <n v="0"/>
    <n v="997464.00550230267"/>
    <n v="0.10083552828968442"/>
    <n v="0.39304238948136616"/>
    <n v="1.028522388554781"/>
    <n v="3.0758627207431002"/>
  </r>
  <r>
    <s v="MARWA TPS2"/>
    <x v="54"/>
    <s v="Chhatisgarh"/>
    <s v="WR"/>
    <x v="1"/>
    <x v="0"/>
    <n v="3.8412046543463298"/>
    <n v="500"/>
    <n v="7.6545173418436701"/>
    <n v="0.63787644515363917"/>
    <n v="0.85"/>
    <s v="0.15"/>
    <n v="9.8422589517825489"/>
    <n v="1796212.2587003151"/>
    <n v="12.79359760742642"/>
    <n v="10.199999999999999"/>
    <n v="2334831.563355322"/>
    <s v="Contracted"/>
    <n v="0"/>
    <n v="0"/>
    <n v="2703.3041962861053"/>
    <n v="2773.4261343599328"/>
    <n v="0.31812919951128638"/>
    <n v="2395125.7804843658"/>
    <n v="1844028.5897348619"/>
    <x v="0"/>
    <n v="4202.034650864076"/>
    <n v="2101017.3254320379"/>
    <m/>
    <n v="0"/>
    <n v="0"/>
    <n v="0"/>
    <n v="0"/>
    <n v="0"/>
    <n v="0"/>
    <n v="1796212.2587003151"/>
    <n v="0"/>
    <n v="1796212.2587003151"/>
    <n v="6.1306523812621402E-2"/>
    <n v="0.46927184969186242"/>
    <n v="0.62532654288873823"/>
    <n v="1.29468430034129"/>
  </r>
  <r>
    <s v="BOKARO A TPS1"/>
    <x v="55"/>
    <s v="Jharkhand"/>
    <s v="ER"/>
    <x v="0"/>
    <x v="0"/>
    <n v="4.1752224503764497"/>
    <n v="500"/>
    <n v="8.0243895406359709"/>
    <n v="0.66869912838633094"/>
    <n v="0.85"/>
    <s v="0.15"/>
    <n v="10.281684204093212"/>
    <n v="1876407.367247011"/>
    <n v="12.804177621115674"/>
    <n v="10.199999999999999"/>
    <n v="2336762.4158536103"/>
    <s v="Not contracted"/>
    <n v="0"/>
    <n v="0"/>
    <n v="2705.8562716153319"/>
    <n v="2765.7891183057081"/>
    <n v="0.31782915043251742"/>
    <n v="2350420.6484423429"/>
    <n v="1890043.346821289"/>
    <x v="0"/>
    <m/>
    <n v="0"/>
    <m/>
    <m/>
    <m/>
    <m/>
    <m/>
    <m/>
    <m/>
    <m/>
    <m/>
    <n v="0"/>
    <n v="6.4777032841771623E-2"/>
    <n v="0.51979614480894498"/>
    <n v="0.66072573498607046"/>
    <m/>
  </r>
  <r>
    <s v="METTUR TPS EXT1"/>
    <x v="56"/>
    <s v="Tamil Nadu"/>
    <s v="SR"/>
    <x v="1"/>
    <x v="1"/>
    <n v="7.5893223819301801"/>
    <n v="600"/>
    <n v="7.8208142283313"/>
    <n v="0.54311209918967362"/>
    <n v="0.85"/>
    <s v="0.15"/>
    <n v="8.1217058061033249"/>
    <n v="1778653.5715366281"/>
    <n v="12.391529236447639"/>
    <n v="12.24"/>
    <n v="2713744.9027820327"/>
    <s v="Contracted"/>
    <n v="0.29531465817618852"/>
    <n v="525262.4714921962"/>
    <n v="2705.9479419119734"/>
    <n v="2807.3962435483236"/>
    <n v="0.31781838322888789"/>
    <n v="2820600.332544548"/>
    <n v="1869805.2817146287"/>
    <x v="0"/>
    <m/>
    <n v="0"/>
    <m/>
    <m/>
    <m/>
    <m/>
    <m/>
    <m/>
    <m/>
    <m/>
    <m/>
    <n v="0"/>
    <n v="0.08"/>
    <n v="0.62566513826650405"/>
    <n v="0.97920000000000007"/>
    <n v="3.6438735632183898"/>
  </r>
  <r>
    <s v="SAGARDIGHI TPS3"/>
    <x v="52"/>
    <s v="West Bengal"/>
    <s v="ER"/>
    <x v="1"/>
    <x v="0"/>
    <n v="4.4243668720054696"/>
    <n v="500"/>
    <n v="5.4267830369637498"/>
    <n v="0.45223191974697913"/>
    <n v="0.85"/>
    <s v="0.15"/>
    <n v="7.2778026396864188"/>
    <n v="1328198.9817427713"/>
    <n v="12.812069270670774"/>
    <n v="10.199999999999999"/>
    <n v="2338202.6418974162"/>
    <s v="Contracted"/>
    <n v="6.5371616889120401E-4"/>
    <n v="868.26514987008272"/>
    <n v="2707.9072527582193"/>
    <n v="2839.3979243691565"/>
    <n v="0.31758842520327146"/>
    <n v="1724541.4867545841"/>
    <n v="962073.84629614209"/>
    <x v="0"/>
    <n v="5845.9241366186579"/>
    <n v="2922962.068309329"/>
    <m/>
    <n v="158964.82165324729"/>
    <n v="35882.29067214446"/>
    <n v="1133351.8694173796"/>
    <n v="0"/>
    <n v="0"/>
    <n v="0"/>
    <n v="0"/>
    <n v="0"/>
    <n v="1328198.9817427713"/>
    <n v="9.5849721553511083E-2"/>
    <n v="0.52015564302429262"/>
    <n v="0.97766715984581298"/>
    <n v="2.9959402654867202"/>
  </r>
  <r>
    <s v="VINDHYACHAL STPS13"/>
    <x v="57"/>
    <s v="Madhya Pradesh"/>
    <s v="WR"/>
    <x v="0"/>
    <x v="0"/>
    <n v="4.7583846680355899"/>
    <n v="500"/>
    <n v="10.984117364910301"/>
    <n v="0.91534311374252497"/>
    <n v="0.85"/>
    <s v="0.15"/>
    <n v="13.731787628793899"/>
    <n v="2506051.2422548868"/>
    <n v="12.822649284360027"/>
    <n v="10.199999999999999"/>
    <n v="2340133.4943957049"/>
    <s v="Contracted"/>
    <n v="0"/>
    <n v="0"/>
    <n v="2710.311944116359"/>
    <n v="2688.7113925947556"/>
    <n v="0.31730664872983289"/>
    <n v="2267229.2426833636"/>
    <n v="2422062.4446121445"/>
    <x v="0"/>
    <n v="4450.5827544825906"/>
    <n v="2225291.3772412953"/>
    <s v="Pithead plant"/>
    <n v="0"/>
    <n v="0"/>
    <n v="0"/>
    <n v="0"/>
    <n v="2506051.2422548868"/>
    <n v="0"/>
    <n v="0"/>
    <n v="0"/>
    <n v="2506051.2422548868"/>
    <n v="6.5179373950034494E-2"/>
    <n v="0.71593789323855594"/>
    <n v="0.66482961429035181"/>
    <n v="1.57598885099557"/>
  </r>
  <r>
    <s v="CHANDRAPUR STPS9"/>
    <x v="58"/>
    <s v="Maharashtra"/>
    <s v="WR"/>
    <x v="1"/>
    <x v="0"/>
    <n v="4.1752224503764497"/>
    <n v="500"/>
    <n v="8.8910286667726002"/>
    <n v="0.74091905556438331"/>
    <n v="0.85"/>
    <s v="0.15"/>
    <n v="11.286501716899608"/>
    <n v="2059786.5633341784"/>
    <n v="12.804177621115674"/>
    <n v="10.199999999999999"/>
    <n v="2336762.4158536103"/>
    <s v="Contracted"/>
    <n v="3.3278847509413102E-2"/>
    <n v="68547.322943136198"/>
    <n v="2713.3591741478754"/>
    <n v="2749.4181928470903"/>
    <n v="0.31695029843223066"/>
    <n v="2415679.9381039753"/>
    <n v="2133657.6990115647"/>
    <x v="0"/>
    <n v="4181.7775798896982"/>
    <n v="2090888.7899448492"/>
    <m/>
    <n v="0"/>
    <n v="0"/>
    <n v="0"/>
    <n v="366.7728954045395"/>
    <n v="0"/>
    <n v="0"/>
    <n v="20341.743913347658"/>
    <n v="2039078.0465254262"/>
    <n v="2059786.5633341784"/>
    <n v="7.096074531932961E-2"/>
    <n v="0.63091402084970916"/>
    <n v="0.723799602257162"/>
    <n v="2.23661538461538"/>
  </r>
  <r>
    <s v="MAITHON RB TPP2"/>
    <x v="59"/>
    <s v="Jharkhand"/>
    <s v="ER"/>
    <x v="2"/>
    <x v="1"/>
    <n v="7.8412046543463303"/>
    <n v="525"/>
    <n v="9.7644689134311502"/>
    <n v="0.77495785027231356"/>
    <n v="0.85"/>
    <s v="0.15"/>
    <n v="10.856265065620201"/>
    <n v="2080331.793199471"/>
    <n v="11.900349007426419"/>
    <n v="10.71"/>
    <n v="2280404.3785480876"/>
    <s v="Contracted"/>
    <n v="1.7995376705771868E-2"/>
    <n v="37436.35429161838"/>
    <n v="2714.7799452385316"/>
    <n v="2739.5867187245922"/>
    <n v="0.31678442354355796"/>
    <n v="2392834.9246695158"/>
    <n v="2201518.3764564702"/>
    <x v="0"/>
    <n v="4435.1082949840093"/>
    <n v="2328431.8548666048"/>
    <m/>
    <n v="1209891.9456672128"/>
    <n v="866131.9338145128"/>
    <n v="4307.9137177455732"/>
    <n v="0"/>
    <n v="0"/>
    <n v="0"/>
    <n v="0"/>
    <n v="0"/>
    <n v="2080331.7931994712"/>
    <n v="5.5111041599405448E-2"/>
    <n v="0.53813005248420542"/>
    <n v="0.59023925552963241"/>
    <n v="2.4571169686985201"/>
  </r>
  <r>
    <s v="CHANDRAPUR STPS8"/>
    <x v="58"/>
    <s v="Maharashtra"/>
    <s v="WR"/>
    <x v="1"/>
    <x v="1"/>
    <n v="5.1772758384667998"/>
    <n v="500"/>
    <n v="8.5564452096458101"/>
    <n v="0.71303710080381744"/>
    <n v="0.85"/>
    <s v="0.15"/>
    <n v="10.93031175679719"/>
    <n v="1994781.8956154871"/>
    <n v="12.835917662183435"/>
    <n v="10.199999999999999"/>
    <n v="2342554.9733484769"/>
    <s v="Contracted"/>
    <n v="3.3278847509413102E-2"/>
    <n v="66384.042518725808"/>
    <n v="2721.0154001355554"/>
    <n v="2766.2913900783165"/>
    <n v="0.3160584831519721"/>
    <n v="2422496.2091292948"/>
    <n v="2065966.3014685495"/>
    <x v="0"/>
    <n v="4181.7775798896982"/>
    <n v="2090888.7899448492"/>
    <m/>
    <n v="0"/>
    <n v="0"/>
    <n v="0"/>
    <n v="355.19793389231302"/>
    <n v="0"/>
    <n v="0"/>
    <n v="19699.780164557367"/>
    <n v="1974726.9175170376"/>
    <n v="1994781.8956154874"/>
    <n v="7.096074531932961E-2"/>
    <n v="0.60717172936047414"/>
    <n v="0.723799602257162"/>
    <n v="2.23661538461538"/>
  </r>
  <r>
    <s v="MAITHON RB TPP1"/>
    <x v="59"/>
    <s v="Jharkhand"/>
    <s v="ER"/>
    <x v="2"/>
    <x v="1"/>
    <n v="8.6735112936344905"/>
    <n v="525"/>
    <n v="9.1142842113812499"/>
    <n v="0.7233558897921627"/>
    <n v="0.85"/>
    <s v="0.15"/>
    <n v="10.16467482167117"/>
    <n v="1947805.812702738"/>
    <n v="11.926712320225871"/>
    <n v="10.71"/>
    <n v="2285456.2483632825"/>
    <s v="Contracted"/>
    <n v="1.7995376705771868E-2"/>
    <n v="35051.499349277896"/>
    <n v="2721.1392149113581"/>
    <n v="2763.0041103956951"/>
    <n v="0.3160441021493326"/>
    <n v="2398440.0502691874"/>
    <n v="2072491.3843168961"/>
    <x v="0"/>
    <n v="4435.1082949840093"/>
    <n v="2328431.8548666048"/>
    <m/>
    <n v="1132816.6844426331"/>
    <n v="810955.64696280588"/>
    <n v="4033.481297299063"/>
    <n v="0"/>
    <n v="0"/>
    <n v="0"/>
    <n v="0"/>
    <n v="0"/>
    <n v="1947805.812702738"/>
    <n v="5.5111041599405448E-2"/>
    <n v="0.50229769632223631"/>
    <n v="0.59023925552963241"/>
    <n v="2.4571169686985201"/>
  </r>
  <r>
    <s v="MARWA TPS1"/>
    <x v="54"/>
    <s v="Chhatisgarh"/>
    <s v="WR"/>
    <x v="1"/>
    <x v="1"/>
    <n v="6.1765913757700197"/>
    <n v="500"/>
    <n v="7.7785229502314301"/>
    <n v="0.64821024585261922"/>
    <n v="0.85"/>
    <s v="0.15"/>
    <n v="10.060009595448763"/>
    <n v="1835951.7511693991"/>
    <n v="12.867570981827516"/>
    <n v="10.199999999999999"/>
    <n v="2348331.7041835221"/>
    <s v="Contracted"/>
    <n v="0"/>
    <n v="0"/>
    <n v="2721.1478049404514"/>
    <n v="2787.8536861166563"/>
    <n v="0.3160431044717984"/>
    <n v="2410935.206283953"/>
    <n v="1883650.6058638908"/>
    <x v="0"/>
    <n v="4202.034650864076"/>
    <n v="2101017.3254320379"/>
    <m/>
    <n v="0"/>
    <n v="0"/>
    <n v="0"/>
    <n v="0"/>
    <n v="0"/>
    <n v="0"/>
    <n v="1835951.7511693991"/>
    <n v="0"/>
    <n v="1835951.7511693991"/>
    <n v="6.1306523812621402E-2"/>
    <n v="0.47687420247538526"/>
    <n v="0.62532654288873823"/>
    <n v="1.29468430034129"/>
  </r>
  <r>
    <s v="VALLUR TPP3"/>
    <x v="60"/>
    <s v="Tamil Nadu"/>
    <s v="SR"/>
    <x v="0"/>
    <x v="1"/>
    <n v="6.2532511978097096"/>
    <n v="500"/>
    <n v="5.1219638935260399"/>
    <n v="0.42683032446050334"/>
    <n v="0.85"/>
    <s v="0.15"/>
    <n v="6.9823125350069439"/>
    <n v="1274272.0376387674"/>
    <n v="12.869999181690623"/>
    <n v="10.199999999999999"/>
    <n v="2348774.8506585388"/>
    <s v="Contracted"/>
    <n v="0"/>
    <n v="0"/>
    <n v="2721.7335271471593"/>
    <n v="2861.6212345938616"/>
    <n v="0.31597509139751334"/>
    <n v="2410384.4211993683"/>
    <n v="1272592.0310226907"/>
    <x v="0"/>
    <n v="4203.8995242621295"/>
    <n v="2101949.7621310647"/>
    <m/>
    <n v="0"/>
    <n v="49127.651067981824"/>
    <n v="249403.99607504785"/>
    <n v="975740.39049573778"/>
    <n v="0"/>
    <n v="0"/>
    <n v="0"/>
    <n v="0"/>
    <n v="1274272.0376387674"/>
    <n v="7.9840284877193357E-2"/>
    <n v="0.40893905638981748"/>
    <n v="0.81437090574737214"/>
    <n v="3.3957030663158698"/>
  </r>
  <r>
    <s v="RIHAND STPS6"/>
    <x v="61"/>
    <s v="Uttar Pradesh"/>
    <s v="NR"/>
    <x v="0"/>
    <x v="1"/>
    <n v="6.5900068446269602"/>
    <n v="500"/>
    <n v="11.457591315747599"/>
    <n v="0.95479927631229988"/>
    <n v="0.85"/>
    <s v="0.15"/>
    <n v="14.338769687919482"/>
    <n v="2616825.4680453055"/>
    <n v="12.88066591680356"/>
    <n v="10.199999999999999"/>
    <n v="2350721.5298166499"/>
    <s v="Contracted"/>
    <n v="0"/>
    <n v="0"/>
    <n v="2724.3065211266257"/>
    <n v="2689.6628985969369"/>
    <n v="0.31567666609128497"/>
    <n v="2278216.3334095469"/>
    <n v="2526562.226854349"/>
    <x v="0"/>
    <n v="4451.988614696289"/>
    <n v="2225994.3073481447"/>
    <s v="Pithead plant"/>
    <n v="0"/>
    <n v="0"/>
    <n v="0"/>
    <n v="0"/>
    <n v="2616825.4680453055"/>
    <n v="0"/>
    <n v="0"/>
    <n v="0"/>
    <n v="2616825.4680453055"/>
    <n v="6.6356788102148762E-2"/>
    <n v="0.76028895910008332"/>
    <n v="0.67683923864191731"/>
    <n v="1.3694070648985099"/>
  </r>
  <r>
    <s v="KORBA-WEST TPS5"/>
    <x v="62"/>
    <s v="Chhatisgarh"/>
    <s v="WR"/>
    <x v="1"/>
    <x v="1"/>
    <n v="6.8418891170431202"/>
    <n v="500"/>
    <n v="10.4309758682486"/>
    <n v="0.86924798902071676"/>
    <n v="0.85"/>
    <s v="0.15"/>
    <n v="13.15644733342428"/>
    <n v="2401051.6383499308"/>
    <n v="12.888644287782341"/>
    <n v="10.199999999999999"/>
    <n v="2352177.5825202777"/>
    <s v="Contracted"/>
    <n v="0"/>
    <n v="0"/>
    <n v="2726.231036948665"/>
    <n v="2719.8682061205"/>
    <n v="0.31545382190445431"/>
    <n v="2445080.5354060805"/>
    <n v="2494612.762772812"/>
    <x v="0"/>
    <n v="4151.0935953175876"/>
    <n v="2075546.7976587939"/>
    <s v="Pithead plant"/>
    <n v="0"/>
    <n v="0"/>
    <n v="0"/>
    <n v="0"/>
    <n v="0"/>
    <n v="0"/>
    <n v="2401051.6383499308"/>
    <n v="0"/>
    <n v="2401051.6383499308"/>
    <n v="6.0941992912102581E-2"/>
    <n v="0.63568445742911928"/>
    <n v="0.62160832770344632"/>
    <n v="1.2940899122806999"/>
  </r>
  <r>
    <s v="VINDHYACHAL STPS12"/>
    <x v="57"/>
    <s v="Madhya Pradesh"/>
    <s v="WR"/>
    <x v="0"/>
    <x v="1"/>
    <n v="7.1759069130732298"/>
    <n v="500"/>
    <n v="11.273447071702201"/>
    <n v="0.93945392264185013"/>
    <n v="0.85"/>
    <s v="0.15"/>
    <n v="14.143823563364448"/>
    <n v="2581247.8003140115"/>
    <n v="12.899224301471595"/>
    <n v="10.199999999999999"/>
    <n v="2354108.435018566"/>
    <s v="Contracted"/>
    <n v="0"/>
    <n v="0"/>
    <n v="2728.7831122778916"/>
    <n v="2699.2122217254682"/>
    <n v="0.3151587959228106"/>
    <n v="2282680.7381074461"/>
    <n v="2495569.9389000032"/>
    <x v="0"/>
    <n v="4450.5827544825906"/>
    <n v="2225291.3772412953"/>
    <s v="Pithead plant"/>
    <n v="0"/>
    <n v="0"/>
    <n v="0"/>
    <n v="0"/>
    <n v="2581247.8003140115"/>
    <n v="0"/>
    <n v="0"/>
    <n v="0"/>
    <n v="2581247.8003140115"/>
    <n v="6.5179373950034494E-2"/>
    <n v="0.73479622239239906"/>
    <n v="0.66482961429035181"/>
    <n v="1.5355901083017101"/>
  </r>
  <r>
    <s v="KODARMA TPS2"/>
    <x v="63"/>
    <s v="Jharkhand"/>
    <s v="ER"/>
    <x v="0"/>
    <x v="1"/>
    <n v="7.2525667351129304"/>
    <n v="500"/>
    <n v="8.0772158135141296"/>
    <n v="0.67310131779284421"/>
    <n v="0.85"/>
    <s v="0.15"/>
    <n v="10.440408066181881"/>
    <n v="1905374.4720781932"/>
    <n v="12.901652501334702"/>
    <n v="10.199999999999999"/>
    <n v="2354551.5814935835"/>
    <s v="Contracted"/>
    <n v="0"/>
    <n v="0"/>
    <n v="2729.3688344845996"/>
    <n v="2787.8464441402375"/>
    <n v="0.31509116288506245"/>
    <n v="2363226.8145728828"/>
    <n v="1911496.6515794497"/>
    <x v="0"/>
    <n v="4299.8158738405682"/>
    <n v="2149907.9369202843"/>
    <m/>
    <n v="586718.73041160463"/>
    <n v="1312932.0553014467"/>
    <n v="5723.6863651418716"/>
    <n v="0"/>
    <n v="0"/>
    <n v="0"/>
    <n v="0"/>
    <n v="0"/>
    <n v="1905374.4720781932"/>
    <n v="8.5199811693282709E-2"/>
    <n v="0.68817726631740916"/>
    <n v="0.86903807927148358"/>
    <n v="2.2301631812420699"/>
  </r>
  <r>
    <s v="VALLUR TPP2"/>
    <x v="60"/>
    <s v="Tamil Nadu"/>
    <s v="SR"/>
    <x v="0"/>
    <x v="1"/>
    <n v="7.2525667351129304"/>
    <n v="500"/>
    <n v="6.2411626781079503"/>
    <n v="0.52009688984232916"/>
    <n v="0.85"/>
    <s v="0.15"/>
    <n v="8.3116115587779795"/>
    <n v="1516869.1094769812"/>
    <n v="12.901652501334702"/>
    <n v="10.199999999999999"/>
    <n v="2354551.5814935835"/>
    <s v="Contracted"/>
    <n v="0"/>
    <n v="0"/>
    <n v="2729.3688344845996"/>
    <n v="2838.4253014931528"/>
    <n v="0.31509116288506245"/>
    <n v="2417146.2976555573"/>
    <n v="1538096.2349892964"/>
    <x v="0"/>
    <n v="4203.8995242621295"/>
    <n v="2101949.7621310647"/>
    <m/>
    <n v="0"/>
    <n v="58480.618050971134"/>
    <n v="296885.75614307186"/>
    <n v="1161502.7352829385"/>
    <n v="0"/>
    <n v="0"/>
    <n v="0"/>
    <n v="0"/>
    <n v="1516869.1094769815"/>
    <n v="7.9840284877193357E-2"/>
    <n v="0.49829620618504578"/>
    <n v="0.81437090574737214"/>
    <n v="3.3957030663158698"/>
  </r>
  <r>
    <s v="VINDHYACHAL STPS11"/>
    <x v="57"/>
    <s v="Madhya Pradesh"/>
    <s v="WR"/>
    <x v="0"/>
    <x v="1"/>
    <n v="7.9233401779603003"/>
    <n v="500"/>
    <n v="10.983951617317301"/>
    <n v="0.91532930144310842"/>
    <n v="0.85"/>
    <s v="0.15"/>
    <n v="13.831845419905292"/>
    <n v="2524311.7891327157"/>
    <n v="12.922899250136892"/>
    <n v="10.199999999999999"/>
    <n v="2358429.1131499829"/>
    <s v="Contracted"/>
    <n v="0"/>
    <n v="0"/>
    <n v="2734.4939037932927"/>
    <n v="2712.8979182200824"/>
    <n v="0.31450060971319305"/>
    <n v="2287457.927519422"/>
    <n v="2443813.4304883359"/>
    <x v="0"/>
    <n v="4450.5827544825906"/>
    <n v="2225291.3772412953"/>
    <s v="Pithead plant"/>
    <n v="0"/>
    <n v="0"/>
    <n v="0"/>
    <n v="0"/>
    <n v="2524311.7891327157"/>
    <n v="0"/>
    <n v="0"/>
    <n v="0"/>
    <n v="2524311.7891327157"/>
    <n v="6.5179373950034494E-2"/>
    <n v="0.7159270899142105"/>
    <n v="0.66482961429035181"/>
    <n v="1.5355901083017101"/>
  </r>
  <r>
    <s v="RIHAND STPS5"/>
    <x v="61"/>
    <s v="Uttar Pradesh"/>
    <s v="NR"/>
    <x v="0"/>
    <x v="1"/>
    <n v="8.00821355236139"/>
    <n v="500"/>
    <n v="10.8166125236153"/>
    <n v="0.90138437696794171"/>
    <n v="0.85"/>
    <s v="0.15"/>
    <n v="13.640513866339109"/>
    <n v="2489393.7806068878"/>
    <n v="12.925587614271047"/>
    <n v="10.199999999999999"/>
    <n v="2358919.7396044661"/>
    <s v="Contracted"/>
    <n v="0"/>
    <n v="0"/>
    <n v="2735.142381950719"/>
    <n v="2718.1561867951741"/>
    <n v="0.31442604438992428"/>
    <n v="2287277.8817061726"/>
    <n v="2410485.3696782058"/>
    <x v="0"/>
    <n v="4451.988614696289"/>
    <n v="2225994.3073481447"/>
    <s v="Pithead plant"/>
    <n v="0"/>
    <n v="0"/>
    <n v="0"/>
    <n v="0"/>
    <n v="2489393.7806068878"/>
    <n v="0"/>
    <n v="0"/>
    <n v="0"/>
    <n v="2489393.7806068878"/>
    <n v="6.6356788102148762E-2"/>
    <n v="0.71775566521258904"/>
    <n v="0.67683923864191731"/>
    <n v="1.3694070648985099"/>
  </r>
  <r>
    <s v="MAUDA TPS2"/>
    <x v="19"/>
    <s v="Maharashtra"/>
    <s v="WR"/>
    <x v="0"/>
    <x v="1"/>
    <n v="7.1759069130732298"/>
    <n v="500"/>
    <n v="6.3853825493935004"/>
    <n v="0.53211521244945836"/>
    <n v="0.85"/>
    <s v="0.15"/>
    <n v="8.4763978868446426"/>
    <n v="1546942.6143491473"/>
    <n v="12.899224301471595"/>
    <n v="10.199999999999999"/>
    <n v="2354108.435018566"/>
    <s v="Contracted"/>
    <n v="2.9640974451316578E-2"/>
    <n v="45852.886509575954"/>
    <n v="2735.4658359573978"/>
    <n v="2840.5493916397254"/>
    <n v="0.31438886521461701"/>
    <n v="2432888.9774169247"/>
    <n v="1581539.671022319"/>
    <x v="0"/>
    <n v="4186.0271478899185"/>
    <n v="2093013.5739449593"/>
    <m/>
    <n v="113025.22818238763"/>
    <n v="6999.5420648257077"/>
    <n v="15937.208217153786"/>
    <n v="364172.38657022303"/>
    <n v="221887.30233625241"/>
    <n v="0"/>
    <n v="149498.99330516765"/>
    <n v="675421.95367313712"/>
    <n v="1546942.6143491473"/>
    <n v="7.3009693702312639E-2"/>
    <n v="0.46619482410331164"/>
    <n v="0.74469887576358884"/>
    <n v="2.9910847885541001"/>
  </r>
  <r>
    <s v="BELLARY TPS2"/>
    <x v="8"/>
    <s v="Karnataka"/>
    <s v="SR"/>
    <x v="1"/>
    <x v="1"/>
    <n v="8.1752224503764506"/>
    <n v="500"/>
    <n v="5.2037938662005301"/>
    <n v="0.43364948885004417"/>
    <n v="0.85"/>
    <s v="0.15"/>
    <n v="7.1380680543329937"/>
    <n v="1302697.4199157713"/>
    <n v="12.930877621115675"/>
    <n v="10.199999999999999"/>
    <n v="2359885.1658536107"/>
    <s v="Contracted"/>
    <n v="0"/>
    <n v="0"/>
    <n v="2736.4184196153319"/>
    <n v="2874.0519077067866"/>
    <n v="0.31427942226791955"/>
    <n v="2957849.5252530957"/>
    <n v="1584922.7229538092"/>
    <x v="0"/>
    <n v="3444.2880509129841"/>
    <n v="1722144.0254564921"/>
    <m/>
    <n v="0"/>
    <n v="0"/>
    <n v="0"/>
    <n v="1302697.4199157713"/>
    <n v="0"/>
    <n v="0"/>
    <n v="0"/>
    <n v="0"/>
    <n v="1302697.4199157713"/>
    <n v="6.6702414133670743E-2"/>
    <n v="0.34710561352956337"/>
    <n v="0.68036462416344157"/>
    <n v="3.5768181818181799"/>
  </r>
  <r>
    <s v="DURGAPUR STEEL TPS2"/>
    <x v="64"/>
    <s v="West Bengal"/>
    <s v="ER"/>
    <x v="0"/>
    <x v="1"/>
    <n v="8.1752224503764506"/>
    <n v="500"/>
    <n v="9.2190227651535199"/>
    <n v="0.76825189709612673"/>
    <n v="0.85"/>
    <s v="0.15"/>
    <n v="11.793491740983216"/>
    <n v="2152312.2427294371"/>
    <n v="12.930877621115675"/>
    <n v="10.199999999999999"/>
    <n v="2359885.1658536107"/>
    <s v="Contracted"/>
    <n v="0"/>
    <n v="0"/>
    <n v="2736.4184196153319"/>
    <n v="2763.4419880899891"/>
    <n v="0.31427942226791955"/>
    <n v="1934292.6722524913"/>
    <n v="1765528.567396227"/>
    <x v="0"/>
    <n v="5266.8791658938981"/>
    <n v="2633439.5829469492"/>
    <m/>
    <n v="618850.9263993483"/>
    <n v="0"/>
    <n v="1285509.6030151665"/>
    <n v="247951.71331492244"/>
    <n v="0"/>
    <n v="0"/>
    <n v="0"/>
    <n v="0"/>
    <n v="2152312.2427294371"/>
    <n v="5.4428108538354968E-2"/>
    <n v="0.50177397167934112"/>
    <n v="0.55516670709122062"/>
    <n v="2.17"/>
  </r>
  <r>
    <s v="VALLUR TPP1"/>
    <x v="60"/>
    <s v="Tamil Nadu"/>
    <s v="SR"/>
    <x v="0"/>
    <x v="1"/>
    <n v="8.1752224503764506"/>
    <n v="500"/>
    <n v="6.2597657750233902"/>
    <n v="0.52164714791861588"/>
    <n v="0.85"/>
    <s v="0.15"/>
    <n v="8.3624058842517535"/>
    <n v="1526139.0738759451"/>
    <n v="12.930877621115675"/>
    <n v="10.199999999999999"/>
    <n v="2359885.1658536107"/>
    <s v="Contracted"/>
    <n v="0"/>
    <n v="0"/>
    <n v="2736.4184196153319"/>
    <n v="2844.9624159512978"/>
    <n v="0.31427942226791955"/>
    <n v="2423389.4548219559"/>
    <n v="1546233.7681559704"/>
    <x v="0"/>
    <n v="4203.8995242621295"/>
    <n v="2101949.7621310647"/>
    <m/>
    <n v="0"/>
    <n v="58838.007652997389"/>
    <n v="298700.0988393607"/>
    <n v="1168600.967383587"/>
    <n v="0"/>
    <n v="0"/>
    <n v="0"/>
    <n v="0"/>
    <n v="1526139.0738759451"/>
    <n v="7.9840284877193357E-2"/>
    <n v="0.49978148274237255"/>
    <n v="0.81437090574737214"/>
    <n v="3.3957030663158698"/>
  </r>
  <r>
    <s v="SIMHADRI STPP4"/>
    <x v="65"/>
    <s v="Andhra Pradesh"/>
    <s v="SR"/>
    <x v="0"/>
    <x v="1"/>
    <n v="8.1752224503764506"/>
    <n v="500"/>
    <n v="8.1922288980701605"/>
    <n v="0.6826857415058466"/>
    <n v="0.85"/>
    <s v="0.15"/>
    <n v="10.602984148408972"/>
    <n v="1935044.6070846375"/>
    <n v="12.930877621115675"/>
    <n v="10.199999999999999"/>
    <n v="2359885.1658536107"/>
    <s v="Contracted"/>
    <n v="1.6194662129857273E-2"/>
    <n v="31337.39361793812"/>
    <n v="2740.0695968826162"/>
    <n v="2795.3788720901389"/>
    <n v="0.31386064097730365"/>
    <n v="2367451.018214725"/>
    <n v="1939822.5046423788"/>
    <x v="0"/>
    <n v="4308.9715608505721"/>
    <n v="2154485.7804252859"/>
    <m/>
    <n v="0"/>
    <n v="21842.51497875205"/>
    <n v="546912.97458982526"/>
    <n v="1365953.9623092094"/>
    <n v="335.15520685027877"/>
    <n v="0"/>
    <n v="0"/>
    <n v="0"/>
    <n v="1935044.607084637"/>
    <n v="5.6962700163683135E-2"/>
    <n v="0.46665147839303084"/>
    <n v="0.58101954166956793"/>
    <n v="2.9592455722167998"/>
  </r>
  <r>
    <s v="DURGAPUR STEEL TPS1"/>
    <x v="64"/>
    <s v="West Bengal"/>
    <s v="ER"/>
    <x v="0"/>
    <x v="1"/>
    <n v="8.8432580424366805"/>
    <n v="500"/>
    <n v="8.3721618440242196"/>
    <n v="0.69768015366868497"/>
    <n v="0.85"/>
    <s v="0.15"/>
    <n v="10.832765930532696"/>
    <n v="1976979.782322217"/>
    <n v="12.952037648494182"/>
    <n v="10.199999999999999"/>
    <n v="2363746.8708501882"/>
    <s v="Contracted"/>
    <n v="0"/>
    <n v="0"/>
    <n v="2741.5225702737853"/>
    <n v="2791.8751246593433"/>
    <n v="0.31369429868093884"/>
    <n v="1937900.6443177089"/>
    <n v="1619843.7109226873"/>
    <x v="0"/>
    <n v="5266.8791658938981"/>
    <n v="2633439.5829469492"/>
    <m/>
    <n v="568437.86206938571"/>
    <n v="0"/>
    <n v="1180788.9416264037"/>
    <n v="227752.97862642771"/>
    <n v="0"/>
    <n v="0"/>
    <n v="0"/>
    <n v="0"/>
    <n v="1976979.7823222172"/>
    <n v="5.4428108538354968E-2"/>
    <n v="0.45568093354722428"/>
    <n v="0.55516670709122062"/>
    <n v="2.17"/>
  </r>
  <r>
    <s v="KODARMA TPS1"/>
    <x v="63"/>
    <s v="Jharkhand"/>
    <s v="ER"/>
    <x v="0"/>
    <x v="1"/>
    <n v="8.8432580424366805"/>
    <n v="500"/>
    <n v="9.6170488087292707"/>
    <n v="0.80142073406077252"/>
    <n v="0.85"/>
    <s v="0.15"/>
    <n v="12.276139747701928"/>
    <n v="2240395.5039556017"/>
    <n v="12.952037648494182"/>
    <n v="10.199999999999999"/>
    <n v="2363746.8708501882"/>
    <s v="Contracted"/>
    <n v="0"/>
    <n v="0"/>
    <n v="2741.5225702737853"/>
    <n v="2757.5814765104346"/>
    <n v="0.31369429868093884"/>
    <n v="2373750.1392153222"/>
    <n v="2251195.3296585837"/>
    <x v="0"/>
    <n v="4299.8158738405682"/>
    <n v="2149907.9369202843"/>
    <m/>
    <n v="689881.18869200104"/>
    <n v="1543784.236013337"/>
    <n v="6730.0792502638205"/>
    <n v="0"/>
    <n v="0"/>
    <n v="0"/>
    <n v="0"/>
    <n v="0"/>
    <n v="2240395.5039556022"/>
    <n v="8.5199811693282709E-2"/>
    <n v="0.81937074754884265"/>
    <n v="0.86903807927148358"/>
    <n v="2.2301631812420699"/>
  </r>
  <r>
    <s v="INDIRA GANDHI STPP3"/>
    <x v="66"/>
    <s v="Haryana"/>
    <s v="NR"/>
    <x v="0"/>
    <x v="1"/>
    <n v="7.5044490075290797"/>
    <n v="500"/>
    <n v="6.3909532157423499"/>
    <n v="0.53257943464519586"/>
    <n v="0.85"/>
    <s v="0.15"/>
    <n v="8.4932633203624874"/>
    <n v="1550020.5559661542"/>
    <n v="12.909630872313484"/>
    <n v="10.199999999999999"/>
    <n v="2356007.6341972109"/>
    <s v="Contracted"/>
    <n v="4.6404866790173083E-2"/>
    <n v="71928.497421639404"/>
    <n v="2741.7555873917372"/>
    <n v="2846.6856845857533"/>
    <n v="0.31366763833902772"/>
    <n v="2162865.6849648221"/>
    <n v="1407037.9045491589"/>
    <x v="0"/>
    <n v="4719.459059717552"/>
    <n v="2359729.5298587759"/>
    <m/>
    <n v="0"/>
    <n v="646748.81974307855"/>
    <n v="331951.81486149988"/>
    <n v="0"/>
    <n v="571319.92136157549"/>
    <n v="0"/>
    <n v="0"/>
    <n v="0"/>
    <n v="1550020.5559661537"/>
    <n v="6.5600274643046297E-2"/>
    <n v="0.41924828618355808"/>
    <n v="0.66912280135907221"/>
    <n v="3.40206647723695"/>
  </r>
  <r>
    <s v="KOTHAGUDEM NEW TPS11"/>
    <x v="67"/>
    <s v="Telangana"/>
    <s v="SR"/>
    <x v="1"/>
    <x v="1"/>
    <n v="8.9253935660506496"/>
    <n v="500"/>
    <n v="10.0923394388827"/>
    <n v="0.84102828657355833"/>
    <n v="0.85"/>
    <s v="0.15"/>
    <n v="12.829813150788544"/>
    <n v="2341440.9000189095"/>
    <n v="12.954639291204655"/>
    <n v="10.199999999999999"/>
    <n v="2364221.67064485"/>
    <s v="Contracted"/>
    <n v="0"/>
    <n v="0"/>
    <n v="2742.1501297809718"/>
    <n v="2745.1159198544069"/>
    <n v="0.31362250763005894"/>
    <n v="2381947.0212726453"/>
    <n v="2359354.6912556598"/>
    <x v="0"/>
    <m/>
    <n v="0"/>
    <m/>
    <m/>
    <m/>
    <m/>
    <m/>
    <m/>
    <m/>
    <m/>
    <m/>
    <n v="0"/>
    <n v="7.0000000000000007E-2"/>
    <n v="0.70646376072178907"/>
    <n v="0.71399999999999997"/>
    <n v="3.0424342105263098"/>
  </r>
  <r>
    <s v="MAUDA TPS1"/>
    <x v="19"/>
    <s v="Maharashtra"/>
    <s v="WR"/>
    <x v="0"/>
    <x v="1"/>
    <n v="8.0903490759753591"/>
    <n v="500"/>
    <n v="7.4143467115136703"/>
    <n v="0.61786222595947249"/>
    <n v="0.85"/>
    <s v="0.15"/>
    <n v="9.6983867654234484"/>
    <n v="1769955.5846897794"/>
    <n v="12.92818925698152"/>
    <n v="10.199999999999999"/>
    <n v="2359394.5393991275"/>
    <s v="Contracted"/>
    <n v="2.9640974451316578E-2"/>
    <n v="52463.208265754838"/>
    <n v="2742.4526651374117"/>
    <n v="2819.1907276673173"/>
    <n v="0.31358791016978566"/>
    <n v="2439102.975587076"/>
    <n v="1822586.6001947594"/>
    <x v="0"/>
    <n v="4186.0271478899185"/>
    <n v="2093013.5739449593"/>
    <m/>
    <n v="129319.3632243569"/>
    <n v="8008.621944338719"/>
    <n v="18234.775114901942"/>
    <n v="416672.82510732574"/>
    <n v="253875.39673346895"/>
    <n v="0"/>
    <n v="171051.32126527568"/>
    <n v="772793.28130011144"/>
    <n v="1769955.5846897794"/>
    <n v="7.3009693702312639E-2"/>
    <n v="0.54131918241036203"/>
    <n v="0.74469887576358884"/>
    <n v="2.9910847885541001"/>
  </r>
  <r>
    <s v="MEJIA TPS8"/>
    <x v="68"/>
    <s v="West Bengal"/>
    <s v="ER"/>
    <x v="0"/>
    <x v="1"/>
    <n v="9.1772758384667998"/>
    <n v="500"/>
    <n v="6.9566407955929801"/>
    <n v="0.57972006629941497"/>
    <n v="0.85"/>
    <s v="0.15"/>
    <n v="9.2021318606270874"/>
    <n v="1679389.0645644434"/>
    <n v="12.962617662183437"/>
    <n v="10.199999999999999"/>
    <n v="2365677.7233484769"/>
    <s v="Not contracted"/>
    <n v="0"/>
    <n v="0"/>
    <n v="2744.074645603012"/>
    <n v="2833.4214076223343"/>
    <n v="0.31340255316233007"/>
    <n v="2224072.8276783675"/>
    <n v="1566259.2954132133"/>
    <x v="0"/>
    <n v="4593.4601504233742"/>
    <n v="2296730.075211687"/>
    <m/>
    <n v="1050800.5166255967"/>
    <n v="24722.900896333758"/>
    <n v="520800.64167825493"/>
    <n v="83065.005364258293"/>
    <n v="0"/>
    <n v="0"/>
    <n v="0"/>
    <n v="0"/>
    <n v="1679389.0645644437"/>
    <n v="8.3678646324733194E-2"/>
    <n v="0.5821222847426355"/>
    <n v="0.85352219251227857"/>
    <n v="2.5933434925569898"/>
  </r>
  <r>
    <s v="BHUSAWAL TPS4"/>
    <x v="69"/>
    <s v="Maharashtra"/>
    <s v="WR"/>
    <x v="1"/>
    <x v="1"/>
    <n v="8.1752224503764506"/>
    <n v="500"/>
    <n v="8.2825333192082908"/>
    <n v="0.69021110993402424"/>
    <n v="0.85"/>
    <s v="0.15"/>
    <n v="10.707686856960734"/>
    <n v="1954152.8513953339"/>
    <n v="12.930877621115675"/>
    <n v="10.199999999999999"/>
    <n v="2359885.1658536107"/>
    <s v="Contracted"/>
    <n v="3.8557742899071587E-2"/>
    <n v="75347.723229588926"/>
    <n v="2745.1114786752878"/>
    <n v="2797.9330838110654"/>
    <n v="0.31328418050803947"/>
    <n v="2364465.646443204"/>
    <n v="1956921.3262505694"/>
    <x v="0"/>
    <n v="4322.3508239512021"/>
    <n v="2161175.4119756012"/>
    <m/>
    <n v="0"/>
    <n v="0"/>
    <n v="0"/>
    <n v="0"/>
    <n v="0"/>
    <n v="0"/>
    <n v="35323.885535874571"/>
    <n v="1918828.9658594595"/>
    <n v="1954152.8513953341"/>
    <n v="6.8124170867604139E-2"/>
    <n v="0.56424071505437001"/>
    <n v="0.69486654284956217"/>
    <n v="2.7322637362637301"/>
  </r>
  <r>
    <s v="BHUSAWAL TPS5"/>
    <x v="69"/>
    <s v="Maharashtra"/>
    <s v="WR"/>
    <x v="1"/>
    <x v="1"/>
    <n v="8.1752224503764506"/>
    <n v="500"/>
    <n v="8.3640380307925906"/>
    <n v="0.69700316923271577"/>
    <n v="0.85"/>
    <s v="0.15"/>
    <n v="10.802186815601219"/>
    <n v="1971399.0938472224"/>
    <n v="12.930877621115675"/>
    <n v="10.199999999999999"/>
    <n v="2359885.1658536107"/>
    <s v="Contracted"/>
    <n v="3.8557742899071587E-2"/>
    <n v="76012.699412023896"/>
    <n v="2745.1114786752878"/>
    <n v="2795.6878246182259"/>
    <n v="0.31328418050803947"/>
    <n v="2364465.646443204"/>
    <n v="1974592.6898348504"/>
    <x v="0"/>
    <n v="4322.3508239512021"/>
    <n v="2161175.4119756012"/>
    <m/>
    <n v="0"/>
    <n v="0"/>
    <n v="0"/>
    <n v="0"/>
    <n v="0"/>
    <n v="0"/>
    <n v="35635.634073794441"/>
    <n v="1935763.459773428"/>
    <n v="1971399.0938472224"/>
    <n v="6.8124170867604139E-2"/>
    <n v="0.56979315595285374"/>
    <n v="0.69486654284956217"/>
    <n v="2.7322637362637301"/>
  </r>
  <r>
    <s v="KHAPARKHEDA TPS5"/>
    <x v="70"/>
    <s v="Maharashtra"/>
    <s v="WR"/>
    <x v="1"/>
    <x v="1"/>
    <n v="8.7583846680355908"/>
    <n v="500"/>
    <n v="8.5379622238112898"/>
    <n v="0.71149685198427415"/>
    <n v="0.85"/>
    <s v="0.15"/>
    <n v="11.02231343507283"/>
    <n v="2011572.2019007916"/>
    <n v="12.949349284360027"/>
    <n v="10.199999999999999"/>
    <n v="2363256.2443957049"/>
    <s v="Contracted"/>
    <n v="2.4285213526101211E-2"/>
    <n v="48851.460446330297"/>
    <n v="2746.3493295030144"/>
    <n v="2792.1344813463502"/>
    <n v="0.31314297520761047"/>
    <n v="2650427.1180610876"/>
    <n v="2255539.7118947296"/>
    <x v="0"/>
    <n v="3857.7399408815058"/>
    <n v="1928869.970440753"/>
    <m/>
    <n v="0"/>
    <n v="0"/>
    <n v="0"/>
    <n v="612363.45600966667"/>
    <n v="0"/>
    <n v="0"/>
    <n v="100723.57113079439"/>
    <n v="1298485.1747603305"/>
    <n v="2011572.2019007914"/>
    <n v="8.9781177379789912E-2"/>
    <n v="0.7665483008779469"/>
    <n v="0.91576800927385704"/>
    <n v="2.3509670329670298"/>
  </r>
  <r>
    <s v="FARAKKA STPS6"/>
    <x v="71"/>
    <s v="West Bengal"/>
    <s v="ER"/>
    <x v="0"/>
    <x v="1"/>
    <n v="9.1772758384667998"/>
    <n v="500"/>
    <n v="8.6964591009410803"/>
    <n v="0.72470492507842332"/>
    <n v="0.85"/>
    <s v="0.15"/>
    <n v="11.219349696277064"/>
    <n v="2047531.3195705642"/>
    <n v="12.962617662183437"/>
    <n v="10.199999999999999"/>
    <n v="2365677.7233484769"/>
    <s v="Contracted"/>
    <n v="1.1012599888399872E-2"/>
    <n v="22548.643181398038"/>
    <n v="2746.5574979184112"/>
    <n v="2787.9764411893266"/>
    <n v="0.31311924132365171"/>
    <n v="2107873.4439029596"/>
    <n v="1824262.0509856616"/>
    <x v="0"/>
    <n v="4851.0661749297096"/>
    <n v="2425533.0874648546"/>
    <s v="Pithead plant"/>
    <n v="77958.321735335136"/>
    <n v="0"/>
    <n v="1931154.1715462955"/>
    <n v="920.93870915478351"/>
    <n v="0"/>
    <n v="37497.887579778479"/>
    <n v="0"/>
    <n v="0"/>
    <n v="2047531.3195705637"/>
    <n v="7.0380830688675913E-2"/>
    <n v="0.61206401557432888"/>
    <n v="0.71788447302449432"/>
    <n v="2.54430372795444"/>
  </r>
  <r>
    <s v="KORBA STPS7"/>
    <x v="72"/>
    <s v="Chhatisgarh"/>
    <s v="WR"/>
    <x v="0"/>
    <x v="1"/>
    <n v="9.5058179329226498"/>
    <n v="500"/>
    <n v="10.868872508111901"/>
    <n v="0.90573937567599172"/>
    <n v="0.85"/>
    <s v="0.15"/>
    <n v="13.748542888618102"/>
    <n v="2509109.0771728037"/>
    <n v="12.973024233025326"/>
    <n v="10.199999999999999"/>
    <n v="2367576.9225271218"/>
    <s v="Contracted"/>
    <n v="0"/>
    <n v="0"/>
    <n v="2746.5848836317591"/>
    <n v="2728.1590513272954"/>
    <n v="0.313116119266934"/>
    <n v="2460429.5068835248"/>
    <n v="2604185.4612217667"/>
    <x v="0"/>
    <n v="4155.9961352898499"/>
    <n v="2077998.0676449249"/>
    <s v="Pithead plant"/>
    <n v="0"/>
    <n v="0"/>
    <n v="0"/>
    <n v="0"/>
    <n v="0"/>
    <n v="0"/>
    <n v="2509109.0771728037"/>
    <n v="0"/>
    <n v="2509109.0771728037"/>
    <n v="6.2610933454142856E-2"/>
    <n v="0.68051025332695692"/>
    <n v="0.63863152123225708"/>
    <n v="1.28310934240166"/>
  </r>
  <r>
    <s v="SIMHADRI STPP3"/>
    <x v="65"/>
    <s v="Andhra Pradesh"/>
    <s v="SR"/>
    <x v="0"/>
    <x v="1"/>
    <n v="9.1772758384667998"/>
    <n v="500"/>
    <n v="7.7366182115931199"/>
    <n v="0.64471818429942662"/>
    <n v="0.85"/>
    <s v="0.15"/>
    <n v="10.10647017579665"/>
    <n v="1844430.8070828887"/>
    <n v="12.962617662183437"/>
    <n v="10.199999999999999"/>
    <n v="2365677.7233484769"/>
    <s v="Contracted"/>
    <n v="1.6194662129857273E-2"/>
    <n v="29869.93374260734"/>
    <n v="2747.7258228702963"/>
    <n v="2815.5860790246134"/>
    <n v="0.31298610394163606"/>
    <n v="2374066.0837702998"/>
    <n v="1845182.0099298474"/>
    <x v="0"/>
    <n v="4308.9715608505721"/>
    <n v="2154485.7804252859"/>
    <m/>
    <n v="0"/>
    <n v="20819.678979740238"/>
    <n v="521302.26633204072"/>
    <n v="1301989.4011310758"/>
    <n v="319.460640031568"/>
    <n v="0"/>
    <n v="0"/>
    <n v="0"/>
    <n v="1844430.8070828884"/>
    <n v="5.6962700163683135E-2"/>
    <n v="0.44069866346786934"/>
    <n v="0.58101954166956793"/>
    <n v="2.9592455722167998"/>
  </r>
  <r>
    <s v="MEJIA TPS7"/>
    <x v="68"/>
    <s v="West Bengal"/>
    <s v="ER"/>
    <x v="0"/>
    <x v="1"/>
    <n v="9.6728268309377103"/>
    <n v="500"/>
    <n v="7.7880894656804198"/>
    <n v="0.64900745547336824"/>
    <n v="0.85"/>
    <s v="0.15"/>
    <n v="10.181844670107568"/>
    <n v="1858186.6522946311"/>
    <n v="12.978314239869952"/>
    <n v="10.199999999999999"/>
    <n v="2368542.3487762664"/>
    <s v="Not contracted"/>
    <n v="0"/>
    <n v="0"/>
    <n v="2747.860921296372"/>
    <n v="2814.3032679315943"/>
    <n v="0.31297071599761805"/>
    <n v="2227141.6045796061"/>
    <n v="1741625.3531117649"/>
    <x v="0"/>
    <n v="4593.4601504233742"/>
    <n v="2296730.075211687"/>
    <m/>
    <n v="1162674.8889926807"/>
    <n v="27355.04560611452"/>
    <n v="576248.12575756572"/>
    <n v="91908.591938270169"/>
    <n v="0"/>
    <n v="0"/>
    <n v="0"/>
    <n v="0"/>
    <n v="1858186.6522946311"/>
    <n v="8.3678646324733194E-2"/>
    <n v="0.65169678394405217"/>
    <n v="0.85352219251227857"/>
    <n v="2.5933434925569898"/>
  </r>
  <r>
    <s v="INDIRA GANDHI STPP2"/>
    <x v="66"/>
    <s v="Haryana"/>
    <s v="NR"/>
    <x v="0"/>
    <x v="1"/>
    <n v="8.5065023956194299"/>
    <n v="500"/>
    <n v="5.26176485866129"/>
    <n v="0.43848040488844081"/>
    <n v="0.85"/>
    <s v="0.15"/>
    <n v="7.215775330715589"/>
    <n v="1316878.9978555951"/>
    <n v="12.941370913381245"/>
    <n v="10.199999999999999"/>
    <n v="2361800.1916920771"/>
    <s v="Contracted"/>
    <n v="4.6404866790173083E-2"/>
    <n v="61109.594474265512"/>
    <n v="2749.4118133794173"/>
    <n v="2885.4483397589597"/>
    <n v="0.31279417503590995"/>
    <n v="2168905.3876068951"/>
    <n v="1174208.9350670704"/>
    <x v="0"/>
    <n v="4719.459059717552"/>
    <n v="2359729.5298587759"/>
    <m/>
    <n v="0"/>
    <n v="549470.09207673476"/>
    <n v="282022.30712913419"/>
    <n v="0"/>
    <n v="485386.59864972613"/>
    <n v="0"/>
    <n v="0"/>
    <n v="0"/>
    <n v="1316878.9978555951"/>
    <n v="6.5600274643046297E-2"/>
    <n v="0.3451732198353103"/>
    <n v="0.66912280135907221"/>
    <n v="3.40206647723695"/>
  </r>
  <r>
    <s v="KAKATIYA TPS1"/>
    <x v="39"/>
    <s v="Telangana"/>
    <s v="SR"/>
    <x v="1"/>
    <x v="1"/>
    <n v="10.009582477754901"/>
    <n v="500"/>
    <n v="9.6179698888849003"/>
    <n v="0.80149749074040832"/>
    <n v="0.85"/>
    <s v="0.15"/>
    <n v="12.31415101290141"/>
    <n v="2247332.5598545074"/>
    <n v="12.988980974982887"/>
    <n v="10.199999999999999"/>
    <n v="2370489.0279343771"/>
    <s v="Contracted"/>
    <n v="0"/>
    <n v="0"/>
    <n v="2750.4339152758384"/>
    <n v="2766.4674479647924"/>
    <n v="0.31267793609713085"/>
    <n v="2389142.6660223859"/>
    <n v="2265946.6224413333"/>
    <x v="0"/>
    <m/>
    <n v="0"/>
    <s v="Pithead plant"/>
    <m/>
    <m/>
    <m/>
    <m/>
    <m/>
    <m/>
    <m/>
    <m/>
    <n v="0"/>
    <n v="5.7626698395538668E-2"/>
    <n v="0.55425184996414267"/>
    <n v="0.58779232363449441"/>
    <n v="3.0625219298245598"/>
  </r>
  <r>
    <s v="NTPL TUTICORIN (JV) TPP2"/>
    <x v="73"/>
    <s v="Tamil Nadu"/>
    <s v="SR"/>
    <x v="0"/>
    <x v="0"/>
    <n v="4.8432580424366796"/>
    <n v="500"/>
    <n v="5.6462118301782596"/>
    <n v="0.47051765251485494"/>
    <n v="0.85"/>
    <s v="0.15"/>
    <n v="7.5454859032291139"/>
    <n v="1377051.1773393133"/>
    <n v="12.825337648494182"/>
    <n v="10.199999999999999"/>
    <n v="2340624.1208501882"/>
    <s v="Contracted"/>
    <n v="0.17625260328526579"/>
    <n v="242708.8548630942"/>
    <n v="2750.697558699027"/>
    <n v="2876.1434936860082"/>
    <n v="0.31264796716028154"/>
    <n v="2389371.6777966586"/>
    <n v="1382956.166136062"/>
    <x v="0"/>
    <m/>
    <n v="0"/>
    <m/>
    <m/>
    <m/>
    <m/>
    <m/>
    <m/>
    <m/>
    <m/>
    <m/>
    <n v="0"/>
    <n v="7.0217798966479852E-2"/>
    <n v="0.39646456721361734"/>
    <n v="0.71622154945809446"/>
    <n v="3.1779493345128098"/>
  </r>
  <r>
    <s v="UKAI TPS6"/>
    <x v="74"/>
    <s v="Gujarat"/>
    <s v="WR"/>
    <x v="1"/>
    <x v="1"/>
    <n v="7.1759069130732298"/>
    <n v="500"/>
    <n v="8.5571901336581995"/>
    <n v="0.71309917780484999"/>
    <n v="0.85"/>
    <s v="0.15"/>
    <n v="10.994482092023814"/>
    <n v="2006492.9817943461"/>
    <n v="12.899224301471595"/>
    <n v="10.199999999999999"/>
    <n v="2354108.435018566"/>
    <s v="Contracted"/>
    <n v="9.7715240367696243E-2"/>
    <n v="196064.94401213009"/>
    <n v="2750.8135604241347"/>
    <n v="2796.0690294981723"/>
    <n v="0.31263478280490981"/>
    <n v="2414199.8883598265"/>
    <n v="2058690.0618938487"/>
    <x v="0"/>
    <n v="4242.1006374980961"/>
    <n v="2121050.3187490483"/>
    <m/>
    <n v="0"/>
    <n v="0"/>
    <n v="0"/>
    <n v="0"/>
    <n v="0"/>
    <n v="0"/>
    <n v="1711473.7869382487"/>
    <n v="295019.19485609775"/>
    <n v="2006492.9817943464"/>
    <n v="8.0187863271519652E-2"/>
    <n v="0.68618279242618063"/>
    <n v="0.81791620536950038"/>
    <n v="3.1642214912280702"/>
  </r>
  <r>
    <s v="NTPL TUTICORIN (JV) TPP1"/>
    <x v="73"/>
    <s v="Tamil Nadu"/>
    <s v="SR"/>
    <x v="0"/>
    <x v="1"/>
    <n v="5.1772758384667998"/>
    <n v="500"/>
    <n v="8.2029472795340101"/>
    <n v="0.68357893996116748"/>
    <n v="0.85"/>
    <s v="0.15"/>
    <n v="10.520451527545148"/>
    <n v="1919982.4037769896"/>
    <n v="12.835917662183435"/>
    <n v="10.199999999999999"/>
    <n v="2342554.9733484769"/>
    <s v="Contracted"/>
    <n v="0.17625260328526579"/>
    <n v="338401.89692759677"/>
    <n v="2753.2496340282537"/>
    <n v="2808.2636435505624"/>
    <n v="0.31235816373894948"/>
    <n v="2391588.5178458206"/>
    <n v="1961771.8372616037"/>
    <x v="0"/>
    <m/>
    <n v="0"/>
    <m/>
    <m/>
    <m/>
    <m/>
    <m/>
    <m/>
    <m/>
    <m/>
    <m/>
    <n v="0"/>
    <n v="7.0217798966479852E-2"/>
    <n v="0.57599290300695194"/>
    <n v="0.71622154945809446"/>
    <n v="3.1779493345128098"/>
  </r>
  <r>
    <s v="INDIRA GANDHI STPP1"/>
    <x v="66"/>
    <s v="Haryana"/>
    <s v="NR"/>
    <x v="0"/>
    <x v="1"/>
    <n v="9.5906913073237501"/>
    <n v="500"/>
    <n v="5.1840134346235498"/>
    <n v="0.43200111955196252"/>
    <n v="0.85"/>
    <s v="0.15"/>
    <n v="7.1599687738218005"/>
    <n v="1306694.3012224787"/>
    <n v="12.975712597159481"/>
    <n v="10.199999999999999"/>
    <n v="2368067.5489816056"/>
    <s v="Contracted"/>
    <n v="4.6404866790173083E-2"/>
    <n v="60636.974983707427"/>
    <n v="2757.6955988742839"/>
    <n v="2895.8739903826481"/>
    <n v="0.31185457900105429"/>
    <n v="2175440.1478425805"/>
    <n v="1161037.9623225159"/>
    <x v="0"/>
    <n v="4719.459059717552"/>
    <n v="2359729.5298587759"/>
    <m/>
    <n v="0"/>
    <n v="545220.50938471453"/>
    <n v="279841.15635783388"/>
    <n v="0"/>
    <n v="481632.63547993021"/>
    <n v="0"/>
    <n v="0"/>
    <n v="0"/>
    <n v="1306694.3012224785"/>
    <n v="6.5600274643046297E-2"/>
    <n v="0.34007270506454662"/>
    <n v="0.66912280135907221"/>
    <n v="3.40206647723695"/>
  </r>
  <r>
    <s v="DADRI (NCTPP)6"/>
    <x v="75"/>
    <s v="Uttar Pradesh"/>
    <s v="NR"/>
    <x v="0"/>
    <x v="1"/>
    <n v="9.8425735797399003"/>
    <n v="490"/>
    <n v="6.9284068507592496"/>
    <n v="0.58915024241150082"/>
    <n v="0.85"/>
    <s v="0.15"/>
    <n v="9.4064890358821955"/>
    <n v="1682350.5640675309"/>
    <n v="13.035769968138261"/>
    <n v="9.9960000000000004"/>
    <n v="2331447.458801528"/>
    <s v="Contracted"/>
    <n v="2.2633605042873307E-2"/>
    <n v="38077.658210759619"/>
    <n v="2763.5181736163295"/>
    <n v="2849.7475910020685"/>
    <n v="0.31119751923853184"/>
    <n v="2136108.938932525"/>
    <n v="1526773.4623704804"/>
    <x v="0"/>
    <n v="4720.1743382080467"/>
    <n v="2312885.4257219429"/>
    <m/>
    <n v="359435.04813805065"/>
    <n v="798902.12665342935"/>
    <n v="497214.59122906969"/>
    <n v="0"/>
    <n v="26798.798046981108"/>
    <n v="0"/>
    <n v="0"/>
    <n v="0"/>
    <n v="1682350.5640675309"/>
    <n v="6.6665772632952203E-2"/>
    <n v="0.46188759582130451"/>
    <n v="0.66639106323899022"/>
    <n v="3.4837512968941802"/>
  </r>
  <r>
    <s v="DR. N TATA RAO TPS7"/>
    <x v="76"/>
    <s v="Andhra Pradesh"/>
    <s v="SR"/>
    <x v="1"/>
    <x v="2"/>
    <n v="10.590006844626901"/>
    <n v="500"/>
    <n v="8.6369523220031095"/>
    <n v="0.71974602683359246"/>
    <n v="0.8"/>
    <s v="0.15"/>
    <n v="11.19510331194738"/>
    <n v="2043106.3544303968"/>
    <n v="13.007365916803558"/>
    <n v="9.6"/>
    <n v="2234206.3810039051"/>
    <s v="Contracted"/>
    <n v="0"/>
    <n v="0"/>
    <n v="2771.397229126625"/>
    <n v="2797.9268813410122"/>
    <n v="0.31031278770204279"/>
    <n v="2719537.1619049003"/>
    <n v="2470141.711144702"/>
    <x v="0"/>
    <n v="3570.8193390001843"/>
    <n v="1785409.669500092"/>
    <m/>
    <n v="0"/>
    <n v="0"/>
    <n v="0"/>
    <n v="2043106.3544303968"/>
    <n v="0"/>
    <n v="0"/>
    <n v="0"/>
    <n v="0"/>
    <n v="2043106.3544303968"/>
    <n v="8.8971276393347468E-2"/>
    <n v="0.76844067223710288"/>
    <n v="0.85412425337613562"/>
    <n v="2.77143640350877"/>
  </r>
  <r>
    <s v="KAHALGAON TPS7"/>
    <x v="77"/>
    <s v="Bihar"/>
    <s v="ER"/>
    <x v="0"/>
    <x v="2"/>
    <n v="10.841889117043101"/>
    <n v="500"/>
    <n v="9.8105598719519307"/>
    <n v="0.8175466559959943"/>
    <n v="0.8"/>
    <s v="0.15"/>
    <n v="12.563811176651408"/>
    <n v="2292895.5397388819"/>
    <n v="13.015344287782341"/>
    <n v="9.6"/>
    <n v="2235576.7835484962"/>
    <s v="Contracted"/>
    <n v="0"/>
    <n v="0"/>
    <n v="2773.3217449486651"/>
    <n v="2767.521325820082"/>
    <n v="0.31009744958961433"/>
    <n v="2580813.3035692675"/>
    <n v="2631902.9296595221"/>
    <x v="0"/>
    <n v="3765.3709320470821"/>
    <n v="1882685.4660235411"/>
    <s v="Pithead plant"/>
    <n v="0"/>
    <n v="0"/>
    <n v="2292895.5397388819"/>
    <n v="0"/>
    <n v="0"/>
    <n v="0"/>
    <n v="0"/>
    <n v="0"/>
    <n v="2292895.5397388819"/>
    <n v="7.2417181230320551E-2"/>
    <n v="0.71045309221805331"/>
    <n v="0.69520493981107723"/>
    <n v="2.3116842468752798"/>
  </r>
  <r>
    <s v="SEMBCORP GAYATRI P. LTD2"/>
    <x v="78"/>
    <s v="Andhra Pradesh"/>
    <s v="SR"/>
    <x v="2"/>
    <x v="0"/>
    <n v="3.1649555099247002"/>
    <n v="660"/>
    <n v="12.6636468942564"/>
    <n v="0.79947265746568186"/>
    <n v="0.85"/>
    <s v="0.15"/>
    <n v="10.346160240894136"/>
    <n v="2492390.0020313975"/>
    <n v="11.049162315776865"/>
    <n v="13.464"/>
    <n v="2661743.2018706473"/>
    <s v="Not contracted"/>
    <n v="1"/>
    <n v="2492390.0020313975"/>
    <n v="2775.4741216769335"/>
    <n v="2792.1770059313139"/>
    <n v="0.30985696940326379"/>
    <n v="3182379.6091003865"/>
    <n v="3011219.654531572"/>
    <x v="0"/>
    <m/>
    <n v="0"/>
    <m/>
    <m/>
    <m/>
    <m/>
    <m/>
    <m/>
    <m/>
    <m/>
    <m/>
    <n v="0"/>
    <n v="6.2368964750631896E-2"/>
    <n v="0.78981854676232655"/>
    <n v="0.83973574140250784"/>
    <m/>
  </r>
  <r>
    <s v="SIPAT STPS5"/>
    <x v="27"/>
    <s v="Chhatisgarh"/>
    <s v="WR"/>
    <x v="0"/>
    <x v="2"/>
    <n v="11.337440109514"/>
    <n v="500"/>
    <n v="10.5820686511211"/>
    <n v="0.88183905426009168"/>
    <n v="0.8"/>
    <s v="0.15"/>
    <n v="13.474027179105789"/>
    <n v="2459009.9601868065"/>
    <n v="13.031040865468857"/>
    <n v="9.6"/>
    <n v="2238272.9015981802"/>
    <s v="Contracted"/>
    <n v="2.9815102260802168E-3"/>
    <n v="7331.5633423300706"/>
    <n v="2777.7802188189526"/>
    <n v="2750.7265844453291"/>
    <n v="0.30959972793155394"/>
    <n v="2317752.863777902"/>
    <n v="2529973.7308283173"/>
    <x v="0"/>
    <n v="4199.473567201816"/>
    <n v="2099736.7836009078"/>
    <s v="Pithead plant"/>
    <n v="0"/>
    <n v="0"/>
    <n v="0"/>
    <n v="0"/>
    <n v="1948.7976392230362"/>
    <n v="0"/>
    <n v="2457061.1625475832"/>
    <n v="0"/>
    <n v="2459009.960186806"/>
    <n v="5.4595359838897593E-2"/>
    <n v="0.57773184584787407"/>
    <n v="0.5241154544534169"/>
    <n v="1.3884177880397"/>
  </r>
  <r>
    <s v="SEMBCORP GAYATRI P. LTD1"/>
    <x v="78"/>
    <s v="Andhra Pradesh"/>
    <s v="SR"/>
    <x v="2"/>
    <x v="0"/>
    <n v="3.5044490075290802"/>
    <n v="660"/>
    <n v="12.597415210904501"/>
    <n v="0.79529136432477909"/>
    <n v="0.85"/>
    <s v="0.15"/>
    <n v="10.298738111573433"/>
    <n v="2480966.0110780401"/>
    <n v="11.059915772313484"/>
    <n v="13.464"/>
    <n v="2664333.7095503188"/>
    <s v="Not contracted"/>
    <n v="1"/>
    <n v="2480966.0110780401"/>
    <n v="2778.0680343066388"/>
    <n v="2796.1531336521593"/>
    <n v="0.30956765254838053"/>
    <n v="3185353.8089302788"/>
    <n v="2999736.4060963881"/>
    <x v="0"/>
    <m/>
    <n v="0"/>
    <m/>
    <m/>
    <m/>
    <m/>
    <m/>
    <m/>
    <m/>
    <m/>
    <m/>
    <n v="0"/>
    <n v="6.2368964750631896E-2"/>
    <n v="0.78568774523797691"/>
    <n v="0.83973574140250784"/>
    <m/>
  </r>
  <r>
    <s v="SIPAT STPS4"/>
    <x v="27"/>
    <s v="Chhatisgarh"/>
    <s v="WR"/>
    <x v="0"/>
    <x v="2"/>
    <n v="11.9233401779603"/>
    <n v="500"/>
    <n v="10.494979743807001"/>
    <n v="0.87458164531725002"/>
    <n v="0.8"/>
    <s v="0.15"/>
    <n v="13.391611055929388"/>
    <n v="2443969.0177071132"/>
    <n v="13.049599250136893"/>
    <n v="9.6"/>
    <n v="2241460.5770823369"/>
    <s v="Contracted"/>
    <n v="2.9815102260802168E-3"/>
    <n v="7286.7186185169812"/>
    <n v="2782.2568099702194"/>
    <n v="2757.6022659797218"/>
    <n v="0.30910158865212922"/>
    <n v="2321488.0880013732"/>
    <n v="2515424.2556429128"/>
    <x v="0"/>
    <n v="4199.473567201816"/>
    <n v="2099736.7836009078"/>
    <s v="Pithead plant"/>
    <n v="0"/>
    <n v="0"/>
    <n v="0"/>
    <n v="0"/>
    <n v="1936.8774950712454"/>
    <n v="0"/>
    <n v="2442032.1402120418"/>
    <n v="0"/>
    <n v="2443969.0177071132"/>
    <n v="5.4595359838897593E-2"/>
    <n v="0.57297719561508453"/>
    <n v="0.5241154544534169"/>
    <n v="1.3884177880397"/>
  </r>
  <r>
    <s v="KAHALGAON TPS6"/>
    <x v="77"/>
    <s v="Bihar"/>
    <s v="ER"/>
    <x v="0"/>
    <x v="2"/>
    <n v="12.175222450376401"/>
    <n v="500"/>
    <n v="9.1394049720147592"/>
    <n v="0.76161708100122993"/>
    <n v="0.8"/>
    <s v="0.15"/>
    <n v="11.827879554210085"/>
    <n v="2158588.0186433406"/>
    <n v="13.057577621115673"/>
    <n v="9.6"/>
    <n v="2242830.9796269271"/>
    <s v="Contracted"/>
    <n v="0"/>
    <n v="0"/>
    <n v="2783.5091276153316"/>
    <n v="2796.197415208258"/>
    <n v="0.30896252197195889"/>
    <n v="2590293.5352670765"/>
    <n v="2477255.7797033293"/>
    <x v="0"/>
    <n v="3765.3709320470821"/>
    <n v="1882685.4660235411"/>
    <s v="Pithead plant"/>
    <n v="0"/>
    <n v="0"/>
    <n v="2158588.0186433406"/>
    <n v="0"/>
    <n v="0"/>
    <n v="0"/>
    <n v="0"/>
    <n v="0"/>
    <n v="2158588.0186433406"/>
    <n v="7.2417181230320551E-2"/>
    <n v="0.66184994619568549"/>
    <n v="0.69520493981107723"/>
    <n v="2.3116842468752798"/>
  </r>
  <r>
    <s v="DADRI (NCTPP)5"/>
    <x v="75"/>
    <s v="Uttar Pradesh"/>
    <s v="NR"/>
    <x v="0"/>
    <x v="2"/>
    <n v="10.3381245722108"/>
    <n v="490"/>
    <n v="7.6662286539575399"/>
    <n v="0.65189019166305606"/>
    <n v="0.8"/>
    <s v="0.15"/>
    <n v="10.295105349490376"/>
    <n v="1841279.5917563536"/>
    <n v="13.051466545824777"/>
    <n v="9.4079999999999995"/>
    <n v="2196945.6863254225"/>
    <s v="Contracted"/>
    <n v="2.2633605042873307E-2"/>
    <n v="41674.795053316309"/>
    <n v="2783.8330093096897"/>
    <n v="2832.7938463834034"/>
    <n v="0.30892657609992746"/>
    <n v="2025234.4855037401"/>
    <n v="1679312.6666402749"/>
    <x v="0"/>
    <n v="4720.1743382080467"/>
    <n v="2312885.4257219429"/>
    <m/>
    <n v="393390.31521374953"/>
    <n v="874373.16159669461"/>
    <n v="544185.67634326569"/>
    <n v="0"/>
    <n v="29330.438602644081"/>
    <n v="0"/>
    <n v="0"/>
    <n v="0"/>
    <n v="1841279.5917563539"/>
    <n v="6.6665772632952203E-2"/>
    <n v="0.51107505639695661"/>
    <n v="0.62719158893081428"/>
    <n v="3.4837512968941802"/>
  </r>
  <r>
    <s v="BELLARY TPS1"/>
    <x v="8"/>
    <s v="Karnataka"/>
    <s v="SR"/>
    <x v="1"/>
    <x v="2"/>
    <n v="12.4243668720054"/>
    <n v="500"/>
    <n v="3.9527235102494802"/>
    <n v="0.32939362585412335"/>
    <n v="0.8"/>
    <s v="0.15"/>
    <n v="5.8221166052669462"/>
    <n v="1062536.2804612177"/>
    <n v="13.065469270670771"/>
    <n v="9.6"/>
    <n v="2244186.4864916857"/>
    <s v="Contracted"/>
    <n v="0"/>
    <n v="0"/>
    <n v="2785.4127247871315"/>
    <n v="2940.9816386161829"/>
    <n v="0.30875137186921675"/>
    <n v="2833702.0723533807"/>
    <n v="1231918.9886070678"/>
    <x v="0"/>
    <n v="3444.2880509129841"/>
    <n v="1722144.0254564921"/>
    <m/>
    <n v="0"/>
    <n v="0"/>
    <n v="0"/>
    <n v="1062536.2804612177"/>
    <n v="0"/>
    <n v="0"/>
    <n v="0"/>
    <n v="0"/>
    <n v="1062536.2804612177"/>
    <n v="6.6702414133670743E-2"/>
    <n v="0.26365620053655758"/>
    <n v="0.64034317568323906"/>
    <n v="3.8664301801801799"/>
  </r>
  <r>
    <s v="SANJAY GANDHI TPS5"/>
    <x v="79"/>
    <s v="Madhya Pradesh"/>
    <s v="WR"/>
    <x v="1"/>
    <x v="2"/>
    <n v="12.9253935660506"/>
    <n v="500"/>
    <n v="9.5132763765736108"/>
    <n v="0.7927730313811342"/>
    <n v="0.8"/>
    <s v="0.15"/>
    <n v="12.285123308719788"/>
    <n v="2242035.0038413615"/>
    <n v="13.081339291204653"/>
    <n v="9.6"/>
    <n v="2246912.3959010346"/>
    <s v="Contracted"/>
    <n v="0"/>
    <n v="0"/>
    <n v="2789.2408377809716"/>
    <n v="2791.6298654696725"/>
    <n v="0.30832762390077001"/>
    <n v="2006252.4879903155"/>
    <n v="1989831.4459930174"/>
    <x v="0"/>
    <n v="4871.520386436875"/>
    <n v="2435760.1932184375"/>
    <m/>
    <n v="0"/>
    <n v="0"/>
    <n v="0"/>
    <n v="0"/>
    <n v="0"/>
    <n v="0"/>
    <n v="2242035.0038413615"/>
    <n v="0"/>
    <n v="2242035.0038413615"/>
    <n v="8.2584159496713896E-2"/>
    <n v="0.78564593361927548"/>
    <n v="0.79280793116845338"/>
    <n v="2.0252083333333299"/>
  </r>
  <r>
    <s v="KAHALGAON TPS5"/>
    <x v="77"/>
    <s v="Bihar"/>
    <s v="ER"/>
    <x v="0"/>
    <x v="2"/>
    <n v="13.1772758384668"/>
    <n v="500"/>
    <n v="9.9265087990183094"/>
    <n v="0.82720906658485915"/>
    <n v="0.8"/>
    <s v="0.15"/>
    <n v="12.772220568298557"/>
    <n v="2330930.2537144865"/>
    <n v="13.089317662183436"/>
    <n v="9.6"/>
    <n v="2248282.7984456257"/>
    <s v="Contracted"/>
    <n v="0"/>
    <n v="0"/>
    <n v="2791.1653536030117"/>
    <n v="2782.1708198111751"/>
    <n v="0.30811503119650646"/>
    <n v="2597418.3089865795"/>
    <n v="2677105.1038251426"/>
    <x v="0"/>
    <n v="3765.3709320470821"/>
    <n v="1882685.4660235411"/>
    <s v="Pithead plant"/>
    <n v="0"/>
    <n v="0"/>
    <n v="2330930.2537144865"/>
    <n v="0"/>
    <n v="0"/>
    <n v="0"/>
    <n v="0"/>
    <n v="0"/>
    <n v="2330930.2537144865"/>
    <n v="7.2417181230320551E-2"/>
    <n v="0.71884978668288046"/>
    <n v="0.69520493981107723"/>
    <n v="2.3116842468752798"/>
  </r>
  <r>
    <s v="VINDHYACHAL STPS10"/>
    <x v="57"/>
    <s v="Madhya Pradesh"/>
    <s v="WR"/>
    <x v="0"/>
    <x v="2"/>
    <n v="13.1772758384668"/>
    <n v="500"/>
    <n v="10.891056321839001"/>
    <n v="0.90758802681991668"/>
    <n v="0.8"/>
    <s v="0.15"/>
    <n v="13.890557155736984"/>
    <n v="2535026.6809219997"/>
    <n v="13.089317662183436"/>
    <n v="9.6"/>
    <n v="2248282.7984456257"/>
    <s v="Contracted"/>
    <n v="0"/>
    <n v="0"/>
    <n v="2791.1653536030117"/>
    <n v="2755.5998504715199"/>
    <n v="0.30811503119650646"/>
    <n v="2197519.726865964"/>
    <n v="2461286.3330591628"/>
    <x v="0"/>
    <n v="4450.5827544825906"/>
    <n v="2225291.3772412953"/>
    <s v="Pithead plant"/>
    <n v="0"/>
    <n v="0"/>
    <n v="0"/>
    <n v="0"/>
    <n v="2535026.6809219997"/>
    <n v="0"/>
    <n v="0"/>
    <n v="0"/>
    <n v="2535026.6809219997"/>
    <n v="6.5179373950034494E-2"/>
    <n v="0.70987223271203148"/>
    <n v="0.62572198992033112"/>
    <n v="1.5529027930695301"/>
  </r>
  <r>
    <s v="VINDHYACHAL STPS9"/>
    <x v="57"/>
    <s v="Madhya Pradesh"/>
    <s v="WR"/>
    <x v="0"/>
    <x v="2"/>
    <n v="13.8425735797399"/>
    <n v="500"/>
    <n v="10.732536438194099"/>
    <n v="0.89437803651617498"/>
    <n v="0.8"/>
    <s v="0.15"/>
    <n v="13.727835903598759"/>
    <n v="2505330.0524067734"/>
    <n v="13.110390968138262"/>
    <n v="9.6"/>
    <n v="2251902.4486449254"/>
    <s v="Contracted"/>
    <n v="0"/>
    <n v="0"/>
    <n v="2796.2485856112253"/>
    <n v="2765.0499248264296"/>
    <n v="0.30755491640669519"/>
    <n v="2201521.8196118725"/>
    <n v="2433780.081997952"/>
    <x v="0"/>
    <n v="4450.5827544825906"/>
    <n v="2225291.3772412953"/>
    <s v="Pithead plant"/>
    <n v="0"/>
    <n v="0"/>
    <n v="0"/>
    <n v="0"/>
    <n v="2505330.0524067734"/>
    <n v="0"/>
    <n v="0"/>
    <n v="0"/>
    <n v="2505330.0524067734"/>
    <n v="6.5179373950034494E-2"/>
    <n v="0.69954000593742449"/>
    <n v="0.62572198992033112"/>
    <n v="1.5529027930695301"/>
  </r>
  <r>
    <s v="RIHAND STPS4"/>
    <x v="61"/>
    <s v="Uttar Pradesh"/>
    <s v="NR"/>
    <x v="0"/>
    <x v="2"/>
    <n v="14.6721423682409"/>
    <n v="500"/>
    <n v="9.83250389321468"/>
    <n v="0.81937532443455663"/>
    <n v="0.8"/>
    <s v="0.15"/>
    <n v="12.710577260969348"/>
    <n v="2319680.3501269063"/>
    <n v="13.136667559514031"/>
    <n v="9.6"/>
    <n v="2256415.8396341749"/>
    <s v="Contracted"/>
    <n v="0"/>
    <n v="0"/>
    <n v="2802.586936633812"/>
    <n v="2796.1820123850912"/>
    <n v="0.30685934796832609"/>
    <n v="2205815.3054452064"/>
    <n v="2254075.1132509192"/>
    <x v="0"/>
    <n v="4451.988614696289"/>
    <n v="2225994.3073481447"/>
    <s v="Pithead plant"/>
    <n v="0"/>
    <n v="0"/>
    <n v="0"/>
    <n v="0"/>
    <n v="2319680.3501269063"/>
    <n v="0"/>
    <n v="0"/>
    <n v="0"/>
    <n v="2319680.3501269063"/>
    <n v="6.6356788102148762E-2"/>
    <n v="0.65245337735559927"/>
    <n v="0.63702516578062807"/>
    <n v="1.3619855979097"/>
  </r>
  <r>
    <s v="MUNDRA TPS8"/>
    <x v="80"/>
    <s v="Gujarat"/>
    <s v="WR"/>
    <x v="2"/>
    <x v="1"/>
    <n v="8.1752224503764506"/>
    <n v="660"/>
    <n v="11.7336201746208"/>
    <n v="0.74075884940787873"/>
    <n v="0.85"/>
    <s v="0.15"/>
    <n v="9.6879576205823135"/>
    <n v="2333828.9907982792"/>
    <n v="11.207862521115675"/>
    <n v="13.464"/>
    <n v="2699974.081336766"/>
    <s v="Contracted"/>
    <n v="1"/>
    <n v="2333828.9907982792"/>
    <n v="2813.7552516153319"/>
    <n v="2849.8672298559504"/>
    <n v="0.3056413664643674"/>
    <n v="4223311.3436144665"/>
    <n v="3727771.9021688038"/>
    <x v="0"/>
    <n v="3274.1621759038899"/>
    <n v="2160947.0360965673"/>
    <m/>
    <n v="0"/>
    <n v="0"/>
    <n v="0"/>
    <n v="2309974.884705421"/>
    <n v="0"/>
    <n v="0"/>
    <n v="23854.106092858314"/>
    <n v="0"/>
    <n v="2333828.9907982792"/>
    <n v="7.3165418961100362E-2"/>
    <n v="0.85849523600655042"/>
    <n v="0.98509920089225533"/>
    <n v="2.4808879023307799"/>
  </r>
  <r>
    <s v="MUNDRA TPS9"/>
    <x v="80"/>
    <s v="Gujarat"/>
    <s v="WR"/>
    <x v="2"/>
    <x v="1"/>
    <n v="8.1752224503764506"/>
    <n v="660"/>
    <n v="10.0553444389709"/>
    <n v="0.63480709841988003"/>
    <n v="0.85"/>
    <s v="0.15"/>
    <n v="8.2138191235609899"/>
    <n v="1978709.0268658425"/>
    <n v="11.207862521115675"/>
    <n v="13.464"/>
    <n v="2699974.081336766"/>
    <s v="Contracted"/>
    <n v="1"/>
    <n v="1978709.0268658425"/>
    <n v="2813.7552516153319"/>
    <n v="2884.8918273221543"/>
    <n v="0.3056413664643674"/>
    <n v="4223311.3436144665"/>
    <n v="3233844.719217109"/>
    <x v="0"/>
    <n v="3274.1621759038899"/>
    <n v="2160947.0360965673"/>
    <m/>
    <n v="0"/>
    <n v="0"/>
    <n v="0"/>
    <n v="1958484.6080074541"/>
    <n v="0"/>
    <n v="0"/>
    <n v="20224.418858388381"/>
    <n v="0"/>
    <n v="1978709.0268658425"/>
    <n v="7.3165418961100362E-2"/>
    <n v="0.73570348867547664"/>
    <n v="0.98509920089225533"/>
    <n v="2.4808879023307799"/>
  </r>
  <r>
    <s v="MUNDRA TPS7"/>
    <x v="80"/>
    <s v="Gujarat"/>
    <s v="WR"/>
    <x v="2"/>
    <x v="1"/>
    <n v="8.5065023956194299"/>
    <n v="660"/>
    <n v="10.4925614301604"/>
    <n v="0.66240918119699499"/>
    <n v="0.85"/>
    <s v="0.15"/>
    <n v="8.6083484741293965"/>
    <n v="2073751.1474177716"/>
    <n v="11.218355813381246"/>
    <n v="13.464"/>
    <n v="2702501.9154435419"/>
    <s v="Contracted"/>
    <n v="1"/>
    <n v="2073751.1474177716"/>
    <n v="2816.2864082943188"/>
    <n v="2878.2985303750111"/>
    <n v="0.30536666919500499"/>
    <n v="4227110.4880882772"/>
    <n v="3366743.5271823118"/>
    <x v="0"/>
    <n v="3274.1621759038899"/>
    <n v="2160947.0360965673"/>
    <m/>
    <n v="0"/>
    <n v="0"/>
    <n v="0"/>
    <n v="2052555.3014171743"/>
    <n v="0"/>
    <n v="0"/>
    <n v="21195.846000597492"/>
    <n v="0"/>
    <n v="2073751.1474177719"/>
    <n v="7.3165418961100362E-2"/>
    <n v="0.76769265301276801"/>
    <n v="0.98509920089225533"/>
    <n v="2.4808879023307799"/>
  </r>
  <r>
    <s v="MUNDRA TPS6"/>
    <x v="80"/>
    <s v="Gujarat"/>
    <s v="WR"/>
    <x v="2"/>
    <x v="1"/>
    <n v="8.8432580424366805"/>
    <n v="660"/>
    <n v="6.3732698862934098"/>
    <n v="0.40235289686195769"/>
    <n v="0.85"/>
    <s v="0.15"/>
    <n v="5.0007741084036583"/>
    <n v="1204686.4827144414"/>
    <n v="11.229022548494182"/>
    <n v="13.464"/>
    <n v="2705071.5319322483"/>
    <s v="Contracted"/>
    <n v="1"/>
    <n v="1204686.4827144414"/>
    <n v="2818.8594022737852"/>
    <n v="2966.8386423346519"/>
    <n v="0.30508793709480353"/>
    <n v="4230972.4283385156"/>
    <n v="2107894.7106778589"/>
    <x v="0"/>
    <n v="3274.1621759038899"/>
    <n v="2160947.0360965673"/>
    <m/>
    <n v="0"/>
    <n v="0"/>
    <n v="0"/>
    <n v="1192373.3615386377"/>
    <n v="0"/>
    <n v="0"/>
    <n v="12313.121175803588"/>
    <n v="0"/>
    <n v="1204686.4827144411"/>
    <n v="7.3165418961100362E-2"/>
    <n v="0.46630296138282179"/>
    <n v="0.98509920089225533"/>
    <n v="2.13298671601027"/>
  </r>
  <r>
    <s v="MUNDRA TPS5"/>
    <x v="80"/>
    <s v="Gujarat"/>
    <s v="WR"/>
    <x v="2"/>
    <x v="1"/>
    <n v="9.4236824093086895"/>
    <n v="660"/>
    <n v="7.7756351792143104"/>
    <n v="0.49088605929383272"/>
    <n v="0.85"/>
    <s v="0.15"/>
    <n v="6.2509474990877356"/>
    <n v="1505853.2525302356"/>
    <n v="11.247407490314853"/>
    <n v="13.464"/>
    <n v="2709500.464416848"/>
    <s v="Contracted"/>
    <n v="1"/>
    <n v="1505853.2525302356"/>
    <n v="2823.2941561245725"/>
    <n v="2942.0068824405389"/>
    <n v="0.30460871324172928"/>
    <n v="4237628.7806397388"/>
    <n v="2550188.2341219662"/>
    <x v="0"/>
    <n v="3274.1621759038899"/>
    <n v="2160947.0360965673"/>
    <m/>
    <n v="0"/>
    <n v="0"/>
    <n v="0"/>
    <n v="1490461.900641233"/>
    <n v="0"/>
    <n v="0"/>
    <n v="15391.351889002546"/>
    <n v="0"/>
    <n v="1505853.2525302356"/>
    <n v="7.3165418961100362E-2"/>
    <n v="0.56890760557588571"/>
    <n v="0.98509920089225533"/>
    <n v="2.13298671601027"/>
  </r>
  <r>
    <s v="RIHAND STPS3"/>
    <x v="61"/>
    <s v="Uttar Pradesh"/>
    <s v="NR"/>
    <x v="0"/>
    <x v="3"/>
    <n v="15.337440109514"/>
    <n v="500"/>
    <n v="11.0051500848356"/>
    <n v="0.91709584040296677"/>
    <n v="0.75"/>
    <s v="0.25"/>
    <n v="14.062355721747453"/>
    <n v="2566379.9192189104"/>
    <n v="13.128831165468856"/>
    <n v="9"/>
    <n v="2114127.9597335877"/>
    <s v="Contracted"/>
    <n v="0"/>
    <n v="0"/>
    <n v="2824.1987286420258"/>
    <n v="2768.9616561650082"/>
    <n v="0.30451114904846599"/>
    <n v="2083898.5960034754"/>
    <n v="2498341.0905859512"/>
    <x v="0"/>
    <n v="4451.988614696289"/>
    <n v="2225994.3073481447"/>
    <s v="Pithead plant"/>
    <n v="0"/>
    <n v="0"/>
    <n v="0"/>
    <n v="0"/>
    <n v="2566379.9192189104"/>
    <n v="0"/>
    <n v="0"/>
    <n v="0"/>
    <n v="2566379.9192189104"/>
    <n v="6.6356788102148762E-2"/>
    <n v="0.73026641221178035"/>
    <n v="0.59721109291933883"/>
    <n v="1.3619855979097"/>
  </r>
  <r>
    <s v="RAMAGUNDEM STPS7"/>
    <x v="81"/>
    <s v="Telangana"/>
    <s v="SR"/>
    <x v="0"/>
    <x v="3"/>
    <n v="15.6714579055441"/>
    <n v="500"/>
    <n v="10.091637919073699"/>
    <n v="0.84096982658947494"/>
    <n v="0.75"/>
    <s v="0.25"/>
    <n v="13.013771667445452"/>
    <n v="2375013.3293087948"/>
    <n v="13.13941117915811"/>
    <n v="9"/>
    <n v="2115831.6531144306"/>
    <s v="Contracted"/>
    <n v="0"/>
    <n v="0"/>
    <n v="2826.7508039712525"/>
    <n v="2796.6787992317777"/>
    <n v="0.30423622725844851"/>
    <n v="2166560.0539070377"/>
    <n v="2403504.5458459808"/>
    <x v="0"/>
    <m/>
    <n v="0"/>
    <s v="Pithead plant"/>
    <m/>
    <m/>
    <m/>
    <m/>
    <m/>
    <m/>
    <m/>
    <m/>
    <n v="0"/>
    <n v="6.1716058959159902E-2"/>
    <n v="0.62281612080804616"/>
    <n v="0.55544453063243915"/>
    <n v="2.4794942674709901"/>
  </r>
  <r>
    <s v="TALCHER STPS6"/>
    <x v="82"/>
    <s v="Odisha"/>
    <s v="ER"/>
    <x v="0"/>
    <x v="3"/>
    <n v="15.2525667351129"/>
    <n v="500"/>
    <n v="10.0952082092883"/>
    <n v="0.84126735077402492"/>
    <n v="0.75"/>
    <s v="0.25"/>
    <n v="13.004642832858943"/>
    <n v="2373347.3169967569"/>
    <n v="13.126142801334701"/>
    <n v="9"/>
    <n v="2113695.0540384557"/>
    <s v="Contracted"/>
    <n v="2.3401661620630933E-2"/>
    <n v="55540.270820590413"/>
    <n v="2828.8262861462758"/>
    <n v="2798.6559284800851"/>
    <n v="0.30401301211449866"/>
    <n v="2689892.3543361695"/>
    <n v="2985045.1300798506"/>
    <x v="0"/>
    <n v="3454.6714611127372"/>
    <n v="1727335.7305563686"/>
    <s v="Pithead plant"/>
    <n v="0"/>
    <n v="0"/>
    <n v="13933.803683773982"/>
    <n v="2359413.5133129829"/>
    <n v="0"/>
    <n v="0"/>
    <n v="0"/>
    <n v="0"/>
    <n v="2373347.3169967569"/>
    <n v="6.4093993789743203E-2"/>
    <n v="0.64704221227228886"/>
    <n v="0.57684594410768886"/>
    <n v="1.70619901878252"/>
  </r>
  <r>
    <s v="TALCHER STPS5"/>
    <x v="82"/>
    <s v="Odisha"/>
    <s v="ER"/>
    <x v="0"/>
    <x v="3"/>
    <n v="16.008213552361301"/>
    <n v="500"/>
    <n v="9.6497396902856707"/>
    <n v="0.80414497419047259"/>
    <n v="0.75"/>
    <s v="0.25"/>
    <n v="12.512083183675347"/>
    <n v="2283455.1810207511"/>
    <n v="13.150077914271044"/>
    <n v="9"/>
    <n v="2117549.311195117"/>
    <s v="Contracted"/>
    <n v="2.3401661620630933E-2"/>
    <n v="53436.645472124168"/>
    <n v="2834.5998336123944"/>
    <n v="2816.7010645202809"/>
    <n v="0.30339379470858924"/>
    <n v="2695382.3419195595"/>
    <n v="2871722.4815247809"/>
    <x v="0"/>
    <n v="3454.6714611127372"/>
    <n v="1727335.7305563686"/>
    <s v="Pithead plant"/>
    <n v="0"/>
    <n v="0"/>
    <n v="13406.051438481136"/>
    <n v="2270049.1295822696"/>
    <n v="0"/>
    <n v="0"/>
    <n v="0"/>
    <n v="0"/>
    <n v="2283455.1810207507"/>
    <n v="6.4093993789743203E-2"/>
    <n v="0.61849035578180833"/>
    <n v="0.57684594410768886"/>
    <n v="1.70619901878252"/>
  </r>
  <r>
    <s v="UCHPINDA TPP3"/>
    <x v="83"/>
    <s v="Chhatisgarh"/>
    <s v="WR"/>
    <x v="2"/>
    <x v="0"/>
    <n v="4.33949349760438"/>
    <n v="360"/>
    <n v="1.0293194587261101"/>
    <n v="0.11913419661181829"/>
    <n v="0.85"/>
    <s v="0.15"/>
    <n v="2.4799806242558304"/>
    <n v="325869.45402721612"/>
    <n v="12.648735806536619"/>
    <n v="7.3440000000000003"/>
    <n v="1662043.8849789118"/>
    <s v="Not contracted"/>
    <n v="0"/>
    <n v="0"/>
    <n v="2836.7153126297053"/>
    <n v="3078.3184982947009"/>
    <n v="0.30316753893881537"/>
    <n v="1834098.326443048"/>
    <n v="278957.42689165304"/>
    <x v="0"/>
    <n v="4145.8985534158601"/>
    <n v="1492523.4792297096"/>
    <m/>
    <n v="0"/>
    <n v="0"/>
    <n v="0"/>
    <n v="5026.9537108615914"/>
    <n v="0"/>
    <n v="0"/>
    <n v="320842.5003163545"/>
    <n v="0"/>
    <n v="325869.45402721607"/>
    <n v="0.1"/>
    <n v="0.10293194587261101"/>
    <n v="0.73440000000000005"/>
    <m/>
  </r>
  <r>
    <s v="ITPCL TPP2"/>
    <x v="84"/>
    <s v="Tamil Nadu"/>
    <s v="SR"/>
    <x v="2"/>
    <x v="0"/>
    <n v="4.0903490759753502"/>
    <n v="600"/>
    <n v="8.8881905865423594"/>
    <n v="0.61723545739877494"/>
    <n v="0.85"/>
    <s v="0.15"/>
    <n v="8.1524252464078959"/>
    <n v="1785381.1289633291"/>
    <n v="11.390948156981519"/>
    <n v="12.24"/>
    <n v="2494617.6463789525"/>
    <s v="Contracted"/>
    <n v="1"/>
    <n v="1785381.1289633291"/>
    <n v="2838.0891634579057"/>
    <n v="2915.0344176230437"/>
    <n v="0.30302078281155292"/>
    <n v="2958340.4448587354"/>
    <n v="2206468.5573051577"/>
    <x v="0"/>
    <m/>
    <n v="0"/>
    <m/>
    <m/>
    <m/>
    <m/>
    <m/>
    <m/>
    <m/>
    <m/>
    <m/>
    <n v="0"/>
    <n v="7.3246042254860019E-2"/>
    <n v="0.65102478327113067"/>
    <n v="0.89653155719948663"/>
    <n v="4.0228947368421002"/>
  </r>
  <r>
    <s v="UCHPINDA TPP1"/>
    <x v="83"/>
    <s v="Chhatisgarh"/>
    <s v="WR"/>
    <x v="2"/>
    <x v="0"/>
    <n v="4.5913757700205302"/>
    <n v="360"/>
    <n v="2.0589000157198001"/>
    <n v="0.23829861293053242"/>
    <n v="0.85"/>
    <s v="0.15"/>
    <n v="4.145929268801777"/>
    <n v="544775.10592055356"/>
    <n v="12.656714177515401"/>
    <n v="7.3440000000000003"/>
    <n v="1663092.2429255238"/>
    <s v="Contracted"/>
    <n v="0"/>
    <n v="0"/>
    <n v="2838.6398284517454"/>
    <n v="3040.8506900169637"/>
    <n v="0.30296200010307833"/>
    <n v="1835342.6357442678"/>
    <n v="551194.08260399499"/>
    <x v="0"/>
    <n v="4145.8985534158601"/>
    <n v="1492523.4792297096"/>
    <m/>
    <n v="0"/>
    <n v="0"/>
    <n v="0"/>
    <n v="8403.8537716506034"/>
    <n v="0"/>
    <n v="0"/>
    <n v="536371.25214890298"/>
    <n v="0"/>
    <n v="544775.10592055356"/>
    <n v="0.1"/>
    <n v="0.20589000157198001"/>
    <n v="0.73440000000000005"/>
    <n v="1.75221491228069"/>
  </r>
  <r>
    <s v="TALCHER STPS4"/>
    <x v="82"/>
    <s v="Odisha"/>
    <s v="ER"/>
    <x v="0"/>
    <x v="3"/>
    <n v="16.591375770020498"/>
    <n v="500"/>
    <n v="9.7730646706216699"/>
    <n v="0.81442205588513916"/>
    <n v="0.75"/>
    <s v="0.25"/>
    <n v="12.673542967662106"/>
    <n v="2312921.5915983343"/>
    <n v="13.1685495775154"/>
    <n v="9"/>
    <n v="2120523.7922616713"/>
    <s v="Contracted"/>
    <n v="2.3401661620630933E-2"/>
    <n v="54126.208441635354"/>
    <n v="2839.0555061134219"/>
    <n v="2817.7594297930041"/>
    <n v="0.30291764220464751"/>
    <n v="2699619.1801632629"/>
    <n v="2909516.3134656413"/>
    <x v="0"/>
    <n v="3454.6714611127372"/>
    <n v="1727335.7305563686"/>
    <s v="Pithead plant"/>
    <n v="0"/>
    <n v="0"/>
    <n v="13579.047264803377"/>
    <n v="2299342.5443335311"/>
    <n v="0"/>
    <n v="0"/>
    <n v="0"/>
    <n v="0"/>
    <n v="2312921.5915983343"/>
    <n v="6.4093993789743203E-2"/>
    <n v="0.626394746305584"/>
    <n v="0.57684594410768886"/>
    <n v="1.70619901878252"/>
  </r>
  <r>
    <s v="MUTHIARA TPP2"/>
    <x v="85"/>
    <s v="Tamil Nadu"/>
    <s v="SR"/>
    <x v="2"/>
    <x v="0"/>
    <n v="4.33949349760438"/>
    <n v="600"/>
    <n v="4.8755597062105096"/>
    <n v="0.33858053515350761"/>
    <n v="0.85"/>
    <s v="0.15"/>
    <n v="4.2833073662879171"/>
    <n v="938044.31321705389"/>
    <n v="11.398839806536619"/>
    <n v="12.24"/>
    <n v="2496345.91763152"/>
    <s v="Contracted"/>
    <n v="1"/>
    <n v="938044.31321705389"/>
    <n v="2839.992760629706"/>
    <n v="3009.053306827368"/>
    <n v="0.30281767331312276"/>
    <n v="2960324.6984109366"/>
    <n v="1249381.4642234149"/>
    <x v="0"/>
    <m/>
    <n v="0"/>
    <m/>
    <m/>
    <m/>
    <m/>
    <m/>
    <m/>
    <m/>
    <m/>
    <m/>
    <n v="0"/>
    <n v="7.2208785753758192E-2"/>
    <n v="0.35205824625541093"/>
    <n v="0.88383553762600031"/>
    <n v="3.0330919540229901"/>
  </r>
  <r>
    <s v="UCHPINDA TPP2"/>
    <x v="83"/>
    <s v="Chhatisgarh"/>
    <s v="WR"/>
    <x v="2"/>
    <x v="0"/>
    <n v="4.8240930869267604"/>
    <n v="360"/>
    <n v="2.3214548911808301"/>
    <n v="0.26868690870148498"/>
    <n v="0.85"/>
    <s v="0.15"/>
    <n v="4.5761020653647755"/>
    <n v="601299.81138893147"/>
    <n v="12.664085498528404"/>
    <n v="7.3440000000000003"/>
    <n v="1664060.8345066323"/>
    <s v="Contracted"/>
    <n v="0"/>
    <n v="0"/>
    <n v="2840.4179137221081"/>
    <n v="3032.5832798883675"/>
    <n v="0.30277234763424254"/>
    <n v="1836492.2693377857"/>
    <n v="619793.73036191193"/>
    <x v="0"/>
    <n v="4145.8985534158601"/>
    <n v="1492523.4792297096"/>
    <m/>
    <n v="0"/>
    <n v="0"/>
    <n v="0"/>
    <n v="9275.8197518860179"/>
    <n v="0"/>
    <n v="0"/>
    <n v="592023.99163704552"/>
    <n v="0"/>
    <n v="601299.81138893159"/>
    <n v="0.1"/>
    <n v="0.23214548911808303"/>
    <n v="0.73440000000000005"/>
    <n v="1.75221491228069"/>
  </r>
  <r>
    <s v="ITPCL TPP1"/>
    <x v="84"/>
    <s v="Tamil Nadu"/>
    <s v="SR"/>
    <x v="2"/>
    <x v="0"/>
    <n v="4.6735112936344896"/>
    <n v="600"/>
    <n v="8.5593640587168807"/>
    <n v="0.594400281855339"/>
    <n v="0.85"/>
    <s v="0.15"/>
    <n v="7.8531842617637615"/>
    <n v="1719847.3533262638"/>
    <n v="11.409419820225873"/>
    <n v="12.24"/>
    <n v="2498662.940629466"/>
    <s v="Contracted"/>
    <n v="1"/>
    <n v="1719847.3533262638"/>
    <n v="2842.5448359589318"/>
    <n v="2927.0387415056739"/>
    <n v="0.30254579949655541"/>
    <n v="2962984.9064699309"/>
    <n v="2133588.5263458183"/>
    <x v="0"/>
    <m/>
    <n v="0"/>
    <m/>
    <m/>
    <m/>
    <m/>
    <m/>
    <m/>
    <m/>
    <m/>
    <m/>
    <n v="0"/>
    <n v="7.3246042254860019E-2"/>
    <n v="0.62693954151950682"/>
    <n v="0.89653155719948663"/>
    <n v="2.8668850574712499"/>
  </r>
  <r>
    <s v="TALCHER STPS3"/>
    <x v="82"/>
    <s v="Odisha"/>
    <s v="ER"/>
    <x v="0"/>
    <x v="3"/>
    <n v="17.2539356605065"/>
    <n v="500"/>
    <n v="9.4725239331179196"/>
    <n v="0.78937699442649334"/>
    <n v="0.75"/>
    <s v="0.25"/>
    <n v="12.346070098600674"/>
    <n v="2253157.7929946231"/>
    <n v="13.189536162046544"/>
    <n v="9"/>
    <n v="2123903.2496236716"/>
    <s v="Contracted"/>
    <n v="2.3401661620630933E-2"/>
    <n v="52727.636249547759"/>
    <n v="2844.1178194713957"/>
    <n v="2831.1009191714365"/>
    <n v="0.3023784718453888"/>
    <n v="2704432.864928409"/>
    <n v="2833395.3324549361"/>
    <x v="0"/>
    <n v="3454.6714611127372"/>
    <n v="1727335.7305563686"/>
    <s v="Pithead plant"/>
    <n v="0"/>
    <n v="0"/>
    <n v="13228.176985018761"/>
    <n v="2239929.6160096042"/>
    <n v="0"/>
    <n v="0"/>
    <n v="0"/>
    <n v="0"/>
    <n v="2253157.7929946231"/>
    <n v="6.4093993789743203E-2"/>
    <n v="0.60713189014245383"/>
    <n v="0.57684594410768886"/>
    <n v="1.70619901878252"/>
  </r>
  <r>
    <s v="SIMHADRI STPP2"/>
    <x v="65"/>
    <s v="Andhra Pradesh"/>
    <s v="SR"/>
    <x v="0"/>
    <x v="3"/>
    <n v="17.7577002053388"/>
    <n v="500"/>
    <n v="8.1764870164380099"/>
    <n v="0.68137391803650083"/>
    <n v="0.75"/>
    <s v="0.25"/>
    <n v="10.859347637821354"/>
    <n v="1981830.9439023973"/>
    <n v="13.205492904004107"/>
    <n v="9"/>
    <n v="2126472.754394779"/>
    <s v="Contracted"/>
    <n v="1.6194662129857273E-2"/>
    <n v="32095.082534995443"/>
    <n v="2846.341992721083"/>
    <n v="2869.0277989870551"/>
    <n v="0.30214218888639099"/>
    <n v="2169945.499534247"/>
    <n v="1987104.6720041861"/>
    <x v="0"/>
    <n v="4308.9715608505721"/>
    <n v="2154485.7804252859"/>
    <m/>
    <n v="0"/>
    <n v="22370.632655730315"/>
    <n v="560136.4705988986"/>
    <n v="1398980.5819148615"/>
    <n v="343.258732906739"/>
    <n v="0"/>
    <n v="0"/>
    <n v="0"/>
    <n v="1981830.9439023973"/>
    <n v="5.6962700163683135E-2"/>
    <n v="0.46575477830960643"/>
    <n v="0.51266430147314823"/>
    <n v="2.9691264912280801"/>
  </r>
  <r>
    <s v="MUTHIARA TPP1"/>
    <x v="85"/>
    <s v="Tamil Nadu"/>
    <s v="SR"/>
    <x v="2"/>
    <x v="1"/>
    <n v="5.4236824093086904"/>
    <n v="600"/>
    <n v="4.8172721909819503"/>
    <n v="0.33453279104041322"/>
    <n v="0.85"/>
    <s v="0.15"/>
    <n v="4.2613315718974345"/>
    <n v="933231.61424553813"/>
    <n v="11.433181490314853"/>
    <n v="12.24"/>
    <n v="2503866.7463789531"/>
    <s v="Contracted"/>
    <n v="1"/>
    <n v="933231.61424553813"/>
    <n v="2848.2765461245726"/>
    <n v="3018.6751599509935"/>
    <n v="0.30193697349020931"/>
    <n v="2968959.4721106254"/>
    <n v="1238392.3621321903"/>
    <x v="0"/>
    <m/>
    <n v="0"/>
    <m/>
    <m/>
    <m/>
    <m/>
    <m/>
    <m/>
    <m/>
    <m/>
    <m/>
    <n v="0"/>
    <n v="7.2208785753758192E-2"/>
    <n v="0.34784937555615297"/>
    <n v="0.88383553762600031"/>
    <n v="3.0330919540229901"/>
  </r>
  <r>
    <s v="SIMHADRI STPP1"/>
    <x v="65"/>
    <s v="Andhra Pradesh"/>
    <s v="SR"/>
    <x v="0"/>
    <x v="3"/>
    <n v="18.2532511978097"/>
    <n v="500"/>
    <n v="7.75765546903967"/>
    <n v="0.64647128908663909"/>
    <n v="0.75"/>
    <s v="0.25"/>
    <n v="10.389433468139758"/>
    <n v="1896071.6079355057"/>
    <n v="13.221189481690622"/>
    <n v="9"/>
    <n v="2129000.3650663579"/>
    <s v="Contracted"/>
    <n v="1.6194662129857273E-2"/>
    <n v="30706.239064530728"/>
    <n v="2850.1282684144439"/>
    <n v="2884.3518786155264"/>
    <n v="0.30174080567904649"/>
    <n v="2172832.0156035786"/>
    <n v="1895387.2984708885"/>
    <x v="0"/>
    <n v="4308.9715608505721"/>
    <n v="2154485.7804252859"/>
    <m/>
    <n v="0"/>
    <n v="21402.593173040128"/>
    <n v="535897.80790307303"/>
    <n v="1338442.8018863837"/>
    <n v="328.40497300885733"/>
    <n v="0"/>
    <n v="0"/>
    <n v="0"/>
    <n v="1896071.6079355057"/>
    <n v="5.6962700163683135E-2"/>
    <n v="0.44189700245606339"/>
    <n v="0.51266430147314823"/>
    <n v="2.9691264912280801"/>
  </r>
  <r>
    <s v="SALAYA TPP2"/>
    <x v="86"/>
    <s v="Gujarat"/>
    <s v="WR"/>
    <x v="2"/>
    <x v="1"/>
    <n v="7.9233401779603003"/>
    <n v="600"/>
    <n v="2.2594336917562701"/>
    <n v="0.15690511748307431"/>
    <n v="0.85"/>
    <s v="0.15"/>
    <n v="1.8691211212141503"/>
    <n v="409337.52554589888"/>
    <n v="11.512358150136892"/>
    <n v="12.24"/>
    <n v="2521206.4348799791"/>
    <s v="Contracted"/>
    <n v="1"/>
    <n v="409337.52554589888"/>
    <n v="2867.3752737932928"/>
    <n v="3096.4924808207716"/>
    <n v="0.29992586176635799"/>
    <n v="2988867.4225849081"/>
    <n v="595813.48452269915"/>
    <x v="0"/>
    <m/>
    <n v="0"/>
    <m/>
    <m/>
    <m/>
    <m/>
    <m/>
    <m/>
    <m/>
    <m/>
    <m/>
    <n v="0"/>
    <n v="5.2816503866712272E-2"/>
    <n v="0.11933538831722502"/>
    <n v="0.6464740073285582"/>
    <n v="2.1756250000000001"/>
  </r>
  <r>
    <s v="UDUPI TPP1"/>
    <x v="87"/>
    <s v="Karnataka"/>
    <s v="SR"/>
    <x v="2"/>
    <x v="1"/>
    <n v="8.1752224503764506"/>
    <n v="600"/>
    <n v="5.9819780399738596"/>
    <n v="0.41541514166485133"/>
    <n v="0.85"/>
    <s v="0.15"/>
    <n v="5.4738270116412506"/>
    <n v="1198768.115549434"/>
    <n v="11.520336521115674"/>
    <n v="12.24"/>
    <n v="2522953.6981243328"/>
    <s v="Contracted"/>
    <n v="1"/>
    <n v="1198768.115549434"/>
    <n v="2869.299789615332"/>
    <n v="3012.961027737012"/>
    <n v="0.2997246934992786"/>
    <n v="2990873.4811211992"/>
    <n v="1534896.2544739279"/>
    <x v="0"/>
    <m/>
    <n v="0"/>
    <m/>
    <m/>
    <m/>
    <m/>
    <m/>
    <m/>
    <m/>
    <m/>
    <m/>
    <n v="0"/>
    <n v="6.0725940133071567E-2"/>
    <n v="0.36326124033280138"/>
    <n v="0.74328550722879594"/>
    <n v="3.48586474501105"/>
  </r>
  <r>
    <s v="UDUPI TPP2"/>
    <x v="87"/>
    <s v="Karnataka"/>
    <s v="SR"/>
    <x v="2"/>
    <x v="1"/>
    <n v="8.1752224503764506"/>
    <n v="600"/>
    <n v="6.6632286342849998"/>
    <n v="0.46272421071423614"/>
    <n v="0.85"/>
    <s v="0.15"/>
    <n v="6.1320522820460566"/>
    <n v="1342919.4497680864"/>
    <n v="11.520336521115674"/>
    <n v="12.24"/>
    <n v="2522953.6981243328"/>
    <s v="Contracted"/>
    <n v="1"/>
    <n v="1342919.4497680864"/>
    <n v="2869.299789615332"/>
    <n v="2997.3220120104743"/>
    <n v="0.2997246934992786"/>
    <n v="2990873.4811211992"/>
    <n v="1700821.809999845"/>
    <x v="0"/>
    <m/>
    <n v="0"/>
    <m/>
    <m/>
    <m/>
    <m/>
    <m/>
    <m/>
    <m/>
    <m/>
    <m/>
    <n v="0"/>
    <n v="6.0725940133071567E-2"/>
    <n v="0.40463082313855914"/>
    <n v="0.74328550722879594"/>
    <n v="3.48586474501105"/>
  </r>
  <r>
    <s v="KAMALANGA TPS3"/>
    <x v="88"/>
    <s v="Odisha"/>
    <s v="ER"/>
    <x v="2"/>
    <x v="1"/>
    <n v="6.1765913757700197"/>
    <n v="350"/>
    <n v="5.6103804182493198"/>
    <n v="0.6679024307439666"/>
    <n v="0.85"/>
    <s v="0.15"/>
    <n v="10.225426771497546"/>
    <n v="1306298.2700588114"/>
    <n v="12.759004881827515"/>
    <n v="7.14"/>
    <n v="1629962.873653465"/>
    <s v="Not contracted"/>
    <n v="4.5917342400273363E-2"/>
    <n v="59981.744943175203"/>
    <n v="2870.3614719217107"/>
    <n v="2930.5576839077607"/>
    <n v="0.29961383206005371"/>
    <n v="2000751.73549106"/>
    <n v="1605095.8907055906"/>
    <x v="0"/>
    <n v="3738.8192144385098"/>
    <n v="1308586.7250534785"/>
    <m/>
    <n v="0"/>
    <n v="0"/>
    <n v="0"/>
    <n v="1306298.2700588114"/>
    <n v="0"/>
    <n v="0"/>
    <n v="0"/>
    <n v="0"/>
    <n v="1306298.2700588114"/>
    <n v="7.5971148628802138E-2"/>
    <n v="0.42622704461894018"/>
    <n v="0.54243400120964724"/>
    <n v="1.4229028168281801"/>
  </r>
  <r>
    <s v="SALAYA TPP1"/>
    <x v="86"/>
    <s v="Gujarat"/>
    <s v="WR"/>
    <x v="2"/>
    <x v="1"/>
    <n v="8.33949349760438"/>
    <n v="600"/>
    <n v="3.0550832653565601"/>
    <n v="0.21215856009420556"/>
    <n v="0.85"/>
    <s v="0.15"/>
    <n v="2.6510605006953289"/>
    <n v="580582.2496522771"/>
    <n v="11.525539806536619"/>
    <n v="12.24"/>
    <n v="2524093.2176315198"/>
    <s v="Contracted"/>
    <n v="1"/>
    <n v="580582.2496522771"/>
    <n v="2870.554908629706"/>
    <n v="3081.4069188290923"/>
    <n v="0.29959364212633416"/>
    <n v="2992181.7801666069"/>
    <n v="801701.69614700612"/>
    <x v="0"/>
    <m/>
    <n v="0"/>
    <m/>
    <m/>
    <m/>
    <m/>
    <m/>
    <m/>
    <m/>
    <m/>
    <m/>
    <n v="0"/>
    <n v="5.2816503866712272E-2"/>
    <n v="0.1613588170978327"/>
    <n v="0.6464740073285582"/>
    <n v="2.1756250000000001"/>
  </r>
  <r>
    <s v="KAMALANGA TPS2"/>
    <x v="88"/>
    <s v="Odisha"/>
    <s v="ER"/>
    <x v="2"/>
    <x v="1"/>
    <n v="6.6721423682409302"/>
    <n v="350"/>
    <n v="5.6004336566145296"/>
    <n v="0.66671829245411063"/>
    <n v="0.85"/>
    <s v="0.15"/>
    <n v="10.224648077915807"/>
    <n v="1306198.7919537444"/>
    <n v="12.774701459514031"/>
    <n v="7.14"/>
    <n v="1631968.1114529176"/>
    <s v="Not contracted"/>
    <n v="4.5917342400273363E-2"/>
    <n v="59977.177172963515"/>
    <n v="2874.1477476150717"/>
    <n v="2934.735401616565"/>
    <n v="0.29921913398975963"/>
    <n v="2003390.9144720503"/>
    <n v="1604534.3035964507"/>
    <x v="0"/>
    <n v="3738.8192144385098"/>
    <n v="1308586.7250534785"/>
    <m/>
    <n v="0"/>
    <n v="0"/>
    <n v="0"/>
    <n v="1306198.7919537444"/>
    <n v="0"/>
    <n v="0"/>
    <n v="0"/>
    <n v="0"/>
    <n v="1306198.7919537444"/>
    <n v="7.5971148628802138E-2"/>
    <n v="0.42547137771240828"/>
    <n v="0.54243400120964724"/>
    <n v="1.4229028168281801"/>
  </r>
  <r>
    <s v="BINJKOTE  TPP2"/>
    <x v="89"/>
    <s v="Chhatisgarh"/>
    <s v="WR"/>
    <x v="2"/>
    <x v="0"/>
    <n v="2.0917180013689198"/>
    <n v="300"/>
    <n v="2.9072108171720599"/>
    <n v="0.40377928016278608"/>
    <n v="0.85"/>
    <s v="0.15"/>
    <n v="6.6816087763822534"/>
    <n v="731636.16101385676"/>
    <n v="12.890011517693361"/>
    <n v="6.12"/>
    <n v="1411456.2611874233"/>
    <s v="Not contracted"/>
    <n v="0"/>
    <n v="0"/>
    <n v="2875.0856387830254"/>
    <n v="3022.5933576044768"/>
    <n v="0.29912152472926801"/>
    <n v="1579489.78686345"/>
    <n v="788807.19640698645"/>
    <x v="0"/>
    <n v="4066.1018218212434"/>
    <n v="1219830.5465463731"/>
    <m/>
    <n v="7831.0019003464467"/>
    <n v="0"/>
    <n v="0"/>
    <n v="90430.044058438609"/>
    <n v="0"/>
    <n v="0"/>
    <n v="633375.11505507166"/>
    <n v="0"/>
    <n v="731636.16101385676"/>
    <n v="0.11609507686426573"/>
    <n v="0.33751286328021507"/>
    <n v="0.71050187040930635"/>
    <m/>
  </r>
  <r>
    <s v="KAMALANGA TPS1"/>
    <x v="88"/>
    <s v="Odisha"/>
    <s v="ER"/>
    <x v="2"/>
    <x v="1"/>
    <n v="7.1759069130732298"/>
    <n v="350"/>
    <n v="5.2874365157052798"/>
    <n v="0.6294567280601524"/>
    <n v="0.85"/>
    <s v="0.15"/>
    <n v="9.7221734959909121"/>
    <n v="1242007.6641128391"/>
    <n v="12.790658201471594"/>
    <n v="7.14"/>
    <n v="1634006.5852379962"/>
    <s v="Contracted"/>
    <n v="4.5917342400273363E-2"/>
    <n v="57029.691176832937"/>
    <n v="2877.996779259151"/>
    <n v="2950.9020333162325"/>
    <n v="0.2988189584497658"/>
    <n v="2006073.8367510673"/>
    <n v="1523204.9983359426"/>
    <x v="0"/>
    <n v="3738.8192144385098"/>
    <n v="1308586.7250534785"/>
    <m/>
    <n v="0"/>
    <n v="0"/>
    <n v="0"/>
    <n v="1242007.6641128391"/>
    <n v="0"/>
    <n v="0"/>
    <n v="0"/>
    <n v="0"/>
    <n v="1242007.6641128391"/>
    <n v="7.5971148628802138E-2"/>
    <n v="0.4016926254000015"/>
    <n v="0.54243400120964724"/>
    <n v="1.4229028168281801"/>
  </r>
  <r>
    <s v="VINDHYACHAL STPS8"/>
    <x v="57"/>
    <s v="Madhya Pradesh"/>
    <s v="WR"/>
    <x v="0"/>
    <x v="4"/>
    <n v="20.2546201232032"/>
    <n v="500"/>
    <n v="10.5637195958472"/>
    <n v="0.88030996632059999"/>
    <n v="0.7"/>
    <s v="0.25"/>
    <n v="13.706294496810864"/>
    <n v="2501398.7456679828"/>
    <n v="13.284582842402461"/>
    <n v="8.4"/>
    <n v="1996594.6566081345"/>
    <s v="Contracted"/>
    <n v="0"/>
    <n v="0"/>
    <n v="2878.2971844722783"/>
    <n v="2818.6919025337179"/>
    <n v="0.29878777099164511"/>
    <n v="1982854.752830667"/>
    <n v="2441970.7424254399"/>
    <x v="0"/>
    <n v="4450.5827544825906"/>
    <n v="2225291.3772412953"/>
    <s v="Pithead plant"/>
    <n v="0"/>
    <n v="0"/>
    <n v="0"/>
    <n v="0"/>
    <n v="2501398.7456679828"/>
    <n v="0"/>
    <n v="0"/>
    <n v="0"/>
    <n v="2501398.7456679828"/>
    <n v="6.5179373950034494E-2"/>
    <n v="0.68853662984103192"/>
    <n v="0.54750674118028975"/>
    <n v="1.56705606429194"/>
  </r>
  <r>
    <s v="BINJKOTE  TPP1"/>
    <x v="89"/>
    <s v="Chhatisgarh"/>
    <s v="WR"/>
    <x v="2"/>
    <x v="0"/>
    <n v="3.0910335386721401"/>
    <n v="300"/>
    <n v="2.52252431661281"/>
    <n v="0.35035059952955694"/>
    <n v="0.85"/>
    <s v="0.15"/>
    <n v="5.9698928337720254"/>
    <n v="653703.26529803674"/>
    <n v="12.92166483733744"/>
    <n v="6.12"/>
    <n v="1414922.2996884498"/>
    <s v="Not contracted"/>
    <n v="0"/>
    <n v="0"/>
    <n v="2882.7209461204657"/>
    <n v="3047.8906480132605"/>
    <n v="0.29832925769571234"/>
    <n v="1583684.4062502158"/>
    <n v="690159.32039534708"/>
    <x v="0"/>
    <n v="4066.1018218212434"/>
    <n v="1219830.5465463731"/>
    <m/>
    <n v="6996.8541545538101"/>
    <n v="0"/>
    <n v="0"/>
    <n v="80797.557901087741"/>
    <n v="0"/>
    <n v="0"/>
    <n v="565908.85324239521"/>
    <n v="0"/>
    <n v="653703.26529803674"/>
    <n v="0.11609507686426573"/>
    <n v="0.29285265442914354"/>
    <n v="0.71050187040930635"/>
    <m/>
  </r>
  <r>
    <s v="NAWAPARA TPP2"/>
    <x v="90"/>
    <s v="Chhatisgarh"/>
    <s v="WR"/>
    <x v="2"/>
    <x v="0"/>
    <n v="3.0910335386721401"/>
    <n v="300"/>
    <n v="3.8804093960308599"/>
    <n v="0.53894574944873053"/>
    <n v="0.85"/>
    <s v="0.15"/>
    <n v="8.5938737331424626"/>
    <n v="941029.1737790996"/>
    <n v="12.92166483733744"/>
    <n v="6.12"/>
    <n v="1414922.2996884498"/>
    <s v="Contracted"/>
    <n v="3.1688335896360502E-5"/>
    <n v="29.819648546986709"/>
    <n v="2882.7280904332483"/>
    <n v="2985.553667303082"/>
    <n v="0.29832851834137075"/>
    <n v="1551671.8092553706"/>
    <n v="1018936.6827902176"/>
    <x v="0"/>
    <n v="4150.0000000000009"/>
    <n v="1245000.0000000002"/>
    <m/>
    <n v="0"/>
    <n v="0"/>
    <n v="0"/>
    <n v="0"/>
    <n v="0"/>
    <n v="0"/>
    <n v="941029.1737790996"/>
    <n v="0"/>
    <n v="941029.1737790996"/>
    <n v="8.9083336269112648E-2"/>
    <n v="0.34567981508844142"/>
    <n v="0.54519001796696942"/>
    <n v="1.6633223684210501"/>
  </r>
  <r>
    <s v="VINDHYACHAL STPS7"/>
    <x v="57"/>
    <s v="Madhya Pradesh"/>
    <s v="WR"/>
    <x v="0"/>
    <x v="4"/>
    <n v="21.177275838466802"/>
    <n v="500"/>
    <n v="10.260360400444901"/>
    <n v="0.85503003337040839"/>
    <n v="0.7"/>
    <s v="0.25"/>
    <n v="13.383792325475939"/>
    <n v="2442542.099399359"/>
    <n v="13.313807962183436"/>
    <n v="8.4"/>
    <n v="2000987.0201987459"/>
    <s v="Contracted"/>
    <n v="0"/>
    <n v="0"/>
    <n v="2885.3467696030116"/>
    <n v="2834.0983054357157"/>
    <n v="0.29805776174290671"/>
    <n v="1987711.2017954814"/>
    <n v="2384808.4945936585"/>
    <x v="0"/>
    <n v="4450.5827544825906"/>
    <n v="2225291.3772412953"/>
    <s v="Pithead plant"/>
    <n v="0"/>
    <n v="0"/>
    <n v="0"/>
    <n v="0"/>
    <n v="2442542.099399359"/>
    <n v="0"/>
    <n v="0"/>
    <n v="0"/>
    <n v="2442542.099399359"/>
    <n v="6.5179373950034494E-2"/>
    <n v="0.66876386740272387"/>
    <n v="0.54750674118028975"/>
    <n v="1.56705606429194"/>
  </r>
  <r>
    <s v="NAWAPARA TPP1"/>
    <x v="90"/>
    <s v="Chhatisgarh"/>
    <s v="WR"/>
    <x v="2"/>
    <x v="0"/>
    <n v="3.7563312799452402"/>
    <n v="300"/>
    <n v="4.14535708464431"/>
    <n v="0.57574403953393194"/>
    <n v="0.85"/>
    <s v="0.15"/>
    <n v="9.1269326885397213"/>
    <n v="999399.12939509947"/>
    <n v="12.942738143292265"/>
    <n v="6.12"/>
    <n v="1417229.8266905032"/>
    <s v="Contracted"/>
    <n v="3.1688335896360502E-5"/>
    <n v="31.669295306802169"/>
    <n v="2887.8113224414619"/>
    <n v="2978.4724443998825"/>
    <n v="0.29780338947938068"/>
    <n v="1554407.9354384907"/>
    <n v="1085926.1746544531"/>
    <x v="0"/>
    <n v="4150.0000000000009"/>
    <n v="1245000.0000000002"/>
    <m/>
    <n v="0"/>
    <n v="0"/>
    <n v="0"/>
    <n v="0"/>
    <n v="0"/>
    <n v="0"/>
    <n v="999399.12939509947"/>
    <n v="0"/>
    <n v="999399.12939509947"/>
    <n v="8.9083336269112648E-2"/>
    <n v="0.36928223912691754"/>
    <n v="0.54519001796696942"/>
    <n v="1.6633223684210501"/>
  </r>
  <r>
    <s v="BANDAKHAR TPP1"/>
    <x v="91"/>
    <s v="Chhatisgarh"/>
    <s v="WR"/>
    <x v="2"/>
    <x v="0"/>
    <n v="4.8432580424366796"/>
    <n v="300"/>
    <n v="5.9824662298269597"/>
    <n v="0.83089808747596661"/>
    <n v="0.85"/>
    <s v="0.15"/>
    <n v="12.711395908973548"/>
    <n v="1391897.8520326035"/>
    <n v="12.977166548494182"/>
    <n v="6.12"/>
    <n v="1420999.7370601131"/>
    <s v="Contracted"/>
    <n v="8.0944837960887448E-3"/>
    <n v="11266.694609088639"/>
    <n v="2897.933828974722"/>
    <n v="2904.2483711200871"/>
    <n v="0.29676315980764295"/>
    <n v="1549521.8708582362"/>
    <n v="1518000.2180540792"/>
    <x v="0"/>
    <n v="4177.6787465273401"/>
    <n v="1253303.6239582021"/>
    <m/>
    <n v="0"/>
    <n v="0"/>
    <n v="0"/>
    <n v="0"/>
    <n v="0"/>
    <n v="0"/>
    <n v="1391897.8520326035"/>
    <n v="0"/>
    <n v="1391897.8520326035"/>
    <n v="8.8068952930357491E-2"/>
    <n v="0.52686953680208382"/>
    <n v="0.53898199193378782"/>
    <n v="1.6513321248306001"/>
  </r>
  <r>
    <s v="CHANDRAPUR STPS7"/>
    <x v="58"/>
    <s v="Maharashtra"/>
    <s v="WR"/>
    <x v="1"/>
    <x v="4"/>
    <n v="22.590006844626899"/>
    <n v="500"/>
    <n v="6.7243134122569996"/>
    <n v="0.56035945102141671"/>
    <n v="0.7"/>
    <s v="0.25"/>
    <n v="9.3287003666998345"/>
    <n v="1702487.8169227201"/>
    <n v="13.358556216803557"/>
    <n v="8.4"/>
    <n v="2007712.4196431227"/>
    <s v="Contracted"/>
    <n v="3.3278847509413102E-2"/>
    <n v="56656.832446004802"/>
    <n v="2903.6436956591683"/>
    <n v="2949.8048395036776"/>
    <n v="0.29617959024575424"/>
    <n v="2128896.4802202205"/>
    <n v="1731303.3348640003"/>
    <x v="0"/>
    <n v="4181.7775798896982"/>
    <n v="2090888.7899448492"/>
    <m/>
    <n v="0"/>
    <n v="0"/>
    <n v="0"/>
    <n v="303.15101434244718"/>
    <n v="0"/>
    <n v="0"/>
    <n v="16813.18433856473"/>
    <n v="1685371.4815698124"/>
    <n v="1702487.8169227196"/>
    <n v="7.096074531932961E-2"/>
    <n v="0.47716229149452122"/>
    <n v="0.59607026068236879"/>
    <n v="2.3100000000000298"/>
  </r>
  <r>
    <s v="HALDIA TPP2"/>
    <x v="92"/>
    <s v="West Bengal"/>
    <s v="ER"/>
    <x v="2"/>
    <x v="1"/>
    <n v="5.2539356605065004"/>
    <n v="300"/>
    <n v="6.2416555868679602"/>
    <n v="0.86689660928721668"/>
    <n v="0.85"/>
    <s v="0.15"/>
    <n v="13.225262356042375"/>
    <n v="1448166.2279866401"/>
    <n v="12.990174762046543"/>
    <n v="6.12"/>
    <n v="1422424.1364440967"/>
    <s v="Contracted"/>
    <n v="2.2833310809997152E-2"/>
    <n v="33066.42958816015"/>
    <n v="2904.3945775983739"/>
    <n v="2898.8090451903672"/>
    <n v="0.29610301803797223"/>
    <n v="1684381.7388873352"/>
    <n v="1714560.8128401949"/>
    <x v="0"/>
    <n v="3851.7614253672486"/>
    <n v="1155528.4276101745"/>
    <m/>
    <n v="130569.70150782626"/>
    <n v="117009.5100636743"/>
    <n v="40320.837028020178"/>
    <n v="1160266.1793871194"/>
    <n v="0"/>
    <n v="0"/>
    <n v="0"/>
    <n v="0"/>
    <n v="1448166.2279866401"/>
    <n v="7.8501687626901739E-2"/>
    <n v="0.48998049715501468"/>
    <n v="0.48043032827663867"/>
    <m/>
  </r>
  <r>
    <s v="HALDIA TPP1"/>
    <x v="92"/>
    <s v="West Bengal"/>
    <s v="ER"/>
    <x v="2"/>
    <x v="1"/>
    <n v="5.3388090349075901"/>
    <n v="300"/>
    <n v="6.1706283710352299"/>
    <n v="0.85703171819933754"/>
    <n v="0.85"/>
    <s v="0.15"/>
    <n v="13.09069753100354"/>
    <n v="1433431.3796448878"/>
    <n v="12.992863126180698"/>
    <n v="6.12"/>
    <n v="1422718.5123167865"/>
    <s v="Contracted"/>
    <n v="2.2833310809997152E-2"/>
    <n v="32729.984216234745"/>
    <n v="2905.0430557558002"/>
    <n v="2902.718572232583"/>
    <n v="0.29603692044979185"/>
    <n v="1684757.818905822"/>
    <n v="1697335.943965723"/>
    <x v="0"/>
    <n v="3851.7614253672486"/>
    <n v="1155528.4276101745"/>
    <m/>
    <n v="129241.17670689888"/>
    <n v="115818.95793505022"/>
    <n v="39910.579277812605"/>
    <n v="1148460.6657251259"/>
    <n v="0"/>
    <n v="0"/>
    <n v="0"/>
    <n v="0"/>
    <n v="1433431.3796448875"/>
    <n v="7.8501687626901739E-2"/>
    <n v="0.48440474084470514"/>
    <n v="0.48043032827663867"/>
    <m/>
  </r>
  <r>
    <s v="DHARIWAL TPS2"/>
    <x v="93"/>
    <s v="Maharashtra"/>
    <s v="WR"/>
    <x v="2"/>
    <x v="1"/>
    <n v="6.00958247775496"/>
    <n v="300"/>
    <n v="5.6901275964589404"/>
    <n v="0.79029549950818612"/>
    <n v="0.85"/>
    <s v="0.15"/>
    <n v="12.183423248290135"/>
    <n v="1334084.8456877696"/>
    <n v="13.014109874982889"/>
    <n v="6.12"/>
    <n v="1425045.0313106265"/>
    <s v="Not contracted"/>
    <n v="2.9673684724732544E-2"/>
    <n v="39587.213106982344"/>
    <n v="2911.7103256696632"/>
    <n v="2931.4469140426431"/>
    <n v="0.29535905148882174"/>
    <n v="1542398.2304122944"/>
    <n v="1443779.8245472549"/>
    <x v="0"/>
    <n v="4216.925562565174"/>
    <n v="1265077.6687695521"/>
    <m/>
    <n v="0"/>
    <n v="0"/>
    <n v="0"/>
    <n v="0"/>
    <n v="0"/>
    <n v="0"/>
    <n v="1069489.2823000273"/>
    <n v="264595.56338774227"/>
    <n v="1334084.8456877696"/>
    <n v="8.4082972715828666E-2"/>
    <n v="0.47844284344264082"/>
    <n v="0.51458779302087143"/>
    <n v="1.9895573317595701"/>
  </r>
  <r>
    <s v="GMR WARORA TPS2"/>
    <x v="94"/>
    <s v="Maharashtra"/>
    <s v="WR"/>
    <x v="2"/>
    <x v="1"/>
    <n v="6.7570157426420199"/>
    <n v="300"/>
    <n v="5.2702625209668597"/>
    <n v="0.73198090568984164"/>
    <n v="0.85"/>
    <s v="0.15"/>
    <n v="11.39574975878266"/>
    <n v="1247834.5985867013"/>
    <n v="13.037784823648186"/>
    <n v="6.12"/>
    <n v="1427637.4381894765"/>
    <s v="Contracted"/>
    <n v="8.6047411424651186E-3"/>
    <n v="10737.293709450434"/>
    <n v="2912.671005868358"/>
    <n v="2951.6847194973798"/>
    <n v="0.2952616338293268"/>
    <n v="1571936.2035403124"/>
    <n v="1371810.9884241447"/>
    <x v="0"/>
    <n v="4139.0512402826553"/>
    <n v="1241715.3720847967"/>
    <m/>
    <n v="0"/>
    <n v="0"/>
    <n v="0"/>
    <n v="0"/>
    <n v="0"/>
    <n v="0"/>
    <n v="1213535.8151667223"/>
    <n v="34298.783419979191"/>
    <n v="1247834.5985867016"/>
    <n v="8.7066312766907406E-2"/>
    <n v="0.45886232501421048"/>
    <n v="0.53284583413347331"/>
    <n v="1.9006111999999999"/>
  </r>
  <r>
    <s v="TALCHER STPS2"/>
    <x v="82"/>
    <s v="Odisha"/>
    <s v="ER"/>
    <x v="0"/>
    <x v="4"/>
    <n v="24.175222450376399"/>
    <n v="500"/>
    <n v="9.3843866385931403"/>
    <n v="0.78203221988276161"/>
    <n v="0.7"/>
    <s v="0.25"/>
    <n v="12.463111806010501"/>
    <n v="2274517.9045969164"/>
    <n v="13.408767921115674"/>
    <n v="8.4"/>
    <n v="2015258.9434382673"/>
    <s v="Contracted"/>
    <n v="2.3401661620630933E-2"/>
    <n v="53227.498353443545"/>
    <n v="2913.5287272770079"/>
    <n v="2886.4112379116996"/>
    <n v="0.29517471097796877"/>
    <n v="2585739.1009199051"/>
    <n v="2861872.0379633196"/>
    <x v="0"/>
    <n v="3454.6714611127372"/>
    <n v="1727335.7305563686"/>
    <s v="Pithead plant"/>
    <n v="0"/>
    <n v="0"/>
    <n v="13353.581134507711"/>
    <n v="2261164.3234624085"/>
    <n v="0"/>
    <n v="0"/>
    <n v="0"/>
    <n v="0"/>
    <n v="2274517.9045969164"/>
    <n v="6.4093993789743203E-2"/>
    <n v="0.60148281893453781"/>
    <n v="0.53838954783384296"/>
    <n v="1.6920972789181901"/>
  </r>
  <r>
    <s v="NABI NAGAR TPP3"/>
    <x v="95"/>
    <s v="Bihar"/>
    <s v="ER"/>
    <x v="0"/>
    <x v="0"/>
    <n v="1.2539356605065"/>
    <n v="250"/>
    <n v="4.2689236473574601"/>
    <n v="0.71148727455957672"/>
    <n v="0.85"/>
    <s v="0.15"/>
    <n v="12.086451759176301"/>
    <n v="1102888.7230248374"/>
    <n v="14.013620862046542"/>
    <n v="5.0999999999999996"/>
    <n v="1278742.903661747"/>
    <s v="Contracted"/>
    <n v="0"/>
    <n v="0"/>
    <n v="2914.9716468097195"/>
    <n v="2960.7599646738304"/>
    <n v="0.29502859862847175"/>
    <n v="1268677.3629352674"/>
    <n v="1078619.4980039757"/>
    <x v="0"/>
    <n v="4277.0682910128971"/>
    <n v="1069267.0727532243"/>
    <m/>
    <n v="0"/>
    <n v="1102888.7230248374"/>
    <n v="0"/>
    <n v="0"/>
    <n v="0"/>
    <n v="0"/>
    <n v="0"/>
    <n v="0"/>
    <n v="1102888.7230248374"/>
    <n v="7.0000000000000007E-2"/>
    <n v="0.29882465531502223"/>
    <n v="0.35699999999999998"/>
    <n v="1.97192539109506"/>
  </r>
  <r>
    <s v="ANPARA TPS5"/>
    <x v="35"/>
    <s v="Uttar Pradesh"/>
    <s v="NR"/>
    <x v="1"/>
    <x v="5"/>
    <n v="25.842573579739899"/>
    <n v="500"/>
    <n v="9.3267438039193493"/>
    <n v="0.77722865032661248"/>
    <n v="0.49249999999999999"/>
    <s v="0.25"/>
    <n v="12.449091648727519"/>
    <n v="2271959.2258927724"/>
    <n v="13.461581268138263"/>
    <n v="5.91"/>
    <n v="1423463.2368904145"/>
    <s v="Contracted"/>
    <n v="0"/>
    <n v="0"/>
    <n v="2989.585673611225"/>
    <n v="2895.4625819983767"/>
    <n v="0.28766528003901487"/>
    <n v="1436577.7796169731"/>
    <n v="2195728.628427085"/>
    <x v="0"/>
    <n v="4489.130228333277"/>
    <n v="2244565.1141666383"/>
    <s v="Pithead plant"/>
    <n v="0"/>
    <n v="0"/>
    <n v="0"/>
    <n v="0"/>
    <n v="2271959.2258927724"/>
    <n v="0"/>
    <n v="0"/>
    <n v="0"/>
    <n v="2271959.2258927724"/>
    <n v="9.3255770253987805E-2"/>
    <n v="0.86977267739610709"/>
    <n v="0.55114160220106789"/>
    <n v="1.48842105263157"/>
  </r>
  <r>
    <s v="TALCHER STPS1"/>
    <x v="82"/>
    <s v="Odisha"/>
    <s v="ER"/>
    <x v="0"/>
    <x v="5"/>
    <n v="25.2539356605065"/>
    <n v="500"/>
    <n v="9.2577410869371608"/>
    <n v="0.77147842391143018"/>
    <n v="0.49249999999999999"/>
    <s v="0.25"/>
    <n v="12.350441917453447"/>
    <n v="2253955.6499352539"/>
    <n v="13.442936162046545"/>
    <n v="5.91"/>
    <n v="1421491.6540175835"/>
    <s v="Contracted"/>
    <n v="2.3401661620630933E-2"/>
    <n v="52746.307427694075"/>
    <n v="2990.3641994713953"/>
    <n v="2898.1419671048852"/>
    <n v="0.28759038787048802"/>
    <n v="1867229.4038669558"/>
    <n v="2834724.1169904699"/>
    <x v="0"/>
    <n v="3454.6714611127372"/>
    <n v="1727335.7305563686"/>
    <s v="Pithead plant"/>
    <n v="0"/>
    <n v="0"/>
    <n v="13232.861163309428"/>
    <n v="2240722.7887719446"/>
    <n v="0"/>
    <n v="0"/>
    <n v="0"/>
    <n v="0"/>
    <n v="2253955.6499352539"/>
    <n v="6.4093993789743203E-2"/>
    <n v="0.59336559973320091"/>
    <n v="0.37879550329738232"/>
    <n v="1.6920972789181901"/>
  </r>
  <r>
    <s v="FARAKKA STPS5"/>
    <x v="71"/>
    <s v="West Bengal"/>
    <s v="ER"/>
    <x v="0"/>
    <x v="5"/>
    <n v="26.2532511978097"/>
    <n v="500"/>
    <n v="9.3703870841489803"/>
    <n v="0.78086559034574843"/>
    <n v="0.49249999999999999"/>
    <s v="0.25"/>
    <n v="12.512701699848124"/>
    <n v="2283568.060222283"/>
    <n v="13.474589481690623"/>
    <n v="5.91"/>
    <n v="1424838.7598249475"/>
    <s v="Contracted"/>
    <n v="1.1012599888399872E-2"/>
    <n v="25148.021365157423"/>
    <n v="2995.2063234625584"/>
    <n v="2899.8809642232563"/>
    <n v="0.28712546219714552"/>
    <n v="1331894.6985403425"/>
    <n v="2044529.4386422383"/>
    <x v="0"/>
    <n v="4851.0661749297096"/>
    <n v="2425533.0874648546"/>
    <s v="Pithead plant"/>
    <n v="86945.255411615042"/>
    <n v="0"/>
    <n v="2153775.1063231854"/>
    <n v="1027.1033226926545"/>
    <n v="0"/>
    <n v="41820.595164789578"/>
    <n v="0"/>
    <n v="0"/>
    <n v="2283568.0602222825"/>
    <n v="7.0380830688675913E-2"/>
    <n v="0.65949562685684493"/>
    <n v="0.41595070937007467"/>
    <n v="2.5607556530671198"/>
  </r>
  <r>
    <s v="ANPARA TPS4"/>
    <x v="35"/>
    <s v="Uttar Pradesh"/>
    <s v="NR"/>
    <x v="1"/>
    <x v="5"/>
    <n v="26.841889117043099"/>
    <n v="500"/>
    <n v="11.028828995179801"/>
    <n v="0.91906908293165013"/>
    <n v="0.49249999999999999"/>
    <s v="0.25"/>
    <n v="14.45421345933527"/>
    <n v="2637893.9563286868"/>
    <n v="13.493234587782341"/>
    <n v="5.91"/>
    <n v="1426810.3426977783"/>
    <s v="Contracted"/>
    <n v="0"/>
    <n v="0"/>
    <n v="2997.2209809486649"/>
    <n v="2856.2095273210498"/>
    <n v="0.28693246359425834"/>
    <n v="1440246.753869269"/>
    <n v="2561239.119803125"/>
    <x v="0"/>
    <n v="4489.130228333277"/>
    <n v="2244565.1141666383"/>
    <s v="Pithead plant"/>
    <n v="0"/>
    <n v="0"/>
    <n v="0"/>
    <n v="0"/>
    <n v="2637893.9563286868"/>
    <n v="0"/>
    <n v="0"/>
    <n v="0"/>
    <n v="2637893.9563286868"/>
    <n v="9.3255770253987805E-2"/>
    <n v="1.0285019429450066"/>
    <n v="0.55114160220106789"/>
    <n v="1.48842105263157"/>
  </r>
  <r>
    <s v="FARAKKA STPS4"/>
    <x v="71"/>
    <s v="West Bengal"/>
    <s v="ER"/>
    <x v="0"/>
    <x v="5"/>
    <n v="27.671457905544099"/>
    <n v="500"/>
    <n v="9.0920782465525996"/>
    <n v="0.75767318721271659"/>
    <n v="0.49249999999999999"/>
    <s v="0.25"/>
    <n v="12.234940534804799"/>
    <n v="2232876.6476018759"/>
    <n v="13.51951117915811"/>
    <n v="5.91"/>
    <n v="1429588.8990255352"/>
    <s v="Contracted"/>
    <n v="1.1012599888399872E-2"/>
    <n v="24589.777120191098"/>
    <n v="3006.0421842866513"/>
    <n v="2918.3835655819189"/>
    <n v="0.28609046290016793"/>
    <n v="1336713.1397517803"/>
    <n v="1996462.7017728912"/>
    <x v="0"/>
    <n v="4851.0661749297096"/>
    <n v="2425533.0874648546"/>
    <s v="Pithead plant"/>
    <n v="85015.215359720183"/>
    <n v="0"/>
    <n v="2105964.8813914345"/>
    <n v="1004.3033373358195"/>
    <n v="0"/>
    <n v="40892.247513385235"/>
    <n v="0"/>
    <n v="0"/>
    <n v="2232876.6476018759"/>
    <n v="7.0380830688675913E-2"/>
    <n v="0.63990801967881183"/>
    <n v="0.41595070937007467"/>
    <n v="2.5607556530671198"/>
  </r>
  <r>
    <s v="CHANDRAPUR STPS6"/>
    <x v="58"/>
    <s v="Maharashtra"/>
    <s v="WR"/>
    <x v="1"/>
    <x v="5"/>
    <n v="28.175222450376399"/>
    <n v="500"/>
    <n v="5.87552139255257"/>
    <n v="0.4896267827127142"/>
    <n v="0.49249999999999999"/>
    <s v="0.25"/>
    <n v="8.5214872370324777"/>
    <n v="1555171.4207584271"/>
    <n v="13.535467921115673"/>
    <n v="5.91"/>
    <n v="1431276.2071585625"/>
    <s v="Contracted"/>
    <n v="3.3278847509413102E-2"/>
    <n v="51754.312562417028"/>
    <n v="3014.9112661478748"/>
    <n v="3015.8610690343939"/>
    <n v="0.28524885944614031"/>
    <n v="1555227.5828936917"/>
    <n v="1546641.565623173"/>
    <x v="0"/>
    <n v="4181.7775798896982"/>
    <n v="2090888.7899448492"/>
    <m/>
    <n v="0"/>
    <n v="0"/>
    <n v="0"/>
    <n v="276.91933474828636"/>
    <n v="0"/>
    <n v="0"/>
    <n v="15358.33825967751"/>
    <n v="1539536.1631640012"/>
    <n v="1555171.4207584269"/>
    <n v="7.096074531932961E-2"/>
    <n v="0.41693137715519579"/>
    <n v="0.41937800483723803"/>
    <n v="2.3100000000000298"/>
  </r>
  <r>
    <s v="CHANDRAPUR STPS5"/>
    <x v="58"/>
    <s v="Maharashtra"/>
    <s v="WR"/>
    <x v="1"/>
    <x v="5"/>
    <n v="29.177275838466802"/>
    <n v="500"/>
    <n v="7.3519675039285204"/>
    <n v="0.61266395866071"/>
    <n v="0.49249999999999999"/>
    <s v="0.25"/>
    <n v="10.265080418217494"/>
    <n v="1873377.1763246928"/>
    <n v="13.567207962183437"/>
    <n v="5.91"/>
    <n v="1434632.4831188237"/>
    <s v="Contracted"/>
    <n v="3.3278847509413102E-2"/>
    <n v="62343.833378524345"/>
    <n v="3022.5674921355549"/>
    <n v="2982.8447481243338"/>
    <n v="0.28452631818400803"/>
    <n v="1559177.0105171858"/>
    <n v="1914106.7864228978"/>
    <x v="0"/>
    <n v="4181.7775798896982"/>
    <n v="2090888.7899448492"/>
    <m/>
    <n v="0"/>
    <n v="0"/>
    <n v="0"/>
    <n v="333.58017931390532"/>
    <n v="0"/>
    <n v="0"/>
    <n v="18500.82889764179"/>
    <n v="1854542.7672477367"/>
    <n v="1873377.1763246923"/>
    <n v="7.096074531932961E-2"/>
    <n v="0.52170109364225914"/>
    <n v="0.41937800483723803"/>
    <n v="2.3100000000000298"/>
  </r>
  <r>
    <s v="RAMAGUNDEM STPS6"/>
    <x v="81"/>
    <s v="Telangana"/>
    <s v="SR"/>
    <x v="0"/>
    <x v="6"/>
    <n v="30.590006844626899"/>
    <n v="500"/>
    <n v="9.6423740407928893"/>
    <n v="0.80353117006607411"/>
    <n v="0.49249999999999999"/>
    <s v="0.25"/>
    <n v="12.965421445283866"/>
    <n v="2366189.4137643054"/>
    <n v="13.611956216803557"/>
    <n v="5.91"/>
    <n v="1439364.2820136172"/>
    <s v="Contracted"/>
    <n v="0"/>
    <n v="0"/>
    <n v="3025.8586131266247"/>
    <n v="2923.0406660004787"/>
    <n v="0.28421684882075854"/>
    <n v="1522919.0171036164"/>
    <n v="2400266.8630142594"/>
    <x v="0"/>
    <m/>
    <n v="0"/>
    <s v="Pithead plant"/>
    <m/>
    <m/>
    <m/>
    <m/>
    <m/>
    <m/>
    <m/>
    <m/>
    <n v="0"/>
    <n v="6.1716058959159902E-2"/>
    <n v="0.59508932480784682"/>
    <n v="0.36474190844863502"/>
    <n v="2.5167695715852698"/>
  </r>
  <r>
    <s v="RIHAND STPS2"/>
    <x v="61"/>
    <s v="Uttar Pradesh"/>
    <s v="NR"/>
    <x v="0"/>
    <x v="6"/>
    <n v="30.841889117043099"/>
    <n v="500"/>
    <n v="9.9785291158122398"/>
    <n v="0.83154409298435328"/>
    <n v="0.49249999999999999"/>
    <s v="0.25"/>
    <n v="13.363152016701543"/>
    <n v="2438775.2430480313"/>
    <n v="13.619934587782341"/>
    <n v="5.91"/>
    <n v="1440207.9360801314"/>
    <s v="Contracted"/>
    <n v="0"/>
    <n v="0"/>
    <n v="3027.7831289486649"/>
    <n v="2915.7049162779158"/>
    <n v="0.28403619525372586"/>
    <n v="1467070.7726095964"/>
    <n v="2385332.4559312733"/>
    <x v="0"/>
    <n v="4451.988614696289"/>
    <n v="2225994.3073481447"/>
    <s v="Pithead plant"/>
    <n v="0"/>
    <n v="0"/>
    <n v="0"/>
    <n v="0"/>
    <n v="2438775.2430480313"/>
    <n v="0"/>
    <n v="0"/>
    <n v="0"/>
    <n v="2438775.2430480313"/>
    <n v="6.6356788102148762E-2"/>
    <n v="0.66214314210907466"/>
    <n v="0.39216861768369921"/>
    <n v="1.3827146645111901"/>
  </r>
  <r>
    <s v="RAMAGUNDEM STPS5"/>
    <x v="81"/>
    <s v="Telangana"/>
    <s v="SR"/>
    <x v="0"/>
    <x v="6"/>
    <n v="31.175906913073199"/>
    <n v="500"/>
    <n v="9.4802998766336994"/>
    <n v="0.79002498971947488"/>
    <n v="0.49249999999999999"/>
    <s v="0.25"/>
    <n v="12.796064290935565"/>
    <n v="2335281.7330957404"/>
    <n v="13.630514601471594"/>
    <n v="5.91"/>
    <n v="1441326.6947335515"/>
    <s v="Contracted"/>
    <n v="0"/>
    <n v="0"/>
    <n v="3030.3352042778915"/>
    <n v="2931.9820113963374"/>
    <n v="0.2837969868105506"/>
    <n v="1525172.0919057524"/>
    <n v="2367140.7083155657"/>
    <x v="0"/>
    <m/>
    <n v="0"/>
    <s v="Pithead plant"/>
    <m/>
    <m/>
    <m/>
    <m/>
    <m/>
    <m/>
    <m/>
    <m/>
    <n v="0"/>
    <n v="6.1716058959159902E-2"/>
    <n v="0.58508674613684175"/>
    <n v="0.36474190844863502"/>
    <n v="2.5167695715852698"/>
  </r>
  <r>
    <s v="KORBA STPS6"/>
    <x v="72"/>
    <s v="Chhatisgarh"/>
    <s v="WR"/>
    <x v="0"/>
    <x v="6"/>
    <n v="31.2525667351129"/>
    <n v="500"/>
    <n v="10.5807828837715"/>
    <n v="0.88173190698095838"/>
    <n v="0.49249999999999999"/>
    <s v="0.25"/>
    <n v="14.07443834273287"/>
    <n v="2568584.9975487487"/>
    <n v="13.632942801334702"/>
    <n v="5.91"/>
    <n v="1441583.4590146644"/>
    <s v="Contracted"/>
    <n v="0"/>
    <n v="0"/>
    <n v="3030.920926484599"/>
    <n v="2902.2520679156155"/>
    <n v="0.28374214334831471"/>
    <n v="1573185.0713355551"/>
    <n v="2696936.1307874192"/>
    <x v="0"/>
    <n v="4155.9961352898499"/>
    <n v="2077998.0676449249"/>
    <s v="Pithead plant"/>
    <n v="0"/>
    <n v="0"/>
    <n v="0"/>
    <n v="0"/>
    <n v="0"/>
    <n v="0"/>
    <n v="2568584.9975487487"/>
    <n v="0"/>
    <n v="2568584.9975487487"/>
    <n v="6.2610933454142856E-2"/>
    <n v="0.66247269302855116"/>
    <n v="0.37003061671398429"/>
    <n v="1.31693546675523"/>
  </r>
  <r>
    <s v="DHARIWAL TPS1"/>
    <x v="93"/>
    <s v="Maharashtra"/>
    <s v="WR"/>
    <x v="2"/>
    <x v="1"/>
    <n v="6.5051334702258696"/>
    <n v="300"/>
    <n v="2.5500808437092499"/>
    <n v="0.35417789495961804"/>
    <n v="0.49249999999999999"/>
    <s v="0.25"/>
    <n v="6.1023750586110577"/>
    <n v="668210.0689179108"/>
    <n v="13.000896752669405"/>
    <n v="3.5459999999999998"/>
    <n v="824849.54205943563"/>
    <s v="Contracted"/>
    <n v="2.9673684724732544E-2"/>
    <n v="19828.25491496189"/>
    <n v="3033.6758053630242"/>
    <n v="3079.4011096127497"/>
    <n v="0.28348447730626519"/>
    <n v="931118.22816593165"/>
    <n v="679699.79717982677"/>
    <x v="0"/>
    <n v="4216.925562565174"/>
    <n v="1265077.6687695521"/>
    <m/>
    <n v="0"/>
    <n v="0"/>
    <n v="0"/>
    <n v="0"/>
    <n v="0"/>
    <n v="0"/>
    <n v="535680.70227515651"/>
    <n v="132529.36664275426"/>
    <n v="668210.0689179108"/>
    <n v="8.4082972715828666E-2"/>
    <n v="0.21441837800476221"/>
    <n v="0.29815822125032843"/>
    <n v="1.9895573317595701"/>
  </r>
  <r>
    <s v="GMR WARORA TPS1"/>
    <x v="94"/>
    <s v="Maharashtra"/>
    <s v="WR"/>
    <x v="2"/>
    <x v="1"/>
    <n v="7.2525667351129304"/>
    <n v="300"/>
    <n v="5.5939891599131304"/>
    <n v="0.77694293887682364"/>
    <n v="0.49249999999999999"/>
    <s v="0.25"/>
    <n v="12.008106892809613"/>
    <n v="1314887.7047626527"/>
    <n v="13.024571701334702"/>
    <n v="3.5459999999999998"/>
    <n v="826351.61310394574"/>
    <s v="Contracted"/>
    <n v="8.6047411424651186E-3"/>
    <n v="11314.268330892724"/>
    <n v="3034.636485561718"/>
    <n v="2940.6078419256801"/>
    <n v="0.28339473412770627"/>
    <n v="948937.19088857027"/>
    <n v="1450610.4211481139"/>
    <x v="0"/>
    <n v="4139.0512402826553"/>
    <n v="1241715.3720847967"/>
    <m/>
    <n v="0"/>
    <n v="0"/>
    <n v="0"/>
    <n v="0"/>
    <n v="0"/>
    <n v="0"/>
    <n v="1278745.8565895639"/>
    <n v="36141.848173088794"/>
    <n v="1314887.7047626527"/>
    <n v="8.7066312766907406E-2"/>
    <n v="0.48704800981168622"/>
    <n v="0.30873714507145367"/>
    <n v="1.9006111999999999"/>
  </r>
  <r>
    <s v="BONGAIGAON TPS3"/>
    <x v="96"/>
    <s v="Assam"/>
    <s v="NER"/>
    <x v="0"/>
    <x v="0"/>
    <n v="1.3388090349075901"/>
    <n v="250"/>
    <n v="2.9789465217763298"/>
    <n v="0.49649108696272165"/>
    <n v="0.49249999999999999"/>
    <s v="0.25"/>
    <n v="9.068923966419133"/>
    <n v="827539.31193574599"/>
    <n v="13.987399526180697"/>
    <n v="2.9550000000000001"/>
    <n v="739532.32568384043"/>
    <s v="Not contracted"/>
    <n v="7.979458010659737E-3"/>
    <n v="6603.3151917615342"/>
    <n v="3035.5983424606134"/>
    <n v="3034.2790040540422"/>
    <n v="0.28330493793289402"/>
    <n v="544953.98631289799"/>
    <n v="549131.37775415438"/>
    <x v="0"/>
    <n v="6008.0677716880546"/>
    <n v="1502016.9429220136"/>
    <m/>
    <n v="0"/>
    <n v="27018.178268550757"/>
    <n v="524102.94404210645"/>
    <n v="0"/>
    <n v="0"/>
    <n v="276418.18962508865"/>
    <n v="0"/>
    <n v="0"/>
    <n v="827539.31193574588"/>
    <n v="0.06"/>
    <n v="0.17873679130657977"/>
    <n v="0.17729999999999999"/>
    <n v="2.9718826799528202"/>
  </r>
  <r>
    <s v="RAMAGUNDEM STPS4"/>
    <x v="81"/>
    <s v="Telangana"/>
    <s v="SR"/>
    <x v="0"/>
    <x v="6"/>
    <n v="31.923340177960299"/>
    <n v="500"/>
    <n v="9.0403742888924192"/>
    <n v="0.75336452407436827"/>
    <n v="0.49249999999999999"/>
    <s v="0.25"/>
    <n v="12.309671182940802"/>
    <n v="2246514.9908866961"/>
    <n v="13.654189550136893"/>
    <n v="5.91"/>
    <n v="1443830.1464744019"/>
    <s v="Contracted"/>
    <n v="0"/>
    <n v="0"/>
    <n v="3036.0459957932921"/>
    <n v="2949.8116970325996"/>
    <n v="0.28326316570684545"/>
    <n v="1528046.3415365142"/>
    <n v="2271022.3204313074"/>
    <x v="0"/>
    <m/>
    <n v="0"/>
    <s v="Pithead plant"/>
    <m/>
    <m/>
    <m/>
    <m/>
    <m/>
    <m/>
    <m/>
    <m/>
    <n v="0"/>
    <n v="6.1716058959159902E-2"/>
    <n v="0.55793627262615786"/>
    <n v="0.36474190844863502"/>
    <n v="2.5167695715852698"/>
  </r>
  <r>
    <s v="KORBA STPS5"/>
    <x v="72"/>
    <s v="Chhatisgarh"/>
    <s v="WR"/>
    <x v="0"/>
    <x v="6"/>
    <n v="32.175222450376403"/>
    <n v="500"/>
    <n v="9.9898367339371799"/>
    <n v="0.83248639449476503"/>
    <n v="0.49249999999999999"/>
    <s v="0.25"/>
    <n v="13.418495873639687"/>
    <n v="2448875.4969392428"/>
    <n v="13.662167921115673"/>
    <n v="5.91"/>
    <n v="1444673.8005409155"/>
    <s v="Contracted"/>
    <n v="0"/>
    <n v="0"/>
    <n v="3037.9705116153314"/>
    <n v="2925.5808012035236"/>
    <n v="0.28308372208087235"/>
    <n v="1576844.1249221626"/>
    <n v="2566777.4621698484"/>
    <x v="0"/>
    <n v="4155.9961352898499"/>
    <n v="2077998.0676449249"/>
    <s v="Pithead plant"/>
    <n v="0"/>
    <n v="0"/>
    <n v="0"/>
    <n v="0"/>
    <n v="0"/>
    <n v="0"/>
    <n v="2448875.4969392428"/>
    <n v="0"/>
    <n v="2448875.4969392428"/>
    <n v="6.2610933454142856E-2"/>
    <n v="0.6254730029662926"/>
    <n v="0.37003061671398429"/>
    <n v="1.31693546675523"/>
  </r>
  <r>
    <s v="RIHAND STPS1"/>
    <x v="61"/>
    <s v="Uttar Pradesh"/>
    <s v="NR"/>
    <x v="0"/>
    <x v="6"/>
    <n v="32.175222450376403"/>
    <n v="500"/>
    <n v="10.4964854874022"/>
    <n v="0.87470712395018335"/>
    <n v="0.49249999999999999"/>
    <s v="0.25"/>
    <n v="14.005925548771758"/>
    <n v="2556081.4126508459"/>
    <n v="13.662167921115673"/>
    <n v="5.91"/>
    <n v="1444673.8005409155"/>
    <s v="Contracted"/>
    <n v="0"/>
    <n v="0"/>
    <n v="3037.9705116153314"/>
    <n v="2911.6238440025709"/>
    <n v="0.28308372208087235"/>
    <n v="1472006.9291053379"/>
    <n v="2505636.0932052191"/>
    <x v="0"/>
    <n v="4451.988614696289"/>
    <n v="2225994.3073481447"/>
    <s v="Pithead plant"/>
    <n v="0"/>
    <n v="0"/>
    <n v="0"/>
    <n v="0"/>
    <n v="2556081.4126508459"/>
    <n v="0"/>
    <n v="0"/>
    <n v="0"/>
    <n v="2556081.4126508459"/>
    <n v="6.6356788102148762E-2"/>
    <n v="0.69651306330482743"/>
    <n v="0.39216861768369921"/>
    <n v="1.3827146645111901"/>
  </r>
  <r>
    <s v="BUTIBORI TPP2"/>
    <x v="97"/>
    <s v="Maharashtra"/>
    <s v="WR"/>
    <x v="2"/>
    <x v="1"/>
    <n v="7.1759069130732298"/>
    <n v="300"/>
    <n v="3.0672454606352701"/>
    <n v="0.42600631397712085"/>
    <n v="0.49249999999999999"/>
    <s v="0.25"/>
    <n v="7.1229921497294697"/>
    <n v="779967.64039537695"/>
    <n v="13.022143501471595"/>
    <n v="3.5459999999999998"/>
    <n v="826197.554535278"/>
    <s v="Contracted"/>
    <n v="3.243283978724501E-2"/>
    <n v="25296.565520178792"/>
    <n v="3039.422941631829"/>
    <n v="3061.4038392128355"/>
    <n v="0.28294844663450375"/>
    <n v="940827.06237663375"/>
    <n v="819688.96332239942"/>
    <x v="0"/>
    <n v="4181.3154366406134"/>
    <n v="1254394.6309921839"/>
    <m/>
    <n v="0"/>
    <n v="0"/>
    <n v="0"/>
    <n v="0"/>
    <n v="0"/>
    <n v="0"/>
    <n v="0"/>
    <n v="779967.64039537695"/>
    <n v="779967.64039537695"/>
    <n v="8.5770417782561448E-2"/>
    <n v="0.26307892460035226"/>
    <n v="0.3041419014569629"/>
    <n v="2.4630549450549402"/>
  </r>
  <r>
    <s v="ROSA TPP PH-I4"/>
    <x v="98"/>
    <s v="Uttar Pradesh"/>
    <s v="NR"/>
    <x v="2"/>
    <x v="1"/>
    <n v="8.1752224503764506"/>
    <n v="300"/>
    <n v="3.8816387893073401"/>
    <n v="0.53911649851490839"/>
    <n v="0.49249999999999999"/>
    <s v="0.25"/>
    <n v="8.7283813999031494"/>
    <n v="955757.7632893949"/>
    <n v="13.053796821115675"/>
    <n v="3.5459999999999998"/>
    <n v="828205.81801969651"/>
    <s v="Contracted"/>
    <n v="0"/>
    <n v="0"/>
    <n v="3039.7460836153318"/>
    <n v="3024.3360117614607"/>
    <n v="0.28291836763456119"/>
    <n v="889531.73746195959"/>
    <n v="968792.05575226853"/>
    <x v="0"/>
    <n v="4422.9034140906479"/>
    <n v="1326871.0242271943"/>
    <m/>
    <n v="0"/>
    <n v="955757.7632893949"/>
    <n v="0"/>
    <n v="0"/>
    <n v="0"/>
    <n v="0"/>
    <n v="0"/>
    <n v="0"/>
    <n v="955757.7632893949"/>
    <n v="9.6241360115922034E-2"/>
    <n v="0.37357419656165936"/>
    <n v="0.34127186297105949"/>
    <n v="2.9649890350877199"/>
  </r>
  <r>
    <s v="SINGRAULI STPS7"/>
    <x v="99"/>
    <s v="Uttar Pradesh"/>
    <s v="NR"/>
    <x v="0"/>
    <x v="6"/>
    <n v="32.5065023956194"/>
    <n v="500"/>
    <n v="10.589602573405999"/>
    <n v="0.88246688111716654"/>
    <n v="0.49249999999999999"/>
    <s v="0.25"/>
    <n v="14.124382670428718"/>
    <n v="2577699.8373532412"/>
    <n v="13.672661213381245"/>
    <n v="5.91"/>
    <n v="1445783.3890414389"/>
    <s v="Contracted"/>
    <n v="0"/>
    <n v="0"/>
    <n v="3040.5016682943183"/>
    <n v="2911.5898484431596"/>
    <n v="0.28284806055786471"/>
    <n v="1474011.5311352664"/>
    <n v="2529169.9430785654"/>
    <x v="0"/>
    <n v="4449.6383069062995"/>
    <n v="2224819.1534531498"/>
    <s v="Pithead plant"/>
    <n v="0"/>
    <n v="0"/>
    <n v="0"/>
    <n v="0"/>
    <n v="2577699.8373532412"/>
    <n v="0"/>
    <n v="0"/>
    <n v="0"/>
    <n v="2577699.8373532412"/>
    <n v="7.690693382449007E-2"/>
    <n v="0.81441386434058494"/>
    <n v="0.45451997890273632"/>
    <n v="1.42529597105324"/>
  </r>
  <r>
    <s v="BARAUNI TPS8"/>
    <x v="100"/>
    <s v="Bihar"/>
    <s v="ER"/>
    <x v="0"/>
    <x v="0"/>
    <n v="2.3381245722108099"/>
    <n v="250"/>
    <n v="7.2098014888337406E-2"/>
    <n v="1.20163358147229E-2"/>
    <n v="0.49249999999999999"/>
    <s v="0.25"/>
    <n v="2.3599347309157617"/>
    <n v="215344.04419606325"/>
    <n v="14.019052845824776"/>
    <n v="2.9550000000000001"/>
    <n v="741205.87858752243"/>
    <s v="Not contracted"/>
    <n v="0"/>
    <n v="0"/>
    <n v="3041.4346363045856"/>
    <n v="3200.26869775471"/>
    <n v="0.28276129617729356"/>
    <n v="569648.88056160312"/>
    <n v="14624.499988569451"/>
    <x v="0"/>
    <n v="5758.6620017898322"/>
    <n v="1439665.5004474581"/>
    <m/>
    <n v="0"/>
    <n v="0"/>
    <n v="215344.04419606325"/>
    <n v="0"/>
    <n v="0"/>
    <n v="0"/>
    <n v="0"/>
    <n v="0"/>
    <n v="215344.04419606325"/>
    <n v="0.09"/>
    <n v="6.4888213399503661E-3"/>
    <n v="0.26595000000000002"/>
    <m/>
  </r>
  <r>
    <s v="ROSA TPP PH-I3"/>
    <x v="98"/>
    <s v="Uttar Pradesh"/>
    <s v="NR"/>
    <x v="2"/>
    <x v="1"/>
    <n v="8.4243668720054696"/>
    <n v="300"/>
    <n v="3.8556876647774398"/>
    <n v="0.53551217566353326"/>
    <n v="0.49249999999999999"/>
    <s v="0.25"/>
    <n v="8.6861250243302113"/>
    <n v="951130.69016415812"/>
    <n v="13.061688470670774"/>
    <n v="3.5459999999999998"/>
    <n v="828706.50836786651"/>
    <s v="Contracted"/>
    <n v="0"/>
    <n v="0"/>
    <n v="3041.6496807871317"/>
    <n v="3027.431094263427"/>
    <n v="0.28274130496758765"/>
    <n v="890088.79389137193"/>
    <n v="963299.91549408785"/>
    <x v="0"/>
    <n v="4422.9034140906479"/>
    <n v="1326871.0242271943"/>
    <m/>
    <n v="0"/>
    <n v="951130.69016415812"/>
    <n v="0"/>
    <n v="0"/>
    <n v="0"/>
    <n v="0"/>
    <n v="0"/>
    <n v="0"/>
    <n v="951130.69016415812"/>
    <n v="9.6241360115922034E-2"/>
    <n v="0.37107662504036404"/>
    <n v="0.34127186297105949"/>
    <n v="2.9649890350877199"/>
  </r>
  <r>
    <s v="GOINDWAL SAHIB2"/>
    <x v="101"/>
    <s v="Punjab"/>
    <s v="NR"/>
    <x v="2"/>
    <x v="0"/>
    <n v="4.1752224503764497"/>
    <n v="270"/>
    <n v="2.6949425783498402"/>
    <n v="0.41588620036262963"/>
    <n v="0.49249999999999999"/>
    <s v="0.25"/>
    <n v="7.043378292621048"/>
    <n v="694124.93073780427"/>
    <n v="13.083333821115673"/>
    <n v="3.1914000000000002"/>
    <n v="747071.82932346198"/>
    <s v="Contracted"/>
    <n v="2.8896222955628895E-2"/>
    <n v="20057.588757660058"/>
    <n v="3043.4710198995267"/>
    <n v="3068.7973355822119"/>
    <n v="0.28257210086015244"/>
    <n v="848784.54499481805"/>
    <n v="722711.18511408381"/>
    <x v="0"/>
    <n v="4176.8205095355825"/>
    <n v="1127741.5375746072"/>
    <m/>
    <n v="2062.0070952843539"/>
    <n v="640823.29566731793"/>
    <n v="0"/>
    <n v="0"/>
    <n v="51239.62797520202"/>
    <n v="0"/>
    <n v="0"/>
    <n v="0"/>
    <n v="694124.93073780439"/>
    <n v="0.10288394721047496"/>
    <n v="0.27726632996620626"/>
    <n v="0.32834382912750981"/>
    <n v="2.9400000000000199"/>
  </r>
  <r>
    <s v="BUTIBORI TPP1"/>
    <x v="97"/>
    <s v="Maharashtra"/>
    <s v="WR"/>
    <x v="2"/>
    <x v="1"/>
    <n v="7.7563312799452397"/>
    <n v="300"/>
    <n v="1.64824715782968"/>
    <n v="0.22892321636523333"/>
    <n v="0.49249999999999999"/>
    <s v="0.25"/>
    <n v="4.3993008295466662"/>
    <n v="481723.44083535997"/>
    <n v="13.040528443292265"/>
    <n v="3.5459999999999998"/>
    <n v="827363.99798376218"/>
    <s v="Contracted"/>
    <n v="3.243283978724501E-2"/>
    <n v="15623.659178373631"/>
    <n v="3043.8576954826162"/>
    <n v="3130.9885891409017"/>
    <n v="0.28253620439494409"/>
    <n v="942199.80204397335"/>
    <n v="450488.54584841442"/>
    <x v="0"/>
    <n v="4181.3154366406134"/>
    <n v="1254394.6309921839"/>
    <m/>
    <n v="0"/>
    <n v="0"/>
    <n v="0"/>
    <n v="0"/>
    <n v="0"/>
    <n v="0"/>
    <n v="0"/>
    <n v="481723.44083535997"/>
    <n v="481723.44083535997"/>
    <n v="8.5770417782561448E-2"/>
    <n v="0.14137084733597116"/>
    <n v="0.3041419014569629"/>
    <n v="2.4630549450549402"/>
  </r>
  <r>
    <s v="GOINDWAL SAHIB1"/>
    <x v="101"/>
    <s v="Punjab"/>
    <s v="NR"/>
    <x v="2"/>
    <x v="0"/>
    <n v="4.2546201232032796"/>
    <n v="270"/>
    <n v="2.5576797035108099"/>
    <n v="0.39470365794919904"/>
    <n v="0.49249999999999999"/>
    <s v="0.25"/>
    <n v="6.7511741465470543"/>
    <n v="665328.2121422122"/>
    <n v="13.085848742402463"/>
    <n v="3.1914000000000002"/>
    <n v="747215.43391782721"/>
    <s v="Contracted"/>
    <n v="2.8896222955628895E-2"/>
    <n v="19225.472356731323"/>
    <n v="3044.0776607564744"/>
    <n v="3076.4063149038184"/>
    <n v="0.28251578830820107"/>
    <n v="848953.72925199429"/>
    <n v="687601.63868611096"/>
    <x v="0"/>
    <n v="4176.8205095355825"/>
    <n v="1127741.5375746072"/>
    <m/>
    <n v="1976.4619211585632"/>
    <n v="614237.86803368316"/>
    <n v="0"/>
    <n v="0"/>
    <n v="49113.882187370516"/>
    <n v="0"/>
    <n v="0"/>
    <n v="0"/>
    <n v="665328.21214221232"/>
    <n v="0.10288394721047496"/>
    <n v="0.2631441835973094"/>
    <n v="0.32834382912750981"/>
    <n v="2.9400000000000199"/>
  </r>
  <r>
    <s v="BALCO TPS2"/>
    <x v="102"/>
    <s v="Chhatisgarh"/>
    <s v="WR"/>
    <x v="2"/>
    <x v="0"/>
    <n v="4.1752224503764497"/>
    <n v="300"/>
    <n v="3.49828641630029"/>
    <n v="0.4858731133750403"/>
    <n v="0.49249999999999999"/>
    <s v="0.25"/>
    <n v="7.8608902094366222"/>
    <n v="860767.47793331009"/>
    <n v="12.927096821115674"/>
    <n v="3.5459999999999998"/>
    <n v="820167.26199028455"/>
    <s v="Contracted"/>
    <n v="0.15516494069953726"/>
    <n v="133560.93466961232"/>
    <n v="3044.1667404197101"/>
    <n v="3046.3573982835874"/>
    <n v="0.28250752121463252"/>
    <n v="950839.09462769201"/>
    <n v="938720.01753107295"/>
    <x v="0"/>
    <n v="4143.7448173085222"/>
    <n v="1243123.4451925566"/>
    <m/>
    <n v="0"/>
    <n v="0"/>
    <n v="0"/>
    <n v="0"/>
    <n v="0"/>
    <n v="0"/>
    <n v="860767.47793331009"/>
    <n v="0"/>
    <n v="860767.47793331009"/>
    <n v="9.4685999964455439E-2"/>
    <n v="0.33123874748946419"/>
    <n v="0.33575655587395897"/>
    <n v="2.0554190436769999"/>
  </r>
  <r>
    <s v="KORBA STPS4"/>
    <x v="72"/>
    <s v="Chhatisgarh"/>
    <s v="WR"/>
    <x v="0"/>
    <x v="6"/>
    <n v="33.0102669404517"/>
    <n v="500"/>
    <n v="10.4864221127531"/>
    <n v="0.87386850939609162"/>
    <n v="0.49249999999999999"/>
    <s v="0.25"/>
    <n v="14.020707687119449"/>
    <n v="2558779.1528992997"/>
    <n v="13.688617955338808"/>
    <n v="5.91"/>
    <n v="1447470.6971744662"/>
    <s v="Contracted"/>
    <n v="0"/>
    <n v="0"/>
    <n v="3044.3506999383976"/>
    <n v="2918.2812541451203"/>
    <n v="0.28249045026823028"/>
    <n v="1580155.731283929"/>
    <n v="2687646.8958714688"/>
    <x v="0"/>
    <n v="4155.9961352898499"/>
    <n v="2077998.0676449249"/>
    <s v="Pithead plant"/>
    <n v="0"/>
    <n v="0"/>
    <n v="0"/>
    <n v="0"/>
    <n v="0"/>
    <n v="0"/>
    <n v="2558779.1528992997"/>
    <n v="0"/>
    <n v="2558779.1528992997"/>
    <n v="6.2610933454142856E-2"/>
    <n v="0.65656467707363653"/>
    <n v="0.37003061671398429"/>
    <n v="1.31693546675523"/>
  </r>
  <r>
    <s v="NABI NAGAR TPP2"/>
    <x v="95"/>
    <s v="Bihar"/>
    <s v="ER"/>
    <x v="0"/>
    <x v="0"/>
    <n v="3.0910335386721401"/>
    <n v="250"/>
    <n v="2.8774564948708399"/>
    <n v="0.47957608247847333"/>
    <n v="0.49249999999999999"/>
    <s v="0.25"/>
    <n v="8.8890821456851832"/>
    <n v="811128.74579377298"/>
    <n v="14.042901237337439"/>
    <n v="2.9550000000000001"/>
    <n v="742466.77461084444"/>
    <s v="Contracted"/>
    <n v="0"/>
    <n v="0"/>
    <n v="3047.1872651204653"/>
    <n v="3051.4595400442577"/>
    <n v="0.28222748560417121"/>
    <n v="768428.22720021789"/>
    <n v="749312.64556536684"/>
    <x v="0"/>
    <n v="4277.0682910128971"/>
    <n v="1069267.0727532243"/>
    <m/>
    <n v="0"/>
    <n v="811128.74579377298"/>
    <n v="0"/>
    <n v="0"/>
    <n v="0"/>
    <n v="0"/>
    <n v="0"/>
    <n v="0"/>
    <n v="811128.74579377298"/>
    <n v="7.0000000000000007E-2"/>
    <n v="0.2014219546409588"/>
    <n v="0.20685000000000003"/>
    <n v="1.97192539109506"/>
  </r>
  <r>
    <s v="SINGRAULI STPS6"/>
    <x v="99"/>
    <s v="Uttar Pradesh"/>
    <s v="NR"/>
    <x v="0"/>
    <x v="6"/>
    <n v="33.423682409308597"/>
    <n v="500"/>
    <n v="10.4032334560446"/>
    <n v="0.86693612133705"/>
    <n v="0.49249999999999999"/>
    <s v="0.25"/>
    <n v="13.937350227313628"/>
    <n v="2543566.4164847368"/>
    <n v="13.70171289031485"/>
    <n v="5.91"/>
    <n v="1448855.390261896"/>
    <s v="Contracted"/>
    <n v="0"/>
    <n v="0"/>
    <n v="3047.5094161245711"/>
    <n v="2923.731618170837"/>
    <n v="0.28219765144930609"/>
    <n v="1477408.8327111194"/>
    <n v="2495019.8372069914"/>
    <x v="0"/>
    <n v="4449.6383069062995"/>
    <n v="2224819.1534531498"/>
    <s v="Pithead plant"/>
    <n v="0"/>
    <n v="0"/>
    <n v="0"/>
    <n v="0"/>
    <n v="2543566.4164847368"/>
    <n v="0"/>
    <n v="0"/>
    <n v="0"/>
    <n v="2543566.4164847368"/>
    <n v="7.690693382449007E-2"/>
    <n v="0.80008078696474316"/>
    <n v="0.45451997890273632"/>
    <n v="1.42529597105324"/>
  </r>
  <r>
    <s v="BONGAIGAON TPS2"/>
    <x v="96"/>
    <s v="Assam"/>
    <s v="NER"/>
    <x v="0"/>
    <x v="0"/>
    <n v="3.1074606433949299"/>
    <n v="250"/>
    <n v="3.56990141991984"/>
    <n v="0.59498356998664004"/>
    <n v="0.49249999999999999"/>
    <s v="0.25"/>
    <n v="10.495301470174654"/>
    <n v="957696.25915343722"/>
    <n v="14.043421565879534"/>
    <n v="2.9550000000000001"/>
    <n v="742494.28506953525"/>
    <s v="Not contracted"/>
    <n v="7.979458010659737E-3"/>
    <n v="7641.8970868807583"/>
    <n v="3049.1117905153706"/>
    <n v="3015.2336738046033"/>
    <n v="0.28204935046170942"/>
    <n v="547379.93551812228"/>
    <n v="653935.98984412046"/>
    <x v="0"/>
    <n v="6008.0677716880546"/>
    <n v="1502016.9429220136"/>
    <m/>
    <n v="0"/>
    <n v="31267.648417095166"/>
    <n v="606534.84575413249"/>
    <n v="0"/>
    <n v="0"/>
    <n v="319893.76498220942"/>
    <n v="0"/>
    <n v="0"/>
    <n v="957696.2591534371"/>
    <n v="0.06"/>
    <n v="0.2141940851951904"/>
    <n v="0.17729999999999999"/>
    <n v="2.9718826799528202"/>
  </r>
  <r>
    <s v="BALCO TPS1"/>
    <x v="102"/>
    <s v="Chhatisgarh"/>
    <s v="WR"/>
    <x v="2"/>
    <x v="0"/>
    <n v="4.9253935660506496"/>
    <n v="300"/>
    <n v="4.3834208762424201"/>
    <n v="0.60880845503366954"/>
    <n v="0.49249999999999999"/>
    <s v="0.25"/>
    <n v="9.5950881686246099"/>
    <n v="1050662.1544643948"/>
    <n v="12.950858491204654"/>
    <n v="3.5459999999999998"/>
    <n v="821674.83512653306"/>
    <s v="Contracted"/>
    <n v="0.15516494069953726"/>
    <n v="163025.93089271587"/>
    <n v="3049.8984505853505"/>
    <n v="3011.4502250347246"/>
    <n v="0.28197660149469728"/>
    <n v="952629.38227265014"/>
    <n v="1162756.3577517825"/>
    <x v="0"/>
    <n v="4143.7448173085222"/>
    <n v="1243123.4451925566"/>
    <m/>
    <n v="0"/>
    <n v="0"/>
    <n v="0"/>
    <n v="0"/>
    <n v="0"/>
    <n v="0"/>
    <n v="1050662.1544643948"/>
    <n v="0"/>
    <n v="1050662.1544643948"/>
    <n v="9.4685999964455439E-2"/>
    <n v="0.41504858893208302"/>
    <n v="0.33575655587395897"/>
    <n v="2.0554190436769999"/>
  </r>
  <r>
    <s v="AMRAVATI TPS4"/>
    <x v="103"/>
    <s v="Maharashtra"/>
    <s v="WR"/>
    <x v="2"/>
    <x v="1"/>
    <n v="5.1772758384667998"/>
    <n v="270"/>
    <n v="2.0065316246589"/>
    <n v="0.30964994207699076"/>
    <n v="0.49249999999999999"/>
    <s v="0.25"/>
    <n v="5.5970214012832313"/>
    <n v="551586.45909646247"/>
    <n v="13.115073862183435"/>
    <n v="3.1914000000000002"/>
    <n v="748884.21834200283"/>
    <s v="Contracted"/>
    <n v="2.8792014074136132E-2"/>
    <n v="15881.285093408262"/>
    <n v="3051.1037514113041"/>
    <n v="3111.5487144789831"/>
    <n v="0.28186521012345206"/>
    <n v="855261.86856829829"/>
    <n v="548382.39850929799"/>
    <x v="0"/>
    <n v="4155.5830998548772"/>
    <n v="1122007.4369608168"/>
    <m/>
    <n v="0"/>
    <n v="0"/>
    <n v="0"/>
    <n v="0"/>
    <n v="0"/>
    <n v="0"/>
    <n v="546530.33613051195"/>
    <n v="5056.1229659504916"/>
    <n v="551586.45909646247"/>
    <n v="8.9360960918391241E-2"/>
    <n v="0.17930559409266006"/>
    <n v="0.28518657067495384"/>
    <n v="3.0295164835164798"/>
  </r>
  <r>
    <s v="AMRAVATI TPS5"/>
    <x v="103"/>
    <s v="Maharashtra"/>
    <s v="WR"/>
    <x v="2"/>
    <x v="1"/>
    <n v="5.1772758384667998"/>
    <n v="270"/>
    <n v="2.1416718251547602"/>
    <n v="0.33050491128931481"/>
    <n v="0.49249999999999999"/>
    <s v="0.25"/>
    <n v="5.8871828444250598"/>
    <n v="580181.86931808956"/>
    <n v="13.115073862183435"/>
    <n v="3.1914000000000002"/>
    <n v="748884.21834200283"/>
    <s v="Contracted"/>
    <n v="2.8792014074136132E-2"/>
    <n v="16704.604546965049"/>
    <n v="3051.1037514113041"/>
    <n v="3104.6546622805017"/>
    <n v="0.28186521012345206"/>
    <n v="855261.86856829829"/>
    <n v="584019.18789806135"/>
    <x v="0"/>
    <n v="4155.5830998548772"/>
    <n v="1122007.4369608168"/>
    <m/>
    <n v="0"/>
    <n v="0"/>
    <n v="0"/>
    <n v="0"/>
    <n v="0"/>
    <n v="0"/>
    <n v="574863.62622943136"/>
    <n v="5318.2430886583261"/>
    <n v="580181.86931808968"/>
    <n v="8.9360960918391241E-2"/>
    <n v="0.19138185226767415"/>
    <n v="0.28518657067495384"/>
    <n v="3.0295164835164798"/>
  </r>
  <r>
    <s v="AMRAVATI TPS3"/>
    <x v="103"/>
    <s v="Maharashtra"/>
    <s v="WR"/>
    <x v="2"/>
    <x v="1"/>
    <n v="5.3388090349075901"/>
    <n v="270"/>
    <n v="2.3744707541576302"/>
    <n v="0.36643067193790591"/>
    <n v="0.49249999999999999"/>
    <s v="0.25"/>
    <n v="6.3921452940543642"/>
    <n v="629945.91872905754"/>
    <n v="13.120190426180697"/>
    <n v="3.1914000000000002"/>
    <n v="749176.37941329775"/>
    <s v="Contracted"/>
    <n v="2.8792014074136132E-2"/>
    <n v="18137.411757991642"/>
    <n v="3052.3379517754379"/>
    <n v="3094.0128408361184"/>
    <n v="0.28175123907880784"/>
    <n v="855607.83009423083"/>
    <n v="645282.41449212842"/>
    <x v="0"/>
    <n v="4155.5830998548772"/>
    <n v="1122007.4369608168"/>
    <m/>
    <n v="0"/>
    <n v="0"/>
    <n v="0"/>
    <n v="0"/>
    <n v="0"/>
    <n v="0"/>
    <n v="624171.51296824508"/>
    <n v="5774.4057608124804"/>
    <n v="629945.91872905754"/>
    <n v="8.9360960918391241E-2"/>
    <n v="0.21218498826414298"/>
    <n v="0.28518657067495384"/>
    <n v="3.0295164835164798"/>
  </r>
  <r>
    <s v="ROSA TPP PH-I2"/>
    <x v="98"/>
    <s v="Uttar Pradesh"/>
    <s v="NR"/>
    <x v="2"/>
    <x v="1"/>
    <n v="9.9247091033538606"/>
    <n v="300"/>
    <n v="4.1355756758234499"/>
    <n v="0.5743855105310347"/>
    <n v="0.49249999999999999"/>
    <s v="0.25"/>
    <n v="9.2745047345201783"/>
    <n v="1015558.2684299595"/>
    <n v="13.109211810848734"/>
    <n v="3.5459999999999998"/>
    <n v="831721.65464036318"/>
    <s v="Contracted"/>
    <n v="0"/>
    <n v="0"/>
    <n v="3053.1131011184116"/>
    <n v="3026.0441096395548"/>
    <n v="0.2816797057681768"/>
    <n v="893443.37546629494"/>
    <n v="1032753.4050331524"/>
    <x v="0"/>
    <n v="4422.9034140906479"/>
    <n v="1326871.0242271943"/>
    <m/>
    <n v="0"/>
    <n v="1015558.2684299595"/>
    <n v="0"/>
    <n v="0"/>
    <n v="0"/>
    <n v="0"/>
    <n v="0"/>
    <n v="0"/>
    <n v="1015558.2684299595"/>
    <n v="9.6241360115922034E-2"/>
    <n v="0.3980134279035723"/>
    <n v="0.34127186297105949"/>
    <n v="2.9649890350877199"/>
  </r>
  <r>
    <s v="PATHADI TPS2"/>
    <x v="104"/>
    <s v="Chhatisgarh"/>
    <s v="WR"/>
    <x v="2"/>
    <x v="2"/>
    <n v="10.17659137577"/>
    <n v="300"/>
    <n v="5.1927271951596596"/>
    <n v="0.72121211043884159"/>
    <n v="0.49249999999999999"/>
    <s v="0.25"/>
    <n v="11.325325637996251"/>
    <n v="1240123.1573605894"/>
    <n v="13.117190181827516"/>
    <n v="3.5459999999999998"/>
    <n v="832227.84708027123"/>
    <s v="Contracted"/>
    <n v="0"/>
    <n v="0"/>
    <n v="3055.0376169404512"/>
    <n v="2979.4319801381512"/>
    <n v="0.28150226211003904"/>
    <n v="953731.55625000235"/>
    <n v="1362071.2972245293"/>
    <x v="0"/>
    <n v="4145.9303839930444"/>
    <n v="1243779.1151979133"/>
    <m/>
    <n v="0"/>
    <n v="0"/>
    <n v="0"/>
    <n v="0"/>
    <n v="0"/>
    <n v="0"/>
    <n v="1240123.1573605894"/>
    <n v="0"/>
    <n v="1240123.1573605894"/>
    <n v="8.7832676734947532E-2"/>
    <n v="0.4560911291052292"/>
    <n v="0.31145467170212393"/>
    <n v="2.0314259453038699"/>
  </r>
  <r>
    <s v="NABI NAGAR TPP1"/>
    <x v="95"/>
    <s v="Bihar"/>
    <s v="ER"/>
    <x v="0"/>
    <x v="0"/>
    <n v="4.1752224503764497"/>
    <n v="250"/>
    <n v="4.1204956376573598"/>
    <n v="0.68674927294289334"/>
    <n v="0.49249999999999999"/>
    <s v="0.25"/>
    <n v="11.805886580352031"/>
    <n v="1077287.1504571228"/>
    <n v="14.077242921115673"/>
    <n v="2.9550000000000001"/>
    <n v="744282.46488442842"/>
    <s v="Contracted"/>
    <n v="0"/>
    <n v="0"/>
    <n v="3055.4710506153315"/>
    <n v="2991.2578353594718"/>
    <n v="0.2814623296224022"/>
    <n v="770517.20107956871"/>
    <n v="1051840.7395963476"/>
    <x v="0"/>
    <n v="4277.0682910128971"/>
    <n v="1069267.0727532243"/>
    <m/>
    <n v="0"/>
    <n v="1077287.1504571228"/>
    <n v="0"/>
    <n v="0"/>
    <n v="0"/>
    <n v="0"/>
    <n v="0"/>
    <n v="0"/>
    <n v="1077287.1504571228"/>
    <n v="7.0000000000000007E-2"/>
    <n v="0.28843469463601523"/>
    <n v="0.20685000000000003"/>
    <n v="1.97192539109506"/>
  </r>
  <r>
    <s v="PARLI TPS8"/>
    <x v="105"/>
    <s v="Maharashtra"/>
    <s v="WR"/>
    <x v="1"/>
    <x v="0"/>
    <n v="4.1752224503764497"/>
    <n v="250"/>
    <n v="3.0476580397972999"/>
    <n v="0.50794300663288328"/>
    <n v="0.49249999999999999"/>
    <s v="0.25"/>
    <n v="9.3181013553009677"/>
    <n v="850276.74867121328"/>
    <n v="14.077242921115673"/>
    <n v="2.9550000000000001"/>
    <n v="744282.46488442842"/>
    <s v="Contracted"/>
    <n v="0"/>
    <n v="0"/>
    <n v="3055.4710506153315"/>
    <n v="3050.3660373810912"/>
    <n v="0.2814623296224022"/>
    <n v="784665.87011855212"/>
    <n v="807918.02397471585"/>
    <x v="0"/>
    <n v="4199.9465172602941"/>
    <n v="1049986.6293150736"/>
    <m/>
    <n v="0"/>
    <n v="0"/>
    <n v="0"/>
    <n v="1136.9417197535222"/>
    <n v="0"/>
    <n v="0"/>
    <n v="0"/>
    <n v="849139.80695145961"/>
    <n v="850276.74867121316"/>
    <n v="0.10765374232246352"/>
    <n v="0.32809179330332283"/>
    <n v="0.31811680856287972"/>
    <n v="3.02"/>
  </r>
  <r>
    <s v="ROSA TPP PH-I1"/>
    <x v="98"/>
    <s v="Uttar Pradesh"/>
    <s v="NR"/>
    <x v="2"/>
    <x v="2"/>
    <n v="10.2532511978097"/>
    <n v="300"/>
    <n v="3.8772071014217802"/>
    <n v="0.53850098630858056"/>
    <n v="0.49249999999999999"/>
    <s v="0.25"/>
    <n v="8.7856391544977956"/>
    <n v="962027.48741750862"/>
    <n v="13.119618381690623"/>
    <n v="3.5459999999999998"/>
    <n v="832381.90564893896"/>
    <s v="Contracted"/>
    <n v="0"/>
    <n v="0"/>
    <n v="3055.6233391471592"/>
    <n v="3040.4167379019482"/>
    <n v="0.28144830188397191"/>
    <n v="894177.95537321235"/>
    <n v="972831.27310005901"/>
    <x v="0"/>
    <n v="4422.9034140906479"/>
    <n v="1326871.0242271943"/>
    <m/>
    <n v="0"/>
    <n v="962027.48741750862"/>
    <n v="0"/>
    <n v="0"/>
    <n v="0"/>
    <n v="0"/>
    <n v="0"/>
    <n v="0"/>
    <n v="962027.48741750862"/>
    <n v="9.6241360115922034E-2"/>
    <n v="0.37314768489194378"/>
    <n v="0.34127186297105949"/>
    <n v="2.9649890350877199"/>
  </r>
  <r>
    <s v="AMRAVATI TPS2"/>
    <x v="103"/>
    <s v="Maharashtra"/>
    <s v="WR"/>
    <x v="2"/>
    <x v="1"/>
    <n v="6.2532511978097096"/>
    <n v="270"/>
    <n v="2.68161387098103"/>
    <n v="0.41382930107731941"/>
    <n v="0.49249999999999999"/>
    <s v="0.25"/>
    <n v="7.0805815963696901"/>
    <n v="697791.31632223295"/>
    <n v="13.149155381690623"/>
    <n v="3.1914000000000002"/>
    <n v="750830.30818978033"/>
    <s v="Contracted"/>
    <n v="2.8792014074136132E-2"/>
    <n v="20090.817400359709"/>
    <n v="3059.3247809554518"/>
    <n v="3085.3310483031614"/>
    <n v="0.28110778082587723"/>
    <n v="857566.32415629027"/>
    <n v="726706.26792069315"/>
    <x v="0"/>
    <n v="4155.5830998548772"/>
    <n v="1122007.4369608168"/>
    <m/>
    <n v="0"/>
    <n v="0"/>
    <n v="0"/>
    <n v="0"/>
    <n v="0"/>
    <n v="0"/>
    <n v="691395.00502467691"/>
    <n v="6396.3112975560962"/>
    <n v="697791.31632223306"/>
    <n v="8.9360960918391241E-2"/>
    <n v="0.23963159232295167"/>
    <n v="0.28518657067495384"/>
    <n v="3.0295164835164798"/>
  </r>
  <r>
    <s v="MAHADEV PRASAD STPP2"/>
    <x v="106"/>
    <s v="Jharkhand"/>
    <s v="ER"/>
    <x v="2"/>
    <x v="1"/>
    <n v="7.1759069130732298"/>
    <n v="270"/>
    <n v="2.8430944202199901"/>
    <n v="0.43874913892283801"/>
    <n v="0.49249999999999999"/>
    <s v="0.25"/>
    <n v="7.4565238960467166"/>
    <n v="734840.4299554039"/>
    <n v="13.178380501471594"/>
    <n v="3.1914000000000002"/>
    <n v="752499.09261395596"/>
    <s v="Contracted"/>
    <n v="1.6422389830472372E-3"/>
    <n v="1206.783600391957"/>
    <n v="3060.2532972531581"/>
    <n v="3078.021783900469"/>
    <n v="0.28102248946906594"/>
    <n v="841995.99473790196"/>
    <n v="754456.80915973883"/>
    <x v="0"/>
    <n v="4233.7133886263427"/>
    <n v="1143102.6149291126"/>
    <m/>
    <n v="262485.72325241915"/>
    <n v="472354.70670298469"/>
    <n v="0"/>
    <n v="0"/>
    <n v="0"/>
    <n v="0"/>
    <n v="0"/>
    <n v="0"/>
    <n v="734840.42995540379"/>
    <n v="8.795755336381729E-2"/>
    <n v="0.25007162918487097"/>
    <n v="0.28070773580528652"/>
    <n v="1.87919577604358"/>
  </r>
  <r>
    <s v="PATHADI TPS1"/>
    <x v="104"/>
    <s v="Chhatisgarh"/>
    <s v="WR"/>
    <x v="2"/>
    <x v="2"/>
    <n v="10.924024640657001"/>
    <n v="300"/>
    <n v="5.4394364381656297"/>
    <n v="0.75547728307855966"/>
    <n v="0.49249999999999999"/>
    <s v="0.25"/>
    <n v="11.825742213149734"/>
    <n v="1294918.7723398961"/>
    <n v="13.140865130492811"/>
    <n v="3.5459999999999998"/>
    <n v="833729.91812478134"/>
    <s v="Contracted"/>
    <n v="0"/>
    <n v="0"/>
    <n v="3060.7484084558514"/>
    <n v="2973.8156924158325"/>
    <n v="0.28097703085431652"/>
    <n v="955514.36967567017"/>
    <n v="1424094.5162903725"/>
    <x v="0"/>
    <n v="4145.9303839930444"/>
    <n v="1243779.1151979133"/>
    <m/>
    <n v="0"/>
    <n v="0"/>
    <n v="0"/>
    <n v="0"/>
    <n v="0"/>
    <n v="0"/>
    <n v="1294918.7723398961"/>
    <n v="0"/>
    <n v="1294918.7723398961"/>
    <n v="8.7832676734947532E-2"/>
    <n v="0.47776026229369617"/>
    <n v="0.31145467170212393"/>
    <n v="2.0314259453038699"/>
  </r>
  <r>
    <s v="MAHADEV PRASAD STPP1"/>
    <x v="106"/>
    <s v="Jharkhand"/>
    <s v="ER"/>
    <x v="2"/>
    <x v="1"/>
    <n v="7.5044490075290797"/>
    <n v="270"/>
    <n v="4.82982407456256"/>
    <n v="0.74534322138311104"/>
    <n v="0.49249999999999999"/>
    <s v="0.25"/>
    <n v="11.732665914383121"/>
    <n v="1156254.2258624567"/>
    <n v="13.188787072313483"/>
    <n v="3.1914000000000002"/>
    <n v="753093.31852167437"/>
    <s v="Contracted"/>
    <n v="1.6422389830472372E-3"/>
    <n v="1898.845764024431"/>
    <n v="3062.7635352819052"/>
    <n v="2979.1808481774247"/>
    <n v="0.28079216370872823"/>
    <n v="842686.65990863834"/>
    <n v="1240508.0582226515"/>
    <x v="0"/>
    <n v="4233.7133886263427"/>
    <n v="1143102.6149291126"/>
    <m/>
    <n v="413015.14501262782"/>
    <n v="743239.08084982866"/>
    <n v="0"/>
    <n v="0"/>
    <n v="0"/>
    <n v="0"/>
    <n v="0"/>
    <n v="0"/>
    <n v="1156254.2258624565"/>
    <n v="8.795755336381729E-2"/>
    <n v="0.42481950877618585"/>
    <n v="0.28070773580528652"/>
    <n v="1.87919577604358"/>
  </r>
  <r>
    <s v="BONGAIGAON TPS1"/>
    <x v="96"/>
    <s v="Assam"/>
    <s v="NER"/>
    <x v="0"/>
    <x v="0"/>
    <n v="4.9253935660506496"/>
    <n v="250"/>
    <n v="3.9807899540195701"/>
    <n v="0.66346499233659506"/>
    <n v="0.49249999999999999"/>
    <s v="0.25"/>
    <n v="11.505687069081402"/>
    <n v="1049893.9450536778"/>
    <n v="14.101004591204653"/>
    <n v="2.9550000000000001"/>
    <n v="745538.77583130193"/>
    <s v="Contracted"/>
    <n v="7.979458010659737E-3"/>
    <n v="8377.5846502017248"/>
    <n v="3063.0017742744399"/>
    <n v="3006.4856715997412"/>
    <n v="0.28077032381207673"/>
    <n v="549873.48083123192"/>
    <n v="727087.10534261633"/>
    <x v="0"/>
    <n v="6008.0677716880546"/>
    <n v="1502016.9429220136"/>
    <m/>
    <n v="0"/>
    <n v="34277.793648472361"/>
    <n v="664926.12447315187"/>
    <n v="0"/>
    <n v="0"/>
    <n v="350690.02693205368"/>
    <n v="0"/>
    <n v="0"/>
    <n v="1049893.945053678"/>
    <n v="0.06"/>
    <n v="0.23884739724117421"/>
    <n v="0.17729999999999999"/>
    <n v="2.9718826799528202"/>
  </r>
  <r>
    <s v="AMRAVATI TPS1"/>
    <x v="103"/>
    <s v="Maharashtra"/>
    <s v="WR"/>
    <x v="2"/>
    <x v="1"/>
    <n v="7.1759069130732298"/>
    <n v="270"/>
    <n v="2.0636880899411998"/>
    <n v="0.31847038425018515"/>
    <n v="0.49249999999999999"/>
    <s v="0.25"/>
    <n v="5.783049498659695"/>
    <n v="569919.52809291298"/>
    <n v="13.178380501471594"/>
    <n v="3.1914000000000002"/>
    <n v="752499.09261395596"/>
    <s v="Contracted"/>
    <n v="2.8792014074136132E-2"/>
    <n v="16409.131073976172"/>
    <n v="3066.3743660861842"/>
    <n v="3123.9035450001397"/>
    <n v="0.28046151491204735"/>
    <n v="859542.40948238003"/>
    <n v="566242.63563901815"/>
    <x v="0"/>
    <n v="4155.5830998548772"/>
    <n v="1122007.4369608168"/>
    <m/>
    <n v="0"/>
    <n v="0"/>
    <n v="0"/>
    <n v="0"/>
    <n v="0"/>
    <n v="0"/>
    <n v="564695.35486093315"/>
    <n v="5224.1732319797702"/>
    <n v="569919.52809291286"/>
    <n v="8.9360960918391241E-2"/>
    <n v="0.18441315075298503"/>
    <n v="0.28518657067495384"/>
    <n v="3.0295164835164798"/>
  </r>
  <r>
    <s v="SAGARDIGHI TPS1"/>
    <x v="52"/>
    <s v="West Bengal"/>
    <s v="ER"/>
    <x v="1"/>
    <x v="2"/>
    <n v="11.841204654346299"/>
    <n v="300"/>
    <n v="4.2402802000459001"/>
    <n v="0.58892780556193058"/>
    <n v="0.49249999999999999"/>
    <s v="0.25"/>
    <n v="10.427292144551229"/>
    <n v="1141788.4898283596"/>
    <n v="14.059667907426419"/>
    <n v="3.5459999999999998"/>
    <n v="892023.9007795559"/>
    <s v="Contracted"/>
    <n v="6.5371616889120401E-4"/>
    <n v="746.40559725466869"/>
    <n v="3067.9035402571917"/>
    <n v="3036.0272848592176"/>
    <n v="0.28032172091300617"/>
    <n v="679235.10129849322"/>
    <n v="803785.03379542078"/>
    <x v="0"/>
    <n v="5845.9241366186579"/>
    <n v="1753777.2409855975"/>
    <m/>
    <n v="136654.37644978345"/>
    <n v="30846.271561187365"/>
    <n v="974287.84181738878"/>
    <n v="0"/>
    <n v="0"/>
    <n v="0"/>
    <n v="0"/>
    <n v="0"/>
    <n v="1141788.4898283596"/>
    <n v="9.5849721553511083E-2"/>
    <n v="0.40642967648326578"/>
    <n v="0.33988311262875026"/>
    <n v="3.1498451327433599"/>
  </r>
  <r>
    <s v="CHHABRA TPS4"/>
    <x v="13"/>
    <s v="Rajasthan"/>
    <s v="NR"/>
    <x v="1"/>
    <x v="1"/>
    <n v="5.9247091033538597"/>
    <n v="250"/>
    <n v="4.9204921306999196"/>
    <n v="0.8200820217833199"/>
    <n v="0.49249999999999999"/>
    <s v="0.25"/>
    <n v="13.716400104526597"/>
    <n v="1251621.5095380521"/>
    <n v="14.132657910848733"/>
    <n v="2.9550000000000001"/>
    <n v="747212.32873498392"/>
    <s v="Contracted"/>
    <n v="0"/>
    <n v="0"/>
    <n v="3068.8380681184117"/>
    <n v="2960.5488860790738"/>
    <n v="0.28023635685909276"/>
    <n v="746848.39532913908"/>
    <n v="1199725.1759334174"/>
    <x v="0"/>
    <n v="4431.9195703193527"/>
    <n v="1107979.8925798382"/>
    <m/>
    <n v="0"/>
    <n v="0"/>
    <n v="0"/>
    <n v="0"/>
    <n v="0"/>
    <n v="0"/>
    <n v="1251621.5095380521"/>
    <n v="0"/>
    <n v="1251621.5095380521"/>
    <m/>
    <n v="0"/>
    <n v="0"/>
    <n v="2.3395933263816402"/>
  </r>
  <r>
    <s v="YAMUNA NAGAR TPS2"/>
    <x v="107"/>
    <s v="Haryana"/>
    <s v="NR"/>
    <x v="1"/>
    <x v="2"/>
    <n v="12.175222450376401"/>
    <n v="300"/>
    <n v="4.6943063942299199"/>
    <n v="0.65198699919859993"/>
    <n v="0.49249999999999999"/>
    <s v="0.25"/>
    <n v="11.315233637065553"/>
    <n v="1239018.083258678"/>
    <n v="14.070247921115673"/>
    <n v="3.5459999999999998"/>
    <n v="892695.15597160812"/>
    <s v="Contracted"/>
    <n v="0"/>
    <n v="0"/>
    <n v="3070.3082316153314"/>
    <n v="3017.5864229058511"/>
    <n v="0.28010217057182635"/>
    <n v="936930.83228579198"/>
    <n v="1219040.0440905346"/>
    <x v="0"/>
    <n v="4241.3688440613269"/>
    <n v="1272410.6532183981"/>
    <m/>
    <n v="161192.81686497829"/>
    <n v="1036672.1489306622"/>
    <n v="19829.021321850487"/>
    <n v="0"/>
    <n v="21324.096141187158"/>
    <n v="0"/>
    <n v="0"/>
    <n v="0"/>
    <n v="1239018.0832586782"/>
    <n v="8.7483637832043534E-2"/>
    <n v="0.41067500046545646"/>
    <n v="0.31021697975242635"/>
    <n v="3.4771920088790198"/>
  </r>
  <r>
    <s v="D.P.L. TPS8"/>
    <x v="108"/>
    <s v="West Bengal"/>
    <s v="ER"/>
    <x v="1"/>
    <x v="1"/>
    <n v="6.1765913757700197"/>
    <n v="250"/>
    <n v="3.3640397429128401"/>
    <n v="0.56067329048547332"/>
    <n v="0.49249999999999999"/>
    <s v="0.25"/>
    <n v="10.115146974339051"/>
    <n v="923007.16140843846"/>
    <n v="14.140636281827515"/>
    <n v="2.9550000000000001"/>
    <n v="747634.1557682408"/>
    <s v="Not contracted"/>
    <n v="0"/>
    <n v="0"/>
    <n v="3070.7625839404513"/>
    <n v="3048.2264574967198"/>
    <n v="0.28006072644549235"/>
    <n v="697469.84300645313"/>
    <n v="788188.4295025469"/>
    <x v="0"/>
    <n v="4748.6608735611362"/>
    <n v="1187165.2183902841"/>
    <m/>
    <n v="507109.86857167812"/>
    <n v="0"/>
    <n v="259268.49043857798"/>
    <n v="156628.80239818222"/>
    <n v="0"/>
    <n v="0"/>
    <n v="0"/>
    <n v="0"/>
    <n v="923007.16140843835"/>
    <n v="0.12054583600181658"/>
    <n v="0.40552098315276441"/>
    <n v="0.35621294538536802"/>
    <m/>
  </r>
  <r>
    <s v="D.P.L. TPS7"/>
    <x v="108"/>
    <s v="West Bengal"/>
    <s v="ER"/>
    <x v="1"/>
    <x v="2"/>
    <n v="12.4435318275154"/>
    <n v="300"/>
    <n v="2.9058792822713002"/>
    <n v="0.4035943447599028"/>
    <n v="0.49249999999999999"/>
    <s v="0.25"/>
    <n v="7.8677708175845051"/>
    <n v="861520.9045255034"/>
    <n v="14.078746620636551"/>
    <n v="3.5459999999999998"/>
    <n v="893234.36096194515"/>
    <s v="Not contracted"/>
    <n v="0"/>
    <n v="0"/>
    <n v="3072.3582593388087"/>
    <n v="3101.747908478314"/>
    <n v="0.27991527270165345"/>
    <n v="837398.72721160133"/>
    <n v="692796.6446781453"/>
    <x v="0"/>
    <n v="4748.6608735611362"/>
    <n v="1424598.2620683408"/>
    <m/>
    <n v="473328.67060210777"/>
    <n v="0"/>
    <n v="241997.28207608624"/>
    <n v="146194.95184730928"/>
    <n v="0"/>
    <n v="0"/>
    <n v="0"/>
    <n v="0"/>
    <n v="861520.90452550328"/>
    <n v="0.12054583600181658"/>
    <n v="0.35029164740175261"/>
    <n v="0.42745553446244156"/>
    <m/>
  </r>
  <r>
    <s v="SAGARDIGHI TPS2"/>
    <x v="52"/>
    <s v="West Bengal"/>
    <s v="ER"/>
    <x v="1"/>
    <x v="2"/>
    <n v="12.4243668720054"/>
    <n v="300"/>
    <n v="2.9892881674523699"/>
    <n v="0.41517891214616254"/>
    <n v="0.49249999999999999"/>
    <s v="0.25"/>
    <n v="8.0283433290339747"/>
    <n v="879103.59452922025"/>
    <n v="14.078139570670771"/>
    <n v="3.5459999999999998"/>
    <n v="893195.84631977824"/>
    <s v="Contracted"/>
    <n v="6.5371616889120401E-4"/>
    <n v="574.68423387412827"/>
    <n v="3072.3592127582183"/>
    <n v="3097.9193375553668"/>
    <n v="0.27991518583789976"/>
    <n v="680221.58901653078"/>
    <n v="578199.32180370064"/>
    <x v="0"/>
    <n v="5845.9241366186579"/>
    <n v="1753777.2409855975"/>
    <m/>
    <n v="105215.06795292094"/>
    <n v="23749.642292628709"/>
    <n v="750138.88428367057"/>
    <n v="0"/>
    <n v="0"/>
    <n v="0"/>
    <n v="0"/>
    <n v="0"/>
    <n v="879103.59452922025"/>
    <n v="9.5849721553511083E-2"/>
    <n v="0.28652243849351505"/>
    <n v="0.33988311262875026"/>
    <n v="3.1498451327433599"/>
  </r>
  <r>
    <s v="SATPURA TPS11"/>
    <x v="109"/>
    <s v="Madhya Pradesh"/>
    <s v="WR"/>
    <x v="1"/>
    <x v="1"/>
    <n v="6.4229979466118996"/>
    <n v="250"/>
    <n v="4.542180419958"/>
    <n v="0.75703006999300004"/>
    <n v="0.49249999999999999"/>
    <s v="0.25"/>
    <n v="12.854922682792537"/>
    <n v="1173011.6948048191"/>
    <n v="14.14844120995893"/>
    <n v="2.9550000000000001"/>
    <n v="748046.81264860067"/>
    <s v="Contracted"/>
    <n v="0"/>
    <n v="0"/>
    <n v="3072.6452624620119"/>
    <n v="2985.1992397883423"/>
    <n v="0.27988912697032575"/>
    <n v="752652.69600632112"/>
    <n v="1123989.9183194821"/>
    <x v="0"/>
    <n v="4403.1973598778304"/>
    <n v="1100799.3399694576"/>
    <m/>
    <n v="0"/>
    <n v="0"/>
    <n v="0"/>
    <n v="0"/>
    <n v="0"/>
    <n v="0"/>
    <n v="390456.14218223223"/>
    <n v="782555.55262258672"/>
    <n v="1173011.6948048188"/>
    <n v="0.1003219631047786"/>
    <n v="0.45568045650627426"/>
    <n v="0.2964514009746208"/>
    <n v="2.0588377192982401"/>
  </r>
  <r>
    <s v="YAMUNA NAGAR TPS1"/>
    <x v="107"/>
    <s v="Haryana"/>
    <s v="NR"/>
    <x v="1"/>
    <x v="2"/>
    <n v="12.5065023956194"/>
    <n v="300"/>
    <n v="4.0484654114801204"/>
    <n v="0.56228686270557227"/>
    <n v="0.49249999999999999"/>
    <s v="0.25"/>
    <n v="10.077702020262683"/>
    <n v="1103508.3712187638"/>
    <n v="14.080741213381245"/>
    <n v="3.5459999999999998"/>
    <n v="893360.90907192219"/>
    <s v="Contracted"/>
    <n v="0"/>
    <n v="0"/>
    <n v="3072.8393882943183"/>
    <n v="3049.7698613455022"/>
    <n v="0.27987144504723743"/>
    <n v="937703.23640778509"/>
    <n v="1062537.6409035181"/>
    <x v="0"/>
    <n v="4241.3688440613269"/>
    <n v="1272410.6532183981"/>
    <m/>
    <n v="143563.37909371738"/>
    <n v="923292.73479658738"/>
    <n v="17660.348397973321"/>
    <n v="0"/>
    <n v="18991.908930485704"/>
    <n v="0"/>
    <n v="0"/>
    <n v="0"/>
    <n v="1103508.3712187635"/>
    <n v="8.7483637832043534E-2"/>
    <n v="0.35417448183348194"/>
    <n v="0.31021697975242635"/>
    <n v="3.4771920088790198"/>
  </r>
  <r>
    <s v="CHHABRA TPS3"/>
    <x v="13"/>
    <s v="Rajasthan"/>
    <s v="NR"/>
    <x v="1"/>
    <x v="1"/>
    <n v="6.6721423682409302"/>
    <n v="250"/>
    <n v="4.3724274363561397"/>
    <n v="0.72873790605935662"/>
    <n v="0.49249999999999999"/>
    <s v="0.25"/>
    <n v="12.469176967889677"/>
    <n v="1137812.3983199329"/>
    <n v="14.156332859514031"/>
    <n v="2.9550000000000001"/>
    <n v="748464.05460540915"/>
    <s v="Contracted"/>
    <n v="0"/>
    <n v="0"/>
    <n v="3074.5488596338123"/>
    <n v="2996.4554115422839"/>
    <n v="0.27971583450536819"/>
    <n v="748238.20325795922"/>
    <n v="1079024.7951385879"/>
    <x v="0"/>
    <n v="4431.9195703193527"/>
    <n v="1107979.8925798382"/>
    <m/>
    <n v="0"/>
    <n v="0"/>
    <n v="0"/>
    <n v="0"/>
    <n v="0"/>
    <n v="0"/>
    <n v="1137812.3983199329"/>
    <n v="0"/>
    <n v="1137812.3983199329"/>
    <m/>
    <n v="0"/>
    <n v="0"/>
    <n v="2.3395933263816402"/>
  </r>
  <r>
    <s v="BINA TPS2"/>
    <x v="110"/>
    <s v="Madhya Pradesh"/>
    <s v="WR"/>
    <x v="2"/>
    <x v="1"/>
    <n v="7.1759069130732298"/>
    <n v="250"/>
    <n v="3.2284540803714799"/>
    <n v="0.53807568006191331"/>
    <n v="0.49249999999999999"/>
    <s v="0.25"/>
    <n v="8.9426418608770124"/>
    <n v="816016.06980502745"/>
    <n v="13.282538501471594"/>
    <n v="2.9550000000000001"/>
    <n v="702265.39040317282"/>
    <s v="Contracted"/>
    <n v="0"/>
    <n v="0"/>
    <n v="3078.3978912778916"/>
    <n v="3063.331884029009"/>
    <n v="0.27936609573332327"/>
    <n v="776252.54923314101"/>
    <n v="843935.90882211446"/>
    <x v="0"/>
    <n v="4277.3231583782317"/>
    <n v="1069330.7895945578"/>
    <m/>
    <n v="13287.690629160817"/>
    <n v="395572.28819682059"/>
    <n v="0"/>
    <n v="0"/>
    <n v="73585.328083173459"/>
    <n v="0"/>
    <n v="333570.76289587247"/>
    <n v="0"/>
    <n v="816016.06980502733"/>
    <n v="8.3913060272884019E-2"/>
    <n v="0.27090946183445036"/>
    <n v="0.24796309310637227"/>
    <n v="2.7985632183907998"/>
  </r>
  <r>
    <s v="PARICHHA TPS6"/>
    <x v="111"/>
    <s v="Uttar Pradesh"/>
    <s v="NR"/>
    <x v="1"/>
    <x v="1"/>
    <n v="7.1759069130732298"/>
    <n v="250"/>
    <n v="3.9791618148913201"/>
    <n v="0.66319363581522006"/>
    <n v="0.49249999999999999"/>
    <s v="0.25"/>
    <n v="11.573196614659496"/>
    <n v="1056054.191087679"/>
    <n v="14.172289601471594"/>
    <n v="2.9550000000000001"/>
    <n v="749307.70867192268"/>
    <s v="Contracted"/>
    <n v="0"/>
    <n v="0"/>
    <n v="3078.3978912778916"/>
    <n v="3021.9714912540917"/>
    <n v="0.27936609573332327"/>
    <n v="754037.09368640836"/>
    <n v="996764.21074703557"/>
    <x v="0"/>
    <n v="4403.3417366147551"/>
    <n v="1100835.4341536888"/>
    <m/>
    <n v="407278.51568077283"/>
    <n v="254067.40249967514"/>
    <n v="0"/>
    <n v="0"/>
    <n v="374680.02592001494"/>
    <n v="0"/>
    <n v="20028.246987215876"/>
    <n v="0"/>
    <n v="1056054.1910876788"/>
    <n v="0.10527848654994208"/>
    <n v="0.41892013360907898"/>
    <n v="0.31109792775507888"/>
    <n v="2.7721600877192998"/>
  </r>
  <r>
    <s v="SATPURA TPS10"/>
    <x v="109"/>
    <s v="Madhya Pradesh"/>
    <s v="WR"/>
    <x v="1"/>
    <x v="1"/>
    <n v="7.1759069130732298"/>
    <n v="250"/>
    <n v="4.2637411416565101"/>
    <n v="0.71062352360941838"/>
    <n v="0.49249999999999999"/>
    <s v="0.25"/>
    <n v="12.233102872506514"/>
    <n v="1116270.6371162194"/>
    <n v="14.172289601471594"/>
    <n v="2.9550000000000001"/>
    <n v="749307.70867192268"/>
    <s v="Contracted"/>
    <n v="0"/>
    <n v="0"/>
    <n v="3078.3978912778916"/>
    <n v="3006.2925363300978"/>
    <n v="0.27936609573332327"/>
    <n v="754061.81785982347"/>
    <n v="1062543.6529483274"/>
    <x v="0"/>
    <n v="4403.1973598778304"/>
    <n v="1100799.3399694576"/>
    <m/>
    <n v="0"/>
    <n v="0"/>
    <n v="0"/>
    <n v="0"/>
    <n v="0"/>
    <n v="0"/>
    <n v="371568.95240692777"/>
    <n v="744701.68470929156"/>
    <n v="1116270.6371162194"/>
    <n v="0.1003219631047786"/>
    <n v="0.42774688150159101"/>
    <n v="0.2964514009746208"/>
    <n v="2.0588377192982401"/>
  </r>
  <r>
    <s v="BINA TPS1"/>
    <x v="110"/>
    <s v="Madhya Pradesh"/>
    <s v="WR"/>
    <x v="2"/>
    <x v="1"/>
    <n v="7.7563312799452397"/>
    <n v="250"/>
    <n v="3.6608577389692201"/>
    <n v="0.61014295649487005"/>
    <n v="0.49249999999999999"/>
    <s v="0.25"/>
    <n v="9.9637204398923416"/>
    <n v="909189.49014017626"/>
    <n v="13.300923443292264"/>
    <n v="2.9550000000000001"/>
    <n v="703237.42661024281"/>
    <s v="Contracted"/>
    <n v="0"/>
    <n v="0"/>
    <n v="3082.8326451286789"/>
    <n v="3043.9432718286221"/>
    <n v="0.27896421862501175"/>
    <n v="777370.82214764913"/>
    <n v="950911.73800321412"/>
    <x v="0"/>
    <n v="4277.3231583782317"/>
    <n v="1069330.7895945578"/>
    <m/>
    <n v="14804.890633040681"/>
    <n v="440739.07405424287"/>
    <n v="0"/>
    <n v="0"/>
    <n v="81987.364461735851"/>
    <n v="0"/>
    <n v="371658.16099115676"/>
    <n v="0"/>
    <n v="909189.49014017615"/>
    <n v="8.3913060272884019E-2"/>
    <n v="0.30719377610057808"/>
    <n v="0.24796309310637227"/>
    <n v="2.7985632183907998"/>
  </r>
  <r>
    <s v="HARDUAGANJ TPS9"/>
    <x v="112"/>
    <s v="Uttar Pradesh"/>
    <s v="NR"/>
    <x v="1"/>
    <x v="1"/>
    <n v="8.00821355236139"/>
    <n v="250"/>
    <n v="4.3817416870596899"/>
    <n v="0.73029028117661499"/>
    <n v="0.49249999999999999"/>
    <s v="0.25"/>
    <n v="12.533095683365643"/>
    <n v="1143644.9811071148"/>
    <n v="14.198652914271046"/>
    <n v="2.9550000000000001"/>
    <n v="750701.57191224955"/>
    <s v="Contracted"/>
    <n v="0"/>
    <n v="0"/>
    <n v="3084.7571609507186"/>
    <n v="3006.1505423538279"/>
    <n v="0.27879017865216627"/>
    <n v="757491.78117923485"/>
    <n v="1094603.8104477914"/>
    <x v="0"/>
    <n v="4392.3142633875859"/>
    <n v="1098078.5658468965"/>
    <m/>
    <n v="230545.61264877845"/>
    <n v="911256.80592339695"/>
    <n v="0"/>
    <n v="0"/>
    <n v="1842.562534939412"/>
    <n v="0"/>
    <n v="0"/>
    <n v="0"/>
    <n v="1143644.9811071148"/>
    <n v="8.6582291374875858E-2"/>
    <n v="0.37938123547844216"/>
    <n v="0.25585067101275816"/>
    <n v="2.8019846491228102"/>
  </r>
  <r>
    <s v="PARICHHA TPS5"/>
    <x v="111"/>
    <s v="Uttar Pradesh"/>
    <s v="NR"/>
    <x v="1"/>
    <x v="1"/>
    <n v="8.00821355236139"/>
    <n v="250"/>
    <n v="2.6389057391811002"/>
    <n v="0.43981762319685003"/>
    <n v="0.49249999999999999"/>
    <s v="0.25"/>
    <n v="8.491662451095781"/>
    <n v="774864.19866249"/>
    <n v="14.198652914271046"/>
    <n v="2.9550000000000001"/>
    <n v="750701.57191224955"/>
    <s v="Contracted"/>
    <n v="0"/>
    <n v="0"/>
    <n v="3084.7571609507186"/>
    <n v="3102.1724374693881"/>
    <n v="0.27879017865216627"/>
    <n v="755594.7627699445"/>
    <n v="678578.79666710878"/>
    <x v="0"/>
    <n v="4403.3417366147551"/>
    <n v="1100835.4341536888"/>
    <m/>
    <n v="298834.6084403058"/>
    <n v="186418.212157662"/>
    <n v="0"/>
    <n v="0"/>
    <n v="274915.94701246638"/>
    <n v="0"/>
    <n v="14695.431052055717"/>
    <n v="0"/>
    <n v="774864.19866248989"/>
    <n v="0.10527848654994208"/>
    <n v="0.27782000236894244"/>
    <n v="0.31109792775507888"/>
    <n v="2.7721600877192998"/>
  </r>
  <r>
    <s v="SANTALDIH TPS6"/>
    <x v="113"/>
    <s v="West Bengal"/>
    <s v="ER"/>
    <x v="1"/>
    <x v="1"/>
    <n v="8.5941136208076596"/>
    <n v="250"/>
    <n v="5.0454858516517396"/>
    <n v="0.84091430860862326"/>
    <n v="0.49249999999999999"/>
    <s v="0.25"/>
    <n v="14.09079934890344"/>
    <n v="1285785.4405874389"/>
    <n v="14.217211298939082"/>
    <n v="2.9550000000000001"/>
    <n v="751682.77827221667"/>
    <s v="Contracted"/>
    <n v="6.0996347612639931E-4"/>
    <n v="784.28215689342801"/>
    <n v="3089.3712717834728"/>
    <n v="2974.1955356895501"/>
    <n v="0.27837379335230494"/>
    <n v="770307.51868317276"/>
    <n v="1266219.676645105"/>
    <x v="0"/>
    <n v="4325.6992027808037"/>
    <n v="1081424.8006952009"/>
    <m/>
    <n v="1236516.1994832342"/>
    <n v="28929.000679956236"/>
    <n v="20340.240424248492"/>
    <n v="0"/>
    <n v="0"/>
    <n v="0"/>
    <n v="0"/>
    <n v="0"/>
    <n v="1285785.4405874389"/>
    <n v="8.5383480246584514E-2"/>
    <n v="0.43080114154892796"/>
    <n v="0.25230818412865724"/>
    <n v="2.5661172566371602"/>
  </r>
  <r>
    <s v="HARDUAGANJ TPS8"/>
    <x v="112"/>
    <s v="Uttar Pradesh"/>
    <s v="NR"/>
    <x v="1"/>
    <x v="1"/>
    <n v="8.6735112936344905"/>
    <n v="250"/>
    <n v="4.1778569085580104"/>
    <n v="0.69630948475966836"/>
    <n v="0.49249999999999999"/>
    <s v="0.25"/>
    <n v="12.081383974532566"/>
    <n v="1102426.2876760967"/>
    <n v="14.219726220225871"/>
    <n v="2.9550000000000001"/>
    <n v="751815.74548922153"/>
    <s v="Contracted"/>
    <n v="0"/>
    <n v="0"/>
    <n v="3089.8403929589322"/>
    <n v="3022.4668470105471"/>
    <n v="0.27833152869635314"/>
    <n v="758740.01767473342"/>
    <n v="1049335.9838954327"/>
    <x v="0"/>
    <n v="4392.3142633875859"/>
    <n v="1098078.5658468965"/>
    <m/>
    <n v="222236.40036120557"/>
    <n v="878413.73351824866"/>
    <n v="0"/>
    <n v="0"/>
    <n v="1776.1537966423002"/>
    <n v="0"/>
    <n v="0"/>
    <n v="0"/>
    <n v="1102426.2876760967"/>
    <n v="8.6582291374875858E-2"/>
    <n v="0.36172842417930773"/>
    <n v="0.25585067101275816"/>
    <n v="2.8019846491228102"/>
  </r>
  <r>
    <s v="MUZAFFARPUR TPS4"/>
    <x v="114"/>
    <s v="Bihar"/>
    <s v="ER"/>
    <x v="0"/>
    <x v="0"/>
    <n v="3.1759069130732298"/>
    <n v="195"/>
    <n v="2.9214107835866998"/>
    <n v="0.62423307341596146"/>
    <n v="0.49249999999999999"/>
    <s v="0.25"/>
    <n v="11.19086112182989"/>
    <n v="796509.54034624237"/>
    <n v="14.332024101471594"/>
    <n v="2.3048999999999999"/>
    <n v="591047.4048181806"/>
    <s v="Contracted"/>
    <n v="0"/>
    <n v="0"/>
    <n v="3098.7515697778917"/>
    <n v="3055.2044096190893"/>
    <n v="0.2775311220129989"/>
    <n v="564300.66574342398"/>
    <n v="705187.51568667346"/>
    <x v="0"/>
    <n v="4619.7784590181791"/>
    <n v="900856.79950854497"/>
    <m/>
    <n v="0"/>
    <n v="651317.65849945543"/>
    <n v="145191.88184678706"/>
    <n v="0"/>
    <n v="0"/>
    <n v="0"/>
    <n v="0"/>
    <n v="0"/>
    <n v="796509.54034624249"/>
    <n v="9.4599688742977306E-2"/>
    <n v="0.27636455081767924"/>
    <n v="0.2180428225836884"/>
    <n v="2.68938639281129"/>
  </r>
  <r>
    <s v="RAICHUR TPS8"/>
    <x v="115"/>
    <s v="Karnataka"/>
    <s v="SR"/>
    <x v="1"/>
    <x v="1"/>
    <n v="9.9247091033538606"/>
    <n v="250"/>
    <n v="4.2281974909824704"/>
    <n v="0.7046995818304117"/>
    <n v="0.49249999999999999"/>
    <s v="0.25"/>
    <n v="12.237749602729799"/>
    <n v="1116694.6512490942"/>
    <n v="14.259357910848733"/>
    <n v="2.9550000000000001"/>
    <n v="753911.1254261604"/>
    <s v="Contracted"/>
    <n v="0"/>
    <n v="0"/>
    <n v="3099.4002161184117"/>
    <n v="3029.2531457132345"/>
    <n v="0.27747303995385147"/>
    <n v="839416.66984402412"/>
    <n v="1173905.8775561296"/>
    <x v="0"/>
    <n v="3982.4507996977022"/>
    <n v="995612.69992442557"/>
    <m/>
    <n v="0"/>
    <n v="0"/>
    <n v="0"/>
    <n v="733036.5914821506"/>
    <n v="0"/>
    <n v="0"/>
    <n v="0"/>
    <n v="383658.05976694362"/>
    <n v="1116694.6512490942"/>
    <n v="9.2407885740745169E-2"/>
    <n v="0.3907187906360135"/>
    <n v="0.27306530236390197"/>
    <n v="3.44135254988913"/>
  </r>
  <r>
    <s v="AMARKANTAK TPS3"/>
    <x v="116"/>
    <s v="Madhya Pradesh"/>
    <s v="WR"/>
    <x v="1"/>
    <x v="2"/>
    <n v="11.9233401779603"/>
    <n v="210"/>
    <n v="4.5950846501403602"/>
    <n v="0.9117231448691191"/>
    <n v="0.8"/>
    <s v="0.15"/>
    <n v="15.418662881644407"/>
    <n v="1181840.5098780438"/>
    <n v="14.559890250136892"/>
    <n v="4.032"/>
    <m/>
    <s v="Contracted"/>
    <n v="0"/>
    <n v="0"/>
    <n v="3050.0498787932925"/>
    <n v="3013.1174247261338"/>
    <n v="0.28196260198218343"/>
    <m/>
    <n v="999405.13442390005"/>
    <x v="1"/>
    <n v="5056.6263269448709"/>
    <n v="1061891.5286584229"/>
    <s v="Pithead plant"/>
    <n v="0"/>
    <n v="2301.910019309963"/>
    <n v="0"/>
    <n v="0"/>
    <n v="0"/>
    <n v="0"/>
    <n v="1179538.5998587338"/>
    <n v="0"/>
    <n v="1181840.5098780438"/>
    <n v="9.414842901808744E-2"/>
    <n v="0.43262000101584286"/>
    <m/>
    <n v="1.6859649122806799"/>
  </r>
  <r>
    <s v="ANPARA TPS1"/>
    <x v="35"/>
    <s v="Uttar Pradesh"/>
    <s v="NR"/>
    <x v="1"/>
    <x v="6"/>
    <n v="34.176591375770002"/>
    <n v="210"/>
    <n v="4.0643762869149098"/>
    <n v="0.80642386645137099"/>
    <n v="0.6"/>
    <s v="0.25"/>
    <n v="14.629564462925373"/>
    <n v="1121356.1160832299"/>
    <n v="15.235852281827514"/>
    <n v="3.024"/>
    <m/>
    <s v="Contracted"/>
    <n v="0"/>
    <n v="0"/>
    <n v="3286.1909079404513"/>
    <n v="3217.953122698982"/>
    <n v="0.26170116834112545"/>
    <m/>
    <n v="1063418.6735862377"/>
    <x v="1"/>
    <n v="4489.130228333277"/>
    <n v="942717.34794998821"/>
    <s v="Pithead plant"/>
    <n v="0"/>
    <n v="0"/>
    <n v="0"/>
    <n v="0"/>
    <n v="1121356.1160832299"/>
    <n v="0"/>
    <n v="0"/>
    <n v="0"/>
    <n v="1121356.1160832299"/>
    <n v="9.3255770253987805E-2"/>
    <n v="0.37902654123829282"/>
    <m/>
    <n v="1.71796052631579"/>
  </r>
  <r>
    <s v="ANPARA TPS2"/>
    <x v="35"/>
    <s v="Uttar Pradesh"/>
    <s v="NR"/>
    <x v="1"/>
    <x v="6"/>
    <n v="33.2539356605065"/>
    <n v="210"/>
    <n v="3.8906037332132701"/>
    <n v="0.77194518516136312"/>
    <n v="0.6"/>
    <s v="0.25"/>
    <n v="14.120627106752137"/>
    <n v="1082346.0677325511"/>
    <n v="15.206627162046543"/>
    <n v="3.024"/>
    <m/>
    <s v="Contracted"/>
    <n v="0"/>
    <n v="0"/>
    <n v="3279.1413228097194"/>
    <n v="3222.3011966167055"/>
    <n v="0.2622637804652812"/>
    <m/>
    <n v="1019327.6193857368"/>
    <x v="1"/>
    <n v="4489.130228333277"/>
    <n v="942717.34794998821"/>
    <s v="Pithead plant"/>
    <n v="0"/>
    <n v="0"/>
    <n v="0"/>
    <n v="0"/>
    <n v="1082346.0677325511"/>
    <n v="0"/>
    <n v="0"/>
    <n v="0"/>
    <n v="1082346.0677325511"/>
    <n v="9.3255770253987805E-2"/>
    <n v="0.36282124789384396"/>
    <m/>
    <n v="1.71796052631579"/>
  </r>
  <r>
    <s v="ANPARA TPS3"/>
    <x v="35"/>
    <s v="Uttar Pradesh"/>
    <s v="NR"/>
    <x v="1"/>
    <x v="6"/>
    <n v="32.175222450376403"/>
    <n v="210"/>
    <n v="4.1734557606334999"/>
    <n v="0.82806661917331348"/>
    <n v="0.6"/>
    <s v="0.25"/>
    <n v="14.867293213659734"/>
    <n v="1139578.0248270186"/>
    <n v="15.172458921115672"/>
    <n v="3.024"/>
    <m/>
    <s v="Contracted"/>
    <n v="0"/>
    <n v="0"/>
    <n v="3270.8993746153315"/>
    <n v="3195.5071186352661"/>
    <n v="0.26292462760372715"/>
    <m/>
    <n v="1084341.960165923"/>
    <x v="1"/>
    <n v="4489.130228333277"/>
    <n v="942717.34794998821"/>
    <s v="Pithead plant"/>
    <n v="0"/>
    <n v="0"/>
    <n v="0"/>
    <n v="0"/>
    <n v="1139578.0248270186"/>
    <n v="0"/>
    <n v="0"/>
    <n v="0"/>
    <n v="1139578.0248270186"/>
    <n v="9.3255770253987805E-2"/>
    <n v="0.38919883157881957"/>
    <m/>
    <n v="1.71796052631579"/>
  </r>
  <r>
    <s v="BAKRESWAR TPS1"/>
    <x v="117"/>
    <s v="West Bengal"/>
    <s v="ER"/>
    <x v="1"/>
    <x v="2"/>
    <n v="10.924024640657001"/>
    <n v="210"/>
    <n v="3.9706256225982401"/>
    <n v="0.78782254416631747"/>
    <n v="0.8"/>
    <s v="0.15"/>
    <n v="13.663143334242035"/>
    <n v="1047279.9365696521"/>
    <n v="14.52823693049281"/>
    <n v="4.032"/>
    <m/>
    <s v="Contracted"/>
    <n v="6.7675089959530303E-4"/>
    <n v="708.74763920162377"/>
    <n v="3042.5671487359705"/>
    <n v="3046.5926649238581"/>
    <n v="0.282656046016038"/>
    <m/>
    <n v="794473.07133736613"/>
    <x v="1"/>
    <n v="5557.5965462998529"/>
    <n v="1167095.2747229692"/>
    <m/>
    <n v="65588.81415593448"/>
    <n v="25160.151196790164"/>
    <n v="832941.26835479762"/>
    <n v="123589.70286212978"/>
    <n v="0"/>
    <n v="0"/>
    <n v="0"/>
    <n v="0"/>
    <n v="1047279.9365696521"/>
    <n v="9.8262750849406444E-2"/>
    <n v="0.39016459626964023"/>
    <m/>
    <n v="2.6019247787610902"/>
  </r>
  <r>
    <s v="BAKRESWAR TPS2"/>
    <x v="117"/>
    <s v="West Bengal"/>
    <s v="ER"/>
    <x v="1"/>
    <x v="4"/>
    <n v="20.843258042436599"/>
    <n v="210"/>
    <n v="4.0064306659957198"/>
    <n v="0.79492671944359516"/>
    <n v="0.7"/>
    <s v="0.25"/>
    <n v="14.04726787412875"/>
    <n v="1076723.0825519685"/>
    <n v="14.813518948494178"/>
    <n v="3.528"/>
    <m/>
    <s v="Contracted"/>
    <n v="6.7675089959530303E-4"/>
    <n v="728.67331473207241"/>
    <n v="3151.4125385539032"/>
    <n v="3120.0324989953706"/>
    <n v="0.27289350076478097"/>
    <m/>
    <n v="820961.13477115589"/>
    <x v="1"/>
    <n v="5557.5965462998529"/>
    <n v="1167095.2747229692"/>
    <m/>
    <n v="67432.772931966829"/>
    <n v="25867.50171383598"/>
    <n v="856358.51383282675"/>
    <n v="127064.29407333917"/>
    <n v="0"/>
    <n v="0"/>
    <n v="0"/>
    <n v="0"/>
    <n v="1076723.0825519687"/>
    <n v="9.8262750849406444E-2"/>
    <n v="0.39368289832815895"/>
    <m/>
    <n v="2.6019247787610902"/>
  </r>
  <r>
    <s v="BAKRESWAR TPS3"/>
    <x v="117"/>
    <s v="West Bengal"/>
    <s v="ER"/>
    <x v="1"/>
    <x v="3"/>
    <n v="20.008213552361301"/>
    <n v="210"/>
    <n v="3.7364535695063101"/>
    <n v="0.74135983521950599"/>
    <n v="0.75"/>
    <s v="0.25"/>
    <n v="13.275525709630596"/>
    <n v="1017569.0456431851"/>
    <n v="14.787068914271043"/>
    <n v="3.78"/>
    <m/>
    <s v="Contracted"/>
    <n v="6.7675089959530303E-4"/>
    <n v="688.6407670393595"/>
    <n v="3128.5037902308368"/>
    <n v="3131.3599798705222"/>
    <n v="0.2748917877886109"/>
    <m/>
    <n v="768419.60243137099"/>
    <x v="1"/>
    <n v="5557.5965462998529"/>
    <n v="1167095.2747229692"/>
    <m/>
    <n v="63728.087109289991"/>
    <n v="24446.368299019996"/>
    <n v="809311.07521531847"/>
    <n v="120083.51501955674"/>
    <n v="0"/>
    <n v="0"/>
    <n v="0"/>
    <n v="0"/>
    <n v="1017569.0456431853"/>
    <n v="9.8262750849406444E-2"/>
    <n v="0.36715420616077393"/>
    <m/>
    <n v="2.6019247787610902"/>
  </r>
  <r>
    <s v="BAKRESWAR TPS4"/>
    <x v="117"/>
    <s v="West Bengal"/>
    <s v="ER"/>
    <x v="1"/>
    <x v="3"/>
    <n v="19.175906913073199"/>
    <n v="210"/>
    <n v="4.0090597183819696"/>
    <n v="0.79544835682181936"/>
    <n v="0.75"/>
    <s v="0.25"/>
    <n v="14.001712224440611"/>
    <n v="1073231.2420033729"/>
    <n v="14.760705601471592"/>
    <n v="3.78"/>
    <m/>
    <s v="Contracted"/>
    <n v="6.7675089959530303E-4"/>
    <n v="726.3102084995669"/>
    <n v="3122.1445205580108"/>
    <n v="3107.1206027053936"/>
    <n v="0.2754516949286816"/>
    <m/>
    <n v="818100.17330518889"/>
    <x v="1"/>
    <n v="5557.5965462998529"/>
    <n v="1167095.2747229692"/>
    <m/>
    <n v="67214.086721330372"/>
    <n v="25783.612742902838"/>
    <n v="853581.32122760336"/>
    <n v="126652.2213115364"/>
    <n v="0"/>
    <n v="0"/>
    <n v="0"/>
    <n v="0"/>
    <n v="1073231.2420033731"/>
    <n v="9.8262750849406444E-2"/>
    <n v="0.39394123624775906"/>
    <m/>
    <n v="2.60192477876108"/>
  </r>
  <r>
    <s v="BAKRESWAR TPS5"/>
    <x v="117"/>
    <s v="West Bengal"/>
    <s v="ER"/>
    <x v="1"/>
    <x v="2"/>
    <n v="12.4243668720054"/>
    <n v="210"/>
    <n v="3.76882644472694"/>
    <n v="0.74778302474740865"/>
    <n v="0.8"/>
    <s v="0.15"/>
    <n v="13.15358482888889"/>
    <n v="1008222.2771343334"/>
    <n v="14.57576027067077"/>
    <n v="4.032"/>
    <m/>
    <s v="Contracted"/>
    <n v="6.7675089959530303E-4"/>
    <n v="682.31533304268498"/>
    <n v="3054.0305690672503"/>
    <n v="3071.29199723687"/>
    <n v="0.28159508575667525"/>
    <m/>
    <n v="760209.15458957548"/>
    <x v="1"/>
    <n v="5557.5965462998529"/>
    <n v="1167095.2747229692"/>
    <m/>
    <n v="63142.719776947481"/>
    <n v="24221.818872765933"/>
    <n v="801877.23737986619"/>
    <n v="118980.50110475397"/>
    <n v="0"/>
    <n v="0"/>
    <n v="0"/>
    <n v="0"/>
    <n v="1008222.2771343335"/>
    <n v="9.8262750849406444E-2"/>
    <n v="0.3703352539328576"/>
    <m/>
    <n v="2.60192477876108"/>
  </r>
  <r>
    <s v="BANDEL TPS1"/>
    <x v="118"/>
    <s v="West Bengal"/>
    <s v="ER"/>
    <x v="1"/>
    <x v="7"/>
    <n v="54.672142368240898"/>
    <n v="60"/>
    <n v="0.51929747073467802"/>
    <n v="0.3606232435657486"/>
    <n v="0.55000000000000004"/>
    <s v="0.25"/>
    <n v="9.8573882342173587"/>
    <n v="215876.80232936016"/>
    <n v="16.66623385951403"/>
    <n v="0.79200000000000015"/>
    <m/>
    <s v="Contracted"/>
    <n v="0"/>
    <n v="0"/>
    <n v="3598.1778286338122"/>
    <n v="3660.7803302603902"/>
    <n v="0.23900986581492342"/>
    <m/>
    <n v="151297.39905152546"/>
    <x v="1"/>
    <n v="4586.181931037725"/>
    <n v="275170.91586226353"/>
    <m/>
    <n v="30577.075837971075"/>
    <n v="0"/>
    <n v="91129.162481030871"/>
    <n v="94170.564010358168"/>
    <n v="0"/>
    <n v="0"/>
    <n v="0"/>
    <n v="0"/>
    <n v="215876.8023293601"/>
    <n v="0.1207682612530637"/>
    <n v="6.271465261374079E-2"/>
    <m/>
    <n v="3.65917714285714"/>
  </r>
  <r>
    <s v="BANDEL TPS2"/>
    <x v="118"/>
    <s v="West Bengal"/>
    <s v="ER"/>
    <x v="1"/>
    <x v="7"/>
    <n v="54.590006844626899"/>
    <n v="60"/>
    <n v="0.53532126489750498"/>
    <n v="0.37175087840104515"/>
    <n v="0.55000000000000004"/>
    <s v="0.25"/>
    <n v="10.009608713260818"/>
    <n v="219210.43082041189"/>
    <n v="16.663632216803556"/>
    <n v="0.79200000000000015"/>
    <m/>
    <s v="Contracted"/>
    <n v="0"/>
    <n v="0"/>
    <n v="3597.5502691266252"/>
    <n v="3656.4742951525377"/>
    <n v="0.2390515588844799"/>
    <m/>
    <n v="155782.47724915895"/>
    <x v="1"/>
    <n v="4586.181931037725"/>
    <n v="275170.91586226353"/>
    <m/>
    <n v="31049.255387077945"/>
    <n v="0"/>
    <n v="92536.403875819364"/>
    <n v="95624.771557514556"/>
    <n v="0"/>
    <n v="0"/>
    <n v="0"/>
    <n v="0"/>
    <n v="219210.43082041186"/>
    <n v="0.1207682612530637"/>
    <n v="6.4649818373462398E-2"/>
    <m/>
    <n v="3.65917714285714"/>
  </r>
  <r>
    <s v="BANDEL TPS5"/>
    <x v="118"/>
    <s v="West Bengal"/>
    <s v="ER"/>
    <x v="1"/>
    <x v="8"/>
    <n v="37.590691307323702"/>
    <n v="210"/>
    <n v="2.4340535206667"/>
    <n v="0.48294712711640875"/>
    <n v="0.55000000000000004"/>
    <s v="0.25"/>
    <n v="10.237077160868209"/>
    <n v="784671.96438054822"/>
    <n v="15.343993897159477"/>
    <n v="2.7719999999999998"/>
    <m/>
    <s v="Contracted"/>
    <n v="0"/>
    <n v="0"/>
    <n v="3328.8050247891852"/>
    <n v="3350.9707734417611"/>
    <n v="0.25835096786855644"/>
    <m/>
    <n v="649145.94557287195"/>
    <x v="1"/>
    <n v="4586.181931037725"/>
    <n v="963098.2055179223"/>
    <m/>
    <n v="111141.97497787661"/>
    <n v="0"/>
    <n v="331237.53068774944"/>
    <n v="342292.45871492213"/>
    <n v="0"/>
    <n v="0"/>
    <n v="0"/>
    <n v="0"/>
    <n v="784671.9643805481"/>
    <n v="0.1207682612530637"/>
    <n v="0.29395641148781548"/>
    <m/>
    <n v="3.65917714285714"/>
  </r>
  <r>
    <s v="BARAUNI TPS7"/>
    <x v="100"/>
    <s v="Bihar"/>
    <s v="ER"/>
    <x v="0"/>
    <x v="0"/>
    <n v="3.4962354551676902"/>
    <n v="110"/>
    <n v="0.15012921764923901"/>
    <n v="5.6867127897439015E-2"/>
    <n v="0.85"/>
    <s v="0.15"/>
    <n v="3.7786561186178749"/>
    <n v="151713.04316250767"/>
    <n v="14.813751708042435"/>
    <n v="2.2440000000000002"/>
    <m/>
    <s v="Not contracted"/>
    <n v="0"/>
    <n v="0"/>
    <n v="3061.7079433559202"/>
    <n v="3323.8948286463105"/>
    <n v="0.28088897305383054"/>
    <m/>
    <n v="31628.876891288746"/>
    <x v="1"/>
    <n v="5758.6620017898322"/>
    <n v="633452.82019688154"/>
    <m/>
    <n v="0"/>
    <n v="0"/>
    <n v="151713.04316250767"/>
    <n v="0"/>
    <n v="0"/>
    <n v="0"/>
    <n v="0"/>
    <n v="0"/>
    <n v="151713.04316250767"/>
    <n v="0.09"/>
    <n v="1.3511629588431511E-2"/>
    <m/>
    <n v="3.04"/>
  </r>
  <r>
    <s v="BARKHERA TPS1"/>
    <x v="119"/>
    <s v="Uttar Pradesh"/>
    <s v="NR"/>
    <x v="2"/>
    <x v="1"/>
    <n v="8.5065023956194299"/>
    <n v="45"/>
    <n v="0.179276400409626"/>
    <n v="0.16599666704595001"/>
    <n v="0.85"/>
    <s v="0.15"/>
    <n v="4.9044707409916626"/>
    <n v="80555.931920788062"/>
    <n v="14.421214313381245"/>
    <n v="0.91800000000000004"/>
    <m/>
    <s v="Contracted"/>
    <n v="0"/>
    <n v="0"/>
    <n v="3160.1623227943192"/>
    <n v="3386.2741253729387"/>
    <n v="0.272137919560904"/>
    <m/>
    <n v="51699.451269003031"/>
    <x v="1"/>
    <m/>
    <n v="0"/>
    <m/>
    <m/>
    <m/>
    <m/>
    <m/>
    <m/>
    <m/>
    <m/>
    <m/>
    <n v="0"/>
    <n v="0.10106329868235293"/>
    <n v="1.8118264401295131E-2"/>
    <m/>
    <n v="3.7346710526316"/>
  </r>
  <r>
    <s v="BARKHERA TPS2"/>
    <x v="119"/>
    <s v="Uttar Pradesh"/>
    <s v="NR"/>
    <x v="2"/>
    <x v="1"/>
    <n v="8.33949349760438"/>
    <n v="45"/>
    <n v="0.15138768561187901"/>
    <n v="0.14017378297396205"/>
    <n v="0.85"/>
    <s v="0.15"/>
    <n v="4.5398992011882449"/>
    <n v="74567.84437951693"/>
    <n v="14.415924306536619"/>
    <n v="0.91800000000000004"/>
    <m/>
    <s v="Contracted"/>
    <n v="0"/>
    <n v="0"/>
    <n v="3158.8862851297054"/>
    <n v="3393.5343894834632"/>
    <n v="0.27224785015162012"/>
    <m/>
    <n v="43750.548484111328"/>
    <x v="1"/>
    <m/>
    <n v="0"/>
    <m/>
    <m/>
    <m/>
    <m/>
    <m/>
    <m/>
    <m/>
    <m/>
    <m/>
    <n v="0"/>
    <n v="0.10106329868235293"/>
    <n v="1.5299738887823473E-2"/>
    <m/>
    <n v="3.7346710526316"/>
  </r>
  <r>
    <s v="BELA TPS1"/>
    <x v="120"/>
    <s v="Maharashtra"/>
    <s v="WR"/>
    <x v="2"/>
    <x v="1"/>
    <n v="7.1759069130732298"/>
    <n v="270"/>
    <n v="0.18591200716845799"/>
    <n v="2.8690124563033641E-2"/>
    <n v="0.85"/>
    <s v="0.15"/>
    <n v="1.7801595115544504"/>
    <n v="175434.71986369108"/>
    <n v="13.207290201471594"/>
    <n v="5.508"/>
    <m/>
    <s v="Not contracted"/>
    <n v="0.28000000000000003"/>
    <n v="49121.721561833503"/>
    <n v="3004.8314092778919"/>
    <n v="3276.3328003729403"/>
    <n v="0.28620574097588775"/>
    <m/>
    <n v="51872.376710278506"/>
    <x v="1"/>
    <m/>
    <n v="0"/>
    <m/>
    <m/>
    <m/>
    <m/>
    <m/>
    <m/>
    <m/>
    <m/>
    <m/>
    <n v="0"/>
    <n v="9.4448436788302656E-2"/>
    <n v="1.7559098457236574E-2"/>
    <m/>
    <m/>
  </r>
  <r>
    <s v="BHILAI TPS1"/>
    <x v="121"/>
    <s v="Chhatisgarh"/>
    <s v="WR"/>
    <x v="0"/>
    <x v="2"/>
    <n v="12.090349075975301"/>
    <n v="250"/>
    <n v="4.4430615712343497"/>
    <n v="0.74051026187239166"/>
    <n v="0.8"/>
    <s v="0.15"/>
    <n v="12.833500683490664"/>
    <n v="1171056.9373685231"/>
    <n v="14.356864256981517"/>
    <n v="4.8"/>
    <m/>
    <s v="Contracted"/>
    <n v="0"/>
    <n v="0"/>
    <n v="3014.2962244579048"/>
    <n v="3033.9618185784338"/>
    <n v="0.28530706206708784"/>
    <m/>
    <n v="991008.16413411894"/>
    <x v="1"/>
    <n v="4964.8722111397574"/>
    <n v="1241218.0527849393"/>
    <m/>
    <n v="0"/>
    <n v="0"/>
    <n v="603592.31234144967"/>
    <n v="0"/>
    <n v="0"/>
    <n v="0"/>
    <n v="567464.62502707343"/>
    <n v="0"/>
    <n v="1171056.9373685231"/>
    <n v="8.0634482570770813E-2"/>
    <n v="0.35826397082655775"/>
    <m/>
    <n v="2.5478971205186798"/>
  </r>
  <r>
    <s v="BHILAI TPS2"/>
    <x v="121"/>
    <s v="Chhatisgarh"/>
    <s v="WR"/>
    <x v="0"/>
    <x v="2"/>
    <n v="10.841889117043101"/>
    <n v="250"/>
    <n v="4.57049277196543"/>
    <n v="0.76174879532757167"/>
    <n v="0.8"/>
    <s v="0.15"/>
    <n v="13.089453801813443"/>
    <n v="1194412.6594154767"/>
    <n v="14.31731928778234"/>
    <n v="4.8"/>
    <m/>
    <s v="Contracted"/>
    <n v="0"/>
    <n v="0"/>
    <n v="3004.7573199486651"/>
    <n v="3017.4020665786752"/>
    <n v="0.28621279804875982"/>
    <m/>
    <n v="1013867.0278624541"/>
    <x v="1"/>
    <n v="4964.8722111397574"/>
    <n v="1241218.0527849393"/>
    <m/>
    <n v="0"/>
    <n v="0"/>
    <n v="615630.44116924424"/>
    <n v="0"/>
    <n v="0"/>
    <n v="0"/>
    <n v="578782.21824623249"/>
    <n v="0"/>
    <n v="1194412.6594154767"/>
    <n v="8.0634482570770813E-2"/>
    <n v="0.36853931976088045"/>
    <m/>
    <n v="2.5478971205186798"/>
  </r>
  <r>
    <s v="BHUSAWAL TPS3"/>
    <x v="69"/>
    <s v="Maharashtra"/>
    <s v="WR"/>
    <x v="1"/>
    <x v="8"/>
    <n v="37.672826830937701"/>
    <n v="210"/>
    <n v="0.60207771244945796"/>
    <n v="0.11945986358124167"/>
    <n v="0.55000000000000004"/>
    <s v="0.25"/>
    <n v="5.1823714598348412"/>
    <n v="397228.77239634056"/>
    <n v="15.34659553986995"/>
    <n v="2.7719999999999998"/>
    <m/>
    <s v="Contracted"/>
    <n v="3.8557742899071587E-2"/>
    <n v="15316.244878171925"/>
    <n v="3338.1256433563281"/>
    <n v="3480.4498129004405"/>
    <n v="0.25762960771461874"/>
    <m/>
    <n v="176954.16028301386"/>
    <x v="1"/>
    <n v="4322.3508239512021"/>
    <n v="907693.67302975245"/>
    <m/>
    <n v="0"/>
    <n v="0"/>
    <n v="0"/>
    <n v="0"/>
    <n v="0"/>
    <n v="0"/>
    <n v="7180.4330340204478"/>
    <n v="390048.33936232008"/>
    <n v="397228.77239634056"/>
    <n v="6.8124170867604139E-2"/>
    <n v="4.1016044958483107E-2"/>
    <m/>
    <n v="3.0690329670329701"/>
  </r>
  <r>
    <s v="BOKARO B TPS3"/>
    <x v="122"/>
    <s v="Jharkhand"/>
    <s v="ER"/>
    <x v="0"/>
    <x v="5"/>
    <n v="26.757015742642"/>
    <n v="210"/>
    <n v="1.0924949052739299"/>
    <n v="0.21676486215752575"/>
    <n v="0.65"/>
    <s v="0.25"/>
    <n v="6.1904467803044883"/>
    <n v="474497.74571033899"/>
    <n v="15.000837223648185"/>
    <n v="3.2759999999999998"/>
    <m/>
    <s v="Not contracted"/>
    <n v="0"/>
    <n v="0"/>
    <n v="3212.9728057912389"/>
    <n v="3356.187865189991"/>
    <n v="0.26766488606747268"/>
    <m/>
    <n v="312252.828397042"/>
    <x v="1"/>
    <m/>
    <n v="0"/>
    <m/>
    <m/>
    <m/>
    <m/>
    <m/>
    <m/>
    <m/>
    <m/>
    <m/>
    <n v="0"/>
    <n v="0.17551275347161696"/>
    <n v="0.19174678897834077"/>
    <m/>
    <m/>
  </r>
  <r>
    <s v="BUDGE BUDGE TPS1"/>
    <x v="123"/>
    <s v="West Bengal"/>
    <s v="ER"/>
    <x v="2"/>
    <x v="4"/>
    <n v="22.672142368240898"/>
    <n v="250"/>
    <n v="5.4119674735596801"/>
    <n v="0.90199457892661339"/>
    <n v="0.7"/>
    <s v="0.25"/>
    <n v="14.49679793449368"/>
    <n v="1322832.8115225483"/>
    <n v="13.773381759514029"/>
    <n v="4.2"/>
    <m/>
    <s v="Contracted"/>
    <n v="0"/>
    <n v="0"/>
    <n v="3128.2039276338123"/>
    <n v="3061.430337284547"/>
    <n v="0.27491813829749517"/>
    <m/>
    <n v="1157521.4392305168"/>
    <x v="1"/>
    <n v="5224.4837192155401"/>
    <n v="1306120.9298038851"/>
    <m/>
    <n v="381675.02308611025"/>
    <n v="0"/>
    <n v="932702.34430899424"/>
    <n v="8455.4441274435885"/>
    <n v="0"/>
    <n v="0"/>
    <n v="0"/>
    <n v="0"/>
    <n v="1322832.8115225479"/>
    <n v="8.0053382136410028E-2"/>
    <n v="0.43324630027069461"/>
    <m/>
    <m/>
  </r>
  <r>
    <s v="BUDGE BUDGE TPS2"/>
    <x v="123"/>
    <s v="West Bengal"/>
    <s v="ER"/>
    <x v="2"/>
    <x v="4"/>
    <n v="21.177275838466802"/>
    <n v="250"/>
    <n v="5.0127657566784896"/>
    <n v="0.83546095944641485"/>
    <n v="0.7"/>
    <s v="0.25"/>
    <n v="13.523745829249238"/>
    <n v="1234041.8069189929"/>
    <n v="13.726031862183435"/>
    <n v="4.2"/>
    <m/>
    <s v="Contracted"/>
    <n v="0"/>
    <n v="0"/>
    <n v="3116.7823446030116"/>
    <n v="3072.002852685659"/>
    <n v="0.27592558764623626"/>
    <m/>
    <n v="1075842.0370646366"/>
    <x v="1"/>
    <n v="5224.4837192155401"/>
    <n v="1306120.9298038851"/>
    <m/>
    <n v="356056.28394031065"/>
    <n v="0"/>
    <n v="870097.62402543251"/>
    <n v="7887.8989532497053"/>
    <n v="0"/>
    <n v="0"/>
    <n v="0"/>
    <n v="0"/>
    <n v="1234041.8069189929"/>
    <n v="8.0053382136410028E-2"/>
    <n v="0.40128885267969372"/>
    <m/>
    <m/>
  </r>
  <r>
    <s v="BUDGE BUDGE TPS3"/>
    <x v="123"/>
    <s v="West Bengal"/>
    <s v="ER"/>
    <x v="2"/>
    <x v="2"/>
    <n v="10.6721423682409"/>
    <n v="250"/>
    <n v="5.6003431501634298"/>
    <n v="0.93339052502723829"/>
    <n v="0.8"/>
    <s v="0.15"/>
    <n v="14.582428851375505"/>
    <n v="1330646.6326880148"/>
    <n v="13.42219145951403"/>
    <n v="4.8"/>
    <m/>
    <s v="Contracted"/>
    <n v="0"/>
    <n v="0"/>
    <n v="3003.460363633812"/>
    <n v="2959.3652977069278"/>
    <n v="0.28633639065557948"/>
    <m/>
    <n v="1157877.7260237108"/>
    <x v="1"/>
    <n v="5224.4837192155401"/>
    <n v="1306120.9298038851"/>
    <m/>
    <n v="383929.53351837536"/>
    <n v="0"/>
    <n v="938211.70970691915"/>
    <n v="8505.3894627202317"/>
    <n v="0"/>
    <n v="0"/>
    <n v="0"/>
    <n v="0"/>
    <n v="1330646.6326880148"/>
    <n v="8.0053382136410028E-2"/>
    <n v="0.44832641029505937"/>
    <m/>
    <m/>
  </r>
  <r>
    <s v="CHAKABURA TPP2"/>
    <x v="124"/>
    <s v="Chhatisgarh"/>
    <s v="WR"/>
    <x v="2"/>
    <x v="1"/>
    <n v="6.1765913757700197"/>
    <n v="30"/>
    <n v="0.64726572604139399"/>
    <n v="0.89898017505749173"/>
    <n v="0.85"/>
    <s v="0.15"/>
    <n v="15.107008751454915"/>
    <n v="165421.7458284313"/>
    <n v="14.425532881827515"/>
    <n v="0.61199999999999999"/>
    <m/>
    <s v="Not contracted"/>
    <n v="0.28000000000000003"/>
    <n v="46318.088831960777"/>
    <n v="3219.3742539404511"/>
    <n v="3203.1828186954863"/>
    <n v="0.26713265751795612"/>
    <m/>
    <n v="176565.16921768137"/>
    <x v="1"/>
    <m/>
    <n v="0"/>
    <m/>
    <m/>
    <m/>
    <m/>
    <m/>
    <m/>
    <m/>
    <m/>
    <m/>
    <n v="0"/>
    <m/>
    <n v="0"/>
    <m/>
    <m/>
  </r>
  <r>
    <s v="CHANDRAPUR STPS3"/>
    <x v="58"/>
    <s v="Maharashtra"/>
    <s v="WR"/>
    <x v="1"/>
    <x v="6"/>
    <n v="35.008898015058101"/>
    <n v="210"/>
    <n v="2.0496953484756002"/>
    <n v="0.40668558501500002"/>
    <n v="0.6"/>
    <s v="0.25"/>
    <n v="9.094249144616164"/>
    <n v="697074.196934829"/>
    <n v="15.262215594626964"/>
    <n v="3.024"/>
    <m/>
    <s v="Contracted"/>
    <n v="3.3278847509413102E-2"/>
    <n v="23197.825902540771"/>
    <n v="3300.0530801458212"/>
    <n v="3363.9572582847109"/>
    <n v="0.26060186885296971"/>
    <m/>
    <n v="601827.07132643647"/>
    <x v="1"/>
    <n v="4181.7775798896982"/>
    <n v="878173.29177683662"/>
    <m/>
    <n v="0"/>
    <n v="0"/>
    <n v="0"/>
    <n v="124.12350195533438"/>
    <n v="0"/>
    <n v="0"/>
    <n v="6884.0651041523734"/>
    <n v="690066.00832872128"/>
    <n v="697074.196934829"/>
    <n v="7.096074531932961E-2"/>
    <n v="0.14544790960539161"/>
    <m/>
    <n v="2.3100000000000298"/>
  </r>
  <r>
    <s v="CHANDRAPUR STPS4"/>
    <x v="58"/>
    <s v="Maharashtra"/>
    <s v="WR"/>
    <x v="1"/>
    <x v="6"/>
    <n v="34.176591375770002"/>
    <n v="210"/>
    <n v="2.2701040141603501"/>
    <n v="0.45041746312705361"/>
    <n v="0.6"/>
    <s v="0.25"/>
    <n v="9.6763405715531494"/>
    <n v="741691.50480954896"/>
    <n v="15.235852281827514"/>
    <n v="3.024"/>
    <m/>
    <s v="Contracted"/>
    <n v="3.3278847509413102E-2"/>
    <n v="24682.638487584114"/>
    <n v="3293.6938104729948"/>
    <n v="3343.1414891861291"/>
    <n v="0.26110502356516824"/>
    <m/>
    <n v="662418.49330214306"/>
    <x v="1"/>
    <n v="4181.7775798896982"/>
    <n v="878173.29177683662"/>
    <m/>
    <n v="0"/>
    <n v="0"/>
    <n v="0"/>
    <n v="132.06821792040878"/>
    <n v="0"/>
    <n v="0"/>
    <n v="7324.6902966098969"/>
    <n v="734234.7462950187"/>
    <n v="741691.50480954896"/>
    <n v="7.096074531932961E-2"/>
    <n v="0.16108827279722043"/>
    <m/>
    <n v="2.3100000000000298"/>
  </r>
  <r>
    <s v="CHANDRAPURA(DVC)7"/>
    <x v="125"/>
    <s v="Jharkhand"/>
    <s v="ER"/>
    <x v="0"/>
    <x v="2"/>
    <n v="10.5051334702258"/>
    <n v="250"/>
    <n v="4.9912216757311798"/>
    <n v="0.83187027928852997"/>
    <n v="0.8"/>
    <s v="0.15"/>
    <n v="14.054408309494505"/>
    <n v="1282464.7582413736"/>
    <n v="14.306652552669402"/>
    <n v="4.8"/>
    <m/>
    <s v="Contracted"/>
    <n v="0"/>
    <n v="0"/>
    <n v="3002.1843259691987"/>
    <n v="2991.648929500454"/>
    <n v="0.2864580940486941"/>
    <m/>
    <n v="1246982.3595382432"/>
    <x v="1"/>
    <n v="4370.6903687474232"/>
    <n v="1092672.5921868559"/>
    <m/>
    <n v="337833.2300155008"/>
    <n v="944631.52822587301"/>
    <n v="0"/>
    <n v="0"/>
    <n v="0"/>
    <n v="0"/>
    <n v="0"/>
    <n v="0"/>
    <n v="1282464.7582413738"/>
    <n v="9.1459561477170895E-2"/>
    <n v="0.45649494569772375"/>
    <m/>
    <n v="2.0353399122806999"/>
  </r>
  <r>
    <s v="CHANDRAPURA(DVC)8"/>
    <x v="125"/>
    <s v="Jharkhand"/>
    <s v="ER"/>
    <x v="0"/>
    <x v="2"/>
    <n v="10.17659137577"/>
    <n v="250"/>
    <n v="4.7989141437234402"/>
    <n v="0.79981902395390669"/>
    <n v="0.8"/>
    <s v="0.15"/>
    <n v="13.598063007805404"/>
    <n v="1240823.2494622432"/>
    <n v="14.296245981827514"/>
    <n v="4.8"/>
    <m/>
    <s v="Contracted"/>
    <n v="0"/>
    <n v="0"/>
    <n v="2999.6740879404515"/>
    <n v="2999.7339134091799"/>
    <n v="0.28669781275820805"/>
    <m/>
    <n v="1202177.3371779649"/>
    <x v="1"/>
    <n v="4370.6903687474232"/>
    <n v="1092672.5921868559"/>
    <m/>
    <n v="326863.8171539235"/>
    <n v="913959.43230831984"/>
    <n v="0"/>
    <n v="0"/>
    <n v="0"/>
    <n v="0"/>
    <n v="0"/>
    <n v="0"/>
    <n v="1240823.2494622434"/>
    <n v="9.1459561477170895E-2"/>
    <n v="0.43890658315153891"/>
    <m/>
    <n v="2.0353399122806999"/>
  </r>
  <r>
    <s v="CHHABRA TPS1"/>
    <x v="13"/>
    <s v="Rajasthan"/>
    <s v="NR"/>
    <x v="1"/>
    <x v="2"/>
    <n v="10.590006844626901"/>
    <n v="250"/>
    <n v="5.1310663661108302"/>
    <n v="0.85517772768513833"/>
    <n v="0.8"/>
    <s v="0.15"/>
    <n v="14.381380195405191"/>
    <n v="1312300.9428307237"/>
    <n v="14.309340916803556"/>
    <n v="4.8"/>
    <m/>
    <s v="Contracted"/>
    <n v="0"/>
    <n v="0"/>
    <n v="3002.832804126625"/>
    <n v="2984.5926364724755"/>
    <n v="0.28639623185751473"/>
    <m/>
    <n v="1261228.2482692937"/>
    <x v="1"/>
    <n v="4431.9195703193527"/>
    <n v="1107979.8925798382"/>
    <m/>
    <n v="0"/>
    <n v="0"/>
    <n v="0"/>
    <n v="0"/>
    <n v="0"/>
    <n v="0"/>
    <n v="1312300.9428307237"/>
    <n v="0"/>
    <n v="1312300.9428307237"/>
    <m/>
    <n v="0"/>
    <m/>
    <n v="2.3395933263816402"/>
  </r>
  <r>
    <s v="CHHABRA TPS2"/>
    <x v="13"/>
    <s v="Rajasthan"/>
    <s v="NR"/>
    <x v="1"/>
    <x v="1"/>
    <n v="10.009582477754901"/>
    <n v="250"/>
    <n v="4.82731443812804"/>
    <n v="0.80455240635467329"/>
    <n v="0.85"/>
    <s v="0.15"/>
    <n v="13.658629970317362"/>
    <n v="1246349.9847914593"/>
    <n v="14.290955974982886"/>
    <n v="5.0999999999999996"/>
    <m/>
    <s v="Contracted"/>
    <n v="0"/>
    <n v="0"/>
    <n v="2981.869490275838"/>
    <n v="2996.8931558442864"/>
    <n v="0.28840967145092783"/>
    <m/>
    <n v="1191455.5443720517"/>
    <x v="1"/>
    <n v="4431.9195703193527"/>
    <n v="1107979.8925798382"/>
    <m/>
    <n v="0"/>
    <n v="0"/>
    <n v="0"/>
    <n v="0"/>
    <n v="0"/>
    <n v="0"/>
    <n v="1246349.9847914593"/>
    <n v="0"/>
    <n v="1246349.9847914593"/>
    <m/>
    <n v="0"/>
    <m/>
    <n v="2.3395933263816402"/>
  </r>
  <r>
    <s v="DADRI (NCTPP)1"/>
    <x v="75"/>
    <s v="Uttar Pradesh"/>
    <s v="NR"/>
    <x v="0"/>
    <x v="5"/>
    <n v="28.4243668720054"/>
    <n v="210"/>
    <n v="2.4197686777195102"/>
    <n v="0.48011283288085521"/>
    <n v="0.65"/>
    <s v="0.25"/>
    <n v="9.9072994483919743"/>
    <n v="759394.5027192448"/>
    <n v="15.05365057067077"/>
    <n v="3.2759999999999998"/>
    <m/>
    <s v="Contracted"/>
    <n v="2.2633605042873307E-2"/>
    <n v="17187.835246276569"/>
    <n v="3230.8151367922355"/>
    <n v="3286.9749414914118"/>
    <n v="0.26618669394184657"/>
    <m/>
    <n v="615042.41789819521"/>
    <x v="1"/>
    <n v="4720.1743382080467"/>
    <n v="991236.61102368985"/>
    <m/>
    <n v="162245.01924303232"/>
    <n v="360615.61493135715"/>
    <n v="224437.18646739522"/>
    <n v="0"/>
    <n v="12096.682077460158"/>
    <n v="0"/>
    <n v="0"/>
    <n v="0"/>
    <n v="759394.5027192448"/>
    <n v="6.6665772632952203E-2"/>
    <n v="0.16131574849318825"/>
    <m/>
    <n v="3.74965388589795"/>
  </r>
  <r>
    <s v="DADRI (NCTPP)2"/>
    <x v="75"/>
    <s v="Uttar Pradesh"/>
    <s v="NR"/>
    <x v="0"/>
    <x v="5"/>
    <n v="27.422313483915101"/>
    <n v="210"/>
    <n v="2.2434619692074"/>
    <n v="0.44513134309670638"/>
    <n v="0.65"/>
    <s v="0.25"/>
    <n v="9.3888514455104151"/>
    <n v="719655.46329837327"/>
    <n v="15.02191052960301"/>
    <n v="3.2759999999999998"/>
    <m/>
    <s v="Contracted"/>
    <n v="2.2633605042873307E-2"/>
    <n v="16288.39752324139"/>
    <n v="3223.1589108045564"/>
    <n v="3290.8825885594665"/>
    <n v="0.26681898838966306"/>
    <m/>
    <n v="570907.73185454577"/>
    <x v="1"/>
    <n v="4720.1743382080467"/>
    <n v="991236.61102368985"/>
    <m/>
    <n v="153754.75338984033"/>
    <n v="341744.63537300611"/>
    <n v="212692.41063796746"/>
    <n v="0"/>
    <n v="11463.663897559451"/>
    <n v="0"/>
    <n v="0"/>
    <n v="0"/>
    <n v="719655.46329837327"/>
    <n v="6.6665772632952203E-2"/>
    <n v="0.14956212554985573"/>
    <m/>
    <n v="3.74965388589795"/>
  </r>
  <r>
    <s v="DADRI (NCTPP)3"/>
    <x v="75"/>
    <s v="Uttar Pradesh"/>
    <s v="NR"/>
    <x v="0"/>
    <x v="5"/>
    <n v="27.175906913073199"/>
    <n v="210"/>
    <n v="2.6030767175168101"/>
    <n v="0.51648347569777986"/>
    <n v="0.65"/>
    <s v="0.25"/>
    <n v="10.373790143897514"/>
    <n v="795151.0145297444"/>
    <n v="15.014105601471593"/>
    <n v="3.2759999999999998"/>
    <m/>
    <s v="Contracted"/>
    <n v="2.2633605042873307E-2"/>
    <n v="17997.134012306251"/>
    <n v="3221.2762322829958"/>
    <n v="3265.4129499414098"/>
    <n v="0.26697493104790249"/>
    <m/>
    <n v="657294.35654669604"/>
    <x v="1"/>
    <n v="4720.1743382080467"/>
    <n v="991236.61102368985"/>
    <m/>
    <n v="169884.41605981835"/>
    <n v="377595.40139039984"/>
    <n v="235004.9360098273"/>
    <n v="0"/>
    <n v="12666.261069699025"/>
    <n v="0"/>
    <n v="0"/>
    <n v="0"/>
    <n v="795151.01452974451"/>
    <n v="6.6665772632952203E-2"/>
    <n v="0.17353612059610721"/>
    <m/>
    <n v="3.74965388589795"/>
  </r>
  <r>
    <s v="DADRI (NCTPP)4"/>
    <x v="75"/>
    <s v="Uttar Pradesh"/>
    <s v="NR"/>
    <x v="0"/>
    <x v="5"/>
    <n v="26.176591375769998"/>
    <n v="210"/>
    <n v="2.8696748691582501"/>
    <n v="0.56937993435679568"/>
    <n v="0.65"/>
    <s v="0.25"/>
    <n v="11.078101122513919"/>
    <n v="849136.45104069193"/>
    <n v="14.982452281827515"/>
    <n v="3.2759999999999998"/>
    <m/>
    <s v="Contracted"/>
    <n v="2.2633605042873307E-2"/>
    <n v="19219.019060362149"/>
    <n v="3213.6409249455555"/>
    <n v="3240.2915967893082"/>
    <n v="0.2676092382706291"/>
    <m/>
    <n v="719037.62121783686"/>
    <x v="1"/>
    <n v="4720.1743382080467"/>
    <n v="991236.61102368985"/>
    <m/>
    <n v="181418.43185029138"/>
    <n v="403231.60406901012"/>
    <n v="250960.19962754502"/>
    <n v="0"/>
    <n v="13526.215493845388"/>
    <n v="0"/>
    <n v="0"/>
    <n v="0"/>
    <n v="849136.45104069181"/>
    <n v="6.6665772632952203E-2"/>
    <n v="0.19130909235780078"/>
    <m/>
    <n v="3.74965388589795"/>
  </r>
  <r>
    <s v="DAHANU TPS1"/>
    <x v="126"/>
    <s v="Maharashtra"/>
    <s v="WR"/>
    <x v="2"/>
    <x v="5"/>
    <n v="25.338809034907499"/>
    <n v="250"/>
    <n v="4.78610039009037"/>
    <n v="0.79768339834839497"/>
    <n v="0.65"/>
    <s v="0.25"/>
    <n v="13.129951852421419"/>
    <n v="1198108.1065334545"/>
    <n v="13.857848426180695"/>
    <n v="3.9"/>
    <m/>
    <s v="Contracted"/>
    <n v="0.28270000411050533"/>
    <n v="338705.16664183734"/>
    <n v="3228.8435520138814"/>
    <n v="3180.0236738017743"/>
    <n v="0.26634923189871007"/>
    <m/>
    <n v="1330874.6496067059"/>
    <x v="1"/>
    <n v="4174.1482421463261"/>
    <n v="1043537.0605365816"/>
    <m/>
    <n v="0"/>
    <n v="0"/>
    <n v="0"/>
    <n v="0"/>
    <n v="0"/>
    <n v="0"/>
    <n v="1198108.1065334545"/>
    <n v="0"/>
    <n v="1198108.1065334545"/>
    <n v="9.2649498418971077E-2"/>
    <n v="0.44342980052471459"/>
    <m/>
    <n v="3.3866153846153799"/>
  </r>
  <r>
    <s v="DAHANU TPS2"/>
    <x v="126"/>
    <s v="Maharashtra"/>
    <s v="WR"/>
    <x v="2"/>
    <x v="5"/>
    <n v="25.177275838466802"/>
    <n v="250"/>
    <n v="4.5250875468390301"/>
    <n v="0.75418125780650502"/>
    <n v="0.65"/>
    <s v="0.25"/>
    <n v="12.519576956422682"/>
    <n v="1142411.3972735698"/>
    <n v="13.852731862183436"/>
    <n v="3.9"/>
    <m/>
    <s v="Contracted"/>
    <n v="0.28270000411050533"/>
    <n v="322959.70670512627"/>
    <n v="3227.6093516497481"/>
    <n v="3193.1700282391421"/>
    <n v="0.26645108075437407"/>
    <m/>
    <n v="1263496.449670315"/>
    <x v="1"/>
    <n v="4174.1482421463261"/>
    <n v="1043537.0605365816"/>
    <m/>
    <n v="0"/>
    <n v="0"/>
    <n v="0"/>
    <n v="0"/>
    <n v="0"/>
    <n v="0"/>
    <n v="1142411.3972735698"/>
    <n v="0"/>
    <n v="1142411.3972735698"/>
    <n v="9.2649498418971077E-2"/>
    <n v="0.41924709151656842"/>
    <m/>
    <n v="3.3866153846153799"/>
  </r>
  <r>
    <s v="DR. N TATA RAO TPS1"/>
    <x v="76"/>
    <s v="Andhra Pradesh"/>
    <s v="SR"/>
    <x v="1"/>
    <x v="9"/>
    <n v="40.5065023956194"/>
    <n v="210"/>
    <n v="2.82060334851775"/>
    <n v="0.55964352153129959"/>
    <n v="0.55000000000000004"/>
    <s v="0.25"/>
    <n v="11.396535421502675"/>
    <n v="873544.44005818001"/>
    <n v="15.436352213381243"/>
    <n v="2.7719999999999998"/>
    <m/>
    <s v="Contracted"/>
    <n v="0"/>
    <n v="0"/>
    <n v="3351.083387294319"/>
    <n v="3347.8955168094913"/>
    <n v="0.25663342286876606"/>
    <m/>
    <n v="965247.97509448393"/>
    <x v="1"/>
    <n v="3570.8193390001843"/>
    <n v="749872.06119003869"/>
    <m/>
    <n v="0"/>
    <n v="0"/>
    <n v="0"/>
    <n v="873544.44005818001"/>
    <n v="0"/>
    <n v="0"/>
    <n v="0"/>
    <n v="0"/>
    <n v="873544.44005818001"/>
    <n v="8.8971276393347468E-2"/>
    <n v="0.25095268011697408"/>
    <m/>
    <n v="3.0966922234391698"/>
  </r>
  <r>
    <s v="DR. N TATA RAO TPS2"/>
    <x v="76"/>
    <s v="Andhra Pradesh"/>
    <s v="SR"/>
    <x v="1"/>
    <x v="8"/>
    <n v="39.564681724845997"/>
    <n v="210"/>
    <n v="3.17509850080905"/>
    <n v="0.62997986127163697"/>
    <n v="0.55000000000000004"/>
    <s v="0.25"/>
    <n v="12.345313847465164"/>
    <n v="946268.30640820484"/>
    <n v="15.406520043634496"/>
    <n v="2.7719999999999998"/>
    <m/>
    <s v="Contracted"/>
    <n v="0"/>
    <n v="0"/>
    <n v="3343.8873716119097"/>
    <n v="3317.4483328955112"/>
    <n v="0.25718569569687388"/>
    <m/>
    <n v="1076679.2837527334"/>
    <x v="1"/>
    <n v="3570.8193390001843"/>
    <n v="749872.06119003869"/>
    <m/>
    <n v="0"/>
    <n v="0"/>
    <n v="0"/>
    <n v="946268.30640820484"/>
    <n v="0"/>
    <n v="0"/>
    <n v="0"/>
    <n v="0"/>
    <n v="946268.30640820484"/>
    <n v="8.8971276393347468E-2"/>
    <n v="0.28249256629158515"/>
    <m/>
    <n v="3.0966922234391698"/>
  </r>
  <r>
    <s v="DR. N TATA RAO TPS3"/>
    <x v="76"/>
    <s v="Andhra Pradesh"/>
    <s v="SR"/>
    <x v="1"/>
    <x v="6"/>
    <n v="30.579055441478399"/>
    <n v="210"/>
    <n v="3.7687188624644499"/>
    <n v="0.7477616790604068"/>
    <n v="0.6"/>
    <s v="0.25"/>
    <n v="13.699427900379986"/>
    <n v="1050061.1485641259"/>
    <n v="15.121900331108828"/>
    <n v="3.024"/>
    <m/>
    <s v="Contracted"/>
    <n v="0"/>
    <n v="0"/>
    <n v="3258.7038015256671"/>
    <n v="3209.8580459646537"/>
    <n v="0.2639086128654477"/>
    <m/>
    <n v="1236529.7055247554"/>
    <x v="1"/>
    <n v="3570.8193390001843"/>
    <n v="749872.06119003869"/>
    <m/>
    <n v="0"/>
    <n v="0"/>
    <n v="0"/>
    <n v="1050061.1485641259"/>
    <n v="0"/>
    <n v="0"/>
    <n v="0"/>
    <n v="0"/>
    <n v="1050061.1485641259"/>
    <n v="8.8971276393347468E-2"/>
    <n v="0.33530772756114663"/>
    <m/>
    <n v="3.0966922234391698"/>
  </r>
  <r>
    <s v="DR. N TATA RAO TPS4"/>
    <x v="76"/>
    <s v="Andhra Pradesh"/>
    <s v="SR"/>
    <x v="1"/>
    <x v="5"/>
    <n v="29.6974674880219"/>
    <n v="210"/>
    <n v="3.9218024483187199"/>
    <n v="0.7781354064124445"/>
    <n v="0.65"/>
    <s v="0.25"/>
    <n v="14.094102382721358"/>
    <n v="1080312.947635592"/>
    <n v="15.093976032683093"/>
    <n v="3.2759999999999998"/>
    <m/>
    <s v="Contracted"/>
    <n v="0"/>
    <n v="0"/>
    <n v="3235.4394361485283"/>
    <n v="3193.0815610882787"/>
    <n v="0.26580624269813102"/>
    <m/>
    <n v="1280031.659883481"/>
    <x v="1"/>
    <n v="3570.8193390001843"/>
    <n v="749872.06119003869"/>
    <m/>
    <n v="0"/>
    <n v="0"/>
    <n v="0"/>
    <n v="1080312.947635592"/>
    <n v="0"/>
    <n v="0"/>
    <n v="0"/>
    <n v="0"/>
    <n v="1080312.947635592"/>
    <n v="8.8971276393347468E-2"/>
    <n v="0.34892776958947164"/>
    <m/>
    <n v="3.0966922234391698"/>
  </r>
  <r>
    <s v="DR. N TATA RAO TPS5"/>
    <x v="76"/>
    <s v="Andhra Pradesh"/>
    <s v="SR"/>
    <x v="1"/>
    <x v="5"/>
    <n v="26.094455852155999"/>
    <n v="210"/>
    <n v="3.8946157211716699"/>
    <n v="0.77274121451818845"/>
    <n v="0.65"/>
    <s v="0.25"/>
    <n v="13.904925979072953"/>
    <n v="1065812.5762959418"/>
    <n v="14.979850639117041"/>
    <n v="3.2759999999999998"/>
    <m/>
    <s v="Contracted"/>
    <n v="0"/>
    <n v="0"/>
    <n v="3207.9104924332646"/>
    <n v="3167.3357818605296"/>
    <n v="0.26808728049879993"/>
    <m/>
    <n v="1260908.8878763842"/>
    <x v="1"/>
    <n v="3570.8193390001843"/>
    <n v="749872.06119003869"/>
    <m/>
    <n v="0"/>
    <n v="0"/>
    <n v="0"/>
    <n v="1065812.5762959418"/>
    <n v="0"/>
    <n v="0"/>
    <n v="0"/>
    <n v="0"/>
    <n v="1065812.5762959418"/>
    <n v="8.8971276393347468E-2"/>
    <n v="0.34650893177424091"/>
    <m/>
    <n v="3.0966922234391698"/>
  </r>
  <r>
    <s v="DR. N TATA RAO TPS6"/>
    <x v="76"/>
    <s v="Andhra Pradesh"/>
    <s v="SR"/>
    <x v="1"/>
    <x v="5"/>
    <n v="25.190965092402401"/>
    <n v="210"/>
    <n v="3.8263930991765802"/>
    <n v="0.75920497999535319"/>
    <n v="0.65"/>
    <s v="0.25"/>
    <n v="13.687974217471194"/>
    <n v="1049183.223769167"/>
    <n v="14.951232569301846"/>
    <n v="3.2759999999999998"/>
    <m/>
    <s v="Contracted"/>
    <n v="0"/>
    <n v="0"/>
    <n v="3201.0073378542093"/>
    <n v="3164.9073165711693"/>
    <n v="0.26866542598321558"/>
    <m/>
    <n v="1237871.5089109077"/>
    <x v="1"/>
    <n v="3570.8193390001843"/>
    <n v="749872.06119003869"/>
    <m/>
    <n v="0"/>
    <n v="0"/>
    <n v="0"/>
    <n v="1049183.223769167"/>
    <n v="0"/>
    <n v="0"/>
    <n v="0"/>
    <n v="0"/>
    <n v="1049183.223769167"/>
    <n v="8.8971276393347468E-2"/>
    <n v="0.34043907801643691"/>
    <m/>
    <n v="3.0966922234391698"/>
  </r>
  <r>
    <s v="DSPM TPS1"/>
    <x v="127"/>
    <s v="Chhatisgarh"/>
    <s v="WR"/>
    <x v="1"/>
    <x v="2"/>
    <n v="13.1772758384668"/>
    <n v="250"/>
    <n v="5.2709479689955296"/>
    <n v="0.87849132816592157"/>
    <n v="0.8"/>
    <s v="0.15"/>
    <n v="14.787701058354351"/>
    <n v="1349377.7215748345"/>
    <n v="14.391292662183435"/>
    <n v="4.8"/>
    <m/>
    <s v="Contracted"/>
    <n v="0"/>
    <n v="0"/>
    <n v="3022.6009286030117"/>
    <n v="2996.6539560616093"/>
    <n v="0.28452317071095307"/>
    <m/>
    <n v="1345135.4609127757"/>
    <x v="1"/>
    <m/>
    <n v="0"/>
    <m/>
    <m/>
    <m/>
    <m/>
    <m/>
    <m/>
    <m/>
    <m/>
    <m/>
    <n v="0"/>
    <m/>
    <n v="0"/>
    <m/>
    <n v="1.4870285087719299"/>
  </r>
  <r>
    <s v="DSPM TPS2"/>
    <x v="127"/>
    <s v="Chhatisgarh"/>
    <s v="WR"/>
    <x v="1"/>
    <x v="2"/>
    <n v="12.4243668720054"/>
    <n v="250"/>
    <n v="5.3973925305012598"/>
    <n v="0.89956542175021004"/>
    <n v="0.8"/>
    <s v="0.15"/>
    <n v="15.057062853107967"/>
    <n v="1373956.9853461019"/>
    <n v="14.36744427067077"/>
    <n v="4.8"/>
    <m/>
    <s v="Contracted"/>
    <n v="0"/>
    <n v="0"/>
    <n v="3016.8482997871315"/>
    <n v="2983.9348388406584"/>
    <n v="0.2850657091576933"/>
    <m/>
    <n v="1371557.5543376768"/>
    <x v="1"/>
    <m/>
    <n v="0"/>
    <m/>
    <m/>
    <m/>
    <m/>
    <m/>
    <m/>
    <m/>
    <m/>
    <m/>
    <n v="0"/>
    <m/>
    <n v="0"/>
    <m/>
    <n v="1.4870285087719299"/>
  </r>
  <r>
    <s v="DURGAPUR TPS4"/>
    <x v="128"/>
    <s v="West Bengal"/>
    <s v="ER"/>
    <x v="0"/>
    <x v="8"/>
    <n v="37.672826830937701"/>
    <n v="220"/>
    <n v="2.17334714479933"/>
    <n v="0.41161877742411557"/>
    <n v="0.55000000000000004"/>
    <s v="0.25"/>
    <n v="9.1951870758048972"/>
    <n v="738373.5221871332"/>
    <n v="15.294516539869951"/>
    <n v="2.9040000000000004"/>
    <m/>
    <s v="Contracted"/>
    <n v="0"/>
    <n v="0"/>
    <n v="3320.1751612963722"/>
    <n v="3365.9200081007493"/>
    <n v="0.25902247870085582"/>
    <m/>
    <n v="487020.00113551575"/>
    <x v="1"/>
    <n v="5482.5040185064399"/>
    <n v="1206150.8840714167"/>
    <m/>
    <n v="118552.71228846529"/>
    <n v="111013.2354988693"/>
    <n v="497174.48154673597"/>
    <n v="11633.092853062675"/>
    <n v="0"/>
    <n v="0"/>
    <n v="0"/>
    <n v="0"/>
    <n v="738373.5221871332"/>
    <n v="0.12433386465223378"/>
    <n v="0.27022064974379861"/>
    <m/>
    <n v="2.68880829015544"/>
  </r>
  <r>
    <s v="FARAKKA STPS1"/>
    <x v="71"/>
    <s v="West Bengal"/>
    <s v="ER"/>
    <x v="0"/>
    <x v="6"/>
    <n v="34.338124572210802"/>
    <n v="200"/>
    <n v="3.7421848828447302"/>
    <n v="0.7796218505926521"/>
    <n v="0.6"/>
    <s v="0.25"/>
    <n v="14.313855539675524"/>
    <n v="1044911.4543963132"/>
    <n v="15.293047845824777"/>
    <n v="2.88"/>
    <m/>
    <s v="Contracted"/>
    <n v="1.1012599888399872E-2"/>
    <n v="11507.191766072589"/>
    <n v="3299.1653836199848"/>
    <n v="3239.787572923351"/>
    <n v="0.2606719882155078"/>
    <m/>
    <n v="912215.4860951046"/>
    <x v="1"/>
    <n v="4851.0661749297096"/>
    <n v="970213.2349859419"/>
    <s v="Pithead plant"/>
    <n v="39784.272195577229"/>
    <n v="0"/>
    <n v="985521.00022438983"/>
    <n v="469.98031082357971"/>
    <n v="0"/>
    <n v="19136.201665522534"/>
    <n v="0"/>
    <n v="0"/>
    <n v="1044911.4543963132"/>
    <n v="7.0380830688675913E-2"/>
    <n v="0.26337808064521745"/>
    <m/>
    <n v="2.5607556530671198"/>
  </r>
  <r>
    <s v="FARAKKA STPS2"/>
    <x v="71"/>
    <s v="West Bengal"/>
    <s v="ER"/>
    <x v="0"/>
    <x v="6"/>
    <n v="33.423682409308597"/>
    <n v="200"/>
    <n v="3.8131783251231499"/>
    <n v="0.79441215106732288"/>
    <n v="0.6"/>
    <s v="0.25"/>
    <n v="14.490672471759833"/>
    <n v="1057819.0904384679"/>
    <n v="15.26408289031485"/>
    <n v="2.88"/>
    <m/>
    <s v="Contracted"/>
    <n v="1.1012599888399872E-2"/>
    <n v="11649.338397309924"/>
    <n v="3292.1785544399704"/>
    <n v="3227.9114963670645"/>
    <n v="0.26122519959926471"/>
    <m/>
    <n v="926113.89413637342"/>
    <x v="1"/>
    <n v="4851.0661749297096"/>
    <n v="970213.2349859419"/>
    <s v="Pithead plant"/>
    <n v="40275.721402629133"/>
    <n v="0"/>
    <n v="997694.99480476871"/>
    <n v="475.78590781801046"/>
    <n v="0"/>
    <n v="19372.588323251864"/>
    <n v="0"/>
    <n v="0"/>
    <n v="1057819.0904384677"/>
    <n v="7.0380830688675913E-2"/>
    <n v="0.26837465808622119"/>
    <m/>
    <n v="2.5607556530671198"/>
  </r>
  <r>
    <s v="FARAKKA STPS3"/>
    <x v="71"/>
    <s v="West Bengal"/>
    <s v="ER"/>
    <x v="0"/>
    <x v="6"/>
    <n v="32.758384668035497"/>
    <n v="200"/>
    <n v="3.6652955709165398"/>
    <n v="0.76360324394094581"/>
    <n v="0.6"/>
    <s v="0.25"/>
    <n v="14.040945598283585"/>
    <n v="1024989.0286747018"/>
    <n v="15.243009584360024"/>
    <n v="2.88"/>
    <m/>
    <s v="Contracted"/>
    <n v="1.1012599888399872E-2"/>
    <n v="11287.794062794113"/>
    <n v="3287.0953224317573"/>
    <n v="3233.0128017583061"/>
    <n v="0.26162916363611305"/>
    <m/>
    <n v="891604.1716660579"/>
    <x v="1"/>
    <n v="4851.0661749297096"/>
    <n v="970213.2349859419"/>
    <s v="Pithead plant"/>
    <n v="39025.739781782722"/>
    <n v="0"/>
    <n v="966730.92108280165"/>
    <n v="461.01960147963615"/>
    <n v="0"/>
    <n v="18771.348208637606"/>
    <n v="0"/>
    <n v="0"/>
    <n v="1024989.0286747016"/>
    <n v="7.0380830688675913E-2"/>
    <n v="0.25796654700063071"/>
    <m/>
    <n v="2.5607556530671198"/>
  </r>
  <r>
    <s v="GANDHI NAGAR TPS3"/>
    <x v="129"/>
    <s v="Gujarat"/>
    <s v="WR"/>
    <x v="1"/>
    <x v="6"/>
    <n v="30.176591375769998"/>
    <n v="210"/>
    <n v="2.5189247793674099"/>
    <n v="0.49978666257289878"/>
    <n v="0.6"/>
    <s v="0.25"/>
    <n v="10.236529054203027"/>
    <n v="784629.95200466202"/>
    <n v="15.109152281827514"/>
    <n v="3.024"/>
    <m/>
    <s v="Contracted"/>
    <n v="9.9616913774538227E-2"/>
    <n v="78162.414273768489"/>
    <n v="3278.0879510056379"/>
    <n v="3311.2155942149197"/>
    <n v="0.26234805559020247"/>
    <m/>
    <n v="702080.21531305194"/>
    <x v="1"/>
    <n v="4336.1948282896601"/>
    <n v="910600.91394082864"/>
    <m/>
    <n v="0"/>
    <n v="0"/>
    <n v="0"/>
    <n v="0"/>
    <n v="0"/>
    <n v="0"/>
    <n v="652059.1676127899"/>
    <n v="132570.78439187215"/>
    <n v="784629.95200466202"/>
    <n v="0.10218427974471911"/>
    <n v="0.25739451431078425"/>
    <m/>
    <n v="3.9891337719298301"/>
  </r>
  <r>
    <s v="GANDHI NAGAR TPS4"/>
    <x v="129"/>
    <s v="Gujarat"/>
    <s v="WR"/>
    <x v="1"/>
    <x v="5"/>
    <n v="28.843258042436599"/>
    <n v="210"/>
    <n v="2.4389155755071701"/>
    <n v="0.48391182053713694"/>
    <n v="0.65"/>
    <s v="0.25"/>
    <n v="9.9734242811735268"/>
    <n v="764462.97115195089"/>
    <n v="15.066918948494179"/>
    <n v="3.2759999999999998"/>
    <m/>
    <s v="Contracted"/>
    <n v="9.9616913774538227E-2"/>
    <n v="76153.44188107118"/>
    <n v="3251.3720083389712"/>
    <n v="3306.2759771298252"/>
    <n v="0.26450372267286276"/>
    <m/>
    <n v="678765.79082716606"/>
    <x v="1"/>
    <n v="4336.1948282896601"/>
    <n v="910600.91394082864"/>
    <m/>
    <n v="0"/>
    <n v="0"/>
    <n v="0"/>
    <n v="0"/>
    <n v="0"/>
    <n v="0"/>
    <n v="635299.59233213088"/>
    <n v="129163.37881981987"/>
    <n v="764462.97115195077"/>
    <n v="0.10218427974471911"/>
    <n v="0.24921883144137727"/>
    <m/>
    <n v="3.9891337719298301"/>
  </r>
  <r>
    <s v="GANDHI NAGAR TPS5"/>
    <x v="129"/>
    <s v="Gujarat"/>
    <s v="WR"/>
    <x v="1"/>
    <x v="4"/>
    <n v="22.176591375769998"/>
    <n v="210"/>
    <n v="3.7000039391210602"/>
    <n v="0.73412776569862304"/>
    <n v="0.7"/>
    <s v="0.25"/>
    <n v="13.243587124322165"/>
    <n v="1015120.9530792939"/>
    <n v="14.855752281827513"/>
    <n v="3.528"/>
    <m/>
    <s v="Contracted"/>
    <n v="9.9616913774538227E-2"/>
    <n v="101123.2164536271"/>
    <n v="3183.906535005638"/>
    <n v="3172.6248785453254"/>
    <n v="0.27010843143310964"/>
    <m/>
    <n v="988109.30543438776"/>
    <x v="1"/>
    <n v="4336.1948282896601"/>
    <n v="910600.91394082864"/>
    <m/>
    <n v="0"/>
    <n v="0"/>
    <n v="0"/>
    <n v="0"/>
    <n v="0"/>
    <n v="0"/>
    <n v="843606.49501085246"/>
    <n v="171514.45806844148"/>
    <n v="1015120.9530792939"/>
    <n v="0.10218427974471911"/>
    <n v="0.37808223757170906"/>
    <m/>
    <n v="3.7800986842105"/>
  </r>
  <r>
    <s v="GH TPS (LEH.MOH.)1"/>
    <x v="130"/>
    <s v="Punjab"/>
    <s v="NR"/>
    <x v="1"/>
    <x v="4"/>
    <n v="22.4229979466119"/>
    <n v="210"/>
    <n v="1.12630611861503"/>
    <n v="0.22347343623314089"/>
    <n v="0.7"/>
    <s v="0.25"/>
    <n v="6.1465051703014915"/>
    <n v="471129.62130360934"/>
    <n v="14.86355720995893"/>
    <n v="3.528"/>
    <m/>
    <s v="Contracted"/>
    <n v="0"/>
    <n v="0"/>
    <n v="3163.330022462012"/>
    <n v="3320.855980478299"/>
    <n v="0.27186540572540835"/>
    <m/>
    <n v="329821.85821316217"/>
    <x v="1"/>
    <n v="4139.2333940270883"/>
    <n v="869239.01274568855"/>
    <m/>
    <n v="57206.743542105098"/>
    <n v="413922.87776150415"/>
    <n v="0"/>
    <n v="0"/>
    <n v="0"/>
    <n v="0"/>
    <n v="0"/>
    <n v="0"/>
    <n v="471129.62130360922"/>
    <n v="0.11114699610484161"/>
    <n v="0.125185541778564"/>
    <m/>
    <n v="3.6100000000000301"/>
  </r>
  <r>
    <s v="GH TPS (LEH.MOH.)2"/>
    <x v="130"/>
    <s v="Punjab"/>
    <s v="NR"/>
    <x v="1"/>
    <x v="4"/>
    <n v="21.590691307323699"/>
    <n v="210"/>
    <n v="1.1365718408460901"/>
    <n v="0.22551028588216071"/>
    <n v="0.7"/>
    <s v="0.25"/>
    <n v="6.1484811577237446"/>
    <n v="471281.08073952509"/>
    <n v="14.837193897159477"/>
    <n v="3.528"/>
    <m/>
    <s v="Contracted"/>
    <n v="0"/>
    <n v="0"/>
    <n v="3156.9707527891851"/>
    <n v="3313.823386972776"/>
    <n v="0.27241304001318023"/>
    <m/>
    <n v="332123.18945362326"/>
    <x v="1"/>
    <n v="4139.2333940270883"/>
    <n v="869239.01274568855"/>
    <m/>
    <n v="57225.134449226338"/>
    <n v="414055.94629029866"/>
    <n v="0"/>
    <n v="0"/>
    <n v="0"/>
    <n v="0"/>
    <n v="0"/>
    <n v="0"/>
    <n v="471281.08073952497"/>
    <n v="0.11114699610484161"/>
    <n v="0.12632654596739304"/>
    <m/>
    <n v="3.6100000000000301"/>
  </r>
  <r>
    <s v="GH TPS (LEH.MOH.)3"/>
    <x v="130"/>
    <s v="Punjab"/>
    <s v="NR"/>
    <x v="1"/>
    <x v="2"/>
    <n v="12.3394934976043"/>
    <n v="250"/>
    <n v="1.7782096650599399"/>
    <n v="0.29636827750998995"/>
    <n v="0.8"/>
    <s v="0.15"/>
    <n v="6.6619116620163599"/>
    <n v="607899.43915899284"/>
    <n v="14.364755906536615"/>
    <n v="4.8"/>
    <m/>
    <s v="Contracted"/>
    <n v="0"/>
    <n v="0"/>
    <n v="3016.1998216297052"/>
    <n v="3182.6859644912947"/>
    <n v="0.28512699783110756"/>
    <m/>
    <n v="499056.48643601948"/>
    <x v="1"/>
    <n v="4139.2333940270883"/>
    <n v="1034808.3485067721"/>
    <m/>
    <n v="73813.969113496714"/>
    <n v="534085.47004549613"/>
    <n v="0"/>
    <n v="0"/>
    <n v="0"/>
    <n v="0"/>
    <n v="0"/>
    <n v="0"/>
    <n v="607899.43915899284"/>
    <n v="0.11114699610484161"/>
    <n v="0.19764266271600883"/>
    <m/>
    <n v="3.6100000000000301"/>
  </r>
  <r>
    <s v="GH TPS (LEH.MOH.)4"/>
    <x v="130"/>
    <s v="Punjab"/>
    <s v="NR"/>
    <x v="1"/>
    <x v="2"/>
    <n v="11.841204654346299"/>
    <n v="250"/>
    <n v="1.33538433621131"/>
    <n v="0.22256405603521834"/>
    <n v="0.8"/>
    <s v="0.15"/>
    <n v="5.6192680882612223"/>
    <n v="512758.21305383655"/>
    <n v="14.348972607426418"/>
    <n v="4.8"/>
    <m/>
    <s v="Contracted"/>
    <n v="0"/>
    <n v="0"/>
    <n v="3012.3926272861049"/>
    <n v="3203.2763202056753"/>
    <n v="0.28548735387617208"/>
    <m/>
    <n v="377201.69041135092"/>
    <x v="1"/>
    <n v="4139.2333940270883"/>
    <n v="1034808.3485067721"/>
    <m/>
    <n v="62261.48021029598"/>
    <n v="450496.73284354061"/>
    <n v="0"/>
    <n v="0"/>
    <n v="0"/>
    <n v="0"/>
    <n v="0"/>
    <n v="0"/>
    <n v="512758.2130538366"/>
    <n v="0.11114699610484161"/>
    <n v="0.14842395761534496"/>
    <m/>
    <n v="3.6100000000000301"/>
  </r>
  <r>
    <s v="HARDUAGANJ TPS7"/>
    <x v="112"/>
    <s v="Uttar Pradesh"/>
    <s v="NR"/>
    <x v="1"/>
    <x v="9"/>
    <n v="42.176591375770002"/>
    <n v="105"/>
    <n v="0.53117556109963404"/>
    <n v="0.2107839528173151"/>
    <n v="0.55000000000000004"/>
    <s v="0.25"/>
    <n v="7.142477152560665"/>
    <n v="273735.43687188748"/>
    <n v="16.036081781827516"/>
    <n v="1.3859999999999999"/>
    <m/>
    <s v="Contracted"/>
    <n v="0"/>
    <n v="0"/>
    <n v="3461.0467054404512"/>
    <n v="3573.1817612168879"/>
    <n v="0.24847974419072649"/>
    <m/>
    <n v="157722.13696145202"/>
    <x v="1"/>
    <n v="4392.3142633875859"/>
    <n v="461192.99765569653"/>
    <m/>
    <n v="55181.900886949741"/>
    <n v="218112.51218052497"/>
    <n v="0"/>
    <n v="0"/>
    <n v="441.02380441275437"/>
    <n v="0"/>
    <n v="0"/>
    <n v="0"/>
    <n v="273735.43687188748"/>
    <n v="8.6582291374875858E-2"/>
    <n v="4.5990397202341687E-2"/>
    <m/>
    <n v="3.47353070175435"/>
  </r>
  <r>
    <s v="IB VALLEY TPS1"/>
    <x v="11"/>
    <s v="Odisha"/>
    <s v="ER"/>
    <x v="1"/>
    <x v="5"/>
    <n v="25.924709103353798"/>
    <n v="210"/>
    <n v="3.8271237541627499"/>
    <n v="0.75934995122276783"/>
    <n v="0.65"/>
    <s v="0.25"/>
    <n v="13.713232587196467"/>
    <n v="1051119.2778086092"/>
    <n v="14.974473910848731"/>
    <n v="3.2759999999999998"/>
    <m/>
    <s v="Contracted"/>
    <n v="0"/>
    <n v="0"/>
    <n v="3206.6135361184115"/>
    <n v="3170.4655915227595"/>
    <n v="0.26819571186648994"/>
    <m/>
    <n v="1362715.0537327477"/>
    <x v="1"/>
    <n v="3249.9999999999991"/>
    <n v="682499.99999999977"/>
    <s v="Pithead plant"/>
    <n v="0"/>
    <n v="0"/>
    <n v="0"/>
    <n v="1051119.2778086092"/>
    <n v="0"/>
    <n v="0"/>
    <n v="0"/>
    <n v="0"/>
    <n v="1051119.2778086092"/>
    <n v="0.10945422612917571"/>
    <n v="0.41889486881246951"/>
    <m/>
    <n v="1.3351511758118599"/>
  </r>
  <r>
    <s v="IB VALLEY TPS2"/>
    <x v="11"/>
    <s v="Odisha"/>
    <s v="ER"/>
    <x v="1"/>
    <x v="4"/>
    <n v="24.591375770020498"/>
    <n v="210"/>
    <n v="3.8379222869240199"/>
    <n v="0.76149251724682931"/>
    <n v="0.7"/>
    <s v="0.25"/>
    <n v="13.70080941772571"/>
    <n v="1050167.0418686755"/>
    <n v="14.932240577515399"/>
    <n v="3.528"/>
    <m/>
    <s v="Contracted"/>
    <n v="0"/>
    <n v="0"/>
    <n v="3179.8975934517453"/>
    <n v="3159.5699382344401"/>
    <n v="0.2704489609259646"/>
    <m/>
    <n v="1361863.7284035278"/>
    <x v="1"/>
    <n v="3249.9999999999991"/>
    <n v="682499.99999999977"/>
    <s v="Pithead plant"/>
    <n v="0"/>
    <n v="0"/>
    <n v="0"/>
    <n v="1050167.0418686755"/>
    <n v="0"/>
    <n v="0"/>
    <n v="0"/>
    <n v="0"/>
    <n v="1050167.0418686755"/>
    <n v="0.10945422612917571"/>
    <n v="0.42007681385918488"/>
    <m/>
    <n v="1.3351511758118599"/>
  </r>
  <r>
    <s v="JOJOBERA TPS2"/>
    <x v="131"/>
    <s v="Jharkhand"/>
    <s v="ER"/>
    <x v="2"/>
    <x v="3"/>
    <n v="19.337440109513999"/>
    <n v="120"/>
    <n v="2.0828475469415499"/>
    <n v="0.72321095379914924"/>
    <n v="0.75"/>
    <s v="0.25"/>
    <n v="12.580728028962559"/>
    <n v="551035.88766856003"/>
    <n v="14.344782065468856"/>
    <n v="2.16"/>
    <m/>
    <s v="Not contracted"/>
    <n v="5.782718268310312E-2"/>
    <n v="31864.852941155714"/>
    <n v="3219.580412810154"/>
    <n v="3228.4360999596247"/>
    <n v="0.26711555225588052"/>
    <m/>
    <n v="491437.6809924838"/>
    <x v="1"/>
    <n v="4994.293828166733"/>
    <n v="599315.25938000798"/>
    <m/>
    <n v="364815.38530721614"/>
    <n v="75385.102259650259"/>
    <n v="110835.40010169359"/>
    <n v="0"/>
    <n v="0"/>
    <n v="0"/>
    <n v="0"/>
    <n v="0"/>
    <n v="551035.88766856003"/>
    <m/>
    <n v="0"/>
    <m/>
    <m/>
  </r>
  <r>
    <s v="JOJOBERA TPS3"/>
    <x v="131"/>
    <s v="Jharkhand"/>
    <s v="ER"/>
    <x v="2"/>
    <x v="3"/>
    <n v="18.338124572210798"/>
    <n v="120"/>
    <n v="2.07531232321627"/>
    <n v="0.72059455667231609"/>
    <n v="0.75"/>
    <s v="0.25"/>
    <n v="12.512671991173713"/>
    <n v="548055.03321340866"/>
    <n v="14.313128745824777"/>
    <n v="2.16"/>
    <m/>
    <s v="Not contracted"/>
    <n v="5.782718268310312E-2"/>
    <n v="31692.47852602593"/>
    <n v="3211.9451054727142"/>
    <n v="3221.6656981600786"/>
    <n v="0.26775052865463916"/>
    <m/>
    <n v="488632.90896965144"/>
    <x v="1"/>
    <n v="4994.293828166733"/>
    <n v="599315.25938000798"/>
    <m/>
    <n v="362841.8993856333"/>
    <n v="74977.303016531121"/>
    <n v="110235.83081124413"/>
    <n v="0"/>
    <n v="0"/>
    <n v="0"/>
    <n v="0"/>
    <n v="0"/>
    <n v="548055.03321340855"/>
    <m/>
    <n v="0"/>
    <m/>
    <m/>
  </r>
  <r>
    <s v="JSW RATNAGIRI TPP1"/>
    <x v="132"/>
    <s v="Maharashtra"/>
    <s v="WR"/>
    <x v="2"/>
    <x v="1"/>
    <n v="9.7577002053388"/>
    <n v="300"/>
    <n v="6.0338102095005697"/>
    <n v="0.83802919576396806"/>
    <n v="0.85"/>
    <s v="0.15"/>
    <n v="12.966278113426924"/>
    <n v="1419807.4534202481"/>
    <n v="13.132831504004107"/>
    <n v="6.12"/>
    <m/>
    <s v="Contracted"/>
    <n v="1"/>
    <n v="1419807.4534202481"/>
    <n v="3159.1134594537989"/>
    <n v="3163.070662575069"/>
    <n v="0.27222827259540444"/>
    <m/>
    <n v="1625328.8242847112"/>
    <x v="1"/>
    <m/>
    <n v="0"/>
    <m/>
    <m/>
    <m/>
    <m/>
    <m/>
    <m/>
    <m/>
    <m/>
    <m/>
    <n v="0"/>
    <n v="9.0376126869674167E-2"/>
    <n v="0.5453123970013587"/>
    <m/>
    <n v="2.0656483516483499"/>
  </r>
  <r>
    <s v="JSW RATNAGIRI TPP2"/>
    <x v="132"/>
    <s v="Maharashtra"/>
    <s v="WR"/>
    <x v="2"/>
    <x v="1"/>
    <n v="9.4236824093086895"/>
    <n v="300"/>
    <n v="4.7125467669316796"/>
    <n v="0.65452038429606663"/>
    <n v="0.85"/>
    <s v="0.15"/>
    <n v="10.402484953141318"/>
    <n v="1139072.1023689744"/>
    <n v="13.122251490314852"/>
    <n v="6.12"/>
    <m/>
    <s v="Not contracted"/>
    <n v="1"/>
    <n v="1139072.1023689744"/>
    <n v="3156.5613841245722"/>
    <n v="3221.1813152633604"/>
    <n v="0.27244836876141054"/>
    <m/>
    <n v="1292741.0572620055"/>
    <x v="1"/>
    <m/>
    <n v="0"/>
    <m/>
    <m/>
    <m/>
    <m/>
    <m/>
    <m/>
    <m/>
    <m/>
    <m/>
    <n v="0"/>
    <n v="9.0376126869674167E-2"/>
    <n v="0.42590172448749031"/>
    <m/>
    <m/>
  </r>
  <r>
    <s v="JSW RATNAGIRI TPP3"/>
    <x v="132"/>
    <s v="Maharashtra"/>
    <s v="WR"/>
    <x v="2"/>
    <x v="1"/>
    <n v="9.0102669404517393"/>
    <n v="300"/>
    <n v="5.3552731620672001"/>
    <n v="0.74378793917600006"/>
    <n v="0.85"/>
    <s v="0.15"/>
    <n v="11.63139628947625"/>
    <n v="1273637.8936976495"/>
    <n v="13.109156555338808"/>
    <n v="6.12"/>
    <m/>
    <s v="Not contracted"/>
    <n v="1"/>
    <n v="1273637.8936976495"/>
    <n v="3153.4026679383987"/>
    <n v="3188.5133163394612"/>
    <n v="0.27272127620867476"/>
    <m/>
    <n v="1454154.5318032217"/>
    <x v="1"/>
    <m/>
    <n v="0"/>
    <m/>
    <m/>
    <m/>
    <m/>
    <m/>
    <m/>
    <m/>
    <m/>
    <m/>
    <n v="0"/>
    <n v="9.0376126869674167E-2"/>
    <n v="0.48398884671674641"/>
    <m/>
    <m/>
  </r>
  <r>
    <s v="JSW RATNAGIRI TPP4"/>
    <x v="132"/>
    <s v="Maharashtra"/>
    <s v="WR"/>
    <x v="2"/>
    <x v="1"/>
    <n v="8.5913757700205302"/>
    <n v="300"/>
    <n v="5.3840248341190398"/>
    <n v="0.74778122696097782"/>
    <n v="0.85"/>
    <s v="0.15"/>
    <n v="11.673687722591573"/>
    <n v="1278268.8056237772"/>
    <n v="13.0958881775154"/>
    <n v="6.12"/>
    <m/>
    <s v="Not contracted"/>
    <n v="1"/>
    <n v="1278268.8056237772"/>
    <n v="3150.2021144517457"/>
    <n v="3183.9926969177823"/>
    <n v="0.27299835653550519"/>
    <m/>
    <n v="1459888.9289380619"/>
    <x v="1"/>
    <m/>
    <n v="0"/>
    <m/>
    <m/>
    <m/>
    <m/>
    <m/>
    <m/>
    <m/>
    <m/>
    <m/>
    <n v="0"/>
    <n v="9.0376126869674167E-2"/>
    <n v="0.48658731147781875"/>
    <m/>
    <n v="2.0699999999999998"/>
  </r>
  <r>
    <s v="KAHALGAON TPS1"/>
    <x v="77"/>
    <s v="Bihar"/>
    <s v="ER"/>
    <x v="0"/>
    <x v="5"/>
    <n v="28.175222450376399"/>
    <n v="210"/>
    <n v="3.9479110828610202"/>
    <n v="0.78331569104385323"/>
    <n v="0.65"/>
    <s v="0.25"/>
    <n v="14.117960125316115"/>
    <n v="1082141.6436054802"/>
    <n v="15.045758921115672"/>
    <n v="3.2759999999999998"/>
    <m/>
    <s v="Contracted"/>
    <n v="0"/>
    <n v="0"/>
    <n v="3223.8086666153317"/>
    <n v="3179.7383386481356"/>
    <n v="0.26676521125644587"/>
    <m/>
    <n v="1216869.0484463496"/>
    <x v="1"/>
    <n v="3765.3709320470821"/>
    <n v="790727.89572988718"/>
    <s v="Pithead plant"/>
    <n v="0"/>
    <n v="0"/>
    <n v="1082141.6436054802"/>
    <n v="0"/>
    <n v="0"/>
    <n v="0"/>
    <n v="0"/>
    <n v="0"/>
    <n v="1082141.6436054802"/>
    <n v="7.2417181230320551E-2"/>
    <n v="0.28589659236873755"/>
    <m/>
    <n v="2.3605548789303299"/>
  </r>
  <r>
    <s v="KAHALGAON TPS2"/>
    <x v="77"/>
    <s v="Bihar"/>
    <s v="ER"/>
    <x v="0"/>
    <x v="5"/>
    <n v="26.176591375769998"/>
    <n v="210"/>
    <n v="4.0606934894378197"/>
    <n v="0.80569315266623409"/>
    <n v="0.65"/>
    <s v="0.25"/>
    <n v="14.365997822818629"/>
    <n v="1101153.7331190479"/>
    <n v="14.982452281827515"/>
    <n v="3.2759999999999998"/>
    <m/>
    <s v="Contracted"/>
    <n v="0"/>
    <n v="0"/>
    <n v="3208.5380519404516"/>
    <n v="3157.0703796317912"/>
    <n v="0.2680348451781307"/>
    <m/>
    <n v="1242709.3662705414"/>
    <x v="1"/>
    <n v="3765.3709320470821"/>
    <n v="790727.89572988718"/>
    <s v="Pithead plant"/>
    <n v="0"/>
    <n v="0"/>
    <n v="1101153.7331190479"/>
    <n v="0"/>
    <n v="0"/>
    <n v="0"/>
    <n v="0"/>
    <n v="0"/>
    <n v="1101153.7331190479"/>
    <n v="7.2417181230320551E-2"/>
    <n v="0.29406397634540132"/>
    <m/>
    <n v="2.3605548789303299"/>
  </r>
  <r>
    <s v="KAHALGAON TPS3"/>
    <x v="77"/>
    <s v="Bihar"/>
    <s v="ER"/>
    <x v="0"/>
    <x v="5"/>
    <n v="25.177275838466802"/>
    <n v="210"/>
    <n v="4.1672242370341497"/>
    <n v="0.82683020576074406"/>
    <n v="0.65"/>
    <s v="0.25"/>
    <n v="14.628430663994395"/>
    <n v="1121269.2103951704"/>
    <n v="14.950798962183436"/>
    <n v="3.2759999999999998"/>
    <m/>
    <s v="Contracted"/>
    <n v="0"/>
    <n v="0"/>
    <n v="3200.9027446030118"/>
    <n v="3142.4477712884354"/>
    <n v="0.26867420494110028"/>
    <m/>
    <n v="1269404.5114402105"/>
    <x v="1"/>
    <n v="3765.3709320470821"/>
    <n v="790727.89572988718"/>
    <s v="Pithead plant"/>
    <n v="0"/>
    <n v="0"/>
    <n v="1121269.2103951704"/>
    <n v="0"/>
    <n v="0"/>
    <n v="0"/>
    <n v="0"/>
    <n v="0"/>
    <n v="1121269.2103951704"/>
    <n v="7.2417181230320551E-2"/>
    <n v="0.30177863280068629"/>
    <m/>
    <n v="2.3605548789303299"/>
  </r>
  <r>
    <s v="KAHALGAON TPS4"/>
    <x v="77"/>
    <s v="Bihar"/>
    <s v="ER"/>
    <x v="0"/>
    <x v="4"/>
    <n v="24.175222450376399"/>
    <n v="210"/>
    <n v="4.1775445715698201"/>
    <n v="0.82887789118448807"/>
    <n v="0.7"/>
    <s v="0.25"/>
    <n v="14.625180684532809"/>
    <n v="1121020.0994694398"/>
    <n v="14.919058921115672"/>
    <n v="3.528"/>
    <m/>
    <s v="Contracted"/>
    <n v="0"/>
    <n v="0"/>
    <n v="3176.7179586153316"/>
    <n v="3134.1146394730058"/>
    <n v="0.27071965821443494"/>
    <m/>
    <n v="1269173.7148368547"/>
    <x v="1"/>
    <n v="3765.3709320470821"/>
    <n v="790727.89572988718"/>
    <s v="Pithead plant"/>
    <n v="0"/>
    <n v="0"/>
    <n v="1121020.0994694398"/>
    <n v="0"/>
    <n v="0"/>
    <n v="0"/>
    <n v="0"/>
    <n v="0"/>
    <n v="1121020.0994694398"/>
    <n v="7.2417181230320551E-2"/>
    <n v="0.30252600233711346"/>
    <m/>
    <n v="2.3605548789303299"/>
  </r>
  <r>
    <s v="KASAIPALLI TPP1"/>
    <x v="133"/>
    <s v="Chhatisgarh"/>
    <s v="WR"/>
    <x v="2"/>
    <x v="1"/>
    <n v="8.4243668720054696"/>
    <n v="135"/>
    <n v="2.5680320031075001"/>
    <n v="0.79260247009490747"/>
    <n v="0.85"/>
    <s v="0.15"/>
    <n v="13.151312617842249"/>
    <n v="648030.92924417683"/>
    <n v="13.949901670670773"/>
    <n v="2.754"/>
    <m/>
    <s v="Contracted"/>
    <n v="0.28000000000000003"/>
    <n v="181448.66018836954"/>
    <n v="3139.3455242871314"/>
    <n v="3158.3194946248941"/>
    <n v="0.27394244862399625"/>
    <m/>
    <n v="690712.30085296021"/>
    <x v="1"/>
    <m/>
    <n v="0"/>
    <m/>
    <m/>
    <m/>
    <m/>
    <m/>
    <m/>
    <m/>
    <m/>
    <m/>
    <n v="0"/>
    <n v="0.11279107493880862"/>
    <n v="0.28965109010775686"/>
    <m/>
    <n v="0.75762852404644498"/>
  </r>
  <r>
    <s v="KASAIPALLI TPP2"/>
    <x v="133"/>
    <s v="Chhatisgarh"/>
    <s v="WR"/>
    <x v="2"/>
    <x v="1"/>
    <n v="7.9233401779603003"/>
    <n v="135"/>
    <n v="2.3403098944153098"/>
    <n v="0.72231786864670056"/>
    <n v="0.85"/>
    <s v="0.15"/>
    <n v="12.157551851979029"/>
    <n v="599063.36750626669"/>
    <n v="13.934031650136891"/>
    <n v="2.754"/>
    <m/>
    <s v="Contracted"/>
    <n v="0.28000000000000003"/>
    <n v="167737.74290175468"/>
    <n v="3135.5174112932918"/>
    <n v="3177.7254466733098"/>
    <n v="0.27427690144615713"/>
    <m/>
    <n v="633330.55090375"/>
    <x v="1"/>
    <m/>
    <n v="0"/>
    <m/>
    <m/>
    <m/>
    <m/>
    <m/>
    <m/>
    <m/>
    <m/>
    <m/>
    <n v="0"/>
    <n v="0.11279107493880862"/>
    <n v="0.26396606868103251"/>
    <m/>
    <n v="0.75762852404644498"/>
  </r>
  <r>
    <s v="KHAMBARKHERA TPS1"/>
    <x v="134"/>
    <s v="Uttar Pradesh"/>
    <s v="NR"/>
    <x v="2"/>
    <x v="1"/>
    <n v="8.5913757700205302"/>
    <n v="45"/>
    <n v="0.14380664618535499"/>
    <n v="0.13315430202347683"/>
    <n v="0.85"/>
    <s v="0.15"/>
    <n v="4.4502134278586407"/>
    <n v="73094.755552578164"/>
    <n v="14.4239026775154"/>
    <n v="0.91800000000000004"/>
    <m/>
    <s v="Contracted"/>
    <n v="0"/>
    <n v="0"/>
    <n v="3160.8108009517455"/>
    <n v="3397.779343546682"/>
    <n v="0.27208208721035981"/>
    <m/>
    <n v="41611.639508577646"/>
    <x v="1"/>
    <m/>
    <n v="0"/>
    <m/>
    <m/>
    <m/>
    <m/>
    <m/>
    <m/>
    <m/>
    <m/>
    <m/>
    <n v="0"/>
    <n v="0.10098421534569983"/>
    <n v="1.4522201326524752E-2"/>
    <m/>
    <n v="3.7326535087719201"/>
  </r>
  <r>
    <s v="KHAMBARKHERA TPS2"/>
    <x v="134"/>
    <s v="Uttar Pradesh"/>
    <s v="NR"/>
    <x v="2"/>
    <x v="1"/>
    <n v="8.5065023956194299"/>
    <n v="45"/>
    <n v="0.149484183307731"/>
    <n v="0.13841128084049167"/>
    <n v="0.85"/>
    <s v="0.15"/>
    <n v="4.5206669870992586"/>
    <n v="74251.955263105323"/>
    <n v="14.421214313381245"/>
    <n v="0.91800000000000004"/>
    <m/>
    <s v="Contracted"/>
    <n v="0"/>
    <n v="0"/>
    <n v="3160.1623227943192"/>
    <n v="3395.3930595933407"/>
    <n v="0.272137919560904"/>
    <m/>
    <n v="43224.103793874878"/>
    <x v="1"/>
    <m/>
    <n v="0"/>
    <m/>
    <m/>
    <m/>
    <m/>
    <m/>
    <m/>
    <m/>
    <m/>
    <m/>
    <n v="0"/>
    <n v="0.10098421534569983"/>
    <n v="1.5095542957923976E-2"/>
    <m/>
    <n v="3.7326535087719201"/>
  </r>
  <r>
    <s v="KHAPARKHEDA TPS1"/>
    <x v="70"/>
    <s v="Maharashtra"/>
    <s v="WR"/>
    <x v="1"/>
    <x v="6"/>
    <n v="31.175906913073199"/>
    <n v="210"/>
    <n v="1.9541558798050001"/>
    <n v="0.38772934123115083"/>
    <n v="0.6"/>
    <s v="0.25"/>
    <n v="8.709095244822965"/>
    <n v="667552.1505156802"/>
    <n v="15.140805601471593"/>
    <n v="3.024"/>
    <m/>
    <s v="Contracted"/>
    <n v="2.4285213526101211E-2"/>
    <n v="16211.646515081349"/>
    <n v="3268.739304664547"/>
    <n v="3338.9098710585563"/>
    <n v="0.26309837519705692"/>
    <m/>
    <n v="617339.14589370787"/>
    <x v="1"/>
    <n v="3857.7399408815058"/>
    <n v="810125.3875851162"/>
    <m/>
    <n v="0"/>
    <n v="0"/>
    <n v="0"/>
    <n v="203216.44014079889"/>
    <n v="0"/>
    <n v="0"/>
    <n v="33425.713704159156"/>
    <n v="430909.99667072226"/>
    <n v="667552.15051568032"/>
    <n v="8.9781177379789912E-2"/>
    <n v="0.17544641567253214"/>
    <m/>
    <n v="2.7295164835164401"/>
  </r>
  <r>
    <s v="KHAPARKHEDA TPS2"/>
    <x v="70"/>
    <s v="Maharashtra"/>
    <s v="WR"/>
    <x v="1"/>
    <x v="6"/>
    <n v="30.338124572210798"/>
    <n v="210"/>
    <n v="2.7425626160830601"/>
    <n v="0.54415924922282943"/>
    <n v="0.6"/>
    <s v="0.25"/>
    <n v="10.859014728036769"/>
    <n v="832343.47890401841"/>
    <n v="15.114268845824776"/>
    <n v="3.024"/>
    <m/>
    <s v="Contracted"/>
    <n v="2.4285213526101211E-2"/>
    <n v="20213.639112242003"/>
    <n v="3262.338197691241"/>
    <n v="3280.7975416845516"/>
    <n v="0.26361460642205109"/>
    <m/>
    <n v="851326.00479217619"/>
    <x v="1"/>
    <n v="3857.7399408815058"/>
    <n v="810125.3875851162"/>
    <m/>
    <n v="0"/>
    <n v="0"/>
    <n v="0"/>
    <n v="253382.26927531959"/>
    <n v="0"/>
    <n v="0"/>
    <n v="41677.155571856762"/>
    <n v="537284.05405684211"/>
    <n v="832343.47890401841"/>
    <n v="8.9781177379789912E-2"/>
    <n v="0.24623050070973387"/>
    <m/>
    <n v="2.7295164835164401"/>
  </r>
  <r>
    <s v="KHAPARKHEDA TPS3"/>
    <x v="70"/>
    <s v="Maharashtra"/>
    <s v="WR"/>
    <x v="1"/>
    <x v="3"/>
    <n v="20.008213552361301"/>
    <n v="210"/>
    <n v="2.7438840081742901"/>
    <n v="0.54442143019331157"/>
    <n v="0.75"/>
    <s v="0.25"/>
    <n v="10.535462598979645"/>
    <n v="807543.20821178972"/>
    <n v="14.787068914271043"/>
    <n v="3.78"/>
    <m/>
    <s v="Contracted"/>
    <n v="2.4285213526101211E-2"/>
    <n v="19611.359242976127"/>
    <n v="3133.8264503373734"/>
    <n v="3201.7848048526539"/>
    <n v="0.27442489672885884"/>
    <m/>
    <n v="831223.48428695637"/>
    <x v="1"/>
    <n v="3857.7399408815058"/>
    <n v="810125.3875851162"/>
    <m/>
    <n v="0"/>
    <n v="0"/>
    <n v="0"/>
    <n v="245832.56290300147"/>
    <n v="0"/>
    <n v="0"/>
    <n v="40435.354841676046"/>
    <n v="521275.29046711238"/>
    <n v="807543.20821178984"/>
    <n v="8.9781177379789912E-2"/>
    <n v="0.24634913684746484"/>
    <m/>
    <n v="2.7295164835164401"/>
  </r>
  <r>
    <s v="KHAPARKHEDA TPS4"/>
    <x v="70"/>
    <s v="Maharashtra"/>
    <s v="WR"/>
    <x v="1"/>
    <x v="3"/>
    <n v="19.337440109513999"/>
    <n v="210"/>
    <n v="3.18141106349605"/>
    <n v="0.63123235386826382"/>
    <n v="0.75"/>
    <s v="0.25"/>
    <n v="11.722042274544172"/>
    <n v="898494.5403438108"/>
    <n v="14.765822165468855"/>
    <n v="3.78"/>
    <m/>
    <s v="Contracted"/>
    <n v="2.4285213526101211E-2"/>
    <n v="21820.131764285605"/>
    <n v="3128.7013810286812"/>
    <n v="3167.9625443316245"/>
    <n v="0.2748744272031618"/>
    <m/>
    <n v="953585.72719543625"/>
    <x v="1"/>
    <n v="3857.7399408815058"/>
    <n v="810125.3875851162"/>
    <m/>
    <n v="0"/>
    <n v="0"/>
    <n v="0"/>
    <n v="273519.99665279151"/>
    <n v="0"/>
    <n v="0"/>
    <n v="44989.475724229349"/>
    <n v="579985.06796679005"/>
    <n v="898494.54034381092"/>
    <n v="8.9781177379789912E-2"/>
    <n v="0.28563083100976494"/>
    <m/>
    <n v="2.7295164835164401"/>
  </r>
  <r>
    <s v="KOLAGHAT TPS1"/>
    <x v="135"/>
    <s v="West Bengal"/>
    <s v="ER"/>
    <x v="1"/>
    <x v="5"/>
    <n v="27.337440109513999"/>
    <n v="210"/>
    <n v="0.84223699048325296"/>
    <n v="0.16711051398477242"/>
    <n v="0.65"/>
    <s v="0.25"/>
    <n v="5.5179758796931901"/>
    <n v="422952.85117848305"/>
    <n v="15.019222165468856"/>
    <n v="3.2759999999999998"/>
    <m/>
    <s v="Contracted"/>
    <n v="1.3520920441206432E-3"/>
    <n v="571.87118511656934"/>
    <n v="3217.7123963650884"/>
    <n v="3377.3417532245253"/>
    <n v="0.26727062399097729"/>
    <m/>
    <n v="244891.71094418617"/>
    <x v="1"/>
    <n v="4239.6313955759369"/>
    <n v="890322.59307094675"/>
    <m/>
    <n v="117686.8678955018"/>
    <n v="46899.949809051963"/>
    <n v="88555.184378008315"/>
    <n v="169810.84909592094"/>
    <n v="0"/>
    <n v="0"/>
    <n v="0"/>
    <n v="0"/>
    <n v="422952.85117848299"/>
    <n v="0.11038497174813085"/>
    <n v="9.2970306399724631E-2"/>
    <m/>
    <n v="3.5887610619468902"/>
  </r>
  <r>
    <s v="KOLAGHAT TPS2"/>
    <x v="135"/>
    <s v="West Bengal"/>
    <s v="ER"/>
    <x v="1"/>
    <x v="5"/>
    <n v="29.7577002053388"/>
    <n v="210"/>
    <n v="2.3105322416612402"/>
    <n v="0.45843893683754766"/>
    <n v="0.65"/>
    <s v="0.25"/>
    <n v="9.6479773639059569"/>
    <n v="739517.46494339162"/>
    <n v="15.095883904004106"/>
    <n v="3.2759999999999998"/>
    <m/>
    <s v="Contracted"/>
    <n v="1.3520920441206432E-3"/>
    <n v="999.89568083822644"/>
    <n v="3236.2044831768617"/>
    <n v="3299.5290536997491"/>
    <n v="0.26574340542157893"/>
    <m/>
    <n v="656339.82192926086"/>
    <x v="1"/>
    <n v="4239.6313955759369"/>
    <n v="890322.59307094675"/>
    <m/>
    <n v="205771.14910258082"/>
    <n v="82002.832921266425"/>
    <n v="154835.47463115182"/>
    <n v="296908.00828839245"/>
    <n v="0"/>
    <n v="0"/>
    <n v="0"/>
    <n v="0"/>
    <n v="739517.4649433915"/>
    <n v="0.11038497174813085"/>
    <n v="0.25504803621892141"/>
    <m/>
    <n v="3.5887610619468902"/>
  </r>
  <r>
    <s v="KOLAGHAT TPS3"/>
    <x v="135"/>
    <s v="West Bengal"/>
    <s v="ER"/>
    <x v="1"/>
    <x v="6"/>
    <n v="34.4229979466119"/>
    <n v="210"/>
    <n v="4.59569892473118E-2"/>
    <n v="9.1184502474824999E-3"/>
    <n v="0.6"/>
    <s v="0.25"/>
    <n v="3.5442199437872302"/>
    <n v="271664.45869129122"/>
    <n v="15.243657209958931"/>
    <n v="3.024"/>
    <m/>
    <s v="Contracted"/>
    <n v="1.3520920441206432E-3"/>
    <n v="367.31535326683593"/>
    <n v="3288.3784231850746"/>
    <n v="3483.7068461446243"/>
    <n v="0.2615270778863148"/>
    <m/>
    <n v="13783.450032043806"/>
    <x v="1"/>
    <n v="4239.6313955759369"/>
    <n v="890322.59307094675"/>
    <m/>
    <n v="75590.787892367982"/>
    <n v="30124.04205817304"/>
    <n v="56879.380671693609"/>
    <n v="109070.24806905654"/>
    <n v="0"/>
    <n v="0"/>
    <n v="0"/>
    <n v="0"/>
    <n v="271664.45869129116"/>
    <n v="0.11038497174813085"/>
    <n v="5.0729609596936662E-3"/>
    <m/>
    <n v="3.5887610619468902"/>
  </r>
  <r>
    <s v="KOLAGHAT TPS4"/>
    <x v="135"/>
    <s v="West Bengal"/>
    <s v="ER"/>
    <x v="1"/>
    <x v="8"/>
    <n v="36.339493497604302"/>
    <n v="210"/>
    <n v="2.4331689427406098"/>
    <n v="0.48277161562313692"/>
    <n v="0.55000000000000004"/>
    <s v="0.25"/>
    <n v="10.195003526186007"/>
    <n v="781447.02028215735"/>
    <n v="15.304362206536615"/>
    <n v="2.7719999999999998"/>
    <m/>
    <s v="Contracted"/>
    <n v="1.3520920441206432E-3"/>
    <n v="1056.5882990252878"/>
    <n v="3319.5500383527678"/>
    <n v="3341.7738060502888"/>
    <n v="0.25907125666548186"/>
    <m/>
    <n v="700025.85370183806"/>
    <x v="1"/>
    <n v="4239.6313955759369"/>
    <n v="890322.59307094675"/>
    <m/>
    <n v="217438.07137611837"/>
    <n v="86652.273244046373"/>
    <n v="163614.41888833433"/>
    <n v="313742.25677365827"/>
    <n v="0"/>
    <n v="0"/>
    <n v="0"/>
    <n v="0"/>
    <n v="781447.02028215723"/>
    <n v="0.11038497174813085"/>
    <n v="0.26858528500285161"/>
    <m/>
    <n v="3.5887610619468902"/>
  </r>
  <r>
    <s v="KOLAGHAT TPS5"/>
    <x v="135"/>
    <s v="West Bengal"/>
    <s v="ER"/>
    <x v="1"/>
    <x v="5"/>
    <n v="26.4229979466119"/>
    <n v="210"/>
    <n v="2.8428184466782498"/>
    <n v="0.56405127910282737"/>
    <n v="0.65"/>
    <s v="0.25"/>
    <n v="11.011766871500299"/>
    <n v="844051.93070049782"/>
    <n v="14.990257209958932"/>
    <n v="3.2759999999999998"/>
    <m/>
    <s v="Contracted"/>
    <n v="1.3520920441206432E-3"/>
    <n v="1141.2359003248116"/>
    <n v="3210.7255671850749"/>
    <n v="3239.1377389905183"/>
    <n v="0.26785222903805633"/>
    <m/>
    <n v="792762.87833657302"/>
    <x v="1"/>
    <n v="4239.6313955759369"/>
    <n v="890322.59307094675"/>
    <m/>
    <n v="234857.92278859607"/>
    <n v="93594.34054123862"/>
    <n v="176722.23780861704"/>
    <n v="338877.42956204613"/>
    <n v="0"/>
    <n v="0"/>
    <n v="0"/>
    <n v="0"/>
    <n v="844051.93070049793"/>
    <n v="0.11038497174813085"/>
    <n v="0.31380443392164381"/>
    <m/>
    <n v="3.5887610619468902"/>
  </r>
  <r>
    <s v="KOLAGHAT TPS6"/>
    <x v="135"/>
    <s v="West Bengal"/>
    <s v="ER"/>
    <x v="1"/>
    <x v="5"/>
    <n v="29.177275838466802"/>
    <n v="210"/>
    <n v="2.5846070711725502"/>
    <n v="0.51281886332788695"/>
    <n v="0.65"/>
    <s v="0.25"/>
    <n v="10.386196653323324"/>
    <n v="796101.97347723274"/>
    <n v="15.077498962183435"/>
    <n v="3.2759999999999998"/>
    <m/>
    <s v="Contracted"/>
    <n v="1.3520920441206432E-3"/>
    <n v="1076.4031446473098"/>
    <n v="3231.7697293260744"/>
    <n v="3277.1178622931388"/>
    <n v="0.2661080683428943"/>
    <m/>
    <n v="729207.8818944837"/>
    <x v="1"/>
    <n v="4239.6313955759369"/>
    <n v="890322.59307094675"/>
    <m/>
    <n v="221515.82031640343"/>
    <n v="88277.316242073124"/>
    <n v="166682.78000382264"/>
    <n v="319626.05691493355"/>
    <n v="0"/>
    <n v="0"/>
    <n v="0"/>
    <n v="0"/>
    <n v="796101.97347723274"/>
    <n v="0.11038497174813085"/>
    <n v="0.28530177853140115"/>
    <m/>
    <n v="3.5887610619468902"/>
  </r>
  <r>
    <s v="KORADI TPS6"/>
    <x v="24"/>
    <s v="Maharashtra"/>
    <s v="WR"/>
    <x v="1"/>
    <x v="8"/>
    <n v="38.176591375770002"/>
    <n v="210"/>
    <n v="0.78318701996927798"/>
    <n v="0.15539424999390436"/>
    <n v="0.55000000000000004"/>
    <s v="0.25"/>
    <n v="5.6982941002677041"/>
    <n v="436774.24278551951"/>
    <n v="15.362552281827513"/>
    <n v="2.7719999999999998"/>
    <m/>
    <s v="Contracted"/>
    <n v="7.1458891059498833E-2"/>
    <n v="31211.403032805538"/>
    <n v="3349.3924230996054"/>
    <n v="3479.8377194060204"/>
    <n v="0.25676298604752201"/>
    <m/>
    <n v="244134.26202992437"/>
    <x v="1"/>
    <n v="4074.6339921065437"/>
    <n v="855673.13834237412"/>
    <m/>
    <n v="0"/>
    <n v="0"/>
    <n v="0"/>
    <n v="69207.561989631795"/>
    <n v="0"/>
    <n v="0"/>
    <n v="100199.2533727789"/>
    <n v="267367.42742310883"/>
    <n v="436774.24278551951"/>
    <n v="8.2497496941869752E-2"/>
    <n v="6.4610968784827597E-2"/>
    <m/>
    <n v="2.2865934065933602"/>
  </r>
  <r>
    <s v="KORADI TPS7"/>
    <x v="24"/>
    <s v="Maharashtra"/>
    <s v="WR"/>
    <x v="1"/>
    <x v="8"/>
    <n v="37.338809034907598"/>
    <n v="210"/>
    <n v="0.470641502904461"/>
    <n v="9.3381250576281938E-2"/>
    <n v="0.55000000000000004"/>
    <s v="0.25"/>
    <n v="4.8089518798236819"/>
    <n v="368606.16158848524"/>
    <n v="15.336015526180697"/>
    <n v="2.7719999999999998"/>
    <m/>
    <s v="Contracted"/>
    <n v="7.1458891059498833E-2"/>
    <n v="26340.187544811593"/>
    <n v="3342.9913161262998"/>
    <n v="3493.9363240657976"/>
    <n v="0.25725463175792135"/>
    <m/>
    <n v="147302.27984051366"/>
    <x v="1"/>
    <n v="4074.6339921065437"/>
    <n v="855673.13834237412"/>
    <m/>
    <n v="0"/>
    <n v="0"/>
    <n v="0"/>
    <n v="58406.222892640493"/>
    <n v="0"/>
    <n v="0"/>
    <n v="84560.989549717546"/>
    <n v="225638.94914612718"/>
    <n v="368606.16158848524"/>
    <n v="8.2497496941869752E-2"/>
    <n v="3.8826745946577756E-2"/>
    <m/>
    <n v="2.2865934065933602"/>
  </r>
  <r>
    <s v="KORBA STPS1"/>
    <x v="72"/>
    <s v="Chhatisgarh"/>
    <s v="WR"/>
    <x v="0"/>
    <x v="8"/>
    <n v="37.2539356605065"/>
    <n v="200"/>
    <n v="4.2133861963027597"/>
    <n v="0.87778879089640816"/>
    <n v="0.55000000000000004"/>
    <s v="0.25"/>
    <n v="15.772039946425538"/>
    <n v="1151358.9160890644"/>
    <n v="15.385406162046543"/>
    <n v="2.64"/>
    <m/>
    <s v="Contracted"/>
    <n v="0"/>
    <n v="0"/>
    <n v="3335.4894538097196"/>
    <n v="3227.1319198565448"/>
    <n v="0.25783322415177412"/>
    <m/>
    <n v="1194168.7899561778"/>
    <x v="1"/>
    <n v="4155.9961352898499"/>
    <n v="831199.22705797001"/>
    <s v="Pithead plant"/>
    <n v="0"/>
    <n v="0"/>
    <n v="0"/>
    <n v="0"/>
    <n v="0"/>
    <n v="0"/>
    <n v="1151358.9160890644"/>
    <n v="0"/>
    <n v="1151358.9160890644"/>
    <n v="6.2610933454142856E-2"/>
    <n v="0.26380404275331615"/>
    <m/>
    <n v="1.31693546675523"/>
  </r>
  <r>
    <s v="KORBA STPS2"/>
    <x v="72"/>
    <s v="Chhatisgarh"/>
    <s v="WR"/>
    <x v="0"/>
    <x v="8"/>
    <n v="36.591375770020498"/>
    <n v="200"/>
    <n v="4.1117773672687399"/>
    <n v="0.85662028484765418"/>
    <n v="0.55000000000000004"/>
    <s v="0.25"/>
    <n v="15.456529586686266"/>
    <n v="1128326.6598280973"/>
    <n v="15.364419577515399"/>
    <n v="2.64"/>
    <m/>
    <s v="Contracted"/>
    <n v="0"/>
    <n v="0"/>
    <n v="3330.4271404517453"/>
    <n v="3229.0673049453144"/>
    <n v="0.2582251356152917"/>
    <m/>
    <n v="1166069.4528633154"/>
    <x v="1"/>
    <n v="4155.9961352898499"/>
    <n v="831199.22705797001"/>
    <s v="Pithead plant"/>
    <n v="0"/>
    <n v="0"/>
    <n v="0"/>
    <n v="0"/>
    <n v="0"/>
    <n v="0"/>
    <n v="1128326.6598280973"/>
    <n v="0"/>
    <n v="1128326.6598280973"/>
    <n v="6.2610933454142856E-2"/>
    <n v="0.25744221912031379"/>
    <m/>
    <n v="1.31693546675523"/>
  </r>
  <r>
    <s v="KORBA STPS3"/>
    <x v="72"/>
    <s v="Chhatisgarh"/>
    <s v="WR"/>
    <x v="0"/>
    <x v="8"/>
    <n v="36.175222450376403"/>
    <n v="200"/>
    <n v="4.4069708500142601"/>
    <n v="0.91811892708630427"/>
    <n v="0.55000000000000004"/>
    <s v="0.25"/>
    <n v="16.29899698934555"/>
    <n v="1189826.7802222252"/>
    <n v="15.351237921115672"/>
    <n v="2.64"/>
    <m/>
    <s v="Contracted"/>
    <n v="0"/>
    <n v="0"/>
    <n v="3327.2475056153316"/>
    <n v="3205.5579901456995"/>
    <n v="0.25847190464448305"/>
    <m/>
    <n v="1240685.0388373283"/>
    <x v="1"/>
    <n v="4155.9961352898499"/>
    <n v="831199.22705797001"/>
    <s v="Pithead plant"/>
    <n v="0"/>
    <n v="0"/>
    <n v="0"/>
    <n v="0"/>
    <n v="0"/>
    <n v="0"/>
    <n v="1189826.7802222252"/>
    <n v="0"/>
    <n v="1189826.7802222252"/>
    <n v="6.2610933454142856E-2"/>
    <n v="0.2759245586245902"/>
    <m/>
    <n v="1.31693546675523"/>
  </r>
  <r>
    <s v="KORBA-II2"/>
    <x v="136"/>
    <s v="Chhatisgarh"/>
    <s v="WR"/>
    <x v="1"/>
    <x v="7"/>
    <n v="53.0102669404517"/>
    <n v="50"/>
    <n v="1.66173371647509E-2"/>
    <n v="1.384778097062575E-2"/>
    <n v="0.55000000000000004"/>
    <s v="0.25"/>
    <n v="5.0320362863174148"/>
    <n v="91834.662225292821"/>
    <n v="16.665672955338806"/>
    <n v="0.66"/>
    <m/>
    <s v="Contracted"/>
    <n v="0"/>
    <n v="0"/>
    <n v="3594.7376309383981"/>
    <n v="3771.9741133656012"/>
    <n v="0.23923860050267395"/>
    <m/>
    <n v="6449.439028829649"/>
    <x v="1"/>
    <n v="3547.3256431276363"/>
    <n v="177366.28215638181"/>
    <s v="Pithead plant"/>
    <n v="0"/>
    <n v="0"/>
    <n v="0"/>
    <n v="0"/>
    <n v="0"/>
    <n v="0"/>
    <n v="91834.662225292821"/>
    <n v="0"/>
    <n v="91834.662225292821"/>
    <m/>
    <n v="0"/>
    <m/>
    <n v="2.0382894736842001"/>
  </r>
  <r>
    <s v="KORBA-II3"/>
    <x v="136"/>
    <s v="Chhatisgarh"/>
    <s v="WR"/>
    <x v="1"/>
    <x v="7"/>
    <n v="52.175222450376403"/>
    <n v="50"/>
    <n v="0.37501944422374001"/>
    <n v="0.31251620351978332"/>
    <n v="0.55000000000000004"/>
    <s v="0.25"/>
    <n v="9.1610496155474728"/>
    <n v="167189.15548374137"/>
    <n v="16.639222921115671"/>
    <n v="0.66"/>
    <m/>
    <s v="Contracted"/>
    <n v="0"/>
    <n v="0"/>
    <n v="3588.3574426153314"/>
    <n v="3666.8627461983524"/>
    <n v="0.23966397265407297"/>
    <m/>
    <n v="141494.7239486397"/>
    <x v="1"/>
    <n v="3547.3256431276363"/>
    <n v="177366.28215638181"/>
    <s v="Pithead plant"/>
    <n v="0"/>
    <n v="0"/>
    <n v="0"/>
    <n v="0"/>
    <n v="0"/>
    <n v="0"/>
    <n v="167189.15548374137"/>
    <n v="0"/>
    <n v="167189.15548374137"/>
    <m/>
    <n v="0"/>
    <m/>
    <n v="2.0382894736842001"/>
  </r>
  <r>
    <s v="KORBA-II4"/>
    <x v="136"/>
    <s v="Chhatisgarh"/>
    <s v="WR"/>
    <x v="1"/>
    <x v="7"/>
    <n v="51.589322381930103"/>
    <n v="50"/>
    <n v="0.31018653486236902"/>
    <n v="0.25848877905197415"/>
    <n v="0.55000000000000004"/>
    <s v="0.25"/>
    <n v="8.3907914660314677"/>
    <n v="153131.94425507428"/>
    <n v="16.620664536447634"/>
    <n v="0.66"/>
    <m/>
    <s v="Contracted"/>
    <n v="0"/>
    <n v="0"/>
    <n v="3583.880851464065"/>
    <n v="3680.2460655863188"/>
    <n v="0.23996333462053518"/>
    <m/>
    <n v="117460.43487969243"/>
    <x v="1"/>
    <n v="3547.3256431276363"/>
    <n v="177366.28215638181"/>
    <s v="Pithead plant"/>
    <n v="0"/>
    <n v="0"/>
    <n v="0"/>
    <n v="0"/>
    <n v="0"/>
    <n v="0"/>
    <n v="153131.94425507428"/>
    <n v="0"/>
    <n v="153131.94425507428"/>
    <m/>
    <n v="0"/>
    <m/>
    <n v="2.0382894736842001"/>
  </r>
  <r>
    <s v="KORBA-III1"/>
    <x v="137"/>
    <s v="Chhatisgarh"/>
    <s v="WR"/>
    <x v="1"/>
    <x v="9"/>
    <n v="44.090349075975297"/>
    <n v="120"/>
    <n v="1.8373763580344999"/>
    <n v="0.63797790209531247"/>
    <n v="0.55000000000000004"/>
    <s v="0.25"/>
    <n v="13.068654502204229"/>
    <n v="572407.06719654519"/>
    <n v="16.01858155698152"/>
    <n v="1.5840000000000003"/>
    <m/>
    <s v="Contracted"/>
    <n v="0"/>
    <n v="0"/>
    <n v="3461.782707457905"/>
    <n v="3432.699746788775"/>
    <n v="0.2484269154581123"/>
    <m/>
    <n v="552534.74151647289"/>
    <x v="1"/>
    <n v="4166.4599943700105"/>
    <n v="499975.19932440127"/>
    <s v="Pithead plant"/>
    <n v="0"/>
    <n v="0"/>
    <n v="0"/>
    <n v="0"/>
    <n v="0"/>
    <n v="0"/>
    <n v="572407.06719654519"/>
    <n v="0"/>
    <n v="572407.06719654519"/>
    <m/>
    <n v="0"/>
    <m/>
    <n v="2.0382894736842001"/>
  </r>
  <r>
    <s v="KORBA-III2"/>
    <x v="137"/>
    <s v="Chhatisgarh"/>
    <s v="WR"/>
    <x v="1"/>
    <x v="8"/>
    <n v="39.0910335386721"/>
    <n v="120"/>
    <n v="1.78898379539876"/>
    <n v="0.62117492895790272"/>
    <n v="0.55000000000000004"/>
    <s v="0.25"/>
    <n v="12.676516376407426"/>
    <n v="555231.41728664527"/>
    <n v="15.860228237337438"/>
    <n v="1.5840000000000003"/>
    <m/>
    <s v="Contracted"/>
    <n v="0"/>
    <n v="0"/>
    <n v="3423.5852521204652"/>
    <n v="3400.0568704449365"/>
    <n v="0.25119865190076457"/>
    <m/>
    <n v="532866.27695957932"/>
    <x v="1"/>
    <n v="4166.4599943700105"/>
    <n v="499975.19932440127"/>
    <s v="Pithead plant"/>
    <n v="0"/>
    <n v="0"/>
    <n v="0"/>
    <n v="0"/>
    <n v="0"/>
    <n v="0"/>
    <n v="555231.41728664527"/>
    <n v="0"/>
    <n v="555231.41728664527"/>
    <m/>
    <n v="0"/>
    <m/>
    <n v="2.0382894736842001"/>
  </r>
  <r>
    <s v="KORBA-WEST TPS1"/>
    <x v="62"/>
    <s v="Chhatisgarh"/>
    <s v="WR"/>
    <x v="1"/>
    <x v="8"/>
    <n v="36.925393566050602"/>
    <n v="210"/>
    <n v="3.5678446331020299"/>
    <n v="0.67572815020871779"/>
    <n v="0.55000000000000004"/>
    <s v="0.25"/>
    <n v="12.898224063503605"/>
    <n v="988648.87446755124"/>
    <n v="15.322920591204651"/>
    <n v="2.7719999999999998"/>
    <m/>
    <s v="Contracted"/>
    <n v="0"/>
    <n v="0"/>
    <n v="3323.7217927809716"/>
    <n v="3282.1596872926953"/>
    <n v="0.25874608454531162"/>
    <m/>
    <n v="1029665.0697186304"/>
    <x v="1"/>
    <n v="4151.0935953175876"/>
    <n v="871729.6550166934"/>
    <s v="Pithead plant"/>
    <n v="0"/>
    <n v="0"/>
    <n v="0"/>
    <n v="0"/>
    <n v="0"/>
    <n v="0"/>
    <n v="988648.87446755124"/>
    <n v="0"/>
    <n v="988648.87446755124"/>
    <n v="6.0941992912102581E-2"/>
    <n v="0.21743156234198716"/>
    <m/>
    <n v="1.5377960526315799"/>
  </r>
  <r>
    <s v="KORBA-WEST TPS2"/>
    <x v="62"/>
    <s v="Chhatisgarh"/>
    <s v="WR"/>
    <x v="1"/>
    <x v="8"/>
    <n v="36.175222450376403"/>
    <n v="210"/>
    <n v="3.6808928291376799"/>
    <n v="0.73033587879715878"/>
    <n v="0.55000000000000004"/>
    <s v="0.25"/>
    <n v="13.634236103584181"/>
    <n v="1045064.1973397274"/>
    <n v="15.299158921115671"/>
    <n v="2.7719999999999998"/>
    <m/>
    <s v="Contracted"/>
    <n v="0"/>
    <n v="0"/>
    <n v="3317.9900826153316"/>
    <n v="3258.3762347583001"/>
    <n v="0.25919305922762859"/>
    <m/>
    <n v="1054592.6528130842"/>
    <x v="1"/>
    <n v="4151.0935953175876"/>
    <n v="871729.6550166934"/>
    <s v="Pithead plant"/>
    <n v="0"/>
    <n v="0"/>
    <n v="0"/>
    <n v="0"/>
    <n v="0"/>
    <n v="0"/>
    <n v="1045064.1973397274"/>
    <n v="0"/>
    <n v="1045064.1973397274"/>
    <n v="6.0941992912102581E-2"/>
    <n v="0.22432094470351771"/>
    <m/>
    <n v="1.5377960526315799"/>
  </r>
  <r>
    <s v="KORBA-WEST TPS3"/>
    <x v="62"/>
    <s v="Chhatisgarh"/>
    <s v="WR"/>
    <x v="1"/>
    <x v="8"/>
    <n v="35.175906913073199"/>
    <n v="210"/>
    <n v="3.2784480246527501"/>
    <n v="0.65048571917713294"/>
    <n v="0.55000000000000004"/>
    <s v="0.25"/>
    <n v="12.491603558098799"/>
    <n v="957481.41272827296"/>
    <n v="15.267505601471592"/>
    <n v="2.7719999999999998"/>
    <m/>
    <s v="Contracted"/>
    <n v="0"/>
    <n v="0"/>
    <n v="3310.3547752778918"/>
    <n v="3277.1370905066437"/>
    <n v="0.25979088598677652"/>
    <m/>
    <n v="944698.5551102733"/>
    <x v="1"/>
    <n v="4151.0935953175876"/>
    <n v="871729.6550166934"/>
    <s v="Pithead plant"/>
    <n v="0"/>
    <n v="0"/>
    <n v="0"/>
    <n v="0"/>
    <n v="0"/>
    <n v="0"/>
    <n v="957481.41272827296"/>
    <n v="0"/>
    <n v="957481.41272827296"/>
    <n v="6.0941992912102581E-2"/>
    <n v="0.1997951562810846"/>
    <m/>
    <n v="1.5377960526315799"/>
  </r>
  <r>
    <s v="KORBA-WEST TPS4"/>
    <x v="62"/>
    <s v="Chhatisgarh"/>
    <s v="WR"/>
    <x v="1"/>
    <x v="6"/>
    <n v="34.176591375770002"/>
    <n v="210"/>
    <n v="3.7836581479068401"/>
    <n v="0.75072582299738888"/>
    <n v="0.6"/>
    <s v="0.25"/>
    <n v="13.854620874937085"/>
    <n v="1061956.6900639276"/>
    <n v="15.235852281827514"/>
    <n v="3.024"/>
    <m/>
    <s v="Contracted"/>
    <n v="0"/>
    <n v="0"/>
    <n v="3286.1909079404513"/>
    <n v="3236.3652917612171"/>
    <n v="0.26170116834112545"/>
    <m/>
    <n v="1076712.5247789088"/>
    <x v="1"/>
    <n v="4151.0935953175876"/>
    <n v="871729.6550166934"/>
    <s v="Pithead plant"/>
    <n v="0"/>
    <n v="0"/>
    <n v="0"/>
    <n v="0"/>
    <n v="0"/>
    <n v="0"/>
    <n v="1061956.6900639276"/>
    <n v="0"/>
    <n v="1061956.6900639276"/>
    <n v="6.0941992912102581E-2"/>
    <n v="0.23058366803155783"/>
    <m/>
    <n v="1.5377960526315799"/>
  </r>
  <r>
    <s v="KOTA TPS1"/>
    <x v="138"/>
    <s v="Rajasthan"/>
    <s v="NR"/>
    <x v="1"/>
    <x v="8"/>
    <n v="37.338809034907598"/>
    <n v="110"/>
    <n v="1.0723789174920899"/>
    <n v="0.4062041354136704"/>
    <n v="0.55000000000000004"/>
    <s v="0.25"/>
    <n v="9.6821405234317179"/>
    <n v="388737.94201578351"/>
    <n v="15.856805526180697"/>
    <n v="1.4520000000000002"/>
    <m/>
    <s v="Contracted"/>
    <n v="0"/>
    <n v="0"/>
    <n v="3419.4547389671457"/>
    <n v="3466.989510478486"/>
    <n v="0.25150208604889007"/>
    <m/>
    <n v="302429.16370850144"/>
    <x v="1"/>
    <n v="4487.1438342904594"/>
    <n v="493585.82177195052"/>
    <m/>
    <n v="0"/>
    <n v="0"/>
    <n v="0"/>
    <n v="0"/>
    <n v="181151.46448327409"/>
    <n v="0"/>
    <n v="207586.47753250939"/>
    <n v="0"/>
    <n v="388737.94201578351"/>
    <n v="0.10601035704694049"/>
    <n v="0.11368327193294799"/>
    <m/>
    <n v="2.99934138309548"/>
  </r>
  <r>
    <s v="KOTA TPS2"/>
    <x v="138"/>
    <s v="Rajasthan"/>
    <s v="NR"/>
    <x v="1"/>
    <x v="8"/>
    <n v="36.843258042436602"/>
    <n v="110"/>
    <n v="1.5016887366915599"/>
    <n v="0.56882149117104541"/>
    <n v="0.55000000000000004"/>
    <s v="0.25"/>
    <n v="11.928988001604285"/>
    <n v="478948.86826441204"/>
    <n v="15.841108948494178"/>
    <n v="1.4520000000000002"/>
    <m/>
    <s v="Contracted"/>
    <n v="0"/>
    <n v="0"/>
    <n v="3415.6684632737843"/>
    <n v="3409.4466203515822"/>
    <n v="0.25178087664155896"/>
    <m/>
    <n v="416472.84746870096"/>
    <x v="1"/>
    <n v="4487.1438342904594"/>
    <n v="493585.82177195052"/>
    <m/>
    <n v="0"/>
    <n v="0"/>
    <n v="0"/>
    <n v="0"/>
    <n v="223189.6594626265"/>
    <n v="0"/>
    <n v="255759.20880178554"/>
    <n v="0"/>
    <n v="478948.86826441204"/>
    <n v="0.10601035704694049"/>
    <n v="0.15919455915004127"/>
    <m/>
    <n v="2.99934138309548"/>
  </r>
  <r>
    <s v="KOTA TPS3"/>
    <x v="138"/>
    <s v="Rajasthan"/>
    <s v="NR"/>
    <x v="1"/>
    <x v="6"/>
    <n v="31.671457905544099"/>
    <n v="210"/>
    <n v="3.4471937722234398"/>
    <n v="0.68396701829830153"/>
    <n v="0.6"/>
    <s v="0.25"/>
    <n v="12.846435494847867"/>
    <n v="984679.28068008902"/>
    <n v="15.156502179158108"/>
    <n v="3.024"/>
    <m/>
    <s v="Contracted"/>
    <n v="0"/>
    <n v="0"/>
    <n v="3267.0503429712521"/>
    <n v="3239.2932649719605"/>
    <n v="0.26323438873545618"/>
    <m/>
    <n v="908319.91871764383"/>
    <x v="1"/>
    <n v="4487.1438342904594"/>
    <n v="942300.20520099648"/>
    <m/>
    <n v="0"/>
    <n v="0"/>
    <n v="0"/>
    <n v="0"/>
    <n v="458859.48980584112"/>
    <n v="0"/>
    <n v="525819.79087424802"/>
    <n v="0"/>
    <n v="984679.28068008914"/>
    <n v="0.10601035704694049"/>
    <n v="0.36543824260339652"/>
    <m/>
    <n v="2.99934138309548"/>
  </r>
  <r>
    <s v="KOTA TPS4"/>
    <x v="138"/>
    <s v="Rajasthan"/>
    <s v="NR"/>
    <x v="1"/>
    <x v="6"/>
    <n v="31.008898015058101"/>
    <n v="210"/>
    <n v="3.4831962014458799"/>
    <n v="0.69111035742973814"/>
    <n v="0.6"/>
    <s v="0.25"/>
    <n v="12.92483633065414"/>
    <n v="990688.70474463981"/>
    <n v="15.135515594626964"/>
    <n v="3.024"/>
    <m/>
    <s v="Contracted"/>
    <n v="0"/>
    <n v="0"/>
    <n v="3261.9880296132778"/>
    <n v="3231.8695694253006"/>
    <n v="0.2636429049379303"/>
    <m/>
    <n v="915702.99985566398"/>
    <x v="1"/>
    <n v="4487.1438342904594"/>
    <n v="942300.20520099648"/>
    <m/>
    <n v="0"/>
    <n v="0"/>
    <n v="0"/>
    <n v="0"/>
    <n v="461659.87498138996"/>
    <n v="0"/>
    <n v="529028.82976324984"/>
    <n v="0"/>
    <n v="990688.70474463981"/>
    <n v="0.10601035704694049"/>
    <n v="0.36925487297982457"/>
    <m/>
    <n v="2.99934138309548"/>
  </r>
  <r>
    <s v="KOTA TPS5"/>
    <x v="138"/>
    <s v="Rajasthan"/>
    <s v="NR"/>
    <x v="1"/>
    <x v="5"/>
    <n v="26.176591375769998"/>
    <n v="210"/>
    <n v="3.5915788387506802"/>
    <n v="0.71261484895846827"/>
    <n v="0.65"/>
    <s v="0.25"/>
    <n v="13.07097145984137"/>
    <n v="1001889.962396841"/>
    <n v="14.982452281827515"/>
    <n v="3.2759999999999998"/>
    <m/>
    <s v="Contracted"/>
    <n v="0"/>
    <n v="0"/>
    <n v="3208.5380519404516"/>
    <n v="3187.839386182432"/>
    <n v="0.2680348451781307"/>
    <m/>
    <n v="931332.39535079943"/>
    <x v="1"/>
    <n v="4487.1438342904594"/>
    <n v="942300.20520099648"/>
    <m/>
    <n v="0"/>
    <n v="0"/>
    <n v="0"/>
    <n v="0"/>
    <n v="466879.64904622349"/>
    <n v="0"/>
    <n v="535010.31335061754"/>
    <n v="0"/>
    <n v="1001889.962396841"/>
    <n v="0.10601035704694049"/>
    <n v="0.38074455505819554"/>
    <m/>
    <n v="2.99934138309548"/>
  </r>
  <r>
    <s v="KOTA TPS6"/>
    <x v="138"/>
    <s v="Rajasthan"/>
    <s v="NR"/>
    <x v="1"/>
    <x v="3"/>
    <n v="16.843258042436599"/>
    <n v="195"/>
    <n v="3.8860217673958699"/>
    <n v="0.83034653149484405"/>
    <n v="0.75"/>
    <s v="0.25"/>
    <n v="14.491492845141392"/>
    <n v="1031432.0032529385"/>
    <n v="14.764937448494178"/>
    <n v="3.51"/>
    <m/>
    <s v="Contracted"/>
    <n v="0"/>
    <n v="0"/>
    <n v="3118.0553877737848"/>
    <n v="3091.4951384416963"/>
    <n v="0.27581293243607802"/>
    <m/>
    <n v="977229.72866194206"/>
    <x v="1"/>
    <n v="4487.1438342904594"/>
    <n v="874993.04768663959"/>
    <m/>
    <n v="0"/>
    <n v="0"/>
    <n v="0"/>
    <n v="0"/>
    <n v="480646.20843365137"/>
    <n v="0"/>
    <n v="550785.79481928726"/>
    <n v="0"/>
    <n v="1031432.0032529386"/>
    <n v="0.10601035704694049"/>
    <n v="0.4119585550538189"/>
    <m/>
    <n v="2.99934138309548"/>
  </r>
  <r>
    <s v="KOTA TPS7"/>
    <x v="138"/>
    <s v="Rajasthan"/>
    <s v="NR"/>
    <x v="1"/>
    <x v="2"/>
    <n v="10.757015742642"/>
    <n v="195"/>
    <n v="4.0497795266630101"/>
    <n v="0.86533750569722434"/>
    <n v="0.8"/>
    <s v="0.15"/>
    <n v="14.814460741665377"/>
    <n v="1054419.2432880332"/>
    <n v="14.601065423648185"/>
    <n v="3.7440000000000002"/>
    <m/>
    <s v="Contracted"/>
    <n v="0"/>
    <n v="0"/>
    <n v="3055.0246682912389"/>
    <n v="3033.4259706279008"/>
    <n v="0.28150345525066484"/>
    <m/>
    <n v="999281.05683408317"/>
    <x v="1"/>
    <n v="4487.1438342904594"/>
    <n v="874993.04768663959"/>
    <m/>
    <n v="0"/>
    <n v="0"/>
    <n v="0"/>
    <n v="0"/>
    <n v="491358.23766134342"/>
    <n v="0"/>
    <n v="563061.00562668976"/>
    <n v="0"/>
    <n v="1054419.2432880332"/>
    <n v="0.10601035704694049"/>
    <n v="0.42931857358293535"/>
    <m/>
    <n v="2.99934138309548"/>
  </r>
  <r>
    <s v="KOTHAGUDEM NEW TPS10"/>
    <x v="67"/>
    <s v="Telangana"/>
    <s v="SR"/>
    <x v="1"/>
    <x v="4"/>
    <n v="22.179329226557101"/>
    <n v="250"/>
    <n v="5.1329029609619097"/>
    <n v="0.85548382682698487"/>
    <n v="0.7"/>
    <s v="0.25"/>
    <n v="14.723821131043083"/>
    <n v="1343548.6782076813"/>
    <n v="14.647523003251194"/>
    <n v="4.2"/>
    <m/>
    <s v="Contracted"/>
    <n v="0"/>
    <n v="0"/>
    <n v="3124.4385705906907"/>
    <n v="3073.0400953759022"/>
    <n v="0.27524945060366884"/>
    <m/>
    <n v="1343296.7943814786"/>
    <x v="1"/>
    <m/>
    <n v="0"/>
    <m/>
    <m/>
    <m/>
    <m/>
    <m/>
    <m/>
    <m/>
    <m/>
    <m/>
    <n v="0"/>
    <n v="7.0000000000000007E-2"/>
    <n v="0.35930320726733372"/>
    <m/>
    <n v="2.7390789473684198"/>
  </r>
  <r>
    <s v="KOTHAGUDEM NEW TPS9"/>
    <x v="67"/>
    <s v="Telangana"/>
    <s v="SR"/>
    <x v="1"/>
    <x v="4"/>
    <n v="23.104722792607799"/>
    <n v="250"/>
    <n v="5.1830055935166"/>
    <n v="0.86383426558609999"/>
    <n v="0.7"/>
    <s v="0.25"/>
    <n v="14.869315131834936"/>
    <n v="1356825.0057799378"/>
    <n v="14.676834844455851"/>
    <n v="4.2"/>
    <m/>
    <s v="Contracted"/>
    <n v="0"/>
    <n v="0"/>
    <n v="3131.5090743716632"/>
    <n v="3077.3501845957476"/>
    <n v="0.27462797634477837"/>
    <m/>
    <n v="1358311.2401513583"/>
    <x v="1"/>
    <m/>
    <n v="0"/>
    <m/>
    <m/>
    <m/>
    <m/>
    <m/>
    <m/>
    <m/>
    <m/>
    <m/>
    <n v="0"/>
    <n v="7.0000000000000007E-2"/>
    <n v="0.36281039154616201"/>
    <m/>
    <n v="2.7390789473684198"/>
  </r>
  <r>
    <s v="KOTHAGUDEM TPS1"/>
    <x v="139"/>
    <s v="Telangana"/>
    <s v="SR"/>
    <x v="1"/>
    <x v="7"/>
    <n v="53.834360027378501"/>
    <n v="60"/>
    <n v="1.0014563820470701"/>
    <n v="0.69545582086602087"/>
    <n v="0.55000000000000004"/>
    <s v="0.25"/>
    <n v="14.489477576322422"/>
    <n v="317319.55892146105"/>
    <n v="16.639697103867213"/>
    <n v="0.79200000000000015"/>
    <m/>
    <s v="Contracted"/>
    <n v="0"/>
    <n v="0"/>
    <n v="3591.7767216605062"/>
    <n v="3543.6932164098407"/>
    <n v="0.23943581871715439"/>
    <m/>
    <n v="302223.93338090263"/>
    <x v="1"/>
    <m/>
    <n v="0"/>
    <m/>
    <m/>
    <m/>
    <m/>
    <m/>
    <m/>
    <m/>
    <m/>
    <m/>
    <n v="0"/>
    <n v="0.10678657853863342"/>
    <n v="0.10694210059448513"/>
    <m/>
    <n v="3.1011564051114102"/>
  </r>
  <r>
    <s v="KOTHAGUDEM TPS2"/>
    <x v="139"/>
    <s v="Telangana"/>
    <s v="SR"/>
    <x v="1"/>
    <x v="7"/>
    <n v="53.4346338124572"/>
    <n v="60"/>
    <n v="1.0524373999329"/>
    <n v="0.73085930550895839"/>
    <n v="0.55000000000000004"/>
    <s v="0.25"/>
    <n v="14.969395551347372"/>
    <n v="327829.76257450745"/>
    <n v="16.627035776009581"/>
    <n v="0.79200000000000015"/>
    <m/>
    <s v="Contracted"/>
    <n v="0"/>
    <n v="0"/>
    <n v="3588.7225987255301"/>
    <n v="3528.9357210722669"/>
    <n v="0.23963958660538806"/>
    <m/>
    <n v="316286.54601206369"/>
    <x v="1"/>
    <m/>
    <n v="0"/>
    <m/>
    <m/>
    <m/>
    <m/>
    <m/>
    <m/>
    <m/>
    <m/>
    <m/>
    <n v="0"/>
    <n v="0.10678657853863342"/>
    <n v="0.11238618906492978"/>
    <m/>
    <n v="3.1011564051114102"/>
  </r>
  <r>
    <s v="KOTHAGUDEM TPS4"/>
    <x v="139"/>
    <s v="Telangana"/>
    <s v="SR"/>
    <x v="1"/>
    <x v="7"/>
    <n v="52.824093086926702"/>
    <n v="60"/>
    <n v="1.0980221196391"/>
    <n v="0.76251536086048621"/>
    <n v="0.55000000000000004"/>
    <s v="0.25"/>
    <n v="15.390496868788606"/>
    <n v="337051.88142647047"/>
    <n v="16.607696898528403"/>
    <n v="0.79200000000000015"/>
    <m/>
    <s v="Contracted"/>
    <n v="0"/>
    <n v="0"/>
    <n v="3584.0577397221077"/>
    <n v="3513.8062818640237"/>
    <n v="0.23995149142510205"/>
    <m/>
    <n v="328571.28158864554"/>
    <x v="1"/>
    <m/>
    <n v="0"/>
    <m/>
    <m/>
    <m/>
    <m/>
    <m/>
    <m/>
    <m/>
    <m/>
    <m/>
    <n v="0"/>
    <n v="0.10678657853863342"/>
    <n v="0.1172540253159975"/>
    <m/>
    <n v="3.1011564051114102"/>
  </r>
  <r>
    <s v="KOTHAGUDEM TPS5"/>
    <x v="139"/>
    <s v="Telangana"/>
    <s v="SR"/>
    <x v="1"/>
    <x v="7"/>
    <n v="45.724845995893197"/>
    <n v="120"/>
    <n v="1.93434099304915"/>
    <n v="0.67164617814206595"/>
    <n v="0.55000000000000004"/>
    <s v="0.25"/>
    <n v="13.588864017263925"/>
    <n v="595192.24395615992"/>
    <n v="16.070354246919919"/>
    <n v="1.5840000000000003"/>
    <m/>
    <s v="Contracted"/>
    <n v="0"/>
    <n v="0"/>
    <n v="3474.2711416509237"/>
    <n v="3434.0584185670873"/>
    <n v="0.24753393299963927"/>
    <m/>
    <n v="565693.79132509243"/>
    <x v="1"/>
    <m/>
    <n v="0"/>
    <m/>
    <m/>
    <m/>
    <m/>
    <m/>
    <m/>
    <m/>
    <m/>
    <m/>
    <n v="0"/>
    <n v="0.10678657853863342"/>
    <n v="0.20656165637474122"/>
    <m/>
    <n v="3.1011564051114102"/>
  </r>
  <r>
    <s v="KOTHAGUDEM TPS6"/>
    <x v="139"/>
    <s v="Telangana"/>
    <s v="SR"/>
    <x v="1"/>
    <x v="9"/>
    <n v="45.3744010951403"/>
    <n v="120"/>
    <n v="1.45773894138851"/>
    <n v="0.50615935464878825"/>
    <n v="0.55000000000000004"/>
    <s v="0.25"/>
    <n v="11.275295853723554"/>
    <n v="493857.95839309169"/>
    <n v="16.059253904688571"/>
    <n v="1.5840000000000003"/>
    <m/>
    <s v="Contracted"/>
    <n v="0"/>
    <n v="0"/>
    <n v="3471.5935544202598"/>
    <n v="3486.0860091627842"/>
    <n v="0.2477248521518286"/>
    <m/>
    <n v="432771.39872468094"/>
    <x v="1"/>
    <m/>
    <n v="0"/>
    <m/>
    <m/>
    <m/>
    <m/>
    <m/>
    <m/>
    <m/>
    <m/>
    <m/>
    <n v="0"/>
    <n v="0.10678657853863342"/>
    <n v="0.15566695395340846"/>
    <m/>
    <n v="3.1011564051114102"/>
  </r>
  <r>
    <s v="KOTHAGUDEM TPS7"/>
    <x v="139"/>
    <s v="Telangana"/>
    <s v="SR"/>
    <x v="1"/>
    <x v="9"/>
    <n v="43.151266255989"/>
    <n v="120"/>
    <n v="1.7979097337429499"/>
    <n v="0.62427421310519093"/>
    <n v="0.55000000000000004"/>
    <s v="0.25"/>
    <n v="12.848245517854906"/>
    <n v="562753.15368204494"/>
    <n v="15.988836108658452"/>
    <n v="1.5840000000000003"/>
    <m/>
    <s v="Contracted"/>
    <n v="0"/>
    <n v="0"/>
    <n v="3454.6076104257354"/>
    <n v="3430.0546946704967"/>
    <n v="0.24894288931819269"/>
    <m/>
    <n v="525181.75077668158"/>
    <x v="1"/>
    <m/>
    <n v="0"/>
    <m/>
    <m/>
    <m/>
    <m/>
    <m/>
    <m/>
    <m/>
    <m/>
    <m/>
    <n v="0"/>
    <n v="0.10678657853863342"/>
    <n v="0.19199262898771502"/>
    <m/>
    <n v="3.1011564051114102"/>
  </r>
  <r>
    <s v="KOTHAGUDEM TPS8"/>
    <x v="139"/>
    <s v="Telangana"/>
    <s v="SR"/>
    <x v="1"/>
    <x v="9"/>
    <n v="42.313483915126596"/>
    <n v="120"/>
    <n v="1.44369283470076"/>
    <n v="0.50128223427109719"/>
    <n v="0.55000000000000004"/>
    <s v="0.25"/>
    <n v="11.110484463095691"/>
    <n v="486639.21948359127"/>
    <n v="15.962299353011636"/>
    <n v="1.5840000000000003"/>
    <m/>
    <s v="Contracted"/>
    <n v="0"/>
    <n v="0"/>
    <n v="3448.2065034524294"/>
    <n v="3464.3111937307517"/>
    <n v="0.24940501653220212"/>
    <m/>
    <n v="425924.2779655609"/>
    <x v="1"/>
    <m/>
    <n v="0"/>
    <m/>
    <m/>
    <m/>
    <m/>
    <m/>
    <m/>
    <m/>
    <m/>
    <m/>
    <n v="0"/>
    <n v="0.10678657853863342"/>
    <n v="0.15416701827843504"/>
    <m/>
    <n v="3.1011564051114102"/>
  </r>
  <r>
    <s v="KUNDARKI TPS1"/>
    <x v="140"/>
    <s v="Uttar Pradesh"/>
    <s v="NR"/>
    <x v="2"/>
    <x v="1"/>
    <n v="8.33949349760438"/>
    <n v="45"/>
    <n v="0.22812321556579601"/>
    <n v="0.21122519959795927"/>
    <n v="0.85"/>
    <s v="0.15"/>
    <n v="5.5284588761029054"/>
    <n v="90804.937039990225"/>
    <n v="14.415924306536619"/>
    <n v="0.91800000000000004"/>
    <m/>
    <s v="Contracted"/>
    <n v="0"/>
    <n v="0"/>
    <n v="3158.8862851297054"/>
    <n v="3370.0468374283687"/>
    <n v="0.27224785015162012"/>
    <m/>
    <n v="65470.569580949079"/>
    <x v="1"/>
    <m/>
    <n v="0"/>
    <m/>
    <m/>
    <m/>
    <m/>
    <m/>
    <m/>
    <m/>
    <m/>
    <m/>
    <n v="0"/>
    <n v="9.1179878523889146E-2"/>
    <n v="2.0800247083768257E-2"/>
    <m/>
    <n v="3.3738486842105302"/>
  </r>
  <r>
    <s v="KUNDARKI TPS2"/>
    <x v="140"/>
    <s v="Uttar Pradesh"/>
    <s v="NR"/>
    <x v="2"/>
    <x v="1"/>
    <n v="8.2546201232032796"/>
    <n v="45"/>
    <n v="0.19832163850486401"/>
    <n v="0.18363114676376296"/>
    <n v="0.85"/>
    <s v="0.15"/>
    <n v="5.1418461766707271"/>
    <n v="84454.823451816701"/>
    <n v="14.413235942402464"/>
    <n v="0.91800000000000004"/>
    <m/>
    <s v="Contracted"/>
    <n v="0"/>
    <n v="0"/>
    <n v="3158.237806972279"/>
    <n v="3378.5201584292058"/>
    <n v="0.27230375056033534"/>
    <m/>
    <n v="57060.728778023418"/>
    <x v="1"/>
    <m/>
    <n v="0"/>
    <m/>
    <m/>
    <m/>
    <m/>
    <m/>
    <m/>
    <m/>
    <m/>
    <m/>
    <n v="0"/>
    <n v="9.1179878523889146E-2"/>
    <n v="1.8082942907532155E-2"/>
    <m/>
    <n v="3.3738486842105302"/>
  </r>
  <r>
    <s v="MAQSOODPUR TPS1"/>
    <x v="141"/>
    <s v="Uttar Pradesh"/>
    <s v="NR"/>
    <x v="2"/>
    <x v="1"/>
    <n v="8.5065023956194299"/>
    <n v="45"/>
    <n v="0.16263442396313299"/>
    <n v="0.15058742959549351"/>
    <n v="0.85"/>
    <s v="0.15"/>
    <n v="4.6900773975722245"/>
    <n v="77034.521255123793"/>
    <n v="14.421214313381245"/>
    <n v="0.91800000000000004"/>
    <m/>
    <s v="Contracted"/>
    <n v="0"/>
    <n v="0"/>
    <n v="3160.1623227943192"/>
    <n v="3391.3679754880209"/>
    <n v="0.272137919560904"/>
    <m/>
    <n v="46970.814198853579"/>
    <x v="1"/>
    <m/>
    <n v="0"/>
    <m/>
    <m/>
    <m/>
    <m/>
    <m/>
    <m/>
    <m/>
    <m/>
    <m/>
    <n v="0"/>
    <n v="0.10171085784825233"/>
    <n v="1.6541686776946622E-2"/>
    <m/>
    <n v="3.6779057017544101"/>
  </r>
  <r>
    <s v="MAQSOODPUR TPS2"/>
    <x v="141"/>
    <s v="Uttar Pradesh"/>
    <s v="NR"/>
    <x v="2"/>
    <x v="1"/>
    <n v="8.33949349760438"/>
    <n v="45"/>
    <n v="0.15001169994879601"/>
    <n v="0.13889972217481111"/>
    <n v="0.85"/>
    <s v="0.15"/>
    <n v="4.5221728110714183"/>
    <n v="74276.688421848041"/>
    <n v="14.415924306536619"/>
    <n v="0.91800000000000004"/>
    <m/>
    <s v="Contracted"/>
    <n v="0"/>
    <n v="0"/>
    <n v="3158.8862851297054"/>
    <n v="3393.9555572907116"/>
    <n v="0.27224785015162012"/>
    <m/>
    <n v="43358.273585030962"/>
    <x v="1"/>
    <m/>
    <n v="0"/>
    <m/>
    <m/>
    <m/>
    <m/>
    <m/>
    <m/>
    <m/>
    <m/>
    <m/>
    <n v="0"/>
    <n v="0.10171085784825233"/>
    <n v="1.5257818689066673E-2"/>
    <m/>
    <n v="3.6779057017544101"/>
  </r>
  <r>
    <s v="MEJIA TPS1"/>
    <x v="68"/>
    <s v="West Bengal"/>
    <s v="ER"/>
    <x v="0"/>
    <x v="4"/>
    <n v="24.175222450376399"/>
    <n v="210"/>
    <n v="3.04854419778589"/>
    <n v="0.60486988051307344"/>
    <n v="0.7"/>
    <s v="0.25"/>
    <n v="11.508490029658217"/>
    <n v="882125.76077330241"/>
    <n v="14.919058921115672"/>
    <n v="3.528"/>
    <m/>
    <s v="Contracted"/>
    <n v="0"/>
    <n v="0"/>
    <n v="3176.7179586153316"/>
    <n v="3208.1652363702683"/>
    <n v="0.27071965821443494"/>
    <m/>
    <n v="777145.14042977919"/>
    <x v="1"/>
    <n v="4593.4601504233742"/>
    <n v="964626.63158890861"/>
    <m/>
    <n v="551949.64925518248"/>
    <n v="12986.096088078049"/>
    <n v="273558.80298696889"/>
    <n v="43631.212443072953"/>
    <n v="0"/>
    <n v="0"/>
    <n v="0"/>
    <n v="0"/>
    <n v="882125.76077330241"/>
    <n v="8.3678646324733194E-2"/>
    <n v="0.25509805173184297"/>
    <m/>
    <n v="2.5933434925569898"/>
  </r>
  <r>
    <s v="MEJIA TPS2"/>
    <x v="68"/>
    <s v="West Bengal"/>
    <s v="ER"/>
    <x v="0"/>
    <x v="4"/>
    <n v="23.175906913073199"/>
    <n v="210"/>
    <n v="2.5729211444815201"/>
    <n v="0.51050022707966669"/>
    <n v="0.7"/>
    <s v="0.25"/>
    <n v="10.163843410899119"/>
    <n v="779058.59744541743"/>
    <n v="14.887405601471592"/>
    <n v="3.528"/>
    <m/>
    <s v="Contracted"/>
    <n v="0"/>
    <n v="0"/>
    <n v="3169.0826512778917"/>
    <n v="3231.7258186118938"/>
    <n v="0.27137190620548068"/>
    <m/>
    <n v="660714.58729299274"/>
    <x v="1"/>
    <n v="4593.4601504233742"/>
    <n v="964626.63158890861"/>
    <m/>
    <n v="487460.10912579915"/>
    <n v="11468.806665163766"/>
    <n v="241596.31976629759"/>
    <n v="38533.361888156993"/>
    <n v="0"/>
    <n v="0"/>
    <n v="0"/>
    <n v="0"/>
    <n v="779058.59744541743"/>
    <n v="8.3678646324733194E-2"/>
    <n v="0.21529855847049686"/>
    <m/>
    <n v="2.5933434925569898"/>
  </r>
  <r>
    <s v="MEJIA TPS3"/>
    <x v="68"/>
    <s v="West Bengal"/>
    <s v="ER"/>
    <x v="0"/>
    <x v="4"/>
    <n v="22.176591375769998"/>
    <n v="210"/>
    <n v="2.8040686801913899"/>
    <n v="0.55636283337130754"/>
    <n v="0.7"/>
    <s v="0.25"/>
    <n v="10.770290291372527"/>
    <n v="825542.75083370425"/>
    <n v="14.855752281827513"/>
    <n v="3.528"/>
    <m/>
    <s v="Contracted"/>
    <n v="0"/>
    <n v="0"/>
    <n v="3161.4473439404514"/>
    <n v="3208.9296544774984"/>
    <n v="0.2720273047243259"/>
    <m/>
    <n v="714992.9419074991"/>
    <x v="1"/>
    <n v="4593.4601504233742"/>
    <n v="964626.63158890861"/>
    <m/>
    <n v="516545.43153617432"/>
    <n v="12153.116895423986"/>
    <n v="256011.66724193978"/>
    <n v="40832.53516016616"/>
    <n v="0"/>
    <n v="0"/>
    <n v="0"/>
    <n v="0"/>
    <n v="825542.75083370437"/>
    <n v="8.3678646324733194E-2"/>
    <n v="0.23464067135999669"/>
    <m/>
    <n v="2.5933434925569898"/>
  </r>
  <r>
    <s v="MEJIA TPS4"/>
    <x v="68"/>
    <s v="West Bengal"/>
    <s v="ER"/>
    <x v="0"/>
    <x v="3"/>
    <n v="15.589322381930099"/>
    <n v="210"/>
    <n v="2.9852944150267602"/>
    <n v="0.59232032044181748"/>
    <n v="0.75"/>
    <s v="0.25"/>
    <n v="11.061925850850775"/>
    <n v="847896.61646771198"/>
    <n v="14.647100536447635"/>
    <n v="3.78"/>
    <m/>
    <s v="Contracted"/>
    <n v="0"/>
    <n v="0"/>
    <n v="3094.588511464065"/>
    <n v="3146.7128723512287"/>
    <n v="0.27790447641555088"/>
    <m/>
    <n v="746443.93995011528"/>
    <x v="1"/>
    <n v="4593.4601504233742"/>
    <n v="964626.63158890861"/>
    <m/>
    <n v="530532.33549573214"/>
    <n v="12482.196330547536"/>
    <n v="262943.89504538808"/>
    <n v="41938.189596044205"/>
    <n v="0"/>
    <n v="0"/>
    <n v="0"/>
    <n v="0"/>
    <n v="847896.6164677121"/>
    <n v="8.3678646324733194E-2"/>
    <n v="0.24980539553022554"/>
    <m/>
    <n v="2.5933434925569898"/>
  </r>
  <r>
    <s v="MEJIA TPS5"/>
    <x v="68"/>
    <s v="West Bengal"/>
    <s v="ER"/>
    <x v="0"/>
    <x v="2"/>
    <n v="12.5913757700205"/>
    <n v="250"/>
    <n v="3.8637143951833601"/>
    <n v="0.64395239919722669"/>
    <n v="0.8"/>
    <s v="0.15"/>
    <n v="11.505932193266172"/>
    <n v="1049916.3126355384"/>
    <n v="14.372734277515399"/>
    <n v="4.8"/>
    <m/>
    <s v="Contracted"/>
    <n v="0"/>
    <n v="0"/>
    <n v="3018.1243374517449"/>
    <n v="3069.7091801062388"/>
    <n v="0.28494518576597577"/>
    <m/>
    <n v="942443.14597898116"/>
    <x v="1"/>
    <n v="4593.4601504233742"/>
    <n v="1148365.0376058435"/>
    <m/>
    <n v="656936.87484930607"/>
    <n v="15456.202195448157"/>
    <n v="325592.86044349091"/>
    <n v="51930.375147293154"/>
    <n v="0"/>
    <n v="0"/>
    <n v="0"/>
    <n v="0"/>
    <n v="1049916.3126355382"/>
    <n v="8.3678646324733194E-2"/>
    <n v="0.32331039037432879"/>
    <m/>
    <n v="2.5933434925569898"/>
  </r>
  <r>
    <s v="MEJIA TPS6"/>
    <x v="68"/>
    <s v="West Bengal"/>
    <s v="ER"/>
    <x v="0"/>
    <x v="2"/>
    <n v="13.1772758384668"/>
    <n v="250"/>
    <n v="4.3123122375831997"/>
    <n v="0.71871870626386669"/>
    <n v="0.8"/>
    <s v="0.15"/>
    <n v="12.564736638044492"/>
    <n v="1146532.2182215599"/>
    <n v="14.391292662183435"/>
    <n v="4.8"/>
    <m/>
    <s v="Contracted"/>
    <n v="0"/>
    <n v="0"/>
    <n v="3022.6009286030117"/>
    <n v="3049.4701834109178"/>
    <n v="0.28452317071095307"/>
    <m/>
    <n v="1044930.7304717597"/>
    <x v="1"/>
    <n v="4593.4601504233742"/>
    <n v="1148365.0376058435"/>
    <m/>
    <n v="717389.83696882066"/>
    <n v="16878.520292673744"/>
    <n v="355554.72377060261"/>
    <n v="56709.137189462926"/>
    <n v="0"/>
    <n v="0"/>
    <n v="0"/>
    <n v="0"/>
    <n v="1146532.2182215599"/>
    <n v="8.3678646324733194E-2"/>
    <n v="0.36084845057054338"/>
    <m/>
    <n v="2.5933434925569898"/>
  </r>
  <r>
    <s v="METTUR TPS1"/>
    <x v="142"/>
    <s v="Tamil Nadu"/>
    <s v="SR"/>
    <x v="1"/>
    <x v="6"/>
    <n v="33.338809034907598"/>
    <n v="210"/>
    <n v="3.14629416388579"/>
    <n v="0.62426471505670433"/>
    <n v="0.6"/>
    <s v="0.25"/>
    <n v="12.068592786179142"/>
    <n v="925057.63706063118"/>
    <n v="15.209315526180697"/>
    <n v="3.024"/>
    <m/>
    <s v="Contracted"/>
    <n v="0.20637747185706132"/>
    <n v="190911.05645864009"/>
    <n v="3326.3187577111626"/>
    <n v="3318.2975417372099"/>
    <n v="0.2585440730856971"/>
    <m/>
    <n v="1011485.396146438"/>
    <x v="1"/>
    <n v="3767.4534735980392"/>
    <n v="791165.22945558827"/>
    <m/>
    <n v="0"/>
    <n v="0"/>
    <n v="0"/>
    <n v="923907.33347293991"/>
    <n v="0"/>
    <n v="0"/>
    <n v="0"/>
    <n v="1150.3035876912286"/>
    <n v="925057.63706063118"/>
    <n v="7.9545486780113542E-2"/>
    <n v="0.25027350081972549"/>
    <m/>
    <n v="3.5978045977011401"/>
  </r>
  <r>
    <s v="METTUR TPS2"/>
    <x v="142"/>
    <s v="Tamil Nadu"/>
    <s v="SR"/>
    <x v="1"/>
    <x v="6"/>
    <n v="32.4243668720054"/>
    <n v="210"/>
    <n v="3.57367686671257"/>
    <n v="0.70906287037947813"/>
    <n v="0.6"/>
    <s v="0.25"/>
    <n v="13.219450005121564"/>
    <n v="1013270.8428925679"/>
    <n v="15.18035057067077"/>
    <n v="3.024"/>
    <m/>
    <s v="Contracted"/>
    <n v="0.20637747185706132"/>
    <n v="209116.2748626417"/>
    <n v="3319.3319285311482"/>
    <n v="3283.2788845943596"/>
    <n v="0.25908827996619255"/>
    <m/>
    <n v="1136758.005336894"/>
    <x v="1"/>
    <n v="3767.4534735980392"/>
    <n v="791165.22945558827"/>
    <m/>
    <n v="0"/>
    <n v="0"/>
    <n v="0"/>
    <n v="1012010.8467159125"/>
    <n v="0"/>
    <n v="0"/>
    <n v="0"/>
    <n v="1259.996176655359"/>
    <n v="1013270.8428925679"/>
    <n v="7.9545486780113542E-2"/>
    <n v="0.28426986595748233"/>
    <m/>
    <n v="3.5978045977011401"/>
  </r>
  <r>
    <s v="METTUR TPS3"/>
    <x v="142"/>
    <s v="Tamil Nadu"/>
    <s v="SR"/>
    <x v="1"/>
    <x v="6"/>
    <n v="31.175906913073199"/>
    <n v="210"/>
    <n v="3.68113536563069"/>
    <n v="0.73038400111720037"/>
    <n v="0.6"/>
    <s v="0.25"/>
    <n v="13.476552324215536"/>
    <n v="1032977.7356511208"/>
    <n v="15.140805601471593"/>
    <n v="3.024"/>
    <m/>
    <s v="Contracted"/>
    <n v="0.20637747185706132"/>
    <n v="213183.33356831013"/>
    <n v="3309.7930240219084"/>
    <n v="3266.6918283117943"/>
    <n v="0.25983497873077499"/>
    <m/>
    <n v="1165024.1308251088"/>
    <x v="1"/>
    <n v="3767.4534735980392"/>
    <n v="791165.22945558827"/>
    <m/>
    <n v="0"/>
    <n v="0"/>
    <n v="0"/>
    <n v="1031693.2340722784"/>
    <n v="0"/>
    <n v="0"/>
    <n v="0"/>
    <n v="1284.5015788424489"/>
    <n v="1032977.7356511208"/>
    <n v="7.9545486780113542E-2"/>
    <n v="0.29281770456258449"/>
    <m/>
    <n v="3.5978045977011401"/>
  </r>
  <r>
    <s v="METTUR TPS4"/>
    <x v="142"/>
    <s v="Tamil Nadu"/>
    <s v="SR"/>
    <x v="1"/>
    <x v="6"/>
    <n v="30.176591375769998"/>
    <n v="210"/>
    <n v="3.7380261505786399"/>
    <n v="0.74167185527353963"/>
    <n v="0.6"/>
    <s v="0.25"/>
    <n v="13.601950305804854"/>
    <n v="1042589.490939942"/>
    <n v="15.109152281827514"/>
    <n v="3.024"/>
    <m/>
    <s v="Contracted"/>
    <n v="0.20637747185706132"/>
    <n v="215166.98332492579"/>
    <n v="3302.1577166844681"/>
    <n v="3255.3250814804678"/>
    <n v="0.26043577375325461"/>
    <m/>
    <n v="1178912.7548612668"/>
    <x v="1"/>
    <n v="3767.4534735980392"/>
    <n v="791165.22945558827"/>
    <m/>
    <n v="0"/>
    <n v="0"/>
    <n v="0"/>
    <n v="1041293.037201418"/>
    <n v="0"/>
    <n v="0"/>
    <n v="0"/>
    <n v="1296.4537385239505"/>
    <n v="1042589.490939942"/>
    <n v="7.9545486780113542E-2"/>
    <n v="0.2973431097445719"/>
    <m/>
    <n v="3.5978045977011401"/>
  </r>
  <r>
    <s v="MUNDRA TPS1"/>
    <x v="80"/>
    <s v="Gujarat"/>
    <s v="WR"/>
    <x v="2"/>
    <x v="2"/>
    <n v="10.757015742642"/>
    <n v="330"/>
    <n v="5.3440898274067896"/>
    <n v="0.6747588165917664"/>
    <n v="0.8"/>
    <s v="0.15"/>
    <n v="10.570064666534408"/>
    <n v="1273164.2890840694"/>
    <n v="13.008247823648185"/>
    <n v="6.3360000000000003"/>
    <m/>
    <s v="Contracted"/>
    <n v="1"/>
    <n v="1273164.2890840694"/>
    <n v="3155.5050577912389"/>
    <n v="3196.9061860799184"/>
    <n v="0.27253957266732282"/>
    <m/>
    <n v="1904567.2792835222"/>
    <x v="1"/>
    <n v="3274.1621759038899"/>
    <n v="1080473.5180482836"/>
    <m/>
    <n v="0"/>
    <n v="0"/>
    <n v="0"/>
    <n v="1260151.2550763541"/>
    <n v="0"/>
    <n v="0"/>
    <n v="13013.034007715318"/>
    <n v="0"/>
    <n v="1273164.2890840694"/>
    <n v="7.3165418961100362E-2"/>
    <n v="0.39100257118797227"/>
    <m/>
    <n v="2.5818872950819598"/>
  </r>
  <r>
    <s v="MUNDRA TPS2"/>
    <x v="80"/>
    <s v="Gujarat"/>
    <s v="WR"/>
    <x v="2"/>
    <x v="2"/>
    <n v="10.17659137577"/>
    <n v="330"/>
    <n v="5.7565654102783599"/>
    <n v="0.72683906695433842"/>
    <n v="0.8"/>
    <s v="0.15"/>
    <n v="11.276287872083312"/>
    <n v="1358228.8741924348"/>
    <n v="12.989862881827515"/>
    <n v="6.3360000000000003"/>
    <m/>
    <s v="Contracted"/>
    <n v="1"/>
    <n v="1358228.8741924348"/>
    <n v="3151.0703039404516"/>
    <n v="3175.2552013704753"/>
    <n v="0.27292313945663466"/>
    <m/>
    <n v="2037674.2497273847"/>
    <x v="1"/>
    <n v="3274.1621759038899"/>
    <n v="1080473.5180482836"/>
    <m/>
    <n v="0"/>
    <n v="0"/>
    <n v="0"/>
    <n v="1344346.3936031919"/>
    <n v="0"/>
    <n v="0"/>
    <n v="13882.480589243069"/>
    <n v="0"/>
    <n v="1358228.8741924351"/>
    <n v="7.3165418961100362E-2"/>
    <n v="0.42118152001999482"/>
    <m/>
    <n v="2.5818872950819598"/>
  </r>
  <r>
    <s v="MUNDRA TPS3"/>
    <x v="80"/>
    <s v="Gujarat"/>
    <s v="WR"/>
    <x v="2"/>
    <x v="1"/>
    <n v="9.7577002053388"/>
    <n v="330"/>
    <n v="5.7373718952104102"/>
    <n v="0.7244156433346477"/>
    <n v="0.85"/>
    <s v="0.15"/>
    <n v="11.22930167441206"/>
    <n v="1352569.3866829327"/>
    <n v="12.976594504004106"/>
    <n v="6.7320000000000002"/>
    <m/>
    <s v="Contracted"/>
    <n v="1"/>
    <n v="1352569.3866829327"/>
    <n v="3131.3411904537988"/>
    <n v="3172.8557619378917"/>
    <n v="0.27464270026587789"/>
    <m/>
    <n v="2029345.5735563203"/>
    <x v="1"/>
    <n v="3274.1621759038899"/>
    <n v="1080473.5180482836"/>
    <m/>
    <n v="0"/>
    <n v="0"/>
    <n v="0"/>
    <n v="1338744.7518124699"/>
    <n v="0"/>
    <n v="0"/>
    <n v="13824.634870462834"/>
    <n v="0"/>
    <n v="1352569.3866829327"/>
    <n v="7.3165418961100362E-2"/>
    <n v="0.41977721844871208"/>
    <m/>
    <n v="2.5818872950819598"/>
  </r>
  <r>
    <s v="MUNDRA TPS4"/>
    <x v="80"/>
    <s v="Gujarat"/>
    <s v="WR"/>
    <x v="2"/>
    <x v="1"/>
    <n v="9.4236824093086895"/>
    <n v="330"/>
    <n v="5.7211063239749196"/>
    <n v="0.72236190959279278"/>
    <n v="0.85"/>
    <s v="0.15"/>
    <n v="11.190147447052254"/>
    <n v="1347853.2599974442"/>
    <n v="12.966014490314851"/>
    <n v="6.7320000000000002"/>
    <m/>
    <s v="Contracted"/>
    <n v="1"/>
    <n v="1347853.2599974442"/>
    <n v="3128.7891151245722"/>
    <n v="3170.9825918361912"/>
    <n v="0.27486671947391994"/>
    <m/>
    <n v="2022397.6603545749"/>
    <x v="1"/>
    <n v="3274.1621759038899"/>
    <n v="1080473.5180482836"/>
    <m/>
    <n v="0"/>
    <n v="0"/>
    <n v="0"/>
    <n v="1334076.8287386196"/>
    <n v="0"/>
    <n v="0"/>
    <n v="13776.431258824381"/>
    <n v="0"/>
    <n v="1347853.259997444"/>
    <n v="7.3165418961100362E-2"/>
    <n v="0.41858714111462575"/>
    <m/>
    <n v="2.5818872950819598"/>
  </r>
  <r>
    <s v="MUZAFFARPUR TPS1"/>
    <x v="114"/>
    <s v="Bihar"/>
    <s v="ER"/>
    <x v="0"/>
    <x v="1"/>
    <n v="6.5051334702258696"/>
    <n v="110"/>
    <n v="1.1600711039232801"/>
    <n v="0.43942087269821217"/>
    <n v="0.85"/>
    <s v="0.15"/>
    <n v="9.1965479807814408"/>
    <n v="369241.40142837481"/>
    <n v="14.909058552669403"/>
    <n v="2.2440000000000002"/>
    <m/>
    <s v="Contracted"/>
    <n v="0"/>
    <n v="0"/>
    <n v="3084.6975399691992"/>
    <n v="3220.4231747763038"/>
    <n v="0.27879556710399139"/>
    <m/>
    <n v="295167.99641378177"/>
    <x v="1"/>
    <n v="4619.7784590181791"/>
    <n v="508175.63049199968"/>
    <m/>
    <n v="0"/>
    <n v="301934.16753657989"/>
    <n v="67307.233891795011"/>
    <n v="0"/>
    <n v="0"/>
    <n v="0"/>
    <n v="0"/>
    <n v="0"/>
    <n v="369241.40142837493"/>
    <n v="9.4599688742977306E-2"/>
    <n v="0.10974236535086437"/>
    <m/>
    <n v="3.3885559566787098"/>
  </r>
  <r>
    <s v="MUZAFFARPUR TPS2"/>
    <x v="114"/>
    <s v="Bihar"/>
    <s v="ER"/>
    <x v="0"/>
    <x v="1"/>
    <n v="5.5058179329226498"/>
    <n v="110"/>
    <n v="0.87331513167899399"/>
    <n v="0.33080118624204319"/>
    <n v="0.85"/>
    <s v="0.15"/>
    <n v="7.6536363775667446"/>
    <n v="307293.50055930478"/>
    <n v="14.877405233025323"/>
    <n v="2.2440000000000002"/>
    <m/>
    <s v="Contracted"/>
    <n v="0"/>
    <n v="0"/>
    <n v="3077.0622326317589"/>
    <n v="3248.6944075343031"/>
    <n v="0.2794873600149636"/>
    <m/>
    <n v="224156.61561611161"/>
    <x v="1"/>
    <n v="4619.7784590181791"/>
    <n v="508175.63049199968"/>
    <m/>
    <n v="0"/>
    <n v="251278.4506879657"/>
    <n v="56015.049871339121"/>
    <n v="0"/>
    <n v="0"/>
    <n v="0"/>
    <n v="0"/>
    <n v="0"/>
    <n v="307293.50055930484"/>
    <n v="9.4599688742977306E-2"/>
    <n v="8.2615339631365067E-2"/>
    <m/>
    <n v="3.3885559566787098"/>
  </r>
  <r>
    <s v="MUZAFFARPUR TPS3"/>
    <x v="114"/>
    <s v="Bihar"/>
    <s v="ER"/>
    <x v="0"/>
    <x v="1"/>
    <n v="5.1772758384667998"/>
    <n v="195"/>
    <n v="2.81276400728578"/>
    <n v="0.60101795027473925"/>
    <n v="0.85"/>
    <s v="0.15"/>
    <n v="10.960165209740966"/>
    <n v="780089.75880331325"/>
    <n v="14.424327162183435"/>
    <n v="3.9780000000000002"/>
    <m/>
    <s v="Contracted"/>
    <n v="0"/>
    <n v="0"/>
    <n v="2995.863899103012"/>
    <n v="3078.1701940591511"/>
    <n v="0.2870624397381642"/>
    <m/>
    <n v="684065.42403251608"/>
    <x v="1"/>
    <n v="4619.7784590181791"/>
    <n v="900856.79950854497"/>
    <m/>
    <n v="0"/>
    <n v="637890.95972700347"/>
    <n v="142198.79907630986"/>
    <n v="0"/>
    <n v="0"/>
    <n v="0"/>
    <n v="0"/>
    <n v="0"/>
    <n v="780089.75880331337"/>
    <n v="9.4599688742977306E-2"/>
    <n v="0.26608659959668435"/>
    <m/>
    <n v="2.68938639281129"/>
  </r>
  <r>
    <s v="NASIK TPS3"/>
    <x v="143"/>
    <s v="Maharashtra"/>
    <s v="WR"/>
    <x v="1"/>
    <x v="9"/>
    <n v="41.0924024640657"/>
    <n v="210"/>
    <n v="2.1689763206031398"/>
    <n v="0.43035244456411503"/>
    <n v="0.55000000000000004"/>
    <s v="0.25"/>
    <n v="9.6162282650031834"/>
    <n v="737083.89651249407"/>
    <n v="15.454910598049279"/>
    <n v="2.7719999999999998"/>
    <m/>
    <s v="Contracted"/>
    <n v="0"/>
    <n v="0"/>
    <n v="3355.5599784455853"/>
    <n v="3395.1120144230922"/>
    <n v="0.25629105291641446"/>
    <m/>
    <n v="615463.28481141839"/>
    <x v="1"/>
    <n v="4367.1653169000492"/>
    <n v="917104.71654901037"/>
    <m/>
    <n v="0"/>
    <n v="0"/>
    <n v="0"/>
    <n v="0"/>
    <n v="0"/>
    <n v="0"/>
    <n v="24893.000781446073"/>
    <n v="712190.89573104796"/>
    <n v="737083.89651249407"/>
    <n v="0.10328378773749107"/>
    <n v="0.22402008990481909"/>
    <m/>
    <n v="3.27290109890115"/>
  </r>
  <r>
    <s v="NASIK TPS4"/>
    <x v="143"/>
    <s v="Maharashtra"/>
    <s v="WR"/>
    <x v="1"/>
    <x v="8"/>
    <n v="39.841204654346299"/>
    <n v="210"/>
    <n v="2.83990647741388"/>
    <n v="0.56347350742338886"/>
    <n v="0.55000000000000004"/>
    <s v="0.25"/>
    <n v="11.428749858260256"/>
    <n v="876013.67663564847"/>
    <n v="15.415278907426417"/>
    <n v="2.7719999999999998"/>
    <m/>
    <s v="Contracted"/>
    <n v="0"/>
    <n v="0"/>
    <n v="3346.0001552861054"/>
    <n v="3341.546201768947"/>
    <n v="0.25702329948830033"/>
    <m/>
    <n v="793130.66377044551"/>
    <x v="1"/>
    <n v="4367.1653169000492"/>
    <n v="917104.71654901037"/>
    <m/>
    <n v="0"/>
    <n v="0"/>
    <n v="0"/>
    <n v="0"/>
    <n v="0"/>
    <n v="0"/>
    <n v="29584.975659116182"/>
    <n v="846428.70097653242"/>
    <n v="876013.67663564859"/>
    <n v="0.10328378773749107"/>
    <n v="0.29331629780754115"/>
    <m/>
    <n v="3.27290109890115"/>
  </r>
  <r>
    <s v="NASIK TPS5"/>
    <x v="143"/>
    <s v="Maharashtra"/>
    <s v="WR"/>
    <x v="1"/>
    <x v="8"/>
    <n v="39.337440109513999"/>
    <n v="210"/>
    <n v="1.79778670053259"/>
    <n v="0.35670371042313292"/>
    <n v="0.55000000000000004"/>
    <s v="0.25"/>
    <n v="8.5359428996990321"/>
    <n v="654280.02326193079"/>
    <n v="15.399322165468854"/>
    <n v="2.7719999999999998"/>
    <m/>
    <s v="Contracted"/>
    <n v="0"/>
    <n v="0"/>
    <n v="3342.1511236420261"/>
    <n v="3406.0493100429985"/>
    <n v="0.25731930370127498"/>
    <m/>
    <n v="511778.84117391723"/>
    <x v="1"/>
    <n v="4367.1653169000492"/>
    <n v="917104.71654901037"/>
    <m/>
    <n v="0"/>
    <n v="0"/>
    <n v="0"/>
    <n v="0"/>
    <n v="0"/>
    <n v="0"/>
    <n v="22096.525520915002"/>
    <n v="632183.49774101586"/>
    <n v="654280.02326193091"/>
    <n v="0.10328378773749107"/>
    <n v="0.18568221997509246"/>
    <m/>
    <n v="3.27290109890115"/>
  </r>
  <r>
    <s v="NIWARI TPP1"/>
    <x v="144"/>
    <s v="Madhya Pradesh"/>
    <s v="WR"/>
    <x v="2"/>
    <x v="1"/>
    <n v="6.4229979466118996"/>
    <n v="45"/>
    <n v="0.37471153628626402"/>
    <n v="0.34695512619098523"/>
    <n v="0.85"/>
    <s v="0.15"/>
    <n v="7.3562050671919668"/>
    <n v="120825.66822862806"/>
    <n v="14.355219309958931"/>
    <n v="0.91800000000000004"/>
    <m/>
    <s v="Not contracted"/>
    <n v="0.28000000000000003"/>
    <n v="33831.187104015858"/>
    <n v="3207.3707979620121"/>
    <n v="3373.6629455509064"/>
    <n v="0.26813239072527895"/>
    <m/>
    <n v="107656.3007961711"/>
    <x v="1"/>
    <m/>
    <n v="0"/>
    <m/>
    <m/>
    <m/>
    <m/>
    <m/>
    <m/>
    <m/>
    <m/>
    <m/>
    <n v="0"/>
    <n v="0.11909037109527723"/>
    <n v="4.4624535910012621E-2"/>
    <m/>
    <m/>
  </r>
  <r>
    <s v="NIWARI TPP2"/>
    <x v="144"/>
    <s v="Madhya Pradesh"/>
    <s v="WR"/>
    <x v="2"/>
    <x v="0"/>
    <n v="0.84325804243668701"/>
    <n v="45"/>
    <n v="7.2983870967741902E-3"/>
    <n v="6.7577658303464728E-3"/>
    <n v="0.85"/>
    <s v="0.15"/>
    <n v="2.4461988718215419"/>
    <n v="40178.816469668825"/>
    <n v="14.178481048494183"/>
    <n v="0.91800000000000004"/>
    <m/>
    <s v="Not contracted"/>
    <n v="0.28000000000000003"/>
    <n v="11250.068611507273"/>
    <n v="3164.7385887737846"/>
    <n v="3443.490186013928"/>
    <n v="0.27174440348743534"/>
    <m/>
    <n v="2140.2595391128098"/>
    <x v="1"/>
    <m/>
    <n v="0"/>
    <m/>
    <m/>
    <m/>
    <m/>
    <m/>
    <m/>
    <m/>
    <m/>
    <m/>
    <n v="0"/>
    <n v="0.11909037109527723"/>
    <n v="8.6916762775182134E-4"/>
    <m/>
    <m/>
  </r>
  <r>
    <s v="NORTH CHENNAI TPS1"/>
    <x v="47"/>
    <s v="Tamil Nadu"/>
    <s v="SR"/>
    <x v="1"/>
    <x v="5"/>
    <n v="16.383299110198401"/>
    <n v="210"/>
    <n v="3.2111540370556502"/>
    <n v="0.63713373751104163"/>
    <n v="0.65"/>
    <s v="0.25"/>
    <n v="11.710577579427911"/>
    <n v="897615.77146314934"/>
    <n v="14.672249749315533"/>
    <n v="3.2759999999999998"/>
    <m/>
    <s v="Contracted"/>
    <n v="0.17717116061028612"/>
    <n v="159031.62801222352"/>
    <n v="3173.6562703516265"/>
    <n v="3177.9094861821163"/>
    <n v="0.2709808267625391"/>
    <m/>
    <n v="995367.33896830177"/>
    <x v="1"/>
    <n v="3742.0720109048975"/>
    <n v="785835.12229002849"/>
    <m/>
    <n v="0"/>
    <n v="0"/>
    <n v="0"/>
    <n v="897615.77146314934"/>
    <n v="0"/>
    <n v="0"/>
    <n v="0"/>
    <n v="0"/>
    <n v="897615.77146314934"/>
    <n v="7.8776329249988286E-2"/>
    <n v="0.25296292769552498"/>
    <m/>
    <n v="3.0684827586207"/>
  </r>
  <r>
    <s v="NORTH CHENNAI TPS2"/>
    <x v="47"/>
    <s v="Tamil Nadu"/>
    <s v="SR"/>
    <x v="1"/>
    <x v="5"/>
    <n v="15.9247091033538"/>
    <n v="210"/>
    <n v="3.64097022207641"/>
    <n v="0.7224147266024622"/>
    <n v="0.65"/>
    <s v="0.25"/>
    <n v="12.882591726486767"/>
    <n v="987450.65583521069"/>
    <n v="14.65772391084873"/>
    <n v="3.2759999999999998"/>
    <m/>
    <s v="Contracted"/>
    <n v="0.17717116061028612"/>
    <n v="174947.77873971246"/>
    <n v="3170.1523964365001"/>
    <n v="3146.2141733658523"/>
    <n v="0.2712803337046848"/>
    <m/>
    <n v="1117342.0262097928"/>
    <x v="1"/>
    <n v="3742.0720109048975"/>
    <n v="785835.12229002849"/>
    <m/>
    <n v="0"/>
    <n v="0"/>
    <n v="0"/>
    <n v="987450.65583521069"/>
    <n v="0"/>
    <n v="0"/>
    <n v="0"/>
    <n v="0"/>
    <n v="987450.65583521069"/>
    <n v="7.8776329249988286E-2"/>
    <n v="0.28682226900369423"/>
    <m/>
    <n v="3.0684827586207"/>
  </r>
  <r>
    <s v="NORTH CHENNAI TPS3"/>
    <x v="47"/>
    <s v="Tamil Nadu"/>
    <s v="SR"/>
    <x v="1"/>
    <x v="4"/>
    <n v="24.2546201232032"/>
    <n v="210"/>
    <n v="3.6123119578162401"/>
    <n v="0.71672856305877775"/>
    <n v="0.7"/>
    <s v="0.25"/>
    <n v="13.067328358808153"/>
    <n v="1001610.7187026449"/>
    <n v="14.921573842402461"/>
    <n v="3.528"/>
    <m/>
    <s v="Contracted"/>
    <n v="0.17717116061028612"/>
    <n v="177456.53351225043"/>
    <n v="3217.2688297903669"/>
    <n v="3211.738848625751"/>
    <n v="0.26730747273489003"/>
    <m/>
    <n v="1131634.5474591523"/>
    <x v="1"/>
    <n v="3742.0720109048975"/>
    <n v="785835.12229002849"/>
    <m/>
    <n v="0"/>
    <n v="0"/>
    <n v="0"/>
    <n v="1001610.7187026449"/>
    <n v="0"/>
    <n v="0"/>
    <n v="0"/>
    <n v="0"/>
    <n v="1001610.7187026449"/>
    <n v="7.8776329249988286E-2"/>
    <n v="0.28456467614260195"/>
    <m/>
    <n v="3.0684827586207"/>
  </r>
  <r>
    <s v="OBRA TPS1"/>
    <x v="145"/>
    <s v="Uttar Pradesh"/>
    <s v="NR"/>
    <x v="1"/>
    <x v="7"/>
    <n v="52.758384668035497"/>
    <n v="50"/>
    <n v="1.5340792540792501"/>
    <n v="1.278399378399375"/>
    <n v="0.55000000000000004"/>
    <s v="0.25"/>
    <n v="22.618143655844051"/>
    <n v="412781.12171915395"/>
    <n v="16.657694584360023"/>
    <n v="0.66"/>
    <m/>
    <s v="Contracted"/>
    <n v="0"/>
    <n v="0"/>
    <n v="3592.8131151163579"/>
    <n v="3352.0252585196222"/>
    <n v="0.23936675035549346"/>
    <m/>
    <n v="411324.10917950468"/>
    <x v="1"/>
    <n v="4563.1398382003654"/>
    <n v="228156.99191001826"/>
    <m/>
    <n v="2773.812761299288"/>
    <n v="0"/>
    <n v="0"/>
    <n v="0"/>
    <n v="410007.30895785464"/>
    <n v="0"/>
    <n v="0"/>
    <n v="0"/>
    <n v="412781.12171915395"/>
    <n v="9.0180179439313821E-2"/>
    <n v="0.13834354240699548"/>
    <m/>
    <n v="2.3353287197231798"/>
  </r>
  <r>
    <s v="OBRA TPS10"/>
    <x v="145"/>
    <s v="Uttar Pradesh"/>
    <s v="NR"/>
    <x v="1"/>
    <x v="9"/>
    <n v="41.338809034907598"/>
    <n v="200"/>
    <n v="3.0038180028956298"/>
    <n v="0.62579541726992294"/>
    <n v="0.55000000000000004"/>
    <s v="0.25"/>
    <n v="12.395368905282316"/>
    <n v="904861.93008560908"/>
    <n v="15.514794526180697"/>
    <n v="2.64"/>
    <m/>
    <s v="Contracted"/>
    <n v="0"/>
    <n v="0"/>
    <n v="3366.7000799671459"/>
    <n v="3341.6442979257267"/>
    <n v="0.25544300934830888"/>
    <m/>
    <n v="802902.7062316949"/>
    <x v="1"/>
    <n v="4563.1398382003654"/>
    <n v="912627.96764007304"/>
    <m/>
    <n v="6080.5047440930521"/>
    <n v="0"/>
    <n v="0"/>
    <n v="0"/>
    <n v="898781.42534151592"/>
    <n v="0"/>
    <n v="0"/>
    <n v="0"/>
    <n v="904861.93008560897"/>
    <n v="9.0180179439313821E-2"/>
    <n v="0.27088484650416916"/>
    <m/>
    <n v="1.88889254385964"/>
  </r>
  <r>
    <s v="OBRA TPS11"/>
    <x v="145"/>
    <s v="Uttar Pradesh"/>
    <s v="NR"/>
    <x v="1"/>
    <x v="9"/>
    <n v="42.4229979466119"/>
    <n v="200"/>
    <n v="3.4475288629341199"/>
    <n v="0.7182351797779416"/>
    <n v="0.55000000000000004"/>
    <s v="0.25"/>
    <n v="13.715852736763368"/>
    <n v="1001257.2497837258"/>
    <n v="15.549136209958933"/>
    <n v="2.64"/>
    <m/>
    <s v="Contracted"/>
    <n v="0"/>
    <n v="0"/>
    <n v="3374.9838654620125"/>
    <n v="3319.3701602006026"/>
    <n v="0.2548160329893227"/>
    <m/>
    <n v="915361.58577970834"/>
    <x v="1"/>
    <n v="4563.1398382003654"/>
    <n v="912627.96764007304"/>
    <m/>
    <n v="6728.2634564938617"/>
    <n v="0"/>
    <n v="0"/>
    <n v="0"/>
    <n v="994528.98632723209"/>
    <n v="0"/>
    <n v="0"/>
    <n v="0"/>
    <n v="1001257.2497837259"/>
    <n v="9.0180179439313821E-2"/>
    <n v="0.31089877148161249"/>
    <m/>
    <n v="1.88889254385964"/>
  </r>
  <r>
    <s v="OBRA TPS12"/>
    <x v="145"/>
    <s v="Uttar Pradesh"/>
    <s v="NR"/>
    <x v="1"/>
    <x v="8"/>
    <n v="39.175906913073199"/>
    <n v="200"/>
    <n v="4.2275800271906999E-2"/>
    <n v="8.8074583899806248E-3"/>
    <n v="0.55000000000000004"/>
    <s v="0.25"/>
    <n v="3.7425204122889113"/>
    <n v="273203.99009709054"/>
    <n v="15.446284601471593"/>
    <n v="2.64"/>
    <m/>
    <s v="Contracted"/>
    <n v="0"/>
    <n v="0"/>
    <n v="3350.1743462778918"/>
    <n v="3529.0770141889657"/>
    <n v="0.25670305814247446"/>
    <m/>
    <n v="11933.890808620894"/>
    <x v="1"/>
    <n v="4563.1398382003654"/>
    <n v="912627.96764007304"/>
    <m/>
    <n v="1835.8802626753695"/>
    <n v="0"/>
    <n v="0"/>
    <n v="0"/>
    <n v="271368.10983441514"/>
    <n v="0"/>
    <n v="0"/>
    <n v="0"/>
    <n v="273203.99009709049"/>
    <n v="9.0180179439313821E-2"/>
    <n v="3.8124392544611652E-3"/>
    <m/>
    <n v="1.88889254385964"/>
  </r>
  <r>
    <s v="OBRA TPS13"/>
    <x v="145"/>
    <s v="Uttar Pradesh"/>
    <s v="NR"/>
    <x v="1"/>
    <x v="8"/>
    <n v="37.842573579739899"/>
    <n v="200"/>
    <n v="0.392669921311745"/>
    <n v="8.1806233606613543E-2"/>
    <n v="0.55000000000000004"/>
    <s v="0.25"/>
    <n v="4.7159409381771571"/>
    <n v="344263.68848693249"/>
    <n v="15.404051268138261"/>
    <n v="2.64"/>
    <m/>
    <s v="Contracted"/>
    <n v="0"/>
    <n v="0"/>
    <n v="3339.9869636112253"/>
    <n v="3494.7583388004068"/>
    <n v="0.25748603493654354"/>
    <m/>
    <n v="109767.5249179211"/>
    <x v="1"/>
    <n v="4563.1398382003654"/>
    <n v="912627.96764007304"/>
    <m/>
    <n v="2313.388287720004"/>
    <n v="0"/>
    <n v="0"/>
    <n v="0"/>
    <n v="341950.30019921251"/>
    <n v="0"/>
    <n v="0"/>
    <n v="0"/>
    <n v="344263.68848693249"/>
    <n v="9.0180179439313821E-2"/>
    <n v="3.5411043964314402E-2"/>
    <m/>
    <n v="1.88889254385964"/>
  </r>
  <r>
    <s v="OBRA TPS9"/>
    <x v="145"/>
    <s v="Uttar Pradesh"/>
    <s v="NR"/>
    <x v="1"/>
    <x v="8"/>
    <n v="39.589322381930103"/>
    <n v="200"/>
    <n v="3.1869830530252901"/>
    <n v="0.66395480271360219"/>
    <n v="0.55000000000000004"/>
    <s v="0.25"/>
    <n v="12.870876893042796"/>
    <n v="939574.01319212408"/>
    <n v="15.459379536447637"/>
    <n v="2.64"/>
    <m/>
    <s v="Contracted"/>
    <n v="0"/>
    <n v="0"/>
    <n v="3353.3330624640653"/>
    <n v="3315.6628865852663"/>
    <n v="0.25646125332031966"/>
    <m/>
    <n v="845238.37935673655"/>
    <x v="1"/>
    <n v="4563.1398382003654"/>
    <n v="912627.96764007304"/>
    <m/>
    <n v="6313.7635198120697"/>
    <n v="0"/>
    <n v="0"/>
    <n v="0"/>
    <n v="933260.24967231194"/>
    <n v="0"/>
    <n v="0"/>
    <n v="0"/>
    <n v="939574.01319212397"/>
    <n v="9.0180179439313821E-2"/>
    <n v="0.28740270359187287"/>
    <m/>
    <n v="1.88889254385964"/>
  </r>
  <r>
    <s v="OP JINDAL TPS1"/>
    <x v="146"/>
    <s v="Chhatisgarh"/>
    <s v="WR"/>
    <x v="2"/>
    <x v="2"/>
    <n v="12.6735112936344"/>
    <n v="250"/>
    <n v="1.2454308806963601"/>
    <n v="0.20757181344939338"/>
    <n v="0.8"/>
    <s v="0.15"/>
    <n v="4.5472887322913138"/>
    <n v="414940.09682158241"/>
    <n v="13.485584820225869"/>
    <n v="4.8"/>
    <m/>
    <s v="Contracted"/>
    <n v="4.4056157568821169E-2"/>
    <n v="18280.666287193544"/>
    <n v="3028.6846043973046"/>
    <n v="3224.5243009391625"/>
    <n v="0.28395165305472153"/>
    <m/>
    <n v="341999.90225853911"/>
    <x v="1"/>
    <m/>
    <n v="0"/>
    <m/>
    <m/>
    <m/>
    <m/>
    <m/>
    <m/>
    <m/>
    <m/>
    <m/>
    <n v="0"/>
    <n v="9.6900494936795964E-2"/>
    <n v="0.12068286874904698"/>
    <m/>
    <m/>
  </r>
  <r>
    <s v="OP JINDAL TPS2"/>
    <x v="146"/>
    <s v="Chhatisgarh"/>
    <s v="WR"/>
    <x v="2"/>
    <x v="2"/>
    <n v="12.2546201232032"/>
    <n v="250"/>
    <n v="0.73616970266786697"/>
    <n v="0.1226949504446445"/>
    <n v="0.8"/>
    <s v="0.15"/>
    <n v="3.3531030964239337"/>
    <n v="305970.65754868393"/>
    <n v="13.472316442402461"/>
    <n v="4.8"/>
    <m/>
    <s v="Contracted"/>
    <n v="4.4056157568821169E-2"/>
    <n v="13479.891500400641"/>
    <n v="3025.4840509106516"/>
    <n v="3249.3815939082251"/>
    <n v="0.28425203555151629"/>
    <m/>
    <n v="203713.28578447926"/>
    <x v="1"/>
    <m/>
    <n v="0"/>
    <m/>
    <m/>
    <m/>
    <m/>
    <m/>
    <m/>
    <m/>
    <m/>
    <m/>
    <n v="0"/>
    <n v="9.6900494936795964E-2"/>
    <n v="7.1335208545990236E-2"/>
    <m/>
    <m/>
  </r>
  <r>
    <s v="OP JINDAL TPS3"/>
    <x v="146"/>
    <s v="Chhatisgarh"/>
    <s v="WR"/>
    <x v="2"/>
    <x v="2"/>
    <n v="12.175222450376401"/>
    <n v="250"/>
    <n v="3.0174750292211798"/>
    <n v="0.50291250487019667"/>
    <n v="0.8"/>
    <s v="0.15"/>
    <n v="8.6406690751261799"/>
    <n v="788461.05310526385"/>
    <n v="13.469801521115672"/>
    <n v="4.8"/>
    <m/>
    <s v="Contracted"/>
    <n v="4.4056157568821169E-2"/>
    <n v="34736.564392484179"/>
    <n v="3024.8774100537048"/>
    <n v="3123.085979823758"/>
    <n v="0.28430904245627964"/>
    <m/>
    <n v="802543.02257432742"/>
    <x v="1"/>
    <m/>
    <n v="0"/>
    <m/>
    <m/>
    <m/>
    <m/>
    <m/>
    <m/>
    <m/>
    <m/>
    <m/>
    <n v="0"/>
    <n v="9.6900494936795964E-2"/>
    <n v="0.29239482379095522"/>
    <m/>
    <m/>
  </r>
  <r>
    <s v="OP JINDAL TPS4"/>
    <x v="146"/>
    <s v="Chhatisgarh"/>
    <s v="WR"/>
    <x v="2"/>
    <x v="2"/>
    <n v="11.9233401779603"/>
    <n v="250"/>
    <n v="2.7790745224853"/>
    <n v="0.46317908708088329"/>
    <n v="0.8"/>
    <s v="0.15"/>
    <n v="8.0798677424193457"/>
    <n v="737287.93149576534"/>
    <n v="13.461823150136892"/>
    <n v="4.8"/>
    <m/>
    <s v="Contracted"/>
    <n v="4.4056157568821169E-2"/>
    <n v="32482.073283567668"/>
    <n v="3022.9528942316656"/>
    <n v="3134.2961876004333"/>
    <n v="0.28449004337481859"/>
    <m/>
    <n v="741789.91566083918"/>
    <x v="1"/>
    <m/>
    <n v="0"/>
    <m/>
    <m/>
    <m/>
    <m/>
    <m/>
    <m/>
    <m/>
    <m/>
    <m/>
    <n v="0"/>
    <n v="9.6900494936795964E-2"/>
    <n v="0.26929369669506548"/>
    <m/>
    <m/>
  </r>
  <r>
    <s v="PANIPAT TPS5"/>
    <x v="147"/>
    <s v="Haryana"/>
    <s v="NR"/>
    <x v="1"/>
    <x v="6"/>
    <n v="31.175906913073199"/>
    <n v="210"/>
    <n v="0.26302802755750099"/>
    <n v="5.218810070585337E-2"/>
    <n v="0.6"/>
    <s v="0.25"/>
    <n v="4.0406093030223431"/>
    <n v="309712.70307666261"/>
    <n v="15.140805601471593"/>
    <n v="3.024"/>
    <m/>
    <s v="Contracted"/>
    <n v="0"/>
    <n v="0"/>
    <n v="3263.2640672778916"/>
    <n v="3444.3549042018371"/>
    <n v="0.26353981236871948"/>
    <m/>
    <n v="76701.846659250994"/>
    <x v="1"/>
    <n v="4311.1880532682781"/>
    <n v="905349.49118633836"/>
    <m/>
    <n v="129860.68138969426"/>
    <n v="153880.51008462079"/>
    <n v="1475.377221969218"/>
    <n v="3274.4318422228225"/>
    <n v="4520.2671873896297"/>
    <n v="0"/>
    <n v="0"/>
    <n v="16701.435350765889"/>
    <n v="309712.70307666255"/>
    <n v="9.6798449718982396E-2"/>
    <n v="2.5460705300207876E-2"/>
    <m/>
    <n v="3.9239052496798998"/>
  </r>
  <r>
    <s v="PANIPAT TPS6"/>
    <x v="147"/>
    <s v="Haryana"/>
    <s v="NR"/>
    <x v="1"/>
    <x v="3"/>
    <n v="19.175906913073199"/>
    <n v="210"/>
    <n v="0.61630677790137101"/>
    <n v="0.12228309085344663"/>
    <n v="0.75"/>
    <s v="0.25"/>
    <n v="4.635761929442852"/>
    <n v="355331.15189179464"/>
    <n v="14.760705601471592"/>
    <n v="3.78"/>
    <m/>
    <s v="Contracted"/>
    <n v="0"/>
    <n v="0"/>
    <n v="3121.991943277892"/>
    <n v="3329.497075194759"/>
    <n v="0.27546515674126149"/>
    <m/>
    <n v="173728.66365797902"/>
    <x v="1"/>
    <n v="4311.1880532682781"/>
    <n v="905349.49118633836"/>
    <m/>
    <n v="148988.22374822508"/>
    <n v="176546.00007972791"/>
    <n v="1692.6896525373459"/>
    <n v="3756.7320511235398"/>
    <n v="5186.069962898041"/>
    <n v="0"/>
    <n v="0"/>
    <n v="19161.43639728273"/>
    <n v="355331.15189179464"/>
    <n v="9.6798449718982396E-2"/>
    <n v="5.9657540652153909E-2"/>
    <m/>
    <n v="3.81410654827974"/>
  </r>
  <r>
    <s v="PANIPAT TPS7"/>
    <x v="147"/>
    <s v="Haryana"/>
    <s v="NR"/>
    <x v="1"/>
    <x v="3"/>
    <n v="15.6714579055441"/>
    <n v="250"/>
    <n v="3.21206361189852"/>
    <n v="0.53534393531641999"/>
    <n v="0.75"/>
    <s v="0.25"/>
    <n v="10.063481954396055"/>
    <n v="918292.72833863995"/>
    <n v="14.441386179158108"/>
    <n v="4.5"/>
    <m/>
    <s v="Contracted"/>
    <n v="0"/>
    <n v="0"/>
    <n v="3058.1863789712525"/>
    <n v="3129.1454918609811"/>
    <n v="0.28121242247154882"/>
    <m/>
    <n v="850953.42629278859"/>
    <x v="1"/>
    <n v="4311.1880532682781"/>
    <n v="1077797.0133170695"/>
    <m/>
    <n v="385034.64091926336"/>
    <n v="456253.01138768747"/>
    <n v="4374.4675663349799"/>
    <n v="9708.6329371818683"/>
    <n v="13402.51286786962"/>
    <n v="0"/>
    <n v="0"/>
    <n v="49519.462660302728"/>
    <n v="918292.72833864007"/>
    <n v="9.6798449718982396E-2"/>
    <n v="0.31092277803053187"/>
    <m/>
    <n v="3.5561709211986599"/>
  </r>
  <r>
    <s v="PANIPAT TPS8"/>
    <x v="147"/>
    <s v="Haryana"/>
    <s v="NR"/>
    <x v="1"/>
    <x v="3"/>
    <n v="15.337440109514"/>
    <n v="250"/>
    <n v="3.4156200073814702"/>
    <n v="0.56927000123024507"/>
    <n v="0.75"/>
    <s v="0.25"/>
    <n v="10.524925473585624"/>
    <n v="960399.44946468808"/>
    <n v="14.430806165468855"/>
    <n v="4.5"/>
    <m/>
    <s v="Contracted"/>
    <n v="0"/>
    <n v="0"/>
    <n v="3055.6343036420258"/>
    <n v="3115.378436211342"/>
    <n v="0.2814472919665032"/>
    <m/>
    <n v="900899.31286245433"/>
    <x v="1"/>
    <n v="4311.1880532682781"/>
    <n v="1077797.0133170695"/>
    <m/>
    <n v="402689.73689109675"/>
    <n v="477173.70227476209"/>
    <n v="4575.051193109256"/>
    <n v="10153.805469845471"/>
    <n v="14017.061861126536"/>
    <n v="0"/>
    <n v="0"/>
    <n v="51790.09177474802"/>
    <n v="960399.44946468808"/>
    <n v="9.6798449718982396E-2"/>
    <n v="0.33062672154366551"/>
    <m/>
    <n v="3.5740621531631498"/>
  </r>
  <r>
    <s v="PARAS TPS3"/>
    <x v="148"/>
    <s v="Maharashtra"/>
    <s v="WR"/>
    <x v="1"/>
    <x v="2"/>
    <n v="13.0102669404517"/>
    <n v="250"/>
    <n v="3.1893327460847098"/>
    <n v="0.53155545768078494"/>
    <n v="0.8"/>
    <s v="0.15"/>
    <n v="9.9553882046888731"/>
    <n v="908429.17367785971"/>
    <n v="14.386002655338807"/>
    <n v="4.8"/>
    <m/>
    <s v="Contracted"/>
    <n v="0"/>
    <n v="0"/>
    <n v="3021.3248909383979"/>
    <n v="3110.0649254263117"/>
    <n v="0.28464333729196906"/>
    <m/>
    <n v="828588.85533476435"/>
    <x v="1"/>
    <n v="4369.4126749544839"/>
    <n v="1092353.1687386211"/>
    <m/>
    <n v="0"/>
    <n v="0"/>
    <n v="0"/>
    <n v="0"/>
    <n v="0"/>
    <n v="0"/>
    <n v="0"/>
    <n v="908429.17367785971"/>
    <n v="908429.17367785971"/>
    <n v="0.10363937129574924"/>
    <n v="0.33054044065716476"/>
    <m/>
    <n v="2.24048351648351"/>
  </r>
  <r>
    <s v="PARAS TPS4"/>
    <x v="148"/>
    <s v="Maharashtra"/>
    <s v="WR"/>
    <x v="1"/>
    <x v="2"/>
    <n v="10.17659137577"/>
    <n v="250"/>
    <n v="4.3568097115928399"/>
    <n v="0.72613495193214006"/>
    <n v="0.8"/>
    <s v="0.15"/>
    <n v="12.572874408544958"/>
    <n v="1147274.7897797273"/>
    <n v="14.296245981827514"/>
    <n v="4.8"/>
    <m/>
    <s v="Contracted"/>
    <n v="0"/>
    <n v="0"/>
    <n v="2999.6740879404515"/>
    <n v="3024.0917455183017"/>
    <n v="0.28669781275820805"/>
    <m/>
    <n v="1100609.748266014"/>
    <x v="1"/>
    <n v="4369.4126749544839"/>
    <n v="1092353.1687386211"/>
    <m/>
    <n v="0"/>
    <n v="0"/>
    <n v="0"/>
    <n v="0"/>
    <n v="0"/>
    <n v="0"/>
    <n v="0"/>
    <n v="1147274.7897797273"/>
    <n v="1147274.7897797273"/>
    <n v="0.10363937129574924"/>
    <n v="0.45153701936469648"/>
    <m/>
    <n v="2.24048351648351"/>
  </r>
  <r>
    <s v="PARICHHA TPS2"/>
    <x v="111"/>
    <s v="Uttar Pradesh"/>
    <s v="NR"/>
    <x v="1"/>
    <x v="8"/>
    <n v="35.2525667351129"/>
    <n v="110"/>
    <n v="0.56961224094359797"/>
    <n v="0.21576221247863558"/>
    <n v="0.55000000000000004"/>
    <s v="0.25"/>
    <n v="6.9663831922137014"/>
    <n v="279700.28516738012"/>
    <n v="15.7907238013347"/>
    <n v="1.4520000000000002"/>
    <m/>
    <s v="Contracted"/>
    <n v="0"/>
    <n v="0"/>
    <n v="3403.514727484599"/>
    <n v="3514.0041139908813"/>
    <n v="0.25267997022465993"/>
    <m/>
    <n v="165917.44529278361"/>
    <x v="1"/>
    <n v="4403.3417366147551"/>
    <n v="484367.59102762304"/>
    <m/>
    <n v="107869.38581355583"/>
    <n v="67290.793910588895"/>
    <n v="0"/>
    <n v="0"/>
    <n v="99235.542059080472"/>
    <n v="0"/>
    <n v="5304.5633841548797"/>
    <n v="0"/>
    <n v="279700.28516738006"/>
    <n v="0.10527848654994208"/>
    <n v="5.9967914646862949E-2"/>
    <m/>
    <n v="3.4864035087719101"/>
  </r>
  <r>
    <s v="PARICHHA TPS3"/>
    <x v="111"/>
    <s v="Uttar Pradesh"/>
    <s v="NR"/>
    <x v="1"/>
    <x v="2"/>
    <n v="14.17659137577"/>
    <n v="210"/>
    <n v="3.1025981805180298"/>
    <n v="0.61559487708691074"/>
    <n v="0.8"/>
    <s v="0.15"/>
    <n v="11.369913185200831"/>
    <n v="871503.84564564377"/>
    <n v="14.631261981827514"/>
    <n v="4.032"/>
    <m/>
    <s v="Contracted"/>
    <n v="0"/>
    <n v="0"/>
    <n v="3067.2659279404515"/>
    <n v="3128.2249507079791"/>
    <n v="0.28037999319395701"/>
    <m/>
    <n v="804514.69624963345"/>
    <x v="1"/>
    <n v="4403.3417366147551"/>
    <n v="924701.76468909858"/>
    <m/>
    <n v="336104.71475812152"/>
    <n v="209667.9509444634"/>
    <n v="0"/>
    <n v="0"/>
    <n v="309202.96158248186"/>
    <n v="0"/>
    <n v="16528.21836057676"/>
    <n v="0"/>
    <n v="871503.84564564354"/>
    <n v="0.10527848654994208"/>
    <n v="0.32663684081754218"/>
    <m/>
    <n v="2.9735605170387802"/>
  </r>
  <r>
    <s v="PARICHHA TPS4"/>
    <x v="111"/>
    <s v="Uttar Pradesh"/>
    <s v="NR"/>
    <x v="1"/>
    <x v="2"/>
    <n v="13.423682409308601"/>
    <n v="210"/>
    <n v="3.2355399447357698"/>
    <n v="0.64197221125709725"/>
    <n v="0.8"/>
    <s v="0.15"/>
    <n v="11.71306055719822"/>
    <n v="897806.0917092436"/>
    <n v="14.607413590314849"/>
    <n v="4.032"/>
    <m/>
    <s v="Contracted"/>
    <n v="0"/>
    <n v="0"/>
    <n v="3061.5132991245714"/>
    <n v="3113.7527348826593"/>
    <n v="0.28090683135229688"/>
    <m/>
    <n v="835105.53196656145"/>
    <x v="1"/>
    <n v="4403.3417366147551"/>
    <n v="924701.76468909858"/>
    <m/>
    <n v="346248.45532206009"/>
    <n v="215995.79225571611"/>
    <n v="0"/>
    <n v="0"/>
    <n v="318534.799209786"/>
    <n v="0"/>
    <n v="17027.044921681303"/>
    <n v="0"/>
    <n v="897806.09170924348"/>
    <n v="0.10527848654994208"/>
    <n v="0.3406327485536651"/>
    <m/>
    <n v="2.9735605170387802"/>
  </r>
  <r>
    <s v="PARLI TPS6"/>
    <x v="105"/>
    <s v="Maharashtra"/>
    <s v="WR"/>
    <x v="1"/>
    <x v="2"/>
    <n v="13.2539356605065"/>
    <n v="250"/>
    <n v="2.4483679697017799"/>
    <n v="0.40806132828363001"/>
    <n v="0.8"/>
    <s v="0.15"/>
    <n v="8.2448955408551736"/>
    <n v="752346.71810303465"/>
    <n v="14.393720862046543"/>
    <n v="4.8"/>
    <m/>
    <s v="Contracted"/>
    <n v="0"/>
    <n v="0"/>
    <n v="3023.1866508097191"/>
    <n v="3152.7502878454056"/>
    <n v="0.28446804624837196"/>
    <m/>
    <n v="670834.46614610357"/>
    <x v="1"/>
    <n v="4199.9465172602941"/>
    <n v="1049986.6293150736"/>
    <m/>
    <n v="0"/>
    <n v="0"/>
    <n v="0"/>
    <n v="1005.9952513904864"/>
    <n v="0"/>
    <n v="0"/>
    <n v="0"/>
    <n v="751340.72285164404"/>
    <n v="752346.71810303454"/>
    <n v="0.10765374232246352"/>
    <n v="0.26357597452084858"/>
    <m/>
    <n v="3.4627692307692302"/>
  </r>
  <r>
    <s v="PARLI TPS7"/>
    <x v="105"/>
    <s v="Maharashtra"/>
    <s v="WR"/>
    <x v="1"/>
    <x v="2"/>
    <n v="10.2532511978097"/>
    <n v="250"/>
    <n v="2.0910672243779902"/>
    <n v="0.34851120406299835"/>
    <n v="0.8"/>
    <s v="0.15"/>
    <n v="7.321310117180337"/>
    <n v="668069.54819270573"/>
    <n v="14.298674181690622"/>
    <n v="4.8"/>
    <m/>
    <s v="Contracted"/>
    <n v="0"/>
    <n v="0"/>
    <n v="3000.2598101471594"/>
    <n v="3149.5090032066091"/>
    <n v="0.2866418425135715"/>
    <m/>
    <n v="572347.71518744295"/>
    <x v="1"/>
    <n v="4199.9465172602941"/>
    <n v="1049986.6293150736"/>
    <m/>
    <n v="0"/>
    <n v="0"/>
    <n v="0"/>
    <n v="893.30461196802662"/>
    <n v="0"/>
    <n v="0"/>
    <n v="0"/>
    <n v="667176.24358073762"/>
    <n v="668069.54819270561"/>
    <n v="0.10765374232246352"/>
    <n v="0.22511121215213717"/>
    <m/>
    <n v="3.4627692307692302"/>
  </r>
  <r>
    <s v="RAICHUR TPS1"/>
    <x v="115"/>
    <s v="Karnataka"/>
    <s v="SR"/>
    <x v="1"/>
    <x v="8"/>
    <n v="35.175906913073199"/>
    <n v="210"/>
    <n v="2.2336675263007701"/>
    <n v="0.44318800125015279"/>
    <n v="0.55000000000000004"/>
    <s v="0.25"/>
    <n v="9.6074082192653432"/>
    <n v="736407.84000668861"/>
    <n v="15.267505601471592"/>
    <n v="2.7719999999999998"/>
    <m/>
    <s v="Contracted"/>
    <n v="0"/>
    <n v="0"/>
    <n v="3310.3547752778918"/>
    <n v="3345.6637458790274"/>
    <n v="0.25979088598677652"/>
    <m/>
    <n v="684925.3904745162"/>
    <x v="1"/>
    <n v="3982.4507996977022"/>
    <n v="836314.66793651751"/>
    <m/>
    <n v="0"/>
    <n v="0"/>
    <n v="0"/>
    <n v="483403.31206513755"/>
    <n v="0"/>
    <n v="0"/>
    <n v="0"/>
    <n v="253004.527941551"/>
    <n v="736407.84000668861"/>
    <n v="9.2407885740745169E-2"/>
    <n v="0.20640849355321447"/>
    <m/>
    <n v="3.5867184035477"/>
  </r>
  <r>
    <s v="RAICHUR TPS2"/>
    <x v="115"/>
    <s v="Karnataka"/>
    <s v="SR"/>
    <x v="1"/>
    <x v="6"/>
    <n v="34.176591375770002"/>
    <n v="210"/>
    <n v="2.3410211183501901"/>
    <n v="0.46448831713297423"/>
    <n v="0.6"/>
    <s v="0.25"/>
    <n v="9.8721125845937241"/>
    <n v="756697.42960910907"/>
    <n v="15.235852281827514"/>
    <n v="3.024"/>
    <m/>
    <s v="Contracted"/>
    <n v="0"/>
    <n v="0"/>
    <n v="3286.1909079404513"/>
    <n v="3330.9871675598238"/>
    <n v="0.26170116834112545"/>
    <m/>
    <n v="714694.987883611"/>
    <x v="1"/>
    <n v="3982.4507996977022"/>
    <n v="836314.66793651751"/>
    <m/>
    <n v="0"/>
    <n v="0"/>
    <n v="0"/>
    <n v="496722.09315546829"/>
    <n v="0"/>
    <n v="0"/>
    <n v="0"/>
    <n v="259975.33645364063"/>
    <n v="756697.42960910895"/>
    <n v="9.2407885740745169E-2"/>
    <n v="0.21632881202117585"/>
    <m/>
    <n v="3.5867184035477"/>
  </r>
  <r>
    <s v="RAICHUR TPS3"/>
    <x v="115"/>
    <s v="Karnataka"/>
    <s v="SR"/>
    <x v="1"/>
    <x v="5"/>
    <n v="29.177275838466802"/>
    <n v="210"/>
    <n v="2.93248327259565"/>
    <n v="0.58184191916580352"/>
    <n v="0.65"/>
    <s v="0.25"/>
    <n v="11.34653513611301"/>
    <n v="869711.91818306223"/>
    <n v="15.077498962183435"/>
    <n v="3.2759999999999998"/>
    <m/>
    <s v="Contracted"/>
    <n v="0"/>
    <n v="0"/>
    <n v="3231.4648926030118"/>
    <n v="3253.9959911740689"/>
    <n v="0.26613317135785197"/>
    <m/>
    <n v="874570.85900131904"/>
    <x v="1"/>
    <n v="3982.4507996977022"/>
    <n v="836314.66793651751"/>
    <m/>
    <n v="0"/>
    <n v="0"/>
    <n v="0"/>
    <n v="570908.67173331243"/>
    <n v="0"/>
    <n v="0"/>
    <n v="0"/>
    <n v="298803.2464497498"/>
    <n v="869711.91818306223"/>
    <n v="9.2407885740745169E-2"/>
    <n v="0.27098457919066532"/>
    <m/>
    <n v="3.5867184035477"/>
  </r>
  <r>
    <s v="RAICHUR TPS4"/>
    <x v="115"/>
    <s v="Karnataka"/>
    <s v="SR"/>
    <x v="1"/>
    <x v="5"/>
    <n v="25.672826830937701"/>
    <n v="210"/>
    <n v="3.9103689619290201"/>
    <n v="0.77586685752559914"/>
    <n v="0.65"/>
    <s v="0.25"/>
    <n v="13.935058888680871"/>
    <n v="1068122.2638173888"/>
    <n v="14.966495539869952"/>
    <n v="3.2759999999999998"/>
    <m/>
    <s v="Contracted"/>
    <n v="0"/>
    <n v="0"/>
    <n v="3204.6890202963723"/>
    <n v="3163.0810621639057"/>
    <n v="0.26835677176578787"/>
    <m/>
    <n v="1133627.8438967499"/>
    <x v="1"/>
    <n v="3982.4507996977022"/>
    <n v="836314.66793651751"/>
    <m/>
    <n v="0"/>
    <n v="0"/>
    <n v="0"/>
    <n v="701152.01382857177"/>
    <n v="0"/>
    <n v="0"/>
    <n v="0"/>
    <n v="366970.24998881697"/>
    <n v="1068122.2638173888"/>
    <n v="9.2407885740745169E-2"/>
    <n v="0.36134892823809317"/>
    <m/>
    <n v="3.5867184035477"/>
  </r>
  <r>
    <s v="RAICHUR TPS5"/>
    <x v="115"/>
    <s v="Karnataka"/>
    <s v="SR"/>
    <x v="1"/>
    <x v="4"/>
    <n v="21.338809034907499"/>
    <n v="210"/>
    <n v="3.6372643722301601"/>
    <n v="0.72167943893455555"/>
    <n v="0.7"/>
    <s v="0.25"/>
    <n v="13.043853063908845"/>
    <n v="999811.33734861296"/>
    <n v="14.829215526180693"/>
    <n v="3.528"/>
    <m/>
    <s v="Contracted"/>
    <n v="0"/>
    <n v="0"/>
    <n v="3155.046236967145"/>
    <n v="3147.8796388232222"/>
    <n v="0.27257920658135687"/>
    <m/>
    <n v="1049386.4023678061"/>
    <x v="1"/>
    <n v="3982.4507996977022"/>
    <n v="836314.66793651751"/>
    <m/>
    <n v="0"/>
    <n v="0"/>
    <n v="0"/>
    <n v="656310.38353720447"/>
    <n v="0"/>
    <n v="0"/>
    <n v="0"/>
    <n v="343500.95381140849"/>
    <n v="999811.33734861296"/>
    <n v="9.2407885740745169E-2"/>
    <n v="0.33611191051792783"/>
    <m/>
    <n v="3.5867184035477"/>
  </r>
  <r>
    <s v="RAICHUR TPS6"/>
    <x v="115"/>
    <s v="Karnataka"/>
    <s v="SR"/>
    <x v="1"/>
    <x v="4"/>
    <n v="20.843258042436599"/>
    <n v="210"/>
    <n v="3.0574627390221898"/>
    <n v="0.60663943234567264"/>
    <n v="0.7"/>
    <s v="0.25"/>
    <n v="11.427570362549227"/>
    <n v="875923.26828939829"/>
    <n v="14.813518948494178"/>
    <n v="3.528"/>
    <m/>
    <s v="Contracted"/>
    <n v="0"/>
    <n v="0"/>
    <n v="3151.2599612737845"/>
    <n v="3182.1222761559566"/>
    <n v="0.27290671368552394"/>
    <m/>
    <n v="891703.52242661978"/>
    <x v="1"/>
    <n v="3982.4507996977022"/>
    <n v="836314.66793651751"/>
    <m/>
    <n v="0"/>
    <n v="0"/>
    <n v="0"/>
    <n v="574986.01454619132"/>
    <n v="0"/>
    <n v="0"/>
    <n v="0"/>
    <n v="300937.25374320685"/>
    <n v="875923.26828939817"/>
    <n v="9.2407885740745169E-2"/>
    <n v="0.28253366744414826"/>
    <m/>
    <n v="3.5867184035477"/>
  </r>
  <r>
    <s v="RAICHUR TPS7"/>
    <x v="115"/>
    <s v="Karnataka"/>
    <s v="SR"/>
    <x v="1"/>
    <x v="3"/>
    <n v="17.423682409308601"/>
    <n v="210"/>
    <n v="2.4431077899606199"/>
    <n v="0.48474360911917058"/>
    <n v="0.75"/>
    <s v="0.25"/>
    <n v="9.6232821470726044"/>
    <n v="737624.57657311508"/>
    <n v="14.705203890314849"/>
    <n v="3.78"/>
    <m/>
    <s v="Contracted"/>
    <n v="0"/>
    <n v="0"/>
    <n v="3108.6040071245716"/>
    <n v="3196.290130565716"/>
    <n v="0.27665151239237179"/>
    <m/>
    <n v="715700.41264703555"/>
    <x v="1"/>
    <n v="3982.4507996977022"/>
    <n v="836314.66793651751"/>
    <m/>
    <n v="0"/>
    <n v="0"/>
    <n v="0"/>
    <n v="484202.01959399285"/>
    <n v="0"/>
    <n v="0"/>
    <n v="0"/>
    <n v="253422.55697912231"/>
    <n v="737624.57657311519"/>
    <n v="9.2407885740745169E-2"/>
    <n v="0.22576242550700543"/>
    <m/>
    <n v="3.5867184035477"/>
  </r>
  <r>
    <s v="RAMAGUNDEM - B TPS1"/>
    <x v="149"/>
    <s v="Telangana"/>
    <s v="SR"/>
    <x v="1"/>
    <x v="7"/>
    <n v="48.591375770020498"/>
    <n v="62.5"/>
    <n v="1.1568389188869399"/>
    <n v="9.6403243240578321E-2"/>
    <n v="0.55000000000000004"/>
    <s v="0.25"/>
    <n v="5.9755880716945384"/>
    <n v="136318.10288553167"/>
    <n v="16.460605827515401"/>
    <n v="0.82500000000000007"/>
    <m/>
    <s v="Contracted"/>
    <n v="0"/>
    <n v="0"/>
    <n v="3549.4031507017453"/>
    <n v="3699.3491748998154"/>
    <n v="0.24229425722743586"/>
    <m/>
    <n v="364450.80530281953"/>
    <x v="1"/>
    <m/>
    <n v="0"/>
    <m/>
    <m/>
    <m/>
    <m/>
    <m/>
    <m/>
    <m/>
    <m/>
    <m/>
    <n v="0"/>
    <n v="0.11094719987198574"/>
    <n v="0.12834803875344122"/>
    <m/>
    <n v="2.97927355278093"/>
  </r>
  <r>
    <s v="RAMAGUNDEM STPS1"/>
    <x v="81"/>
    <s v="Telangana"/>
    <s v="SR"/>
    <x v="0"/>
    <x v="8"/>
    <n v="36.591375770020498"/>
    <n v="200"/>
    <n v="3.6967970046082899"/>
    <n v="0.77016604262672705"/>
    <n v="0.55000000000000004"/>
    <s v="0.25"/>
    <n v="14.25366577839384"/>
    <n v="1040517.6018227503"/>
    <n v="15.364419577515399"/>
    <n v="2.64"/>
    <m/>
    <s v="Contracted"/>
    <n v="0"/>
    <n v="0"/>
    <n v="3330.4271404517453"/>
    <n v="3257.6465875413769"/>
    <n v="0.2582251356152917"/>
    <m/>
    <n v="1025581.7133963634"/>
    <x v="1"/>
    <m/>
    <n v="0"/>
    <s v="Pithead plant"/>
    <m/>
    <m/>
    <m/>
    <m/>
    <m/>
    <m/>
    <m/>
    <m/>
    <n v="0"/>
    <n v="6.1716058959159902E-2"/>
    <n v="0.22815174189645093"/>
    <m/>
    <n v="2.5167695715852698"/>
  </r>
  <r>
    <s v="RAMAGUNDEM STPS2"/>
    <x v="81"/>
    <s v="Telangana"/>
    <s v="SR"/>
    <x v="0"/>
    <x v="8"/>
    <n v="36.008213552361397"/>
    <n v="200"/>
    <n v="3.9101286725820898"/>
    <n v="0.81461014012126876"/>
    <n v="0.55000000000000004"/>
    <s v="0.25"/>
    <n v="14.853558176820295"/>
    <n v="1084309.7469078815"/>
    <n v="15.345947914271047"/>
    <n v="2.64"/>
    <m/>
    <s v="Contracted"/>
    <n v="0"/>
    <n v="0"/>
    <n v="3325.9714679507188"/>
    <n v="3238.4989763986628"/>
    <n v="0.25857106962191856"/>
    <m/>
    <n v="1078389.1534919781"/>
    <x v="1"/>
    <m/>
    <n v="0"/>
    <s v="Pithead plant"/>
    <m/>
    <m/>
    <m/>
    <m/>
    <m/>
    <m/>
    <m/>
    <m/>
    <n v="0"/>
    <n v="6.1716058959159902E-2"/>
    <n v="0.24131773169497789"/>
    <m/>
    <n v="2.5167695715852698"/>
  </r>
  <r>
    <s v="RAMAGUNDEM STPS3"/>
    <x v="81"/>
    <s v="Telangana"/>
    <s v="SR"/>
    <x v="0"/>
    <x v="8"/>
    <n v="35.422313483915097"/>
    <n v="200"/>
    <n v="4.0725975550577598"/>
    <n v="0.84845782397036662"/>
    <n v="0.55000000000000004"/>
    <s v="0.25"/>
    <n v="15.305932771849912"/>
    <n v="1117333.0923450436"/>
    <n v="15.32738952960301"/>
    <n v="2.64"/>
    <m/>
    <s v="Contracted"/>
    <n v="0"/>
    <n v="0"/>
    <n v="3321.4948767994524"/>
    <n v="3222.8333157801794"/>
    <n v="0.25891956239555736"/>
    <m/>
    <n v="1117763.7949148025"/>
    <x v="1"/>
    <m/>
    <n v="0"/>
    <s v="Pithead plant"/>
    <m/>
    <m/>
    <m/>
    <m/>
    <m/>
    <m/>
    <m/>
    <m/>
    <n v="0"/>
    <n v="6.1716058959159902E-2"/>
    <n v="0.25134467082487516"/>
    <m/>
    <n v="2.5167695715852698"/>
  </r>
  <r>
    <s v="RATIJA TPS1"/>
    <x v="150"/>
    <s v="Chhatisgarh"/>
    <s v="WR"/>
    <x v="2"/>
    <x v="1"/>
    <n v="7.2525667351129304"/>
    <n v="50"/>
    <n v="0.95507221351766403"/>
    <n v="0.79589351126472008"/>
    <n v="0.85"/>
    <s v="0.15"/>
    <n v="13.602656591614132"/>
    <n v="248248.48279695789"/>
    <n v="14.355456401334701"/>
    <n v="1.02"/>
    <m/>
    <s v="Contracted"/>
    <n v="0.28000000000000003"/>
    <n v="69509.575183148219"/>
    <n v="3209.0804374845993"/>
    <n v="3226.9664843936071"/>
    <n v="0.26798954303373618"/>
    <m/>
    <n v="262464.97864371148"/>
    <x v="1"/>
    <m/>
    <n v="0"/>
    <m/>
    <m/>
    <m/>
    <m/>
    <m/>
    <m/>
    <m/>
    <m/>
    <m/>
    <n v="0"/>
    <n v="0.13697380423430899"/>
    <n v="0.13081987440399667"/>
    <m/>
    <n v="1.7026315789473201"/>
  </r>
  <r>
    <s v="RATIJA TPS2"/>
    <x v="150"/>
    <s v="Chhatisgarh"/>
    <s v="WR"/>
    <x v="2"/>
    <x v="0"/>
    <n v="3.5044490075290802"/>
    <n v="50"/>
    <n v="1.10236571163726"/>
    <n v="0.91863809303105015"/>
    <n v="0.85"/>
    <s v="0.15"/>
    <n v="15.191717152082395"/>
    <n v="277248.83802550368"/>
    <n v="14.236734772313483"/>
    <n v="1.02"/>
    <m/>
    <s v="Not contracted"/>
    <n v="0.28000000000000003"/>
    <n v="77629.674647141059"/>
    <n v="3180.4428053066385"/>
    <n v="3157.753028527653"/>
    <n v="0.27040259883468776"/>
    <m/>
    <n v="296445.28990449692"/>
    <x v="1"/>
    <m/>
    <n v="0"/>
    <m/>
    <m/>
    <m/>
    <m/>
    <m/>
    <m/>
    <m/>
    <m/>
    <m/>
    <n v="0"/>
    <n v="0.13697380423430899"/>
    <n v="0.15099522518041678"/>
    <m/>
    <n v="1.7026315789473201"/>
  </r>
  <r>
    <s v="RAYALSEEMA TPS1"/>
    <x v="31"/>
    <s v="Andhra Pradesh"/>
    <s v="SR"/>
    <x v="1"/>
    <x v="5"/>
    <n v="26.176591375769998"/>
    <n v="210"/>
    <n v="3.1684552216236099"/>
    <n v="0.62866175032214477"/>
    <n v="0.65"/>
    <s v="0.25"/>
    <n v="11.902906812584611"/>
    <n v="912357.8071846104"/>
    <n v="14.982452281827515"/>
    <n v="3.2759999999999998"/>
    <m/>
    <s v="Contracted"/>
    <n v="0"/>
    <n v="0"/>
    <n v="3208.5380519404516"/>
    <n v="3215.5918627423598"/>
    <n v="0.2680348451781307"/>
    <m/>
    <n v="1003484.9818792639"/>
    <x v="1"/>
    <n v="3705.8725734969948"/>
    <n v="778233.24043436896"/>
    <m/>
    <n v="0"/>
    <n v="0"/>
    <n v="0"/>
    <n v="912357.8071846104"/>
    <n v="0"/>
    <n v="0"/>
    <n v="0"/>
    <n v="0"/>
    <n v="912357.8071846104"/>
    <n v="0.10362859790133408"/>
    <n v="0.32834257213001544"/>
    <m/>
    <n v="3.6136074561403499"/>
  </r>
  <r>
    <s v="RAYALSEEMA TPS2"/>
    <x v="31"/>
    <s v="Andhra Pradesh"/>
    <s v="SR"/>
    <x v="1"/>
    <x v="5"/>
    <n v="25.2539356605065"/>
    <n v="210"/>
    <n v="2.7294220703020802"/>
    <n v="0.54155199807580956"/>
    <n v="0.65"/>
    <s v="0.25"/>
    <n v="10.661697576874705"/>
    <n v="817219.11926744599"/>
    <n v="14.953227162046543"/>
    <n v="3.2759999999999998"/>
    <m/>
    <s v="Contracted"/>
    <n v="0"/>
    <n v="0"/>
    <n v="3201.4884668097193"/>
    <n v="3237.3382529434011"/>
    <n v="0.26862505016517813"/>
    <m/>
    <n v="870284.32305803406"/>
    <x v="1"/>
    <n v="3705.8725734969948"/>
    <n v="778233.24043436896"/>
    <m/>
    <n v="0"/>
    <n v="0"/>
    <n v="0"/>
    <n v="817219.11926744599"/>
    <n v="0"/>
    <n v="0"/>
    <n v="0"/>
    <n v="0"/>
    <n v="817219.11926744599"/>
    <n v="0.10362859790133408"/>
    <n v="0.28284618222636104"/>
    <m/>
    <n v="3.6136074561403499"/>
  </r>
  <r>
    <s v="RAYALSEEMA TPS3"/>
    <x v="31"/>
    <s v="Andhra Pradesh"/>
    <s v="SR"/>
    <x v="1"/>
    <x v="2"/>
    <n v="13.3388090349075"/>
    <n v="210"/>
    <n v="2.9474730185214599"/>
    <n v="0.58481607510346423"/>
    <n v="0.8"/>
    <s v="0.15"/>
    <n v="10.915141723917724"/>
    <n v="836645.61313829361"/>
    <n v="14.604725226180694"/>
    <n v="4.032"/>
    <m/>
    <s v="Contracted"/>
    <n v="0"/>
    <n v="0"/>
    <n v="3060.8648209671451"/>
    <n v="3131.9984292409026"/>
    <n v="0.28096634457978603"/>
    <m/>
    <n v="909229.99877130659"/>
    <x v="1"/>
    <n v="3705.8725734969948"/>
    <n v="778233.24043436896"/>
    <m/>
    <n v="0"/>
    <n v="0"/>
    <n v="0"/>
    <n v="836645.61313829361"/>
    <n v="0"/>
    <n v="0"/>
    <n v="0"/>
    <n v="0"/>
    <n v="836645.61313829361"/>
    <n v="0.10362859790133408"/>
    <n v="0.3054424962613918"/>
    <m/>
    <n v="3.6136074561403499"/>
  </r>
  <r>
    <s v="RAYALSEEMA TPS4"/>
    <x v="31"/>
    <s v="Andhra Pradesh"/>
    <s v="SR"/>
    <x v="1"/>
    <x v="2"/>
    <n v="12.5065023956194"/>
    <n v="210"/>
    <n v="3.3443217569786499"/>
    <n v="0.66355590416243049"/>
    <n v="0.8"/>
    <s v="0.15"/>
    <n v="11.984309274764389"/>
    <n v="918597.30591069045"/>
    <n v="14.578361913381244"/>
    <n v="4.032"/>
    <m/>
    <s v="Contracted"/>
    <n v="0"/>
    <n v="0"/>
    <n v="3054.5055512943186"/>
    <n v="3099.6100397882587"/>
    <n v="0.28155129711110949"/>
    <m/>
    <n v="1020980.61316164"/>
    <x v="1"/>
    <n v="3705.8725734969948"/>
    <n v="778233.24043436896"/>
    <m/>
    <n v="0"/>
    <n v="0"/>
    <n v="0"/>
    <n v="918597.30591069045"/>
    <n v="0"/>
    <n v="0"/>
    <n v="0"/>
    <n v="0"/>
    <n v="918597.30591069045"/>
    <n v="0.10362859790133408"/>
    <n v="0.34656737460662362"/>
    <m/>
    <n v="3.6136074561403499"/>
  </r>
  <r>
    <s v="RAYALSEEMA TPS5"/>
    <x v="31"/>
    <s v="Andhra Pradesh"/>
    <s v="SR"/>
    <x v="1"/>
    <x v="1"/>
    <n v="9.4236824093086895"/>
    <n v="210"/>
    <n v="2.6852899372745598"/>
    <n v="0.53279562247511103"/>
    <n v="0.85"/>
    <s v="0.15"/>
    <n v="10.067353924497816"/>
    <n v="771662.67831275763"/>
    <n v="14.480713590314851"/>
    <n v="4.2839999999999998"/>
    <m/>
    <s v="Contracted"/>
    <n v="0"/>
    <n v="0"/>
    <n v="3014.4225911245721"/>
    <n v="3119.281222848228"/>
    <n v="0.28529510179897011"/>
    <m/>
    <n v="824988.88569150574"/>
    <x v="1"/>
    <n v="3705.8725734969948"/>
    <n v="778233.24043436896"/>
    <m/>
    <n v="0"/>
    <n v="0"/>
    <n v="0"/>
    <n v="771662.67831275763"/>
    <n v="0"/>
    <n v="0"/>
    <n v="0"/>
    <n v="0"/>
    <n v="771662.67831275763"/>
    <n v="0.10362859790133408"/>
    <n v="0.27827283115832396"/>
    <m/>
    <n v="3.6136074561403499"/>
  </r>
  <r>
    <s v="ROPAR TPS3"/>
    <x v="151"/>
    <s v="Punjab"/>
    <s v="NR"/>
    <x v="1"/>
    <x v="6"/>
    <n v="32.175222450376403"/>
    <n v="210"/>
    <n v="0.90289528241255701"/>
    <n v="0.17914588936757084"/>
    <n v="0.6"/>
    <s v="0.25"/>
    <n v="5.8386644236534959"/>
    <n v="447533.62807304045"/>
    <n v="15.172458921115672"/>
    <n v="3.024"/>
    <m/>
    <s v="Contracted"/>
    <n v="0"/>
    <n v="0"/>
    <n v="3270.8993746153315"/>
    <n v="3410.0216229920266"/>
    <n v="0.26292462760372715"/>
    <m/>
    <n v="262579.54899474455"/>
    <x v="1"/>
    <n v="4279.8296499506378"/>
    <n v="898764.2264896339"/>
    <m/>
    <n v="141737.83465143587"/>
    <n v="125951.24674526921"/>
    <n v="0"/>
    <n v="0"/>
    <n v="0"/>
    <n v="0"/>
    <n v="179844.54667633539"/>
    <n v="0"/>
    <n v="447533.62807304045"/>
    <n v="8.4396929249325001E-2"/>
    <n v="7.6201589269321884E-2"/>
    <m/>
    <n v="3.78"/>
  </r>
  <r>
    <s v="ROPAR TPS4"/>
    <x v="151"/>
    <s v="Punjab"/>
    <s v="NR"/>
    <x v="1"/>
    <x v="6"/>
    <n v="31.337440109513999"/>
    <n v="210"/>
    <n v="0.89856491681318496"/>
    <n v="0.1782866898438859"/>
    <n v="0.6"/>
    <s v="0.25"/>
    <n v="5.8001733672737936"/>
    <n v="444583.2886015363"/>
    <n v="15.145922165468855"/>
    <n v="3.024"/>
    <m/>
    <s v="Contracted"/>
    <n v="0"/>
    <n v="0"/>
    <n v="3264.4982676420259"/>
    <n v="3403.904542636305"/>
    <n v="0.26344017655772417"/>
    <m/>
    <n v="260851.42403125582"/>
    <x v="1"/>
    <n v="4279.8296499506378"/>
    <n v="898764.2264896339"/>
    <m/>
    <n v="140803.43620192003"/>
    <n v="125120.92046038702"/>
    <n v="0"/>
    <n v="0"/>
    <n v="0"/>
    <n v="0"/>
    <n v="178658.93193922925"/>
    <n v="0"/>
    <n v="444583.2886015363"/>
    <n v="8.4396929249325001E-2"/>
    <n v="7.5836119710207969E-2"/>
    <m/>
    <n v="3.78"/>
  </r>
  <r>
    <s v="ROPAR TPS5"/>
    <x v="151"/>
    <s v="Punjab"/>
    <s v="NR"/>
    <x v="1"/>
    <x v="5"/>
    <n v="28.175222450376399"/>
    <n v="210"/>
    <n v="1.1335272668043801"/>
    <n v="0.22490620373102779"/>
    <n v="0.65"/>
    <s v="0.25"/>
    <n v="6.3486414054865818"/>
    <n v="486623.36373054649"/>
    <n v="15.045758921115672"/>
    <n v="3.2759999999999998"/>
    <m/>
    <s v="Contracted"/>
    <n v="0"/>
    <n v="0"/>
    <n v="3223.8086666153317"/>
    <n v="3364.3324329605211"/>
    <n v="0.26676521125644587"/>
    <m/>
    <n v="325234.98448136949"/>
    <x v="1"/>
    <n v="4279.8296499506378"/>
    <n v="898764.2264896339"/>
    <m/>
    <n v="154117.89760457713"/>
    <n v="136952.43332024175"/>
    <n v="0"/>
    <n v="0"/>
    <n v="0"/>
    <n v="0"/>
    <n v="195553.03280572768"/>
    <n v="0"/>
    <n v="486623.36373054655"/>
    <n v="8.4396929249325001E-2"/>
    <n v="9.5666220538670008E-2"/>
    <m/>
    <n v="3.78"/>
  </r>
  <r>
    <s v="ROPAR TPS6"/>
    <x v="151"/>
    <s v="Punjab"/>
    <s v="NR"/>
    <x v="1"/>
    <x v="5"/>
    <n v="27.175906913073199"/>
    <n v="210"/>
    <n v="1.18571042428094"/>
    <n v="0.23526000481764683"/>
    <n v="0.65"/>
    <s v="0.25"/>
    <n v="6.4610436265009596"/>
    <n v="495238.99397129857"/>
    <n v="15.014105601471593"/>
    <n v="3.2759999999999998"/>
    <m/>
    <s v="Contracted"/>
    <n v="0"/>
    <n v="0"/>
    <n v="3216.1733592778919"/>
    <n v="3353.2744571733165"/>
    <n v="0.26739852113975926"/>
    <m/>
    <n v="339089.32683285972"/>
    <x v="1"/>
    <n v="4279.8296499506378"/>
    <n v="898764.2264896339"/>
    <m/>
    <n v="156846.54344900139"/>
    <n v="139377.16590400608"/>
    <n v="0"/>
    <n v="0"/>
    <n v="0"/>
    <n v="0"/>
    <n v="199015.28461829113"/>
    <n v="0"/>
    <n v="495238.99397129862"/>
    <n v="8.4396929249325001E-2"/>
    <n v="0.10007031878822562"/>
    <m/>
    <n v="3.78"/>
  </r>
  <r>
    <s v="SABARMATI (D-F STATIONS) TPP1"/>
    <x v="152"/>
    <s v="Gujarat"/>
    <s v="WR"/>
    <x v="2"/>
    <x v="9"/>
    <n v="41.590691307323702"/>
    <n v="120"/>
    <n v="2.32375633209739"/>
    <n v="0.80685983753381596"/>
    <n v="0.55000000000000004"/>
    <s v="0.25"/>
    <n v="14.44943177471872"/>
    <n v="632885.11173267988"/>
    <n v="15.049653797159479"/>
    <n v="1.5840000000000003"/>
    <m/>
    <s v="Contracted"/>
    <n v="0.24296768320436962"/>
    <n v="153770.62933222787"/>
    <n v="3497.4624045866358"/>
    <n v="3412.5519398612773"/>
    <n v="0.24589256452683533"/>
    <m/>
    <n v="675321.46530221985"/>
    <x v="1"/>
    <m/>
    <n v="0"/>
    <m/>
    <m/>
    <m/>
    <m/>
    <m/>
    <m/>
    <m/>
    <m/>
    <m/>
    <n v="0"/>
    <n v="0.09"/>
    <n v="0.2091380698887651"/>
    <m/>
    <n v="3.46250913520098"/>
  </r>
  <r>
    <s v="SABARMATI (D-F STATIONS) TPP2"/>
    <x v="152"/>
    <s v="Gujarat"/>
    <s v="WR"/>
    <x v="2"/>
    <x v="8"/>
    <n v="35.422313483915097"/>
    <n v="121"/>
    <n v="2.3670398749250299"/>
    <n v="0.81509637566288906"/>
    <n v="0.55000000000000004"/>
    <s v="0.25"/>
    <n v="14.363437933113484"/>
    <n v="634361.23631595704"/>
    <n v="14.84906252960301"/>
    <n v="1.5972"/>
    <m/>
    <s v="Contracted"/>
    <n v="0.24296768320436962"/>
    <n v="154129.27990234771"/>
    <n v="3449.4069432969031"/>
    <n v="3361.773716278371"/>
    <n v="0.24931822024397676"/>
    <m/>
    <n v="677664.52157503972"/>
    <x v="1"/>
    <m/>
    <n v="0"/>
    <m/>
    <m/>
    <m/>
    <m/>
    <m/>
    <m/>
    <m/>
    <m/>
    <m/>
    <n v="0"/>
    <n v="0.09"/>
    <n v="0.21303358874325268"/>
    <m/>
    <n v="3.46250913520098"/>
  </r>
  <r>
    <s v="SABARMATI (D-F STATIONS) TPP3"/>
    <x v="152"/>
    <s v="Gujarat"/>
    <s v="WR"/>
    <x v="2"/>
    <x v="6"/>
    <n v="31.671457905544099"/>
    <n v="121"/>
    <n v="2.3705214010959401"/>
    <n v="0.8162952483112742"/>
    <n v="0.6"/>
    <s v="0.25"/>
    <n v="14.26130985748736"/>
    <n v="629850.74985592917"/>
    <n v="14.730254179158109"/>
    <n v="1.7423999999999999"/>
    <m/>
    <s v="Contracted"/>
    <n v="0.24296768320436962"/>
    <n v="153033.37745703006"/>
    <n v="3404.2198324687029"/>
    <n v="3332.7188526801469"/>
    <n v="0.25262763344408856"/>
    <m/>
    <n v="672795.77645862848"/>
    <x v="1"/>
    <m/>
    <n v="0"/>
    <m/>
    <m/>
    <m/>
    <m/>
    <m/>
    <m/>
    <m/>
    <m/>
    <m/>
    <n v="0"/>
    <n v="0.09"/>
    <n v="0.21334692609863459"/>
    <m/>
    <n v="3.46250913520098"/>
  </r>
  <r>
    <s v="SANJAY GANDHI TPS1"/>
    <x v="79"/>
    <s v="Madhya Pradesh"/>
    <s v="WR"/>
    <x v="1"/>
    <x v="5"/>
    <n v="27.175906913073199"/>
    <n v="210"/>
    <n v="3.1343699274325898"/>
    <n v="0.62189879512551394"/>
    <n v="0.65"/>
    <s v="0.25"/>
    <n v="11.840465107691406"/>
    <n v="907571.65050454636"/>
    <n v="15.014105601471593"/>
    <n v="3.2759999999999998"/>
    <m/>
    <s v="Contracted"/>
    <n v="0"/>
    <n v="0"/>
    <n v="3216.1733592778919"/>
    <n v="3225.4628082946965"/>
    <n v="0.26739852113975926"/>
    <m/>
    <n v="757479.05820721982"/>
    <x v="1"/>
    <n v="4871.520386436875"/>
    <n v="1023019.2811517437"/>
    <m/>
    <n v="0"/>
    <n v="0"/>
    <n v="0"/>
    <n v="0"/>
    <n v="0"/>
    <n v="0"/>
    <n v="907571.65050454636"/>
    <n v="0"/>
    <n v="907571.65050454636"/>
    <n v="8.2584159496713896E-2"/>
    <n v="0.25884930600879658"/>
    <m/>
    <n v="2.1506688596491199"/>
  </r>
  <r>
    <s v="SANJAY GANDHI TPS2"/>
    <x v="79"/>
    <s v="Madhya Pradesh"/>
    <s v="WR"/>
    <x v="1"/>
    <x v="5"/>
    <n v="27.175906913073199"/>
    <n v="210"/>
    <n v="2.80704383971608"/>
    <n v="0.55695314280080954"/>
    <n v="0.65"/>
    <s v="0.25"/>
    <n v="10.936856763202096"/>
    <n v="838310.07089944056"/>
    <n v="15.014105601471593"/>
    <n v="3.2759999999999998"/>
    <m/>
    <s v="Contracted"/>
    <n v="0"/>
    <n v="0"/>
    <n v="3216.1733592778919"/>
    <n v="3246.9319705184566"/>
    <n v="0.26739852113975926"/>
    <m/>
    <n v="682889.95568750915"/>
    <x v="1"/>
    <n v="4871.520386436875"/>
    <n v="1023019.2811517437"/>
    <m/>
    <n v="0"/>
    <n v="0"/>
    <n v="0"/>
    <n v="0"/>
    <n v="0"/>
    <n v="0"/>
    <n v="838310.07089944056"/>
    <n v="0"/>
    <n v="838310.07089944056"/>
    <n v="8.2584159496713896E-2"/>
    <n v="0.23181735617338095"/>
    <m/>
    <n v="2.1506688596491199"/>
  </r>
  <r>
    <s v="SANJAY GANDHI TPS3"/>
    <x v="79"/>
    <s v="Madhya Pradesh"/>
    <s v="WR"/>
    <x v="1"/>
    <x v="4"/>
    <n v="21.2539356605065"/>
    <n v="210"/>
    <n v="2.6192402041068501"/>
    <n v="0.51969051668786703"/>
    <n v="0.7"/>
    <s v="0.25"/>
    <n v="10.230832227879842"/>
    <n v="784193.29026698996"/>
    <n v="14.826527162046542"/>
    <n v="3.528"/>
    <m/>
    <s v="Contracted"/>
    <n v="0"/>
    <n v="0"/>
    <n v="3154.3977588097191"/>
    <n v="3214.0028810795911"/>
    <n v="0.27263524316112642"/>
    <m/>
    <n v="630739.3557814107"/>
    <x v="1"/>
    <n v="4871.520386436875"/>
    <n v="1023019.2811517437"/>
    <m/>
    <n v="0"/>
    <n v="0"/>
    <n v="0"/>
    <n v="0"/>
    <n v="0"/>
    <n v="0"/>
    <n v="784193.29026698996"/>
    <n v="0"/>
    <n v="784193.29026698996"/>
    <n v="8.2584159496713896E-2"/>
    <n v="0.21630775077616557"/>
    <m/>
    <n v="2.1506688596491199"/>
  </r>
  <r>
    <s v="SANJAY GANDHI TPS4"/>
    <x v="79"/>
    <s v="Madhya Pradesh"/>
    <s v="WR"/>
    <x v="1"/>
    <x v="4"/>
    <n v="20.5065023956194"/>
    <n v="210"/>
    <n v="3.3513290654519099"/>
    <n v="0.66494624314522022"/>
    <n v="0.7"/>
    <s v="0.25"/>
    <n v="12.228143778133635"/>
    <n v="937287.22059394303"/>
    <n v="14.802852213381243"/>
    <n v="3.528"/>
    <m/>
    <s v="Contracted"/>
    <n v="0"/>
    <n v="0"/>
    <n v="3148.6869672943185"/>
    <n v="3160.2747297623114"/>
    <n v="0.2731297232569937"/>
    <m/>
    <n v="793542.61021792435"/>
    <x v="1"/>
    <n v="4871.520386436875"/>
    <n v="1023019.2811517437"/>
    <m/>
    <n v="0"/>
    <n v="0"/>
    <n v="0"/>
    <n v="0"/>
    <n v="0"/>
    <n v="0"/>
    <n v="937287.22059394303"/>
    <n v="0"/>
    <n v="937287.22059394303"/>
    <n v="8.2584159496713896E-2"/>
    <n v="0.27676669406725363"/>
    <m/>
    <n v="2.1506688596491199"/>
  </r>
  <r>
    <s v="SANTALDIH TPS5"/>
    <x v="113"/>
    <s v="West Bengal"/>
    <s v="ER"/>
    <x v="1"/>
    <x v="2"/>
    <n v="11.0910335386721"/>
    <n v="250"/>
    <n v="4.4703518492128902"/>
    <n v="0.74505864153548174"/>
    <n v="0.8"/>
    <s v="0.15"/>
    <n v="12.865130334613056"/>
    <n v="1173943.1430334414"/>
    <n v="14.325210937337438"/>
    <n v="4.8"/>
    <m/>
    <s v="Contracted"/>
    <n v="6.0996347612639931E-4"/>
    <n v="716.06244029942854"/>
    <n v="3006.7984368019534"/>
    <n v="3024.9604675991991"/>
    <n v="0.28601850708513088"/>
    <m/>
    <n v="1141032.3510644757"/>
    <x v="1"/>
    <n v="4325.6992027808037"/>
    <n v="1081424.8006952009"/>
    <m/>
    <n v="1128959.5198479763"/>
    <n v="26412.650906615159"/>
    <n v="18570.972278849898"/>
    <n v="0"/>
    <n v="0"/>
    <n v="0"/>
    <n v="0"/>
    <n v="0"/>
    <n v="1173943.1430334414"/>
    <n v="8.5383480246584514E-2"/>
    <n v="0.38169419881255134"/>
    <m/>
    <n v="2.5661172566371602"/>
  </r>
  <r>
    <s v="SATPURA TPS6"/>
    <x v="109"/>
    <s v="Madhya Pradesh"/>
    <s v="WR"/>
    <x v="1"/>
    <x v="9"/>
    <n v="40.843258042436602"/>
    <n v="200"/>
    <n v="2.3057497607571"/>
    <n v="0.48036453349106251"/>
    <n v="0.55000000000000004"/>
    <s v="0.25"/>
    <n v="10.356248812315378"/>
    <n v="756006.16329902259"/>
    <n v="15.49909794849418"/>
    <n v="2.64"/>
    <m/>
    <s v="Contracted"/>
    <n v="0"/>
    <n v="0"/>
    <n v="3362.9138042737845"/>
    <n v="3385.9332840002039"/>
    <n v="0.25573061043285217"/>
    <m/>
    <n v="647165.38706431014"/>
    <x v="1"/>
    <n v="4403.1973598778304"/>
    <n v="880639.47197556612"/>
    <m/>
    <n v="0"/>
    <n v="0"/>
    <n v="0"/>
    <n v="0"/>
    <n v="0"/>
    <n v="0"/>
    <n v="251649.02557671786"/>
    <n v="504357.13772230479"/>
    <n v="756006.16329902271"/>
    <n v="0.1003219631047786"/>
    <n v="0.23131734242752588"/>
    <m/>
    <n v="2.5310843373493599"/>
  </r>
  <r>
    <s v="SATPURA TPS7"/>
    <x v="109"/>
    <s v="Madhya Pradesh"/>
    <s v="WR"/>
    <x v="1"/>
    <x v="8"/>
    <n v="39.671457905544102"/>
    <n v="210"/>
    <n v="2.0012590854490901"/>
    <n v="0.39707521536688301"/>
    <n v="0.55000000000000004"/>
    <s v="0.25"/>
    <n v="9.1082237731221625"/>
    <n v="698145.35220981378"/>
    <n v="15.409902179158108"/>
    <n v="2.7719999999999998"/>
    <m/>
    <s v="Contracted"/>
    <n v="0"/>
    <n v="0"/>
    <n v="3344.7031989712523"/>
    <n v="3395.2557285371631"/>
    <n v="0.25712296393429307"/>
    <m/>
    <n v="563249.11737240572"/>
    <x v="1"/>
    <n v="4403.1973598778304"/>
    <n v="924671.44557434437"/>
    <m/>
    <n v="0"/>
    <n v="0"/>
    <n v="0"/>
    <n v="0"/>
    <n v="0"/>
    <n v="0"/>
    <n v="232389.10755417289"/>
    <n v="465756.24465564097"/>
    <n v="698145.35220981389"/>
    <n v="0.1003219631047786"/>
    <n v="0.2007702401335266"/>
    <m/>
    <n v="2.5310843373493599"/>
  </r>
  <r>
    <s v="SATPURA TPS8"/>
    <x v="109"/>
    <s v="Madhya Pradesh"/>
    <s v="WR"/>
    <x v="1"/>
    <x v="8"/>
    <n v="37.338809034907598"/>
    <n v="210"/>
    <n v="2.5029032745378399"/>
    <n v="0.49660779256703175"/>
    <n v="0.55000000000000004"/>
    <s v="0.25"/>
    <n v="10.41916372650358"/>
    <n v="798628.89963649935"/>
    <n v="15.336015526180697"/>
    <n v="2.7719999999999998"/>
    <m/>
    <s v="Contracted"/>
    <n v="0"/>
    <n v="0"/>
    <n v="3326.8805089671459"/>
    <n v="3344.5304350489109"/>
    <n v="0.25850041733749951"/>
    <m/>
    <n v="693911.25473791861"/>
    <x v="1"/>
    <n v="4403.1973598778304"/>
    <n v="924671.44557434437"/>
    <m/>
    <n v="0"/>
    <n v="0"/>
    <n v="0"/>
    <n v="0"/>
    <n v="0"/>
    <n v="0"/>
    <n v="265836.70100509527"/>
    <n v="532792.19863140432"/>
    <n v="798628.89963649958"/>
    <n v="0.1003219631047786"/>
    <n v="0.2510961699630147"/>
    <m/>
    <n v="2.5310843373493599"/>
  </r>
  <r>
    <s v="SATPURA TPS9"/>
    <x v="109"/>
    <s v="Madhya Pradesh"/>
    <s v="WR"/>
    <x v="1"/>
    <x v="8"/>
    <n v="36.254620123203203"/>
    <n v="210"/>
    <n v="1.5474686808976399"/>
    <n v="0.30703743668603967"/>
    <n v="0.55000000000000004"/>
    <s v="0.25"/>
    <n v="7.7472728102463364"/>
    <n v="593828.46090538171"/>
    <n v="15.30167384240246"/>
    <n v="2.7719999999999998"/>
    <m/>
    <s v="Contracted"/>
    <n v="0"/>
    <n v="0"/>
    <n v="3318.5967234722789"/>
    <n v="3398.9131495820507"/>
    <n v="0.25914567862893989"/>
    <m/>
    <n v="436000.15957462986"/>
    <x v="1"/>
    <n v="4403.1973598778304"/>
    <n v="924671.44557434437"/>
    <m/>
    <n v="0"/>
    <n v="0"/>
    <n v="0"/>
    <n v="0"/>
    <n v="0"/>
    <n v="0"/>
    <n v="197665.5228503143"/>
    <n v="396162.93805506738"/>
    <n v="593828.46090538171"/>
    <n v="0.1003219631047786"/>
    <n v="0.15524509591081345"/>
    <m/>
    <n v="2.5310843373493599"/>
  </r>
  <r>
    <s v="SHIRPUR TPP1"/>
    <x v="153"/>
    <s v="Maharashtra"/>
    <s v="WR"/>
    <x v="2"/>
    <x v="0"/>
    <n v="2.6036960985626201"/>
    <n v="150"/>
    <n v="9.0666666666666604E-3"/>
    <n v="2.5185185185185172E-3"/>
    <n v="0.85"/>
    <s v="0.15"/>
    <n v="1.8961493276256747"/>
    <n v="103814.17568750567"/>
    <n v="13.687413423921971"/>
    <n v="3.06"/>
    <m/>
    <s v="Not contracted"/>
    <n v="0.28000000000000003"/>
    <n v="29067.969192501594"/>
    <n v="3080.9863393778232"/>
    <n v="3361.1393096889346"/>
    <n v="0.27913139016827615"/>
    <m/>
    <n v="2595.2240680192658"/>
    <x v="1"/>
    <m/>
    <n v="0"/>
    <m/>
    <m/>
    <m/>
    <m/>
    <m/>
    <m/>
    <m/>
    <m/>
    <m/>
    <n v="0"/>
    <m/>
    <n v="0"/>
    <m/>
    <m/>
  </r>
  <r>
    <s v="SIKKA REP. TPS3"/>
    <x v="154"/>
    <s v="Gujarat"/>
    <s v="WR"/>
    <x v="1"/>
    <x v="1"/>
    <n v="5.1772758384667998"/>
    <n v="250"/>
    <n v="3.90736302676296"/>
    <n v="0.65122717112716"/>
    <n v="0.85"/>
    <s v="0.15"/>
    <n v="11.372306662226951"/>
    <n v="1037722.9829282092"/>
    <n v="14.137892662183434"/>
    <n v="5.0999999999999996"/>
    <m/>
    <s v="Contracted"/>
    <n v="0.99991356850930369"/>
    <n v="1037633.290983865"/>
    <n v="3170.3841861394176"/>
    <n v="3236.092758707307"/>
    <n v="0.27126050015005393"/>
    <m/>
    <n v="1112114.471503644"/>
    <x v="1"/>
    <n v="4150"/>
    <n v="1037500"/>
    <m/>
    <n v="0"/>
    <n v="0"/>
    <n v="0"/>
    <n v="0"/>
    <n v="0"/>
    <n v="0"/>
    <n v="1037722.9829282092"/>
    <n v="0"/>
    <n v="1037722.9829282092"/>
    <n v="9.4899722296610672E-2"/>
    <n v="0.37080766615184901"/>
    <m/>
    <n v="3.8088925438596402"/>
  </r>
  <r>
    <s v="SIKKA REP. TPS4"/>
    <x v="154"/>
    <s v="Gujarat"/>
    <s v="WR"/>
    <x v="1"/>
    <x v="0"/>
    <n v="4.6735112936344896"/>
    <n v="250"/>
    <n v="3.6562810204716198"/>
    <n v="0.60938017007860334"/>
    <n v="0.85"/>
    <s v="0.15"/>
    <n v="10.774120040580504"/>
    <n v="983138.45370297111"/>
    <n v="14.121935920225871"/>
    <n v="5.0999999999999996"/>
    <m/>
    <s v="Contracted"/>
    <n v="0.99991356850930369"/>
    <n v="983053.47958085674"/>
    <n v="3166.5351544953382"/>
    <n v="3246.0771404162501"/>
    <n v="0.27159022655381232"/>
    <m/>
    <n v="1043862.2017865337"/>
    <x v="1"/>
    <n v="4150"/>
    <n v="1037500"/>
    <m/>
    <n v="0"/>
    <n v="0"/>
    <n v="0"/>
    <n v="0"/>
    <n v="0"/>
    <n v="0"/>
    <n v="983138.45370297111"/>
    <n v="0"/>
    <n v="983138.45370297111"/>
    <n v="9.4899722296610672E-2"/>
    <n v="0.34698005348112498"/>
    <m/>
    <n v="3.8088925438596402"/>
  </r>
  <r>
    <s v="SIMHAPURI TPS2"/>
    <x v="155"/>
    <s v="Andhra Pradesh"/>
    <s v="SR"/>
    <x v="2"/>
    <x v="1"/>
    <n v="7.8412046543463303"/>
    <n v="150"/>
    <n v="2.1387096774193499E-2"/>
    <n v="5.9408602150537492E-3"/>
    <n v="0.85"/>
    <s v="0.15"/>
    <n v="2.1096634778565271"/>
    <n v="115504.07541264486"/>
    <n v="13.853311507426419"/>
    <n v="3.06"/>
    <m/>
    <s v="Not contracted"/>
    <n v="1"/>
    <n v="115504.07541264486"/>
    <n v="3283.3317492861061"/>
    <n v="3562.3533919957827"/>
    <n v="0.26192906037807162"/>
    <m/>
    <n v="6488.2792369456256"/>
    <x v="1"/>
    <m/>
    <n v="0"/>
    <m/>
    <m/>
    <m/>
    <m/>
    <m/>
    <m/>
    <m/>
    <m/>
    <m/>
    <n v="0"/>
    <n v="0.10923025650701258"/>
    <n v="2.3361180665854571E-3"/>
    <m/>
    <m/>
  </r>
  <r>
    <s v="SIMHAPURI TPS3"/>
    <x v="155"/>
    <s v="Andhra Pradesh"/>
    <s v="SR"/>
    <x v="2"/>
    <x v="1"/>
    <n v="6.2532511978097096"/>
    <n v="150"/>
    <n v="7.6618106139437994E-2"/>
    <n v="2.1282807260954998E-2"/>
    <n v="0.85"/>
    <s v="0.15"/>
    <n v="2.2728221639544675"/>
    <n v="124437.01347650708"/>
    <n v="13.803013081690622"/>
    <n v="3.06"/>
    <m/>
    <s v="Not contracted"/>
    <n v="1"/>
    <n v="124437.01347650708"/>
    <n v="3271.1989321471601"/>
    <n v="3545.1489690115368"/>
    <n v="0.26290055048272787"/>
    <m/>
    <n v="23131.649322343314"/>
    <x v="1"/>
    <m/>
    <n v="0"/>
    <m/>
    <m/>
    <m/>
    <m/>
    <m/>
    <m/>
    <m/>
    <m/>
    <m/>
    <n v="0"/>
    <n v="0.10923025650701258"/>
    <n v="8.3690153866923279E-3"/>
    <m/>
    <m/>
  </r>
  <r>
    <s v="SINGRAULI STPS1"/>
    <x v="99"/>
    <s v="Uttar Pradesh"/>
    <s v="NR"/>
    <x v="0"/>
    <x v="8"/>
    <n v="38.253251197809703"/>
    <n v="200"/>
    <n v="3.9212044944117799"/>
    <n v="0.81691760300245408"/>
    <n v="0.55000000000000004"/>
    <s v="0.25"/>
    <n v="14.956774167544665"/>
    <n v="1091844.5142307605"/>
    <n v="15.417059481690622"/>
    <n v="2.64"/>
    <m/>
    <s v="Contracted"/>
    <n v="0"/>
    <n v="0"/>
    <n v="3343.1247611471595"/>
    <n v="3254.8894888215145"/>
    <n v="0.25724436311640958"/>
    <m/>
    <n v="1046945.0639366343"/>
    <x v="1"/>
    <n v="4449.6383069062995"/>
    <n v="889927.66138125991"/>
    <s v="Pithead plant"/>
    <n v="0"/>
    <n v="0"/>
    <n v="0"/>
    <n v="0"/>
    <n v="1091844.5142307605"/>
    <n v="0"/>
    <n v="0"/>
    <n v="0"/>
    <n v="1091844.5142307605"/>
    <n v="7.690693382449007E-2"/>
    <n v="0.30156781456401982"/>
    <m/>
    <n v="1.42529597105324"/>
  </r>
  <r>
    <s v="SINGRAULI STPS2"/>
    <x v="99"/>
    <s v="Uttar Pradesh"/>
    <s v="NR"/>
    <x v="0"/>
    <x v="8"/>
    <n v="37.505817932922596"/>
    <n v="200"/>
    <n v="4.1503491542631101"/>
    <n v="0.86465607380481457"/>
    <n v="0.55000000000000004"/>
    <s v="0.25"/>
    <n v="15.597298884693849"/>
    <n v="1138602.818582651"/>
    <n v="15.393384533025323"/>
    <n v="2.64"/>
    <m/>
    <s v="Contracted"/>
    <n v="0"/>
    <n v="0"/>
    <n v="3337.4139696317588"/>
    <n v="3233.3977337268125"/>
    <n v="0.25768454492772741"/>
    <m/>
    <n v="1100808.8630463043"/>
    <x v="1"/>
    <n v="4449.6383069062995"/>
    <n v="889927.66138125991"/>
    <s v="Pithead plant"/>
    <n v="0"/>
    <n v="0"/>
    <n v="0"/>
    <n v="0"/>
    <n v="1138602.818582651"/>
    <n v="0"/>
    <n v="0"/>
    <n v="0"/>
    <n v="1138602.818582651"/>
    <n v="7.690693382449007E-2"/>
    <n v="0.31919062775544133"/>
    <m/>
    <n v="1.42529597105324"/>
  </r>
  <r>
    <s v="SINGRAULI STPS3"/>
    <x v="99"/>
    <s v="Uttar Pradesh"/>
    <s v="NR"/>
    <x v="0"/>
    <x v="8"/>
    <n v="37.177275838466798"/>
    <n v="200"/>
    <n v="3.95443519519042"/>
    <n v="0.82384066566467085"/>
    <n v="0.55000000000000004"/>
    <s v="0.25"/>
    <n v="15.0190152957757"/>
    <n v="1096388.1165916261"/>
    <n v="15.382977962183435"/>
    <n v="2.64"/>
    <m/>
    <s v="Contracted"/>
    <n v="0"/>
    <n v="0"/>
    <n v="3334.9037316030117"/>
    <n v="3244.3798941454424"/>
    <n v="0.25787850841098126"/>
    <m/>
    <n v="1052408.4299893146"/>
    <x v="1"/>
    <n v="4449.6383069062995"/>
    <n v="889927.66138125991"/>
    <s v="Pithead plant"/>
    <n v="0"/>
    <n v="0"/>
    <n v="0"/>
    <n v="0"/>
    <n v="1096388.1165916261"/>
    <n v="0"/>
    <n v="0"/>
    <n v="0"/>
    <n v="1096388.1165916261"/>
    <n v="7.690693382449007E-2"/>
    <n v="0.30412348586974408"/>
    <m/>
    <n v="1.42529597105324"/>
  </r>
  <r>
    <s v="SINGRAULI STPS4"/>
    <x v="99"/>
    <s v="Uttar Pradesh"/>
    <s v="NR"/>
    <x v="0"/>
    <x v="8"/>
    <n v="36.5065023956194"/>
    <n v="200"/>
    <n v="4.1299499028903304"/>
    <n v="0.86040622976881875"/>
    <n v="0.55000000000000004"/>
    <s v="0.25"/>
    <n v="15.506516210023751"/>
    <n v="1131975.6833317338"/>
    <n v="15.361731213381244"/>
    <n v="2.64"/>
    <m/>
    <s v="Contracted"/>
    <n v="0"/>
    <n v="0"/>
    <n v="3329.778662294319"/>
    <n v="3227.1673024321649"/>
    <n v="0.25827542525226999"/>
    <m/>
    <n v="1093287.5897599331"/>
    <x v="1"/>
    <n v="4449.6383069062995"/>
    <n v="889927.66138125991"/>
    <s v="Pithead plant"/>
    <n v="0"/>
    <n v="0"/>
    <n v="0"/>
    <n v="0"/>
    <n v="1131975.6833317338"/>
    <n v="0"/>
    <n v="0"/>
    <n v="0"/>
    <n v="1131975.6833317338"/>
    <n v="7.690693382449007E-2"/>
    <n v="0.3176217838800458"/>
    <m/>
    <n v="1.42529597105324"/>
  </r>
  <r>
    <s v="SINGRAULI STPS5"/>
    <x v="99"/>
    <s v="Uttar Pradesh"/>
    <s v="NR"/>
    <x v="0"/>
    <x v="8"/>
    <n v="36.254620123203203"/>
    <n v="200"/>
    <n v="3.8061421915002498"/>
    <n v="0.79294628989588534"/>
    <n v="0.55000000000000004"/>
    <s v="0.25"/>
    <n v="14.559947457610882"/>
    <n v="1062876.1644055943"/>
    <n v="15.353752842402461"/>
    <n v="2.64"/>
    <m/>
    <s v="Contracted"/>
    <n v="0"/>
    <n v="0"/>
    <n v="3327.8541464722789"/>
    <n v="3247.5430998858483"/>
    <n v="0.25842478730975954"/>
    <m/>
    <n v="1013930.2646424592"/>
    <x v="1"/>
    <n v="4449.6383069062995"/>
    <n v="889927.66138125991"/>
    <s v="Pithead plant"/>
    <n v="0"/>
    <n v="0"/>
    <n v="0"/>
    <n v="0"/>
    <n v="1062876.1644055943"/>
    <n v="0"/>
    <n v="0"/>
    <n v="0"/>
    <n v="1062876.1644055943"/>
    <n v="7.690693382449007E-2"/>
    <n v="0.29271872564830931"/>
    <m/>
    <n v="1.42529597105324"/>
  </r>
  <r>
    <s v="SOUTHERN REPL. TPS1"/>
    <x v="156"/>
    <s v="West Bengal"/>
    <s v="ER"/>
    <x v="2"/>
    <x v="5"/>
    <n v="29.0924024640657"/>
    <n v="68"/>
    <n v="0.35777168423468703"/>
    <n v="0.21922284573203862"/>
    <n v="0.65"/>
    <s v="0.25"/>
    <n v="6.1483895175728538"/>
    <n v="152603.02782615824"/>
    <n v="14.924581298049281"/>
    <n v="1.0608"/>
    <m/>
    <s v="Contracted"/>
    <n v="0"/>
    <n v="0"/>
    <n v="3362.2718210455855"/>
    <n v="3504.6743418645306"/>
    <n v="0.2557794389546294"/>
    <m/>
    <n v="86033.652252031461"/>
    <x v="1"/>
    <n v="5319.5897342946537"/>
    <n v="361732.10193203646"/>
    <m/>
    <n v="49656.058452746562"/>
    <n v="0"/>
    <n v="102946.96937341167"/>
    <n v="0"/>
    <n v="0"/>
    <n v="0"/>
    <n v="0"/>
    <n v="0"/>
    <n v="152603.02782615824"/>
    <n v="9.2383897720522315E-2"/>
    <n v="3.3052342683636333E-2"/>
    <m/>
    <m/>
  </r>
  <r>
    <s v="SOUTHERN REPL. TPS2"/>
    <x v="156"/>
    <s v="West Bengal"/>
    <s v="ER"/>
    <x v="2"/>
    <x v="5"/>
    <n v="29.7577002053388"/>
    <n v="68"/>
    <n v="0.49746657839654501"/>
    <n v="0.30482020735082416"/>
    <n v="0.65"/>
    <s v="0.25"/>
    <n v="7.3604045949383288"/>
    <n v="182685.24204636933"/>
    <n v="14.945654604004107"/>
    <n v="1.0608"/>
    <m/>
    <s v="Contracted"/>
    <n v="0"/>
    <n v="0"/>
    <n v="3367.3550530537991"/>
    <n v="3481.4615513255881"/>
    <n v="0.25539332397398368"/>
    <m/>
    <n v="118833.86897789569"/>
    <x v="1"/>
    <n v="5319.5897342946537"/>
    <n v="361732.10193203646"/>
    <m/>
    <n v="59444.620377012616"/>
    <n v="0"/>
    <n v="123240.62166935671"/>
    <n v="0"/>
    <n v="0"/>
    <n v="0"/>
    <n v="0"/>
    <n v="0"/>
    <n v="182685.24204636933"/>
    <n v="9.2383897720522315E-2"/>
    <n v="4.5957901497964609E-2"/>
    <m/>
    <m/>
  </r>
  <r>
    <s v="SURATGARH TPS1"/>
    <x v="157"/>
    <s v="Rajasthan"/>
    <s v="NR"/>
    <x v="1"/>
    <x v="4"/>
    <n v="22.009582477754901"/>
    <n v="250"/>
    <n v="3.5111649163974001"/>
    <n v="0.58519415273289999"/>
    <n v="0.7"/>
    <s v="0.25"/>
    <n v="10.957823080201544"/>
    <n v="999901.35606839089"/>
    <n v="14.642146274982885"/>
    <n v="4.2"/>
    <m/>
    <s v="Contracted"/>
    <n v="0"/>
    <n v="0"/>
    <n v="3123.141614275838"/>
    <n v="3161.0931209739401"/>
    <n v="0.27536375426235932"/>
    <m/>
    <n v="881317.88904893526"/>
    <x v="1"/>
    <n v="4596.7279021980594"/>
    <n v="1149181.9755495149"/>
    <m/>
    <n v="0"/>
    <n v="0"/>
    <n v="0"/>
    <n v="0"/>
    <n v="278058.97102974768"/>
    <n v="0"/>
    <n v="721842.38503864326"/>
    <n v="0"/>
    <n v="999901.35606839089"/>
    <n v="9.9196739166571735E-2"/>
    <n v="0.34829611038269054"/>
    <m/>
    <n v="3.4982217343578399"/>
  </r>
  <r>
    <s v="SURATGARH TPS2"/>
    <x v="157"/>
    <s v="Rajasthan"/>
    <s v="NR"/>
    <x v="1"/>
    <x v="4"/>
    <n v="20.175222450376399"/>
    <n v="250"/>
    <n v="2.5446786116678499"/>
    <n v="0.42411310194464164"/>
    <n v="0.7"/>
    <s v="0.25"/>
    <n v="8.6585507424020545"/>
    <n v="790092.75524418743"/>
    <n v="14.584042921115671"/>
    <n v="4.2"/>
    <m/>
    <s v="Contracted"/>
    <n v="0"/>
    <n v="0"/>
    <n v="3109.1261186153315"/>
    <n v="3200.3263815697692"/>
    <n v="0.27660505466500868"/>
    <m/>
    <n v="646652.97302448691"/>
    <x v="1"/>
    <n v="4596.7279021980594"/>
    <n v="1149181.9755495149"/>
    <m/>
    <n v="0"/>
    <n v="0"/>
    <n v="0"/>
    <n v="0"/>
    <n v="219714.05199917601"/>
    <n v="0"/>
    <n v="570378.70324501151"/>
    <n v="0"/>
    <n v="790092.75524418755"/>
    <n v="9.9196739166571735E-2"/>
    <n v="0.25242382050436957"/>
    <m/>
    <n v="3.4982217343578399"/>
  </r>
  <r>
    <s v="SURATGARH TPS3"/>
    <x v="157"/>
    <s v="Rajasthan"/>
    <s v="NR"/>
    <x v="1"/>
    <x v="3"/>
    <n v="18.590006844626899"/>
    <n v="250"/>
    <n v="2.6861969447534202"/>
    <n v="0.4476994907922367"/>
    <n v="0.75"/>
    <s v="0.25"/>
    <n v="8.9365035420431838"/>
    <n v="815455.94821144047"/>
    <n v="14.533831216803556"/>
    <n v="4.5"/>
    <m/>
    <s v="Contracted"/>
    <n v="0"/>
    <n v="0"/>
    <n v="3080.4856601266251"/>
    <n v="3180.4175022160462"/>
    <n v="0.2791767581104887"/>
    <m/>
    <n v="678369.09321821446"/>
    <x v="1"/>
    <n v="4596.7279021980594"/>
    <n v="1149181.9755495149"/>
    <m/>
    <n v="0"/>
    <n v="0"/>
    <n v="0"/>
    <n v="0"/>
    <n v="226767.2110890222"/>
    <n v="0"/>
    <n v="588688.73712241836"/>
    <n v="0"/>
    <n v="815455.94821144058"/>
    <n v="9.9196739166571735E-2"/>
    <n v="0.26646197767874691"/>
    <m/>
    <n v="3.4982217343578399"/>
  </r>
  <r>
    <s v="SURATGARH TPS4"/>
    <x v="157"/>
    <s v="Rajasthan"/>
    <s v="NR"/>
    <x v="1"/>
    <x v="3"/>
    <n v="18.176591375769998"/>
    <n v="250"/>
    <n v="3.0317122229284701"/>
    <n v="0.50528537048807831"/>
    <n v="0.75"/>
    <s v="0.25"/>
    <n v="9.7246182270392936"/>
    <n v="887371.41321733547"/>
    <n v="14.520736281827514"/>
    <n v="4.5"/>
    <m/>
    <s v="Contracted"/>
    <n v="0"/>
    <n v="0"/>
    <n v="3077.3269439404517"/>
    <n v="3158.2225526757629"/>
    <n v="0.27946331854449896"/>
    <m/>
    <n v="760282.11231524043"/>
    <x v="1"/>
    <n v="4596.7279021980594"/>
    <n v="1149181.9755495149"/>
    <m/>
    <n v="0"/>
    <n v="0"/>
    <n v="0"/>
    <n v="0"/>
    <n v="246765.92404135995"/>
    <n v="0"/>
    <n v="640605.48917597567"/>
    <n v="0"/>
    <n v="887371.41321733559"/>
    <n v="9.9196739166571735E-2"/>
    <n v="0.30073596660594282"/>
    <m/>
    <n v="3.4982217343578399"/>
  </r>
  <r>
    <s v="SURATGARH TPS5"/>
    <x v="157"/>
    <s v="Rajasthan"/>
    <s v="NR"/>
    <x v="1"/>
    <x v="3"/>
    <n v="16.925393566050602"/>
    <n v="250"/>
    <n v="2.83154932941363"/>
    <n v="0.47192488823560497"/>
    <n v="0.75"/>
    <s v="0.25"/>
    <n v="9.220832138693094"/>
    <n v="841400.93265574495"/>
    <n v="14.481104591204652"/>
    <n v="4.5"/>
    <m/>
    <s v="Contracted"/>
    <n v="0"/>
    <n v="0"/>
    <n v="3067.7671207809717"/>
    <n v="3159.6907441670619"/>
    <n v="0.28033418644276586"/>
    <m/>
    <n v="710416.07102428621"/>
    <x v="1"/>
    <n v="4596.7279021980594"/>
    <n v="1149181.9755495149"/>
    <m/>
    <n v="0"/>
    <n v="0"/>
    <n v="0"/>
    <n v="0"/>
    <n v="233982.15847776507"/>
    <n v="0"/>
    <n v="607418.77417797979"/>
    <n v="0"/>
    <n v="841400.93265574484"/>
    <n v="9.9196739166571735E-2"/>
    <n v="0.28088046026712499"/>
    <m/>
    <n v="3.4982217343578399"/>
  </r>
  <r>
    <s v="SURATGARH TPS6"/>
    <x v="157"/>
    <s v="Rajasthan"/>
    <s v="NR"/>
    <x v="1"/>
    <x v="2"/>
    <n v="10.757015742642"/>
    <n v="250"/>
    <n v="2.380507619321"/>
    <n v="0.39675126988683329"/>
    <n v="0.8"/>
    <s v="0.15"/>
    <n v="8.0084453669646631"/>
    <n v="730770.63973552547"/>
    <n v="14.314630923648185"/>
    <n v="4.8"/>
    <m/>
    <s v="Contracted"/>
    <n v="0"/>
    <n v="0"/>
    <n v="3004.1088417912388"/>
    <n v="3137.4112584032246"/>
    <n v="0.28627458101258868"/>
    <m/>
    <n v="593041.51149133092"/>
    <x v="1"/>
    <n v="4596.7279021980594"/>
    <n v="1149181.9755495149"/>
    <m/>
    <n v="0"/>
    <n v="0"/>
    <n v="0"/>
    <n v="0"/>
    <n v="203217.37830477796"/>
    <n v="0"/>
    <n v="527553.26143074769"/>
    <n v="0"/>
    <n v="730770.63973552571"/>
    <n v="9.9196739166571735E-2"/>
    <n v="0.23613859339782187"/>
    <m/>
    <n v="3.4982217343578399"/>
  </r>
  <r>
    <s v="SVPL TPP1"/>
    <x v="158"/>
    <s v="Chhatisgarh"/>
    <s v="WR"/>
    <x v="2"/>
    <x v="1"/>
    <n v="8.4243668720054696"/>
    <n v="63"/>
    <n v="0.307181819305401"/>
    <n v="0.20316257890568851"/>
    <n v="0.85"/>
    <s v="0.15"/>
    <n v="5.3252273797592888"/>
    <n v="122453.60359756486"/>
    <n v="14.324870470670772"/>
    <n v="1.2852000000000001"/>
    <m/>
    <s v="Not contracted"/>
    <n v="0.28000000000000003"/>
    <n v="34287.009007318164"/>
    <n v="3205.9989698871323"/>
    <n v="3419.8247923831836"/>
    <n v="0.26824712299588682"/>
    <m/>
    <n v="89462.300635077758"/>
    <x v="1"/>
    <m/>
    <n v="0"/>
    <m/>
    <m/>
    <m/>
    <m/>
    <m/>
    <m/>
    <m/>
    <m/>
    <m/>
    <n v="0"/>
    <n v="0.12897083607149668"/>
    <n v="3.9617496061780985E-2"/>
    <m/>
    <m/>
  </r>
  <r>
    <s v="TALCHER (OLD) TPS1"/>
    <x v="159"/>
    <s v="Odisha"/>
    <s v="ER"/>
    <x v="0"/>
    <x v="7"/>
    <n v="49.338809034907598"/>
    <n v="60"/>
    <n v="1.3303005279234399"/>
    <n v="0.92381981105794431"/>
    <n v="0.55000000000000004"/>
    <s v="0.25"/>
    <n v="17.524377703373197"/>
    <n v="383783.87170387304"/>
    <n v="16.497300526180698"/>
    <n v="0.79200000000000015"/>
    <m/>
    <s v="Contracted"/>
    <n v="0"/>
    <n v="0"/>
    <n v="3557.4282979671457"/>
    <n v="3433.8542344419475"/>
    <n v="0.241747669374373"/>
    <m/>
    <n v="415586.96327802795"/>
    <x v="1"/>
    <n v="4012.015183713771"/>
    <n v="240720.91102282627"/>
    <s v="Pithead plant"/>
    <n v="0"/>
    <n v="0"/>
    <n v="41833.732695656799"/>
    <n v="341950.13900821627"/>
    <n v="0"/>
    <n v="0"/>
    <n v="0"/>
    <n v="0"/>
    <n v="383783.87170387304"/>
    <n v="0.10471132406131005"/>
    <n v="0.13929752967832315"/>
    <m/>
    <n v="1.6734602463606001"/>
  </r>
  <r>
    <s v="TALCHER (OLD) TPS2"/>
    <x v="159"/>
    <s v="Odisha"/>
    <s v="ER"/>
    <x v="0"/>
    <x v="7"/>
    <n v="48.925393566050602"/>
    <n v="60"/>
    <n v="1.38071961262072"/>
    <n v="0.95883306431994442"/>
    <n v="0.55000000000000004"/>
    <s v="0.25"/>
    <n v="17.998432665007336"/>
    <n v="394165.67536366067"/>
    <n v="16.484205591204653"/>
    <n v="0.79200000000000015"/>
    <m/>
    <s v="Contracted"/>
    <n v="0"/>
    <n v="0"/>
    <n v="3554.2695817809713"/>
    <n v="3419.1211451090498"/>
    <n v="0.24196251303174132"/>
    <m/>
    <n v="429487.25353328674"/>
    <x v="1"/>
    <n v="4012.015183713771"/>
    <n v="240720.91102282627"/>
    <s v="Pithead plant"/>
    <n v="0"/>
    <n v="0"/>
    <n v="42965.38420897902"/>
    <n v="351200.29115468165"/>
    <n v="0"/>
    <n v="0"/>
    <n v="0"/>
    <n v="0"/>
    <n v="394165.67536366067"/>
    <n v="0.10471132406131005"/>
    <n v="0.1445769787949347"/>
    <m/>
    <n v="1.6734602463606001"/>
  </r>
  <r>
    <s v="TALCHER (OLD) TPS3"/>
    <x v="159"/>
    <s v="Odisha"/>
    <s v="ER"/>
    <x v="0"/>
    <x v="7"/>
    <n v="48.339493497604302"/>
    <n v="60"/>
    <n v="1.3068052492186999"/>
    <n v="0.90750364529076377"/>
    <n v="0.55000000000000004"/>
    <s v="0.25"/>
    <n v="17.2657126745606"/>
    <n v="378119.1075728772"/>
    <n v="16.465647206536616"/>
    <n v="0.79200000000000015"/>
    <m/>
    <s v="Contracted"/>
    <n v="0"/>
    <n v="0"/>
    <n v="3549.7929906297049"/>
    <n v="3431.6125816015629"/>
    <n v="0.24226764835868439"/>
    <m/>
    <n v="407980.51161195541"/>
    <x v="1"/>
    <n v="4012.015183713771"/>
    <n v="240720.91102282627"/>
    <s v="Pithead plant"/>
    <n v="0"/>
    <n v="0"/>
    <n v="41216.254354558412"/>
    <n v="336902.85321831872"/>
    <n v="0"/>
    <n v="0"/>
    <n v="0"/>
    <n v="0"/>
    <n v="378119.10757287714"/>
    <n v="0.10471132406131005"/>
    <n v="0.13683730793596033"/>
    <m/>
    <n v="1.6734602463606001"/>
  </r>
  <r>
    <s v="TALCHER (OLD) TPS4"/>
    <x v="159"/>
    <s v="Odisha"/>
    <s v="ER"/>
    <x v="0"/>
    <x v="7"/>
    <n v="47.923340177960299"/>
    <n v="60"/>
    <n v="1.26247883362466"/>
    <n v="0.87672141223934719"/>
    <n v="0.55000000000000004"/>
    <s v="0.25"/>
    <n v="16.824248575046603"/>
    <n v="368451.0437935206"/>
    <n v="16.452465550136893"/>
    <n v="0.79200000000000015"/>
    <m/>
    <s v="Contracted"/>
    <n v="0"/>
    <n v="0"/>
    <n v="3546.6133557932922"/>
    <n v="3438.6086664836366"/>
    <n v="0.2424848478606258"/>
    <m/>
    <n v="394945.48694739473"/>
    <x v="1"/>
    <n v="4012.015183713771"/>
    <n v="240720.91102282627"/>
    <s v="Pithead plant"/>
    <n v="0"/>
    <n v="0"/>
    <n v="40162.402888537879"/>
    <n v="328288.64090498275"/>
    <n v="0"/>
    <n v="0"/>
    <n v="0"/>
    <n v="0"/>
    <n v="368451.04379352066"/>
    <n v="0.10471132406131005"/>
    <n v="0.13219583026821649"/>
    <m/>
    <n v="1.6734602463606001"/>
  </r>
  <r>
    <s v="TALCHER (OLD) TPS5"/>
    <x v="159"/>
    <s v="Odisha"/>
    <s v="ER"/>
    <x v="0"/>
    <x v="7"/>
    <n v="47.337440109513999"/>
    <n v="110"/>
    <n v="2.11222231315217"/>
    <n v="0.80008420952733716"/>
    <n v="0.55000000000000004"/>
    <s v="0.25"/>
    <n v="15.479018797885555"/>
    <n v="621482.60473510507"/>
    <n v="16.173512165468857"/>
    <n v="1.4520000000000002"/>
    <m/>
    <s v="Contracted"/>
    <n v="0"/>
    <n v="0"/>
    <n v="3495.8496496420257"/>
    <n v="3413.1790123975225"/>
    <n v="0.24600600317238008"/>
    <m/>
    <n v="655886.94872903591"/>
    <x v="1"/>
    <n v="4012.015183713771"/>
    <n v="441321.67020851478"/>
    <s v="Pithead plant"/>
    <n v="0"/>
    <n v="0"/>
    <n v="67743.693986050712"/>
    <n v="553738.91074905428"/>
    <n v="0"/>
    <n v="0"/>
    <n v="0"/>
    <n v="0"/>
    <n v="621482.60473510495"/>
    <n v="0.10471132406131005"/>
    <n v="0.22117359512200679"/>
    <m/>
    <n v="1.6734602463606001"/>
  </r>
  <r>
    <s v="TALCHER (OLD) TPS6"/>
    <x v="159"/>
    <s v="Odisha"/>
    <s v="ER"/>
    <x v="0"/>
    <x v="7"/>
    <n v="46.924024640657002"/>
    <n v="110"/>
    <n v="2.3337168423468699"/>
    <n v="0.88398365240411736"/>
    <n v="0.55000000000000004"/>
    <s v="0.25"/>
    <n v="16.633241981487018"/>
    <n v="667824.66555670381"/>
    <n v="16.160417230492811"/>
    <n v="1.4520000000000002"/>
    <m/>
    <s v="Contracted"/>
    <n v="0"/>
    <n v="0"/>
    <n v="3492.6909334558513"/>
    <n v="3382.2855567002393"/>
    <n v="0.24622848582513168"/>
    <m/>
    <n v="718106.28546197421"/>
    <x v="1"/>
    <n v="4012.015183713771"/>
    <n v="441321.67020851478"/>
    <s v="Pithead plant"/>
    <n v="0"/>
    <n v="0"/>
    <n v="72795.134465739495"/>
    <n v="595029.53109096421"/>
    <n v="0"/>
    <n v="0"/>
    <n v="0"/>
    <n v="0"/>
    <n v="667824.66555670369"/>
    <n v="0.10471132406131005"/>
    <n v="0.24436658054632032"/>
    <m/>
    <n v="1.6734602463606001"/>
  </r>
  <r>
    <s v="TANDA STPS1"/>
    <x v="10"/>
    <s v="Uttar Pradesh"/>
    <s v="NR"/>
    <x v="0"/>
    <x v="6"/>
    <n v="32.175222450376403"/>
    <n v="110"/>
    <n v="1.7730571357946201"/>
    <n v="0.6716125514373561"/>
    <n v="0.6"/>
    <s v="0.25"/>
    <n v="13.211290833029038"/>
    <n v="530433.32694611582"/>
    <n v="15.693248921115671"/>
    <n v="1.5840000000000001"/>
    <m/>
    <s v="Contracted"/>
    <n v="0"/>
    <n v="0"/>
    <n v="3363.4736046153312"/>
    <n v="3339.8005575516227"/>
    <n v="0.25568804786216098"/>
    <m/>
    <n v="496692.87803029199"/>
    <x v="1"/>
    <n v="4351.5922565188512"/>
    <n v="478675.14821707364"/>
    <m/>
    <n v="0"/>
    <n v="530433.32694611582"/>
    <n v="0"/>
    <n v="0"/>
    <n v="0"/>
    <n v="0"/>
    <n v="0"/>
    <n v="0"/>
    <n v="530433.32694611582"/>
    <n v="0.12115813368341415"/>
    <n v="0.21482029348693596"/>
    <m/>
    <n v="2.8828179824561402"/>
  </r>
  <r>
    <s v="TANDA STPS2"/>
    <x v="10"/>
    <s v="Uttar Pradesh"/>
    <s v="NR"/>
    <x v="0"/>
    <x v="6"/>
    <n v="31.175906913073199"/>
    <n v="110"/>
    <n v="1.74970229850883"/>
    <n v="0.66276602216243563"/>
    <n v="0.6"/>
    <s v="0.25"/>
    <n v="13.056553097624208"/>
    <n v="524220.60686961195"/>
    <n v="15.661595601471593"/>
    <n v="1.5840000000000001"/>
    <m/>
    <s v="Contracted"/>
    <n v="0"/>
    <n v="0"/>
    <n v="3355.8382972778913"/>
    <n v="3335.0896580124286"/>
    <n v="0.25626979723593779"/>
    <m/>
    <n v="489459.02997683908"/>
    <x v="1"/>
    <n v="4351.5922565188512"/>
    <n v="478675.14821707364"/>
    <m/>
    <n v="0"/>
    <n v="524220.60686961195"/>
    <n v="0"/>
    <n v="0"/>
    <n v="0"/>
    <n v="0"/>
    <n v="0"/>
    <n v="0"/>
    <n v="524220.60686961195"/>
    <n v="0.12115813368341415"/>
    <n v="0.21199066498890984"/>
    <m/>
    <n v="2.8828179824561402"/>
  </r>
  <r>
    <s v="TANDA STPS3"/>
    <x v="10"/>
    <s v="Uttar Pradesh"/>
    <s v="NR"/>
    <x v="0"/>
    <x v="6"/>
    <n v="30.176591375769998"/>
    <n v="110"/>
    <n v="1.70559766441292"/>
    <n v="0.64605972136853029"/>
    <n v="0.6"/>
    <s v="0.25"/>
    <n v="12.792460003144287"/>
    <n v="513617.26912624307"/>
    <n v="15.629942281827514"/>
    <n v="1.5840000000000001"/>
    <m/>
    <s v="Contracted"/>
    <n v="0"/>
    <n v="0"/>
    <n v="3348.2029899404511"/>
    <n v="3332.9769725759907"/>
    <n v="0.25685419987492913"/>
    <m/>
    <n v="476819.02457195567"/>
    <x v="1"/>
    <n v="4351.5922565188512"/>
    <n v="478675.14821707364"/>
    <m/>
    <n v="0"/>
    <n v="513617.26912624307"/>
    <n v="0"/>
    <n v="0"/>
    <n v="0"/>
    <n v="0"/>
    <n v="0"/>
    <n v="0"/>
    <n v="513617.26912624307"/>
    <n v="0.12115813368341415"/>
    <n v="0.2066470298350595"/>
    <m/>
    <n v="2.8828179824561402"/>
  </r>
  <r>
    <s v="TANDA STPS4"/>
    <x v="10"/>
    <s v="Uttar Pradesh"/>
    <s v="NR"/>
    <x v="0"/>
    <x v="4"/>
    <n v="22.2532511978097"/>
    <n v="110"/>
    <n v="1.75241982008227"/>
    <n v="0.66379538639479929"/>
    <n v="0.7"/>
    <s v="0.25"/>
    <n v="12.788249831217382"/>
    <n v="513448.23072337784"/>
    <n v="15.378970481690621"/>
    <n v="1.8479999999999999"/>
    <m/>
    <s v="Contracted"/>
    <n v="0"/>
    <n v="0"/>
    <n v="3254.6072961471591"/>
    <n v="3266.5754987121668"/>
    <n v="0.26424078905558829"/>
    <m/>
    <n v="480148.44412283186"/>
    <x v="1"/>
    <n v="4351.5922565188512"/>
    <n v="478675.14821707364"/>
    <m/>
    <n v="0"/>
    <n v="513448.23072337784"/>
    <n v="0"/>
    <n v="0"/>
    <n v="0"/>
    <n v="0"/>
    <n v="0"/>
    <n v="0"/>
    <n v="513448.23072337784"/>
    <n v="0.12115813368341415"/>
    <n v="0.21231991483099225"/>
    <m/>
    <n v="2.8828179824561402"/>
  </r>
  <r>
    <s v="TENUGHAT TPS1"/>
    <x v="160"/>
    <s v="Jharkhand"/>
    <s v="ER"/>
    <x v="1"/>
    <x v="4"/>
    <n v="23.671457905544099"/>
    <n v="210"/>
    <n v="2.60289346451966"/>
    <n v="0.51644711597612303"/>
    <n v="0.7"/>
    <s v="0.25"/>
    <n v="10.262280837868701"/>
    <n v="786603.82622263592"/>
    <n v="14.903102179158108"/>
    <n v="3.528"/>
    <m/>
    <s v="capacity not mentioned"/>
    <n v="0"/>
    <n v="0"/>
    <n v="3172.8689269712522"/>
    <n v="3233.5462241064861"/>
    <n v="0.27104807030933237"/>
    <m/>
    <n v="694706.00566202868"/>
    <x v="1"/>
    <n v="4422.0869502399582"/>
    <n v="928638.25955039123"/>
    <m/>
    <n v="0"/>
    <n v="786603.82622263592"/>
    <n v="0"/>
    <n v="0"/>
    <n v="0"/>
    <n v="0"/>
    <n v="0"/>
    <n v="0"/>
    <n v="786603.82622263592"/>
    <n v="0.12642862786873815"/>
    <n v="0.32908024920772666"/>
    <m/>
    <n v="1.93"/>
  </r>
  <r>
    <s v="TENUGHAT TPS2"/>
    <x v="160"/>
    <s v="Jharkhand"/>
    <s v="ER"/>
    <x v="1"/>
    <x v="4"/>
    <n v="22.672142368240898"/>
    <n v="210"/>
    <n v="3.1006005782438999"/>
    <n v="0.61519852742934522"/>
    <n v="0.7"/>
    <s v="0.25"/>
    <n v="11.60458553119674"/>
    <n v="889491.48096623016"/>
    <n v="14.871448859514029"/>
    <n v="3.528"/>
    <m/>
    <s v="capacity not mentioned"/>
    <n v="0"/>
    <n v="0"/>
    <n v="3165.2336196338124"/>
    <n v="3193.266544183261"/>
    <n v="0.27170190366532687"/>
    <m/>
    <n v="817234.2911276659"/>
    <x v="1"/>
    <n v="4422.0869502399582"/>
    <n v="928638.25955039123"/>
    <m/>
    <n v="0"/>
    <n v="889491.48096623016"/>
    <n v="0"/>
    <n v="0"/>
    <n v="0"/>
    <n v="0"/>
    <n v="0"/>
    <n v="0"/>
    <n v="889491.48096623016"/>
    <n v="0.12642862786873815"/>
    <n v="0.39200467667639233"/>
    <m/>
    <n v="1.93"/>
  </r>
  <r>
    <s v="THAMMINAPATNAM TPS1"/>
    <x v="161"/>
    <s v="Andhra Pradesh"/>
    <s v="SR"/>
    <x v="2"/>
    <x v="1"/>
    <n v="8.1752224503764506"/>
    <n v="150"/>
    <n v="0.118846038808552"/>
    <n v="3.3012788557931112E-2"/>
    <n v="0.85"/>
    <s v="0.15"/>
    <n v="2.4969033521587374"/>
    <n v="136705.45853069087"/>
    <n v="13.863891521115672"/>
    <n v="3.06"/>
    <m/>
    <s v="Not contracted"/>
    <n v="1"/>
    <n v="136705.45853069087"/>
    <n v="3285.8838246153327"/>
    <n v="3555.956267486391"/>
    <n v="0.26172562570762137"/>
    <m/>
    <n v="35989.997794453688"/>
    <x v="1"/>
    <m/>
    <n v="0"/>
    <m/>
    <m/>
    <m/>
    <m/>
    <m/>
    <m/>
    <m/>
    <m/>
    <m/>
    <n v="0"/>
    <n v="0.1233619249363473"/>
    <n v="1.4661076118482811E-2"/>
    <m/>
    <m/>
  </r>
  <r>
    <s v="THAMMINAPATNAM TPS2"/>
    <x v="161"/>
    <s v="Andhra Pradesh"/>
    <s v="SR"/>
    <x v="2"/>
    <x v="1"/>
    <n v="7.8412046543463303"/>
    <n v="150"/>
    <n v="0.19324291187739401"/>
    <n v="5.3678586632609451E-2"/>
    <n v="0.85"/>
    <s v="0.15"/>
    <n v="2.7738527868219052"/>
    <n v="151868.44007849929"/>
    <n v="13.853311507426419"/>
    <n v="3.06"/>
    <m/>
    <s v="Not contracted"/>
    <n v="1"/>
    <n v="151868.44007849929"/>
    <n v="3283.3317492861061"/>
    <n v="3546.5726744886597"/>
    <n v="0.26192906037807162"/>
    <m/>
    <n v="58365.086617613109"/>
    <x v="1"/>
    <m/>
    <n v="0"/>
    <m/>
    <m/>
    <m/>
    <m/>
    <m/>
    <m/>
    <m/>
    <m/>
    <m/>
    <n v="0"/>
    <n v="0.1233619249363473"/>
    <n v="2.3838817589500256E-2"/>
    <m/>
    <m/>
  </r>
  <r>
    <s v="TORANGALLU TPS(SBU-I)1"/>
    <x v="162"/>
    <s v="Karnataka"/>
    <s v="SR"/>
    <x v="2"/>
    <x v="4"/>
    <n v="21.338809034907499"/>
    <n v="130"/>
    <n v="2.4337650391087098"/>
    <n v="0.78005289715022752"/>
    <n v="0.7"/>
    <s v="0.25"/>
    <n v="13.382901400100954"/>
    <n v="635018.67143479025"/>
    <n v="14.356096426180693"/>
    <n v="2.1840000000000002"/>
    <m/>
    <s v="Not contracted"/>
    <n v="1"/>
    <n v="635018.67143479025"/>
    <n v="3454.5612209671444"/>
    <n v="3428.0980386927176"/>
    <n v="0.2489462322393676"/>
    <m/>
    <n v="710513.90162872791"/>
    <x v="1"/>
    <m/>
    <n v="0"/>
    <m/>
    <m/>
    <m/>
    <m/>
    <m/>
    <m/>
    <m/>
    <m/>
    <m/>
    <n v="0"/>
    <n v="7.183708757655409E-2"/>
    <n v="0.17483459225520798"/>
    <m/>
    <m/>
  </r>
  <r>
    <s v="TORANGALLU TPS(SBU-I)2"/>
    <x v="162"/>
    <s v="Karnataka"/>
    <s v="SR"/>
    <x v="2"/>
    <x v="4"/>
    <n v="21.0102669404517"/>
    <n v="130"/>
    <n v="1.1475347250030801"/>
    <n v="0.36779959134714102"/>
    <n v="0.7"/>
    <s v="0.25"/>
    <n v="7.6366909096289852"/>
    <n v="362360.98366189539"/>
    <n v="14.345689855338806"/>
    <n v="2.1840000000000002"/>
    <m/>
    <s v="Not contracted"/>
    <n v="1"/>
    <n v="362360.98366189539"/>
    <n v="3452.0509829383973"/>
    <n v="3561.8668706672634"/>
    <n v="0.24912725920054782"/>
    <m/>
    <n v="348084.12523891509"/>
    <x v="1"/>
    <m/>
    <n v="0"/>
    <m/>
    <m/>
    <m/>
    <m/>
    <m/>
    <m/>
    <m/>
    <m/>
    <m/>
    <n v="0"/>
    <n v="7.183708757655409E-2"/>
    <n v="8.2435552537183182E-2"/>
    <m/>
    <m/>
  </r>
  <r>
    <s v="TORANGALLU TPS(SBU-II)3"/>
    <x v="163"/>
    <s v="Karnataka"/>
    <s v="SR"/>
    <x v="2"/>
    <x v="2"/>
    <n v="11.0910335386721"/>
    <n v="300"/>
    <n v="4.2868327019781303"/>
    <n v="0.59539343083029583"/>
    <n v="0.8"/>
    <s v="0.15"/>
    <n v="9.6326472585085945"/>
    <n v="1054774.874806691"/>
    <n v="13.175064837337439"/>
    <n v="5.76"/>
    <m/>
    <s v="Not contracted"/>
    <n v="0.94637183669645064"/>
    <n v="998209.23557207698"/>
    <n v="3173.738632385965"/>
    <n v="3241.3756714842771"/>
    <n v="0.27097379450981002"/>
    <m/>
    <n v="1183331.9781122301"/>
    <x v="1"/>
    <m/>
    <n v="0"/>
    <m/>
    <m/>
    <m/>
    <m/>
    <m/>
    <m/>
    <m/>
    <m/>
    <m/>
    <n v="0"/>
    <n v="7.7914431957709626E-2"/>
    <n v="0.33400613487235953"/>
    <m/>
    <m/>
  </r>
  <r>
    <s v="TORANGALLU TPS(SBU-II)4"/>
    <x v="163"/>
    <s v="Karnataka"/>
    <s v="SR"/>
    <x v="2"/>
    <x v="2"/>
    <n v="10.757015742642"/>
    <n v="300"/>
    <n v="1.7045257980791"/>
    <n v="0.23673969417765278"/>
    <n v="0.8"/>
    <s v="0.15"/>
    <n v="4.6320102106501224"/>
    <n v="507205.11806618836"/>
    <n v="13.164484823648186"/>
    <n v="5.76"/>
    <m/>
    <s v="Not contracted"/>
    <n v="0.94637183669645064"/>
    <n v="480004.63916613878"/>
    <n v="3171.1865570567388"/>
    <n v="3357.3841922647989"/>
    <n v="0.27119186604971879"/>
    <m/>
    <n v="487354.87843422388"/>
    <x v="1"/>
    <m/>
    <n v="0"/>
    <m/>
    <m/>
    <m/>
    <m/>
    <m/>
    <m/>
    <m/>
    <m/>
    <m/>
    <n v="0"/>
    <n v="7.7914431957709626E-2"/>
    <n v="0.13280715931459472"/>
    <m/>
    <m/>
  </r>
  <r>
    <s v="TROMBAY TPS5"/>
    <x v="164"/>
    <s v="Maharashtra"/>
    <s v="WR"/>
    <x v="2"/>
    <x v="8"/>
    <n v="36.339493497604302"/>
    <n v="500"/>
    <n v="8.5812670701131708"/>
    <n v="0.71510558917609746"/>
    <n v="0.55000000000000004"/>
    <s v="0.25"/>
    <n v="11.027493700420413"/>
    <n v="2012517.6003267253"/>
    <n v="12.904320106536616"/>
    <n v="6.6000000000000005"/>
    <m/>
    <s v="Contracted"/>
    <n v="1"/>
    <n v="2012517.6003267253"/>
    <n v="3276.2355346297054"/>
    <n v="3221.6563818890554"/>
    <n v="0.26249638980770074"/>
    <m/>
    <n v="2354351.66698797"/>
    <x v="1"/>
    <m/>
    <n v="0"/>
    <m/>
    <m/>
    <m/>
    <m/>
    <m/>
    <m/>
    <m/>
    <m/>
    <m/>
    <n v="0"/>
    <n v="5.8556660392843879E-2"/>
    <n v="0.50249034156491135"/>
    <m/>
    <n v="3.7555164835164798"/>
  </r>
  <r>
    <s v="TROMBAY TPS8"/>
    <x v="164"/>
    <s v="Maharashtra"/>
    <s v="WR"/>
    <x v="2"/>
    <x v="2"/>
    <n v="11.1759069130732"/>
    <n v="250"/>
    <n v="4.7549666036165803"/>
    <n v="0.79249443393609664"/>
    <n v="0.8"/>
    <s v="0.15"/>
    <n v="12.638056009154687"/>
    <n v="1153222.6108353653"/>
    <n v="13.438148201471593"/>
    <n v="4.8"/>
    <m/>
    <s v="Contracted"/>
    <n v="1"/>
    <n v="1153222.6108353653"/>
    <n v="3232.7649952778911"/>
    <n v="3235.246119258315"/>
    <n v="0.26602614209699882"/>
    <m/>
    <n v="1310072.9927244524"/>
    <x v="1"/>
    <m/>
    <n v="0"/>
    <m/>
    <m/>
    <m/>
    <m/>
    <m/>
    <m/>
    <m/>
    <m/>
    <m/>
    <n v="0"/>
    <n v="5.8556660392843879E-2"/>
    <n v="0.27843496458729039"/>
    <m/>
    <n v="3.9183956043956001"/>
  </r>
  <r>
    <s v="TUTICORIN TPS1"/>
    <x v="165"/>
    <s v="Tamil Nadu"/>
    <s v="SR"/>
    <x v="1"/>
    <x v="9"/>
    <n v="40.821355236139603"/>
    <n v="210"/>
    <n v="2.4330479037461998"/>
    <n v="0.48274759994964289"/>
    <n v="0.55000000000000004"/>
    <s v="0.25"/>
    <n v="10.336632359484089"/>
    <n v="792302.87035445543"/>
    <n v="15.44632517710472"/>
    <n v="2.7719999999999998"/>
    <m/>
    <s v="Contracted"/>
    <n v="0.19627287722881157"/>
    <n v="155507.56400111501"/>
    <n v="3397.7398513712164"/>
    <n v="3419.9715579587428"/>
    <n v="0.25310943086267546"/>
    <m/>
    <n v="725015.411700394"/>
    <x v="1"/>
    <n v="4189.0812125130678"/>
    <n v="879707.05462774425"/>
    <m/>
    <n v="0"/>
    <n v="80289.97111456444"/>
    <n v="124737.36097328167"/>
    <n v="587275.53826660931"/>
    <n v="0"/>
    <n v="0"/>
    <n v="0"/>
    <n v="0"/>
    <n v="792302.87035445543"/>
    <n v="8.1569433810636374E-2"/>
    <n v="0.19846233994273324"/>
    <m/>
    <n v="3.3875747126436702"/>
  </r>
  <r>
    <s v="TUTICORIN TPS2"/>
    <x v="165"/>
    <s v="Tamil Nadu"/>
    <s v="SR"/>
    <x v="1"/>
    <x v="8"/>
    <n v="39.378507871320998"/>
    <n v="210"/>
    <n v="3.23088844150096"/>
    <n v="0.64104929394860322"/>
    <n v="0.55000000000000004"/>
    <s v="0.25"/>
    <n v="12.493429128319194"/>
    <n v="957621.34268566628"/>
    <n v="15.400622986824091"/>
    <n v="2.7719999999999998"/>
    <m/>
    <s v="Contracted"/>
    <n v="0.19627287722881157"/>
    <n v="187955.09622463345"/>
    <n v="3386.7157226949676"/>
    <n v="3356.6174483352252"/>
    <n v="0.25393332963761656"/>
    <m/>
    <n v="944926.20879488532"/>
    <x v="1"/>
    <n v="4189.0812125130678"/>
    <n v="879707.05462774425"/>
    <m/>
    <n v="0"/>
    <n v="97042.927420577398"/>
    <n v="150764.51640880882"/>
    <n v="709813.89885627991"/>
    <n v="0"/>
    <n v="0"/>
    <n v="0"/>
    <n v="0"/>
    <n v="957621.34268566617"/>
    <n v="8.1569433810636374E-2"/>
    <n v="0.26354174087856269"/>
    <m/>
    <n v="3.3875747126436702"/>
  </r>
  <r>
    <s v="TUTICORIN TPS3"/>
    <x v="165"/>
    <s v="Tamil Nadu"/>
    <s v="SR"/>
    <x v="1"/>
    <x v="8"/>
    <n v="38.050650239561897"/>
    <n v="210"/>
    <n v="3.2269546453731599"/>
    <n v="0.640268778843881"/>
    <n v="0.55000000000000004"/>
    <s v="0.25"/>
    <n v="12.440509697026693"/>
    <n v="953565.06827709591"/>
    <n v="15.358563096338122"/>
    <n v="2.7719999999999998"/>
    <m/>
    <s v="Contracted"/>
    <n v="0.19627287722881157"/>
    <n v="187158.95957563375"/>
    <n v="3376.5701773287797"/>
    <n v="3346.7299187838235"/>
    <n v="0.25469632047758889"/>
    <m/>
    <n v="940995.64207033487"/>
    <x v="1"/>
    <n v="4189.0812125130678"/>
    <n v="879707.05462774425"/>
    <m/>
    <n v="0"/>
    <n v="96631.874820261612"/>
    <n v="150125.91091583343"/>
    <n v="706807.28254100087"/>
    <n v="0"/>
    <n v="0"/>
    <n v="0"/>
    <n v="0"/>
    <n v="953565.06827709591"/>
    <n v="8.1569433810636374E-2"/>
    <n v="0.26322086335569156"/>
    <m/>
    <n v="3.3875747126436702"/>
  </r>
  <r>
    <s v="TUTICORIN TPS4"/>
    <x v="165"/>
    <s v="Tamil Nadu"/>
    <s v="SR"/>
    <x v="1"/>
    <x v="5"/>
    <n v="28.227241615331899"/>
    <n v="210"/>
    <n v="3.2067210913360502"/>
    <n v="0.63625418478889884"/>
    <n v="0.65"/>
    <s v="0.25"/>
    <n v="12.073496977389023"/>
    <n v="925433.54331686872"/>
    <n v="15.047406628165637"/>
    <n v="3.2759999999999998"/>
    <m/>
    <s v="Contracted"/>
    <n v="0.19627287722881157"/>
    <n v="181637.50423085582"/>
    <n v="3268.4569402692314"/>
    <n v="3273.0009108985432"/>
    <n v="0.26312110445890091"/>
    <m/>
    <n v="914495.13389239856"/>
    <x v="1"/>
    <n v="4189.0812125130678"/>
    <n v="879707.05462774425"/>
    <m/>
    <n v="0"/>
    <n v="93781.097155585448"/>
    <n v="145696.98314718492"/>
    <n v="685955.46301409823"/>
    <n v="0"/>
    <n v="0"/>
    <n v="0"/>
    <n v="0"/>
    <n v="925433.5433168686"/>
    <n v="8.1569433810636374E-2"/>
    <n v="0.2615704238089076"/>
    <m/>
    <n v="3.3875747126436702"/>
  </r>
  <r>
    <s v="TUTICORIN TPS5"/>
    <x v="165"/>
    <s v="Tamil Nadu"/>
    <s v="SR"/>
    <x v="1"/>
    <x v="5"/>
    <n v="29.095140314852799"/>
    <n v="210"/>
    <n v="3.14669200699189"/>
    <n v="0.62434365218093058"/>
    <n v="0.65"/>
    <s v="0.25"/>
    <n v="11.935272855361903"/>
    <n v="914838.66436348995"/>
    <n v="15.074897319472962"/>
    <n v="3.2759999999999998"/>
    <m/>
    <s v="Contracted"/>
    <n v="0.19627287722881157"/>
    <n v="179558.01685478521"/>
    <n v="3275.088152395173"/>
    <n v="3283.5694020813398"/>
    <n v="0.2625883518191886"/>
    <m/>
    <n v="900273.61364830437"/>
    <x v="1"/>
    <n v="4189.0812125130678"/>
    <n v="879707.05462774425"/>
    <m/>
    <n v="0"/>
    <n v="92707.438890598321"/>
    <n v="144028.96288634127"/>
    <n v="678102.26258655021"/>
    <n v="0"/>
    <n v="0"/>
    <n v="0"/>
    <n v="0"/>
    <n v="914838.66436348972"/>
    <n v="8.1569433810636374E-2"/>
    <n v="0.25667388538678348"/>
    <m/>
    <n v="3.3875747126436702"/>
  </r>
  <r>
    <s v="UKAI TPS3"/>
    <x v="74"/>
    <s v="Gujarat"/>
    <s v="WR"/>
    <x v="1"/>
    <x v="9"/>
    <n v="41.338809034907598"/>
    <n v="200"/>
    <n v="3.1695494741953101"/>
    <n v="0.66032280712402303"/>
    <n v="0.55000000000000004"/>
    <s v="0.25"/>
    <n v="12.875758838539367"/>
    <n v="939930.3952133737"/>
    <n v="15.514794526180697"/>
    <n v="2.64"/>
    <m/>
    <s v="Contracted"/>
    <n v="9.7715240367696243E-2"/>
    <n v="91845.524497178543"/>
    <n v="3388.730528113389"/>
    <n v="3352.2609853750323"/>
    <n v="0.2537823509025926"/>
    <m/>
    <n v="914212.71023569955"/>
    <x v="1"/>
    <n v="4242.1006374980961"/>
    <n v="848420.12749961927"/>
    <m/>
    <n v="0"/>
    <n v="0"/>
    <n v="0"/>
    <n v="0"/>
    <n v="0"/>
    <n v="0"/>
    <n v="801730.30633559241"/>
    <n v="138200.08887778141"/>
    <n v="939930.39521337382"/>
    <n v="8.0187863271519652E-2"/>
    <n v="0.25415939986909053"/>
    <m/>
    <n v="3.59386831534019"/>
  </r>
  <r>
    <s v="UKAI TPS4"/>
    <x v="74"/>
    <s v="Gujarat"/>
    <s v="WR"/>
    <x v="1"/>
    <x v="9"/>
    <n v="41.177275838466798"/>
    <n v="200"/>
    <n v="3.5253572662746899"/>
    <n v="0.73444943047389377"/>
    <n v="0.55000000000000004"/>
    <s v="0.25"/>
    <n v="13.901988223195861"/>
    <n v="1014845.1402932978"/>
    <n v="15.509677962183435"/>
    <n v="2.64"/>
    <m/>
    <s v="Contracted"/>
    <n v="9.7715240367696243E-2"/>
    <n v="99165.836819748016"/>
    <n v="3387.4963277492548"/>
    <n v="3326.5226581781831"/>
    <n v="0.25387481396073058"/>
    <m/>
    <n v="1009033.3461404138"/>
    <x v="1"/>
    <n v="4242.1006374980961"/>
    <n v="848420.12749961927"/>
    <m/>
    <n v="0"/>
    <n v="0"/>
    <n v="0"/>
    <n v="0"/>
    <n v="0"/>
    <n v="0"/>
    <n v="865630.16724853357"/>
    <n v="149214.9730447644"/>
    <n v="1014845.1402932979"/>
    <n v="8.0187863271519652E-2"/>
    <n v="0.28269086645129315"/>
    <m/>
    <n v="3.59386831534019"/>
  </r>
  <r>
    <s v="UKAI TPS5"/>
    <x v="74"/>
    <s v="Gujarat"/>
    <s v="WR"/>
    <x v="1"/>
    <x v="8"/>
    <n v="35.337440109513999"/>
    <n v="210"/>
    <n v="3.3994088854487501"/>
    <n v="0.67448588996999004"/>
    <n v="0.55000000000000004"/>
    <s v="0.25"/>
    <n v="12.830641698388318"/>
    <n v="983468.68618146447"/>
    <n v="15.272622165468855"/>
    <n v="2.7719999999999998"/>
    <m/>
    <s v="Contracted"/>
    <n v="9.7715240367696243E-2"/>
    <n v="96099.879064324254"/>
    <n v="3333.6194237882692"/>
    <n v="3292.4679737578217"/>
    <n v="0.25797785849912958"/>
    <m/>
    <n v="963023.44808392669"/>
    <x v="1"/>
    <n v="4242.1006374980961"/>
    <n v="890841.13387460017"/>
    <m/>
    <n v="0"/>
    <n v="0"/>
    <n v="0"/>
    <n v="0"/>
    <n v="0"/>
    <n v="0"/>
    <n v="838867.06404971192"/>
    <n v="144601.62213175278"/>
    <n v="983468.6861814647"/>
    <n v="8.0187863271519652E-2"/>
    <n v="0.27259133491035337"/>
    <m/>
    <n v="3.59386831534019"/>
  </r>
  <r>
    <s v="UNCHAHAR STPS1"/>
    <x v="53"/>
    <s v="Uttar Pradesh"/>
    <s v="NR"/>
    <x v="0"/>
    <x v="6"/>
    <n v="31.504449007529001"/>
    <n v="210"/>
    <n v="3.3069778940245902"/>
    <n v="0.65614640754456155"/>
    <n v="0.6"/>
    <s v="0.25"/>
    <n v="12.45406898440323"/>
    <n v="954604.38765450753"/>
    <n v="15.15121217231348"/>
    <n v="3.024"/>
    <m/>
    <s v="Contracted"/>
    <n v="1.1361835485414404E-2"/>
    <n v="10846.058006185272"/>
    <n v="3268.3358947431038"/>
    <n v="3249.7755094254094"/>
    <n v="0.26313084936687553"/>
    <m/>
    <n v="908657.60545959906"/>
    <x v="1"/>
    <n v="4316.9523179673752"/>
    <n v="906559.98677314876"/>
    <m/>
    <n v="406036.78299823735"/>
    <n v="501780.30921430513"/>
    <n v="32663.442169409584"/>
    <n v="0"/>
    <n v="14123.853272555813"/>
    <n v="0"/>
    <n v="0"/>
    <n v="0"/>
    <n v="954604.38765450788"/>
    <n v="0.10083552828968442"/>
    <n v="0.33346086298627758"/>
    <m/>
    <n v="3.1305166250541898"/>
  </r>
  <r>
    <s v="UNCHAHAR STPS2"/>
    <x v="53"/>
    <s v="Uttar Pradesh"/>
    <s v="NR"/>
    <x v="0"/>
    <x v="6"/>
    <n v="31.175906913073199"/>
    <n v="210"/>
    <n v="3.4675573593461899"/>
    <n v="0.68800741256868847"/>
    <n v="0.6"/>
    <s v="0.25"/>
    <n v="12.886954134763526"/>
    <n v="987785.03442962421"/>
    <n v="15.140805601471593"/>
    <n v="3.024"/>
    <m/>
    <s v="Contracted"/>
    <n v="1.1361835485414404E-2"/>
    <n v="11223.051056143793"/>
    <n v="3265.8256567143571"/>
    <n v="3236.7329407326306"/>
    <n v="0.26333310176306796"/>
    <m/>
    <n v="948956.12698555156"/>
    <x v="1"/>
    <n v="4316.9523179673752"/>
    <n v="906559.98677314876"/>
    <m/>
    <n v="420150.0253514091"/>
    <n v="519221.45594908681"/>
    <n v="33798.775456265241"/>
    <n v="0"/>
    <n v="14614.777672863367"/>
    <n v="0"/>
    <n v="0"/>
    <n v="0"/>
    <n v="987785.03442962444"/>
    <n v="0.10083552828968442"/>
    <n v="0.34965297820445612"/>
    <m/>
    <n v="3.1305166250541898"/>
  </r>
  <r>
    <s v="UNCHAHAR STPS3"/>
    <x v="53"/>
    <s v="Uttar Pradesh"/>
    <s v="NR"/>
    <x v="0"/>
    <x v="4"/>
    <n v="21.338809034907499"/>
    <n v="210"/>
    <n v="3.4447171504493501"/>
    <n v="0.68347562508915671"/>
    <n v="0.7"/>
    <s v="0.25"/>
    <n v="12.512311940733657"/>
    <n v="959068.71025723487"/>
    <n v="14.829215526180693"/>
    <n v="3.528"/>
    <m/>
    <s v="Contracted"/>
    <n v="1.1361835485414404E-2"/>
    <n v="10896.780905151276"/>
    <n v="3157.6078264036105"/>
    <n v="3163.0703088471378"/>
    <n v="0.2723580784189738"/>
    <m/>
    <n v="921251.11294349469"/>
    <x v="1"/>
    <n v="4316.9523179673752"/>
    <n v="906559.98677314876"/>
    <m/>
    <n v="407935.66300687788"/>
    <n v="504126.94537583884"/>
    <n v="32816.196697930085"/>
    <n v="0"/>
    <n v="14189.905176588221"/>
    <n v="0"/>
    <n v="0"/>
    <n v="0"/>
    <n v="959068.7102572351"/>
    <n v="0.10083552828968442"/>
    <n v="0.34734987367409653"/>
    <m/>
    <n v="3.1060019841556401"/>
  </r>
  <r>
    <s v="UNCHAHAR STPS4"/>
    <x v="53"/>
    <s v="Uttar Pradesh"/>
    <s v="NR"/>
    <x v="0"/>
    <x v="4"/>
    <n v="20.591375770020498"/>
    <n v="210"/>
    <n v="3.5618410350124399"/>
    <n v="0.70671449107389683"/>
    <n v="0.7"/>
    <s v="0.25"/>
    <n v="12.811966306173847"/>
    <n v="982037.21736822545"/>
    <n v="14.805540577515398"/>
    <n v="3.528"/>
    <m/>
    <s v="Contracted"/>
    <n v="1.1361835485414404E-2"/>
    <n v="11157.745304291921"/>
    <n v="3151.8970348882108"/>
    <n v="3149.6774175165233"/>
    <n v="0.27285155272545314"/>
    <m/>
    <n v="948541.25038987957"/>
    <x v="1"/>
    <n v="4316.9523179673752"/>
    <n v="906559.98677314876"/>
    <m/>
    <n v="417705.2166127786"/>
    <n v="516200.16099206026"/>
    <n v="33602.10394227122"/>
    <n v="0"/>
    <n v="14529.735821115592"/>
    <n v="0"/>
    <n v="0"/>
    <n v="0"/>
    <n v="982037.21736822568"/>
    <n v="0.10083552828968442"/>
    <n v="0.35916012244935575"/>
    <m/>
    <n v="3.1060019841556401"/>
  </r>
  <r>
    <s v="UNCHAHAR STPS5"/>
    <x v="53"/>
    <s v="Uttar Pradesh"/>
    <s v="NR"/>
    <x v="0"/>
    <x v="2"/>
    <n v="13.6728268309377"/>
    <n v="210"/>
    <n v="3.4947396048519499"/>
    <n v="0.69340071524840274"/>
    <n v="0.8"/>
    <s v="0.15"/>
    <n v="12.436492411335553"/>
    <n v="953257.14332887018"/>
    <n v="14.615305239869951"/>
    <n v="4.032"/>
    <m/>
    <s v="Contracted"/>
    <n v="1.1361835485414404E-2"/>
    <n v="10830.750837798721"/>
    <n v="3065.9784857328377"/>
    <n v="3101.217139212315"/>
    <n v="0.28049772821365399"/>
    <m/>
    <n v="916352.58624658489"/>
    <x v="1"/>
    <n v="4316.9523179673752"/>
    <n v="906559.98677314876"/>
    <m/>
    <n v="405463.73854236747"/>
    <n v="501072.14080124488"/>
    <n v="32617.343871845031"/>
    <n v="0"/>
    <n v="14103.920113412954"/>
    <n v="0"/>
    <n v="0"/>
    <n v="0"/>
    <n v="953257.14332887041"/>
    <n v="0.10083552828968442"/>
    <n v="0.35239391429012934"/>
    <m/>
    <n v="3.1130344240162202"/>
  </r>
  <r>
    <s v="UTRAULA TPS1"/>
    <x v="166"/>
    <s v="Uttar Pradesh"/>
    <s v="NR"/>
    <x v="2"/>
    <x v="1"/>
    <n v="8.2546201232032796"/>
    <n v="45"/>
    <n v="0.20608894521249299"/>
    <n v="0.19082309741897499"/>
    <n v="0.85"/>
    <s v="0.15"/>
    <n v="5.2419099437218879"/>
    <n v="86098.37082563201"/>
    <n v="14.413235942402464"/>
    <n v="0.91800000000000004"/>
    <m/>
    <s v="Contracted"/>
    <n v="0"/>
    <n v="0"/>
    <n v="3158.237806972279"/>
    <n v="3376.1427066707715"/>
    <n v="0.27230375056033534"/>
    <m/>
    <n v="59253.797619269739"/>
    <x v="1"/>
    <m/>
    <n v="0"/>
    <m/>
    <m/>
    <m/>
    <m/>
    <m/>
    <m/>
    <m/>
    <m/>
    <m/>
    <n v="0"/>
    <n v="0.11683063103919883"/>
    <n v="2.407750151937843E-2"/>
    <m/>
    <n v="3.4874013157894899"/>
  </r>
  <r>
    <s v="UTRAULA TPS2"/>
    <x v="166"/>
    <s v="Uttar Pradesh"/>
    <s v="NR"/>
    <x v="2"/>
    <x v="1"/>
    <n v="8.1752224503764506"/>
    <n v="45"/>
    <n v="0.19561708141320999"/>
    <n v="0.1811269272344537"/>
    <n v="0.85"/>
    <s v="0.15"/>
    <n v="5.1044892978067988"/>
    <n v="83841.236716476662"/>
    <n v="14.410721021115673"/>
    <n v="0.91800000000000004"/>
    <m/>
    <s v="Contracted"/>
    <n v="0"/>
    <n v="0"/>
    <n v="3157.6311661153322"/>
    <n v="3378.741340427126"/>
    <n v="0.27235606527725431"/>
    <m/>
    <n v="56286.263357570373"/>
    <x v="1"/>
    <m/>
    <n v="0"/>
    <m/>
    <m/>
    <m/>
    <m/>
    <m/>
    <m/>
    <m/>
    <m/>
    <m/>
    <n v="0"/>
    <n v="0.11683063103919883"/>
    <n v="2.2854067063551656E-2"/>
    <m/>
    <n v="3.4874013157894899"/>
  </r>
  <r>
    <s v="VINDHYACHAL STPS1"/>
    <x v="57"/>
    <s v="Madhya Pradesh"/>
    <s v="WR"/>
    <x v="0"/>
    <x v="6"/>
    <n v="32.591375770020498"/>
    <n v="210"/>
    <n v="4.80556729169977"/>
    <n v="0.95348557374995435"/>
    <n v="0.6"/>
    <s v="0.25"/>
    <n v="16.625466410770638"/>
    <n v="1274342.0003855694"/>
    <n v="15.185640577515398"/>
    <n v="3.024"/>
    <m/>
    <s v="Contracted"/>
    <n v="0"/>
    <n v="0"/>
    <n v="3274.0790094517452"/>
    <n v="3157.2268591545344"/>
    <n v="0.26266928730715322"/>
    <m/>
    <n v="1244303.8230701115"/>
    <x v="1"/>
    <n v="4450.5827544825906"/>
    <n v="934622.37844134402"/>
    <s v="Pithead plant"/>
    <n v="0"/>
    <n v="0"/>
    <n v="0"/>
    <n v="0"/>
    <n v="1274342.0003855694"/>
    <n v="0"/>
    <n v="0"/>
    <n v="0"/>
    <n v="1274342.0003855694"/>
    <n v="6.5179373950034494E-2"/>
    <n v="0.31322386754775383"/>
    <m/>
    <n v="1.63782859578788"/>
  </r>
  <r>
    <s v="VINDHYACHAL STPS2"/>
    <x v="57"/>
    <s v="Madhya Pradesh"/>
    <s v="WR"/>
    <x v="0"/>
    <x v="6"/>
    <n v="31.841204654346299"/>
    <n v="210"/>
    <n v="4.4781807360912396"/>
    <n v="0.88852792382762691"/>
    <n v="0.6"/>
    <s v="0.25"/>
    <n v="15.697929470017339"/>
    <n v="1203246.2938768291"/>
    <n v="15.161878907426418"/>
    <n v="3.024"/>
    <m/>
    <s v="Contracted"/>
    <n v="0"/>
    <n v="0"/>
    <n v="3268.3472992861052"/>
    <n v="3172.9682772728984"/>
    <n v="0.26312993120034922"/>
    <m/>
    <n v="1165314.9851979017"/>
    <x v="1"/>
    <n v="4450.5827544825906"/>
    <n v="934622.37844134402"/>
    <s v="Pithead plant"/>
    <n v="0"/>
    <n v="0"/>
    <n v="0"/>
    <n v="0"/>
    <n v="1203246.2938768291"/>
    <n v="0"/>
    <n v="0"/>
    <n v="0"/>
    <n v="1203246.2938768291"/>
    <n v="6.5179373950034494E-2"/>
    <n v="0.29188501681353163"/>
    <m/>
    <n v="1.63782859578788"/>
  </r>
  <r>
    <s v="VINDHYACHAL STPS3"/>
    <x v="57"/>
    <s v="Madhya Pradesh"/>
    <s v="WR"/>
    <x v="0"/>
    <x v="6"/>
    <n v="31.2525667351129"/>
    <n v="210"/>
    <n v="4.53215233383093"/>
    <n v="0.89923657417280356"/>
    <n v="0.6"/>
    <s v="0.25"/>
    <n v="15.828277028773169"/>
    <n v="1213237.4342554633"/>
    <n v="15.1432338013347"/>
    <n v="3.024"/>
    <m/>
    <s v="Contracted"/>
    <n v="0"/>
    <n v="0"/>
    <n v="3263.8497894845991"/>
    <n v="3164.9307960764068"/>
    <n v="0.26349251818227953"/>
    <m/>
    <n v="1176372.0593628881"/>
    <x v="1"/>
    <n v="4450.5827544825906"/>
    <n v="934622.37844134402"/>
    <s v="Pithead plant"/>
    <n v="0"/>
    <n v="0"/>
    <n v="0"/>
    <n v="0"/>
    <n v="1213237.4342554633"/>
    <n v="0"/>
    <n v="0"/>
    <n v="0"/>
    <n v="1213237.4342554633"/>
    <n v="6.5179373950034494E-2"/>
    <n v="0.29540285176528774"/>
    <m/>
    <n v="1.63782859578788"/>
  </r>
  <r>
    <s v="VINDHYACHAL STPS4"/>
    <x v="57"/>
    <s v="Madhya Pradesh"/>
    <s v="WR"/>
    <x v="0"/>
    <x v="6"/>
    <n v="30.4229979466119"/>
    <n v="210"/>
    <n v="4.3462526710852902"/>
    <n v="0.86235172045343056"/>
    <n v="0.6"/>
    <s v="0.25"/>
    <n v="15.288810402143646"/>
    <n v="1171887.3173243105"/>
    <n v="15.116957209958931"/>
    <n v="3.024"/>
    <m/>
    <s v="Contracted"/>
    <n v="0"/>
    <n v="0"/>
    <n v="3257.5114384620119"/>
    <n v="3170.7855154096569"/>
    <n v="0.2640052126435623"/>
    <m/>
    <n v="1130206.5500739834"/>
    <x v="1"/>
    <n v="4450.5827544825906"/>
    <n v="934622.37844134402"/>
    <s v="Pithead plant"/>
    <n v="0"/>
    <n v="0"/>
    <n v="0"/>
    <n v="0"/>
    <n v="1171887.3173243105"/>
    <n v="0"/>
    <n v="0"/>
    <n v="0"/>
    <n v="1171887.3173243105"/>
    <n v="6.5179373950034494E-2"/>
    <n v="0.28328602813000442"/>
    <m/>
    <n v="1.63782859578788"/>
  </r>
  <r>
    <s v="VINDHYACHAL STPS5"/>
    <x v="57"/>
    <s v="Madhya Pradesh"/>
    <s v="WR"/>
    <x v="0"/>
    <x v="6"/>
    <n v="30.176591375769998"/>
    <n v="210"/>
    <n v="4.2731865505109701"/>
    <n v="0.84785447430773209"/>
    <n v="0.6"/>
    <s v="0.25"/>
    <n v="15.079300939213283"/>
    <n v="1155828.4169906981"/>
    <n v="15.109152281827514"/>
    <n v="3.024"/>
    <m/>
    <s v="Contracted"/>
    <n v="0"/>
    <n v="0"/>
    <n v="3255.6287599404513"/>
    <n v="3173.6952089431752"/>
    <n v="0.26415788267447615"/>
    <m/>
    <n v="1112226.0245684634"/>
    <x v="1"/>
    <n v="4450.5827544825906"/>
    <n v="934622.37844134402"/>
    <s v="Pithead plant"/>
    <n v="0"/>
    <n v="0"/>
    <n v="0"/>
    <n v="0"/>
    <n v="1155828.4169906981"/>
    <n v="0"/>
    <n v="0"/>
    <n v="0"/>
    <n v="1155828.4169906981"/>
    <n v="6.5179373950034494E-2"/>
    <n v="0.27852362413401249"/>
    <m/>
    <n v="1.63782859578788"/>
  </r>
  <r>
    <s v="VINDHYACHAL STPS6"/>
    <x v="57"/>
    <s v="Madhya Pradesh"/>
    <s v="WR"/>
    <x v="0"/>
    <x v="5"/>
    <n v="29.2539356605065"/>
    <n v="210"/>
    <n v="4.2758105789159799"/>
    <n v="0.84837511486428174"/>
    <n v="0.65"/>
    <s v="0.25"/>
    <n v="15.057319647687754"/>
    <n v="1154143.5509952663"/>
    <n v="15.079927162046543"/>
    <n v="3.2759999999999998"/>
    <m/>
    <s v="Contracted"/>
    <n v="0"/>
    <n v="0"/>
    <n v="3232.0506148097193"/>
    <n v="3166.4735150388956"/>
    <n v="0.2660849418815896"/>
    <m/>
    <n v="1110376.6002408892"/>
    <x v="1"/>
    <n v="4450.5827544825906"/>
    <n v="934622.37844134402"/>
    <s v="Pithead plant"/>
    <n v="0"/>
    <n v="0"/>
    <n v="0"/>
    <n v="0"/>
    <n v="1154143.5509952663"/>
    <n v="0"/>
    <n v="0"/>
    <n v="0"/>
    <n v="1154143.5509952663"/>
    <n v="6.5179373950034494E-2"/>
    <n v="0.27869465666267812"/>
    <m/>
    <n v="1.63782859578788"/>
  </r>
  <r>
    <s v="WANAKBORI TPS1"/>
    <x v="6"/>
    <s v="Gujarat"/>
    <s v="WR"/>
    <x v="1"/>
    <x v="8"/>
    <n v="38.176591375770002"/>
    <n v="210"/>
    <n v="2.11898922983208"/>
    <n v="0.42043437099842862"/>
    <n v="0.55000000000000004"/>
    <s v="0.25"/>
    <n v="9.3858768158399517"/>
    <n v="719427.45793413231"/>
    <n v="15.362552281827513"/>
    <n v="2.7719999999999998"/>
    <m/>
    <s v="Contracted"/>
    <n v="0.10571332468406133"/>
    <n v="76053.068447219805"/>
    <n v="3357.1152769850914"/>
    <n v="3399.9459424428956"/>
    <n v="0.2561723173153399"/>
    <m/>
    <n v="603120.68492323405"/>
    <x v="1"/>
    <n v="4360.0292448303944"/>
    <n v="915606.14141438284"/>
    <m/>
    <n v="0"/>
    <n v="0"/>
    <n v="0"/>
    <n v="0"/>
    <n v="0"/>
    <n v="0"/>
    <n v="663672.41242266365"/>
    <n v="55755.045511468648"/>
    <n v="719427.45793413231"/>
    <n v="9.2496856160444826E-2"/>
    <n v="0.19599984199730966"/>
    <m/>
    <n v="3.8335382685068899"/>
  </r>
  <r>
    <s v="WANAKBORI TPS2"/>
    <x v="6"/>
    <s v="Gujarat"/>
    <s v="WR"/>
    <x v="1"/>
    <x v="8"/>
    <n v="37.338809034907598"/>
    <n v="210"/>
    <n v="2.2261808045976998"/>
    <n v="0.44170254059478176"/>
    <n v="0.55000000000000004"/>
    <s v="0.25"/>
    <n v="9.6552504842380742"/>
    <n v="740074.94961684837"/>
    <n v="15.336015526180697"/>
    <n v="2.7719999999999998"/>
    <m/>
    <s v="Contracted"/>
    <n v="0.10571332468406133"/>
    <n v="78235.783439386214"/>
    <n v="3350.7141700117859"/>
    <n v="3386.51419112432"/>
    <n v="0.256661701465564"/>
    <m/>
    <n v="631127.05194280331"/>
    <x v="1"/>
    <n v="4360.0292448303944"/>
    <n v="915606.14141438284"/>
    <m/>
    <n v="0"/>
    <n v="0"/>
    <n v="0"/>
    <n v="0"/>
    <n v="0"/>
    <n v="0"/>
    <n v="682719.74021703831"/>
    <n v="57355.209399810126"/>
    <n v="740074.94961684849"/>
    <n v="9.2496856160444826E-2"/>
    <n v="0.20591472567001678"/>
    <m/>
    <n v="3.8335382685068899"/>
  </r>
  <r>
    <s v="WANAKBORI TPS3"/>
    <x v="6"/>
    <s v="Gujarat"/>
    <s v="WR"/>
    <x v="1"/>
    <x v="8"/>
    <n v="36.175222450376403"/>
    <n v="210"/>
    <n v="3.4454878190308702"/>
    <n v="0.68362853552199798"/>
    <n v="0.55000000000000004"/>
    <s v="0.25"/>
    <n v="12.984382824393887"/>
    <n v="995252.94348979148"/>
    <n v="15.299158921115671"/>
    <n v="2.7719999999999998"/>
    <m/>
    <s v="Contracted"/>
    <n v="0.10571332468406133"/>
    <n v="105211.49755790406"/>
    <n v="3341.8237436599716"/>
    <n v="3297.6499983182221"/>
    <n v="0.25734451184972623"/>
    <m/>
    <n v="951171.30547876062"/>
    <x v="1"/>
    <n v="4360.0292448303944"/>
    <n v="915606.14141438284"/>
    <m/>
    <n v="0"/>
    <n v="0"/>
    <n v="0"/>
    <n v="0"/>
    <n v="0"/>
    <n v="0"/>
    <n v="918121.64616755757"/>
    <n v="77131.297322233877"/>
    <n v="995252.94348979148"/>
    <n v="9.2496856160444826E-2"/>
    <n v="0.31869679119946315"/>
    <m/>
    <n v="3.8335382685068899"/>
  </r>
  <r>
    <s v="WANAKBORI TPS4"/>
    <x v="6"/>
    <s v="Gujarat"/>
    <s v="WR"/>
    <x v="1"/>
    <x v="6"/>
    <n v="34.176591375770002"/>
    <n v="210"/>
    <n v="3.0217055915744102"/>
    <n v="0.59954476023301795"/>
    <n v="0.6"/>
    <s v="0.25"/>
    <n v="11.751193394377564"/>
    <n v="900728.97367904033"/>
    <n v="15.235852281827514"/>
    <n v="3.024"/>
    <m/>
    <s v="Contracted"/>
    <n v="0.10571332468406133"/>
    <n v="95219.054446873721"/>
    <n v="3310.0245689850913"/>
    <n v="3310.1750581411502"/>
    <n v="0.25981680258756823"/>
    <m/>
    <n v="837349.12795808306"/>
    <x v="1"/>
    <n v="4360.0292448303944"/>
    <n v="915606.14141438284"/>
    <m/>
    <n v="0"/>
    <n v="0"/>
    <n v="0"/>
    <n v="0"/>
    <n v="0"/>
    <n v="0"/>
    <n v="830923.20748659794"/>
    <n v="69805.766192442563"/>
    <n v="900728.97367904056"/>
    <n v="9.2496856160444826E-2"/>
    <n v="0.27949826746307005"/>
    <m/>
    <n v="3.8335382685068899"/>
  </r>
  <r>
    <s v="WANAKBORI TPS5"/>
    <x v="6"/>
    <s v="Gujarat"/>
    <s v="WR"/>
    <x v="1"/>
    <x v="6"/>
    <n v="33.672826830937701"/>
    <n v="210"/>
    <n v="2.8977259441707699"/>
    <n v="0.57494562384340664"/>
    <n v="0.6"/>
    <s v="0.25"/>
    <n v="11.39298148809042"/>
    <n v="873272.0310621307"/>
    <n v="15.219895539869951"/>
    <n v="3.024"/>
    <m/>
    <s v="Contracted"/>
    <n v="0.10571332468406133"/>
    <n v="92316.489757180723"/>
    <n v="3306.1755373410119"/>
    <n v="3314.4577925323483"/>
    <n v="0.26011927990116762"/>
    <m/>
    <n v="804031.87132258702"/>
    <x v="1"/>
    <n v="4360.0292448303944"/>
    <n v="915606.14141438284"/>
    <m/>
    <n v="0"/>
    <n v="0"/>
    <n v="0"/>
    <n v="0"/>
    <n v="0"/>
    <n v="0"/>
    <n v="805594.15569221461"/>
    <n v="67677.875369916102"/>
    <n v="873272.0310621307"/>
    <n v="9.2496856160444826E-2"/>
    <n v="0.26803053985035286"/>
    <m/>
    <n v="3.8335382685068899"/>
  </r>
  <r>
    <s v="WANAKBORI TPS6"/>
    <x v="6"/>
    <s v="Gujarat"/>
    <s v="WR"/>
    <x v="1"/>
    <x v="6"/>
    <n v="32.5065023956194"/>
    <n v="210"/>
    <n v="2.9243829129367702"/>
    <n v="0.58023470494777185"/>
    <n v="0.6"/>
    <s v="0.25"/>
    <n v="11.42962673373108"/>
    <n v="876080.88914048718"/>
    <n v="15.182952213381244"/>
    <n v="3.024"/>
    <m/>
    <s v="Contracted"/>
    <n v="0.10571332468406133"/>
    <n v="92613.423483209481"/>
    <n v="3297.2641923389583"/>
    <n v="3303.7980296427277"/>
    <n v="0.26082229079434111"/>
    <m/>
    <n v="808818.71119441942"/>
    <x v="1"/>
    <n v="4360.0292448303944"/>
    <n v="915606.14141438284"/>
    <m/>
    <n v="0"/>
    <n v="0"/>
    <n v="0"/>
    <n v="0"/>
    <n v="0"/>
    <n v="0"/>
    <n v="808185.32954366715"/>
    <n v="67895.559596820283"/>
    <n v="876080.88914048742"/>
    <n v="9.2496856160444826E-2"/>
    <n v="0.27049622565597509"/>
    <m/>
    <n v="3.8335382685068899"/>
  </r>
  <r>
    <s v="WANAKBORI TPS7"/>
    <x v="6"/>
    <s v="Gujarat"/>
    <s v="WR"/>
    <x v="1"/>
    <x v="4"/>
    <n v="21.423682409308601"/>
    <n v="210"/>
    <n v="3.8713607908257801"/>
    <n v="0.76812714103686108"/>
    <n v="0.7"/>
    <s v="0.25"/>
    <n v="13.692782241703007"/>
    <n v="1049551.7588265354"/>
    <n v="14.831903890314848"/>
    <n v="3.528"/>
    <m/>
    <s v="Contracted"/>
    <n v="0.10571332468406133"/>
    <n v="110951.60585355718"/>
    <n v="3179.5283761692112"/>
    <n v="3157.0075054040867"/>
    <n v="0.27048036634796546"/>
    <m/>
    <n v="1023158.0457512335"/>
    <x v="1"/>
    <n v="4360.0292448303944"/>
    <n v="915606.14141438284"/>
    <m/>
    <n v="0"/>
    <n v="0"/>
    <n v="0"/>
    <n v="0"/>
    <n v="0"/>
    <n v="0"/>
    <n v="968212.347278286"/>
    <n v="81339.411548249656"/>
    <n v="1049551.7588265357"/>
    <n v="9.2496856160444826E-2"/>
    <n v="0.35808870221419814"/>
    <m/>
    <n v="3.6560526315789201"/>
  </r>
  <r>
    <s v="WARDHA WARORA TPP2"/>
    <x v="167"/>
    <s v="Maharashtra"/>
    <s v="WR"/>
    <x v="2"/>
    <x v="1"/>
    <n v="9.5906913073237501"/>
    <n v="135"/>
    <n v="0.11651170356549"/>
    <n v="3.5960402335027779E-2"/>
    <n v="0.85"/>
    <s v="0.15"/>
    <n v="2.6608678629674216"/>
    <n v="131114.26394771971"/>
    <n v="13.98684499715948"/>
    <n v="2.754"/>
    <m/>
    <s v="Not contracted"/>
    <n v="0"/>
    <n v="0"/>
    <n v="3085.1293012891856"/>
    <n v="3354.2273479368127"/>
    <n v="0.27875654989261911"/>
    <m/>
    <n v="25367.776976318029"/>
    <x v="1"/>
    <n v="5623.0572008300906"/>
    <n v="759112.72211206227"/>
    <m/>
    <n v="0"/>
    <n v="0"/>
    <n v="0"/>
    <n v="0"/>
    <n v="0"/>
    <n v="0"/>
    <n v="131114.26394771971"/>
    <n v="0"/>
    <n v="131114.26394771971"/>
    <n v="0.11099569562813016"/>
    <n v="1.2932297586070056E-2"/>
    <m/>
    <m/>
  </r>
  <r>
    <s v="WARDHA WARORA TPP3"/>
    <x v="167"/>
    <s v="Maharashtra"/>
    <s v="WR"/>
    <x v="2"/>
    <x v="1"/>
    <n v="9.3388090349075892"/>
    <n v="135"/>
    <n v="0.89608584569986405"/>
    <n v="0.27656970546292103"/>
    <n v="0.85"/>
    <s v="0.15"/>
    <n v="6.0005589091979576"/>
    <n v="295677.54025072936"/>
    <n v="13.978866626180697"/>
    <n v="2.754"/>
    <m/>
    <s v="Not contracted"/>
    <n v="0"/>
    <n v="0"/>
    <n v="3083.2047854671455"/>
    <n v="3272.7643260486211"/>
    <n v="0.27893054786813287"/>
    <m/>
    <n v="190363.95233263916"/>
    <x v="1"/>
    <n v="5623.0572008300906"/>
    <n v="759112.72211206227"/>
    <m/>
    <n v="0"/>
    <n v="0"/>
    <n v="0"/>
    <n v="0"/>
    <n v="0"/>
    <n v="0"/>
    <n v="295677.54025072936"/>
    <n v="0"/>
    <n v="295677.54025072936"/>
    <n v="0.11099569562813016"/>
    <n v="9.9461671785977715E-2"/>
    <m/>
    <m/>
  </r>
  <r>
    <s v="WARDHA WARORA TPP4"/>
    <x v="167"/>
    <s v="Maharashtra"/>
    <s v="WR"/>
    <x v="2"/>
    <x v="1"/>
    <n v="9.0924024640656995"/>
    <n v="135"/>
    <n v="0.95140451136183002"/>
    <n v="0.29364336770426852"/>
    <n v="0.85"/>
    <s v="0.15"/>
    <n v="6.230304965929081"/>
    <n v="306998.27719615545"/>
    <n v="13.971061698049281"/>
    <n v="2.754"/>
    <m/>
    <s v="Not contracted"/>
    <n v="0"/>
    <n v="0"/>
    <n v="3081.3221069455849"/>
    <n v="3265.2375865115437"/>
    <n v="0.27910097359230329"/>
    <m/>
    <n v="201650.98908403324"/>
    <x v="1"/>
    <n v="5623.0572008300906"/>
    <n v="759112.72211206227"/>
    <m/>
    <n v="0"/>
    <n v="0"/>
    <n v="0"/>
    <n v="0"/>
    <n v="0"/>
    <n v="0"/>
    <n v="306998.27719615545"/>
    <n v="0"/>
    <n v="306998.27719615545"/>
    <n v="0.11099569562813016"/>
    <n v="0.10560180556234759"/>
    <m/>
    <m/>
  </r>
  <r>
    <m/>
    <x v="168"/>
    <m/>
    <m/>
    <x v="3"/>
    <x v="10"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  <r>
    <m/>
    <x v="168"/>
    <m/>
    <m/>
    <x v="3"/>
    <x v="10"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1">
  <r>
    <s v="DARLIPALI STPS1"/>
    <s v="Odisha"/>
    <s v="ER"/>
    <x v="0"/>
    <x v="0"/>
    <n v="0.34223134839151198"/>
    <n v="800"/>
    <n v="3.3299311885747009"/>
    <n v="2663.9449508597609"/>
    <n v="2677.896513484246"/>
    <n v="2142317.2107873969"/>
    <m/>
    <n v="0"/>
    <s v="Operational"/>
    <n v="5.8579749103942194E-3"/>
    <n v="4.6863799283153753"/>
  </r>
  <r>
    <s v="GADARWARA TPP1"/>
    <s v="Madhya Pradesh"/>
    <s v="WR"/>
    <x v="0"/>
    <x v="0"/>
    <n v="1.06776180698151"/>
    <n v="800"/>
    <n v="3.37"/>
    <n v="2696"/>
    <n v="2628.5422010575162"/>
    <n v="2102833.7608460127"/>
    <m/>
    <n v="0"/>
    <s v="Operational"/>
    <n v="0.17192735645426094"/>
    <n v="137.54188516340875"/>
  </r>
  <r>
    <s v="KOTHAGUDEM STAGE-7 TPS12"/>
    <s v="Telangana"/>
    <s v="SR"/>
    <x v="1"/>
    <x v="0"/>
    <n v="1.9603011635865799"/>
    <n v="800"/>
    <n v="2.63"/>
    <n v="2104"/>
    <n v="2482.7574599226896"/>
    <n v="1986205.9679381517"/>
    <n v="7.0000000000000007E-2"/>
    <n v="56.000000000000007"/>
    <s v="Operational"/>
    <n v="0.6335653367529791"/>
    <n v="506.85226940238329"/>
  </r>
  <r>
    <s v="LARA TPP1"/>
    <s v="Chhatisgarh"/>
    <s v="WR"/>
    <x v="0"/>
    <x v="0"/>
    <n v="2.0917180013689198"/>
    <n v="800"/>
    <n v="2.4700000000000002"/>
    <n v="1976.0000000000002"/>
    <n v="2630.0168898634179"/>
    <n v="2104013.5118907341"/>
    <n v="5.2489445057243921E-2"/>
    <n v="41.991556045795136"/>
    <s v="Operational"/>
    <n v="0.19113316259736876"/>
    <n v="152.90653007789501"/>
  </r>
  <r>
    <s v="YERMARUS TPS2"/>
    <s v="Karnataka"/>
    <s v="SR"/>
    <x v="1"/>
    <x v="0"/>
    <n v="3.0910335386721401"/>
    <n v="800"/>
    <n v="3.75"/>
    <n v="3000"/>
    <n v="2687.3982645488704"/>
    <n v="2149918.6116390964"/>
    <n v="0.13221101440955424"/>
    <n v="105.76881152764339"/>
    <s v="Operational"/>
    <n v="4.0647980137395415E-2"/>
    <n v="32.518384109916333"/>
  </r>
  <r>
    <s v="KUDGI STPP3"/>
    <s v="Karnataka"/>
    <s v="SR"/>
    <x v="0"/>
    <x v="0"/>
    <n v="2.1163586584531102"/>
    <n v="800"/>
    <n v="3.78"/>
    <n v="3024"/>
    <n v="2625.3919606827776"/>
    <n v="2100313.5685462221"/>
    <n v="7.8813638844723796E-2"/>
    <n v="63.050911075779034"/>
    <s v="Operational"/>
    <n v="0.23904959457635153"/>
    <n v="191.23967566108121"/>
  </r>
  <r>
    <s v="WANAKBORI TPS8"/>
    <s v="Gujarat"/>
    <s v="WR"/>
    <x v="1"/>
    <x v="0"/>
    <n v="0.53661875427789096"/>
    <n v="800"/>
    <n v="3.3"/>
    <n v="2640"/>
    <n v="2674.799012558261"/>
    <n v="2139839.2100466089"/>
    <n v="9.2496856160444826E-2"/>
    <n v="73.99748492835586"/>
    <s v="Operational"/>
    <n v="9.1819444444444273E-2"/>
    <n v="73.455555555555421"/>
  </r>
  <r>
    <s v="YERMARUS TPS1"/>
    <s v="Karnataka"/>
    <s v="SR"/>
    <x v="1"/>
    <x v="0"/>
    <n v="4.1752224503764497"/>
    <n v="800"/>
    <n v="3.75"/>
    <n v="3000"/>
    <n v="2691.5318984448991"/>
    <n v="2153225.5187559193"/>
    <n v="0.13221101440955424"/>
    <n v="105.76881152764339"/>
    <s v="Operational"/>
    <n v="5.3202466429115629E-2"/>
    <n v="42.561973143292505"/>
  </r>
  <r>
    <s v="KUDGI STPP2"/>
    <s v="Karnataka"/>
    <s v="SR"/>
    <x v="0"/>
    <x v="0"/>
    <n v="3.1074606433949299"/>
    <n v="800"/>
    <n v="3.78"/>
    <n v="3024"/>
    <n v="2615.8899564925246"/>
    <n v="2092711.9651940197"/>
    <n v="7.8813638844723796E-2"/>
    <n v="63.050911075779034"/>
    <s v="Operational"/>
    <n v="0.29070126773170935"/>
    <n v="232.56101418536747"/>
  </r>
  <r>
    <s v="KUDGI STPP1"/>
    <s v="Karnataka"/>
    <s v="SR"/>
    <x v="0"/>
    <x v="0"/>
    <n v="3.3566050650239498"/>
    <n v="800"/>
    <n v="3.78"/>
    <n v="3024"/>
    <n v="2603.5364940747231"/>
    <n v="2082829.1952597785"/>
    <n v="7.8813638844723796E-2"/>
    <n v="63.050911075779034"/>
    <s v="Operational"/>
    <n v="0.33382982699398489"/>
    <n v="267.06386159518792"/>
  </r>
  <r>
    <s v="DAMODARAN SANJEEVAIAH TPS2"/>
    <s v="Andhra Pradesh"/>
    <s v="SR"/>
    <x v="1"/>
    <x v="1"/>
    <n v="5.1772758384667998"/>
    <n v="800"/>
    <n v="3.18"/>
    <n v="2544"/>
    <n v="2585.1393587278744"/>
    <n v="2068111.4869822995"/>
    <n v="7.43080715713893E-2"/>
    <n v="59.44645725711144"/>
    <s v="Operational"/>
    <n v="0.48038168563366457"/>
    <n v="384.30534850693164"/>
  </r>
  <r>
    <s v="DAMODARAN SANJEEVAIAH TPS1"/>
    <s v="Andhra Pradesh"/>
    <s v="SR"/>
    <x v="1"/>
    <x v="1"/>
    <n v="5.7577002053388"/>
    <n v="800"/>
    <n v="3.18"/>
    <n v="2544"/>
    <n v="2601.8707233817827"/>
    <n v="2081496.5787054261"/>
    <n v="7.43080715713893E-2"/>
    <n v="59.44645725711144"/>
    <s v="Operational"/>
    <n v="0.44318361513290311"/>
    <n v="354.5468921063225"/>
  </r>
  <r>
    <s v="BELLARY TPS3"/>
    <s v="Karnataka"/>
    <s v="SR"/>
    <x v="1"/>
    <x v="0"/>
    <n v="4.1752224503764497"/>
    <n v="700"/>
    <n v="4.3600000000000003"/>
    <n v="3052"/>
    <n v="2745.532258825393"/>
    <n v="1921872.581177775"/>
    <n v="6.6702414133670743E-2"/>
    <n v="46.691689893569517"/>
    <s v="Operational"/>
    <n v="0.16989100317855477"/>
    <n v="118.92370222498833"/>
  </r>
  <r>
    <s v="KHARGONE STPP1"/>
    <s v="Madhya Pradesh"/>
    <s v="WR"/>
    <x v="0"/>
    <x v="0"/>
    <n v="0.60232717316906204"/>
    <n v="660"/>
    <n v="2.83"/>
    <n v="1867.8"/>
    <n v="2718.1367960428233"/>
    <n v="1793970.2853882634"/>
    <m/>
    <n v="0"/>
    <s v="Operational"/>
    <n v="0.28220059403202707"/>
    <n v="186.25239206113787"/>
  </r>
  <r>
    <s v="TANDA STPS5"/>
    <s v="Uttar Pradesh"/>
    <s v="NR"/>
    <x v="0"/>
    <x v="0"/>
    <n v="0.60232717316906204"/>
    <n v="660"/>
    <n v="2.41"/>
    <n v="1590.6000000000001"/>
    <n v="2630.7900814638019"/>
    <n v="1736321.4537661092"/>
    <n v="0.12115813368341415"/>
    <n v="79.964368231053342"/>
    <s v="Operational"/>
    <n v="0.54643025039356563"/>
    <n v="360.64396525975332"/>
  </r>
  <r>
    <s v="IB VALLEY TPS4"/>
    <s v="Odisha"/>
    <s v="ER"/>
    <x v="1"/>
    <x v="0"/>
    <n v="0.67898699520876105"/>
    <n v="660"/>
    <n v="1.51"/>
    <n v="996.6"/>
    <n v="2646.4886894914889"/>
    <n v="1746682.5350643827"/>
    <n v="0.10945422612917571"/>
    <n v="72.239789245255977"/>
    <s v="Operational"/>
    <n v="0.50071275951420524"/>
    <n v="330.47042127937544"/>
  </r>
  <r>
    <s v="NABINAGAR STPP1"/>
    <s v="Bihar"/>
    <s v="ER"/>
    <x v="0"/>
    <x v="0"/>
    <n v="0.81040383299110197"/>
    <n v="660"/>
    <n v="2.06"/>
    <n v="1359.6000000000001"/>
    <n v="2683.781408315142"/>
    <n v="1771295.7294879938"/>
    <n v="7.0000000000000007E-2"/>
    <n v="46.2"/>
    <s v="Operational"/>
    <n v="0.39093724485305364"/>
    <n v="258.01858160301538"/>
  </r>
  <r>
    <s v="IB VALLEY TPS3"/>
    <s v="Odisha"/>
    <s v="ER"/>
    <x v="1"/>
    <x v="0"/>
    <n v="0.84052019164955505"/>
    <n v="660"/>
    <n v="1.51"/>
    <n v="996.6"/>
    <n v="2660.8914865511697"/>
    <n v="1756188.3811237719"/>
    <n v="0.10945422612917571"/>
    <n v="72.239789245255977"/>
    <s v="Operational"/>
    <n v="0.46087687334037442"/>
    <n v="304.17873640464711"/>
  </r>
  <r>
    <s v="CHHABRA TPS6"/>
    <s v="Rajasthan"/>
    <s v="NR"/>
    <x v="1"/>
    <x v="0"/>
    <n v="1.06776180698151"/>
    <n v="660"/>
    <n v="2.14"/>
    <n v="1412.4"/>
    <n v="2612.943978273177"/>
    <n v="1724543.0256602969"/>
    <m/>
    <n v="0"/>
    <s v="Operational"/>
    <n v="0.61117356055292105"/>
    <n v="403.37454996492789"/>
  </r>
  <r>
    <s v="SHREE SINGAJI TPP4"/>
    <s v="Madhya Pradesh"/>
    <s v="WR"/>
    <x v="1"/>
    <x v="0"/>
    <n v="1.06776180698151"/>
    <n v="660"/>
    <n v="2.8110574316462347"/>
    <n v="1855.297904886515"/>
    <n v="2693.6318028836072"/>
    <n v="1777796.9899031806"/>
    <m/>
    <n v="0"/>
    <s v="Operational"/>
    <n v="0.36873574241419826"/>
    <n v="243.36558999337086"/>
  </r>
  <r>
    <s v="RAIKHEDA TPP2"/>
    <s v="Chhatisgarh"/>
    <s v="WR"/>
    <x v="2"/>
    <x v="0"/>
    <n v="4.1752224503764497"/>
    <n v="685"/>
    <n v="2.9172054378698418"/>
    <n v="1998.2857249408416"/>
    <n v="2742.1369836228182"/>
    <n v="1878363.8337816305"/>
    <n v="9.4685661559992765E-2"/>
    <n v="64.859678168595039"/>
    <s v="Operational"/>
    <n v="0.22309672867809185"/>
    <n v="152.82125914449293"/>
  </r>
  <r>
    <s v="SHREE SINGAJI TPP3"/>
    <s v="Madhya Pradesh"/>
    <s v="WR"/>
    <x v="1"/>
    <x v="0"/>
    <n v="1.45379876796714"/>
    <n v="660"/>
    <n v="2.7274988194594498"/>
    <n v="1800.1492208432369"/>
    <n v="2657.8505685419959"/>
    <n v="1754181.3752377173"/>
    <m/>
    <n v="0"/>
    <s v="Operational"/>
    <n v="0.48589889523994384"/>
    <n v="320.69327085836295"/>
  </r>
  <r>
    <s v="MEJA STPP1"/>
    <s v="Uttar Pradesh"/>
    <s v="NR"/>
    <x v="0"/>
    <x v="0"/>
    <n v="2.0917180013689198"/>
    <n v="660"/>
    <n v="3.28"/>
    <n v="2164.7999999999997"/>
    <n v="2790.7223159179648"/>
    <n v="1841876.7285058568"/>
    <n v="6.4933199252980744E-2"/>
    <n v="42.855911506967288"/>
    <s v="Operational"/>
    <n v="9.7049031691387622E-2"/>
    <n v="64.052360916315834"/>
  </r>
  <r>
    <s v="RAIKHEDA TPP1"/>
    <s v="Chhatisgarh"/>
    <s v="WR"/>
    <x v="2"/>
    <x v="1"/>
    <n v="5.2539356605065004"/>
    <n v="685"/>
    <n v="2.7918203016194005"/>
    <n v="1912.3969066092893"/>
    <n v="2690.5330340365863"/>
    <n v="1843015.1283150616"/>
    <n v="9.4685661559992765E-2"/>
    <n v="64.859678168595039"/>
    <s v="Operational"/>
    <n v="0.40413457402160524"/>
    <n v="276.83218320479961"/>
  </r>
  <r>
    <s v="SOLAPUR STPS2"/>
    <s v="Maharashtra"/>
    <s v="WR"/>
    <x v="0"/>
    <x v="0"/>
    <n v="1.06776180698151"/>
    <n v="660"/>
    <n v="3.66"/>
    <n v="2415.6"/>
    <n v="2818.2986455129321"/>
    <n v="1860077.1060385352"/>
    <n v="0.09"/>
    <n v="59.4"/>
    <s v="Operational"/>
    <n v="3.2607354088292489E-2"/>
    <n v="21.520853698273044"/>
  </r>
  <r>
    <s v="BARA TPP3"/>
    <s v="Uttar Pradesh"/>
    <s v="NR"/>
    <x v="2"/>
    <x v="0"/>
    <n v="3.0088980150581701"/>
    <n v="660"/>
    <n v="2.33"/>
    <n v="1537.8"/>
    <n v="2677.608789275967"/>
    <n v="1767221.8009221382"/>
    <n v="7.2032085285824013E-2"/>
    <n v="47.541176288643847"/>
    <s v="Operational"/>
    <n v="0.46042392482258521"/>
    <n v="303.87979038290621"/>
  </r>
  <r>
    <s v="CHHABRA TPS5"/>
    <s v="Rajasthan"/>
    <s v="NR"/>
    <x v="1"/>
    <x v="0"/>
    <n v="3.0910335386721401"/>
    <n v="660"/>
    <n v="2.13"/>
    <n v="1405.8"/>
    <n v="2683.2311592343785"/>
    <n v="1770932.5650946898"/>
    <m/>
    <n v="0"/>
    <s v="Operational"/>
    <n v="0.44531428898248482"/>
    <n v="293.90743072843998"/>
  </r>
  <r>
    <s v="BARA TPP1"/>
    <s v="Uttar Pradesh"/>
    <s v="NR"/>
    <x v="2"/>
    <x v="0"/>
    <n v="3.4223134839151199"/>
    <n v="660"/>
    <n v="2.33"/>
    <n v="1537.8"/>
    <n v="2647.0921269602272"/>
    <n v="1747080.80379375"/>
    <n v="7.2032085285824013E-2"/>
    <n v="47.541176288643847"/>
    <s v="Operational"/>
    <n v="0.56229419816131876"/>
    <n v="371.11417078647037"/>
  </r>
  <r>
    <s v="MAUDA TPS4"/>
    <s v="Maharashtra"/>
    <s v="WR"/>
    <x v="0"/>
    <x v="0"/>
    <n v="3.1759069130732298"/>
    <n v="660"/>
    <n v="2.9"/>
    <n v="1914"/>
    <n v="2678.2286873027865"/>
    <n v="1767630.9336198391"/>
    <n v="7.3009693702312639E-2"/>
    <n v="48.186397843526343"/>
    <s v="Operational"/>
    <n v="0.48262447743364018"/>
    <n v="318.53215510620254"/>
  </r>
  <r>
    <s v="LALITPUR TPS3"/>
    <s v="Uttar Pradesh"/>
    <s v="NR"/>
    <x v="2"/>
    <x v="0"/>
    <n v="4.0903490759753502"/>
    <n v="660"/>
    <n v="2.9"/>
    <n v="1914"/>
    <n v="2691.6909286400519"/>
    <n v="1776516.0129024342"/>
    <n v="5.6784412022982754E-2"/>
    <n v="37.477711935168621"/>
    <s v="Operational"/>
    <n v="0.44282023605762943"/>
    <n v="292.26135579803542"/>
  </r>
  <r>
    <s v="LALITPUR TPS1"/>
    <s v="Uttar Pradesh"/>
    <s v="NR"/>
    <x v="2"/>
    <x v="0"/>
    <n v="4.1752224503764497"/>
    <n v="660"/>
    <n v="2.9"/>
    <n v="1914"/>
    <n v="2710.9501550944578"/>
    <n v="1789227.1023623422"/>
    <n v="5.6784412022982754E-2"/>
    <n v="37.477711935168621"/>
    <s v="Operational"/>
    <n v="0.38652147713071844"/>
    <n v="255.10417490627418"/>
  </r>
  <r>
    <s v="LALITPUR TPS2"/>
    <s v="Uttar Pradesh"/>
    <s v="NR"/>
    <x v="2"/>
    <x v="0"/>
    <n v="4.33949349760438"/>
    <n v="660"/>
    <n v="2.9"/>
    <n v="1914"/>
    <n v="2724.4060714120214"/>
    <n v="1798108.0071319342"/>
    <n v="5.6784412022982754E-2"/>
    <n v="37.477711935168621"/>
    <s v="Operational"/>
    <n v="0.34961324887856121"/>
    <n v="230.74474425985039"/>
  </r>
  <r>
    <s v="BARA TPP2"/>
    <s v="Uttar Pradesh"/>
    <s v="NR"/>
    <x v="2"/>
    <x v="0"/>
    <n v="4.6735112936344896"/>
    <n v="660"/>
    <n v="2.33"/>
    <n v="1537.8"/>
    <n v="2730.771881295801"/>
    <n v="1802309.4416552286"/>
    <n v="7.2032085285824013E-2"/>
    <n v="47.541176288643847"/>
    <s v="Operational"/>
    <n v="0.33807644665697034"/>
    <n v="223.13045479360042"/>
  </r>
  <r>
    <s v="SOLAPUR STPS1"/>
    <s v="Maharashtra"/>
    <s v="WR"/>
    <x v="0"/>
    <x v="0"/>
    <n v="3.0910335386721401"/>
    <n v="660"/>
    <n v="3.66"/>
    <n v="2415.6"/>
    <n v="2763.934057916772"/>
    <n v="1824196.4782250696"/>
    <n v="0.09"/>
    <n v="59.4"/>
    <s v="Operational"/>
    <n v="0.24382802341216731"/>
    <n v="160.92649545203042"/>
  </r>
  <r>
    <s v="MAUDA TPS3"/>
    <s v="Maharashtra"/>
    <s v="WR"/>
    <x v="0"/>
    <x v="0"/>
    <n v="4.1752224503764497"/>
    <n v="660"/>
    <n v="2.9"/>
    <n v="1914"/>
    <n v="2679.1024714016098"/>
    <n v="1768207.6311250625"/>
    <n v="7.3009693702312639E-2"/>
    <n v="48.186397843526343"/>
    <s v="Operational"/>
    <n v="0.50307853767426891"/>
    <n v="332.03183486501746"/>
  </r>
  <r>
    <s v="SASAN UMPTPP6"/>
    <s v="Madhya Pradesh"/>
    <s v="WR"/>
    <x v="2"/>
    <x v="1"/>
    <n v="5.1772758384667998"/>
    <n v="660"/>
    <n v="1.34"/>
    <n v="884.40000000000009"/>
    <n v="2526.7125657220299"/>
    <n v="1667630.2933765398"/>
    <n v="5.9985033260734698E-2"/>
    <n v="39.5901219520849"/>
    <s v="Operational"/>
    <n v="0.9670131090699432"/>
    <n v="638.2286519861625"/>
  </r>
  <r>
    <s v="NIGRI TPP2"/>
    <s v="Madhya Pradesh"/>
    <s v="WR"/>
    <x v="2"/>
    <x v="1"/>
    <n v="5.2539356605065004"/>
    <n v="660"/>
    <n v="0.61"/>
    <n v="402.59999999999997"/>
    <n v="2650.1077045604775"/>
    <n v="1749071.0850099151"/>
    <n v="6.0287169912146825E-2"/>
    <n v="39.789532142016903"/>
    <s v="Operational"/>
    <n v="0.59550640603065652"/>
    <n v="393.03422798023331"/>
  </r>
  <r>
    <s v="BARH II5"/>
    <s v="Bihar"/>
    <s v="ER"/>
    <x v="0"/>
    <x v="1"/>
    <n v="5.1772758384667998"/>
    <n v="660"/>
    <n v="2.31"/>
    <n v="1524.6000000000001"/>
    <n v="2585.0296110159238"/>
    <n v="1706119.5432705097"/>
    <n v="7.8938602528921195E-2"/>
    <n v="52.099477669087989"/>
    <s v="Operational"/>
    <n v="0.79384212539310606"/>
    <n v="523.93580275944998"/>
  </r>
  <r>
    <s v="KORADI TPS10"/>
    <s v="Maharashtra"/>
    <s v="WR"/>
    <x v="1"/>
    <x v="0"/>
    <n v="3.4223134839151199"/>
    <n v="660"/>
    <n v="2.19"/>
    <n v="1445.3999999999999"/>
    <n v="2678.5773768317194"/>
    <n v="1767861.0687089348"/>
    <n v="8.2497496941869752E-2"/>
    <n v="54.448347981634036"/>
    <s v="Operational"/>
    <n v="0.515785480183654"/>
    <n v="340.41841692121164"/>
  </r>
  <r>
    <s v="NIGRI TPP1"/>
    <s v="Madhya Pradesh"/>
    <s v="WR"/>
    <x v="2"/>
    <x v="1"/>
    <n v="5.7577002053388"/>
    <n v="660"/>
    <n v="0.61"/>
    <n v="402.59999999999997"/>
    <n v="2654.6252352012957"/>
    <n v="1752052.6552328551"/>
    <n v="6.0287169912146825E-2"/>
    <n v="39.789532142016903"/>
    <s v="Operational"/>
    <n v="0.5934841518332582"/>
    <n v="391.69954020995038"/>
  </r>
  <r>
    <s v="SASAN UMPTPP5"/>
    <s v="Madhya Pradesh"/>
    <s v="WR"/>
    <x v="2"/>
    <x v="1"/>
    <n v="5.7577002053388"/>
    <n v="660"/>
    <n v="1.34"/>
    <n v="884.40000000000009"/>
    <n v="2525.3075794452971"/>
    <n v="1666703.0024338961"/>
    <n v="5.9985033260734698E-2"/>
    <n v="39.5901219520849"/>
    <s v="Operational"/>
    <n v="0.98467871371886351"/>
    <n v="649.8879510544499"/>
  </r>
  <r>
    <s v="SASAN UMPTPP3"/>
    <s v="Madhya Pradesh"/>
    <s v="WR"/>
    <x v="2"/>
    <x v="1"/>
    <n v="6.00958247775496"/>
    <n v="660"/>
    <n v="1.34"/>
    <n v="884.40000000000009"/>
    <n v="2544.6447009853359"/>
    <n v="1679465.5026503217"/>
    <n v="5.9985033260734698E-2"/>
    <n v="39.5901219520849"/>
    <s v="Operational"/>
    <n v="0.93200441626645836"/>
    <n v="615.12291473586254"/>
  </r>
  <r>
    <s v="SASAN UMPTPP4"/>
    <s v="Madhya Pradesh"/>
    <s v="WR"/>
    <x v="2"/>
    <x v="1"/>
    <n v="6.1765913757700197"/>
    <n v="660"/>
    <n v="1.34"/>
    <n v="884.40000000000009"/>
    <n v="2551.4825823397746"/>
    <n v="1683978.5043442512"/>
    <n v="5.9985033260734698E-2"/>
    <n v="39.5901219520849"/>
    <s v="Operational"/>
    <n v="0.91517946693685603"/>
    <n v="604.018448178325"/>
  </r>
  <r>
    <s v="KORADI TPS9"/>
    <s v="Maharashtra"/>
    <s v="WR"/>
    <x v="1"/>
    <x v="0"/>
    <n v="4.1752224503764497"/>
    <n v="660"/>
    <n v="2.19"/>
    <n v="1445.3999999999999"/>
    <n v="2701.7430118303091"/>
    <n v="1783150.3878080039"/>
    <n v="8.2497496941869752E-2"/>
    <n v="54.448347981634036"/>
    <s v="Operational"/>
    <n v="0.46310997129869952"/>
    <n v="305.65258105714167"/>
  </r>
  <r>
    <s v="SASAN UMPTPP2"/>
    <s v="Madhya Pradesh"/>
    <s v="WR"/>
    <x v="2"/>
    <x v="1"/>
    <n v="6.4229979466118996"/>
    <n v="660"/>
    <n v="1.34"/>
    <n v="884.40000000000009"/>
    <n v="2538.3943953418784"/>
    <n v="1675340.3009256397"/>
    <n v="5.9985033260734698E-2"/>
    <n v="39.5901219520849"/>
    <s v="Operational"/>
    <n v="0.96046733690089647"/>
    <n v="633.90844235459167"/>
  </r>
  <r>
    <s v="RAJPURA TPS2"/>
    <s v="Punjab"/>
    <s v="NR"/>
    <x v="2"/>
    <x v="1"/>
    <n v="5.8425735797399003"/>
    <n v="700"/>
    <n v="2.2599999999999998"/>
    <n v="1581.9999999999998"/>
    <n v="2609.3879658222372"/>
    <n v="1826571.576075566"/>
    <n v="5.271272326947618E-2"/>
    <n v="36.898906288633327"/>
    <s v="Operational"/>
    <n v="0.74724709880303575"/>
    <n v="523.07296916212499"/>
  </r>
  <r>
    <s v="BARH II4"/>
    <s v="Bihar"/>
    <s v="ER"/>
    <x v="0"/>
    <x v="1"/>
    <n v="6.5051334702258696"/>
    <n v="660"/>
    <n v="2.31"/>
    <n v="1524.6000000000001"/>
    <n v="2603.456054478007"/>
    <n v="1718280.9959554847"/>
    <n v="7.8938602528921195E-2"/>
    <n v="52.099477669087989"/>
    <s v="Operational"/>
    <n v="0.76879185454102905"/>
    <n v="507.40262399707916"/>
  </r>
  <r>
    <s v="RAJPURA TPS1"/>
    <s v="Punjab"/>
    <s v="NR"/>
    <x v="2"/>
    <x v="1"/>
    <n v="6.3381245722108099"/>
    <n v="700"/>
    <n v="2.2599999999999998"/>
    <n v="1581.9999999999998"/>
    <n v="2612.3257496137326"/>
    <n v="1828628.0247296127"/>
    <n v="5.271272326947618E-2"/>
    <n v="36.898906288633327"/>
    <s v="Operational"/>
    <n v="0.74981384358257142"/>
    <n v="524.86969050779999"/>
  </r>
  <r>
    <s v="TIRORA TPS5"/>
    <s v="Maharashtra"/>
    <s v="WR"/>
    <x v="2"/>
    <x v="1"/>
    <n v="5.6728268309377103"/>
    <n v="660"/>
    <n v="2.39"/>
    <n v="1577.4"/>
    <n v="2619.0387898864901"/>
    <n v="1728565.6013250835"/>
    <n v="5.508216674000762E-2"/>
    <n v="36.354230048405029"/>
    <s v="Operational"/>
    <n v="0.72994774872522095"/>
    <n v="481.76551415864583"/>
  </r>
  <r>
    <s v="SASAN UMPTPP1"/>
    <s v="Madhya Pradesh"/>
    <s v="WR"/>
    <x v="2"/>
    <x v="1"/>
    <n v="7.0088980150581701"/>
    <n v="660"/>
    <n v="1.34"/>
    <n v="884.40000000000009"/>
    <n v="2543.998959622139"/>
    <n v="1679039.3133506116"/>
    <n v="5.9985033260734698E-2"/>
    <n v="39.5901219520849"/>
    <s v="Operational"/>
    <n v="0.95705514270795466"/>
    <n v="631.65639418725004"/>
  </r>
  <r>
    <s v="KORADI TPS8"/>
    <s v="Maharashtra"/>
    <s v="WR"/>
    <x v="1"/>
    <x v="1"/>
    <n v="5.1772758384667998"/>
    <n v="660"/>
    <n v="2.19"/>
    <n v="1445.3999999999999"/>
    <n v="2707.498098621164"/>
    <n v="1786948.7450899682"/>
    <n v="8.2497496941869752E-2"/>
    <n v="54.448347981634036"/>
    <s v="Operational"/>
    <n v="0.46886104458283651"/>
    <n v="309.44828942467211"/>
  </r>
  <r>
    <s v="TIRORA TPS4"/>
    <s v="Maharashtra"/>
    <s v="WR"/>
    <x v="2"/>
    <x v="1"/>
    <n v="6.1765913757700197"/>
    <n v="660"/>
    <n v="2.39"/>
    <n v="1577.4"/>
    <n v="2633.0538535582114"/>
    <n v="1737815.5433484195"/>
    <n v="5.508216674000762E-2"/>
    <n v="36.354230048405029"/>
    <s v="Operational"/>
    <n v="0.69919482158685609"/>
    <n v="461.468582247325"/>
  </r>
  <r>
    <s v="SIPAT STPS3"/>
    <s v="Chhatisgarh"/>
    <s v="WR"/>
    <x v="0"/>
    <x v="1"/>
    <n v="7.7563312799452397"/>
    <n v="660"/>
    <n v="1.35"/>
    <n v="891.00000000000011"/>
    <n v="2586.6655689966797"/>
    <n v="1707199.2755378087"/>
    <n v="5.4595359838897593E-2"/>
    <n v="36.032937493672414"/>
    <s v="Operational"/>
    <n v="0.84729476526970959"/>
    <n v="559.21454507800831"/>
  </r>
  <r>
    <s v="MAHATMA GANDHI TPS2"/>
    <s v="Haryana"/>
    <s v="NR"/>
    <x v="2"/>
    <x v="1"/>
    <n v="8.0903490759753591"/>
    <n v="660"/>
    <n v="3.33"/>
    <n v="2197.8000000000002"/>
    <n v="2674.6583413135963"/>
    <n v="1765274.5052669735"/>
    <n v="6.2602876632131307E-2"/>
    <n v="41.317898577206662"/>
    <s v="Operational"/>
    <n v="0.58679749519712876"/>
    <n v="387.286346830105"/>
  </r>
  <r>
    <s v="SIPAT STPS2"/>
    <s v="Chhatisgarh"/>
    <s v="WR"/>
    <x v="0"/>
    <x v="1"/>
    <n v="8.00821355236139"/>
    <n v="660"/>
    <n v="1.35"/>
    <n v="891.00000000000011"/>
    <n v="2574.6160248419378"/>
    <n v="1699246.576395679"/>
    <n v="5.4595359838897593E-2"/>
    <n v="36.032937493672414"/>
    <s v="Operational"/>
    <n v="0.88956723176643315"/>
    <n v="587.11437296584586"/>
  </r>
  <r>
    <s v="TIRORA TPS3"/>
    <s v="Maharashtra"/>
    <s v="WR"/>
    <x v="2"/>
    <x v="1"/>
    <n v="6.9240246406570796"/>
    <n v="660"/>
    <n v="1.82"/>
    <n v="1201.2"/>
    <n v="2617.2513035111429"/>
    <n v="1727385.8603173543"/>
    <n v="5.508216674000762E-2"/>
    <n v="36.354230048405029"/>
    <s v="Operational"/>
    <n v="0.76427411936739265"/>
    <n v="504.42091878247913"/>
  </r>
  <r>
    <s v="MAHATMA GANDHI TPS1"/>
    <s v="Haryana"/>
    <s v="NR"/>
    <x v="2"/>
    <x v="1"/>
    <n v="8.33949349760438"/>
    <n v="660"/>
    <n v="3.33"/>
    <n v="2197.8000000000002"/>
    <n v="2667.4483877385769"/>
    <n v="1760515.9359074607"/>
    <n v="6.2602876632131307E-2"/>
    <n v="41.317898577206662"/>
    <s v="Operational"/>
    <n v="0.61436659603476895"/>
    <n v="405.48195338294749"/>
  </r>
  <r>
    <s v="TIRORA TPS2"/>
    <s v="Maharashtra"/>
    <s v="WR"/>
    <x v="2"/>
    <x v="1"/>
    <n v="7.1759069130732298"/>
    <n v="660"/>
    <n v="1.82"/>
    <n v="1201.2"/>
    <n v="2645.0729929002923"/>
    <n v="1745748.1753141929"/>
    <n v="5.508216674000762E-2"/>
    <n v="36.354230048405029"/>
    <s v="Operational"/>
    <n v="0.68593343643097848"/>
    <n v="452.71606804444582"/>
  </r>
  <r>
    <s v="SIPAT STPS1"/>
    <s v="Chhatisgarh"/>
    <s v="WR"/>
    <x v="0"/>
    <x v="1"/>
    <n v="8.5913757700205302"/>
    <n v="660"/>
    <n v="1.35"/>
    <n v="891.00000000000011"/>
    <n v="2577.3249035348281"/>
    <n v="1701034.4363329865"/>
    <n v="5.4595359838897593E-2"/>
    <n v="36.032937493672414"/>
    <s v="Operational"/>
    <n v="0.89485139992184348"/>
    <n v="590.6019239484167"/>
  </r>
  <r>
    <s v="TALWANDI SABO TPS3"/>
    <s v="Punjab"/>
    <s v="NR"/>
    <x v="2"/>
    <x v="0"/>
    <n v="4.1752224503764497"/>
    <n v="660"/>
    <n v="2.85"/>
    <n v="1881"/>
    <n v="2686.6982422450437"/>
    <n v="1773220.8398817289"/>
    <n v="7.1090892196094782E-2"/>
    <n v="46.919988849422559"/>
    <s v="Operational"/>
    <n v="0.56745135864801211"/>
    <n v="374.51789670768801"/>
  </r>
  <r>
    <s v="MAHAN TPP2"/>
    <s v="Madhya Pradesh"/>
    <s v="WR"/>
    <x v="2"/>
    <x v="0"/>
    <n v="1.67008898015058"/>
    <n v="600"/>
    <n v="2.8202813325377867"/>
    <n v="1692.1687995226721"/>
    <n v="2766.6676986341572"/>
    <n v="1660000.6191804942"/>
    <n v="9.2920955405355318E-2"/>
    <n v="55.752573243213192"/>
    <s v="Operational"/>
    <n v="0.32809663398376948"/>
    <n v="196.8579803902617"/>
  </r>
  <r>
    <s v="TIRORA TPS1"/>
    <s v="Maharashtra"/>
    <s v="WR"/>
    <x v="2"/>
    <x v="1"/>
    <n v="7.6714579055441403"/>
    <n v="660"/>
    <n v="2.39"/>
    <n v="1577.4"/>
    <n v="2624.7888952344365"/>
    <n v="1732360.6708547282"/>
    <n v="5.508216674000762E-2"/>
    <n v="36.354230048405029"/>
    <s v="Operational"/>
    <n v="0.75874792649912881"/>
    <n v="500.77363148942504"/>
  </r>
  <r>
    <s v="TALWANDI SABO TPS2"/>
    <s v="Punjab"/>
    <s v="NR"/>
    <x v="2"/>
    <x v="0"/>
    <n v="4.5913757700205302"/>
    <n v="660"/>
    <n v="2.85"/>
    <n v="1881"/>
    <n v="2687.3510434465675"/>
    <n v="1773651.6886747344"/>
    <n v="7.1090892196094782E-2"/>
    <n v="46.919988849422559"/>
    <s v="Operational"/>
    <n v="0.57509519947531251"/>
    <n v="379.56283165370627"/>
  </r>
  <r>
    <s v="RAYALSEEMA TPS6"/>
    <s v="Andhra Pradesh"/>
    <s v="SR"/>
    <x v="1"/>
    <x v="0"/>
    <n v="2.1163586584531102"/>
    <n v="600"/>
    <n v="3.39"/>
    <n v="2034"/>
    <n v="2768.624458007363"/>
    <n v="1661174.6748044179"/>
    <n v="0.10362859790133408"/>
    <n v="62.177158740800451"/>
    <s v="Operational"/>
    <n v="0.33249199757213538"/>
    <n v="199.49519854328122"/>
  </r>
  <r>
    <s v="TALWANDI SABO TPS1"/>
    <s v="Punjab"/>
    <s v="NR"/>
    <x v="2"/>
    <x v="1"/>
    <n v="5.9247091033538597"/>
    <n v="660"/>
    <n v="2.85"/>
    <n v="1881"/>
    <n v="2688.3360560670285"/>
    <n v="1774301.7970042387"/>
    <n v="7.1090892196094782E-2"/>
    <n v="46.919988849422559"/>
    <s v="Operational"/>
    <n v="0.60293298463689338"/>
    <n v="397.93576986034964"/>
  </r>
  <r>
    <s v="SINGARENI TPP2"/>
    <s v="Telangana"/>
    <s v="SR"/>
    <x v="1"/>
    <x v="0"/>
    <n v="3.4250513347022502"/>
    <n v="600"/>
    <n v="2.39"/>
    <n v="1434"/>
    <n v="2602.6327581788437"/>
    <n v="1561579.6549073062"/>
    <n v="5.8057563443709923E-2"/>
    <n v="34.834538066225953"/>
    <s v="Operational"/>
    <n v="0.86487598820117362"/>
    <n v="518.92559292070416"/>
  </r>
  <r>
    <s v="KAWAI TPS2"/>
    <s v="Rajasthan"/>
    <s v="NR"/>
    <x v="2"/>
    <x v="1"/>
    <n v="6.4229979466118996"/>
    <n v="660"/>
    <n v="2.36"/>
    <n v="1557.6"/>
    <n v="2690.6087005102427"/>
    <n v="1775801.7423367603"/>
    <n v="5.4957824315639968E-2"/>
    <n v="36.272164048322381"/>
    <s v="Operational"/>
    <n v="0.59920829522903041"/>
    <n v="395.47747485116008"/>
  </r>
  <r>
    <s v="AKALTARA TPS2"/>
    <s v="Chhatisgarh"/>
    <s v="WR"/>
    <x v="2"/>
    <x v="0"/>
    <n v="2.3381245722108099"/>
    <n v="600"/>
    <n v="2.4900000000000002"/>
    <n v="1494.0000000000002"/>
    <n v="2680.1273613497228"/>
    <n v="1608076.4168098336"/>
    <n v="8.0030636155213206E-2"/>
    <n v="48.018381693127921"/>
    <s v="Operational"/>
    <n v="0.6352213702943118"/>
    <n v="381.13282217658707"/>
  </r>
  <r>
    <s v="KAWAI TPS1"/>
    <s v="Rajasthan"/>
    <s v="NR"/>
    <x v="2"/>
    <x v="1"/>
    <n v="7.0088980150581701"/>
    <n v="660"/>
    <n v="2.36"/>
    <n v="1557.6"/>
    <n v="2696.2169125758082"/>
    <n v="1779503.1623000335"/>
    <n v="5.4957824315639968E-2"/>
    <n v="36.272164048322381"/>
    <s v="Operational"/>
    <n v="0.59578506624145267"/>
    <n v="393.21814371935875"/>
  </r>
  <r>
    <s v="ANPARA TPS7"/>
    <s v="Uttar Pradesh"/>
    <s v="NR"/>
    <x v="1"/>
    <x v="0"/>
    <n v="4.1752224503764497"/>
    <n v="600"/>
    <n v="1.39"/>
    <n v="833.99999999999989"/>
    <n v="2727.410853601883"/>
    <n v="1636446.5121611299"/>
    <n v="9.3255770253987805E-2"/>
    <n v="55.953462152392682"/>
    <s v="Operational"/>
    <n v="0.50475270687055762"/>
    <n v="302.85162412233456"/>
  </r>
  <r>
    <s v="SEIONI TPP1"/>
    <s v="Madhya Pradesh"/>
    <s v="WR"/>
    <x v="2"/>
    <x v="0"/>
    <n v="4.1752224503764497"/>
    <n v="600"/>
    <n v="2.08"/>
    <n v="1248"/>
    <n v="2734.9308652273457"/>
    <n v="1640958.5191364074"/>
    <n v="6.5611235962542022E-2"/>
    <n v="39.366741577525211"/>
    <s v="Operational"/>
    <n v="0.48200416850586458"/>
    <n v="289.20250110351873"/>
  </r>
  <r>
    <s v="SINGARENI TPP1"/>
    <s v="Telangana"/>
    <s v="SR"/>
    <x v="1"/>
    <x v="0"/>
    <n v="4.1752224503764497"/>
    <n v="600"/>
    <n v="2.39"/>
    <n v="1434"/>
    <n v="2606.1627216397683"/>
    <n v="1563697.632983861"/>
    <n v="5.8057563443709923E-2"/>
    <n v="34.834538066225953"/>
    <s v="Operational"/>
    <n v="0.87153641931167358"/>
    <n v="522.9218515870042"/>
  </r>
  <r>
    <s v="ANUPPUR TPP2"/>
    <s v="Madhya Pradesh"/>
    <s v="WR"/>
    <x v="2"/>
    <x v="0"/>
    <n v="4.1752224503764497"/>
    <n v="600"/>
    <n v="2.16"/>
    <n v="1296"/>
    <n v="2683.8821443326406"/>
    <n v="1610329.2865995844"/>
    <n v="6.7965223168433342E-2"/>
    <n v="40.779133901060007"/>
    <s v="Operational"/>
    <n v="0.63842380622551398"/>
    <n v="383.05428373530839"/>
  </r>
  <r>
    <s v="RAGHUNATHPUR TPP2"/>
    <s v="West Bengal"/>
    <s v="ER"/>
    <x v="0"/>
    <x v="0"/>
    <n v="4.33949349760438"/>
    <n v="600"/>
    <n v="2.21"/>
    <n v="1326"/>
    <n v="2765.3528626088691"/>
    <n v="1659211.7175653216"/>
    <n v="7.8899454574965444E-2"/>
    <n v="47.339672744979268"/>
    <s v="Operational"/>
    <n v="0.39377240975873329"/>
    <n v="236.26344585523998"/>
  </r>
  <r>
    <s v="KAKATIYA TPS2"/>
    <s v="Telangana"/>
    <s v="SR"/>
    <x v="1"/>
    <x v="0"/>
    <n v="4.4243668720054696"/>
    <n v="600"/>
    <n v="2.77"/>
    <n v="1662"/>
    <n v="2638.9552340083037"/>
    <n v="1583373.1404049823"/>
    <n v="5.7626698395538668E-2"/>
    <n v="34.576019037323199"/>
    <s v="Operational"/>
    <n v="0.77809538392584709"/>
    <n v="466.85723035550825"/>
  </r>
  <r>
    <s v="ANPARA TPS6"/>
    <s v="Uttar Pradesh"/>
    <s v="NR"/>
    <x v="1"/>
    <x v="0"/>
    <n v="4.9253935660506496"/>
    <n v="600"/>
    <n v="1.39"/>
    <n v="833.99999999999989"/>
    <n v="2681.5226523904639"/>
    <n v="1608913.5914342783"/>
    <n v="9.3255770253987805E-2"/>
    <n v="55.953462152392682"/>
    <s v="Operational"/>
    <n v="0.66090639290569719"/>
    <n v="396.5438357434183"/>
  </r>
  <r>
    <s v="KALISINDH TPS2"/>
    <s v="Rajasthan"/>
    <s v="NR"/>
    <x v="1"/>
    <x v="0"/>
    <n v="4.9253935660506496"/>
    <n v="600"/>
    <n v="2.61"/>
    <n v="1566"/>
    <n v="2763.9042155115267"/>
    <n v="1658342.5293069161"/>
    <n v="6.7338649205241949E-2"/>
    <n v="40.403189523145173"/>
    <s v="Operational"/>
    <n v="0.41169665194501248"/>
    <n v="247.01799116700749"/>
  </r>
  <r>
    <s v="BARADARHA TPS2"/>
    <s v="Chhatisgarh"/>
    <s v="WR"/>
    <x v="2"/>
    <x v="1"/>
    <n v="5.1772758384667998"/>
    <n v="600"/>
    <n v="1.76"/>
    <n v="1056"/>
    <n v="2705.9608745821961"/>
    <n v="1623576.5247493177"/>
    <n v="5.7818434756539937E-2"/>
    <n v="34.691060853923965"/>
    <s v="Operational"/>
    <n v="0.59280092464442014"/>
    <n v="355.68055478665207"/>
  </r>
  <r>
    <s v="ANUPPUR TPP1"/>
    <s v="Madhya Pradesh"/>
    <s v="WR"/>
    <x v="2"/>
    <x v="0"/>
    <n v="5.0924024640657004"/>
    <n v="600"/>
    <n v="2.16"/>
    <n v="1296"/>
    <n v="2699.6814844629025"/>
    <n v="1619808.8906777415"/>
    <n v="6.7965223168433342E-2"/>
    <n v="40.779133901060007"/>
    <s v="Operational"/>
    <n v="0.61182865123315966"/>
    <n v="367.09719073989578"/>
  </r>
  <r>
    <s v="DERANG TPP2"/>
    <s v="Odisha"/>
    <s v="ER"/>
    <x v="2"/>
    <x v="1"/>
    <n v="5.3388090349075901"/>
    <n v="600"/>
    <n v="1"/>
    <n v="600"/>
    <n v="2788.1056173695415"/>
    <n v="1672863.3704217249"/>
    <n v="5.9866711601157967E-2"/>
    <n v="35.920026960694777"/>
    <s v="Operational"/>
    <n v="0.34875205036659584"/>
    <n v="209.25123021995751"/>
  </r>
  <r>
    <s v="OP JINDAL TPS24"/>
    <s v="Chhatisgarh"/>
    <s v="WR"/>
    <x v="2"/>
    <x v="1"/>
    <n v="5.1772758384667998"/>
    <n v="600"/>
    <n v="1.51"/>
    <n v="906"/>
    <n v="2830.5015258510098"/>
    <n v="1698300.9155106058"/>
    <n v="5.7803709694753805E-2"/>
    <n v="34.682225816852281"/>
    <s v="Operational"/>
    <n v="0.22188951732510417"/>
    <n v="133.13371039506251"/>
  </r>
  <r>
    <s v="OP JINDAL TPS23"/>
    <s v="Chhatisgarh"/>
    <s v="WR"/>
    <x v="2"/>
    <x v="1"/>
    <n v="5.3388090349075901"/>
    <n v="600"/>
    <n v="1.51"/>
    <n v="906"/>
    <n v="2749.2142053138587"/>
    <n v="1649528.5231883151"/>
    <n v="5.7803709694753805E-2"/>
    <n v="34.682225816852281"/>
    <s v="Operational"/>
    <n v="0.47152263993616322"/>
    <n v="282.91358396169795"/>
  </r>
  <r>
    <s v="SHREE SINGAJI TPP2"/>
    <s v="Madhya Pradesh"/>
    <s v="WR"/>
    <x v="1"/>
    <x v="1"/>
    <n v="5.5906913073237501"/>
    <n v="600"/>
    <n v="2.64"/>
    <n v="1584"/>
    <n v="2745.7554247287694"/>
    <n v="1647453.2548372617"/>
    <m/>
    <n v="0"/>
    <s v="Operational"/>
    <n v="0.48362332593809515"/>
    <n v="290.1739955628571"/>
  </r>
  <r>
    <s v="RAGHUNATHPUR TPP1"/>
    <s v="West Bengal"/>
    <s v="ER"/>
    <x v="0"/>
    <x v="1"/>
    <n v="5.7577002053388"/>
    <n v="600"/>
    <n v="2.21"/>
    <n v="1326"/>
    <n v="2802.7402493911018"/>
    <n v="1681644.1496346612"/>
    <n v="7.8899454574965444E-2"/>
    <n v="47.339672744979268"/>
    <s v="Operational"/>
    <n v="0.31345226705380486"/>
    <n v="188.07136023228293"/>
  </r>
  <r>
    <s v="KALISINDH TPS1"/>
    <s v="Rajasthan"/>
    <s v="NR"/>
    <x v="1"/>
    <x v="1"/>
    <n v="6.00958247775496"/>
    <n v="600"/>
    <n v="2.61"/>
    <n v="1566"/>
    <n v="2662.0058623351124"/>
    <n v="1597203.5174010675"/>
    <n v="6.7338649205241949E-2"/>
    <n v="40.403189523145173"/>
    <s v="Operational"/>
    <n v="0.74500499420616662"/>
    <n v="447.00299652369995"/>
  </r>
  <r>
    <s v="DERANG TPP1"/>
    <s v="Odisha"/>
    <s v="ER"/>
    <x v="2"/>
    <x v="1"/>
    <n v="6.0917180013689203"/>
    <n v="600"/>
    <n v="1"/>
    <n v="600"/>
    <n v="2748.0350900754347"/>
    <n v="1648821.0540452609"/>
    <n v="5.9866711601157967E-2"/>
    <n v="35.920026960694777"/>
    <s v="Operational"/>
    <n v="0.48737016383197568"/>
    <n v="292.42209829918539"/>
  </r>
  <r>
    <s v="BARADARHA TPS1"/>
    <s v="Chhatisgarh"/>
    <s v="WR"/>
    <x v="2"/>
    <x v="1"/>
    <n v="6.2532511978097096"/>
    <n v="600"/>
    <n v="1.76"/>
    <n v="1056"/>
    <n v="2704.5964026048528"/>
    <n v="1622757.8415629116"/>
    <n v="5.7818434756539937E-2"/>
    <n v="34.691060853923965"/>
    <s v="Operational"/>
    <n v="0.62179770815578128"/>
    <n v="373.07862489346877"/>
  </r>
  <r>
    <s v="OP JINDAL TPS21"/>
    <s v="Chhatisgarh"/>
    <s v="WR"/>
    <x v="2"/>
    <x v="1"/>
    <n v="6.1765913757700197"/>
    <n v="600"/>
    <n v="1.51"/>
    <n v="906"/>
    <n v="2869.7515084349607"/>
    <n v="1721850.9050609765"/>
    <n v="5.7803709694753805E-2"/>
    <n v="34.682225816852281"/>
    <s v="Operational"/>
    <n v="0.12625300922484792"/>
    <n v="75.751805534908755"/>
  </r>
  <r>
    <s v="OP JINDAL TPS22"/>
    <s v="Chhatisgarh"/>
    <s v="WR"/>
    <x v="2"/>
    <x v="1"/>
    <n v="6.1765913757700197"/>
    <n v="600"/>
    <n v="1.51"/>
    <n v="906"/>
    <n v="2734.8474710308215"/>
    <n v="1640908.4826184928"/>
    <n v="5.7803709694753805E-2"/>
    <n v="34.682225816852281"/>
    <s v="Operational"/>
    <n v="0.53434674940590277"/>
    <n v="320.60804964354168"/>
  </r>
  <r>
    <s v="SHREE SINGAJI TPP1"/>
    <s v="Madhya Pradesh"/>
    <s v="WR"/>
    <x v="1"/>
    <x v="1"/>
    <n v="6.5051334702258696"/>
    <n v="600"/>
    <n v="2.64"/>
    <n v="1584"/>
    <n v="2743.0914573705668"/>
    <n v="1645854.8744223402"/>
    <m/>
    <n v="0"/>
    <s v="Operational"/>
    <n v="0.51281763124423196"/>
    <n v="307.69057874653919"/>
  </r>
  <r>
    <s v="AKALTARA TPS4"/>
    <s v="Chhatisgarh"/>
    <s v="WR"/>
    <x v="2"/>
    <x v="1"/>
    <n v="5.7577002053388"/>
    <n v="600"/>
    <n v="2.4900000000000002"/>
    <n v="1494.0000000000002"/>
    <n v="2685.8019019196545"/>
    <n v="1611481.1411517926"/>
    <n v="8.0030636155213206E-2"/>
    <n v="48.018381693127921"/>
    <s v="Operational"/>
    <n v="0.69709262096370139"/>
    <n v="418.25557257822084"/>
  </r>
  <r>
    <s v="MAHAN TPP1"/>
    <s v="Madhya Pradesh"/>
    <s v="WR"/>
    <x v="2"/>
    <x v="1"/>
    <n v="7.2525667351129304"/>
    <n v="600"/>
    <n v="2.8116068206159666"/>
    <n v="1686.9640923695799"/>
    <n v="2786.1255108669025"/>
    <n v="1671675.3065201414"/>
    <n v="9.2920955405355318E-2"/>
    <n v="55.752573243213192"/>
    <s v="Operational"/>
    <n v="0.3982640157935618"/>
    <n v="238.95840947613709"/>
  </r>
  <r>
    <s v="AKALTARA TPS3"/>
    <s v="Chhatisgarh"/>
    <s v="WR"/>
    <x v="2"/>
    <x v="1"/>
    <n v="6.7570157426420199"/>
    <n v="600"/>
    <n v="2.4900000000000002"/>
    <n v="1494.0000000000002"/>
    <n v="2834.3359818973217"/>
    <n v="1700601.5891383931"/>
    <n v="8.0030636155213206E-2"/>
    <n v="48.018381693127921"/>
    <s v="Operational"/>
    <n v="0.27086440555889024"/>
    <n v="162.51864333533413"/>
  </r>
  <r>
    <s v="ANPARA C TPS2"/>
    <s v="Uttar Pradesh"/>
    <s v="NR"/>
    <x v="2"/>
    <x v="1"/>
    <n v="8.33949349760438"/>
    <n v="600"/>
    <n v="1.88"/>
    <n v="1128"/>
    <n v="2666.8259900233074"/>
    <n v="1600095.5940139845"/>
    <n v="6.2540016954501773E-2"/>
    <n v="37.524010172701061"/>
    <s v="Operational"/>
    <n v="0.78427533495476387"/>
    <n v="470.56520097285835"/>
  </r>
  <r>
    <s v="ANPARA C TPS1"/>
    <s v="Uttar Pradesh"/>
    <s v="NR"/>
    <x v="2"/>
    <x v="1"/>
    <n v="8.5913757700205302"/>
    <n v="600"/>
    <n v="1.88"/>
    <n v="1128"/>
    <n v="2671.3855817448057"/>
    <n v="1602831.3490468834"/>
    <n v="6.2540016954501773E-2"/>
    <n v="37.524010172701061"/>
    <s v="Operational"/>
    <n v="0.77630405403416669"/>
    <n v="465.78243242050002"/>
  </r>
  <r>
    <s v="RAJIV GANDHI TPS2"/>
    <s v="Haryana"/>
    <s v="NR"/>
    <x v="1"/>
    <x v="1"/>
    <n v="9.5906913073237501"/>
    <n v="600"/>
    <n v="3.54"/>
    <n v="2124"/>
    <n v="2815.8337646212435"/>
    <n v="1689500.2587727462"/>
    <n v="6.0133050822696911E-2"/>
    <n v="36.079830493618147"/>
    <s v="Operational"/>
    <n v="0.36243595076625484"/>
    <n v="217.46157045975292"/>
  </r>
  <r>
    <s v="STERLITE TPP2"/>
    <s v="Odisha"/>
    <s v="ER"/>
    <x v="2"/>
    <x v="1"/>
    <n v="9.4236824093086895"/>
    <n v="600"/>
    <n v="1.61"/>
    <n v="966.00000000000011"/>
    <n v="2918.6804989429479"/>
    <n v="1751208.2993657687"/>
    <n v="0.05"/>
    <n v="30"/>
    <s v="Operational"/>
    <n v="9.4808093316785413E-2"/>
    <n v="56.884855990071244"/>
  </r>
  <r>
    <s v="NORTH CHENNAI TPS4"/>
    <s v="Tamil Nadu"/>
    <s v="SR"/>
    <x v="1"/>
    <x v="1"/>
    <n v="6.6009582477754902"/>
    <n v="600"/>
    <n v="3.18"/>
    <n v="1908"/>
    <n v="2762.1453669319726"/>
    <n v="1657287.2201591835"/>
    <n v="7.8776329249988286E-2"/>
    <n v="47.265797549992975"/>
    <s v="Operational"/>
    <n v="0.576578809992218"/>
    <n v="345.94728599533079"/>
  </r>
  <r>
    <s v="RAJIV GANDHI TPS1"/>
    <s v="Haryana"/>
    <s v="NR"/>
    <x v="1"/>
    <x v="2"/>
    <n v="10.17659137577"/>
    <n v="600"/>
    <n v="3.54"/>
    <n v="2124"/>
    <n v="2847.5201426165622"/>
    <n v="1708512.0855699372"/>
    <n v="6.0133050822696911E-2"/>
    <n v="36.079830493618147"/>
    <s v="Operational"/>
    <n v="0.28012452483425343"/>
    <n v="168.07471490055207"/>
  </r>
  <r>
    <s v="NORTH CHENNAI TPS5"/>
    <s v="Tamil Nadu"/>
    <s v="SR"/>
    <x v="1"/>
    <x v="1"/>
    <n v="7.1348391512662497"/>
    <n v="600"/>
    <n v="3.18"/>
    <n v="1908"/>
    <n v="2768.9859667153796"/>
    <n v="1661391.5800292278"/>
    <n v="7.8776329249988286E-2"/>
    <n v="47.265797549992975"/>
    <s v="Operational"/>
    <n v="0.56822519967561458"/>
    <n v="340.93511980536874"/>
  </r>
  <r>
    <s v="MUNDRA UMTPP5"/>
    <s v="Gujarat"/>
    <s v="WR"/>
    <x v="2"/>
    <x v="1"/>
    <n v="7.1759069130732298"/>
    <n v="800"/>
    <n v="1.74"/>
    <n v="1392"/>
    <n v="2754.7855541398958"/>
    <n v="2203828.4433119167"/>
    <n v="7.7721035120439194E-2"/>
    <n v="62.176828096351358"/>
    <s v="Operational"/>
    <n v="0.61322942875240105"/>
    <n v="490.58354300192082"/>
  </r>
  <r>
    <s v="MUNDRA UMTPP4"/>
    <s v="Gujarat"/>
    <s v="WR"/>
    <x v="2"/>
    <x v="1"/>
    <n v="7.3374401095140298"/>
    <n v="800"/>
    <n v="1.74"/>
    <n v="1392"/>
    <n v="2701.9346640107833"/>
    <n v="2161547.7312086266"/>
    <n v="7.7721035120439194E-2"/>
    <n v="62.176828096351358"/>
    <s v="Operational"/>
    <n v="0.77684044657018758"/>
    <n v="621.47235725615008"/>
  </r>
  <r>
    <s v="PAINAMPURAM TPP2"/>
    <s v="Andhra Pradesh"/>
    <s v="SR"/>
    <x v="2"/>
    <x v="0"/>
    <n v="4.6735112936344896"/>
    <n v="660"/>
    <n v="2.2000000000000002"/>
    <n v="1452.0000000000002"/>
    <n v="2674.6655586440984"/>
    <n v="1765279.2687051049"/>
    <n v="5.9223285155824042E-2"/>
    <n v="39.087368202843869"/>
    <s v="Operational"/>
    <n v="0.85934108065519565"/>
    <n v="567.16511323242912"/>
  </r>
  <r>
    <s v="MUNDRA UMTPP3"/>
    <s v="Gujarat"/>
    <s v="WR"/>
    <x v="2"/>
    <x v="1"/>
    <n v="7.5893223819301801"/>
    <n v="800"/>
    <n v="1.74"/>
    <n v="1392"/>
    <n v="2673.0743181129028"/>
    <n v="2138459.4544903222"/>
    <n v="7.7721035120439194E-2"/>
    <n v="62.176828096351358"/>
    <s v="Operational"/>
    <n v="0.86996671322596342"/>
    <n v="695.97337058077073"/>
  </r>
  <r>
    <s v="MUNDRA UMTPP2"/>
    <s v="Gujarat"/>
    <s v="WR"/>
    <x v="2"/>
    <x v="1"/>
    <n v="7.8412046543463303"/>
    <n v="800"/>
    <n v="1.74"/>
    <n v="1392"/>
    <n v="2685.0510001023376"/>
    <n v="2148040.8000818701"/>
    <n v="7.7721035120439194E-2"/>
    <n v="62.176828096351358"/>
    <s v="Operational"/>
    <n v="0.83955823793411988"/>
    <n v="671.64659034729596"/>
  </r>
  <r>
    <s v="PAINAMPURAM TPP1"/>
    <s v="Andhra Pradesh"/>
    <s v="SR"/>
    <x v="2"/>
    <x v="1"/>
    <n v="5.2539356605065004"/>
    <n v="660"/>
    <n v="2.2000000000000002"/>
    <n v="1452.0000000000002"/>
    <n v="2728.3184579976555"/>
    <n v="1800690.1822784527"/>
    <n v="5.9223285155824042E-2"/>
    <n v="39.087368202843869"/>
    <s v="Operational"/>
    <n v="0.71045289710269566"/>
    <n v="468.89891208777914"/>
  </r>
  <r>
    <s v="MUNDRA UMTPP1"/>
    <s v="Gujarat"/>
    <s v="WR"/>
    <x v="2"/>
    <x v="1"/>
    <n v="8.1752224503764506"/>
    <n v="800"/>
    <n v="1.74"/>
    <n v="1392"/>
    <n v="2706.0756449267574"/>
    <n v="2164860.5159414057"/>
    <n v="7.7721035120439194E-2"/>
    <n v="62.176828096351358"/>
    <s v="Operational"/>
    <n v="0.78367747912877606"/>
    <n v="626.94198330302083"/>
  </r>
  <r>
    <s v="STERLITE TPP1"/>
    <s v="Odisha"/>
    <s v="ER"/>
    <x v="2"/>
    <x v="2"/>
    <n v="10.17659137577"/>
    <n v="600"/>
    <n v="1.61"/>
    <n v="966.00000000000011"/>
    <n v="2953.1966725455877"/>
    <n v="1771918.0035273526"/>
    <n v="0.05"/>
    <n v="30"/>
    <s v="Operational"/>
    <n v="7.7964456391875691E-3"/>
    <n v="4.6778673835125417"/>
  </r>
  <r>
    <s v="AVANTHA BHANDAR1"/>
    <s v="Chhatisgarh"/>
    <s v="WR"/>
    <x v="2"/>
    <x v="1"/>
    <n v="6.1765913757700197"/>
    <n v="600"/>
    <n v="1.72"/>
    <n v="1032"/>
    <n v="2969.2442178823821"/>
    <n v="1781546.5307294293"/>
    <n v="5.5651687553528041E-2"/>
    <n v="33.391012532116825"/>
    <s v="Operational"/>
    <n v="1.0413626650081111E-2"/>
    <n v="6.2481759900486669"/>
  </r>
  <r>
    <s v="VIZAG TPS2"/>
    <s v="Andhra Pradesh"/>
    <s v="SR"/>
    <x v="2"/>
    <x v="0"/>
    <n v="4.1752224503764497"/>
    <n v="520"/>
    <n v="3.16"/>
    <n v="1643.2"/>
    <n v="2892.5067212890344"/>
    <n v="1504103.495070298"/>
    <n v="2.064213334024792E-2"/>
    <n v="10.733909336928919"/>
    <s v="Operational"/>
    <n v="0.26278925731706571"/>
    <n v="136.65041380487418"/>
  </r>
  <r>
    <s v="SAGARDIGHI TPS4"/>
    <s v="West Bengal"/>
    <s v="ER"/>
    <x v="1"/>
    <x v="0"/>
    <n v="3.4223134839151199"/>
    <n v="500"/>
    <n v="3"/>
    <n v="1500"/>
    <n v="2852.6070450229736"/>
    <n v="1426303.5225114869"/>
    <n v="9.5849721553511083E-2"/>
    <n v="47.924860776755544"/>
    <s v="Operational"/>
    <n v="0.38911284996262746"/>
    <n v="194.55642498131374"/>
  </r>
  <r>
    <s v="VIZAG TPS1"/>
    <s v="Andhra Pradesh"/>
    <s v="SR"/>
    <x v="2"/>
    <x v="0"/>
    <n v="4.4243668720054696"/>
    <n v="520"/>
    <n v="3.16"/>
    <n v="1643.2"/>
    <n v="2896.0381375072666"/>
    <n v="1505939.8315037787"/>
    <n v="2.064213334024792E-2"/>
    <n v="10.733909336928919"/>
    <s v="Operational"/>
    <n v="0.25786499577694472"/>
    <n v="134.08979780401125"/>
  </r>
  <r>
    <s v="UNCHAHAR STPS6"/>
    <s v="Uttar Pradesh"/>
    <s v="NR"/>
    <x v="0"/>
    <x v="0"/>
    <n v="3.1759069130732298"/>
    <n v="500"/>
    <n v="3.08"/>
    <n v="1540"/>
    <n v="2874.3914901616677"/>
    <n v="1437195.7450808338"/>
    <n v="0.10083552828968442"/>
    <n v="50.417764144842209"/>
    <s v="Operational"/>
    <n v="0.32482135029515419"/>
    <n v="162.41067514757708"/>
  </r>
  <r>
    <s v="MARWA TPS2"/>
    <s v="Chhatisgarh"/>
    <s v="WR"/>
    <x v="1"/>
    <x v="0"/>
    <n v="3.8412046543463298"/>
    <n v="500"/>
    <n v="1.29"/>
    <n v="645"/>
    <n v="2773.4261343599328"/>
    <n v="1386713.0671799665"/>
    <n v="6.1306523812621402E-2"/>
    <n v="30.6532619063107"/>
    <s v="Operational"/>
    <n v="0.63787644515363917"/>
    <n v="318.93822257681961"/>
  </r>
  <r>
    <s v="BOKARO A TPS1"/>
    <s v="Jharkhand"/>
    <s v="ER"/>
    <x v="0"/>
    <x v="0"/>
    <n v="4.1752224503764497"/>
    <n v="500"/>
    <n v="1.7365039962146149"/>
    <n v="868.25199810730749"/>
    <n v="2765.7891183057081"/>
    <n v="1382894.5591528541"/>
    <n v="6.4777032841771623E-2"/>
    <n v="32.388516420885814"/>
    <s v="Operational"/>
    <n v="0.66869912838633094"/>
    <n v="334.34956419316546"/>
  </r>
  <r>
    <s v="METTUR TPS EXT1"/>
    <s v="Tamil Nadu"/>
    <s v="SR"/>
    <x v="1"/>
    <x v="1"/>
    <n v="7.5893223819301801"/>
    <n v="600"/>
    <n v="3.64"/>
    <n v="2184"/>
    <n v="2807.3962435483236"/>
    <n v="1684437.746128994"/>
    <n v="0.08"/>
    <n v="48"/>
    <s v="Operational"/>
    <n v="0.54311209918967362"/>
    <n v="325.86725951380419"/>
  </r>
  <r>
    <s v="SAGARDIGHI TPS3"/>
    <s v="West Bengal"/>
    <s v="ER"/>
    <x v="1"/>
    <x v="0"/>
    <n v="4.4243668720054696"/>
    <n v="500"/>
    <n v="3"/>
    <n v="1500"/>
    <n v="2839.3979243691565"/>
    <n v="1419698.9621845782"/>
    <n v="9.5849721553511083E-2"/>
    <n v="47.924860776755544"/>
    <s v="Operational"/>
    <n v="0.45223191974697913"/>
    <n v="226.11595987348957"/>
  </r>
  <r>
    <s v="VINDHYACHAL STPS13"/>
    <s v="Madhya Pradesh"/>
    <s v="WR"/>
    <x v="0"/>
    <x v="0"/>
    <n v="4.7583846680355899"/>
    <n v="500"/>
    <n v="1.58"/>
    <n v="790"/>
    <n v="2688.7113925947556"/>
    <n v="1344355.6962973778"/>
    <n v="6.5179373950034494E-2"/>
    <n v="32.589686975017244"/>
    <s v="Operational"/>
    <n v="0.91534311374252497"/>
    <n v="457.67155687126251"/>
  </r>
  <r>
    <s v="CHANDRAPUR STPS9"/>
    <s v="Maharashtra"/>
    <s v="WR"/>
    <x v="1"/>
    <x v="0"/>
    <n v="4.1752224503764497"/>
    <n v="500"/>
    <n v="2.2400000000000002"/>
    <n v="1120"/>
    <n v="2749.4181928470903"/>
    <n v="1374709.0964235452"/>
    <n v="7.096074531932961E-2"/>
    <n v="35.480372659664802"/>
    <s v="Operational"/>
    <n v="0.74091905556438331"/>
    <n v="370.45952778219163"/>
  </r>
  <r>
    <s v="MAITHON RB TPP2"/>
    <s v="Jharkhand"/>
    <s v="ER"/>
    <x v="2"/>
    <x v="1"/>
    <n v="7.8412046543463303"/>
    <n v="525"/>
    <n v="2.46"/>
    <n v="1291.5"/>
    <n v="2739.5867187245922"/>
    <n v="1438283.0273304109"/>
    <n v="5.5111041599405448E-2"/>
    <n v="28.933296839687859"/>
    <s v="Operational"/>
    <n v="0.77495785027231356"/>
    <n v="406.85287139296463"/>
  </r>
  <r>
    <s v="CHANDRAPUR STPS8"/>
    <s v="Maharashtra"/>
    <s v="WR"/>
    <x v="1"/>
    <x v="1"/>
    <n v="5.1772758384667998"/>
    <n v="500"/>
    <n v="2.2400000000000002"/>
    <n v="1120"/>
    <n v="2766.2913900783165"/>
    <n v="1383145.6950391582"/>
    <n v="7.096074531932961E-2"/>
    <n v="35.480372659664802"/>
    <s v="Operational"/>
    <n v="0.71303710080381744"/>
    <n v="356.51855040190873"/>
  </r>
  <r>
    <s v="MAITHON RB TPP1"/>
    <s v="Jharkhand"/>
    <s v="ER"/>
    <x v="2"/>
    <x v="1"/>
    <n v="8.6735112936344905"/>
    <n v="525"/>
    <n v="2.46"/>
    <n v="1291.5"/>
    <n v="2763.0041103956951"/>
    <n v="1450577.1579577399"/>
    <n v="5.5111041599405448E-2"/>
    <n v="28.933296839687859"/>
    <s v="Operational"/>
    <n v="0.7233558897921627"/>
    <n v="379.76184214088539"/>
  </r>
  <r>
    <s v="MARWA TPS1"/>
    <s v="Chhatisgarh"/>
    <s v="WR"/>
    <x v="1"/>
    <x v="1"/>
    <n v="6.1765913757700197"/>
    <n v="500"/>
    <n v="1.29"/>
    <n v="645"/>
    <n v="2787.8536861166563"/>
    <n v="1393926.8430583281"/>
    <n v="6.1306523812621402E-2"/>
    <n v="30.6532619063107"/>
    <s v="Operational"/>
    <n v="0.64821024585261922"/>
    <n v="324.1051229263096"/>
  </r>
  <r>
    <s v="VALLUR TPP3"/>
    <s v="Tamil Nadu"/>
    <s v="SR"/>
    <x v="0"/>
    <x v="1"/>
    <n v="6.2532511978097096"/>
    <n v="500"/>
    <n v="3.4"/>
    <n v="1700"/>
    <n v="2861.6212345938616"/>
    <n v="1430810.6172969309"/>
    <n v="7.9840284877193357E-2"/>
    <n v="39.920142438596677"/>
    <s v="Operational"/>
    <n v="0.42683032446050334"/>
    <n v="213.41516223025167"/>
  </r>
  <r>
    <s v="RIHAND STPS6"/>
    <s v="Uttar Pradesh"/>
    <s v="NR"/>
    <x v="0"/>
    <x v="1"/>
    <n v="6.5900068446269602"/>
    <n v="500"/>
    <n v="1.37"/>
    <n v="685"/>
    <n v="2689.6628985969369"/>
    <n v="1344831.4492984684"/>
    <n v="6.6356788102148762E-2"/>
    <n v="33.178394051074378"/>
    <s v="Operational"/>
    <n v="0.95479927631229988"/>
    <n v="477.39963815614993"/>
  </r>
  <r>
    <s v="KORBA-WEST TPS5"/>
    <s v="Chhatisgarh"/>
    <s v="WR"/>
    <x v="1"/>
    <x v="1"/>
    <n v="6.8418891170431202"/>
    <n v="500"/>
    <n v="1.29"/>
    <n v="645"/>
    <n v="2719.8682061205"/>
    <n v="1359934.1030602499"/>
    <n v="6.0941992912102581E-2"/>
    <n v="30.470996456051292"/>
    <s v="Operational"/>
    <n v="0.86924798902071676"/>
    <n v="434.62399451035839"/>
  </r>
  <r>
    <s v="VINDHYACHAL STPS12"/>
    <s v="Madhya Pradesh"/>
    <s v="WR"/>
    <x v="0"/>
    <x v="1"/>
    <n v="7.1759069130732298"/>
    <n v="500"/>
    <n v="1.54"/>
    <n v="770"/>
    <n v="2699.2122217254682"/>
    <n v="1349606.110862734"/>
    <n v="6.5179373950034494E-2"/>
    <n v="32.589686975017244"/>
    <s v="Operational"/>
    <n v="0.93945392264185013"/>
    <n v="469.72696132092506"/>
  </r>
  <r>
    <s v="KODARMA TPS2"/>
    <s v="Jharkhand"/>
    <s v="ER"/>
    <x v="0"/>
    <x v="1"/>
    <n v="7.2525667351129304"/>
    <n v="500"/>
    <n v="2.23"/>
    <n v="1115"/>
    <n v="2787.8464441402375"/>
    <n v="1393923.2220701186"/>
    <n v="8.5199811693282709E-2"/>
    <n v="42.599905846641356"/>
    <s v="Operational"/>
    <n v="0.67310131779284421"/>
    <n v="336.55065889642208"/>
  </r>
  <r>
    <s v="VALLUR TPP2"/>
    <s v="Tamil Nadu"/>
    <s v="SR"/>
    <x v="0"/>
    <x v="1"/>
    <n v="7.2525667351129304"/>
    <n v="500"/>
    <n v="3.4"/>
    <n v="1700"/>
    <n v="2838.4253014931528"/>
    <n v="1419212.6507465765"/>
    <n v="7.9840284877193357E-2"/>
    <n v="39.920142438596677"/>
    <s v="Operational"/>
    <n v="0.52009688984232916"/>
    <n v="260.04844492116456"/>
  </r>
  <r>
    <s v="VINDHYACHAL STPS11"/>
    <s v="Madhya Pradesh"/>
    <s v="WR"/>
    <x v="0"/>
    <x v="1"/>
    <n v="7.9233401779603003"/>
    <n v="500"/>
    <n v="1.54"/>
    <n v="770"/>
    <n v="2712.8979182200824"/>
    <n v="1356448.9591100411"/>
    <n v="6.5179373950034494E-2"/>
    <n v="32.589686975017244"/>
    <s v="Operational"/>
    <n v="0.91532930144310842"/>
    <n v="457.66465072155421"/>
  </r>
  <r>
    <s v="RIHAND STPS5"/>
    <s v="Uttar Pradesh"/>
    <s v="NR"/>
    <x v="0"/>
    <x v="1"/>
    <n v="8.00821355236139"/>
    <n v="500"/>
    <n v="1.37"/>
    <n v="685"/>
    <n v="2718.1561867951741"/>
    <n v="1359078.0933975871"/>
    <n v="6.6356788102148762E-2"/>
    <n v="33.178394051074378"/>
    <s v="Operational"/>
    <n v="0.90138437696794171"/>
    <n v="450.69218848397088"/>
  </r>
  <r>
    <s v="MAUDA TPS2"/>
    <s v="Maharashtra"/>
    <s v="WR"/>
    <x v="0"/>
    <x v="1"/>
    <n v="7.1759069130732298"/>
    <n v="500"/>
    <n v="2.99"/>
    <n v="1495"/>
    <n v="2840.5493916397254"/>
    <n v="1420274.6958198627"/>
    <n v="7.3009693702312639E-2"/>
    <n v="36.504846851156323"/>
    <s v="Operational"/>
    <n v="0.53211521244945836"/>
    <n v="266.05760622472917"/>
  </r>
  <r>
    <s v="BELLARY TPS2"/>
    <s v="Karnataka"/>
    <s v="SR"/>
    <x v="1"/>
    <x v="1"/>
    <n v="8.1752224503764506"/>
    <n v="500"/>
    <n v="3.58"/>
    <n v="1790"/>
    <n v="2874.0519077067866"/>
    <n v="1437025.9538533932"/>
    <n v="6.6702414133670743E-2"/>
    <n v="33.351207066835372"/>
    <s v="Operational"/>
    <n v="0.43364948885004417"/>
    <n v="216.82474442502209"/>
  </r>
  <r>
    <s v="DURGAPUR STEEL TPS2"/>
    <s v="West Bengal"/>
    <s v="ER"/>
    <x v="0"/>
    <x v="1"/>
    <n v="8.1752224503764506"/>
    <n v="500"/>
    <n v="2.17"/>
    <n v="1085"/>
    <n v="2763.4419880899891"/>
    <n v="1381720.9940449945"/>
    <n v="5.4428108538354968E-2"/>
    <n v="27.214054269177485"/>
    <s v="Operational"/>
    <n v="0.76825189709612673"/>
    <n v="384.12594854806338"/>
  </r>
  <r>
    <s v="VALLUR TPP1"/>
    <s v="Tamil Nadu"/>
    <s v="SR"/>
    <x v="0"/>
    <x v="1"/>
    <n v="8.1752224503764506"/>
    <n v="500"/>
    <n v="3.4"/>
    <n v="1700"/>
    <n v="2844.9624159512978"/>
    <n v="1422481.2079756488"/>
    <n v="7.9840284877193357E-2"/>
    <n v="39.920142438596677"/>
    <s v="Operational"/>
    <n v="0.52164714791861588"/>
    <n v="260.82357395930796"/>
  </r>
  <r>
    <s v="SIMHADRI STPP4"/>
    <s v="Andhra Pradesh"/>
    <s v="SR"/>
    <x v="0"/>
    <x v="1"/>
    <n v="8.1752224503764506"/>
    <n v="500"/>
    <n v="2.96"/>
    <n v="1480"/>
    <n v="2795.3788720901389"/>
    <n v="1397689.4360450695"/>
    <n v="5.6962700163683135E-2"/>
    <n v="28.481350081841569"/>
    <s v="Operational"/>
    <n v="0.6826857415058466"/>
    <n v="341.34287075292332"/>
  </r>
  <r>
    <s v="DURGAPUR STEEL TPS1"/>
    <s v="West Bengal"/>
    <s v="ER"/>
    <x v="0"/>
    <x v="1"/>
    <n v="8.8432580424366805"/>
    <n v="500"/>
    <n v="2.17"/>
    <n v="1085"/>
    <n v="2791.8751246593433"/>
    <n v="1395937.5623296716"/>
    <n v="5.4428108538354968E-2"/>
    <n v="27.214054269177485"/>
    <s v="Operational"/>
    <n v="0.69768015366868497"/>
    <n v="348.84007683434248"/>
  </r>
  <r>
    <s v="KODARMA TPS1"/>
    <s v="Jharkhand"/>
    <s v="ER"/>
    <x v="0"/>
    <x v="1"/>
    <n v="8.8432580424366805"/>
    <n v="500"/>
    <n v="2.23"/>
    <n v="1115"/>
    <n v="2757.5814765104346"/>
    <n v="1378790.7382552172"/>
    <n v="8.5199811693282709E-2"/>
    <n v="42.599905846641356"/>
    <s v="Operational"/>
    <n v="0.80142073406077252"/>
    <n v="400.71036703038624"/>
  </r>
  <r>
    <s v="INDIRA GANDHI STPP3"/>
    <s v="Haryana"/>
    <s v="NR"/>
    <x v="0"/>
    <x v="1"/>
    <n v="7.5044490075290797"/>
    <n v="500"/>
    <n v="3.4"/>
    <n v="1700"/>
    <n v="2846.6856845857533"/>
    <n v="1423342.8422928767"/>
    <n v="6.5600274643046297E-2"/>
    <n v="32.800137321523145"/>
    <s v="Operational"/>
    <n v="0.53257943464519586"/>
    <n v="266.28971732259794"/>
  </r>
  <r>
    <s v="KOTHAGUDEM NEW TPS11"/>
    <s v="Telangana"/>
    <s v="SR"/>
    <x v="1"/>
    <x v="1"/>
    <n v="8.9253935660506496"/>
    <n v="500"/>
    <n v="3.04"/>
    <n v="1520"/>
    <n v="2745.1159198544069"/>
    <n v="1372557.9599272034"/>
    <n v="7.0000000000000007E-2"/>
    <n v="35"/>
    <s v="Operational"/>
    <n v="0.84102828657355833"/>
    <n v="420.51414328677919"/>
  </r>
  <r>
    <s v="MAUDA TPS1"/>
    <s v="Maharashtra"/>
    <s v="WR"/>
    <x v="0"/>
    <x v="1"/>
    <n v="8.0903490759753591"/>
    <n v="500"/>
    <n v="2.99"/>
    <n v="1495"/>
    <n v="2819.1907276673173"/>
    <n v="1409595.3638336586"/>
    <n v="7.3009693702312639E-2"/>
    <n v="36.504846851156323"/>
    <s v="Operational"/>
    <n v="0.61786222595947249"/>
    <n v="308.93111297973627"/>
  </r>
  <r>
    <s v="MEJIA TPS8"/>
    <s v="West Bengal"/>
    <s v="ER"/>
    <x v="0"/>
    <x v="1"/>
    <n v="9.1772758384667998"/>
    <n v="500"/>
    <n v="2.59"/>
    <n v="1295"/>
    <n v="2833.4214076223343"/>
    <n v="1416710.703811167"/>
    <n v="8.3678646324733194E-2"/>
    <n v="41.839323162366597"/>
    <s v="Operational"/>
    <n v="0.57972006629941497"/>
    <n v="289.86003314970748"/>
  </r>
  <r>
    <s v="BHUSAWAL TPS4"/>
    <s v="Maharashtra"/>
    <s v="WR"/>
    <x v="1"/>
    <x v="1"/>
    <n v="8.1752224503764506"/>
    <n v="500"/>
    <n v="2.73"/>
    <n v="1365"/>
    <n v="2797.9330838110654"/>
    <n v="1398966.5419055328"/>
    <n v="6.8124170867604139E-2"/>
    <n v="34.062085433802068"/>
    <s v="Operational"/>
    <n v="0.69021110993402424"/>
    <n v="345.1055549670121"/>
  </r>
  <r>
    <s v="BHUSAWAL TPS5"/>
    <s v="Maharashtra"/>
    <s v="WR"/>
    <x v="1"/>
    <x v="1"/>
    <n v="8.1752224503764506"/>
    <n v="500"/>
    <n v="2.73"/>
    <n v="1365"/>
    <n v="2795.6878246182259"/>
    <n v="1397843.912309113"/>
    <n v="6.8124170867604139E-2"/>
    <n v="34.062085433802068"/>
    <s v="Operational"/>
    <n v="0.69700316923271577"/>
    <n v="348.50158461635789"/>
  </r>
  <r>
    <s v="KHAPARKHEDA TPS5"/>
    <s v="Maharashtra"/>
    <s v="WR"/>
    <x v="1"/>
    <x v="1"/>
    <n v="8.7583846680355908"/>
    <n v="500"/>
    <n v="2.35"/>
    <n v="1175"/>
    <n v="2792.1344813463502"/>
    <n v="1396067.2406731751"/>
    <n v="8.9781177379789912E-2"/>
    <n v="44.890588689894955"/>
    <s v="Operational"/>
    <n v="0.71149685198427415"/>
    <n v="355.74842599213707"/>
  </r>
  <r>
    <s v="FARAKKA STPS6"/>
    <s v="West Bengal"/>
    <s v="ER"/>
    <x v="0"/>
    <x v="1"/>
    <n v="9.1772758384667998"/>
    <n v="500"/>
    <n v="2.54"/>
    <n v="1270"/>
    <n v="2787.9764411893266"/>
    <n v="1393988.2205946632"/>
    <n v="7.0380830688675913E-2"/>
    <n v="35.190415344337957"/>
    <s v="Operational"/>
    <n v="0.72470492507842332"/>
    <n v="362.35246253921167"/>
  </r>
  <r>
    <s v="KORBA STPS7"/>
    <s v="Chhatisgarh"/>
    <s v="WR"/>
    <x v="0"/>
    <x v="1"/>
    <n v="9.5058179329226498"/>
    <n v="500"/>
    <n v="1.28"/>
    <n v="640"/>
    <n v="2728.1590513272954"/>
    <n v="1364079.5256636478"/>
    <n v="6.2610933454142856E-2"/>
    <n v="31.305466727071426"/>
    <s v="Operational"/>
    <n v="0.90573937567599172"/>
    <n v="452.86968783799585"/>
  </r>
  <r>
    <s v="SIMHADRI STPP3"/>
    <s v="Andhra Pradesh"/>
    <s v="SR"/>
    <x v="0"/>
    <x v="1"/>
    <n v="9.1772758384667998"/>
    <n v="500"/>
    <n v="2.96"/>
    <n v="1480"/>
    <n v="2815.5860790246134"/>
    <n v="1407793.0395123067"/>
    <n v="5.6962700163683135E-2"/>
    <n v="28.481350081841569"/>
    <s v="Operational"/>
    <n v="0.64471818429942662"/>
    <n v="322.35909214971332"/>
  </r>
  <r>
    <s v="MEJIA TPS7"/>
    <s v="West Bengal"/>
    <s v="ER"/>
    <x v="0"/>
    <x v="1"/>
    <n v="9.6728268309377103"/>
    <n v="500"/>
    <n v="2.59"/>
    <n v="1295"/>
    <n v="2814.3032679315943"/>
    <n v="1407151.6339657973"/>
    <n v="8.3678646324733194E-2"/>
    <n v="41.839323162366597"/>
    <s v="Operational"/>
    <n v="0.64900745547336824"/>
    <n v="324.50372773668414"/>
  </r>
  <r>
    <s v="INDIRA GANDHI STPP2"/>
    <s v="Haryana"/>
    <s v="NR"/>
    <x v="0"/>
    <x v="1"/>
    <n v="8.5065023956194299"/>
    <n v="500"/>
    <n v="3.4"/>
    <n v="1700"/>
    <n v="2885.4483397589597"/>
    <n v="1442724.1698794798"/>
    <n v="6.5600274643046297E-2"/>
    <n v="32.800137321523145"/>
    <s v="Operational"/>
    <n v="0.43848040488844081"/>
    <n v="219.24020244422042"/>
  </r>
  <r>
    <s v="KAKATIYA TPS1"/>
    <s v="Telangana"/>
    <s v="SR"/>
    <x v="1"/>
    <x v="1"/>
    <n v="10.009582477754901"/>
    <n v="500"/>
    <n v="3.06"/>
    <n v="1530"/>
    <n v="2766.4674479647924"/>
    <n v="1383233.7239823963"/>
    <n v="5.7626698395538668E-2"/>
    <n v="28.813349197769334"/>
    <s v="Operational"/>
    <n v="0.80149749074040832"/>
    <n v="400.74874537020418"/>
  </r>
  <r>
    <s v="NTPL TUTICORIN (JV) TPP2"/>
    <s v="Tamil Nadu"/>
    <s v="SR"/>
    <x v="0"/>
    <x v="0"/>
    <n v="4.8432580424366796"/>
    <n v="500"/>
    <n v="3.18"/>
    <n v="1590"/>
    <n v="2876.1434936860082"/>
    <n v="1438071.7468430041"/>
    <n v="7.0217798966479852E-2"/>
    <n v="35.108899483239924"/>
    <s v="Operational"/>
    <n v="0.47051765251485494"/>
    <n v="235.25882625742747"/>
  </r>
  <r>
    <s v="UKAI TPS6"/>
    <s v="Gujarat"/>
    <s v="WR"/>
    <x v="1"/>
    <x v="1"/>
    <n v="7.1759069130732298"/>
    <n v="500"/>
    <n v="3.16"/>
    <n v="1580"/>
    <n v="2796.0690294981723"/>
    <n v="1398034.5147490862"/>
    <n v="8.0187863271519652E-2"/>
    <n v="40.093931635759823"/>
    <s v="Operational"/>
    <n v="0.71309917780484999"/>
    <n v="356.549588902425"/>
  </r>
  <r>
    <s v="NTPL TUTICORIN (JV) TPP1"/>
    <s v="Tamil Nadu"/>
    <s v="SR"/>
    <x v="0"/>
    <x v="1"/>
    <n v="5.1772758384667998"/>
    <n v="500"/>
    <n v="3.18"/>
    <n v="1590"/>
    <n v="2808.2636435505624"/>
    <n v="1404131.8217752811"/>
    <n v="7.0217798966479852E-2"/>
    <n v="35.108899483239924"/>
    <s v="Operational"/>
    <n v="0.68357893996116748"/>
    <n v="341.78946998058376"/>
  </r>
  <r>
    <s v="INDIRA GANDHI STPP1"/>
    <s v="Haryana"/>
    <s v="NR"/>
    <x v="0"/>
    <x v="1"/>
    <n v="9.5906913073237501"/>
    <n v="500"/>
    <n v="3.4"/>
    <n v="1700"/>
    <n v="2895.8739903826481"/>
    <n v="1447936.995191324"/>
    <n v="6.5600274643046297E-2"/>
    <n v="32.800137321523145"/>
    <s v="Operational"/>
    <n v="0.43200111955196252"/>
    <n v="216.00055977598126"/>
  </r>
  <r>
    <s v="DADRI (NCTPP)6"/>
    <s v="Uttar Pradesh"/>
    <s v="NR"/>
    <x v="0"/>
    <x v="1"/>
    <n v="9.8425735797399003"/>
    <n v="490"/>
    <n v="3.48"/>
    <n v="1705.2"/>
    <n v="2849.7475910020685"/>
    <n v="1396376.3195910135"/>
    <n v="6.6665772632952203E-2"/>
    <n v="32.666228590146581"/>
    <s v="Operational"/>
    <n v="0.58915024241150082"/>
    <n v="288.6836187816354"/>
  </r>
  <r>
    <s v="DR. N TATA RAO TPS7"/>
    <s v="Andhra Pradesh"/>
    <s v="SR"/>
    <x v="1"/>
    <x v="2"/>
    <n v="10.590006844626901"/>
    <n v="500"/>
    <n v="2.77"/>
    <n v="1385"/>
    <n v="2797.9268813410122"/>
    <n v="1398963.4406705061"/>
    <n v="8.8971276393347468E-2"/>
    <n v="44.485638196673733"/>
    <s v="Operational"/>
    <n v="0.71974602683359246"/>
    <n v="359.87301341679625"/>
  </r>
  <r>
    <s v="KAHALGAON TPS7"/>
    <s v="Bihar"/>
    <s v="ER"/>
    <x v="0"/>
    <x v="2"/>
    <n v="10.841889117043101"/>
    <n v="500"/>
    <n v="2.31"/>
    <n v="1155"/>
    <n v="2767.521325820082"/>
    <n v="1383760.6629100409"/>
    <n v="7.2417181230320551E-2"/>
    <n v="36.208590615160276"/>
    <s v="Operational"/>
    <n v="0.8175466559959943"/>
    <n v="408.77332799799717"/>
  </r>
  <r>
    <s v="SEMBCORP GAYATRI P. LTD2"/>
    <s v="Andhra Pradesh"/>
    <s v="SR"/>
    <x v="2"/>
    <x v="0"/>
    <n v="3.1649555099247002"/>
    <n v="660"/>
    <n v="2.4836542648497839"/>
    <n v="1639.2118148008574"/>
    <n v="2792.1770059313139"/>
    <n v="1842836.8239146671"/>
    <n v="6.2368964750631896E-2"/>
    <n v="41.163516735417055"/>
    <s v="Operational"/>
    <n v="0.79947265746568186"/>
    <n v="527.65195392735006"/>
  </r>
  <r>
    <s v="SIPAT STPS5"/>
    <s v="Chhatisgarh"/>
    <s v="WR"/>
    <x v="0"/>
    <x v="2"/>
    <n v="11.337440109514"/>
    <n v="500"/>
    <n v="1.39"/>
    <n v="695"/>
    <n v="2750.7265844453291"/>
    <n v="1375363.2922226645"/>
    <n v="5.4595359838897593E-2"/>
    <n v="27.297679919448797"/>
    <s v="Operational"/>
    <n v="0.88183905426009168"/>
    <n v="440.91952713004582"/>
  </r>
  <r>
    <s v="SEMBCORP GAYATRI P. LTD1"/>
    <s v="Andhra Pradesh"/>
    <s v="SR"/>
    <x v="2"/>
    <x v="0"/>
    <n v="3.5044490075290802"/>
    <n v="660"/>
    <n v="2.4893672071791673"/>
    <n v="1642.9823567382505"/>
    <n v="2796.1531336521593"/>
    <n v="1845461.0682104251"/>
    <n v="6.2368964750631896E-2"/>
    <n v="41.163516735417055"/>
    <s v="Operational"/>
    <n v="0.79529136432477909"/>
    <n v="524.8923004543542"/>
  </r>
  <r>
    <s v="SIPAT STPS4"/>
    <s v="Chhatisgarh"/>
    <s v="WR"/>
    <x v="0"/>
    <x v="2"/>
    <n v="11.9233401779603"/>
    <n v="500"/>
    <n v="1.39"/>
    <n v="695"/>
    <n v="2757.6022659797218"/>
    <n v="1378801.1329898608"/>
    <n v="5.4595359838897593E-2"/>
    <n v="27.297679919448797"/>
    <s v="Operational"/>
    <n v="0.87458164531725002"/>
    <n v="437.29082265862502"/>
  </r>
  <r>
    <s v="KAHALGAON TPS6"/>
    <s v="Bihar"/>
    <s v="ER"/>
    <x v="0"/>
    <x v="2"/>
    <n v="12.175222450376401"/>
    <n v="500"/>
    <n v="2.31"/>
    <n v="1155"/>
    <n v="2796.197415208258"/>
    <n v="1398098.7076041291"/>
    <n v="7.2417181230320551E-2"/>
    <n v="36.208590615160276"/>
    <s v="Operational"/>
    <n v="0.76161708100122993"/>
    <n v="380.80854050061498"/>
  </r>
  <r>
    <s v="DADRI (NCTPP)5"/>
    <s v="Uttar Pradesh"/>
    <s v="NR"/>
    <x v="0"/>
    <x v="2"/>
    <n v="10.3381245722108"/>
    <n v="490"/>
    <n v="3.48"/>
    <n v="1705.2"/>
    <n v="2832.7938463834034"/>
    <n v="1388068.9847278676"/>
    <n v="6.6665772632952203E-2"/>
    <n v="32.666228590146581"/>
    <s v="Operational"/>
    <n v="0.65189019166305606"/>
    <n v="319.42619391489745"/>
  </r>
  <r>
    <s v="BELLARY TPS1"/>
    <s v="Karnataka"/>
    <s v="SR"/>
    <x v="1"/>
    <x v="2"/>
    <n v="12.4243668720054"/>
    <n v="500"/>
    <n v="3.87"/>
    <n v="1935"/>
    <n v="2940.9816386161829"/>
    <n v="1470490.8193080914"/>
    <n v="6.6702414133670743E-2"/>
    <n v="33.351207066835372"/>
    <s v="Operational"/>
    <n v="0.32939362585412335"/>
    <n v="164.69681292706167"/>
  </r>
  <r>
    <s v="SANJAY GANDHI TPS5"/>
    <s v="Madhya Pradesh"/>
    <s v="WR"/>
    <x v="1"/>
    <x v="2"/>
    <n v="12.9253935660506"/>
    <n v="500"/>
    <n v="2.0299999999999998"/>
    <n v="1014.9999999999999"/>
    <n v="2791.6298654696725"/>
    <n v="1395814.9327348364"/>
    <n v="8.2584159496713896E-2"/>
    <n v="41.292079748356947"/>
    <s v="Operational"/>
    <n v="0.7927730313811342"/>
    <n v="396.38651569056708"/>
  </r>
  <r>
    <s v="KAHALGAON TPS5"/>
    <s v="Bihar"/>
    <s v="ER"/>
    <x v="0"/>
    <x v="2"/>
    <n v="13.1772758384668"/>
    <n v="500"/>
    <n v="2.31"/>
    <n v="1155"/>
    <n v="2782.1708198111751"/>
    <n v="1391085.4099055876"/>
    <n v="7.2417181230320551E-2"/>
    <n v="36.208590615160276"/>
    <s v="Operational"/>
    <n v="0.82720906658485915"/>
    <n v="413.60453329242955"/>
  </r>
  <r>
    <s v="VINDHYACHAL STPS10"/>
    <s v="Madhya Pradesh"/>
    <s v="WR"/>
    <x v="0"/>
    <x v="2"/>
    <n v="13.1772758384668"/>
    <n v="500"/>
    <n v="1.55"/>
    <n v="775"/>
    <n v="2755.5998504715199"/>
    <n v="1377799.9252357599"/>
    <n v="6.5179373950034494E-2"/>
    <n v="32.589686975017244"/>
    <s v="Operational"/>
    <n v="0.90758802681991668"/>
    <n v="453.79401340995832"/>
  </r>
  <r>
    <s v="VINDHYACHAL STPS9"/>
    <s v="Madhya Pradesh"/>
    <s v="WR"/>
    <x v="0"/>
    <x v="2"/>
    <n v="13.8425735797399"/>
    <n v="500"/>
    <n v="1.55"/>
    <n v="775"/>
    <n v="2765.0499248264296"/>
    <n v="1382524.9624132148"/>
    <n v="6.5179373950034494E-2"/>
    <n v="32.589686975017244"/>
    <s v="Operational"/>
    <n v="0.89437803651617498"/>
    <n v="447.18901825808751"/>
  </r>
  <r>
    <s v="RIHAND STPS4"/>
    <s v="Uttar Pradesh"/>
    <s v="NR"/>
    <x v="0"/>
    <x v="2"/>
    <n v="14.6721423682409"/>
    <n v="500"/>
    <n v="1.36"/>
    <n v="680"/>
    <n v="2796.1820123850912"/>
    <n v="1398091.0061925456"/>
    <n v="6.6356788102148762E-2"/>
    <n v="33.178394051074378"/>
    <s v="Operational"/>
    <n v="0.81937532443455663"/>
    <n v="409.68766221727833"/>
  </r>
  <r>
    <s v="MUNDRA TPS8"/>
    <s v="Gujarat"/>
    <s v="WR"/>
    <x v="2"/>
    <x v="1"/>
    <n v="8.1752224503764506"/>
    <n v="660"/>
    <n v="2.48"/>
    <n v="1636.8"/>
    <n v="2849.8672298559504"/>
    <n v="1880912.3717049272"/>
    <n v="7.3165418961100362E-2"/>
    <n v="48.289176514326236"/>
    <s v="Operational"/>
    <n v="0.74075884940787873"/>
    <n v="488.90084060919997"/>
  </r>
  <r>
    <s v="MUNDRA TPS9"/>
    <s v="Gujarat"/>
    <s v="WR"/>
    <x v="2"/>
    <x v="1"/>
    <n v="8.1752224503764506"/>
    <n v="660"/>
    <n v="2.48"/>
    <n v="1636.8"/>
    <n v="2884.8918273221543"/>
    <n v="1904028.6060326218"/>
    <n v="7.3165418961100362E-2"/>
    <n v="48.289176514326236"/>
    <s v="Operational"/>
    <n v="0.63480709841988003"/>
    <n v="418.9726849571208"/>
  </r>
  <r>
    <s v="MUNDRA TPS7"/>
    <s v="Gujarat"/>
    <s v="WR"/>
    <x v="2"/>
    <x v="1"/>
    <n v="8.5065023956194299"/>
    <n v="660"/>
    <n v="2.48"/>
    <n v="1636.8"/>
    <n v="2878.2985303750111"/>
    <n v="1899677.0300475073"/>
    <n v="7.3165418961100362E-2"/>
    <n v="48.289176514326236"/>
    <s v="Operational"/>
    <n v="0.66240918119699499"/>
    <n v="437.19005959001669"/>
  </r>
  <r>
    <s v="MUNDRA TPS6"/>
    <s v="Gujarat"/>
    <s v="WR"/>
    <x v="2"/>
    <x v="1"/>
    <n v="8.8432580424366805"/>
    <n v="660"/>
    <n v="2.13"/>
    <n v="1405.8"/>
    <n v="2966.8386423346519"/>
    <n v="1958113.5039408703"/>
    <n v="7.3165418961100362E-2"/>
    <n v="48.289176514326236"/>
    <s v="Operational"/>
    <n v="0.40235289686195769"/>
    <n v="265.55291192889206"/>
  </r>
  <r>
    <s v="MUNDRA TPS5"/>
    <s v="Gujarat"/>
    <s v="WR"/>
    <x v="2"/>
    <x v="1"/>
    <n v="9.4236824093086895"/>
    <n v="660"/>
    <n v="2.13"/>
    <n v="1405.8"/>
    <n v="2942.0068824405389"/>
    <n v="1941724.5424107558"/>
    <n v="7.3165418961100362E-2"/>
    <n v="48.289176514326236"/>
    <s v="Operational"/>
    <n v="0.49088605929383272"/>
    <n v="323.98479913392958"/>
  </r>
  <r>
    <s v="RIHAND STPS3"/>
    <s v="Uttar Pradesh"/>
    <s v="NR"/>
    <x v="0"/>
    <x v="3"/>
    <n v="15.337440109514"/>
    <n v="500"/>
    <n v="1.36"/>
    <n v="680"/>
    <n v="2768.9616561650082"/>
    <n v="1384480.8280825042"/>
    <n v="6.6356788102148762E-2"/>
    <n v="33.178394051074378"/>
    <s v="Operational"/>
    <n v="0.91709584040296677"/>
    <n v="458.54792020148341"/>
  </r>
  <r>
    <s v="RAMAGUNDEM STPS7"/>
    <s v="Telangana"/>
    <s v="SR"/>
    <x v="0"/>
    <x v="3"/>
    <n v="15.6714579055441"/>
    <n v="500"/>
    <n v="2.48"/>
    <n v="1240"/>
    <n v="2796.6787992317777"/>
    <n v="1398339.3996158889"/>
    <n v="6.1716058959159902E-2"/>
    <n v="30.858029479579951"/>
    <s v="Operational"/>
    <n v="0.84096982658947494"/>
    <n v="420.48491329473745"/>
  </r>
  <r>
    <s v="TALCHER STPS6"/>
    <s v="Odisha"/>
    <s v="ER"/>
    <x v="0"/>
    <x v="3"/>
    <n v="15.2525667351129"/>
    <n v="500"/>
    <n v="1.71"/>
    <n v="855"/>
    <n v="2798.6559284800851"/>
    <n v="1399327.9642400425"/>
    <n v="6.4093993789743203E-2"/>
    <n v="32.046996894871604"/>
    <s v="Operational"/>
    <n v="0.84126735077402492"/>
    <n v="420.63367538701249"/>
  </r>
  <r>
    <s v="TALCHER STPS5"/>
    <s v="Odisha"/>
    <s v="ER"/>
    <x v="0"/>
    <x v="3"/>
    <n v="16.008213552361301"/>
    <n v="500"/>
    <n v="1.71"/>
    <n v="855"/>
    <n v="2816.7010645202809"/>
    <n v="1408350.5322601404"/>
    <n v="6.4093993789743203E-2"/>
    <n v="32.046996894871604"/>
    <s v="Operational"/>
    <n v="0.80414497419047259"/>
    <n v="402.07248709523628"/>
  </r>
  <r>
    <s v="UCHPINDA TPP3"/>
    <s v="Chhatisgarh"/>
    <s v="WR"/>
    <x v="2"/>
    <x v="0"/>
    <n v="4.33949349760438"/>
    <n v="360"/>
    <n v="2.9952674821979093"/>
    <n v="1078.2962935912474"/>
    <n v="3078.3184982947009"/>
    <n v="1108194.6593860923"/>
    <n v="0.1"/>
    <n v="36"/>
    <s v="Operational"/>
    <n v="0.11913419661181829"/>
    <n v="42.888310780254585"/>
  </r>
  <r>
    <s v="ITPCL TPP2"/>
    <s v="Tamil Nadu"/>
    <s v="SR"/>
    <x v="2"/>
    <x v="0"/>
    <n v="4.0903490759753502"/>
    <n v="600"/>
    <n v="4.0199999999999996"/>
    <n v="2411.9999999999995"/>
    <n v="2915.0344176230437"/>
    <n v="1749020.6505738262"/>
    <n v="7.3246042254860019E-2"/>
    <n v="43.947625352916013"/>
    <s v="Operational"/>
    <n v="0.61723545739877494"/>
    <n v="370.34127443926496"/>
  </r>
  <r>
    <s v="UCHPINDA TPP1"/>
    <s v="Chhatisgarh"/>
    <s v="WR"/>
    <x v="2"/>
    <x v="0"/>
    <n v="4.5913757700205302"/>
    <n v="360"/>
    <n v="1.75"/>
    <n v="630"/>
    <n v="3040.8506900169637"/>
    <n v="1094706.2484061068"/>
    <n v="0.1"/>
    <n v="36"/>
    <s v="Operational"/>
    <n v="0.23829861293053242"/>
    <n v="85.787500654991675"/>
  </r>
  <r>
    <s v="TALCHER STPS4"/>
    <s v="Odisha"/>
    <s v="ER"/>
    <x v="0"/>
    <x v="3"/>
    <n v="16.591375770020498"/>
    <n v="500"/>
    <n v="1.71"/>
    <n v="855"/>
    <n v="2817.7594297930041"/>
    <n v="1408879.714896502"/>
    <n v="6.4093993789743203E-2"/>
    <n v="32.046996894871604"/>
    <s v="Operational"/>
    <n v="0.81442205588513916"/>
    <n v="407.21102794256956"/>
  </r>
  <r>
    <s v="MUTHIARA TPP2"/>
    <s v="Tamil Nadu"/>
    <s v="SR"/>
    <x v="2"/>
    <x v="0"/>
    <n v="4.33949349760438"/>
    <n v="600"/>
    <n v="3.03"/>
    <n v="1817.9999999999998"/>
    <n v="3009.053306827368"/>
    <n v="1805431.9840964209"/>
    <n v="7.2208785753758192E-2"/>
    <n v="43.325271452254917"/>
    <s v="Operational"/>
    <n v="0.33858053515350761"/>
    <n v="203.14832109210457"/>
  </r>
  <r>
    <s v="UCHPINDA TPP2"/>
    <s v="Chhatisgarh"/>
    <s v="WR"/>
    <x v="2"/>
    <x v="0"/>
    <n v="4.8240930869267604"/>
    <n v="360"/>
    <n v="1.75"/>
    <n v="630"/>
    <n v="3032.5832798883675"/>
    <n v="1091729.9807598123"/>
    <n v="0.1"/>
    <n v="36"/>
    <s v="Operational"/>
    <n v="0.26868690870148498"/>
    <n v="96.727287132534599"/>
  </r>
  <r>
    <s v="ITPCL TPP1"/>
    <s v="Tamil Nadu"/>
    <s v="SR"/>
    <x v="2"/>
    <x v="0"/>
    <n v="4.6735112936344896"/>
    <n v="600"/>
    <n v="2.87"/>
    <n v="1722"/>
    <n v="2927.0387415056739"/>
    <n v="1756223.2449034043"/>
    <n v="7.3246042254860019E-2"/>
    <n v="43.947625352916013"/>
    <s v="Operational"/>
    <n v="0.594400281855339"/>
    <n v="356.6401691132034"/>
  </r>
  <r>
    <s v="TALCHER STPS3"/>
    <s v="Odisha"/>
    <s v="ER"/>
    <x v="0"/>
    <x v="3"/>
    <n v="17.2539356605065"/>
    <n v="500"/>
    <n v="1.71"/>
    <n v="855"/>
    <n v="2831.1009191714365"/>
    <n v="1415550.4595857183"/>
    <n v="6.4093993789743203E-2"/>
    <n v="32.046996894871604"/>
    <s v="Operational"/>
    <n v="0.78937699442649334"/>
    <n v="394.68849721324665"/>
  </r>
  <r>
    <s v="SIMHADRI STPP2"/>
    <s v="Andhra Pradesh"/>
    <s v="SR"/>
    <x v="0"/>
    <x v="3"/>
    <n v="17.7577002053388"/>
    <n v="500"/>
    <n v="2.97"/>
    <n v="1485"/>
    <n v="2869.0277989870551"/>
    <n v="1434513.8994935276"/>
    <n v="5.6962700163683135E-2"/>
    <n v="28.481350081841569"/>
    <s v="Operational"/>
    <n v="0.68137391803650083"/>
    <n v="340.68695901825043"/>
  </r>
  <r>
    <s v="MUTHIARA TPP1"/>
    <s v="Tamil Nadu"/>
    <s v="SR"/>
    <x v="2"/>
    <x v="1"/>
    <n v="5.4236824093086904"/>
    <n v="600"/>
    <n v="3.03"/>
    <n v="1817.9999999999998"/>
    <n v="3018.6751599509935"/>
    <n v="1811205.0959705962"/>
    <n v="7.2208785753758192E-2"/>
    <n v="43.325271452254917"/>
    <s v="Operational"/>
    <n v="0.33453279104041322"/>
    <n v="200.71967462424794"/>
  </r>
  <r>
    <s v="SIMHADRI STPP1"/>
    <s v="Andhra Pradesh"/>
    <s v="SR"/>
    <x v="0"/>
    <x v="3"/>
    <n v="18.2532511978097"/>
    <n v="500"/>
    <n v="2.97"/>
    <n v="1485"/>
    <n v="2884.3518786155264"/>
    <n v="1442175.9393077632"/>
    <n v="5.6962700163683135E-2"/>
    <n v="28.481350081841569"/>
    <s v="Operational"/>
    <n v="0.64647128908663909"/>
    <n v="323.23564454331955"/>
  </r>
  <r>
    <s v="SALAYA TPP2"/>
    <s v="Gujarat"/>
    <s v="WR"/>
    <x v="2"/>
    <x v="1"/>
    <n v="7.9233401779603003"/>
    <n v="600"/>
    <n v="2.1800000000000002"/>
    <n v="1308"/>
    <n v="3096.4924808207716"/>
    <n v="1857895.488492463"/>
    <n v="5.2816503866712272E-2"/>
    <n v="31.689902320027365"/>
    <s v="Operational"/>
    <n v="0.15690511748307431"/>
    <n v="94.14307048984459"/>
  </r>
  <r>
    <s v="UDUPI TPP1"/>
    <s v="Karnataka"/>
    <s v="SR"/>
    <x v="2"/>
    <x v="1"/>
    <n v="8.1752224503764506"/>
    <n v="600"/>
    <n v="3.49"/>
    <n v="2094"/>
    <n v="3012.961027737012"/>
    <n v="1807776.6166422071"/>
    <n v="6.0725940133071567E-2"/>
    <n v="36.435564079842941"/>
    <s v="Operational"/>
    <n v="0.41541514166485133"/>
    <n v="249.2490849989108"/>
  </r>
  <r>
    <s v="UDUPI TPP2"/>
    <s v="Karnataka"/>
    <s v="SR"/>
    <x v="2"/>
    <x v="1"/>
    <n v="8.1752224503764506"/>
    <n v="600"/>
    <n v="3.49"/>
    <n v="2094"/>
    <n v="2997.3220120104743"/>
    <n v="1798393.2072062846"/>
    <n v="6.0725940133071567E-2"/>
    <n v="36.435564079842941"/>
    <s v="Operational"/>
    <n v="0.46272421071423614"/>
    <n v="277.63452642854168"/>
  </r>
  <r>
    <s v="KAMALANGA TPS3"/>
    <s v="Odisha"/>
    <s v="ER"/>
    <x v="2"/>
    <x v="1"/>
    <n v="6.1765913757700197"/>
    <n v="350"/>
    <n v="1.42"/>
    <n v="497"/>
    <n v="2930.5576839077607"/>
    <n v="1025695.1893677163"/>
    <n v="7.5971148628802138E-2"/>
    <n v="26.58990202008075"/>
    <s v="Operational"/>
    <n v="0.6679024307439666"/>
    <n v="233.7658507603883"/>
  </r>
  <r>
    <s v="SALAYA TPP1"/>
    <s v="Gujarat"/>
    <s v="WR"/>
    <x v="2"/>
    <x v="1"/>
    <n v="8.33949349760438"/>
    <n v="600"/>
    <n v="2.1800000000000002"/>
    <n v="1308"/>
    <n v="3081.4069188290923"/>
    <n v="1848844.1512974554"/>
    <n v="5.2816503866712272E-2"/>
    <n v="31.689902320027365"/>
    <s v="Operational"/>
    <n v="0.21215856009420556"/>
    <n v="127.29513605652333"/>
  </r>
  <r>
    <s v="KAMALANGA TPS2"/>
    <s v="Odisha"/>
    <s v="ER"/>
    <x v="2"/>
    <x v="1"/>
    <n v="6.6721423682409302"/>
    <n v="350"/>
    <n v="1.42"/>
    <n v="497"/>
    <n v="2934.735401616565"/>
    <n v="1027157.3905657978"/>
    <n v="7.5971148628802138E-2"/>
    <n v="26.58990202008075"/>
    <s v="Operational"/>
    <n v="0.66671829245411063"/>
    <n v="233.35140235893871"/>
  </r>
  <r>
    <s v="BINJKOTE  TPP2"/>
    <s v="Chhatisgarh"/>
    <s v="WR"/>
    <x v="2"/>
    <x v="0"/>
    <n v="2.0917180013689198"/>
    <n v="300"/>
    <n v="2.7676375328531964"/>
    <n v="830.29125985595886"/>
    <n v="3022.5933576044768"/>
    <n v="906778.00728134299"/>
    <n v="0.11609507686426573"/>
    <n v="34.828523059279718"/>
    <s v="Operational"/>
    <n v="0.40377928016278608"/>
    <n v="121.13378404883582"/>
  </r>
  <r>
    <s v="KAMALANGA TPS1"/>
    <s v="Odisha"/>
    <s v="ER"/>
    <x v="2"/>
    <x v="1"/>
    <n v="7.1759069130732298"/>
    <n v="350"/>
    <n v="1.42"/>
    <n v="497"/>
    <n v="2950.9020333162325"/>
    <n v="1032815.7116606814"/>
    <n v="7.5971148628802138E-2"/>
    <n v="26.58990202008075"/>
    <s v="Operational"/>
    <n v="0.6294567280601524"/>
    <n v="220.30985482105334"/>
  </r>
  <r>
    <s v="VINDHYACHAL STPS8"/>
    <s v="Madhya Pradesh"/>
    <s v="WR"/>
    <x v="0"/>
    <x v="4"/>
    <n v="20.2546201232032"/>
    <n v="500"/>
    <n v="1.57"/>
    <n v="785"/>
    <n v="2818.6919025337179"/>
    <n v="1409345.951266859"/>
    <n v="6.5179373950034494E-2"/>
    <n v="32.589686975017244"/>
    <s v="Operational"/>
    <n v="0.88030996632059999"/>
    <n v="440.15498316029999"/>
  </r>
  <r>
    <s v="BINJKOTE  TPP1"/>
    <s v="Chhatisgarh"/>
    <s v="WR"/>
    <x v="2"/>
    <x v="0"/>
    <n v="3.0910335386721401"/>
    <n v="300"/>
    <n v="2.814827859518465"/>
    <n v="844.44835785553948"/>
    <n v="3047.8906480132605"/>
    <n v="914367.19440397818"/>
    <n v="0.11609507686426573"/>
    <n v="34.828523059279718"/>
    <s v="Operational"/>
    <n v="0.35035059952955694"/>
    <n v="105.10517985886707"/>
  </r>
  <r>
    <s v="NAWAPARA TPP2"/>
    <s v="Chhatisgarh"/>
    <s v="WR"/>
    <x v="2"/>
    <x v="0"/>
    <n v="3.0910335386721401"/>
    <n v="300"/>
    <n v="1.66"/>
    <n v="498"/>
    <n v="2985.553667303082"/>
    <n v="895666.1001909246"/>
    <n v="8.9083336269112648E-2"/>
    <n v="26.725000880733795"/>
    <s v="Operational"/>
    <n v="0.53894574944873053"/>
    <n v="161.68372483461917"/>
  </r>
  <r>
    <s v="VINDHYACHAL STPS7"/>
    <s v="Madhya Pradesh"/>
    <s v="WR"/>
    <x v="0"/>
    <x v="4"/>
    <n v="21.177275838466802"/>
    <n v="500"/>
    <n v="1.57"/>
    <n v="785"/>
    <n v="2834.0983054357157"/>
    <n v="1417049.1527178579"/>
    <n v="6.5179373950034494E-2"/>
    <n v="32.589686975017244"/>
    <s v="Operational"/>
    <n v="0.85503003337040839"/>
    <n v="427.51501668520422"/>
  </r>
  <r>
    <s v="NAWAPARA TPP1"/>
    <s v="Chhatisgarh"/>
    <s v="WR"/>
    <x v="2"/>
    <x v="0"/>
    <n v="3.7563312799452402"/>
    <n v="300"/>
    <n v="1.66"/>
    <n v="498"/>
    <n v="2978.4724443998825"/>
    <n v="893541.73331996473"/>
    <n v="8.9083336269112648E-2"/>
    <n v="26.725000880733795"/>
    <s v="Operational"/>
    <n v="0.57574403953393194"/>
    <n v="172.72321186017959"/>
  </r>
  <r>
    <s v="BANDAKHAR TPP1"/>
    <s v="Chhatisgarh"/>
    <s v="WR"/>
    <x v="2"/>
    <x v="0"/>
    <n v="4.8432580424366796"/>
    <n v="300"/>
    <n v="1.65"/>
    <n v="495"/>
    <n v="2904.2483711200871"/>
    <n v="871274.51133602613"/>
    <n v="8.8068952930357491E-2"/>
    <n v="26.420685879107246"/>
    <s v="Operational"/>
    <n v="0.83089808747596661"/>
    <n v="249.26942624278999"/>
  </r>
  <r>
    <s v="CHANDRAPUR STPS7"/>
    <s v="Maharashtra"/>
    <s v="WR"/>
    <x v="1"/>
    <x v="4"/>
    <n v="22.590006844626899"/>
    <n v="500"/>
    <n v="2.31"/>
    <n v="1155"/>
    <n v="2949.8048395036776"/>
    <n v="1474902.4197518388"/>
    <n v="7.096074531932961E-2"/>
    <n v="35.480372659664802"/>
    <s v="Operational"/>
    <n v="0.56035945102141671"/>
    <n v="280.17972551070835"/>
  </r>
  <r>
    <s v="HALDIA TPP2"/>
    <s v="West Bengal"/>
    <s v="ER"/>
    <x v="2"/>
    <x v="1"/>
    <n v="5.2539356605065004"/>
    <n v="300"/>
    <n v="1.6778236607803951"/>
    <n v="503.34709823411856"/>
    <n v="2898.8090451903672"/>
    <n v="869642.71355711017"/>
    <n v="7.8501687626901739E-2"/>
    <n v="23.550506288070522"/>
    <s v="Operational"/>
    <n v="0.86689660928721668"/>
    <n v="260.06898278616501"/>
  </r>
  <r>
    <s v="HALDIA TPP1"/>
    <s v="West Bengal"/>
    <s v="ER"/>
    <x v="2"/>
    <x v="1"/>
    <n v="5.3388090349075901"/>
    <n v="300"/>
    <n v="1.6857664904051768"/>
    <n v="505.72994712155304"/>
    <n v="2902.718572232583"/>
    <n v="870815.57166977494"/>
    <n v="7.8501687626901739E-2"/>
    <n v="23.550506288070522"/>
    <s v="Operational"/>
    <n v="0.85703171819933754"/>
    <n v="257.10951545980129"/>
  </r>
  <r>
    <s v="DHARIWAL TPS2"/>
    <s v="Maharashtra"/>
    <s v="WR"/>
    <x v="2"/>
    <x v="1"/>
    <n v="6.00958247775496"/>
    <n v="300"/>
    <n v="1.99"/>
    <n v="597"/>
    <n v="2931.4469140426431"/>
    <n v="879434.07421279291"/>
    <n v="8.4082972715828666E-2"/>
    <n v="25.224891814748599"/>
    <s v="Operational"/>
    <n v="0.79029549950818612"/>
    <n v="237.08864985245583"/>
  </r>
  <r>
    <s v="GMR WARORA TPS2"/>
    <s v="Maharashtra"/>
    <s v="WR"/>
    <x v="2"/>
    <x v="1"/>
    <n v="6.7570157426420199"/>
    <n v="300"/>
    <n v="1.9"/>
    <n v="570"/>
    <n v="2951.6847194973798"/>
    <n v="885505.41584921395"/>
    <n v="8.7066312766907406E-2"/>
    <n v="26.119893830072222"/>
    <s v="Operational"/>
    <n v="0.73198090568984164"/>
    <n v="219.5942717069525"/>
  </r>
  <r>
    <s v="TALCHER STPS2"/>
    <s v="Odisha"/>
    <s v="ER"/>
    <x v="0"/>
    <x v="4"/>
    <n v="24.175222450376399"/>
    <n v="500"/>
    <n v="1.69"/>
    <n v="845"/>
    <n v="2886.4112379116996"/>
    <n v="1443205.6189558497"/>
    <n v="6.4093993789743203E-2"/>
    <n v="32.046996894871604"/>
    <s v="Operational"/>
    <n v="0.78203221988276161"/>
    <n v="391.01610994138082"/>
  </r>
  <r>
    <s v="NABI NAGAR TPP3"/>
    <s v="Bihar"/>
    <s v="ER"/>
    <x v="0"/>
    <x v="0"/>
    <n v="1.2539356605065"/>
    <n v="250"/>
    <n v="1.97"/>
    <n v="492.5"/>
    <n v="2960.7599646738304"/>
    <n v="740189.99116845755"/>
    <n v="7.0000000000000007E-2"/>
    <n v="17.5"/>
    <s v="Operational"/>
    <n v="0.71148727455957672"/>
    <n v="177.87181863989417"/>
  </r>
  <r>
    <s v="ANPARA TPS5"/>
    <s v="Uttar Pradesh"/>
    <s v="NR"/>
    <x v="1"/>
    <x v="5"/>
    <n v="25.842573579739899"/>
    <n v="500"/>
    <n v="1.49"/>
    <n v="745"/>
    <n v="2895.4625819983767"/>
    <n v="1447731.2909991883"/>
    <n v="9.3255770253987805E-2"/>
    <n v="46.627885126993903"/>
    <s v="Operational"/>
    <n v="0.77722865032661248"/>
    <n v="388.61432516330626"/>
  </r>
  <r>
    <s v="TALCHER STPS1"/>
    <s v="Odisha"/>
    <s v="ER"/>
    <x v="0"/>
    <x v="5"/>
    <n v="25.2539356605065"/>
    <n v="500"/>
    <n v="1.69"/>
    <n v="845"/>
    <n v="2898.1419671048852"/>
    <n v="1449070.9835524426"/>
    <n v="6.4093993789743203E-2"/>
    <n v="32.046996894871604"/>
    <s v="Operational"/>
    <n v="0.77147842391143018"/>
    <n v="385.73921195571506"/>
  </r>
  <r>
    <s v="FARAKKA STPS5"/>
    <s v="West Bengal"/>
    <s v="ER"/>
    <x v="0"/>
    <x v="5"/>
    <n v="26.2532511978097"/>
    <n v="500"/>
    <n v="2.56"/>
    <n v="1280"/>
    <n v="2899.8809642232563"/>
    <n v="1449940.4821116282"/>
    <n v="7.0380830688675913E-2"/>
    <n v="35.190415344337957"/>
    <s v="Operational"/>
    <n v="0.78086559034574843"/>
    <n v="390.43279517287419"/>
  </r>
  <r>
    <s v="ANPARA TPS4"/>
    <s v="Uttar Pradesh"/>
    <s v="NR"/>
    <x v="1"/>
    <x v="5"/>
    <n v="26.841889117043099"/>
    <n v="500"/>
    <n v="1.49"/>
    <n v="745"/>
    <n v="2856.2095273210498"/>
    <n v="1428104.763660525"/>
    <n v="9.3255770253987805E-2"/>
    <n v="46.627885126993903"/>
    <s v="Operational"/>
    <n v="0.91906908293165013"/>
    <n v="459.53454146582504"/>
  </r>
  <r>
    <s v="FARAKKA STPS4"/>
    <s v="West Bengal"/>
    <s v="ER"/>
    <x v="0"/>
    <x v="5"/>
    <n v="27.671457905544099"/>
    <n v="500"/>
    <n v="2.56"/>
    <n v="1280"/>
    <n v="2918.3835655819189"/>
    <n v="1459191.7827909593"/>
    <n v="7.0380830688675913E-2"/>
    <n v="35.190415344337957"/>
    <s v="Operational"/>
    <n v="0.75767318721271659"/>
    <n v="378.83659360635829"/>
  </r>
  <r>
    <s v="CHANDRAPUR STPS6"/>
    <s v="Maharashtra"/>
    <s v="WR"/>
    <x v="1"/>
    <x v="5"/>
    <n v="28.175222450376399"/>
    <n v="500"/>
    <n v="2.31"/>
    <n v="1155"/>
    <n v="3015.8610690343939"/>
    <n v="1507930.5345171969"/>
    <n v="7.096074531932961E-2"/>
    <n v="35.480372659664802"/>
    <s v="Operational"/>
    <n v="0.4896267827127142"/>
    <n v="244.8133913563571"/>
  </r>
  <r>
    <s v="CHANDRAPUR STPS5"/>
    <s v="Maharashtra"/>
    <s v="WR"/>
    <x v="1"/>
    <x v="5"/>
    <n v="29.177275838466802"/>
    <n v="500"/>
    <n v="2.31"/>
    <n v="1155"/>
    <n v="2982.8447481243338"/>
    <n v="1491422.374062167"/>
    <n v="7.096074531932961E-2"/>
    <n v="35.480372659664802"/>
    <s v="Operational"/>
    <n v="0.61266395866071"/>
    <n v="306.33197933035501"/>
  </r>
  <r>
    <s v="RAMAGUNDEM STPS6"/>
    <s v="Telangana"/>
    <s v="SR"/>
    <x v="0"/>
    <x v="6"/>
    <n v="30.590006844626899"/>
    <n v="500"/>
    <n v="2.52"/>
    <n v="1260"/>
    <n v="2923.0406660004787"/>
    <n v="1461520.3330002395"/>
    <n v="6.1716058959159902E-2"/>
    <n v="30.858029479579951"/>
    <s v="Operational"/>
    <n v="0.80353117006607411"/>
    <n v="401.76558503303704"/>
  </r>
  <r>
    <s v="RIHAND STPS2"/>
    <s v="Uttar Pradesh"/>
    <s v="NR"/>
    <x v="0"/>
    <x v="6"/>
    <n v="30.841889117043099"/>
    <n v="500"/>
    <n v="1.38"/>
    <n v="690"/>
    <n v="2915.7049162779158"/>
    <n v="1457852.4581389579"/>
    <n v="6.6356788102148762E-2"/>
    <n v="33.178394051074378"/>
    <s v="Operational"/>
    <n v="0.83154409298435328"/>
    <n v="415.77204649217663"/>
  </r>
  <r>
    <s v="RAMAGUNDEM STPS5"/>
    <s v="Telangana"/>
    <s v="SR"/>
    <x v="0"/>
    <x v="6"/>
    <n v="31.175906913073199"/>
    <n v="500"/>
    <n v="2.52"/>
    <n v="1260"/>
    <n v="2931.9820113963374"/>
    <n v="1465991.0056981687"/>
    <n v="6.1716058959159902E-2"/>
    <n v="30.858029479579951"/>
    <s v="Operational"/>
    <n v="0.79002498971947488"/>
    <n v="395.01249485973744"/>
  </r>
  <r>
    <s v="KORBA STPS6"/>
    <s v="Chhatisgarh"/>
    <s v="WR"/>
    <x v="0"/>
    <x v="6"/>
    <n v="31.2525667351129"/>
    <n v="500"/>
    <n v="1.32"/>
    <n v="660"/>
    <n v="2902.2520679156155"/>
    <n v="1451126.0339578078"/>
    <n v="6.2610933454142856E-2"/>
    <n v="31.305466727071426"/>
    <s v="Operational"/>
    <n v="0.88173190698095838"/>
    <n v="440.86595349047917"/>
  </r>
  <r>
    <s v="DHARIWAL TPS1"/>
    <s v="Maharashtra"/>
    <s v="WR"/>
    <x v="2"/>
    <x v="1"/>
    <n v="6.5051334702258696"/>
    <n v="300"/>
    <n v="1.99"/>
    <n v="597"/>
    <n v="3079.4011096127497"/>
    <n v="923820.33288382494"/>
    <n v="8.4082972715828666E-2"/>
    <n v="25.224891814748599"/>
    <s v="Operational"/>
    <n v="0.35417789495961804"/>
    <n v="106.25336848788541"/>
  </r>
  <r>
    <s v="GMR WARORA TPS1"/>
    <s v="Maharashtra"/>
    <s v="WR"/>
    <x v="2"/>
    <x v="1"/>
    <n v="7.2525667351129304"/>
    <n v="300"/>
    <n v="1.9"/>
    <n v="570"/>
    <n v="2940.6078419256801"/>
    <n v="882182.352577704"/>
    <n v="8.7066312766907406E-2"/>
    <n v="26.119893830072222"/>
    <s v="Operational"/>
    <n v="0.77694293887682364"/>
    <n v="233.08288166304709"/>
  </r>
  <r>
    <s v="BONGAIGAON TPS3"/>
    <s v="Assam"/>
    <s v="NER"/>
    <x v="0"/>
    <x v="0"/>
    <n v="1.3388090349075901"/>
    <n v="250"/>
    <n v="2.97"/>
    <n v="742.5"/>
    <n v="3034.2790040540422"/>
    <n v="758569.75101351051"/>
    <n v="0.06"/>
    <n v="15"/>
    <s v="Operational"/>
    <n v="0.49649108696272165"/>
    <n v="124.12277174068041"/>
  </r>
  <r>
    <s v="RAMAGUNDEM STPS4"/>
    <s v="Telangana"/>
    <s v="SR"/>
    <x v="0"/>
    <x v="6"/>
    <n v="31.923340177960299"/>
    <n v="500"/>
    <n v="2.52"/>
    <n v="1260"/>
    <n v="2949.8116970325996"/>
    <n v="1474905.8485162999"/>
    <n v="6.1716058959159902E-2"/>
    <n v="30.858029479579951"/>
    <s v="Operational"/>
    <n v="0.75336452407436827"/>
    <n v="376.68226203718416"/>
  </r>
  <r>
    <s v="KORBA STPS5"/>
    <s v="Chhatisgarh"/>
    <s v="WR"/>
    <x v="0"/>
    <x v="6"/>
    <n v="32.175222450376403"/>
    <n v="500"/>
    <n v="1.32"/>
    <n v="660"/>
    <n v="2925.5808012035236"/>
    <n v="1462790.4006017619"/>
    <n v="6.2610933454142856E-2"/>
    <n v="31.305466727071426"/>
    <s v="Operational"/>
    <n v="0.83248639449476503"/>
    <n v="416.24319724738251"/>
  </r>
  <r>
    <s v="RIHAND STPS1"/>
    <s v="Uttar Pradesh"/>
    <s v="NR"/>
    <x v="0"/>
    <x v="6"/>
    <n v="32.175222450376403"/>
    <n v="500"/>
    <n v="1.38"/>
    <n v="690"/>
    <n v="2911.6238440025709"/>
    <n v="1455811.9220012855"/>
    <n v="6.6356788102148762E-2"/>
    <n v="33.178394051074378"/>
    <s v="Operational"/>
    <n v="0.87470712395018335"/>
    <n v="437.35356197509168"/>
  </r>
  <r>
    <s v="BUTIBORI TPP2"/>
    <s v="Maharashtra"/>
    <s v="WR"/>
    <x v="2"/>
    <x v="1"/>
    <n v="7.1759069130732298"/>
    <n v="300"/>
    <n v="2.46"/>
    <n v="738"/>
    <n v="3061.4038392128355"/>
    <n v="918421.15176385059"/>
    <n v="8.5770417782561448E-2"/>
    <n v="25.731125334768436"/>
    <s v="Operational"/>
    <n v="0.42600631397712085"/>
    <n v="127.80189419313626"/>
  </r>
  <r>
    <s v="ROSA TPP PH-I4"/>
    <s v="Uttar Pradesh"/>
    <s v="NR"/>
    <x v="2"/>
    <x v="1"/>
    <n v="8.1752224503764506"/>
    <n v="300"/>
    <n v="2.96"/>
    <n v="888"/>
    <n v="3024.3360117614607"/>
    <n v="907300.80352843821"/>
    <n v="9.6241360115922034E-2"/>
    <n v="28.872408034776612"/>
    <s v="Operational"/>
    <n v="0.53911649851490839"/>
    <n v="161.73494955447251"/>
  </r>
  <r>
    <s v="SINGRAULI STPS7"/>
    <s v="Uttar Pradesh"/>
    <s v="NR"/>
    <x v="0"/>
    <x v="6"/>
    <n v="32.5065023956194"/>
    <n v="500"/>
    <n v="1.43"/>
    <n v="715"/>
    <n v="2911.5898484431596"/>
    <n v="1455794.9242215797"/>
    <n v="7.690693382449007E-2"/>
    <n v="38.453466912245034"/>
    <s v="Operational"/>
    <n v="0.88246688111716654"/>
    <n v="441.23344055858325"/>
  </r>
  <r>
    <s v="BARAUNI TPS8"/>
    <s v="Bihar"/>
    <s v="ER"/>
    <x v="0"/>
    <x v="0"/>
    <n v="2.3381245722108099"/>
    <n v="250"/>
    <n v="2.3143015454828655"/>
    <n v="578.57538637071639"/>
    <n v="3200.26869775471"/>
    <n v="800067.1744386775"/>
    <n v="0.09"/>
    <n v="22.5"/>
    <s v="Operational"/>
    <n v="1.20163358147229E-2"/>
    <n v="3.0040839536807251"/>
  </r>
  <r>
    <s v="ROSA TPP PH-I3"/>
    <s v="Uttar Pradesh"/>
    <s v="NR"/>
    <x v="2"/>
    <x v="1"/>
    <n v="8.4243668720054696"/>
    <n v="300"/>
    <n v="2.96"/>
    <n v="888"/>
    <n v="3027.431094263427"/>
    <n v="908229.32827902806"/>
    <n v="9.6241360115922034E-2"/>
    <n v="28.872408034776612"/>
    <s v="Operational"/>
    <n v="0.53551217566353326"/>
    <n v="160.65365269905999"/>
  </r>
  <r>
    <s v="GOINDWAL SAHIB2"/>
    <s v="Punjab"/>
    <s v="NR"/>
    <x v="2"/>
    <x v="0"/>
    <n v="4.1752224503764497"/>
    <n v="270"/>
    <n v="2.94"/>
    <n v="793.8"/>
    <n v="3068.7973355822119"/>
    <n v="828575.2806071972"/>
    <n v="0.10288394721047496"/>
    <n v="27.778665746828239"/>
    <s v="Operational"/>
    <n v="0.41588620036262963"/>
    <n v="112.28927409791"/>
  </r>
  <r>
    <s v="BUTIBORI TPP1"/>
    <s v="Maharashtra"/>
    <s v="WR"/>
    <x v="2"/>
    <x v="1"/>
    <n v="7.7563312799452397"/>
    <n v="300"/>
    <n v="2.46"/>
    <n v="738"/>
    <n v="3130.9885891409017"/>
    <n v="939296.5767422705"/>
    <n v="8.5770417782561448E-2"/>
    <n v="25.731125334768436"/>
    <s v="Operational"/>
    <n v="0.22892321636523333"/>
    <n v="68.676964909570003"/>
  </r>
  <r>
    <s v="GOINDWAL SAHIB1"/>
    <s v="Punjab"/>
    <s v="NR"/>
    <x v="2"/>
    <x v="0"/>
    <n v="4.2546201232032796"/>
    <n v="270"/>
    <n v="2.94"/>
    <n v="793.8"/>
    <n v="3076.4063149038184"/>
    <n v="830629.70502403099"/>
    <n v="0.10288394721047496"/>
    <n v="27.778665746828239"/>
    <s v="Operational"/>
    <n v="0.39470365794919904"/>
    <n v="106.56998764628374"/>
  </r>
  <r>
    <s v="BALCO TPS2"/>
    <s v="Chhatisgarh"/>
    <s v="WR"/>
    <x v="2"/>
    <x v="0"/>
    <n v="4.1752224503764497"/>
    <n v="300"/>
    <n v="2.06"/>
    <n v="618"/>
    <n v="3046.3573982835874"/>
    <n v="913907.21948507626"/>
    <n v="9.4685999964455439E-2"/>
    <n v="28.405799989336632"/>
    <s v="Operational"/>
    <n v="0.4858731133750403"/>
    <n v="145.76193401251209"/>
  </r>
  <r>
    <s v="KORBA STPS4"/>
    <s v="Chhatisgarh"/>
    <s v="WR"/>
    <x v="0"/>
    <x v="6"/>
    <n v="33.0102669404517"/>
    <n v="500"/>
    <n v="1.32"/>
    <n v="660"/>
    <n v="2918.2812541451203"/>
    <n v="1459140.6270725601"/>
    <n v="6.2610933454142856E-2"/>
    <n v="31.305466727071426"/>
    <s v="Operational"/>
    <n v="0.87386850939609162"/>
    <n v="436.93425469804583"/>
  </r>
  <r>
    <s v="NABI NAGAR TPP2"/>
    <s v="Bihar"/>
    <s v="ER"/>
    <x v="0"/>
    <x v="0"/>
    <n v="3.0910335386721401"/>
    <n v="250"/>
    <n v="1.97"/>
    <n v="492.5"/>
    <n v="3051.4595400442577"/>
    <n v="762864.88501106447"/>
    <n v="7.0000000000000007E-2"/>
    <n v="17.5"/>
    <s v="Operational"/>
    <n v="0.47957608247847333"/>
    <n v="119.89402061961833"/>
  </r>
  <r>
    <s v="SINGRAULI STPS6"/>
    <s v="Uttar Pradesh"/>
    <s v="NR"/>
    <x v="0"/>
    <x v="6"/>
    <n v="33.423682409308597"/>
    <n v="500"/>
    <n v="1.43"/>
    <n v="715"/>
    <n v="2923.731618170837"/>
    <n v="1461865.8090854185"/>
    <n v="7.690693382449007E-2"/>
    <n v="38.453466912245034"/>
    <s v="Operational"/>
    <n v="0.86693612133705"/>
    <n v="433.46806066852503"/>
  </r>
  <r>
    <s v="BONGAIGAON TPS2"/>
    <s v="Assam"/>
    <s v="NER"/>
    <x v="0"/>
    <x v="0"/>
    <n v="3.1074606433949299"/>
    <n v="250"/>
    <n v="2.97"/>
    <n v="742.5"/>
    <n v="3015.2336738046033"/>
    <n v="753808.41845115088"/>
    <n v="0.06"/>
    <n v="15"/>
    <s v="Operational"/>
    <n v="0.59498356998664004"/>
    <n v="148.74589249666002"/>
  </r>
  <r>
    <s v="BALCO TPS1"/>
    <s v="Chhatisgarh"/>
    <s v="WR"/>
    <x v="2"/>
    <x v="0"/>
    <n v="4.9253935660506496"/>
    <n v="300"/>
    <n v="2.06"/>
    <n v="618"/>
    <n v="3011.4502250347246"/>
    <n v="903435.06751041731"/>
    <n v="9.4685999964455439E-2"/>
    <n v="28.405799989336632"/>
    <s v="Operational"/>
    <n v="0.60880845503366954"/>
    <n v="182.64253651010085"/>
  </r>
  <r>
    <s v="AMRAVATI TPS4"/>
    <s v="Maharashtra"/>
    <s v="WR"/>
    <x v="2"/>
    <x v="1"/>
    <n v="5.1772758384667998"/>
    <n v="270"/>
    <n v="3.03"/>
    <n v="818.09999999999991"/>
    <n v="3111.5487144789831"/>
    <n v="840118.15290932544"/>
    <n v="8.9360960918391241E-2"/>
    <n v="24.127459447965634"/>
    <s v="Operational"/>
    <n v="0.30964994207699076"/>
    <n v="83.6054843607875"/>
  </r>
  <r>
    <s v="AMRAVATI TPS5"/>
    <s v="Maharashtra"/>
    <s v="WR"/>
    <x v="2"/>
    <x v="1"/>
    <n v="5.1772758384667998"/>
    <n v="270"/>
    <n v="3.03"/>
    <n v="818.09999999999991"/>
    <n v="3104.6546622805017"/>
    <n v="838256.75881573546"/>
    <n v="8.9360960918391241E-2"/>
    <n v="24.127459447965634"/>
    <s v="Operational"/>
    <n v="0.33050491128931481"/>
    <n v="89.236326048115004"/>
  </r>
  <r>
    <s v="AMRAVATI TPS3"/>
    <s v="Maharashtra"/>
    <s v="WR"/>
    <x v="2"/>
    <x v="1"/>
    <n v="5.3388090349075901"/>
    <n v="270"/>
    <n v="3.03"/>
    <n v="818.09999999999991"/>
    <n v="3094.0128408361184"/>
    <n v="835383.46702575195"/>
    <n v="8.9360960918391241E-2"/>
    <n v="24.127459447965634"/>
    <s v="Operational"/>
    <n v="0.36643067193790591"/>
    <n v="98.93628142323459"/>
  </r>
  <r>
    <s v="ROSA TPP PH-I2"/>
    <s v="Uttar Pradesh"/>
    <s v="NR"/>
    <x v="2"/>
    <x v="1"/>
    <n v="9.9247091033538606"/>
    <n v="300"/>
    <n v="2.96"/>
    <n v="888"/>
    <n v="3026.0441096395548"/>
    <n v="907813.23289186647"/>
    <n v="9.6241360115922034E-2"/>
    <n v="28.872408034776612"/>
    <s v="Operational"/>
    <n v="0.5743855105310347"/>
    <n v="172.31565315931041"/>
  </r>
  <r>
    <s v="PATHADI TPS2"/>
    <s v="Chhatisgarh"/>
    <s v="WR"/>
    <x v="2"/>
    <x v="2"/>
    <n v="10.17659137577"/>
    <n v="300"/>
    <n v="2.0299999999999998"/>
    <n v="608.99999999999989"/>
    <n v="2979.4319801381512"/>
    <n v="893829.59404144541"/>
    <n v="8.7832676734947532E-2"/>
    <n v="26.349803020484259"/>
    <s v="Operational"/>
    <n v="0.72121211043884159"/>
    <n v="216.36363313165248"/>
  </r>
  <r>
    <s v="NABI NAGAR TPP1"/>
    <s v="Bihar"/>
    <s v="ER"/>
    <x v="0"/>
    <x v="0"/>
    <n v="4.1752224503764497"/>
    <n v="250"/>
    <n v="1.97"/>
    <n v="492.5"/>
    <n v="2991.2578353594718"/>
    <n v="747814.45883986796"/>
    <n v="7.0000000000000007E-2"/>
    <n v="17.5"/>
    <s v="Operational"/>
    <n v="0.68674927294289334"/>
    <n v="171.68731823572332"/>
  </r>
  <r>
    <s v="PARLI TPS8"/>
    <s v="Maharashtra"/>
    <s v="WR"/>
    <x v="1"/>
    <x v="0"/>
    <n v="4.1752224503764497"/>
    <n v="250"/>
    <n v="3.02"/>
    <n v="755"/>
    <n v="3050.3660373810912"/>
    <n v="762591.50934527279"/>
    <n v="0.10765374232246352"/>
    <n v="26.913435580615882"/>
    <s v="Operational"/>
    <n v="0.50794300663288328"/>
    <n v="126.98575165822082"/>
  </r>
  <r>
    <s v="ROSA TPP PH-I1"/>
    <s v="Uttar Pradesh"/>
    <s v="NR"/>
    <x v="2"/>
    <x v="2"/>
    <n v="10.2532511978097"/>
    <n v="300"/>
    <n v="2.96"/>
    <n v="888"/>
    <n v="3040.4167379019482"/>
    <n v="912125.02137058449"/>
    <n v="9.6241360115922034E-2"/>
    <n v="28.872408034776612"/>
    <s v="Operational"/>
    <n v="0.53850098630858056"/>
    <n v="161.55029589257418"/>
  </r>
  <r>
    <s v="AMRAVATI TPS2"/>
    <s v="Maharashtra"/>
    <s v="WR"/>
    <x v="2"/>
    <x v="1"/>
    <n v="6.2532511978097096"/>
    <n v="270"/>
    <n v="3.03"/>
    <n v="818.09999999999991"/>
    <n v="3085.3310483031614"/>
    <n v="833039.38304185355"/>
    <n v="8.9360960918391241E-2"/>
    <n v="24.127459447965634"/>
    <s v="Operational"/>
    <n v="0.41382930107731941"/>
    <n v="111.73391129087624"/>
  </r>
  <r>
    <s v="MAHADEV PRASAD STPP2"/>
    <s v="Jharkhand"/>
    <s v="ER"/>
    <x v="2"/>
    <x v="1"/>
    <n v="7.1759069130732298"/>
    <n v="270"/>
    <n v="1.88"/>
    <n v="507.59999999999997"/>
    <n v="3078.021783900469"/>
    <n v="831065.88165312668"/>
    <n v="8.795755336381729E-2"/>
    <n v="23.74853940823067"/>
    <s v="Operational"/>
    <n v="0.43874913892283801"/>
    <n v="118.46226750916627"/>
  </r>
  <r>
    <s v="PATHADI TPS1"/>
    <s v="Chhatisgarh"/>
    <s v="WR"/>
    <x v="2"/>
    <x v="2"/>
    <n v="10.924024640657001"/>
    <n v="300"/>
    <n v="2.0299999999999998"/>
    <n v="608.99999999999989"/>
    <n v="2973.8156924158325"/>
    <n v="892144.70772474969"/>
    <n v="8.7832676734947532E-2"/>
    <n v="26.349803020484259"/>
    <s v="Operational"/>
    <n v="0.75547728307855966"/>
    <n v="226.6431849235679"/>
  </r>
  <r>
    <s v="MAHADEV PRASAD STPP1"/>
    <s v="Jharkhand"/>
    <s v="ER"/>
    <x v="2"/>
    <x v="1"/>
    <n v="7.5044490075290797"/>
    <n v="270"/>
    <n v="1.88"/>
    <n v="507.59999999999997"/>
    <n v="2979.1808481774247"/>
    <n v="804378.82900790463"/>
    <n v="8.795755336381729E-2"/>
    <n v="23.74853940823067"/>
    <s v="Operational"/>
    <n v="0.74534322138311104"/>
    <n v="201.24266977343999"/>
  </r>
  <r>
    <s v="BONGAIGAON TPS1"/>
    <s v="Assam"/>
    <s v="NER"/>
    <x v="0"/>
    <x v="0"/>
    <n v="4.9253935660506496"/>
    <n v="250"/>
    <n v="2.97"/>
    <n v="742.5"/>
    <n v="3006.4856715997412"/>
    <n v="751621.41789993527"/>
    <n v="0.06"/>
    <n v="15"/>
    <s v="Operational"/>
    <n v="0.66346499233659506"/>
    <n v="165.86624808414876"/>
  </r>
  <r>
    <s v="AMRAVATI TPS1"/>
    <s v="Maharashtra"/>
    <s v="WR"/>
    <x v="2"/>
    <x v="1"/>
    <n v="7.1759069130732298"/>
    <n v="270"/>
    <n v="3.03"/>
    <n v="818.09999999999991"/>
    <n v="3123.9035450001397"/>
    <n v="843453.95715003775"/>
    <n v="8.9360960918391241E-2"/>
    <n v="24.127459447965634"/>
    <s v="Operational"/>
    <n v="0.31847038425018515"/>
    <n v="85.987003747549991"/>
  </r>
  <r>
    <s v="SAGARDIGHI TPS1"/>
    <s v="West Bengal"/>
    <s v="ER"/>
    <x v="1"/>
    <x v="2"/>
    <n v="11.841204654346299"/>
    <n v="300"/>
    <n v="3.15"/>
    <n v="945"/>
    <n v="3036.0272848592176"/>
    <n v="910808.18545776524"/>
    <n v="9.5849721553511083E-2"/>
    <n v="28.754916466053324"/>
    <s v="Operational"/>
    <n v="0.58892780556193058"/>
    <n v="176.67834166857918"/>
  </r>
  <r>
    <s v="CHHABRA TPS4"/>
    <s v="Rajasthan"/>
    <s v="NR"/>
    <x v="1"/>
    <x v="1"/>
    <n v="5.9247091033538597"/>
    <n v="250"/>
    <n v="2.34"/>
    <n v="585"/>
    <n v="2960.5488860790738"/>
    <n v="740137.22151976847"/>
    <m/>
    <n v="0"/>
    <s v="Operational"/>
    <n v="0.8200820217833199"/>
    <n v="205.02050544582997"/>
  </r>
  <r>
    <s v="YAMUNA NAGAR TPS2"/>
    <s v="Haryana"/>
    <s v="NR"/>
    <x v="1"/>
    <x v="2"/>
    <n v="12.175222450376401"/>
    <n v="300"/>
    <n v="3.48"/>
    <n v="1044"/>
    <n v="3017.5864229058511"/>
    <n v="905275.92687175539"/>
    <n v="8.7483637832043534E-2"/>
    <n v="26.245091349613059"/>
    <s v="Operational"/>
    <n v="0.65198699919859993"/>
    <n v="195.59609975957997"/>
  </r>
  <r>
    <s v="D.P.L. TPS8"/>
    <s v="West Bengal"/>
    <s v="ER"/>
    <x v="1"/>
    <x v="1"/>
    <n v="6.1765913757700197"/>
    <n v="250"/>
    <n v="2.7087756164055898"/>
    <n v="677.19390410139749"/>
    <n v="3048.2264574967198"/>
    <n v="762056.61437417998"/>
    <n v="0.12054583600181658"/>
    <n v="30.136459000454145"/>
    <s v="Operational"/>
    <n v="0.56067329048547332"/>
    <n v="140.16832262136833"/>
  </r>
  <r>
    <s v="D.P.L. TPS7"/>
    <s v="West Bengal"/>
    <s v="ER"/>
    <x v="1"/>
    <x v="2"/>
    <n v="12.4435318275154"/>
    <n v="300"/>
    <n v="2.8732482974155298"/>
    <n v="861.9744892246589"/>
    <n v="3101.747908478314"/>
    <n v="930524.37254349422"/>
    <n v="0.12054583600181658"/>
    <n v="36.163750800544975"/>
    <s v="Operational"/>
    <n v="0.4035943447599028"/>
    <n v="121.07830342797084"/>
  </r>
  <r>
    <s v="SAGARDIGHI TPS2"/>
    <s v="West Bengal"/>
    <s v="ER"/>
    <x v="1"/>
    <x v="2"/>
    <n v="12.4243668720054"/>
    <n v="300"/>
    <n v="3.15"/>
    <n v="945"/>
    <n v="3097.9193375553668"/>
    <n v="929375.80126661004"/>
    <n v="9.5849721553511083E-2"/>
    <n v="28.754916466053324"/>
    <s v="Operational"/>
    <n v="0.41517891214616254"/>
    <n v="124.55367364384877"/>
  </r>
  <r>
    <s v="SATPURA TPS11"/>
    <s v="Madhya Pradesh"/>
    <s v="WR"/>
    <x v="1"/>
    <x v="1"/>
    <n v="6.4229979466118996"/>
    <n v="250"/>
    <n v="2.06"/>
    <n v="515"/>
    <n v="2985.1992397883423"/>
    <n v="746299.80994708557"/>
    <n v="0.1003219631047786"/>
    <n v="25.080490776194651"/>
    <s v="Operational"/>
    <n v="0.75703006999300004"/>
    <n v="189.25751749825002"/>
  </r>
  <r>
    <s v="YAMUNA NAGAR TPS1"/>
    <s v="Haryana"/>
    <s v="NR"/>
    <x v="1"/>
    <x v="2"/>
    <n v="12.5065023956194"/>
    <n v="300"/>
    <n v="3.48"/>
    <n v="1044"/>
    <n v="3049.7698613455022"/>
    <n v="914930.95840365067"/>
    <n v="8.7483637832043534E-2"/>
    <n v="26.245091349613059"/>
    <s v="Operational"/>
    <n v="0.56228686270557227"/>
    <n v="168.68605881167167"/>
  </r>
  <r>
    <s v="CHHABRA TPS3"/>
    <s v="Rajasthan"/>
    <s v="NR"/>
    <x v="1"/>
    <x v="1"/>
    <n v="6.6721423682409302"/>
    <n v="250"/>
    <n v="2.34"/>
    <n v="585"/>
    <n v="2996.4554115422839"/>
    <n v="749113.85288557096"/>
    <m/>
    <n v="0"/>
    <s v="Operational"/>
    <n v="0.72873790605935662"/>
    <n v="182.18447651483916"/>
  </r>
  <r>
    <s v="BINA TPS2"/>
    <s v="Madhya Pradesh"/>
    <s v="WR"/>
    <x v="2"/>
    <x v="1"/>
    <n v="7.1759069130732298"/>
    <n v="250"/>
    <n v="2.8"/>
    <n v="700"/>
    <n v="3063.331884029009"/>
    <n v="765832.97100725223"/>
    <n v="8.3913060272884019E-2"/>
    <n v="20.978265068221006"/>
    <s v="Operational"/>
    <n v="0.53807568006191331"/>
    <n v="134.51892001547833"/>
  </r>
  <r>
    <s v="PARICHHA TPS6"/>
    <s v="Uttar Pradesh"/>
    <s v="NR"/>
    <x v="1"/>
    <x v="1"/>
    <n v="7.1759069130732298"/>
    <n v="250"/>
    <n v="2.77"/>
    <n v="692.5"/>
    <n v="3021.9714912540917"/>
    <n v="755492.87281352293"/>
    <n v="0.10527848654994208"/>
    <n v="26.319621637485522"/>
    <s v="Operational"/>
    <n v="0.66319363581522006"/>
    <n v="165.79840895380502"/>
  </r>
  <r>
    <s v="SATPURA TPS10"/>
    <s v="Madhya Pradesh"/>
    <s v="WR"/>
    <x v="1"/>
    <x v="1"/>
    <n v="7.1759069130732298"/>
    <n v="250"/>
    <n v="2.06"/>
    <n v="515"/>
    <n v="3006.2925363300978"/>
    <n v="751573.13408252446"/>
    <n v="0.1003219631047786"/>
    <n v="25.080490776194651"/>
    <s v="Operational"/>
    <n v="0.71062352360941838"/>
    <n v="177.6558809023546"/>
  </r>
  <r>
    <s v="BINA TPS1"/>
    <s v="Madhya Pradesh"/>
    <s v="WR"/>
    <x v="2"/>
    <x v="1"/>
    <n v="7.7563312799452397"/>
    <n v="250"/>
    <n v="2.8"/>
    <n v="700"/>
    <n v="3043.9432718286221"/>
    <n v="760985.81795715552"/>
    <n v="8.3913060272884019E-2"/>
    <n v="20.978265068221006"/>
    <s v="Operational"/>
    <n v="0.61014295649487005"/>
    <n v="152.53573912371752"/>
  </r>
  <r>
    <s v="HARDUAGANJ TPS9"/>
    <s v="Uttar Pradesh"/>
    <s v="NR"/>
    <x v="1"/>
    <x v="1"/>
    <n v="8.00821355236139"/>
    <n v="250"/>
    <n v="2.8"/>
    <n v="700"/>
    <n v="3006.1505423538279"/>
    <n v="751537.63558845699"/>
    <n v="8.6582291374875858E-2"/>
    <n v="21.645572843718966"/>
    <s v="Operational"/>
    <n v="0.73029028117661499"/>
    <n v="182.57257029415373"/>
  </r>
  <r>
    <s v="PARICHHA TPS5"/>
    <s v="Uttar Pradesh"/>
    <s v="NR"/>
    <x v="1"/>
    <x v="1"/>
    <n v="8.00821355236139"/>
    <n v="250"/>
    <n v="2.77"/>
    <n v="692.5"/>
    <n v="3102.1724374693881"/>
    <n v="775543.10936734697"/>
    <n v="0.10527848654994208"/>
    <n v="26.319621637485522"/>
    <s v="Operational"/>
    <n v="0.43981762319685003"/>
    <n v="109.95440579921251"/>
  </r>
  <r>
    <s v="SANTALDIH TPS6"/>
    <s v="West Bengal"/>
    <s v="ER"/>
    <x v="1"/>
    <x v="1"/>
    <n v="8.5941136208076596"/>
    <n v="250"/>
    <n v="2.57"/>
    <n v="642.5"/>
    <n v="2974.1955356895501"/>
    <n v="743548.8839223875"/>
    <n v="8.5383480246584514E-2"/>
    <n v="21.345870061646128"/>
    <s v="Operational"/>
    <n v="0.84091430860862326"/>
    <n v="210.22857715215582"/>
  </r>
  <r>
    <s v="HARDUAGANJ TPS8"/>
    <s v="Uttar Pradesh"/>
    <s v="NR"/>
    <x v="1"/>
    <x v="1"/>
    <n v="8.6735112936344905"/>
    <n v="250"/>
    <n v="2.8"/>
    <n v="700"/>
    <n v="3022.4668470105471"/>
    <n v="755616.71175263682"/>
    <n v="8.6582291374875858E-2"/>
    <n v="21.645572843718966"/>
    <s v="Operational"/>
    <n v="0.69630948475966836"/>
    <n v="174.0773711899171"/>
  </r>
  <r>
    <s v="MUZAFFARPUR TPS4"/>
    <s v="Bihar"/>
    <s v="ER"/>
    <x v="0"/>
    <x v="0"/>
    <n v="3.1759069130732298"/>
    <n v="195"/>
    <n v="2.69"/>
    <n v="524.54999999999995"/>
    <n v="3055.2044096190893"/>
    <n v="595764.85987572244"/>
    <n v="9.4599688742977306E-2"/>
    <n v="18.446939304880576"/>
    <s v="Operational"/>
    <n v="0.62423307341596146"/>
    <n v="121.72544931611249"/>
  </r>
  <r>
    <s v="RAICHUR TPS8"/>
    <s v="Karnataka"/>
    <s v="SR"/>
    <x v="1"/>
    <x v="1"/>
    <n v="9.9247091033538606"/>
    <n v="250"/>
    <n v="3.44"/>
    <n v="860"/>
    <n v="3029.2531457132345"/>
    <n v="757313.28642830858"/>
    <n v="9.2407885740745169E-2"/>
    <n v="23.101971435186293"/>
    <s v="Operational"/>
    <n v="0.7046995818304117"/>
    <n v="176.17489545760293"/>
  </r>
  <r>
    <s v="AMARKANTAK TPS3"/>
    <s v="Madhya Pradesh"/>
    <s v="WR"/>
    <x v="1"/>
    <x v="2"/>
    <n v="11.9233401779603"/>
    <n v="210"/>
    <n v="1.69"/>
    <n v="354.9"/>
    <n v="3013.1174247261338"/>
    <n v="632754.65919248806"/>
    <n v="9.414842901808744E-2"/>
    <n v="19.771170093798361"/>
    <s v="Relegated"/>
    <n v="0.9117231448691191"/>
    <n v="191.461860422515"/>
  </r>
  <r>
    <s v="ANPARA TPS1"/>
    <s v="Uttar Pradesh"/>
    <s v="NR"/>
    <x v="1"/>
    <x v="6"/>
    <n v="34.176591375770002"/>
    <n v="210"/>
    <n v="1.72"/>
    <n v="361.2"/>
    <n v="3217.953122698982"/>
    <n v="675770.15576678619"/>
    <n v="9.3255770253987805E-2"/>
    <n v="19.58371175333744"/>
    <s v="Relegated"/>
    <n v="0.80642386645137099"/>
    <n v="169.3490119547879"/>
  </r>
  <r>
    <s v="ANPARA TPS2"/>
    <s v="Uttar Pradesh"/>
    <s v="NR"/>
    <x v="1"/>
    <x v="6"/>
    <n v="33.2539356605065"/>
    <n v="210"/>
    <n v="1.72"/>
    <n v="361.2"/>
    <n v="3222.3011966167055"/>
    <n v="676683.25128950819"/>
    <n v="9.3255770253987805E-2"/>
    <n v="19.58371175333744"/>
    <s v="Relegated"/>
    <n v="0.77194518516136312"/>
    <n v="162.10848888388625"/>
  </r>
  <r>
    <s v="ANPARA TPS3"/>
    <s v="Uttar Pradesh"/>
    <s v="NR"/>
    <x v="1"/>
    <x v="6"/>
    <n v="32.175222450376403"/>
    <n v="210"/>
    <n v="1.72"/>
    <n v="361.2"/>
    <n v="3195.5071186352661"/>
    <n v="671056.49491340586"/>
    <n v="9.3255770253987805E-2"/>
    <n v="19.58371175333744"/>
    <s v="Relegated"/>
    <n v="0.82806661917331348"/>
    <n v="173.89399002639584"/>
  </r>
  <r>
    <s v="BAKRESWAR TPS1"/>
    <s v="West Bengal"/>
    <s v="ER"/>
    <x v="1"/>
    <x v="2"/>
    <n v="10.924024640657001"/>
    <n v="210"/>
    <n v="2.6"/>
    <n v="546"/>
    <n v="3046.5926649238581"/>
    <n v="639784.45963401021"/>
    <n v="9.8262750849406444E-2"/>
    <n v="20.635177678375353"/>
    <s v="Relegated"/>
    <n v="0.78782254416631747"/>
    <n v="165.44273427492666"/>
  </r>
  <r>
    <s v="BAKRESWAR TPS2"/>
    <s v="West Bengal"/>
    <s v="ER"/>
    <x v="1"/>
    <x v="4"/>
    <n v="20.843258042436599"/>
    <n v="210"/>
    <n v="2.6"/>
    <n v="546"/>
    <n v="3120.0324989953706"/>
    <n v="655206.8247890278"/>
    <n v="9.8262750849406444E-2"/>
    <n v="20.635177678375353"/>
    <s v="Relegated"/>
    <n v="0.79492671944359516"/>
    <n v="166.93461108315498"/>
  </r>
  <r>
    <s v="BAKRESWAR TPS3"/>
    <s v="West Bengal"/>
    <s v="ER"/>
    <x v="1"/>
    <x v="3"/>
    <n v="20.008213552361301"/>
    <n v="210"/>
    <n v="2.6"/>
    <n v="546"/>
    <n v="3131.3599798705222"/>
    <n v="657585.5957728097"/>
    <n v="9.8262750849406444E-2"/>
    <n v="20.635177678375353"/>
    <s v="Relegated"/>
    <n v="0.74135983521950599"/>
    <n v="155.68556539609625"/>
  </r>
  <r>
    <s v="BAKRESWAR TPS4"/>
    <s v="West Bengal"/>
    <s v="ER"/>
    <x v="1"/>
    <x v="3"/>
    <n v="19.175906913073199"/>
    <n v="210"/>
    <n v="2.6"/>
    <n v="546"/>
    <n v="3107.1206027053936"/>
    <n v="652495.32656813262"/>
    <n v="9.8262750849406444E-2"/>
    <n v="20.635177678375353"/>
    <s v="Relegated"/>
    <n v="0.79544835682181936"/>
    <n v="167.04415493258207"/>
  </r>
  <r>
    <s v="BAKRESWAR TPS5"/>
    <s v="West Bengal"/>
    <s v="ER"/>
    <x v="1"/>
    <x v="2"/>
    <n v="12.4243668720054"/>
    <n v="210"/>
    <n v="2.6"/>
    <n v="546"/>
    <n v="3071.29199723687"/>
    <n v="644971.31941974268"/>
    <n v="9.8262750849406444E-2"/>
    <n v="20.635177678375353"/>
    <s v="Relegated"/>
    <n v="0.74778302474740865"/>
    <n v="157.03443519695583"/>
  </r>
  <r>
    <s v="BANDEL TPS1"/>
    <s v="West Bengal"/>
    <s v="ER"/>
    <x v="1"/>
    <x v="7"/>
    <n v="54.672142368240898"/>
    <n v="60"/>
    <n v="3.66"/>
    <n v="219.60000000000002"/>
    <n v="3660.7803302603902"/>
    <n v="219646.8198156234"/>
    <n v="0.1207682612530637"/>
    <n v="7.2460956751838221"/>
    <s v="Relegated"/>
    <n v="0.3606232435657486"/>
    <n v="21.637394613944917"/>
  </r>
  <r>
    <s v="BANDEL TPS2"/>
    <s v="West Bengal"/>
    <s v="ER"/>
    <x v="1"/>
    <x v="7"/>
    <n v="54.590006844626899"/>
    <n v="60"/>
    <n v="3.66"/>
    <n v="219.60000000000002"/>
    <n v="3656.4742951525377"/>
    <n v="219388.45770915225"/>
    <n v="0.1207682612530637"/>
    <n v="7.2460956751838221"/>
    <s v="Relegated"/>
    <n v="0.37175087840104515"/>
    <n v="22.30505270406271"/>
  </r>
  <r>
    <s v="BANDEL TPS5"/>
    <s v="West Bengal"/>
    <s v="ER"/>
    <x v="1"/>
    <x v="8"/>
    <n v="37.590691307323702"/>
    <n v="210"/>
    <n v="3.66"/>
    <n v="768.6"/>
    <n v="3350.9707734417611"/>
    <n v="703703.86242276989"/>
    <n v="0.1207682612530637"/>
    <n v="25.361334863143377"/>
    <s v="Relegated"/>
    <n v="0.48294712711640875"/>
    <n v="101.41889669444583"/>
  </r>
  <r>
    <s v="BARAUNI TPS7"/>
    <s v="Bihar"/>
    <s v="ER"/>
    <x v="0"/>
    <x v="0"/>
    <n v="3.4962354551676902"/>
    <n v="110"/>
    <n v="3.04"/>
    <n v="334.4"/>
    <n v="3323.8948286463105"/>
    <n v="365628.43115109415"/>
    <n v="0.09"/>
    <n v="9.9"/>
    <s v="Relegated"/>
    <n v="5.6867127897439015E-2"/>
    <n v="6.2553840687182918"/>
  </r>
  <r>
    <s v="BARKHERA TPS1"/>
    <s v="Uttar Pradesh"/>
    <s v="NR"/>
    <x v="2"/>
    <x v="1"/>
    <n v="8.5065023956194299"/>
    <n v="45"/>
    <n v="3.73"/>
    <n v="167.85"/>
    <n v="3386.2741253729387"/>
    <n v="152382.33564178224"/>
    <n v="0.10106329868235293"/>
    <n v="4.5478484407058817"/>
    <s v="Relegated"/>
    <n v="0.16599666704595001"/>
    <n v="7.46985001706775"/>
  </r>
  <r>
    <s v="BARKHERA TPS2"/>
    <s v="Uttar Pradesh"/>
    <s v="NR"/>
    <x v="2"/>
    <x v="1"/>
    <n v="8.33949349760438"/>
    <n v="45"/>
    <n v="3.73"/>
    <n v="167.85"/>
    <n v="3393.5343894834632"/>
    <n v="152709.04752675584"/>
    <n v="0.10106329868235293"/>
    <n v="4.5478484407058817"/>
    <s v="Relegated"/>
    <n v="0.14017378297396205"/>
    <n v="6.3078202338282923"/>
  </r>
  <r>
    <s v="BELA TPS1"/>
    <s v="Maharashtra"/>
    <s v="WR"/>
    <x v="2"/>
    <x v="1"/>
    <n v="7.1759069130732298"/>
    <n v="270"/>
    <n v="3.0389811943050504"/>
    <n v="820.52492246236363"/>
    <n v="3276.3328003729403"/>
    <n v="884609.85610069381"/>
    <n v="9.4448436788302656E-2"/>
    <n v="25.501077932841717"/>
    <s v="Relegated"/>
    <n v="2.8690124563033641E-2"/>
    <n v="7.7463336320190832"/>
  </r>
  <r>
    <s v="BHILAI TPS1"/>
    <s v="Chhatisgarh"/>
    <s v="WR"/>
    <x v="0"/>
    <x v="2"/>
    <n v="12.090349075975301"/>
    <n v="250"/>
    <n v="2.5499999999999998"/>
    <n v="637.5"/>
    <n v="3033.9618185784338"/>
    <n v="758490.45464460843"/>
    <n v="8.0634482570770813E-2"/>
    <n v="20.158620642692703"/>
    <s v="Relegated"/>
    <n v="0.74051026187239166"/>
    <n v="185.12756546809791"/>
  </r>
  <r>
    <s v="BHILAI TPS2"/>
    <s v="Chhatisgarh"/>
    <s v="WR"/>
    <x v="0"/>
    <x v="2"/>
    <n v="10.841889117043101"/>
    <n v="250"/>
    <n v="2.5499999999999998"/>
    <n v="637.5"/>
    <n v="3017.4020665786752"/>
    <n v="754350.51664466877"/>
    <n v="8.0634482570770813E-2"/>
    <n v="20.158620642692703"/>
    <s v="Relegated"/>
    <n v="0.76174879532757167"/>
    <n v="190.43719883189291"/>
  </r>
  <r>
    <s v="BHUSAWAL TPS3"/>
    <s v="Maharashtra"/>
    <s v="WR"/>
    <x v="1"/>
    <x v="8"/>
    <n v="37.672826830937701"/>
    <n v="210"/>
    <n v="3.07"/>
    <n v="644.69999999999993"/>
    <n v="3480.4498129004405"/>
    <n v="730894.46070909256"/>
    <n v="6.8124170867604139E-2"/>
    <n v="14.306075882196868"/>
    <s v="Relegated"/>
    <n v="0.11945986358124167"/>
    <n v="25.086571352060751"/>
  </r>
  <r>
    <s v="BOKARO B TPS3"/>
    <s v="Jharkhand"/>
    <s v="ER"/>
    <x v="0"/>
    <x v="5"/>
    <n v="26.757015742642"/>
    <n v="210"/>
    <n v="2.0954104135977465"/>
    <n v="440.03618685552675"/>
    <n v="3356.187865189991"/>
    <n v="704799.45168989815"/>
    <n v="0.17551275347161696"/>
    <n v="36.857678229039564"/>
    <s v="Relegated"/>
    <n v="0.21676486215752575"/>
    <n v="45.520621053080404"/>
  </r>
  <r>
    <s v="BUDGE BUDGE TPS1"/>
    <s v="West Bengal"/>
    <s v="ER"/>
    <x v="2"/>
    <x v="4"/>
    <n v="22.672142368240898"/>
    <n v="250"/>
    <n v="1.5860046716954532"/>
    <n v="396.50116792386331"/>
    <n v="3061.430337284547"/>
    <n v="765357.5843211367"/>
    <n v="8.0053382136410028E-2"/>
    <n v="20.013345534102505"/>
    <s v="Relegated"/>
    <n v="0.90199457892661339"/>
    <n v="225.49864473165334"/>
  </r>
  <r>
    <s v="BUDGE BUDGE TPS2"/>
    <s v="West Bengal"/>
    <s v="ER"/>
    <x v="2"/>
    <x v="4"/>
    <n v="21.177275838466802"/>
    <n v="250"/>
    <n v="1.6235939665300607"/>
    <n v="405.89849163251517"/>
    <n v="3072.002852685659"/>
    <n v="768000.7131714148"/>
    <n v="8.0053382136410028E-2"/>
    <n v="20.013345534102505"/>
    <s v="Relegated"/>
    <n v="0.83546095944641485"/>
    <n v="208.86523986160373"/>
  </r>
  <r>
    <s v="BUDGE BUDGE TPS3"/>
    <s v="West Bengal"/>
    <s v="ER"/>
    <x v="2"/>
    <x v="2"/>
    <n v="10.6721423682409"/>
    <n v="250"/>
    <n v="1.4700491838975502"/>
    <n v="367.51229597438754"/>
    <n v="2959.3652977069278"/>
    <n v="739841.32442673191"/>
    <n v="8.0053382136410028E-2"/>
    <n v="20.013345534102505"/>
    <s v="Relegated"/>
    <n v="0.93339052502723829"/>
    <n v="233.34763125680956"/>
  </r>
  <r>
    <s v="CHAKABURA TPP2"/>
    <s v="Chhatisgarh"/>
    <s v="WR"/>
    <x v="2"/>
    <x v="1"/>
    <n v="6.1765913757700197"/>
    <n v="30"/>
    <n v="2.3884143380106337"/>
    <n v="71.652430140319012"/>
    <n v="3203.1828186954863"/>
    <n v="96095.484560864585"/>
    <m/>
    <n v="0"/>
    <s v="Relegated"/>
    <n v="0.89898017505749173"/>
    <n v="26.969405251724751"/>
  </r>
  <r>
    <s v="CHANDRAPUR STPS3"/>
    <s v="Maharashtra"/>
    <s v="WR"/>
    <x v="1"/>
    <x v="6"/>
    <n v="35.008898015058101"/>
    <n v="210"/>
    <n v="2.31"/>
    <n v="485.1"/>
    <n v="3363.9572582847109"/>
    <n v="706431.02423978923"/>
    <n v="7.096074531932961E-2"/>
    <n v="14.901756517059217"/>
    <s v="Relegated"/>
    <n v="0.40668558501500002"/>
    <n v="85.403972853150009"/>
  </r>
  <r>
    <s v="CHANDRAPUR STPS4"/>
    <s v="Maharashtra"/>
    <s v="WR"/>
    <x v="1"/>
    <x v="6"/>
    <n v="34.176591375770002"/>
    <n v="210"/>
    <n v="2.31"/>
    <n v="485.1"/>
    <n v="3343.1414891861291"/>
    <n v="702059.7127290871"/>
    <n v="7.096074531932961E-2"/>
    <n v="14.901756517059217"/>
    <s v="Relegated"/>
    <n v="0.45041746312705361"/>
    <n v="94.587667256681257"/>
  </r>
  <r>
    <s v="CHANDRAPURA(DVC)7"/>
    <s v="Jharkhand"/>
    <s v="ER"/>
    <x v="0"/>
    <x v="2"/>
    <n v="10.5051334702258"/>
    <n v="250"/>
    <n v="2.04"/>
    <n v="510"/>
    <n v="2991.648929500454"/>
    <n v="747912.23237511353"/>
    <n v="9.1459561477170895E-2"/>
    <n v="22.864890369292723"/>
    <s v="Relegated"/>
    <n v="0.83187027928852997"/>
    <n v="207.9675698221325"/>
  </r>
  <r>
    <s v="CHANDRAPURA(DVC)8"/>
    <s v="Jharkhand"/>
    <s v="ER"/>
    <x v="0"/>
    <x v="2"/>
    <n v="10.17659137577"/>
    <n v="250"/>
    <n v="2.04"/>
    <n v="510"/>
    <n v="2999.7339134091799"/>
    <n v="749933.478352295"/>
    <n v="9.1459561477170895E-2"/>
    <n v="22.864890369292723"/>
    <s v="Relegated"/>
    <n v="0.79981902395390669"/>
    <n v="199.95475598847668"/>
  </r>
  <r>
    <s v="CHHABRA TPS1"/>
    <s v="Rajasthan"/>
    <s v="NR"/>
    <x v="1"/>
    <x v="2"/>
    <n v="10.590006844626901"/>
    <n v="250"/>
    <n v="2.34"/>
    <n v="585"/>
    <n v="2984.5926364724755"/>
    <n v="746148.15911811893"/>
    <m/>
    <n v="0"/>
    <s v="Relegated"/>
    <n v="0.85517772768513833"/>
    <n v="213.79443192128457"/>
  </r>
  <r>
    <s v="CHHABRA TPS2"/>
    <s v="Rajasthan"/>
    <s v="NR"/>
    <x v="1"/>
    <x v="1"/>
    <n v="10.009582477754901"/>
    <n v="250"/>
    <n v="2.34"/>
    <n v="585"/>
    <n v="2996.8931558442864"/>
    <n v="749223.28896107164"/>
    <m/>
    <n v="0"/>
    <s v="Relegated"/>
    <n v="0.80455240635467329"/>
    <n v="201.13810158866832"/>
  </r>
  <r>
    <s v="DADRI (NCTPP)1"/>
    <s v="Uttar Pradesh"/>
    <s v="NR"/>
    <x v="0"/>
    <x v="5"/>
    <n v="28.4243668720054"/>
    <n v="210"/>
    <n v="3.75"/>
    <n v="787.5"/>
    <n v="3286.9749414914118"/>
    <n v="690264.73771319643"/>
    <n v="6.6665772632952203E-2"/>
    <n v="13.999812252919963"/>
    <s v="Relegated"/>
    <n v="0.48011283288085521"/>
    <n v="100.82369490497959"/>
  </r>
  <r>
    <s v="DADRI (NCTPP)2"/>
    <s v="Uttar Pradesh"/>
    <s v="NR"/>
    <x v="0"/>
    <x v="5"/>
    <n v="27.422313483915101"/>
    <n v="210"/>
    <n v="3.75"/>
    <n v="787.5"/>
    <n v="3290.8825885594665"/>
    <n v="691085.34359748801"/>
    <n v="6.6665772632952203E-2"/>
    <n v="13.999812252919963"/>
    <s v="Relegated"/>
    <n v="0.44513134309670638"/>
    <n v="93.477582050308342"/>
  </r>
  <r>
    <s v="DADRI (NCTPP)3"/>
    <s v="Uttar Pradesh"/>
    <s v="NR"/>
    <x v="0"/>
    <x v="5"/>
    <n v="27.175906913073199"/>
    <n v="210"/>
    <n v="3.75"/>
    <n v="787.5"/>
    <n v="3265.4129499414098"/>
    <n v="685736.71948769607"/>
    <n v="6.6665772632952203E-2"/>
    <n v="13.999812252919963"/>
    <s v="Relegated"/>
    <n v="0.51648347569777986"/>
    <n v="108.46152989653378"/>
  </r>
  <r>
    <s v="DADRI (NCTPP)4"/>
    <s v="Uttar Pradesh"/>
    <s v="NR"/>
    <x v="0"/>
    <x v="5"/>
    <n v="26.176591375769998"/>
    <n v="210"/>
    <n v="3.75"/>
    <n v="787.5"/>
    <n v="3240.2915967893082"/>
    <n v="680461.23532575474"/>
    <n v="6.6665772632952203E-2"/>
    <n v="13.999812252919963"/>
    <s v="Relegated"/>
    <n v="0.56937993435679568"/>
    <n v="119.56978621492709"/>
  </r>
  <r>
    <s v="DAHANU TPS1"/>
    <s v="Maharashtra"/>
    <s v="WR"/>
    <x v="2"/>
    <x v="5"/>
    <n v="25.338809034907499"/>
    <n v="250"/>
    <n v="3.39"/>
    <n v="847.5"/>
    <n v="3180.0236738017743"/>
    <n v="795005.91845044354"/>
    <n v="9.2649498418971077E-2"/>
    <n v="23.162374604742769"/>
    <s v="Relegated"/>
    <n v="0.79768339834839497"/>
    <n v="199.42084958709873"/>
  </r>
  <r>
    <s v="DAHANU TPS2"/>
    <s v="Maharashtra"/>
    <s v="WR"/>
    <x v="2"/>
    <x v="5"/>
    <n v="25.177275838466802"/>
    <n v="250"/>
    <n v="3.39"/>
    <n v="847.5"/>
    <n v="3193.1700282391421"/>
    <n v="798292.50705978554"/>
    <n v="9.2649498418971077E-2"/>
    <n v="23.162374604742769"/>
    <s v="Relegated"/>
    <n v="0.75418125780650502"/>
    <n v="188.54531445162627"/>
  </r>
  <r>
    <s v="DR. N TATA RAO TPS1"/>
    <s v="Andhra Pradesh"/>
    <s v="SR"/>
    <x v="1"/>
    <x v="9"/>
    <n v="40.5065023956194"/>
    <n v="210"/>
    <n v="3.1"/>
    <n v="651"/>
    <n v="3347.8955168094913"/>
    <n v="703058.05852999317"/>
    <n v="8.8971276393347468E-2"/>
    <n v="18.683968042602967"/>
    <s v="Relegated"/>
    <n v="0.55964352153129959"/>
    <n v="117.52513952157291"/>
  </r>
  <r>
    <s v="DR. N TATA RAO TPS2"/>
    <s v="Andhra Pradesh"/>
    <s v="SR"/>
    <x v="1"/>
    <x v="8"/>
    <n v="39.564681724845997"/>
    <n v="210"/>
    <n v="3.1"/>
    <n v="651"/>
    <n v="3317.4483328955112"/>
    <n v="696664.1499080573"/>
    <n v="8.8971276393347468E-2"/>
    <n v="18.683968042602967"/>
    <s v="Relegated"/>
    <n v="0.62997986127163697"/>
    <n v="132.29577086704376"/>
  </r>
  <r>
    <s v="DR. N TATA RAO TPS3"/>
    <s v="Andhra Pradesh"/>
    <s v="SR"/>
    <x v="1"/>
    <x v="6"/>
    <n v="30.579055441478399"/>
    <n v="210"/>
    <n v="3.1"/>
    <n v="651"/>
    <n v="3209.8580459646537"/>
    <n v="674070.18965257728"/>
    <n v="8.8971276393347468E-2"/>
    <n v="18.683968042602967"/>
    <s v="Relegated"/>
    <n v="0.7477616790604068"/>
    <n v="157.02995260268543"/>
  </r>
  <r>
    <s v="DR. N TATA RAO TPS4"/>
    <s v="Andhra Pradesh"/>
    <s v="SR"/>
    <x v="1"/>
    <x v="5"/>
    <n v="29.6974674880219"/>
    <n v="210"/>
    <n v="3.1"/>
    <n v="651"/>
    <n v="3193.0815610882787"/>
    <n v="670547.12782853853"/>
    <n v="8.8971276393347468E-2"/>
    <n v="18.683968042602967"/>
    <s v="Relegated"/>
    <n v="0.7781354064124445"/>
    <n v="163.40843534661335"/>
  </r>
  <r>
    <s v="DR. N TATA RAO TPS5"/>
    <s v="Andhra Pradesh"/>
    <s v="SR"/>
    <x v="1"/>
    <x v="5"/>
    <n v="26.094455852155999"/>
    <n v="210"/>
    <n v="3.1"/>
    <n v="651"/>
    <n v="3167.3357818605296"/>
    <n v="665140.5141907112"/>
    <n v="8.8971276393347468E-2"/>
    <n v="18.683968042602967"/>
    <s v="Relegated"/>
    <n v="0.77274121451818845"/>
    <n v="162.27565504881957"/>
  </r>
  <r>
    <s v="DR. N TATA RAO TPS6"/>
    <s v="Andhra Pradesh"/>
    <s v="SR"/>
    <x v="1"/>
    <x v="5"/>
    <n v="25.190965092402401"/>
    <n v="210"/>
    <n v="3.1"/>
    <n v="651"/>
    <n v="3164.9073165711693"/>
    <n v="664630.53647994553"/>
    <n v="8.8971276393347468E-2"/>
    <n v="18.683968042602967"/>
    <s v="Relegated"/>
    <n v="0.75920497999535319"/>
    <n v="159.43304579902417"/>
  </r>
  <r>
    <s v="DSPM TPS1"/>
    <s v="Chhatisgarh"/>
    <s v="WR"/>
    <x v="1"/>
    <x v="2"/>
    <n v="13.1772758384668"/>
    <n v="250"/>
    <n v="1.49"/>
    <n v="372.5"/>
    <n v="2996.6539560616093"/>
    <n v="749163.48901540227"/>
    <m/>
    <n v="0"/>
    <s v="Relegated"/>
    <n v="0.87849132816592157"/>
    <n v="219.62283204148039"/>
  </r>
  <r>
    <s v="DSPM TPS2"/>
    <s v="Chhatisgarh"/>
    <s v="WR"/>
    <x v="1"/>
    <x v="2"/>
    <n v="12.4243668720054"/>
    <n v="250"/>
    <n v="1.49"/>
    <n v="372.5"/>
    <n v="2983.9348388406584"/>
    <n v="745983.70971016458"/>
    <m/>
    <n v="0"/>
    <s v="Relegated"/>
    <n v="0.89956542175021004"/>
    <n v="224.89135543755251"/>
  </r>
  <r>
    <s v="DURGAPUR TPS4"/>
    <s v="West Bengal"/>
    <s v="ER"/>
    <x v="0"/>
    <x v="8"/>
    <n v="37.672826830937701"/>
    <n v="220"/>
    <n v="2.69"/>
    <n v="591.79999999999995"/>
    <n v="3365.9200081007493"/>
    <n v="740502.40178216482"/>
    <n v="0.12433386465223378"/>
    <n v="27.353450223491432"/>
    <s v="Relegated"/>
    <n v="0.41161877742411557"/>
    <n v="90.556131033305419"/>
  </r>
  <r>
    <s v="FARAKKA STPS1"/>
    <s v="West Bengal"/>
    <s v="ER"/>
    <x v="0"/>
    <x v="6"/>
    <n v="34.338124572210802"/>
    <n v="200"/>
    <n v="2.56"/>
    <n v="512"/>
    <n v="3239.787572923351"/>
    <n v="647957.51458467019"/>
    <n v="7.0380830688675913E-2"/>
    <n v="14.076166137735182"/>
    <s v="Relegated"/>
    <n v="0.7796218505926521"/>
    <n v="155.92437011853042"/>
  </r>
  <r>
    <s v="FARAKKA STPS2"/>
    <s v="West Bengal"/>
    <s v="ER"/>
    <x v="0"/>
    <x v="6"/>
    <n v="33.423682409308597"/>
    <n v="200"/>
    <n v="2.56"/>
    <n v="512"/>
    <n v="3227.9114963670645"/>
    <n v="645582.29927341291"/>
    <n v="7.0380830688675913E-2"/>
    <n v="14.076166137735182"/>
    <s v="Relegated"/>
    <n v="0.79441215106732288"/>
    <n v="158.88243021346457"/>
  </r>
  <r>
    <s v="FARAKKA STPS3"/>
    <s v="West Bengal"/>
    <s v="ER"/>
    <x v="0"/>
    <x v="6"/>
    <n v="32.758384668035497"/>
    <n v="200"/>
    <n v="2.56"/>
    <n v="512"/>
    <n v="3233.0128017583061"/>
    <n v="646602.56035166117"/>
    <n v="7.0380830688675913E-2"/>
    <n v="14.076166137735182"/>
    <s v="Relegated"/>
    <n v="0.76360324394094581"/>
    <n v="152.72064878818915"/>
  </r>
  <r>
    <s v="GANDHI NAGAR TPS3"/>
    <s v="Gujarat"/>
    <s v="WR"/>
    <x v="1"/>
    <x v="6"/>
    <n v="30.176591375769998"/>
    <n v="210"/>
    <n v="3.99"/>
    <n v="837.90000000000009"/>
    <n v="3311.2155942149197"/>
    <n v="695355.2747851332"/>
    <n v="0.10218427974471911"/>
    <n v="21.458698746391011"/>
    <s v="Relegated"/>
    <n v="0.49978666257289878"/>
    <n v="104.95519914030875"/>
  </r>
  <r>
    <s v="GANDHI NAGAR TPS4"/>
    <s v="Gujarat"/>
    <s v="WR"/>
    <x v="1"/>
    <x v="5"/>
    <n v="28.843258042436599"/>
    <n v="210"/>
    <n v="3.99"/>
    <n v="837.90000000000009"/>
    <n v="3306.2759771298252"/>
    <n v="694317.95519726328"/>
    <n v="0.10218427974471911"/>
    <n v="21.458698746391011"/>
    <s v="Relegated"/>
    <n v="0.48391182053713694"/>
    <n v="101.62148231279876"/>
  </r>
  <r>
    <s v="GANDHI NAGAR TPS5"/>
    <s v="Gujarat"/>
    <s v="WR"/>
    <x v="1"/>
    <x v="4"/>
    <n v="22.176591375769998"/>
    <n v="210"/>
    <n v="3.78"/>
    <n v="793.8"/>
    <n v="3172.6248785453254"/>
    <n v="666251.22449451836"/>
    <n v="0.10218427974471911"/>
    <n v="21.458698746391011"/>
    <s v="Relegated"/>
    <n v="0.73412776569862304"/>
    <n v="154.16683079671083"/>
  </r>
  <r>
    <s v="GH TPS (LEH.MOH.)1"/>
    <s v="Punjab"/>
    <s v="NR"/>
    <x v="1"/>
    <x v="4"/>
    <n v="22.4229979466119"/>
    <n v="210"/>
    <n v="3.61"/>
    <n v="758.1"/>
    <n v="3320.855980478299"/>
    <n v="697379.75590044283"/>
    <n v="0.11114699610484161"/>
    <n v="23.340869182016736"/>
    <s v="Relegated"/>
    <n v="0.22347343623314089"/>
    <n v="46.929421608959586"/>
  </r>
  <r>
    <s v="GH TPS (LEH.MOH.)2"/>
    <s v="Punjab"/>
    <s v="NR"/>
    <x v="1"/>
    <x v="4"/>
    <n v="21.590691307323699"/>
    <n v="210"/>
    <n v="3.61"/>
    <n v="758.1"/>
    <n v="3313.823386972776"/>
    <n v="695902.911264283"/>
    <n v="0.11114699610484161"/>
    <n v="23.340869182016736"/>
    <s v="Relegated"/>
    <n v="0.22551028588216071"/>
    <n v="47.357160035253749"/>
  </r>
  <r>
    <s v="GH TPS (LEH.MOH.)3"/>
    <s v="Punjab"/>
    <s v="NR"/>
    <x v="1"/>
    <x v="2"/>
    <n v="12.3394934976043"/>
    <n v="250"/>
    <n v="3.61"/>
    <n v="902.5"/>
    <n v="3182.6859644912947"/>
    <n v="795671.49112282367"/>
    <n v="0.11114699610484161"/>
    <n v="27.786749026210401"/>
    <s v="Relegated"/>
    <n v="0.29636827750998995"/>
    <n v="74.092069377497495"/>
  </r>
  <r>
    <s v="GH TPS (LEH.MOH.)4"/>
    <s v="Punjab"/>
    <s v="NR"/>
    <x v="1"/>
    <x v="2"/>
    <n v="11.841204654346299"/>
    <n v="250"/>
    <n v="3.61"/>
    <n v="902.5"/>
    <n v="3203.2763202056753"/>
    <n v="800819.08005141886"/>
    <n v="0.11114699610484161"/>
    <n v="27.786749026210401"/>
    <s v="Relegated"/>
    <n v="0.22256405603521834"/>
    <n v="55.641014008804582"/>
  </r>
  <r>
    <s v="HARDUAGANJ TPS7"/>
    <s v="Uttar Pradesh"/>
    <s v="NR"/>
    <x v="1"/>
    <x v="9"/>
    <n v="42.176591375770002"/>
    <n v="105"/>
    <n v="3.47"/>
    <n v="364.35"/>
    <n v="3573.1817612168879"/>
    <n v="375184.08492777322"/>
    <n v="8.6582291374875858E-2"/>
    <n v="9.0911405943619652"/>
    <s v="Relegated"/>
    <n v="0.2107839528173151"/>
    <n v="22.132315045818086"/>
  </r>
  <r>
    <s v="IB VALLEY TPS1"/>
    <s v="Odisha"/>
    <s v="ER"/>
    <x v="1"/>
    <x v="5"/>
    <n v="25.924709103353798"/>
    <n v="210"/>
    <n v="1.34"/>
    <n v="281.40000000000003"/>
    <n v="3170.4655915227595"/>
    <n v="665797.77421977953"/>
    <n v="0.10945422612917571"/>
    <n v="22.9853874871269"/>
    <s v="Relegated"/>
    <n v="0.75934995122276783"/>
    <n v="159.46348975678126"/>
  </r>
  <r>
    <s v="IB VALLEY TPS2"/>
    <s v="Odisha"/>
    <s v="ER"/>
    <x v="1"/>
    <x v="4"/>
    <n v="24.591375770020498"/>
    <n v="210"/>
    <n v="1.34"/>
    <n v="281.40000000000003"/>
    <n v="3159.5699382344401"/>
    <n v="663509.68702923239"/>
    <n v="0.10945422612917571"/>
    <n v="22.9853874871269"/>
    <s v="Relegated"/>
    <n v="0.76149251724682931"/>
    <n v="159.91342862183416"/>
  </r>
  <r>
    <s v="JOJOBERA TPS2"/>
    <s v="Jharkhand"/>
    <s v="ER"/>
    <x v="2"/>
    <x v="3"/>
    <n v="19.337440109513999"/>
    <n v="120"/>
    <n v="1.942570990397406"/>
    <n v="233.10851884768871"/>
    <n v="3228.4360999596247"/>
    <n v="387412.33199515496"/>
    <m/>
    <n v="0"/>
    <s v="Relegated"/>
    <n v="0.72321095379914924"/>
    <n v="86.785314455897904"/>
  </r>
  <r>
    <s v="JOJOBERA TPS3"/>
    <s v="Jharkhand"/>
    <s v="ER"/>
    <x v="2"/>
    <x v="3"/>
    <n v="18.338124572210798"/>
    <n v="120"/>
    <n v="1.9542322361748641"/>
    <n v="234.50786834098369"/>
    <n v="3221.6656981600786"/>
    <n v="386599.88377920946"/>
    <m/>
    <n v="0"/>
    <s v="Relegated"/>
    <n v="0.72059455667231609"/>
    <n v="86.471346800677935"/>
  </r>
  <r>
    <s v="JSW RATNAGIRI TPP1"/>
    <s v="Maharashtra"/>
    <s v="WR"/>
    <x v="2"/>
    <x v="1"/>
    <n v="9.7577002053388"/>
    <n v="300"/>
    <n v="2.0699999999999998"/>
    <n v="621"/>
    <n v="3163.070662575069"/>
    <n v="948921.19877252076"/>
    <n v="9.0376126869674167E-2"/>
    <n v="27.112838060902249"/>
    <s v="Relegated"/>
    <n v="0.83802919576396806"/>
    <n v="251.40875872919042"/>
  </r>
  <r>
    <s v="JSW RATNAGIRI TPP2"/>
    <s v="Maharashtra"/>
    <s v="WR"/>
    <x v="2"/>
    <x v="1"/>
    <n v="9.4236824093086895"/>
    <n v="300"/>
    <n v="2.5940864372397465"/>
    <n v="778.225931171924"/>
    <n v="3221.1813152633604"/>
    <n v="966354.39457900811"/>
    <n v="9.0376126869674167E-2"/>
    <n v="27.112838060902249"/>
    <s v="Relegated"/>
    <n v="0.65452038429606663"/>
    <n v="196.35611528881998"/>
  </r>
  <r>
    <s v="JSW RATNAGIRI TPP3"/>
    <s v="Maharashtra"/>
    <s v="WR"/>
    <x v="2"/>
    <x v="1"/>
    <n v="9.0102669404517393"/>
    <n v="300"/>
    <n v="2.5249528855718557"/>
    <n v="757.48586567155667"/>
    <n v="3188.5133163394612"/>
    <n v="956553.99490183836"/>
    <n v="9.0376126869674167E-2"/>
    <n v="27.112838060902249"/>
    <s v="Relegated"/>
    <n v="0.74378793917600006"/>
    <n v="223.13638175280002"/>
  </r>
  <r>
    <s v="JSW RATNAGIRI TPP4"/>
    <s v="Maharashtra"/>
    <s v="WR"/>
    <x v="2"/>
    <x v="1"/>
    <n v="8.5913757700205302"/>
    <n v="300"/>
    <n v="2.0699999999999998"/>
    <n v="621"/>
    <n v="3183.9926969177823"/>
    <n v="955197.80907533469"/>
    <n v="9.0376126869674167E-2"/>
    <n v="27.112838060902249"/>
    <s v="Relegated"/>
    <n v="0.74778122696097782"/>
    <n v="224.33436808829333"/>
  </r>
  <r>
    <s v="KAHALGAON TPS1"/>
    <s v="Bihar"/>
    <s v="ER"/>
    <x v="0"/>
    <x v="5"/>
    <n v="28.175222450376399"/>
    <n v="210"/>
    <n v="2.36"/>
    <n v="495.59999999999997"/>
    <n v="3179.7383386481356"/>
    <n v="667745.05111610843"/>
    <n v="7.2417181230320551E-2"/>
    <n v="15.207608058367315"/>
    <s v="Relegated"/>
    <n v="0.78331569104385323"/>
    <n v="164.49629511920918"/>
  </r>
  <r>
    <s v="KAHALGAON TPS2"/>
    <s v="Bihar"/>
    <s v="ER"/>
    <x v="0"/>
    <x v="5"/>
    <n v="26.176591375769998"/>
    <n v="210"/>
    <n v="2.36"/>
    <n v="495.59999999999997"/>
    <n v="3157.0703796317912"/>
    <n v="662984.77972267615"/>
    <n v="7.2417181230320551E-2"/>
    <n v="15.207608058367315"/>
    <s v="Relegated"/>
    <n v="0.80569315266623409"/>
    <n v="169.19556205990915"/>
  </r>
  <r>
    <s v="KAHALGAON TPS3"/>
    <s v="Bihar"/>
    <s v="ER"/>
    <x v="0"/>
    <x v="5"/>
    <n v="25.177275838466802"/>
    <n v="210"/>
    <n v="2.36"/>
    <n v="495.59999999999997"/>
    <n v="3142.4477712884354"/>
    <n v="659914.03197057149"/>
    <n v="7.2417181230320551E-2"/>
    <n v="15.207608058367315"/>
    <s v="Relegated"/>
    <n v="0.82683020576074406"/>
    <n v="173.63434320975625"/>
  </r>
  <r>
    <s v="KAHALGAON TPS4"/>
    <s v="Bihar"/>
    <s v="ER"/>
    <x v="0"/>
    <x v="4"/>
    <n v="24.175222450376399"/>
    <n v="210"/>
    <n v="2.36"/>
    <n v="495.59999999999997"/>
    <n v="3134.1146394730058"/>
    <n v="658164.07428933121"/>
    <n v="7.2417181230320551E-2"/>
    <n v="15.207608058367315"/>
    <s v="Relegated"/>
    <n v="0.82887789118448807"/>
    <n v="174.06435714874249"/>
  </r>
  <r>
    <s v="KASAIPALLI TPP1"/>
    <s v="Chhatisgarh"/>
    <s v="WR"/>
    <x v="2"/>
    <x v="1"/>
    <n v="8.4243668720054696"/>
    <n v="135"/>
    <n v="0.76"/>
    <n v="102.6"/>
    <n v="3158.3194946248941"/>
    <n v="426373.13177436072"/>
    <n v="0.11279107493880862"/>
    <n v="15.226795116739163"/>
    <s v="Relegated"/>
    <n v="0.79260247009490747"/>
    <n v="107.00133346281251"/>
  </r>
  <r>
    <s v="KASAIPALLI TPP2"/>
    <s v="Chhatisgarh"/>
    <s v="WR"/>
    <x v="2"/>
    <x v="1"/>
    <n v="7.9233401779603003"/>
    <n v="135"/>
    <n v="0.76"/>
    <n v="102.6"/>
    <n v="3177.7254466733098"/>
    <n v="428992.93530089682"/>
    <n v="0.11279107493880862"/>
    <n v="15.226795116739163"/>
    <s v="Relegated"/>
    <n v="0.72231786864670056"/>
    <n v="97.512912267304571"/>
  </r>
  <r>
    <s v="KHAMBARKHERA TPS1"/>
    <s v="Uttar Pradesh"/>
    <s v="NR"/>
    <x v="2"/>
    <x v="1"/>
    <n v="8.5913757700205302"/>
    <n v="45"/>
    <n v="3.73"/>
    <n v="167.85"/>
    <n v="3397.779343546682"/>
    <n v="152900.07045960068"/>
    <n v="0.10098421534569983"/>
    <n v="4.544289690556492"/>
    <s v="Relegated"/>
    <n v="0.13315430202347683"/>
    <n v="5.9919435910564571"/>
  </r>
  <r>
    <s v="KHAMBARKHERA TPS2"/>
    <s v="Uttar Pradesh"/>
    <s v="NR"/>
    <x v="2"/>
    <x v="1"/>
    <n v="8.5065023956194299"/>
    <n v="45"/>
    <n v="3.73"/>
    <n v="167.85"/>
    <n v="3395.3930595933407"/>
    <n v="152792.68768170034"/>
    <n v="0.10098421534569983"/>
    <n v="4.544289690556492"/>
    <s v="Relegated"/>
    <n v="0.13841128084049167"/>
    <n v="6.2285076378221254"/>
  </r>
  <r>
    <s v="KHAPARKHEDA TPS1"/>
    <s v="Maharashtra"/>
    <s v="WR"/>
    <x v="1"/>
    <x v="6"/>
    <n v="31.175906913073199"/>
    <n v="210"/>
    <n v="2.73"/>
    <n v="573.29999999999995"/>
    <n v="3338.9098710585563"/>
    <n v="701171.07292229682"/>
    <n v="8.9781177379789912E-2"/>
    <n v="18.854047249755883"/>
    <s v="Relegated"/>
    <n v="0.38772934123115083"/>
    <n v="81.423161658541673"/>
  </r>
  <r>
    <s v="KHAPARKHEDA TPS2"/>
    <s v="Maharashtra"/>
    <s v="WR"/>
    <x v="1"/>
    <x v="6"/>
    <n v="30.338124572210798"/>
    <n v="210"/>
    <n v="2.73"/>
    <n v="573.29999999999995"/>
    <n v="3280.7975416845516"/>
    <n v="688967.48375375581"/>
    <n v="8.9781177379789912E-2"/>
    <n v="18.854047249755883"/>
    <s v="Relegated"/>
    <n v="0.54415924922282943"/>
    <n v="114.27344233679418"/>
  </r>
  <r>
    <s v="KHAPARKHEDA TPS3"/>
    <s v="Maharashtra"/>
    <s v="WR"/>
    <x v="1"/>
    <x v="3"/>
    <n v="20.008213552361301"/>
    <n v="210"/>
    <n v="2.73"/>
    <n v="573.29999999999995"/>
    <n v="3201.7848048526539"/>
    <n v="672374.80901905731"/>
    <n v="8.9781177379789912E-2"/>
    <n v="18.854047249755883"/>
    <s v="Relegated"/>
    <n v="0.54442143019331157"/>
    <n v="114.32850034059543"/>
  </r>
  <r>
    <s v="KHAPARKHEDA TPS4"/>
    <s v="Maharashtra"/>
    <s v="WR"/>
    <x v="1"/>
    <x v="3"/>
    <n v="19.337440109513999"/>
    <n v="210"/>
    <n v="2.73"/>
    <n v="573.29999999999995"/>
    <n v="3167.9625443316245"/>
    <n v="665272.13430964109"/>
    <n v="8.9781177379789912E-2"/>
    <n v="18.854047249755883"/>
    <s v="Relegated"/>
    <n v="0.63123235386826382"/>
    <n v="132.55879431233541"/>
  </r>
  <r>
    <s v="KOLAGHAT TPS1"/>
    <s v="West Bengal"/>
    <s v="ER"/>
    <x v="1"/>
    <x v="5"/>
    <n v="27.337440109513999"/>
    <n v="210"/>
    <n v="3.59"/>
    <n v="753.9"/>
    <n v="3377.3417532245253"/>
    <n v="709241.76817715028"/>
    <n v="0.11038497174813085"/>
    <n v="23.180844067107479"/>
    <s v="Relegated"/>
    <n v="0.16711051398477242"/>
    <n v="35.093207936802209"/>
  </r>
  <r>
    <s v="KOLAGHAT TPS2"/>
    <s v="West Bengal"/>
    <s v="ER"/>
    <x v="1"/>
    <x v="5"/>
    <n v="29.7577002053388"/>
    <n v="210"/>
    <n v="3.59"/>
    <n v="753.9"/>
    <n v="3299.5290536997491"/>
    <n v="692901.1012769473"/>
    <n v="0.11038497174813085"/>
    <n v="23.180844067107479"/>
    <s v="Relegated"/>
    <n v="0.45843893683754766"/>
    <n v="96.272176735885012"/>
  </r>
  <r>
    <s v="KOLAGHAT TPS3"/>
    <s v="West Bengal"/>
    <s v="ER"/>
    <x v="1"/>
    <x v="6"/>
    <n v="34.4229979466119"/>
    <n v="210"/>
    <n v="3.59"/>
    <n v="753.9"/>
    <n v="3483.7068461446243"/>
    <n v="731578.43769037107"/>
    <n v="0.11038497174813085"/>
    <n v="23.180844067107479"/>
    <s v="Relegated"/>
    <n v="9.1184502474824999E-3"/>
    <n v="1.9148745519713251"/>
  </r>
  <r>
    <s v="KOLAGHAT TPS4"/>
    <s v="West Bengal"/>
    <s v="ER"/>
    <x v="1"/>
    <x v="8"/>
    <n v="36.339493497604302"/>
    <n v="210"/>
    <n v="3.59"/>
    <n v="753.9"/>
    <n v="3341.7738060502888"/>
    <n v="701772.49927056069"/>
    <n v="0.11038497174813085"/>
    <n v="23.180844067107479"/>
    <s v="Relegated"/>
    <n v="0.48277161562313692"/>
    <n v="101.38203928085875"/>
  </r>
  <r>
    <s v="KOLAGHAT TPS5"/>
    <s v="West Bengal"/>
    <s v="ER"/>
    <x v="1"/>
    <x v="5"/>
    <n v="26.4229979466119"/>
    <n v="210"/>
    <n v="3.59"/>
    <n v="753.9"/>
    <n v="3239.1377389905183"/>
    <n v="680218.92518800881"/>
    <n v="0.11038497174813085"/>
    <n v="23.180844067107479"/>
    <s v="Relegated"/>
    <n v="0.56405127910282737"/>
    <n v="118.45076861159374"/>
  </r>
  <r>
    <s v="KOLAGHAT TPS6"/>
    <s v="West Bengal"/>
    <s v="ER"/>
    <x v="1"/>
    <x v="5"/>
    <n v="29.177275838466802"/>
    <n v="210"/>
    <n v="3.59"/>
    <n v="753.9"/>
    <n v="3277.1178622931388"/>
    <n v="688194.75108155911"/>
    <n v="0.11038497174813085"/>
    <n v="23.180844067107479"/>
    <s v="Relegated"/>
    <n v="0.51281886332788695"/>
    <n v="107.69196129885626"/>
  </r>
  <r>
    <s v="KORADI TPS6"/>
    <s v="Maharashtra"/>
    <s v="WR"/>
    <x v="1"/>
    <x v="8"/>
    <n v="38.176591375770002"/>
    <n v="210"/>
    <n v="2.29"/>
    <n v="480.90000000000003"/>
    <n v="3479.8377194060204"/>
    <n v="730765.92107526422"/>
    <n v="8.2497496941869752E-2"/>
    <n v="17.324474357792649"/>
    <s v="Relegated"/>
    <n v="0.15539424999390436"/>
    <n v="32.632792498719915"/>
  </r>
  <r>
    <s v="KORADI TPS7"/>
    <s v="Maharashtra"/>
    <s v="WR"/>
    <x v="1"/>
    <x v="8"/>
    <n v="37.338809034907598"/>
    <n v="210"/>
    <n v="2.29"/>
    <n v="480.90000000000003"/>
    <n v="3493.9363240657976"/>
    <n v="733726.62805381755"/>
    <n v="8.2497496941869752E-2"/>
    <n v="17.324474357792649"/>
    <s v="Relegated"/>
    <n v="9.3381250576281938E-2"/>
    <n v="19.610062621019207"/>
  </r>
  <r>
    <s v="KORBA STPS1"/>
    <s v="Chhatisgarh"/>
    <s v="WR"/>
    <x v="0"/>
    <x v="8"/>
    <n v="37.2539356605065"/>
    <n v="200"/>
    <n v="1.32"/>
    <n v="264"/>
    <n v="3227.1319198565448"/>
    <n v="645426.38397130894"/>
    <n v="6.2610933454142856E-2"/>
    <n v="12.522186690828571"/>
    <s v="Relegated"/>
    <n v="0.87778879089640816"/>
    <n v="175.55775817928162"/>
  </r>
  <r>
    <s v="KORBA STPS2"/>
    <s v="Chhatisgarh"/>
    <s v="WR"/>
    <x v="0"/>
    <x v="8"/>
    <n v="36.591375770020498"/>
    <n v="200"/>
    <n v="1.32"/>
    <n v="264"/>
    <n v="3229.0673049453144"/>
    <n v="645813.46098906291"/>
    <n v="6.2610933454142856E-2"/>
    <n v="12.522186690828571"/>
    <s v="Relegated"/>
    <n v="0.85662028484765418"/>
    <n v="171.32405696953083"/>
  </r>
  <r>
    <s v="KORBA STPS3"/>
    <s v="Chhatisgarh"/>
    <s v="WR"/>
    <x v="0"/>
    <x v="8"/>
    <n v="36.175222450376403"/>
    <n v="200"/>
    <n v="1.32"/>
    <n v="264"/>
    <n v="3205.5579901456995"/>
    <n v="641111.59802913992"/>
    <n v="6.2610933454142856E-2"/>
    <n v="12.522186690828571"/>
    <s v="Relegated"/>
    <n v="0.91811892708630427"/>
    <n v="183.62378541726085"/>
  </r>
  <r>
    <s v="KORBA-II2"/>
    <s v="Chhatisgarh"/>
    <s v="WR"/>
    <x v="1"/>
    <x v="7"/>
    <n v="53.0102669404517"/>
    <n v="50"/>
    <n v="2.04"/>
    <n v="102"/>
    <n v="3771.9741133656012"/>
    <n v="188598.70566828005"/>
    <m/>
    <n v="0"/>
    <s v="Relegated"/>
    <n v="1.384778097062575E-2"/>
    <n v="0.69238904853128758"/>
  </r>
  <r>
    <s v="KORBA-II3"/>
    <s v="Chhatisgarh"/>
    <s v="WR"/>
    <x v="1"/>
    <x v="7"/>
    <n v="52.175222450376403"/>
    <n v="50"/>
    <n v="2.04"/>
    <n v="102"/>
    <n v="3666.8627461983524"/>
    <n v="183343.13730991763"/>
    <m/>
    <n v="0"/>
    <s v="Relegated"/>
    <n v="0.31251620351978332"/>
    <n v="15.625810175989166"/>
  </r>
  <r>
    <s v="KORBA-II4"/>
    <s v="Chhatisgarh"/>
    <s v="WR"/>
    <x v="1"/>
    <x v="7"/>
    <n v="51.589322381930103"/>
    <n v="50"/>
    <n v="2.04"/>
    <n v="102"/>
    <n v="3680.2460655863188"/>
    <n v="184012.30327931594"/>
    <m/>
    <n v="0"/>
    <s v="Relegated"/>
    <n v="0.25848877905197415"/>
    <n v="12.924438952598708"/>
  </r>
  <r>
    <s v="KORBA-III1"/>
    <s v="Chhatisgarh"/>
    <s v="WR"/>
    <x v="1"/>
    <x v="9"/>
    <n v="44.090349075975297"/>
    <n v="120"/>
    <n v="2.04"/>
    <n v="244.8"/>
    <n v="3432.699746788775"/>
    <n v="411923.96961465297"/>
    <m/>
    <n v="0"/>
    <s v="Relegated"/>
    <n v="0.63797790209531247"/>
    <n v="76.557348251437503"/>
  </r>
  <r>
    <s v="KORBA-III2"/>
    <s v="Chhatisgarh"/>
    <s v="WR"/>
    <x v="1"/>
    <x v="8"/>
    <n v="39.0910335386721"/>
    <n v="120"/>
    <n v="2.04"/>
    <n v="244.8"/>
    <n v="3400.0568704449365"/>
    <n v="408006.82445339236"/>
    <m/>
    <n v="0"/>
    <s v="Relegated"/>
    <n v="0.62117492895790272"/>
    <n v="74.540991474948328"/>
  </r>
  <r>
    <s v="KORBA-WEST TPS1"/>
    <s v="Chhatisgarh"/>
    <s v="WR"/>
    <x v="1"/>
    <x v="8"/>
    <n v="36.925393566050602"/>
    <n v="210"/>
    <n v="1.54"/>
    <n v="323.40000000000003"/>
    <n v="3282.1596872926953"/>
    <n v="689253.53433146595"/>
    <n v="6.0941992912102581E-2"/>
    <n v="12.797818511541543"/>
    <s v="Relegated"/>
    <n v="0.67572815020871779"/>
    <n v="141.90291154383073"/>
  </r>
  <r>
    <s v="KORBA-WEST TPS2"/>
    <s v="Chhatisgarh"/>
    <s v="WR"/>
    <x v="1"/>
    <x v="8"/>
    <n v="36.175222450376403"/>
    <n v="210"/>
    <n v="1.54"/>
    <n v="323.40000000000003"/>
    <n v="3258.3762347583001"/>
    <n v="684259.00929924299"/>
    <n v="6.0941992912102581E-2"/>
    <n v="12.797818511541543"/>
    <s v="Relegated"/>
    <n v="0.73033587879715878"/>
    <n v="153.37053454740334"/>
  </r>
  <r>
    <s v="KORBA-WEST TPS3"/>
    <s v="Chhatisgarh"/>
    <s v="WR"/>
    <x v="1"/>
    <x v="8"/>
    <n v="35.175906913073199"/>
    <n v="210"/>
    <n v="1.54"/>
    <n v="323.40000000000003"/>
    <n v="3277.1370905066437"/>
    <n v="688198.78900639515"/>
    <n v="6.0941992912102581E-2"/>
    <n v="12.797818511541543"/>
    <s v="Relegated"/>
    <n v="0.65048571917713294"/>
    <n v="136.60200102719793"/>
  </r>
  <r>
    <s v="KORBA-WEST TPS4"/>
    <s v="Chhatisgarh"/>
    <s v="WR"/>
    <x v="1"/>
    <x v="6"/>
    <n v="34.176591375770002"/>
    <n v="210"/>
    <n v="1.54"/>
    <n v="323.40000000000003"/>
    <n v="3236.3652917612171"/>
    <n v="679636.71126985562"/>
    <n v="6.0941992912102581E-2"/>
    <n v="12.797818511541543"/>
    <s v="Relegated"/>
    <n v="0.75072582299738888"/>
    <n v="157.65242282945167"/>
  </r>
  <r>
    <s v="KOTA TPS1"/>
    <s v="Rajasthan"/>
    <s v="NR"/>
    <x v="1"/>
    <x v="8"/>
    <n v="37.338809034907598"/>
    <n v="110"/>
    <n v="3"/>
    <n v="330"/>
    <n v="3466.989510478486"/>
    <n v="381368.84615263343"/>
    <n v="0.10601035704694049"/>
    <n v="11.661139275163455"/>
    <s v="Relegated"/>
    <n v="0.4062041354136704"/>
    <n v="44.682454895503746"/>
  </r>
  <r>
    <s v="KOTA TPS2"/>
    <s v="Rajasthan"/>
    <s v="NR"/>
    <x v="1"/>
    <x v="8"/>
    <n v="36.843258042436602"/>
    <n v="110"/>
    <n v="3"/>
    <n v="330"/>
    <n v="3409.4466203515822"/>
    <n v="375039.12823867402"/>
    <n v="0.10601035704694049"/>
    <n v="11.661139275163455"/>
    <s v="Relegated"/>
    <n v="0.56882149117104541"/>
    <n v="62.570364028814993"/>
  </r>
  <r>
    <s v="KOTA TPS3"/>
    <s v="Rajasthan"/>
    <s v="NR"/>
    <x v="1"/>
    <x v="6"/>
    <n v="31.671457905544099"/>
    <n v="210"/>
    <n v="3"/>
    <n v="630"/>
    <n v="3239.2932649719605"/>
    <n v="680251.58564411174"/>
    <n v="0.10601035704694049"/>
    <n v="22.262174979857502"/>
    <s v="Relegated"/>
    <n v="0.68396701829830153"/>
    <n v="143.63307384264331"/>
  </r>
  <r>
    <s v="KOTA TPS4"/>
    <s v="Rajasthan"/>
    <s v="NR"/>
    <x v="1"/>
    <x v="6"/>
    <n v="31.008898015058101"/>
    <n v="210"/>
    <n v="3"/>
    <n v="630"/>
    <n v="3231.8695694253006"/>
    <n v="678692.60957931308"/>
    <n v="0.10601035704694049"/>
    <n v="22.262174979857502"/>
    <s v="Relegated"/>
    <n v="0.69111035742973814"/>
    <n v="145.13317506024501"/>
  </r>
  <r>
    <s v="KOTA TPS5"/>
    <s v="Rajasthan"/>
    <s v="NR"/>
    <x v="1"/>
    <x v="5"/>
    <n v="26.176591375769998"/>
    <n v="210"/>
    <n v="3"/>
    <n v="630"/>
    <n v="3187.839386182432"/>
    <n v="669446.27109831071"/>
    <n v="0.10601035704694049"/>
    <n v="22.262174979857502"/>
    <s v="Relegated"/>
    <n v="0.71261484895846827"/>
    <n v="149.64911828127833"/>
  </r>
  <r>
    <s v="KOTA TPS6"/>
    <s v="Rajasthan"/>
    <s v="NR"/>
    <x v="1"/>
    <x v="3"/>
    <n v="16.843258042436599"/>
    <n v="195"/>
    <n v="3"/>
    <n v="585"/>
    <n v="3091.4951384416963"/>
    <n v="602841.55199613073"/>
    <n v="0.10601035704694049"/>
    <n v="20.672019624153396"/>
    <s v="Relegated"/>
    <n v="0.83034653149484405"/>
    <n v="161.91757364149458"/>
  </r>
  <r>
    <s v="KOTA TPS7"/>
    <s v="Rajasthan"/>
    <s v="NR"/>
    <x v="1"/>
    <x v="2"/>
    <n v="10.757015742642"/>
    <n v="195"/>
    <n v="3"/>
    <n v="585"/>
    <n v="3033.4259706279008"/>
    <n v="591518.06427244062"/>
    <n v="0.10601035704694049"/>
    <n v="20.672019624153396"/>
    <s v="Relegated"/>
    <n v="0.86533750569722434"/>
    <n v="168.74081361095875"/>
  </r>
  <r>
    <s v="KOTHAGUDEM NEW TPS10"/>
    <s v="Telangana"/>
    <s v="SR"/>
    <x v="1"/>
    <x v="4"/>
    <n v="22.179329226557101"/>
    <n v="250"/>
    <n v="2.74"/>
    <n v="685"/>
    <n v="3073.0400953759022"/>
    <n v="768260.0238439755"/>
    <n v="7.0000000000000007E-2"/>
    <n v="17.5"/>
    <s v="Relegated"/>
    <n v="0.85548382682698487"/>
    <n v="213.87095670674623"/>
  </r>
  <r>
    <s v="KOTHAGUDEM NEW TPS9"/>
    <s v="Telangana"/>
    <s v="SR"/>
    <x v="1"/>
    <x v="4"/>
    <n v="23.104722792607799"/>
    <n v="250"/>
    <n v="2.74"/>
    <n v="685"/>
    <n v="3077.3501845957476"/>
    <n v="769337.54614893685"/>
    <n v="7.0000000000000007E-2"/>
    <n v="17.5"/>
    <s v="Relegated"/>
    <n v="0.86383426558609999"/>
    <n v="215.95856639652499"/>
  </r>
  <r>
    <s v="KOTHAGUDEM TPS1"/>
    <s v="Telangana"/>
    <s v="SR"/>
    <x v="1"/>
    <x v="7"/>
    <n v="53.834360027378501"/>
    <n v="60"/>
    <n v="3.1"/>
    <n v="186"/>
    <n v="3543.6932164098407"/>
    <n v="212621.59298459045"/>
    <n v="0.10678657853863342"/>
    <n v="6.4071947123180051"/>
    <s v="Relegated"/>
    <n v="0.69545582086602087"/>
    <n v="41.72734925196125"/>
  </r>
  <r>
    <s v="KOTHAGUDEM TPS2"/>
    <s v="Telangana"/>
    <s v="SR"/>
    <x v="1"/>
    <x v="7"/>
    <n v="53.4346338124572"/>
    <n v="60"/>
    <n v="3.1"/>
    <n v="186"/>
    <n v="3528.9357210722669"/>
    <n v="211736.14326433602"/>
    <n v="0.10678657853863342"/>
    <n v="6.4071947123180051"/>
    <s v="Relegated"/>
    <n v="0.73085930550895839"/>
    <n v="43.8515583305375"/>
  </r>
  <r>
    <s v="KOTHAGUDEM TPS4"/>
    <s v="Telangana"/>
    <s v="SR"/>
    <x v="1"/>
    <x v="7"/>
    <n v="52.824093086926702"/>
    <n v="60"/>
    <n v="3.1"/>
    <n v="186"/>
    <n v="3513.8062818640237"/>
    <n v="210828.37691184142"/>
    <n v="0.10678657853863342"/>
    <n v="6.4071947123180051"/>
    <s v="Relegated"/>
    <n v="0.76251536086048621"/>
    <n v="45.75092165162917"/>
  </r>
  <r>
    <s v="KOTHAGUDEM TPS5"/>
    <s v="Telangana"/>
    <s v="SR"/>
    <x v="1"/>
    <x v="7"/>
    <n v="45.724845995893197"/>
    <n v="120"/>
    <n v="3.1"/>
    <n v="372"/>
    <n v="3434.0584185670873"/>
    <n v="412087.01022805047"/>
    <n v="0.10678657853863342"/>
    <n v="12.81438942463601"/>
    <s v="Relegated"/>
    <n v="0.67164617814206595"/>
    <n v="80.597541377047918"/>
  </r>
  <r>
    <s v="KOTHAGUDEM TPS6"/>
    <s v="Telangana"/>
    <s v="SR"/>
    <x v="1"/>
    <x v="9"/>
    <n v="45.3744010951403"/>
    <n v="120"/>
    <n v="3.1"/>
    <n v="372"/>
    <n v="3486.0860091627842"/>
    <n v="418330.32109953411"/>
    <n v="0.10678657853863342"/>
    <n v="12.81438942463601"/>
    <s v="Relegated"/>
    <n v="0.50615935464878825"/>
    <n v="60.739122557854593"/>
  </r>
  <r>
    <s v="KOTHAGUDEM TPS7"/>
    <s v="Telangana"/>
    <s v="SR"/>
    <x v="1"/>
    <x v="9"/>
    <n v="43.151266255989"/>
    <n v="120"/>
    <n v="3.1"/>
    <n v="372"/>
    <n v="3430.0546946704967"/>
    <n v="411606.56336045958"/>
    <n v="0.10678657853863342"/>
    <n v="12.81438942463601"/>
    <s v="Relegated"/>
    <n v="0.62427421310519093"/>
    <n v="74.912905572622918"/>
  </r>
  <r>
    <s v="KOTHAGUDEM TPS8"/>
    <s v="Telangana"/>
    <s v="SR"/>
    <x v="1"/>
    <x v="9"/>
    <n v="42.313483915126596"/>
    <n v="120"/>
    <n v="3.1"/>
    <n v="372"/>
    <n v="3464.3111937307517"/>
    <n v="415717.34324769018"/>
    <n v="0.10678657853863342"/>
    <n v="12.81438942463601"/>
    <s v="Relegated"/>
    <n v="0.50128223427109719"/>
    <n v="60.153868112531661"/>
  </r>
  <r>
    <s v="KUNDARKI TPS1"/>
    <s v="Uttar Pradesh"/>
    <s v="NR"/>
    <x v="2"/>
    <x v="1"/>
    <n v="8.33949349760438"/>
    <n v="45"/>
    <n v="3.37"/>
    <n v="151.65"/>
    <n v="3370.0468374283687"/>
    <n v="151652.10768427659"/>
    <n v="9.1179878523889146E-2"/>
    <n v="4.1030945335750113"/>
    <s v="Relegated"/>
    <n v="0.21122519959795927"/>
    <n v="9.5051339819081662"/>
  </r>
  <r>
    <s v="KUNDARKI TPS2"/>
    <s v="Uttar Pradesh"/>
    <s v="NR"/>
    <x v="2"/>
    <x v="1"/>
    <n v="8.2546201232032796"/>
    <n v="45"/>
    <n v="3.37"/>
    <n v="151.65"/>
    <n v="3378.5201584292058"/>
    <n v="152033.40712931426"/>
    <n v="9.1179878523889146E-2"/>
    <n v="4.1030945335750113"/>
    <s v="Relegated"/>
    <n v="0.18363114676376296"/>
    <n v="8.2634016043693332"/>
  </r>
  <r>
    <s v="MAQSOODPUR TPS1"/>
    <s v="Uttar Pradesh"/>
    <s v="NR"/>
    <x v="2"/>
    <x v="1"/>
    <n v="8.5065023956194299"/>
    <n v="45"/>
    <n v="3.68"/>
    <n v="165.6"/>
    <n v="3391.3679754880209"/>
    <n v="152611.55889696095"/>
    <n v="0.10171085784825233"/>
    <n v="4.5769886031713547"/>
    <s v="Relegated"/>
    <n v="0.15058742959549351"/>
    <n v="6.7764343317972076"/>
  </r>
  <r>
    <s v="MAQSOODPUR TPS2"/>
    <s v="Uttar Pradesh"/>
    <s v="NR"/>
    <x v="2"/>
    <x v="1"/>
    <n v="8.33949349760438"/>
    <n v="45"/>
    <n v="3.68"/>
    <n v="165.6"/>
    <n v="3393.9555572907116"/>
    <n v="152728.00007808203"/>
    <n v="0.10171085784825233"/>
    <n v="4.5769886031713547"/>
    <s v="Relegated"/>
    <n v="0.13889972217481111"/>
    <n v="6.2504874978664997"/>
  </r>
  <r>
    <s v="MEJIA TPS1"/>
    <s v="West Bengal"/>
    <s v="ER"/>
    <x v="0"/>
    <x v="4"/>
    <n v="24.175222450376399"/>
    <n v="210"/>
    <n v="2.59"/>
    <n v="543.9"/>
    <n v="3208.1652363702683"/>
    <n v="673714.69963775633"/>
    <n v="8.3678646324733194E-2"/>
    <n v="17.57251572819397"/>
    <s v="Relegated"/>
    <n v="0.60486988051307344"/>
    <n v="127.02267490774543"/>
  </r>
  <r>
    <s v="MEJIA TPS2"/>
    <s v="West Bengal"/>
    <s v="ER"/>
    <x v="0"/>
    <x v="4"/>
    <n v="23.175906913073199"/>
    <n v="210"/>
    <n v="2.59"/>
    <n v="543.9"/>
    <n v="3231.7258186118938"/>
    <n v="678662.42190849769"/>
    <n v="8.3678646324733194E-2"/>
    <n v="17.57251572819397"/>
    <s v="Relegated"/>
    <n v="0.51050022707966669"/>
    <n v="107.20504768673001"/>
  </r>
  <r>
    <s v="MEJIA TPS3"/>
    <s v="West Bengal"/>
    <s v="ER"/>
    <x v="0"/>
    <x v="4"/>
    <n v="22.176591375769998"/>
    <n v="210"/>
    <n v="2.59"/>
    <n v="543.9"/>
    <n v="3208.9296544774984"/>
    <n v="673875.22744027467"/>
    <n v="8.3678646324733194E-2"/>
    <n v="17.57251572819397"/>
    <s v="Relegated"/>
    <n v="0.55636283337130754"/>
    <n v="116.83619500797458"/>
  </r>
  <r>
    <s v="MEJIA TPS4"/>
    <s v="West Bengal"/>
    <s v="ER"/>
    <x v="0"/>
    <x v="3"/>
    <n v="15.589322381930099"/>
    <n v="210"/>
    <n v="2.59"/>
    <n v="543.9"/>
    <n v="3146.7128723512287"/>
    <n v="660809.70319375803"/>
    <n v="8.3678646324733194E-2"/>
    <n v="17.57251572819397"/>
    <s v="Relegated"/>
    <n v="0.59232032044181748"/>
    <n v="124.38726729278167"/>
  </r>
  <r>
    <s v="MEJIA TPS5"/>
    <s v="West Bengal"/>
    <s v="ER"/>
    <x v="0"/>
    <x v="2"/>
    <n v="12.5913757700205"/>
    <n v="250"/>
    <n v="2.59"/>
    <n v="647.5"/>
    <n v="3069.7091801062388"/>
    <n v="767427.29502655973"/>
    <n v="8.3678646324733194E-2"/>
    <n v="20.919661581183298"/>
    <s v="Relegated"/>
    <n v="0.64395239919722669"/>
    <n v="160.98809979930667"/>
  </r>
  <r>
    <s v="MEJIA TPS6"/>
    <s v="West Bengal"/>
    <s v="ER"/>
    <x v="0"/>
    <x v="2"/>
    <n v="13.1772758384668"/>
    <n v="250"/>
    <n v="2.59"/>
    <n v="647.5"/>
    <n v="3049.4701834109178"/>
    <n v="762367.54585272947"/>
    <n v="8.3678646324733194E-2"/>
    <n v="20.919661581183298"/>
    <s v="Relegated"/>
    <n v="0.71871870626386669"/>
    <n v="179.67967656596667"/>
  </r>
  <r>
    <s v="METTUR TPS1"/>
    <s v="Tamil Nadu"/>
    <s v="SR"/>
    <x v="1"/>
    <x v="6"/>
    <n v="33.338809034907598"/>
    <n v="210"/>
    <n v="3.6"/>
    <n v="756"/>
    <n v="3318.2975417372099"/>
    <n v="696842.4837648141"/>
    <n v="7.9545486780113542E-2"/>
    <n v="16.704552223823843"/>
    <s v="Relegated"/>
    <n v="0.62426471505670433"/>
    <n v="131.09559016190792"/>
  </r>
  <r>
    <s v="METTUR TPS2"/>
    <s v="Tamil Nadu"/>
    <s v="SR"/>
    <x v="1"/>
    <x v="6"/>
    <n v="32.4243668720054"/>
    <n v="210"/>
    <n v="3.6"/>
    <n v="756"/>
    <n v="3283.2788845943596"/>
    <n v="689488.56576481555"/>
    <n v="7.9545486780113542E-2"/>
    <n v="16.704552223823843"/>
    <s v="Relegated"/>
    <n v="0.70906287037947813"/>
    <n v="148.90320277969042"/>
  </r>
  <r>
    <s v="METTUR TPS3"/>
    <s v="Tamil Nadu"/>
    <s v="SR"/>
    <x v="1"/>
    <x v="6"/>
    <n v="31.175906913073199"/>
    <n v="210"/>
    <n v="3.6"/>
    <n v="756"/>
    <n v="3266.6918283117943"/>
    <n v="686005.28394547675"/>
    <n v="7.9545486780113542E-2"/>
    <n v="16.704552223823843"/>
    <s v="Relegated"/>
    <n v="0.73038400111720037"/>
    <n v="153.38064023461209"/>
  </r>
  <r>
    <s v="METTUR TPS4"/>
    <s v="Tamil Nadu"/>
    <s v="SR"/>
    <x v="1"/>
    <x v="6"/>
    <n v="30.176591375769998"/>
    <n v="210"/>
    <n v="3.6"/>
    <n v="756"/>
    <n v="3255.3250814804678"/>
    <n v="683618.26711089828"/>
    <n v="7.9545486780113542E-2"/>
    <n v="16.704552223823843"/>
    <s v="Relegated"/>
    <n v="0.74167185527353963"/>
    <n v="155.75108960744333"/>
  </r>
  <r>
    <s v="MUNDRA TPS1"/>
    <s v="Gujarat"/>
    <s v="WR"/>
    <x v="2"/>
    <x v="2"/>
    <n v="10.757015742642"/>
    <n v="330"/>
    <n v="2.58"/>
    <n v="851.4"/>
    <n v="3196.9061860799184"/>
    <n v="1054979.041406373"/>
    <n v="7.3165418961100362E-2"/>
    <n v="24.144588257163118"/>
    <s v="Relegated"/>
    <n v="0.6747588165917664"/>
    <n v="222.67040947528292"/>
  </r>
  <r>
    <s v="MUNDRA TPS2"/>
    <s v="Gujarat"/>
    <s v="WR"/>
    <x v="2"/>
    <x v="2"/>
    <n v="10.17659137577"/>
    <n v="330"/>
    <n v="2.58"/>
    <n v="851.4"/>
    <n v="3175.2552013704753"/>
    <n v="1047834.2164522569"/>
    <n v="7.3165418961100362E-2"/>
    <n v="24.144588257163118"/>
    <s v="Relegated"/>
    <n v="0.72683906695433842"/>
    <n v="239.85689209493168"/>
  </r>
  <r>
    <s v="MUNDRA TPS3"/>
    <s v="Gujarat"/>
    <s v="WR"/>
    <x v="2"/>
    <x v="1"/>
    <n v="9.7577002053388"/>
    <n v="330"/>
    <n v="2.58"/>
    <n v="851.4"/>
    <n v="3172.8557619378917"/>
    <n v="1047042.4014395042"/>
    <n v="7.3165418961100362E-2"/>
    <n v="24.144588257163118"/>
    <s v="Relegated"/>
    <n v="0.7244156433346477"/>
    <n v="239.05716230043373"/>
  </r>
  <r>
    <s v="MUNDRA TPS4"/>
    <s v="Gujarat"/>
    <s v="WR"/>
    <x v="2"/>
    <x v="1"/>
    <n v="9.4236824093086895"/>
    <n v="330"/>
    <n v="2.58"/>
    <n v="851.4"/>
    <n v="3170.9825918361912"/>
    <n v="1046424.2553059431"/>
    <n v="7.3165418961100362E-2"/>
    <n v="24.144588257163118"/>
    <s v="Relegated"/>
    <n v="0.72236190959279278"/>
    <n v="238.37943016562161"/>
  </r>
  <r>
    <s v="MUZAFFARPUR TPS1"/>
    <s v="Bihar"/>
    <s v="ER"/>
    <x v="0"/>
    <x v="1"/>
    <n v="6.5051334702258696"/>
    <n v="110"/>
    <n v="3.39"/>
    <n v="372.90000000000003"/>
    <n v="3220.4231747763038"/>
    <n v="354246.54922539339"/>
    <n v="9.4599688742977306E-2"/>
    <n v="10.405965761727504"/>
    <s v="Relegated"/>
    <n v="0.43942087269821217"/>
    <n v="48.336295996803337"/>
  </r>
  <r>
    <s v="MUZAFFARPUR TPS2"/>
    <s v="Bihar"/>
    <s v="ER"/>
    <x v="0"/>
    <x v="1"/>
    <n v="5.5058179329226498"/>
    <n v="110"/>
    <n v="3.39"/>
    <n v="372.90000000000003"/>
    <n v="3248.6944075343031"/>
    <n v="357356.38482877333"/>
    <n v="9.4599688742977306E-2"/>
    <n v="10.405965761727504"/>
    <s v="Relegated"/>
    <n v="0.33080118624204319"/>
    <n v="36.388130486624753"/>
  </r>
  <r>
    <s v="MUZAFFARPUR TPS3"/>
    <s v="Bihar"/>
    <s v="ER"/>
    <x v="0"/>
    <x v="1"/>
    <n v="5.1772758384667998"/>
    <n v="195"/>
    <n v="2.69"/>
    <n v="524.54999999999995"/>
    <n v="3078.1701940591511"/>
    <n v="600243.1878415345"/>
    <n v="9.4599688742977306E-2"/>
    <n v="18.446939304880576"/>
    <s v="Relegated"/>
    <n v="0.60101795027473925"/>
    <n v="117.19850030357415"/>
  </r>
  <r>
    <s v="NASIK TPS3"/>
    <s v="Maharashtra"/>
    <s v="WR"/>
    <x v="1"/>
    <x v="9"/>
    <n v="41.0924024640657"/>
    <n v="210"/>
    <n v="3.27"/>
    <n v="686.7"/>
    <n v="3395.1120144230922"/>
    <n v="712973.52302884939"/>
    <n v="0.10328378773749107"/>
    <n v="21.689595424873126"/>
    <s v="Relegated"/>
    <n v="0.43035244456411503"/>
    <n v="90.374013358464154"/>
  </r>
  <r>
    <s v="NASIK TPS4"/>
    <s v="Maharashtra"/>
    <s v="WR"/>
    <x v="1"/>
    <x v="8"/>
    <n v="39.841204654346299"/>
    <n v="210"/>
    <n v="3.27"/>
    <n v="686.7"/>
    <n v="3341.546201768947"/>
    <n v="701724.7023714789"/>
    <n v="0.10328378773749107"/>
    <n v="21.689595424873126"/>
    <s v="Relegated"/>
    <n v="0.56347350742338886"/>
    <n v="118.32943655891167"/>
  </r>
  <r>
    <s v="NASIK TPS5"/>
    <s v="Maharashtra"/>
    <s v="WR"/>
    <x v="1"/>
    <x v="8"/>
    <n v="39.337440109513999"/>
    <n v="210"/>
    <n v="3.27"/>
    <n v="686.7"/>
    <n v="3406.0493100429985"/>
    <n v="715270.35510902968"/>
    <n v="0.10328378773749107"/>
    <n v="21.689595424873126"/>
    <s v="Relegated"/>
    <n v="0.35670371042313292"/>
    <n v="74.907779188857916"/>
  </r>
  <r>
    <s v="NIWARI TPP1"/>
    <s v="Madhya Pradesh"/>
    <s v="WR"/>
    <x v="2"/>
    <x v="1"/>
    <n v="6.4229979466118996"/>
    <n v="45"/>
    <n v="1.7841299515598099"/>
    <n v="80.285847820191449"/>
    <n v="3373.6629455509064"/>
    <n v="151814.83254979079"/>
    <n v="0.11909037109527723"/>
    <n v="5.3590666992874754"/>
    <s v="Relegated"/>
    <n v="0.34695512619098523"/>
    <n v="15.612980678594335"/>
  </r>
  <r>
    <s v="NIWARI TPP2"/>
    <s v="Madhya Pradesh"/>
    <s v="WR"/>
    <x v="2"/>
    <x v="0"/>
    <n v="0.84325804243668701"/>
    <n v="45"/>
    <n v="3.0062276726978059"/>
    <n v="135.28024527140127"/>
    <n v="3443.490186013928"/>
    <n v="154957.05837062676"/>
    <n v="0.11909037109527723"/>
    <n v="5.3590666992874754"/>
    <s v="Relegated"/>
    <n v="6.7577658303464728E-3"/>
    <n v="0.30409946236559127"/>
  </r>
  <r>
    <s v="NORTH CHENNAI TPS1"/>
    <s v="Tamil Nadu"/>
    <s v="SR"/>
    <x v="1"/>
    <x v="5"/>
    <n v="16.383299110198401"/>
    <n v="210"/>
    <n v="3.07"/>
    <n v="644.69999999999993"/>
    <n v="3177.9094861821163"/>
    <n v="667360.99209824437"/>
    <n v="7.8776329249988286E-2"/>
    <n v="16.543029142497542"/>
    <s v="Relegated"/>
    <n v="0.63713373751104163"/>
    <n v="133.79808487731873"/>
  </r>
  <r>
    <s v="NORTH CHENNAI TPS2"/>
    <s v="Tamil Nadu"/>
    <s v="SR"/>
    <x v="1"/>
    <x v="5"/>
    <n v="15.9247091033538"/>
    <n v="210"/>
    <n v="3.07"/>
    <n v="644.69999999999993"/>
    <n v="3146.2141733658523"/>
    <n v="660704.97640682897"/>
    <n v="7.8776329249988286E-2"/>
    <n v="16.543029142497542"/>
    <s v="Relegated"/>
    <n v="0.7224147266024622"/>
    <n v="151.70709258651706"/>
  </r>
  <r>
    <s v="NORTH CHENNAI TPS3"/>
    <s v="Tamil Nadu"/>
    <s v="SR"/>
    <x v="1"/>
    <x v="4"/>
    <n v="24.2546201232032"/>
    <n v="210"/>
    <n v="3.07"/>
    <n v="644.69999999999993"/>
    <n v="3211.738848625751"/>
    <n v="674465.15821140772"/>
    <n v="7.8776329249988286E-2"/>
    <n v="16.543029142497542"/>
    <s v="Relegated"/>
    <n v="0.71672856305877775"/>
    <n v="150.51299824234331"/>
  </r>
  <r>
    <s v="OBRA TPS1"/>
    <s v="Uttar Pradesh"/>
    <s v="NR"/>
    <x v="1"/>
    <x v="7"/>
    <n v="52.758384668035497"/>
    <n v="50"/>
    <n v="2.34"/>
    <n v="117"/>
    <n v="3352.0252585196222"/>
    <n v="167601.26292598111"/>
    <n v="9.0180179439313821E-2"/>
    <n v="4.5090089719656907"/>
    <s v="Relegated"/>
    <n v="1.278399378399375"/>
    <n v="63.919968919968753"/>
  </r>
  <r>
    <s v="OBRA TPS10"/>
    <s v="Uttar Pradesh"/>
    <s v="NR"/>
    <x v="1"/>
    <x v="9"/>
    <n v="41.338809034907598"/>
    <n v="200"/>
    <n v="1.89"/>
    <n v="378"/>
    <n v="3341.6442979257267"/>
    <n v="668328.85958514537"/>
    <n v="9.0180179439313821E-2"/>
    <n v="18.036035887862763"/>
    <s v="Relegated"/>
    <n v="0.62579541726992294"/>
    <n v="125.15908345398459"/>
  </r>
  <r>
    <s v="OBRA TPS11"/>
    <s v="Uttar Pradesh"/>
    <s v="NR"/>
    <x v="1"/>
    <x v="9"/>
    <n v="42.4229979466119"/>
    <n v="200"/>
    <n v="1.89"/>
    <n v="378"/>
    <n v="3319.3701602006026"/>
    <n v="663874.03204012057"/>
    <n v="9.0180179439313821E-2"/>
    <n v="18.036035887862763"/>
    <s v="Relegated"/>
    <n v="0.7182351797779416"/>
    <n v="143.64703595558831"/>
  </r>
  <r>
    <s v="OBRA TPS12"/>
    <s v="Uttar Pradesh"/>
    <s v="NR"/>
    <x v="1"/>
    <x v="8"/>
    <n v="39.175906913073199"/>
    <n v="200"/>
    <n v="1.89"/>
    <n v="378"/>
    <n v="3529.0770141889657"/>
    <n v="705815.40283779311"/>
    <n v="9.0180179439313821E-2"/>
    <n v="18.036035887862763"/>
    <s v="Relegated"/>
    <n v="8.8074583899806248E-3"/>
    <n v="1.7614916779961249"/>
  </r>
  <r>
    <s v="OBRA TPS13"/>
    <s v="Uttar Pradesh"/>
    <s v="NR"/>
    <x v="1"/>
    <x v="8"/>
    <n v="37.842573579739899"/>
    <n v="200"/>
    <n v="1.89"/>
    <n v="378"/>
    <n v="3494.7583388004068"/>
    <n v="698951.66776008136"/>
    <n v="9.0180179439313821E-2"/>
    <n v="18.036035887862763"/>
    <s v="Relegated"/>
    <n v="8.1806233606613543E-2"/>
    <n v="16.361246721322708"/>
  </r>
  <r>
    <s v="OBRA TPS9"/>
    <s v="Uttar Pradesh"/>
    <s v="NR"/>
    <x v="1"/>
    <x v="8"/>
    <n v="39.589322381930103"/>
    <n v="200"/>
    <n v="1.89"/>
    <n v="378"/>
    <n v="3315.6628865852663"/>
    <n v="663132.57731705322"/>
    <n v="9.0180179439313821E-2"/>
    <n v="18.036035887862763"/>
    <s v="Relegated"/>
    <n v="0.66395480271360219"/>
    <n v="132.79096054272043"/>
  </r>
  <r>
    <s v="OP JINDAL TPS1"/>
    <s v="Chhatisgarh"/>
    <s v="WR"/>
    <x v="2"/>
    <x v="2"/>
    <n v="12.6735112936344"/>
    <n v="250"/>
    <n v="2.949348504284746"/>
    <n v="737.3371260711865"/>
    <n v="3224.5243009391625"/>
    <n v="806131.07523479057"/>
    <n v="9.6900494936795964E-2"/>
    <n v="24.225123734198991"/>
    <s v="Relegated"/>
    <n v="0.20757181344939338"/>
    <n v="51.892953362348344"/>
  </r>
  <r>
    <s v="OP JINDAL TPS2"/>
    <s v="Chhatisgarh"/>
    <s v="WR"/>
    <x v="2"/>
    <x v="2"/>
    <n v="12.2546201232032"/>
    <n v="250"/>
    <n v="3.0088047980560875"/>
    <n v="752.20119951402182"/>
    <n v="3249.3815939082251"/>
    <n v="812345.3984770563"/>
    <n v="9.6900494936795964E-2"/>
    <n v="24.225123734198991"/>
    <s v="Relegated"/>
    <n v="0.1226949504446445"/>
    <n v="30.673737611161126"/>
  </r>
  <r>
    <s v="OP JINDAL TPS3"/>
    <s v="Chhatisgarh"/>
    <s v="WR"/>
    <x v="2"/>
    <x v="2"/>
    <n v="12.175222450376401"/>
    <n v="250"/>
    <n v="2.7273424512092577"/>
    <n v="681.83561280231447"/>
    <n v="3123.085979823758"/>
    <n v="780771.49495593947"/>
    <n v="9.6900494936795964E-2"/>
    <n v="24.225123734198991"/>
    <s v="Relegated"/>
    <n v="0.50291250487019667"/>
    <n v="125.72812621754917"/>
  </r>
  <r>
    <s v="OP JINDAL TPS4"/>
    <s v="Chhatisgarh"/>
    <s v="WR"/>
    <x v="2"/>
    <x v="2"/>
    <n v="11.9233401779603"/>
    <n v="250"/>
    <n v="2.7547444809275095"/>
    <n v="688.68612023187734"/>
    <n v="3134.2961876004333"/>
    <n v="783574.04690010834"/>
    <n v="9.6900494936795964E-2"/>
    <n v="24.225123734198991"/>
    <s v="Relegated"/>
    <n v="0.46317908708088329"/>
    <n v="115.79477177022082"/>
  </r>
  <r>
    <s v="PANIPAT TPS5"/>
    <s v="Haryana"/>
    <s v="NR"/>
    <x v="1"/>
    <x v="6"/>
    <n v="31.175906913073199"/>
    <n v="210"/>
    <n v="3.92"/>
    <n v="823.19999999999993"/>
    <n v="3444.3549042018371"/>
    <n v="723314.52988238574"/>
    <n v="9.6798449718982396E-2"/>
    <n v="20.327674440986303"/>
    <s v="Relegated"/>
    <n v="5.218810070585337E-2"/>
    <n v="10.959501148229208"/>
  </r>
  <r>
    <s v="PANIPAT TPS6"/>
    <s v="Haryana"/>
    <s v="NR"/>
    <x v="1"/>
    <x v="3"/>
    <n v="19.175906913073199"/>
    <n v="210"/>
    <n v="3.81"/>
    <n v="800.1"/>
    <n v="3329.497075194759"/>
    <n v="699194.3857908994"/>
    <n v="9.6798449718982396E-2"/>
    <n v="20.327674440986303"/>
    <s v="Relegated"/>
    <n v="0.12228309085344663"/>
    <n v="25.679449079223794"/>
  </r>
  <r>
    <s v="PANIPAT TPS7"/>
    <s v="Haryana"/>
    <s v="NR"/>
    <x v="1"/>
    <x v="3"/>
    <n v="15.6714579055441"/>
    <n v="250"/>
    <n v="3.56"/>
    <n v="890"/>
    <n v="3129.1454918609811"/>
    <n v="782286.37296524527"/>
    <n v="9.6798449718982396E-2"/>
    <n v="24.199612429745599"/>
    <s v="Relegated"/>
    <n v="0.53534393531641999"/>
    <n v="133.835983829105"/>
  </r>
  <r>
    <s v="PANIPAT TPS8"/>
    <s v="Haryana"/>
    <s v="NR"/>
    <x v="1"/>
    <x v="3"/>
    <n v="15.337440109514"/>
    <n v="250"/>
    <n v="3.57"/>
    <n v="892.5"/>
    <n v="3115.378436211342"/>
    <n v="778844.6090528355"/>
    <n v="9.6798449718982396E-2"/>
    <n v="24.199612429745599"/>
    <s v="Relegated"/>
    <n v="0.56927000123024507"/>
    <n v="142.31750030756126"/>
  </r>
  <r>
    <s v="PARAS TPS3"/>
    <s v="Maharashtra"/>
    <s v="WR"/>
    <x v="1"/>
    <x v="2"/>
    <n v="13.0102669404517"/>
    <n v="250"/>
    <n v="2.2400000000000002"/>
    <n v="560"/>
    <n v="3110.0649254263117"/>
    <n v="777516.23135657795"/>
    <n v="0.10363937129574924"/>
    <n v="25.909842823937311"/>
    <s v="Relegated"/>
    <n v="0.53155545768078494"/>
    <n v="132.88886442019623"/>
  </r>
  <r>
    <s v="PARAS TPS4"/>
    <s v="Maharashtra"/>
    <s v="WR"/>
    <x v="1"/>
    <x v="2"/>
    <n v="10.17659137577"/>
    <n v="250"/>
    <n v="2.2400000000000002"/>
    <n v="560"/>
    <n v="3024.0917455183017"/>
    <n v="756022.9363795754"/>
    <n v="0.10363937129574924"/>
    <n v="25.909842823937311"/>
    <s v="Relegated"/>
    <n v="0.72613495193214006"/>
    <n v="181.53373798303502"/>
  </r>
  <r>
    <s v="PARICHHA TPS2"/>
    <s v="Uttar Pradesh"/>
    <s v="NR"/>
    <x v="1"/>
    <x v="8"/>
    <n v="35.2525667351129"/>
    <n v="110"/>
    <n v="3.49"/>
    <n v="383.90000000000003"/>
    <n v="3514.0041139908813"/>
    <n v="386540.45253899693"/>
    <n v="0.10527848654994208"/>
    <n v="11.580633520493629"/>
    <s v="Relegated"/>
    <n v="0.21576221247863558"/>
    <n v="23.733843372649915"/>
  </r>
  <r>
    <s v="PARICHHA TPS3"/>
    <s v="Uttar Pradesh"/>
    <s v="NR"/>
    <x v="1"/>
    <x v="2"/>
    <n v="14.17659137577"/>
    <n v="210"/>
    <n v="2.97"/>
    <n v="623.70000000000005"/>
    <n v="3128.2249507079791"/>
    <n v="656927.23964867566"/>
    <n v="0.10527848654994208"/>
    <n v="22.108482175487836"/>
    <s v="Relegated"/>
    <n v="0.61559487708691074"/>
    <n v="129.27492418825125"/>
  </r>
  <r>
    <s v="PARICHHA TPS4"/>
    <s v="Uttar Pradesh"/>
    <s v="NR"/>
    <x v="1"/>
    <x v="2"/>
    <n v="13.423682409308601"/>
    <n v="210"/>
    <n v="2.97"/>
    <n v="623.70000000000005"/>
    <n v="3113.7527348826593"/>
    <n v="653888.0743253585"/>
    <n v="0.10527848654994208"/>
    <n v="22.108482175487836"/>
    <s v="Relegated"/>
    <n v="0.64197221125709725"/>
    <n v="134.81416436399041"/>
  </r>
  <r>
    <s v="PARLI TPS6"/>
    <s v="Maharashtra"/>
    <s v="WR"/>
    <x v="1"/>
    <x v="2"/>
    <n v="13.2539356605065"/>
    <n v="250"/>
    <n v="3.46"/>
    <n v="865"/>
    <n v="3152.7502878454056"/>
    <n v="788187.57196135144"/>
    <n v="0.10765374232246352"/>
    <n v="26.913435580615882"/>
    <s v="Relegated"/>
    <n v="0.40806132828363001"/>
    <n v="102.0153320709075"/>
  </r>
  <r>
    <s v="PARLI TPS7"/>
    <s v="Maharashtra"/>
    <s v="WR"/>
    <x v="1"/>
    <x v="2"/>
    <n v="10.2532511978097"/>
    <n v="250"/>
    <n v="3.46"/>
    <n v="865"/>
    <n v="3149.5090032066091"/>
    <n v="787377.25080165232"/>
    <n v="0.10765374232246352"/>
    <n v="26.913435580615882"/>
    <s v="Relegated"/>
    <n v="0.34851120406299835"/>
    <n v="87.127801015749583"/>
  </r>
  <r>
    <s v="RAICHUR TPS1"/>
    <s v="Karnataka"/>
    <s v="SR"/>
    <x v="1"/>
    <x v="8"/>
    <n v="35.175906913073199"/>
    <n v="210"/>
    <n v="3.59"/>
    <n v="753.9"/>
    <n v="3345.6637458790274"/>
    <n v="702589.38663459569"/>
    <n v="9.2407885740745169E-2"/>
    <n v="19.405656005556484"/>
    <s v="Relegated"/>
    <n v="0.44318800125015279"/>
    <n v="93.069480262532082"/>
  </r>
  <r>
    <s v="RAICHUR TPS2"/>
    <s v="Karnataka"/>
    <s v="SR"/>
    <x v="1"/>
    <x v="6"/>
    <n v="34.176591375770002"/>
    <n v="210"/>
    <n v="3.59"/>
    <n v="753.9"/>
    <n v="3330.9871675598238"/>
    <n v="699507.30518756295"/>
    <n v="9.2407885740745169E-2"/>
    <n v="19.405656005556484"/>
    <s v="Relegated"/>
    <n v="0.46448831713297423"/>
    <n v="97.542546597924584"/>
  </r>
  <r>
    <s v="RAICHUR TPS3"/>
    <s v="Karnataka"/>
    <s v="SR"/>
    <x v="1"/>
    <x v="5"/>
    <n v="29.177275838466802"/>
    <n v="210"/>
    <n v="3.59"/>
    <n v="753.9"/>
    <n v="3253.9959911740689"/>
    <n v="683339.15814655449"/>
    <n v="9.2407885740745169E-2"/>
    <n v="19.405656005556484"/>
    <s v="Relegated"/>
    <n v="0.58184191916580352"/>
    <n v="122.18680302481874"/>
  </r>
  <r>
    <s v="RAICHUR TPS4"/>
    <s v="Karnataka"/>
    <s v="SR"/>
    <x v="1"/>
    <x v="5"/>
    <n v="25.672826830937701"/>
    <n v="210"/>
    <n v="3.59"/>
    <n v="753.9"/>
    <n v="3163.0810621639057"/>
    <n v="664247.02305442025"/>
    <n v="9.2407885740745169E-2"/>
    <n v="19.405656005556484"/>
    <s v="Relegated"/>
    <n v="0.77586685752559914"/>
    <n v="162.93204008037583"/>
  </r>
  <r>
    <s v="RAICHUR TPS5"/>
    <s v="Karnataka"/>
    <s v="SR"/>
    <x v="1"/>
    <x v="4"/>
    <n v="21.338809034907499"/>
    <n v="210"/>
    <n v="3.59"/>
    <n v="753.9"/>
    <n v="3147.8796388232222"/>
    <n v="661054.72415287665"/>
    <n v="9.2407885740745169E-2"/>
    <n v="19.405656005556484"/>
    <s v="Relegated"/>
    <n v="0.72167943893455555"/>
    <n v="151.55268217625667"/>
  </r>
  <r>
    <s v="RAICHUR TPS6"/>
    <s v="Karnataka"/>
    <s v="SR"/>
    <x v="1"/>
    <x v="4"/>
    <n v="20.843258042436599"/>
    <n v="210"/>
    <n v="3.59"/>
    <n v="753.9"/>
    <n v="3182.1222761559566"/>
    <n v="668245.67799275089"/>
    <n v="9.2407885740745169E-2"/>
    <n v="19.405656005556484"/>
    <s v="Relegated"/>
    <n v="0.60663943234567264"/>
    <n v="127.39428079259126"/>
  </r>
  <r>
    <s v="RAICHUR TPS7"/>
    <s v="Karnataka"/>
    <s v="SR"/>
    <x v="1"/>
    <x v="3"/>
    <n v="17.423682409308601"/>
    <n v="210"/>
    <n v="3.59"/>
    <n v="753.9"/>
    <n v="3196.290130565716"/>
    <n v="671220.92741880042"/>
    <n v="9.2407885740745169E-2"/>
    <n v="19.405656005556484"/>
    <s v="Relegated"/>
    <n v="0.48474360911917058"/>
    <n v="101.79615791502582"/>
  </r>
  <r>
    <s v="RAMAGUNDEM - B TPS1"/>
    <s v="Telangana"/>
    <s v="SR"/>
    <x v="1"/>
    <x v="7"/>
    <n v="48.591375770020498"/>
    <n v="62.5"/>
    <n v="2.98"/>
    <n v="186.25"/>
    <n v="3699.3491748998154"/>
    <n v="231209.32343123847"/>
    <n v="0.11094719987198574"/>
    <n v="6.9341999919991091"/>
    <s v="Relegated"/>
    <n v="9.6403243240578321E-2"/>
    <n v="6.025202702536145"/>
  </r>
  <r>
    <s v="RAMAGUNDEM STPS1"/>
    <s v="Telangana"/>
    <s v="SR"/>
    <x v="0"/>
    <x v="8"/>
    <n v="36.591375770020498"/>
    <n v="200"/>
    <n v="2.52"/>
    <n v="504"/>
    <n v="3257.6465875413769"/>
    <n v="651529.31750827539"/>
    <n v="6.1716058959159902E-2"/>
    <n v="12.34321179183198"/>
    <s v="Relegated"/>
    <n v="0.77016604262672705"/>
    <n v="154.0332085253454"/>
  </r>
  <r>
    <s v="RAMAGUNDEM STPS2"/>
    <s v="Telangana"/>
    <s v="SR"/>
    <x v="0"/>
    <x v="8"/>
    <n v="36.008213552361397"/>
    <n v="200"/>
    <n v="2.52"/>
    <n v="504"/>
    <n v="3238.4989763986628"/>
    <n v="647699.79527973256"/>
    <n v="6.1716058959159902E-2"/>
    <n v="12.34321179183198"/>
    <s v="Relegated"/>
    <n v="0.81461014012126876"/>
    <n v="162.92202802425376"/>
  </r>
  <r>
    <s v="RAMAGUNDEM STPS3"/>
    <s v="Telangana"/>
    <s v="SR"/>
    <x v="0"/>
    <x v="8"/>
    <n v="35.422313483915097"/>
    <n v="200"/>
    <n v="2.52"/>
    <n v="504"/>
    <n v="3222.8333157801794"/>
    <n v="644566.66315603594"/>
    <n v="6.1716058959159902E-2"/>
    <n v="12.34321179183198"/>
    <s v="Relegated"/>
    <n v="0.84845782397036662"/>
    <n v="169.69156479407332"/>
  </r>
  <r>
    <s v="RATIJA TPS1"/>
    <s v="Chhatisgarh"/>
    <s v="WR"/>
    <x v="2"/>
    <x v="1"/>
    <n v="7.2525667351129304"/>
    <n v="50"/>
    <n v="1.7"/>
    <n v="85"/>
    <n v="3226.9664843936071"/>
    <n v="161348.32421968036"/>
    <n v="0.13697380423430899"/>
    <n v="6.84869021171545"/>
    <s v="Relegated"/>
    <n v="0.79589351126472008"/>
    <n v="39.794675563236005"/>
  </r>
  <r>
    <s v="RATIJA TPS2"/>
    <s v="Chhatisgarh"/>
    <s v="WR"/>
    <x v="2"/>
    <x v="0"/>
    <n v="3.5044490075290802"/>
    <n v="50"/>
    <n v="1.7"/>
    <n v="85"/>
    <n v="3157.753028527653"/>
    <n v="157887.65142638265"/>
    <n v="0.13697380423430899"/>
    <n v="6.84869021171545"/>
    <s v="Relegated"/>
    <n v="0.91863809303105015"/>
    <n v="45.931904651552507"/>
  </r>
  <r>
    <s v="RAYALSEEMA TPS1"/>
    <s v="Andhra Pradesh"/>
    <s v="SR"/>
    <x v="1"/>
    <x v="5"/>
    <n v="26.176591375769998"/>
    <n v="210"/>
    <n v="3.61"/>
    <n v="758.1"/>
    <n v="3215.5918627423598"/>
    <n v="675274.2911758956"/>
    <n v="0.10362859790133408"/>
    <n v="21.762005559280158"/>
    <s v="Relegated"/>
    <n v="0.62866175032214477"/>
    <n v="132.01896756765041"/>
  </r>
  <r>
    <s v="RAYALSEEMA TPS2"/>
    <s v="Andhra Pradesh"/>
    <s v="SR"/>
    <x v="1"/>
    <x v="5"/>
    <n v="25.2539356605065"/>
    <n v="210"/>
    <n v="3.61"/>
    <n v="758.1"/>
    <n v="3237.3382529434011"/>
    <n v="679841.03311811422"/>
    <n v="0.10362859790133408"/>
    <n v="21.762005559280158"/>
    <s v="Relegated"/>
    <n v="0.54155199807580956"/>
    <n v="113.72591959592"/>
  </r>
  <r>
    <s v="RAYALSEEMA TPS3"/>
    <s v="Andhra Pradesh"/>
    <s v="SR"/>
    <x v="1"/>
    <x v="2"/>
    <n v="13.3388090349075"/>
    <n v="210"/>
    <n v="3.61"/>
    <n v="758.1"/>
    <n v="3131.9984292409026"/>
    <n v="657719.67014058959"/>
    <n v="0.10362859790133408"/>
    <n v="21.762005559280158"/>
    <s v="Relegated"/>
    <n v="0.58481607510346423"/>
    <n v="122.81137577172748"/>
  </r>
  <r>
    <s v="RAYALSEEMA TPS4"/>
    <s v="Andhra Pradesh"/>
    <s v="SR"/>
    <x v="1"/>
    <x v="2"/>
    <n v="12.5065023956194"/>
    <n v="210"/>
    <n v="3.61"/>
    <n v="758.1"/>
    <n v="3099.6100397882587"/>
    <n v="650918.10835553438"/>
    <n v="0.10362859790133408"/>
    <n v="21.762005559280158"/>
    <s v="Relegated"/>
    <n v="0.66355590416243049"/>
    <n v="139.3467398741104"/>
  </r>
  <r>
    <s v="RAYALSEEMA TPS5"/>
    <s v="Andhra Pradesh"/>
    <s v="SR"/>
    <x v="1"/>
    <x v="1"/>
    <n v="9.4236824093086895"/>
    <n v="210"/>
    <n v="3.61"/>
    <n v="758.1"/>
    <n v="3119.281222848228"/>
    <n v="655049.05679812783"/>
    <n v="0.10362859790133408"/>
    <n v="21.762005559280158"/>
    <s v="Relegated"/>
    <n v="0.53279562247511103"/>
    <n v="111.88708071977332"/>
  </r>
  <r>
    <s v="ROPAR TPS3"/>
    <s v="Punjab"/>
    <s v="NR"/>
    <x v="1"/>
    <x v="6"/>
    <n v="32.175222450376403"/>
    <n v="210"/>
    <n v="3.78"/>
    <n v="793.8"/>
    <n v="3410.0216229920266"/>
    <n v="716104.54082832555"/>
    <n v="8.4396929249325001E-2"/>
    <n v="17.723355142358251"/>
    <s v="Relegated"/>
    <n v="0.17914588936757084"/>
    <n v="37.620636767189879"/>
  </r>
  <r>
    <s v="ROPAR TPS4"/>
    <s v="Punjab"/>
    <s v="NR"/>
    <x v="1"/>
    <x v="6"/>
    <n v="31.337440109513999"/>
    <n v="210"/>
    <n v="3.78"/>
    <n v="793.8"/>
    <n v="3403.904542636305"/>
    <n v="714819.953953624"/>
    <n v="8.4396929249325001E-2"/>
    <n v="17.723355142358251"/>
    <s v="Relegated"/>
    <n v="0.1782866898438859"/>
    <n v="37.440204867216039"/>
  </r>
  <r>
    <s v="ROPAR TPS5"/>
    <s v="Punjab"/>
    <s v="NR"/>
    <x v="1"/>
    <x v="5"/>
    <n v="28.175222450376399"/>
    <n v="210"/>
    <n v="3.78"/>
    <n v="793.8"/>
    <n v="3364.3324329605211"/>
    <n v="706509.8109217094"/>
    <n v="8.4396929249325001E-2"/>
    <n v="17.723355142358251"/>
    <s v="Relegated"/>
    <n v="0.22490620373102779"/>
    <n v="47.230302783515839"/>
  </r>
  <r>
    <s v="ROPAR TPS6"/>
    <s v="Punjab"/>
    <s v="NR"/>
    <x v="1"/>
    <x v="5"/>
    <n v="27.175906913073199"/>
    <n v="210"/>
    <n v="3.78"/>
    <n v="793.8"/>
    <n v="3353.2744571733165"/>
    <n v="704187.6360063965"/>
    <n v="8.4396929249325001E-2"/>
    <n v="17.723355142358251"/>
    <s v="Relegated"/>
    <n v="0.23526000481764683"/>
    <n v="49.404601011705836"/>
  </r>
  <r>
    <s v="SABARMATI (D-F STATIONS) TPP1"/>
    <s v="Gujarat"/>
    <s v="WR"/>
    <x v="2"/>
    <x v="9"/>
    <n v="41.590691307323702"/>
    <n v="120"/>
    <n v="3.46"/>
    <n v="415.2"/>
    <n v="3412.5519398612773"/>
    <n v="409506.23278335331"/>
    <n v="0.09"/>
    <n v="10.799999999999999"/>
    <s v="Relegated"/>
    <n v="0.80685983753381596"/>
    <n v="96.823180504057916"/>
  </r>
  <r>
    <s v="SABARMATI (D-F STATIONS) TPP2"/>
    <s v="Gujarat"/>
    <s v="WR"/>
    <x v="2"/>
    <x v="8"/>
    <n v="35.422313483915097"/>
    <n v="121"/>
    <n v="3.46"/>
    <n v="418.65999999999997"/>
    <n v="3361.773716278371"/>
    <n v="406774.61966968287"/>
    <n v="0.09"/>
    <n v="10.889999999999999"/>
    <s v="Relegated"/>
    <n v="0.81509637566288906"/>
    <n v="98.626661455209572"/>
  </r>
  <r>
    <s v="SABARMATI (D-F STATIONS) TPP3"/>
    <s v="Gujarat"/>
    <s v="WR"/>
    <x v="2"/>
    <x v="6"/>
    <n v="31.671457905544099"/>
    <n v="121"/>
    <n v="3.46"/>
    <n v="418.65999999999997"/>
    <n v="3332.7188526801469"/>
    <n v="403258.98117429781"/>
    <n v="0.09"/>
    <n v="10.889999999999999"/>
    <s v="Relegated"/>
    <n v="0.8162952483112742"/>
    <n v="98.771725045664184"/>
  </r>
  <r>
    <s v="SANJAY GANDHI TPS1"/>
    <s v="Madhya Pradesh"/>
    <s v="WR"/>
    <x v="1"/>
    <x v="5"/>
    <n v="27.175906913073199"/>
    <n v="210"/>
    <n v="2.15"/>
    <n v="451.5"/>
    <n v="3225.4628082946965"/>
    <n v="677347.18974188622"/>
    <n v="8.2584159496713896E-2"/>
    <n v="17.342673494309917"/>
    <s v="Relegated"/>
    <n v="0.62189879512551394"/>
    <n v="130.59874697635792"/>
  </r>
  <r>
    <s v="SANJAY GANDHI TPS2"/>
    <s v="Madhya Pradesh"/>
    <s v="WR"/>
    <x v="1"/>
    <x v="5"/>
    <n v="27.175906913073199"/>
    <n v="210"/>
    <n v="2.15"/>
    <n v="451.5"/>
    <n v="3246.9319705184566"/>
    <n v="681855.71380887588"/>
    <n v="8.2584159496713896E-2"/>
    <n v="17.342673494309917"/>
    <s v="Relegated"/>
    <n v="0.55695314280080954"/>
    <n v="116.96015998817001"/>
  </r>
  <r>
    <s v="SANJAY GANDHI TPS3"/>
    <s v="Madhya Pradesh"/>
    <s v="WR"/>
    <x v="1"/>
    <x v="4"/>
    <n v="21.2539356605065"/>
    <n v="210"/>
    <n v="2.15"/>
    <n v="451.5"/>
    <n v="3214.0028810795911"/>
    <n v="674940.60502671415"/>
    <n v="8.2584159496713896E-2"/>
    <n v="17.342673494309917"/>
    <s v="Relegated"/>
    <n v="0.51969051668786703"/>
    <n v="109.13500850445207"/>
  </r>
  <r>
    <s v="SANJAY GANDHI TPS4"/>
    <s v="Madhya Pradesh"/>
    <s v="WR"/>
    <x v="1"/>
    <x v="4"/>
    <n v="20.5065023956194"/>
    <n v="210"/>
    <n v="2.15"/>
    <n v="451.5"/>
    <n v="3160.2747297623114"/>
    <n v="663657.69325008534"/>
    <n v="8.2584159496713896E-2"/>
    <n v="17.342673494309917"/>
    <s v="Relegated"/>
    <n v="0.66494624314522022"/>
    <n v="139.63871106049623"/>
  </r>
  <r>
    <s v="SANTALDIH TPS5"/>
    <s v="West Bengal"/>
    <s v="ER"/>
    <x v="1"/>
    <x v="2"/>
    <n v="11.0910335386721"/>
    <n v="250"/>
    <n v="2.57"/>
    <n v="642.5"/>
    <n v="3024.9604675991991"/>
    <n v="756240.11689979979"/>
    <n v="8.5383480246584514E-2"/>
    <n v="21.345870061646128"/>
    <s v="Relegated"/>
    <n v="0.74505864153548174"/>
    <n v="186.26466038387042"/>
  </r>
  <r>
    <s v="SATPURA TPS6"/>
    <s v="Madhya Pradesh"/>
    <s v="WR"/>
    <x v="1"/>
    <x v="9"/>
    <n v="40.843258042436602"/>
    <n v="200"/>
    <n v="2.5299999999999998"/>
    <n v="505.99999999999994"/>
    <n v="3385.9332840002039"/>
    <n v="677186.65680004074"/>
    <n v="0.1003219631047786"/>
    <n v="20.064392620955722"/>
    <s v="Relegated"/>
    <n v="0.48036453349106251"/>
    <n v="96.072906698212506"/>
  </r>
  <r>
    <s v="SATPURA TPS7"/>
    <s v="Madhya Pradesh"/>
    <s v="WR"/>
    <x v="1"/>
    <x v="8"/>
    <n v="39.671457905544102"/>
    <n v="210"/>
    <n v="2.5299999999999998"/>
    <n v="531.29999999999995"/>
    <n v="3395.2557285371631"/>
    <n v="713003.70299280423"/>
    <n v="0.1003219631047786"/>
    <n v="21.067612252003507"/>
    <s v="Relegated"/>
    <n v="0.39707521536688301"/>
    <n v="83.385795227045435"/>
  </r>
  <r>
    <s v="SATPURA TPS8"/>
    <s v="Madhya Pradesh"/>
    <s v="WR"/>
    <x v="1"/>
    <x v="8"/>
    <n v="37.338809034907598"/>
    <n v="210"/>
    <n v="2.5299999999999998"/>
    <n v="531.29999999999995"/>
    <n v="3344.5304350489109"/>
    <n v="702351.39136027126"/>
    <n v="0.1003219631047786"/>
    <n v="21.067612252003507"/>
    <s v="Relegated"/>
    <n v="0.49660779256703175"/>
    <n v="104.28763643907666"/>
  </r>
  <r>
    <s v="SATPURA TPS9"/>
    <s v="Madhya Pradesh"/>
    <s v="WR"/>
    <x v="1"/>
    <x v="8"/>
    <n v="36.254620123203203"/>
    <n v="210"/>
    <n v="2.5299999999999998"/>
    <n v="531.29999999999995"/>
    <n v="3398.9131495820507"/>
    <n v="713771.76141223067"/>
    <n v="0.1003219631047786"/>
    <n v="21.067612252003507"/>
    <s v="Relegated"/>
    <n v="0.30703743668603967"/>
    <n v="64.477861704068332"/>
  </r>
  <r>
    <s v="SHIRPUR TPP1"/>
    <s v="Maharashtra"/>
    <s v="WR"/>
    <x v="2"/>
    <x v="0"/>
    <n v="2.6036960985626201"/>
    <n v="150"/>
    <n v="3.0229678928240324"/>
    <n v="453.44518392360487"/>
    <n v="3361.1393096889346"/>
    <n v="504170.89645334019"/>
    <m/>
    <n v="0"/>
    <s v="Relegated"/>
    <n v="2.5185185185185172E-3"/>
    <n v="0.37777777777777755"/>
  </r>
  <r>
    <s v="SIKKA REP. TPS3"/>
    <s v="Gujarat"/>
    <s v="WR"/>
    <x v="1"/>
    <x v="1"/>
    <n v="5.1772758384667998"/>
    <n v="250"/>
    <n v="3.81"/>
    <n v="952.5"/>
    <n v="3236.092758707307"/>
    <n v="809023.1896768267"/>
    <n v="9.4899722296610672E-2"/>
    <n v="23.724930574152669"/>
    <s v="Relegated"/>
    <n v="0.65122717112716"/>
    <n v="162.80679278178999"/>
  </r>
  <r>
    <s v="SIKKA REP. TPS4"/>
    <s v="Gujarat"/>
    <s v="WR"/>
    <x v="1"/>
    <x v="0"/>
    <n v="4.6735112936344896"/>
    <n v="250"/>
    <n v="3.81"/>
    <n v="952.5"/>
    <n v="3246.0771404162501"/>
    <n v="811519.28510406252"/>
    <n v="9.4899722296610672E-2"/>
    <n v="23.724930574152669"/>
    <s v="Relegated"/>
    <n v="0.60938017007860334"/>
    <n v="152.34504251965083"/>
  </r>
  <r>
    <s v="SIMHAPURI TPS2"/>
    <s v="Andhra Pradesh"/>
    <s v="SR"/>
    <x v="2"/>
    <x v="1"/>
    <n v="7.8412046543463303"/>
    <n v="150"/>
    <n v="3.0609280083981312"/>
    <n v="459.1392012597197"/>
    <n v="3562.3533919957827"/>
    <n v="534353.00879936735"/>
    <n v="0.10923025650701258"/>
    <n v="16.384538476051887"/>
    <s v="Relegated"/>
    <n v="5.9408602150537492E-3"/>
    <n v="0.89112903225806239"/>
  </r>
  <r>
    <s v="SIMHAPURI TPS3"/>
    <s v="Andhra Pradesh"/>
    <s v="SR"/>
    <x v="2"/>
    <x v="1"/>
    <n v="6.2532511978097096"/>
    <n v="150"/>
    <n v="3.0373201285257871"/>
    <n v="455.59801927886809"/>
    <n v="3545.1489690115368"/>
    <n v="531772.34535173047"/>
    <n v="0.10923025650701258"/>
    <n v="16.384538476051887"/>
    <s v="Relegated"/>
    <n v="2.1282807260954998E-2"/>
    <n v="3.1924210891432496"/>
  </r>
  <r>
    <s v="SINGRAULI STPS1"/>
    <s v="Uttar Pradesh"/>
    <s v="NR"/>
    <x v="0"/>
    <x v="8"/>
    <n v="38.253251197809703"/>
    <n v="200"/>
    <n v="1.43"/>
    <n v="286"/>
    <n v="3254.8894888215145"/>
    <n v="650977.89776430291"/>
    <n v="7.690693382449007E-2"/>
    <n v="15.381386764898014"/>
    <s v="Relegated"/>
    <n v="0.81691760300245408"/>
    <n v="163.38352060049081"/>
  </r>
  <r>
    <s v="SINGRAULI STPS2"/>
    <s v="Uttar Pradesh"/>
    <s v="NR"/>
    <x v="0"/>
    <x v="8"/>
    <n v="37.505817932922596"/>
    <n v="200"/>
    <n v="1.43"/>
    <n v="286"/>
    <n v="3233.3977337268125"/>
    <n v="646679.54674536246"/>
    <n v="7.690693382449007E-2"/>
    <n v="15.381386764898014"/>
    <s v="Relegated"/>
    <n v="0.86465607380481457"/>
    <n v="172.93121476096292"/>
  </r>
  <r>
    <s v="SINGRAULI STPS3"/>
    <s v="Uttar Pradesh"/>
    <s v="NR"/>
    <x v="0"/>
    <x v="8"/>
    <n v="37.177275838466798"/>
    <n v="200"/>
    <n v="1.43"/>
    <n v="286"/>
    <n v="3244.3798941454424"/>
    <n v="648875.9788290885"/>
    <n v="7.690693382449007E-2"/>
    <n v="15.381386764898014"/>
    <s v="Relegated"/>
    <n v="0.82384066566467085"/>
    <n v="164.76813313293417"/>
  </r>
  <r>
    <s v="SINGRAULI STPS4"/>
    <s v="Uttar Pradesh"/>
    <s v="NR"/>
    <x v="0"/>
    <x v="8"/>
    <n v="36.5065023956194"/>
    <n v="200"/>
    <n v="1.43"/>
    <n v="286"/>
    <n v="3227.1673024321649"/>
    <n v="645433.460486433"/>
    <n v="7.690693382449007E-2"/>
    <n v="15.381386764898014"/>
    <s v="Relegated"/>
    <n v="0.86040622976881875"/>
    <n v="172.08124595376376"/>
  </r>
  <r>
    <s v="SINGRAULI STPS5"/>
    <s v="Uttar Pradesh"/>
    <s v="NR"/>
    <x v="0"/>
    <x v="8"/>
    <n v="36.254620123203203"/>
    <n v="200"/>
    <n v="1.43"/>
    <n v="286"/>
    <n v="3247.5430998858483"/>
    <n v="649508.61997716967"/>
    <n v="7.690693382449007E-2"/>
    <n v="15.381386764898014"/>
    <s v="Relegated"/>
    <n v="0.79294628989588534"/>
    <n v="158.58925797917706"/>
  </r>
  <r>
    <s v="SOUTHERN REPL. TPS1"/>
    <s v="West Bengal"/>
    <s v="ER"/>
    <x v="2"/>
    <x v="5"/>
    <n v="29.0924024640657"/>
    <n v="68"/>
    <n v="2.28788678035616"/>
    <n v="155.57630106421888"/>
    <n v="3504.6743418645306"/>
    <n v="238317.85524678807"/>
    <n v="9.2383897720522315E-2"/>
    <n v="6.2821050449955171"/>
    <s v="Relegated"/>
    <n v="0.21922284573203862"/>
    <n v="14.907153509778626"/>
  </r>
  <r>
    <s v="SOUTHERN REPL. TPS2"/>
    <s v="West Bengal"/>
    <s v="ER"/>
    <x v="2"/>
    <x v="5"/>
    <n v="29.7577002053388"/>
    <n v="68"/>
    <n v="2.22980310998165"/>
    <n v="151.62661147875221"/>
    <n v="3481.4615513255881"/>
    <n v="236739.38549013998"/>
    <n v="9.2383897720522315E-2"/>
    <n v="6.2821050449955171"/>
    <s v="Relegated"/>
    <n v="0.30482020735082416"/>
    <n v="20.727774099856042"/>
  </r>
  <r>
    <s v="SURATGARH TPS1"/>
    <s v="Rajasthan"/>
    <s v="NR"/>
    <x v="1"/>
    <x v="4"/>
    <n v="22.009582477754901"/>
    <n v="250"/>
    <n v="3.5"/>
    <n v="875"/>
    <n v="3161.0931209739401"/>
    <n v="790273.280243485"/>
    <n v="9.9196739166571735E-2"/>
    <n v="24.799184791642933"/>
    <s v="Relegated"/>
    <n v="0.58519415273289999"/>
    <n v="146.29853818322499"/>
  </r>
  <r>
    <s v="SURATGARH TPS2"/>
    <s v="Rajasthan"/>
    <s v="NR"/>
    <x v="1"/>
    <x v="4"/>
    <n v="20.175222450376399"/>
    <n v="250"/>
    <n v="3.5"/>
    <n v="875"/>
    <n v="3200.3263815697692"/>
    <n v="800081.59539244231"/>
    <n v="9.9196739166571735E-2"/>
    <n v="24.799184791642933"/>
    <s v="Relegated"/>
    <n v="0.42411310194464164"/>
    <n v="106.02827548616041"/>
  </r>
  <r>
    <s v="SURATGARH TPS3"/>
    <s v="Rajasthan"/>
    <s v="NR"/>
    <x v="1"/>
    <x v="3"/>
    <n v="18.590006844626899"/>
    <n v="250"/>
    <n v="3.5"/>
    <n v="875"/>
    <n v="3180.4175022160462"/>
    <n v="795104.37555401155"/>
    <n v="9.9196739166571735E-2"/>
    <n v="24.799184791642933"/>
    <s v="Relegated"/>
    <n v="0.4476994907922367"/>
    <n v="111.92487269805918"/>
  </r>
  <r>
    <s v="SURATGARH TPS4"/>
    <s v="Rajasthan"/>
    <s v="NR"/>
    <x v="1"/>
    <x v="3"/>
    <n v="18.176591375769998"/>
    <n v="250"/>
    <n v="3.5"/>
    <n v="875"/>
    <n v="3158.2225526757629"/>
    <n v="789555.63816894079"/>
    <n v="9.9196739166571735E-2"/>
    <n v="24.799184791642933"/>
    <s v="Relegated"/>
    <n v="0.50528537048807831"/>
    <n v="126.32134262201957"/>
  </r>
  <r>
    <s v="SURATGARH TPS5"/>
    <s v="Rajasthan"/>
    <s v="NR"/>
    <x v="1"/>
    <x v="3"/>
    <n v="16.925393566050602"/>
    <n v="250"/>
    <n v="3.5"/>
    <n v="875"/>
    <n v="3159.6907441670619"/>
    <n v="789922.6860417655"/>
    <n v="9.9196739166571735E-2"/>
    <n v="24.799184791642933"/>
    <s v="Relegated"/>
    <n v="0.47192488823560497"/>
    <n v="117.98122205890124"/>
  </r>
  <r>
    <s v="SURATGARH TPS6"/>
    <s v="Rajasthan"/>
    <s v="NR"/>
    <x v="1"/>
    <x v="2"/>
    <n v="10.757015742642"/>
    <n v="250"/>
    <n v="3.5"/>
    <n v="875"/>
    <n v="3137.4112584032246"/>
    <n v="784352.8146008061"/>
    <n v="9.9196739166571735E-2"/>
    <n v="24.799184791642933"/>
    <s v="Relegated"/>
    <n v="0.39675126988683329"/>
    <n v="99.187817471708328"/>
  </r>
  <r>
    <s v="SVPL TPP1"/>
    <s v="Chhatisgarh"/>
    <s v="WR"/>
    <x v="2"/>
    <x v="1"/>
    <n v="8.4243668720054696"/>
    <n v="63"/>
    <n v="2.9197578094847327"/>
    <n v="183.94474199753816"/>
    <n v="3419.8247923831836"/>
    <n v="215448.96192014057"/>
    <n v="0.12897083607149668"/>
    <n v="8.12516267250429"/>
    <s v="Relegated"/>
    <n v="0.20316257890568851"/>
    <n v="12.799242471058376"/>
  </r>
  <r>
    <s v="TALCHER (OLD) TPS1"/>
    <s v="Odisha"/>
    <s v="ER"/>
    <x v="0"/>
    <x v="7"/>
    <n v="49.338809034907598"/>
    <n v="60"/>
    <n v="1.67"/>
    <n v="100.19999999999999"/>
    <n v="3433.8542344419475"/>
    <n v="206031.25406651685"/>
    <n v="0.10471132406131005"/>
    <n v="6.2826794436786031"/>
    <s v="Relegated"/>
    <n v="0.92381981105794431"/>
    <n v="55.429188663476658"/>
  </r>
  <r>
    <s v="TALCHER (OLD) TPS2"/>
    <s v="Odisha"/>
    <s v="ER"/>
    <x v="0"/>
    <x v="7"/>
    <n v="48.925393566050602"/>
    <n v="60"/>
    <n v="1.67"/>
    <n v="100.19999999999999"/>
    <n v="3419.1211451090498"/>
    <n v="205147.26870654299"/>
    <n v="0.10471132406131005"/>
    <n v="6.2826794436786031"/>
    <s v="Relegated"/>
    <n v="0.95883306431994442"/>
    <n v="57.529983859196662"/>
  </r>
  <r>
    <s v="TALCHER (OLD) TPS3"/>
    <s v="Odisha"/>
    <s v="ER"/>
    <x v="0"/>
    <x v="7"/>
    <n v="48.339493497604302"/>
    <n v="60"/>
    <n v="1.67"/>
    <n v="100.19999999999999"/>
    <n v="3431.6125816015629"/>
    <n v="205896.75489609377"/>
    <n v="0.10471132406131005"/>
    <n v="6.2826794436786031"/>
    <s v="Relegated"/>
    <n v="0.90750364529076377"/>
    <n v="54.450218717445829"/>
  </r>
  <r>
    <s v="TALCHER (OLD) TPS4"/>
    <s v="Odisha"/>
    <s v="ER"/>
    <x v="0"/>
    <x v="7"/>
    <n v="47.923340177960299"/>
    <n v="60"/>
    <n v="1.67"/>
    <n v="100.19999999999999"/>
    <n v="3438.6086664836366"/>
    <n v="206316.51998901821"/>
    <n v="0.10471132406131005"/>
    <n v="6.2826794436786031"/>
    <s v="Relegated"/>
    <n v="0.87672141223934719"/>
    <n v="52.603284734360834"/>
  </r>
  <r>
    <s v="TALCHER (OLD) TPS5"/>
    <s v="Odisha"/>
    <s v="ER"/>
    <x v="0"/>
    <x v="7"/>
    <n v="47.337440109513999"/>
    <n v="110"/>
    <n v="1.67"/>
    <n v="183.7"/>
    <n v="3413.1790123975225"/>
    <n v="375449.69136372744"/>
    <n v="0.10471132406131005"/>
    <n v="11.518245646744106"/>
    <s v="Relegated"/>
    <n v="0.80008420952733716"/>
    <n v="88.009263048007085"/>
  </r>
  <r>
    <s v="TALCHER (OLD) TPS6"/>
    <s v="Odisha"/>
    <s v="ER"/>
    <x v="0"/>
    <x v="7"/>
    <n v="46.924024640657002"/>
    <n v="110"/>
    <n v="1.67"/>
    <n v="183.7"/>
    <n v="3382.2855567002393"/>
    <n v="372051.41123702633"/>
    <n v="0.10471132406131005"/>
    <n v="11.518245646744106"/>
    <s v="Relegated"/>
    <n v="0.88398365240411736"/>
    <n v="97.23820176445291"/>
  </r>
  <r>
    <s v="TANDA STPS1"/>
    <s v="Uttar Pradesh"/>
    <s v="NR"/>
    <x v="0"/>
    <x v="6"/>
    <n v="32.175222450376403"/>
    <n v="110"/>
    <n v="2.88"/>
    <n v="316.8"/>
    <n v="3339.8005575516227"/>
    <n v="367378.06133067847"/>
    <n v="0.12115813368341415"/>
    <n v="13.327394705175555"/>
    <s v="Relegated"/>
    <n v="0.6716125514373561"/>
    <n v="73.877380658109175"/>
  </r>
  <r>
    <s v="TANDA STPS2"/>
    <s v="Uttar Pradesh"/>
    <s v="NR"/>
    <x v="0"/>
    <x v="6"/>
    <n v="31.175906913073199"/>
    <n v="110"/>
    <n v="2.88"/>
    <n v="316.8"/>
    <n v="3335.0896580124286"/>
    <n v="366859.86238136713"/>
    <n v="0.12115813368341415"/>
    <n v="13.327394705175555"/>
    <s v="Relegated"/>
    <n v="0.66276602216243563"/>
    <n v="72.904262437867914"/>
  </r>
  <r>
    <s v="TANDA STPS3"/>
    <s v="Uttar Pradesh"/>
    <s v="NR"/>
    <x v="0"/>
    <x v="6"/>
    <n v="30.176591375769998"/>
    <n v="110"/>
    <n v="2.88"/>
    <n v="316.8"/>
    <n v="3332.9769725759907"/>
    <n v="366627.46698335896"/>
    <n v="0.12115813368341415"/>
    <n v="13.327394705175555"/>
    <s v="Relegated"/>
    <n v="0.64605972136853029"/>
    <n v="71.06656935053833"/>
  </r>
  <r>
    <s v="TANDA STPS4"/>
    <s v="Uttar Pradesh"/>
    <s v="NR"/>
    <x v="0"/>
    <x v="4"/>
    <n v="22.2532511978097"/>
    <n v="110"/>
    <n v="2.88"/>
    <n v="316.8"/>
    <n v="3266.5754987121668"/>
    <n v="359323.30485833832"/>
    <n v="0.12115813368341415"/>
    <n v="13.327394705175555"/>
    <s v="Relegated"/>
    <n v="0.66379538639479929"/>
    <n v="73.017492503427917"/>
  </r>
  <r>
    <s v="TENUGHAT TPS1"/>
    <s v="Jharkhand"/>
    <s v="ER"/>
    <x v="1"/>
    <x v="4"/>
    <n v="23.671457905544099"/>
    <n v="210"/>
    <n v="1.93"/>
    <n v="405.3"/>
    <n v="3233.5462241064861"/>
    <n v="679044.70706236211"/>
    <n v="0.12642862786873815"/>
    <n v="26.550011852435013"/>
    <s v="Relegated"/>
    <n v="0.51644711597612303"/>
    <n v="108.45389435498583"/>
  </r>
  <r>
    <s v="TENUGHAT TPS2"/>
    <s v="Jharkhand"/>
    <s v="ER"/>
    <x v="1"/>
    <x v="4"/>
    <n v="22.672142368240898"/>
    <n v="210"/>
    <n v="1.93"/>
    <n v="405.3"/>
    <n v="3193.266544183261"/>
    <n v="670585.97427848482"/>
    <n v="0.12642862786873815"/>
    <n v="26.550011852435013"/>
    <s v="Relegated"/>
    <n v="0.61519852742934522"/>
    <n v="129.19169076016249"/>
  </r>
  <r>
    <s v="THAMMINAPATNAM TPS1"/>
    <s v="Andhra Pradesh"/>
    <s v="SR"/>
    <x v="2"/>
    <x v="1"/>
    <n v="8.1752224503764506"/>
    <n v="150"/>
    <n v="3.0435133574326607"/>
    <n v="456.52700361489912"/>
    <n v="3555.956267486391"/>
    <n v="533393.44012295862"/>
    <n v="0.1233619249363473"/>
    <n v="18.504288740452097"/>
    <s v="Relegated"/>
    <n v="3.3012788557931112E-2"/>
    <n v="4.9519182836896665"/>
  </r>
  <r>
    <s v="THAMMINAPATNAM TPS2"/>
    <s v="Andhra Pradesh"/>
    <s v="SR"/>
    <x v="2"/>
    <x v="1"/>
    <n v="7.8412046543463303"/>
    <n v="150"/>
    <n v="3.0256664269830327"/>
    <n v="453.84996404745488"/>
    <n v="3546.5726744886597"/>
    <n v="531985.90117329895"/>
    <n v="0.1233619249363473"/>
    <n v="18.504288740452097"/>
    <s v="Relegated"/>
    <n v="5.3678586632609451E-2"/>
    <n v="8.0517879948914182"/>
  </r>
  <r>
    <s v="TORANGALLU TPS(SBU-I)1"/>
    <s v="Karnataka"/>
    <s v="SR"/>
    <x v="2"/>
    <x v="4"/>
    <n v="21.338809034907499"/>
    <n v="130"/>
    <n v="2.5934702527617701"/>
    <n v="337.1511328590301"/>
    <n v="3428.0980386927176"/>
    <n v="445652.74503005331"/>
    <n v="7.183708757655409E-2"/>
    <n v="9.3388213849520323"/>
    <s v="Relegated"/>
    <n v="0.78005289715022752"/>
    <n v="101.40687662952958"/>
  </r>
  <r>
    <s v="TORANGALLU TPS(SBU-I)2"/>
    <s v="Karnataka"/>
    <s v="SR"/>
    <x v="2"/>
    <x v="4"/>
    <n v="21.0102669404517"/>
    <n v="130"/>
    <n v="2.8954423434688423"/>
    <n v="376.40750465094948"/>
    <n v="3561.8668706672634"/>
    <n v="463042.69318674423"/>
    <n v="7.183708757655409E-2"/>
    <n v="9.3388213849520323"/>
    <s v="Relegated"/>
    <n v="0.36779959134714102"/>
    <n v="47.81394687512833"/>
  </r>
  <r>
    <s v="TORANGALLU TPS(SBU-II)3"/>
    <s v="Karnataka"/>
    <s v="SR"/>
    <x v="2"/>
    <x v="2"/>
    <n v="11.0910335386721"/>
    <n v="300"/>
    <n v="2.6506499885796617"/>
    <n v="795.19499657389849"/>
    <n v="3241.3756714842771"/>
    <n v="972412.70144528314"/>
    <n v="7.7914431957709626E-2"/>
    <n v="23.374329587312889"/>
    <s v="Relegated"/>
    <n v="0.59539343083029583"/>
    <n v="178.61802924908875"/>
  </r>
  <r>
    <s v="TORANGALLU TPS(SBU-II)4"/>
    <s v="Karnataka"/>
    <s v="SR"/>
    <x v="2"/>
    <x v="2"/>
    <n v="10.757015742642"/>
    <n v="300"/>
    <n v="2.9129883048913001"/>
    <n v="873.89649146738998"/>
    <n v="3357.3841922647989"/>
    <n v="1007215.2576794396"/>
    <n v="7.7914431957709626E-2"/>
    <n v="23.374329587312889"/>
    <s v="Relegated"/>
    <n v="0.23673969417765278"/>
    <n v="71.021908253295834"/>
  </r>
  <r>
    <s v="TROMBAY TPS5"/>
    <s v="Maharashtra"/>
    <s v="WR"/>
    <x v="2"/>
    <x v="8"/>
    <n v="36.339493497604302"/>
    <n v="500"/>
    <n v="3.76"/>
    <n v="1880"/>
    <n v="3221.6563818890554"/>
    <n v="1610828.1909445277"/>
    <n v="5.8556660392843879E-2"/>
    <n v="29.27833019642194"/>
    <s v="Relegated"/>
    <n v="0.71510558917609746"/>
    <n v="357.55279458804876"/>
  </r>
  <r>
    <s v="TROMBAY TPS8"/>
    <s v="Maharashtra"/>
    <s v="WR"/>
    <x v="2"/>
    <x v="2"/>
    <n v="11.1759069130732"/>
    <n v="250"/>
    <n v="3.92"/>
    <n v="980"/>
    <n v="3235.246119258315"/>
    <n v="808811.52981457871"/>
    <n v="5.8556660392843879E-2"/>
    <n v="14.63916509821097"/>
    <s v="Relegated"/>
    <n v="0.79249443393609664"/>
    <n v="198.12360848402417"/>
  </r>
  <r>
    <s v="TUTICORIN TPS1"/>
    <s v="Tamil Nadu"/>
    <s v="SR"/>
    <x v="1"/>
    <x v="9"/>
    <n v="40.821355236139603"/>
    <n v="210"/>
    <n v="3.39"/>
    <n v="711.9"/>
    <n v="3419.9715579587428"/>
    <n v="718194.027171336"/>
    <n v="8.1569433810636374E-2"/>
    <n v="17.12958110023364"/>
    <s v="Relegated"/>
    <n v="0.48274759994964289"/>
    <n v="101.37699598942501"/>
  </r>
  <r>
    <s v="TUTICORIN TPS2"/>
    <s v="Tamil Nadu"/>
    <s v="SR"/>
    <x v="1"/>
    <x v="8"/>
    <n v="39.378507871320998"/>
    <n v="210"/>
    <n v="3.39"/>
    <n v="711.9"/>
    <n v="3356.6174483352252"/>
    <n v="704889.66415039729"/>
    <n v="8.1569433810636374E-2"/>
    <n v="17.12958110023364"/>
    <s v="Relegated"/>
    <n v="0.64104929394860322"/>
    <n v="134.62035172920667"/>
  </r>
  <r>
    <s v="TUTICORIN TPS3"/>
    <s v="Tamil Nadu"/>
    <s v="SR"/>
    <x v="1"/>
    <x v="8"/>
    <n v="38.050650239561897"/>
    <n v="210"/>
    <n v="3.39"/>
    <n v="711.9"/>
    <n v="3346.7299187838235"/>
    <n v="702813.28294460289"/>
    <n v="8.1569433810636374E-2"/>
    <n v="17.12958110023364"/>
    <s v="Relegated"/>
    <n v="0.640268778843881"/>
    <n v="134.45644355721501"/>
  </r>
  <r>
    <s v="TUTICORIN TPS4"/>
    <s v="Tamil Nadu"/>
    <s v="SR"/>
    <x v="1"/>
    <x v="5"/>
    <n v="28.227241615331899"/>
    <n v="210"/>
    <n v="3.39"/>
    <n v="711.9"/>
    <n v="3273.0009108985432"/>
    <n v="687330.19128869404"/>
    <n v="8.1569433810636374E-2"/>
    <n v="17.12958110023364"/>
    <s v="Relegated"/>
    <n v="0.63625418478889884"/>
    <n v="133.61337880566876"/>
  </r>
  <r>
    <s v="TUTICORIN TPS5"/>
    <s v="Tamil Nadu"/>
    <s v="SR"/>
    <x v="1"/>
    <x v="5"/>
    <n v="29.095140314852799"/>
    <n v="210"/>
    <n v="3.39"/>
    <n v="711.9"/>
    <n v="3283.5694020813398"/>
    <n v="689549.57443708135"/>
    <n v="8.1569433810636374E-2"/>
    <n v="17.12958110023364"/>
    <s v="Relegated"/>
    <n v="0.62434365218093058"/>
    <n v="131.11216695799541"/>
  </r>
  <r>
    <s v="UKAI TPS3"/>
    <s v="Gujarat"/>
    <s v="WR"/>
    <x v="1"/>
    <x v="9"/>
    <n v="41.338809034907598"/>
    <n v="200"/>
    <n v="3.59"/>
    <n v="718"/>
    <n v="3352.2609853750323"/>
    <n v="670452.19707500644"/>
    <n v="8.0187863271519652E-2"/>
    <n v="16.037572654303929"/>
    <s v="Relegated"/>
    <n v="0.66032280712402303"/>
    <n v="132.06456142480459"/>
  </r>
  <r>
    <s v="UKAI TPS4"/>
    <s v="Gujarat"/>
    <s v="WR"/>
    <x v="1"/>
    <x v="9"/>
    <n v="41.177275838466798"/>
    <n v="200"/>
    <n v="3.59"/>
    <n v="718"/>
    <n v="3326.5226581781831"/>
    <n v="665304.53163563658"/>
    <n v="8.0187863271519652E-2"/>
    <n v="16.037572654303929"/>
    <s v="Relegated"/>
    <n v="0.73444943047389377"/>
    <n v="146.88988609477875"/>
  </r>
  <r>
    <s v="UKAI TPS5"/>
    <s v="Gujarat"/>
    <s v="WR"/>
    <x v="1"/>
    <x v="8"/>
    <n v="35.337440109513999"/>
    <n v="210"/>
    <n v="3.59"/>
    <n v="753.9"/>
    <n v="3292.4679737578217"/>
    <n v="691418.27448914258"/>
    <n v="8.0187863271519652E-2"/>
    <n v="16.839451287019127"/>
    <s v="Relegated"/>
    <n v="0.67448588996999004"/>
    <n v="141.64203689369791"/>
  </r>
  <r>
    <s v="UNCHAHAR STPS1"/>
    <s v="Uttar Pradesh"/>
    <s v="NR"/>
    <x v="0"/>
    <x v="6"/>
    <n v="31.504449007529001"/>
    <n v="210"/>
    <n v="3.13"/>
    <n v="657.3"/>
    <n v="3249.7755094254094"/>
    <n v="682452.85697933601"/>
    <n v="0.10083552828968442"/>
    <n v="21.17546094083373"/>
    <s v="Relegated"/>
    <n v="0.65614640754456155"/>
    <n v="137.79074558435792"/>
  </r>
  <r>
    <s v="UNCHAHAR STPS2"/>
    <s v="Uttar Pradesh"/>
    <s v="NR"/>
    <x v="0"/>
    <x v="6"/>
    <n v="31.175906913073199"/>
    <n v="210"/>
    <n v="3.13"/>
    <n v="657.3"/>
    <n v="3236.7329407326306"/>
    <n v="679713.91755385243"/>
    <n v="0.10083552828968442"/>
    <n v="21.17546094083373"/>
    <s v="Relegated"/>
    <n v="0.68800741256868847"/>
    <n v="144.48155663942458"/>
  </r>
  <r>
    <s v="UNCHAHAR STPS3"/>
    <s v="Uttar Pradesh"/>
    <s v="NR"/>
    <x v="0"/>
    <x v="4"/>
    <n v="21.338809034907499"/>
    <n v="210"/>
    <n v="3.11"/>
    <n v="653.1"/>
    <n v="3163.0703088471378"/>
    <n v="664244.76485789893"/>
    <n v="0.10083552828968442"/>
    <n v="21.17546094083373"/>
    <s v="Relegated"/>
    <n v="0.68347562508915671"/>
    <n v="143.5298812687229"/>
  </r>
  <r>
    <s v="UNCHAHAR STPS4"/>
    <s v="Uttar Pradesh"/>
    <s v="NR"/>
    <x v="0"/>
    <x v="4"/>
    <n v="20.591375770020498"/>
    <n v="210"/>
    <n v="3.11"/>
    <n v="653.1"/>
    <n v="3149.6774175165233"/>
    <n v="661432.25767846988"/>
    <n v="0.10083552828968442"/>
    <n v="21.17546094083373"/>
    <s v="Relegated"/>
    <n v="0.70671449107389683"/>
    <n v="148.41004312551834"/>
  </r>
  <r>
    <s v="UNCHAHAR STPS5"/>
    <s v="Uttar Pradesh"/>
    <s v="NR"/>
    <x v="0"/>
    <x v="2"/>
    <n v="13.6728268309377"/>
    <n v="210"/>
    <n v="3.11"/>
    <n v="653.1"/>
    <n v="3101.217139212315"/>
    <n v="651255.59923458612"/>
    <n v="0.10083552828968442"/>
    <n v="21.17546094083373"/>
    <s v="Relegated"/>
    <n v="0.69340071524840274"/>
    <n v="145.61415020216458"/>
  </r>
  <r>
    <s v="UTRAULA TPS1"/>
    <s v="Uttar Pradesh"/>
    <s v="NR"/>
    <x v="2"/>
    <x v="1"/>
    <n v="8.2546201232032796"/>
    <n v="45"/>
    <n v="3.49"/>
    <n v="157.05000000000001"/>
    <n v="3376.1427066707715"/>
    <n v="151926.42180018473"/>
    <n v="0.11683063103919883"/>
    <n v="5.2573783967639471"/>
    <s v="Relegated"/>
    <n v="0.19082309741897499"/>
    <n v="8.5870393838538739"/>
  </r>
  <r>
    <s v="UTRAULA TPS2"/>
    <s v="Uttar Pradesh"/>
    <s v="NR"/>
    <x v="2"/>
    <x v="1"/>
    <n v="8.1752224503764506"/>
    <n v="45"/>
    <n v="3.49"/>
    <n v="157.05000000000001"/>
    <n v="3378.741340427126"/>
    <n v="152043.36031922066"/>
    <n v="0.11683063103919883"/>
    <n v="5.2573783967639471"/>
    <s v="Relegated"/>
    <n v="0.1811269272344537"/>
    <n v="8.1507117255504173"/>
  </r>
  <r>
    <s v="VINDHYACHAL STPS1"/>
    <s v="Madhya Pradesh"/>
    <s v="WR"/>
    <x v="0"/>
    <x v="6"/>
    <n v="32.591375770020498"/>
    <n v="210"/>
    <n v="1.64"/>
    <n v="344.4"/>
    <n v="3157.2268591545344"/>
    <n v="663017.64042245224"/>
    <n v="6.5179373950034494E-2"/>
    <n v="13.687668529507244"/>
    <s v="Relegated"/>
    <n v="0.95348557374995435"/>
    <n v="200.2319704874904"/>
  </r>
  <r>
    <s v="VINDHYACHAL STPS2"/>
    <s v="Madhya Pradesh"/>
    <s v="WR"/>
    <x v="0"/>
    <x v="6"/>
    <n v="31.841204654346299"/>
    <n v="210"/>
    <n v="1.64"/>
    <n v="344.4"/>
    <n v="3172.9682772728984"/>
    <n v="666323.3382273087"/>
    <n v="6.5179373950034494E-2"/>
    <n v="13.687668529507244"/>
    <s v="Relegated"/>
    <n v="0.88852792382762691"/>
    <n v="186.59086400380164"/>
  </r>
  <r>
    <s v="VINDHYACHAL STPS3"/>
    <s v="Madhya Pradesh"/>
    <s v="WR"/>
    <x v="0"/>
    <x v="6"/>
    <n v="31.2525667351129"/>
    <n v="210"/>
    <n v="1.64"/>
    <n v="344.4"/>
    <n v="3164.9307960764068"/>
    <n v="664635.46717604541"/>
    <n v="6.5179373950034494E-2"/>
    <n v="13.687668529507244"/>
    <s v="Relegated"/>
    <n v="0.89923657417280356"/>
    <n v="188.83968057628874"/>
  </r>
  <r>
    <s v="VINDHYACHAL STPS4"/>
    <s v="Madhya Pradesh"/>
    <s v="WR"/>
    <x v="0"/>
    <x v="6"/>
    <n v="30.4229979466119"/>
    <n v="210"/>
    <n v="1.64"/>
    <n v="344.4"/>
    <n v="3170.7855154096569"/>
    <n v="665864.95823602797"/>
    <n v="6.5179373950034494E-2"/>
    <n v="13.687668529507244"/>
    <s v="Relegated"/>
    <n v="0.86235172045343056"/>
    <n v="181.09386129522042"/>
  </r>
  <r>
    <s v="VINDHYACHAL STPS5"/>
    <s v="Madhya Pradesh"/>
    <s v="WR"/>
    <x v="0"/>
    <x v="6"/>
    <n v="30.176591375769998"/>
    <n v="210"/>
    <n v="1.64"/>
    <n v="344.4"/>
    <n v="3173.6952089431752"/>
    <n v="666475.99387806677"/>
    <n v="6.5179373950034494E-2"/>
    <n v="13.687668529507244"/>
    <s v="Relegated"/>
    <n v="0.84785447430773209"/>
    <n v="178.04943960462373"/>
  </r>
  <r>
    <s v="VINDHYACHAL STPS6"/>
    <s v="Madhya Pradesh"/>
    <s v="WR"/>
    <x v="0"/>
    <x v="5"/>
    <n v="29.2539356605065"/>
    <n v="210"/>
    <n v="1.64"/>
    <n v="344.4"/>
    <n v="3166.4735150388956"/>
    <n v="664959.43815816811"/>
    <n v="6.5179373950034494E-2"/>
    <n v="13.687668529507244"/>
    <s v="Relegated"/>
    <n v="0.84837511486428174"/>
    <n v="178.15877412149916"/>
  </r>
  <r>
    <s v="WANAKBORI TPS1"/>
    <s v="Gujarat"/>
    <s v="WR"/>
    <x v="1"/>
    <x v="8"/>
    <n v="38.176591375770002"/>
    <n v="210"/>
    <n v="3.83"/>
    <n v="804.30000000000007"/>
    <n v="3399.9459424428956"/>
    <n v="713988.64791300811"/>
    <n v="9.2496856160444826E-2"/>
    <n v="19.424339793693413"/>
    <s v="Relegated"/>
    <n v="0.42043437099842862"/>
    <n v="88.29121790967001"/>
  </r>
  <r>
    <s v="WANAKBORI TPS2"/>
    <s v="Gujarat"/>
    <s v="WR"/>
    <x v="1"/>
    <x v="8"/>
    <n v="37.338809034907598"/>
    <n v="210"/>
    <n v="3.83"/>
    <n v="804.30000000000007"/>
    <n v="3386.51419112432"/>
    <n v="711167.98013610719"/>
    <n v="9.2496856160444826E-2"/>
    <n v="19.424339793693413"/>
    <s v="Relegated"/>
    <n v="0.44170254059478176"/>
    <n v="92.757533524904176"/>
  </r>
  <r>
    <s v="WANAKBORI TPS3"/>
    <s v="Gujarat"/>
    <s v="WR"/>
    <x v="1"/>
    <x v="8"/>
    <n v="36.175222450376403"/>
    <n v="210"/>
    <n v="3.83"/>
    <n v="804.30000000000007"/>
    <n v="3297.6499983182221"/>
    <n v="692506.49964682665"/>
    <n v="9.2496856160444826E-2"/>
    <n v="19.424339793693413"/>
    <s v="Relegated"/>
    <n v="0.68362853552199798"/>
    <n v="143.56199245961957"/>
  </r>
  <r>
    <s v="WANAKBORI TPS4"/>
    <s v="Gujarat"/>
    <s v="WR"/>
    <x v="1"/>
    <x v="6"/>
    <n v="34.176591375770002"/>
    <n v="210"/>
    <n v="3.83"/>
    <n v="804.30000000000007"/>
    <n v="3310.1750581411502"/>
    <n v="695136.76220964151"/>
    <n v="9.2496856160444826E-2"/>
    <n v="19.424339793693413"/>
    <s v="Relegated"/>
    <n v="0.59954476023301795"/>
    <n v="125.90439964893378"/>
  </r>
  <r>
    <s v="WANAKBORI TPS5"/>
    <s v="Gujarat"/>
    <s v="WR"/>
    <x v="1"/>
    <x v="6"/>
    <n v="33.672826830937701"/>
    <n v="210"/>
    <n v="3.83"/>
    <n v="804.30000000000007"/>
    <n v="3314.4577925323483"/>
    <n v="696036.1364317931"/>
    <n v="9.2496856160444826E-2"/>
    <n v="19.424339793693413"/>
    <s v="Relegated"/>
    <n v="0.57494562384340664"/>
    <n v="120.7385810071154"/>
  </r>
  <r>
    <s v="WANAKBORI TPS6"/>
    <s v="Gujarat"/>
    <s v="WR"/>
    <x v="1"/>
    <x v="6"/>
    <n v="32.5065023956194"/>
    <n v="210"/>
    <n v="3.83"/>
    <n v="804.30000000000007"/>
    <n v="3303.7980296427277"/>
    <n v="693797.58622497285"/>
    <n v="9.2496856160444826E-2"/>
    <n v="19.424339793693413"/>
    <s v="Relegated"/>
    <n v="0.58023470494777185"/>
    <n v="121.84928803903209"/>
  </r>
  <r>
    <s v="WANAKBORI TPS7"/>
    <s v="Gujarat"/>
    <s v="WR"/>
    <x v="1"/>
    <x v="4"/>
    <n v="21.423682409308601"/>
    <n v="210"/>
    <n v="3.66"/>
    <n v="768.6"/>
    <n v="3157.0075054040867"/>
    <n v="662971.57613485819"/>
    <n v="9.2496856160444826E-2"/>
    <n v="19.424339793693413"/>
    <s v="Relegated"/>
    <n v="0.76812714103686108"/>
    <n v="161.30669961774083"/>
  </r>
  <r>
    <s v="WARDHA WARORA TPP2"/>
    <s v="Maharashtra"/>
    <s v="WR"/>
    <x v="2"/>
    <x v="1"/>
    <n v="9.5906913073237501"/>
    <n v="135"/>
    <n v="3.052278236188442"/>
    <n v="412.05756188543967"/>
    <n v="3354.2273479368127"/>
    <n v="452820.69197146973"/>
    <n v="0.11099569562813016"/>
    <n v="14.984418909797572"/>
    <s v="Relegated"/>
    <n v="3.5960402335027779E-2"/>
    <n v="4.8546543152287498"/>
  </r>
  <r>
    <s v="WARDHA WARORA TPP3"/>
    <s v="Maharashtra"/>
    <s v="WR"/>
    <x v="2"/>
    <x v="1"/>
    <n v="9.3388090349075892"/>
    <n v="135"/>
    <n v="2.8726044703129405"/>
    <n v="387.80160349224695"/>
    <n v="3272.7643260486211"/>
    <n v="441823.18401656387"/>
    <n v="0.11099569562813016"/>
    <n v="14.984418909797572"/>
    <s v="Relegated"/>
    <n v="0.27656970546292103"/>
    <n v="37.336910237494337"/>
  </r>
  <r>
    <s v="WARDHA WARORA TPP4"/>
    <s v="Maharashtra"/>
    <s v="WR"/>
    <x v="2"/>
    <x v="1"/>
    <n v="9.0924024640656995"/>
    <n v="135"/>
    <n v="2.8580881490737098"/>
    <n v="385.84190012495083"/>
    <n v="3265.2375865115437"/>
    <n v="440807.07417905837"/>
    <n v="0.11099569562813016"/>
    <n v="14.984418909797572"/>
    <s v="Relegated"/>
    <n v="0.29364336770426852"/>
    <n v="39.6418546400762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174" firstHeaderRow="1" firstDataRow="2" firstDataCol="1"/>
  <pivotFields count="43">
    <pivotField showAll="0"/>
    <pivotField axis="axisRow" showAll="0">
      <items count="170">
        <item x="34"/>
        <item x="116"/>
        <item x="103"/>
        <item x="44"/>
        <item x="35"/>
        <item x="37"/>
        <item x="50"/>
        <item x="117"/>
        <item x="102"/>
        <item x="91"/>
        <item x="118"/>
        <item x="18"/>
        <item x="41"/>
        <item x="100"/>
        <item x="23"/>
        <item x="119"/>
        <item x="120"/>
        <item x="8"/>
        <item x="121"/>
        <item x="69"/>
        <item x="110"/>
        <item x="89"/>
        <item x="55"/>
        <item x="122"/>
        <item x="96"/>
        <item x="123"/>
        <item x="97"/>
        <item x="124"/>
        <item x="58"/>
        <item x="125"/>
        <item x="13"/>
        <item x="108"/>
        <item x="75"/>
        <item x="126"/>
        <item x="7"/>
        <item x="0"/>
        <item x="42"/>
        <item x="93"/>
        <item x="76"/>
        <item x="127"/>
        <item x="64"/>
        <item x="128"/>
        <item x="71"/>
        <item x="1"/>
        <item x="129"/>
        <item x="130"/>
        <item x="94"/>
        <item x="101"/>
        <item x="92"/>
        <item x="112"/>
        <item x="11"/>
        <item x="66"/>
        <item x="84"/>
        <item x="131"/>
        <item x="132"/>
        <item x="77"/>
        <item x="39"/>
        <item x="40"/>
        <item x="88"/>
        <item x="133"/>
        <item x="33"/>
        <item x="134"/>
        <item x="70"/>
        <item x="9"/>
        <item x="63"/>
        <item x="135"/>
        <item x="24"/>
        <item x="72"/>
        <item x="136"/>
        <item x="137"/>
        <item x="62"/>
        <item x="138"/>
        <item x="67"/>
        <item x="2"/>
        <item x="139"/>
        <item x="5"/>
        <item x="140"/>
        <item x="20"/>
        <item x="3"/>
        <item x="106"/>
        <item x="30"/>
        <item x="28"/>
        <item x="59"/>
        <item x="141"/>
        <item x="54"/>
        <item x="19"/>
        <item x="16"/>
        <item x="68"/>
        <item x="142"/>
        <item x="56"/>
        <item x="80"/>
        <item x="48"/>
        <item x="85"/>
        <item x="114"/>
        <item x="95"/>
        <item x="12"/>
        <item x="143"/>
        <item x="90"/>
        <item x="22"/>
        <item x="144"/>
        <item x="47"/>
        <item x="73"/>
        <item x="145"/>
        <item x="146"/>
        <item x="43"/>
        <item x="49"/>
        <item x="147"/>
        <item x="148"/>
        <item x="111"/>
        <item x="105"/>
        <item x="104"/>
        <item x="38"/>
        <item x="115"/>
        <item x="15"/>
        <item x="45"/>
        <item x="25"/>
        <item x="149"/>
        <item x="81"/>
        <item x="150"/>
        <item x="31"/>
        <item x="61"/>
        <item x="151"/>
        <item x="98"/>
        <item x="152"/>
        <item x="52"/>
        <item x="86"/>
        <item x="79"/>
        <item x="113"/>
        <item x="21"/>
        <item x="109"/>
        <item x="36"/>
        <item x="78"/>
        <item x="153"/>
        <item x="14"/>
        <item x="154"/>
        <item x="65"/>
        <item x="155"/>
        <item x="32"/>
        <item x="99"/>
        <item x="27"/>
        <item x="17"/>
        <item x="156"/>
        <item x="46"/>
        <item x="157"/>
        <item x="158"/>
        <item x="159"/>
        <item x="82"/>
        <item x="29"/>
        <item x="10"/>
        <item x="160"/>
        <item x="161"/>
        <item x="26"/>
        <item x="162"/>
        <item x="163"/>
        <item x="164"/>
        <item x="165"/>
        <item x="83"/>
        <item x="87"/>
        <item x="74"/>
        <item x="53"/>
        <item x="166"/>
        <item x="60"/>
        <item x="57"/>
        <item x="51"/>
        <item x="6"/>
        <item x="167"/>
        <item x="107"/>
        <item x="4"/>
        <item x="168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>
      <items count="12">
        <item x="0"/>
        <item x="2"/>
        <item x="3"/>
        <item x="4"/>
        <item x="5"/>
        <item x="6"/>
        <item x="8"/>
        <item x="9"/>
        <item x="7"/>
        <item x="1"/>
        <item x="1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axis="axisCol" multipleItemSelectionAllowed="1" showAll="0" defaultSubtotal="0">
      <items count="3">
        <item x="0"/>
        <item x="1"/>
        <item h="1" x="2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25"/>
  </colFields>
  <colItems count="3">
    <i>
      <x/>
    </i>
    <i>
      <x v="1"/>
    </i>
    <i t="grand">
      <x/>
    </i>
  </colItems>
  <dataFields count="1">
    <dataField name="Sum of Capacity" fld="7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" firstHeaderRow="0" firstDataRow="1" firstDataCol="0"/>
  <pivotFields count="14">
    <pivotField showAll="0"/>
    <pivotField showAll="0"/>
    <pivotField showAll="0"/>
    <pivotField showAll="0"/>
    <pivotField showAll="0"/>
    <pivotField numFmtId="1"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Wtd SHR" fld="10" baseField="0" baseItem="0"/>
    <dataField name="Sum of Capacity" fld="6" baseField="0" baseItem="0"/>
    <dataField name="Sum of Wtd VC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5" firstHeaderRow="1" firstDataRow="2" firstDataCol="1"/>
  <pivotFields count="17"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11">
        <item x="0"/>
        <item x="2"/>
        <item x="3"/>
        <item x="4"/>
        <item x="5"/>
        <item x="6"/>
        <item x="8"/>
        <item x="9"/>
        <item x="7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Wd PLF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A399" dT="2020-12-04T07:45:14.06" personId="{4684FF13-A0EA-3548-B089-D1568444BB79}" id="{AC98F54B-25BD-8B4C-951D-BB557EAE6612}">
    <text>In out data sheet we financials for a unit 7 and 8 as well?</text>
  </threadedComment>
  <threadedComment ref="BA410" dT="2020-12-07T05:56:59.09" personId="{4684FF13-A0EA-3548-B089-D1568444BB79}" id="{D4EDB9FF-8E70-BA4C-B287-1904871C0B84}">
    <text>have a second entry of Muzaffarpur TPS 2 as 390 MW and FC of 803.15</text>
  </threadedComment>
  <threadedComment ref="BA415" dT="2020-12-07T05:58:21.27" personId="{4684FF13-A0EA-3548-B089-D1568444BB79}" id="{BC4CCEF0-FBE9-E648-8E9C-D9492A79C4B6}">
    <text>we just had one unit of Niwari of 45 MW</text>
  </threadedComment>
  <threadedComment ref="BA419" dT="2020-12-07T06:04:03.58" personId="{4684FF13-A0EA-3548-B089-D1568444BB79}" id="{DB3F6BC7-371F-764C-91F7-8EBD2A00D71C}">
    <text>have capacity in our dataset as 194</text>
  </threadedComment>
  <threadedComment ref="BA479" dT="2020-12-08T07:21:32.74" personId="{4684FF13-A0EA-3548-B089-D1568444BB79}" id="{93E600EB-870C-0543-B7BF-601AEF66E42E}">
    <text>our dataset its named with CEEW name Simhadri STPP and with 2000MW</text>
  </threadedComment>
  <threadedComment ref="BA513" dT="2020-12-08T07:18:58.07" personId="{4684FF13-A0EA-3548-B089-D1568444BB79}" id="{E13CB22C-5D80-1943-AE5A-F211451E6128}">
    <text>in our data sheet the CEEW name for Tuticorin is TUTICORIN (JV) TPP and capacity 1050MW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Z113" dT="2020-12-25T07:22:16.42" personId="{4684FF13-A0EA-3548-B089-D1568444BB79}" id="{92E0DB73-1A80-F04C-BC7C-90FD9FCBC896}">
    <text>No breakdown of plants and recorded as FSTPP</text>
  </threadedComment>
  <threadedComment ref="AC113" dT="2020-12-25T08:21:45.05" personId="{4684FF13-A0EA-3548-B089-D1568444BB79}" id="{8D8EA276-B909-AD40-9B7B-2093DFB098E5}">
    <text xml:space="preserve">stage 1 and 2
</text>
  </threadedComment>
  <threadedComment ref="AC117" dT="2020-12-25T08:21:35.38" personId="{4684FF13-A0EA-3548-B089-D1568444BB79}" id="{EC1E0AE5-749C-224A-A2FC-CAD872A2FB93}">
    <text>stage 3</text>
  </threadedComment>
  <threadedComment ref="Q133" dT="2020-12-25T07:58:29.00" personId="{4684FF13-A0EA-3548-B089-D1568444BB79}" id="{40439D96-68A9-7348-8A6A-6E9B5D80E9A3}">
    <text>HARDUAGANJ Ext?</text>
  </threadedComment>
  <threadedComment ref="AC151" dT="2020-12-25T07:25:31.17" personId="{4684FF13-A0EA-3548-B089-D1568444BB79}" id="{1F2BCE33-DAA5-7949-A6DC-725DAE50D40B}">
    <text>Both recorded as KHSTPP - I &amp; KHSTPP -II</text>
  </threadedComment>
  <threadedComment ref="AE151" dT="2021-01-07T11:10:08.72" personId="{4684FF13-A0EA-3548-B089-D1568444BB79}" id="{837E843A-544A-6049-A914-0C16A76D3A81}">
    <text xml:space="preserve">from Punjab
</text>
  </threadedComment>
  <threadedComment ref="Q218" dT="2020-12-25T07:42:04.64" personId="{4684FF13-A0EA-3548-B089-D1568444BB79}" id="{68F9ECB9-3AFE-D845-8701-32034E59A55D}">
    <text>Assumption that these three are KTPS A,B &amp;C</text>
  </threadedComment>
  <threadedComment ref="S218" dT="2021-01-07T11:34:17.58" personId="{4684FF13-A0EA-3548-B089-D1568444BB79}" id="{A9FE8272-A7E9-5D4C-ACD5-8C71C607A11A}">
    <text>data only available for TPS 9-10, 11 &amp; 12</text>
  </threadedComment>
  <threadedComment ref="J256" dT="2020-12-04T07:45:14.06" personId="{4684FF13-A0EA-3548-B089-D1568444BB79}" id="{AC98F54B-25BD-8B4D-951D-BB557EAE6612}">
    <text>In out data sheet we financials for a unit 7 and 8 as well?</text>
  </threadedComment>
  <threadedComment ref="Q304" dT="2020-12-25T07:57:13.50" personId="{4684FF13-A0EA-3548-B089-D1568444BB79}" id="{64BB3BC5-890F-0742-B62F-19CAC0529AE3}">
    <text>assuming Obra A is 0 as fixed cost given as 0 and that none of these are OBRA A</text>
  </threadedComment>
  <threadedComment ref="S304" dT="2021-01-07T12:12:23.89" personId="{4684FF13-A0EA-3548-B089-D1568444BB79}" id="{7FD3B0D2-9681-2F49-A903-3B4097A442F4}">
    <text xml:space="preserve">This was given as OBRA-A (Units 1-8) We only have TPS1 so have put it in. </text>
  </threadedComment>
  <threadedComment ref="Q326" dT="2020-12-25T07:55:43.29" personId="{4684FF13-A0EA-3548-B089-D1568444BB79}" id="{7B10B4BC-F4B4-044C-AA02-AC7E4E134E76}">
    <text>Check which is Parichha &amp; which ext &amp; new ext??</text>
  </threadedComment>
  <threadedComment ref="S326" dT="2021-01-07T12:16:51.17" personId="{4684FF13-A0EA-3548-B089-D1568444BB79}" id="{B80D6925-1819-634C-A4EF-B6E2537F8FA4}">
    <text>Given for Unit 1&amp;2 while we have just 2</text>
  </threadedComment>
  <threadedComment ref="J428" dT="2020-12-08T07:21:32.74" personId="{4684FF13-A0EA-3548-B089-D1568444BB79}" id="{93E600EB-870C-0544-B7BF-601AEF66E42E}">
    <text>our dataset its named with CEEW name Simhadri STPP and with 2000MW</text>
  </threadedComment>
  <threadedComment ref="T459" dT="2020-12-25T07:23:43.41" personId="{4684FF13-A0EA-3548-B089-D1568444BB79}" id="{8BD886EE-74B5-9D46-BD0B-EEEC4D16D6F3}">
    <text>No breakdown of plants and recorded as TSTPP</text>
  </threadedComment>
  <threadedComment ref="J488" dT="2020-12-08T07:18:58.07" personId="{4684FF13-A0EA-3548-B089-D1568444BB79}" id="{E13CB22C-5D80-1944-AE5A-F211451E6128}">
    <text>in our data sheet the CEEW name for Tuticorin is TUTICORIN (JV) TPP and capacity 1050MW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D174"/>
  <sheetViews>
    <sheetView workbookViewId="0">
      <selection activeCell="F14" sqref="F14"/>
    </sheetView>
  </sheetViews>
  <sheetFormatPr baseColWidth="10" defaultColWidth="8.83203125" defaultRowHeight="15" x14ac:dyDescent="0.2"/>
  <cols>
    <col min="1" max="1" width="30" customWidth="1"/>
    <col min="2" max="2" width="16.33203125" customWidth="1"/>
    <col min="3" max="3" width="10" customWidth="1"/>
    <col min="4" max="4" width="11.33203125" customWidth="1"/>
    <col min="5" max="5" width="7.33203125" customWidth="1"/>
    <col min="6" max="6" width="11.33203125" customWidth="1"/>
  </cols>
  <sheetData>
    <row r="4" spans="1:4" x14ac:dyDescent="0.2">
      <c r="A4" s="33" t="s">
        <v>654</v>
      </c>
      <c r="B4" s="33" t="s">
        <v>653</v>
      </c>
    </row>
    <row r="5" spans="1:4" x14ac:dyDescent="0.2">
      <c r="A5" s="33" t="s">
        <v>638</v>
      </c>
      <c r="B5" t="s">
        <v>598</v>
      </c>
      <c r="C5" t="s">
        <v>576</v>
      </c>
      <c r="D5" t="s">
        <v>645</v>
      </c>
    </row>
    <row r="6" spans="1:4" x14ac:dyDescent="0.2">
      <c r="A6" s="26" t="s">
        <v>1009</v>
      </c>
      <c r="B6">
        <v>1800</v>
      </c>
      <c r="D6">
        <v>1800</v>
      </c>
    </row>
    <row r="7" spans="1:4" x14ac:dyDescent="0.2">
      <c r="A7" s="26" t="s">
        <v>1108</v>
      </c>
      <c r="C7">
        <v>210</v>
      </c>
      <c r="D7">
        <v>210</v>
      </c>
    </row>
    <row r="8" spans="1:4" x14ac:dyDescent="0.2">
      <c r="A8" s="26" t="s">
        <v>1093</v>
      </c>
      <c r="B8">
        <v>1350</v>
      </c>
      <c r="D8">
        <v>1350</v>
      </c>
    </row>
    <row r="9" spans="1:4" x14ac:dyDescent="0.2">
      <c r="A9" s="26" t="s">
        <v>1020</v>
      </c>
      <c r="B9">
        <v>1200</v>
      </c>
      <c r="D9">
        <v>1200</v>
      </c>
    </row>
    <row r="10" spans="1:4" x14ac:dyDescent="0.2">
      <c r="A10" s="26" t="s">
        <v>1337</v>
      </c>
      <c r="B10">
        <v>2200</v>
      </c>
      <c r="C10">
        <v>630</v>
      </c>
      <c r="D10">
        <v>2830</v>
      </c>
    </row>
    <row r="11" spans="1:4" x14ac:dyDescent="0.2">
      <c r="A11" s="26" t="s">
        <v>1012</v>
      </c>
      <c r="B11">
        <v>1200</v>
      </c>
      <c r="D11">
        <v>1200</v>
      </c>
    </row>
    <row r="12" spans="1:4" x14ac:dyDescent="0.2">
      <c r="A12" s="26" t="s">
        <v>1026</v>
      </c>
      <c r="B12">
        <v>600</v>
      </c>
      <c r="D12">
        <v>600</v>
      </c>
    </row>
    <row r="13" spans="1:4" x14ac:dyDescent="0.2">
      <c r="A13" s="26" t="s">
        <v>1338</v>
      </c>
      <c r="C13">
        <v>1050</v>
      </c>
      <c r="D13">
        <v>1050</v>
      </c>
    </row>
    <row r="14" spans="1:4" x14ac:dyDescent="0.2">
      <c r="A14" s="26" t="s">
        <v>1092</v>
      </c>
      <c r="B14">
        <v>600</v>
      </c>
      <c r="D14">
        <v>600</v>
      </c>
    </row>
    <row r="15" spans="1:4" x14ac:dyDescent="0.2">
      <c r="A15" s="26" t="s">
        <v>1075</v>
      </c>
      <c r="B15">
        <v>300</v>
      </c>
      <c r="D15">
        <v>300</v>
      </c>
    </row>
    <row r="16" spans="1:4" x14ac:dyDescent="0.2">
      <c r="A16" s="26" t="s">
        <v>1112</v>
      </c>
      <c r="C16">
        <v>330</v>
      </c>
      <c r="D16">
        <v>330</v>
      </c>
    </row>
    <row r="17" spans="1:4" x14ac:dyDescent="0.2">
      <c r="A17" s="26" t="s">
        <v>992</v>
      </c>
      <c r="B17">
        <v>1980</v>
      </c>
      <c r="D17">
        <v>1980</v>
      </c>
    </row>
    <row r="18" spans="1:4" x14ac:dyDescent="0.2">
      <c r="A18" s="26" t="s">
        <v>1016</v>
      </c>
      <c r="B18">
        <v>1200</v>
      </c>
      <c r="D18">
        <v>1200</v>
      </c>
    </row>
    <row r="19" spans="1:4" x14ac:dyDescent="0.2">
      <c r="A19" s="26" t="s">
        <v>1090</v>
      </c>
      <c r="B19">
        <v>250</v>
      </c>
      <c r="C19">
        <v>110</v>
      </c>
      <c r="D19">
        <v>360</v>
      </c>
    </row>
    <row r="20" spans="1:4" x14ac:dyDescent="0.2">
      <c r="A20" s="26" t="s">
        <v>998</v>
      </c>
      <c r="B20">
        <v>1320</v>
      </c>
      <c r="D20">
        <v>1320</v>
      </c>
    </row>
    <row r="21" spans="1:4" x14ac:dyDescent="0.2">
      <c r="A21" s="26" t="s">
        <v>1113</v>
      </c>
      <c r="C21">
        <v>90</v>
      </c>
      <c r="D21">
        <v>90</v>
      </c>
    </row>
    <row r="22" spans="1:4" x14ac:dyDescent="0.2">
      <c r="A22" s="26" t="s">
        <v>1339</v>
      </c>
      <c r="C22">
        <v>270</v>
      </c>
      <c r="D22">
        <v>270</v>
      </c>
    </row>
    <row r="23" spans="1:4" x14ac:dyDescent="0.2">
      <c r="A23" s="26" t="s">
        <v>1340</v>
      </c>
      <c r="B23">
        <v>1700</v>
      </c>
      <c r="D23">
        <v>1700</v>
      </c>
    </row>
    <row r="24" spans="1:4" x14ac:dyDescent="0.2">
      <c r="A24" s="26" t="s">
        <v>1114</v>
      </c>
      <c r="C24">
        <v>500</v>
      </c>
      <c r="D24">
        <v>500</v>
      </c>
    </row>
    <row r="25" spans="1:4" x14ac:dyDescent="0.2">
      <c r="A25" s="26" t="s">
        <v>1341</v>
      </c>
      <c r="B25">
        <v>1000</v>
      </c>
      <c r="C25">
        <v>210</v>
      </c>
      <c r="D25">
        <v>1210</v>
      </c>
    </row>
    <row r="26" spans="1:4" x14ac:dyDescent="0.2">
      <c r="A26" s="26" t="s">
        <v>1102</v>
      </c>
      <c r="B26">
        <v>500</v>
      </c>
      <c r="D26">
        <v>500</v>
      </c>
    </row>
    <row r="27" spans="1:4" x14ac:dyDescent="0.2">
      <c r="A27" s="26" t="s">
        <v>1342</v>
      </c>
      <c r="B27">
        <v>600</v>
      </c>
      <c r="D27">
        <v>600</v>
      </c>
    </row>
    <row r="28" spans="1:4" x14ac:dyDescent="0.2">
      <c r="A28" s="26" t="s">
        <v>1343</v>
      </c>
      <c r="B28">
        <v>500</v>
      </c>
      <c r="D28">
        <v>500</v>
      </c>
    </row>
    <row r="29" spans="1:4" x14ac:dyDescent="0.2">
      <c r="A29" s="26" t="s">
        <v>1344</v>
      </c>
      <c r="C29">
        <v>210</v>
      </c>
      <c r="D29">
        <v>210</v>
      </c>
    </row>
    <row r="30" spans="1:4" x14ac:dyDescent="0.2">
      <c r="A30" s="26" t="s">
        <v>1086</v>
      </c>
      <c r="B30">
        <v>750</v>
      </c>
      <c r="D30">
        <v>750</v>
      </c>
    </row>
    <row r="31" spans="1:4" x14ac:dyDescent="0.2">
      <c r="A31" s="26" t="s">
        <v>1116</v>
      </c>
      <c r="C31">
        <v>750</v>
      </c>
      <c r="D31">
        <v>750</v>
      </c>
    </row>
    <row r="32" spans="1:4" x14ac:dyDescent="0.2">
      <c r="A32" s="26" t="s">
        <v>1087</v>
      </c>
      <c r="B32">
        <v>600</v>
      </c>
      <c r="D32">
        <v>600</v>
      </c>
    </row>
    <row r="33" spans="1:4" x14ac:dyDescent="0.2">
      <c r="A33" s="26" t="s">
        <v>1345</v>
      </c>
      <c r="C33">
        <v>30</v>
      </c>
      <c r="D33">
        <v>30</v>
      </c>
    </row>
    <row r="34" spans="1:4" x14ac:dyDescent="0.2">
      <c r="A34" s="26" t="s">
        <v>1346</v>
      </c>
      <c r="B34">
        <v>2500</v>
      </c>
      <c r="C34">
        <v>420</v>
      </c>
      <c r="D34">
        <v>2920</v>
      </c>
    </row>
    <row r="35" spans="1:4" x14ac:dyDescent="0.2">
      <c r="A35" s="26" t="s">
        <v>905</v>
      </c>
      <c r="C35">
        <v>500</v>
      </c>
      <c r="D35">
        <v>500</v>
      </c>
    </row>
    <row r="36" spans="1:4" x14ac:dyDescent="0.2">
      <c r="A36" s="26" t="s">
        <v>1347</v>
      </c>
      <c r="B36">
        <v>1820</v>
      </c>
      <c r="C36">
        <v>500</v>
      </c>
      <c r="D36">
        <v>2320</v>
      </c>
    </row>
    <row r="37" spans="1:4" x14ac:dyDescent="0.2">
      <c r="A37" s="26" t="s">
        <v>1348</v>
      </c>
      <c r="B37">
        <v>550</v>
      </c>
      <c r="D37">
        <v>550</v>
      </c>
    </row>
    <row r="38" spans="1:4" x14ac:dyDescent="0.2">
      <c r="A38" s="26" t="s">
        <v>1349</v>
      </c>
      <c r="B38">
        <v>980</v>
      </c>
      <c r="C38">
        <v>840</v>
      </c>
      <c r="D38">
        <v>1820</v>
      </c>
    </row>
    <row r="39" spans="1:4" x14ac:dyDescent="0.2">
      <c r="A39" s="26" t="s">
        <v>1118</v>
      </c>
      <c r="C39">
        <v>500</v>
      </c>
      <c r="D39">
        <v>500</v>
      </c>
    </row>
    <row r="40" spans="1:4" x14ac:dyDescent="0.2">
      <c r="A40" s="26" t="s">
        <v>982</v>
      </c>
      <c r="B40">
        <v>1600</v>
      </c>
      <c r="D40">
        <v>1600</v>
      </c>
    </row>
    <row r="41" spans="1:4" x14ac:dyDescent="0.2">
      <c r="A41" s="26" t="s">
        <v>975</v>
      </c>
      <c r="B41">
        <v>800</v>
      </c>
      <c r="D41">
        <v>800</v>
      </c>
    </row>
    <row r="42" spans="1:4" x14ac:dyDescent="0.2">
      <c r="A42" s="26" t="s">
        <v>1017</v>
      </c>
      <c r="B42">
        <v>1200</v>
      </c>
      <c r="D42">
        <v>1200</v>
      </c>
    </row>
    <row r="43" spans="1:4" x14ac:dyDescent="0.2">
      <c r="A43" s="26" t="s">
        <v>1078</v>
      </c>
      <c r="B43">
        <v>600</v>
      </c>
      <c r="D43">
        <v>600</v>
      </c>
    </row>
    <row r="44" spans="1:4" x14ac:dyDescent="0.2">
      <c r="A44" s="26" t="s">
        <v>1350</v>
      </c>
      <c r="B44">
        <v>500</v>
      </c>
      <c r="C44">
        <v>1260</v>
      </c>
      <c r="D44">
        <v>1760</v>
      </c>
    </row>
    <row r="45" spans="1:4" x14ac:dyDescent="0.2">
      <c r="A45" s="26" t="s">
        <v>1120</v>
      </c>
      <c r="C45">
        <v>500</v>
      </c>
      <c r="D45">
        <v>500</v>
      </c>
    </row>
    <row r="46" spans="1:4" x14ac:dyDescent="0.2">
      <c r="A46" s="26" t="s">
        <v>1042</v>
      </c>
      <c r="B46">
        <v>1000</v>
      </c>
      <c r="D46">
        <v>1000</v>
      </c>
    </row>
    <row r="47" spans="1:4" x14ac:dyDescent="0.2">
      <c r="A47" s="26" t="s">
        <v>1121</v>
      </c>
      <c r="C47">
        <v>220</v>
      </c>
      <c r="D47">
        <v>220</v>
      </c>
    </row>
    <row r="48" spans="1:4" x14ac:dyDescent="0.2">
      <c r="A48" s="26" t="s">
        <v>1351</v>
      </c>
      <c r="B48">
        <v>1500</v>
      </c>
      <c r="C48">
        <v>600</v>
      </c>
      <c r="D48">
        <v>2100</v>
      </c>
    </row>
    <row r="49" spans="1:4" x14ac:dyDescent="0.2">
      <c r="A49" s="26" t="s">
        <v>976</v>
      </c>
      <c r="B49">
        <v>800</v>
      </c>
      <c r="D49">
        <v>800</v>
      </c>
    </row>
    <row r="50" spans="1:4" x14ac:dyDescent="0.2">
      <c r="A50" s="26" t="s">
        <v>1352</v>
      </c>
      <c r="C50">
        <v>630</v>
      </c>
      <c r="D50">
        <v>630</v>
      </c>
    </row>
    <row r="51" spans="1:4" x14ac:dyDescent="0.2">
      <c r="A51" s="26" t="s">
        <v>1124</v>
      </c>
      <c r="C51">
        <v>920</v>
      </c>
      <c r="D51">
        <v>920</v>
      </c>
    </row>
    <row r="52" spans="1:4" x14ac:dyDescent="0.2">
      <c r="A52" s="26" t="s">
        <v>1187</v>
      </c>
      <c r="B52">
        <v>600</v>
      </c>
      <c r="D52">
        <v>600</v>
      </c>
    </row>
    <row r="53" spans="1:4" x14ac:dyDescent="0.2">
      <c r="A53" s="26" t="s">
        <v>1091</v>
      </c>
      <c r="B53">
        <v>540</v>
      </c>
      <c r="D53">
        <v>540</v>
      </c>
    </row>
    <row r="54" spans="1:4" x14ac:dyDescent="0.2">
      <c r="A54" s="26" t="s">
        <v>1077</v>
      </c>
      <c r="B54">
        <v>600</v>
      </c>
      <c r="D54">
        <v>600</v>
      </c>
    </row>
    <row r="55" spans="1:4" x14ac:dyDescent="0.2">
      <c r="A55" s="26" t="s">
        <v>1353</v>
      </c>
      <c r="B55">
        <v>500</v>
      </c>
      <c r="C55">
        <v>105</v>
      </c>
      <c r="D55">
        <v>605</v>
      </c>
    </row>
    <row r="56" spans="1:4" x14ac:dyDescent="0.2">
      <c r="A56" s="26" t="s">
        <v>1354</v>
      </c>
      <c r="B56">
        <v>1320</v>
      </c>
      <c r="C56">
        <v>420</v>
      </c>
      <c r="D56">
        <v>1740</v>
      </c>
    </row>
    <row r="57" spans="1:4" x14ac:dyDescent="0.2">
      <c r="A57" s="26" t="s">
        <v>1044</v>
      </c>
      <c r="B57">
        <v>1500</v>
      </c>
      <c r="D57">
        <v>1500</v>
      </c>
    </row>
    <row r="58" spans="1:4" x14ac:dyDescent="0.2">
      <c r="A58" s="26" t="s">
        <v>1355</v>
      </c>
      <c r="B58">
        <v>1200</v>
      </c>
      <c r="D58">
        <v>1200</v>
      </c>
    </row>
    <row r="59" spans="1:4" x14ac:dyDescent="0.2">
      <c r="A59" s="26" t="s">
        <v>1356</v>
      </c>
      <c r="C59">
        <v>240</v>
      </c>
      <c r="D59">
        <v>240</v>
      </c>
    </row>
    <row r="60" spans="1:4" x14ac:dyDescent="0.2">
      <c r="A60" s="26" t="s">
        <v>1357</v>
      </c>
      <c r="C60">
        <v>1200</v>
      </c>
      <c r="D60">
        <v>1200</v>
      </c>
    </row>
    <row r="61" spans="1:4" x14ac:dyDescent="0.2">
      <c r="A61" s="26" t="s">
        <v>1358</v>
      </c>
      <c r="B61">
        <v>1500</v>
      </c>
      <c r="C61">
        <v>840</v>
      </c>
      <c r="D61">
        <v>2340</v>
      </c>
    </row>
    <row r="62" spans="1:4" x14ac:dyDescent="0.2">
      <c r="A62" s="26" t="s">
        <v>1359</v>
      </c>
      <c r="B62">
        <v>1100</v>
      </c>
      <c r="D62">
        <v>1100</v>
      </c>
    </row>
    <row r="63" spans="1:4" x14ac:dyDescent="0.2">
      <c r="A63" s="26" t="s">
        <v>1360</v>
      </c>
      <c r="B63">
        <v>1200</v>
      </c>
      <c r="D63">
        <v>1200</v>
      </c>
    </row>
    <row r="64" spans="1:4" x14ac:dyDescent="0.2">
      <c r="A64" s="26" t="s">
        <v>1072</v>
      </c>
      <c r="B64">
        <v>1050</v>
      </c>
      <c r="D64">
        <v>1050</v>
      </c>
    </row>
    <row r="65" spans="1:4" x14ac:dyDescent="0.2">
      <c r="A65" s="26" t="s">
        <v>1129</v>
      </c>
      <c r="C65">
        <v>270</v>
      </c>
      <c r="D65">
        <v>270</v>
      </c>
    </row>
    <row r="66" spans="1:4" x14ac:dyDescent="0.2">
      <c r="A66" s="26" t="s">
        <v>1008</v>
      </c>
      <c r="B66">
        <v>1320</v>
      </c>
      <c r="D66">
        <v>1320</v>
      </c>
    </row>
    <row r="67" spans="1:4" x14ac:dyDescent="0.2">
      <c r="A67" s="26" t="s">
        <v>1130</v>
      </c>
      <c r="C67">
        <v>90</v>
      </c>
      <c r="D67">
        <v>90</v>
      </c>
    </row>
    <row r="68" spans="1:4" x14ac:dyDescent="0.2">
      <c r="A68" s="26" t="s">
        <v>1361</v>
      </c>
      <c r="B68">
        <v>500</v>
      </c>
      <c r="C68">
        <v>840</v>
      </c>
      <c r="D68">
        <v>1340</v>
      </c>
    </row>
    <row r="69" spans="1:4" x14ac:dyDescent="0.2">
      <c r="A69" s="26" t="s">
        <v>1362</v>
      </c>
      <c r="B69">
        <v>660</v>
      </c>
      <c r="D69">
        <v>660</v>
      </c>
    </row>
    <row r="70" spans="1:4" x14ac:dyDescent="0.2">
      <c r="A70" s="26" t="s">
        <v>1039</v>
      </c>
      <c r="B70">
        <v>1000</v>
      </c>
      <c r="D70">
        <v>1000</v>
      </c>
    </row>
    <row r="71" spans="1:4" x14ac:dyDescent="0.2">
      <c r="A71" s="26" t="s">
        <v>1132</v>
      </c>
      <c r="C71">
        <v>1260</v>
      </c>
      <c r="D71">
        <v>1260</v>
      </c>
    </row>
    <row r="72" spans="1:4" x14ac:dyDescent="0.2">
      <c r="A72" s="26" t="s">
        <v>581</v>
      </c>
      <c r="B72">
        <v>1980</v>
      </c>
      <c r="C72">
        <v>420</v>
      </c>
      <c r="D72">
        <v>2400</v>
      </c>
    </row>
    <row r="73" spans="1:4" x14ac:dyDescent="0.2">
      <c r="A73" s="26" t="s">
        <v>1363</v>
      </c>
      <c r="B73">
        <v>2000</v>
      </c>
      <c r="C73">
        <v>600</v>
      </c>
      <c r="D73">
        <v>2600</v>
      </c>
    </row>
    <row r="74" spans="1:4" x14ac:dyDescent="0.2">
      <c r="A74" s="26" t="s">
        <v>906</v>
      </c>
      <c r="C74">
        <v>150</v>
      </c>
      <c r="D74">
        <v>150</v>
      </c>
    </row>
    <row r="75" spans="1:4" x14ac:dyDescent="0.2">
      <c r="A75" s="26" t="s">
        <v>907</v>
      </c>
      <c r="C75">
        <v>240</v>
      </c>
      <c r="D75">
        <v>240</v>
      </c>
    </row>
    <row r="76" spans="1:4" x14ac:dyDescent="0.2">
      <c r="A76" s="26" t="s">
        <v>1364</v>
      </c>
      <c r="B76">
        <v>500</v>
      </c>
      <c r="C76">
        <v>840</v>
      </c>
      <c r="D76">
        <v>1340</v>
      </c>
    </row>
    <row r="77" spans="1:4" x14ac:dyDescent="0.2">
      <c r="A77" s="26" t="s">
        <v>1136</v>
      </c>
      <c r="C77">
        <v>1240</v>
      </c>
      <c r="D77">
        <v>1240</v>
      </c>
    </row>
    <row r="78" spans="1:4" x14ac:dyDescent="0.2">
      <c r="A78" s="26" t="s">
        <v>580</v>
      </c>
      <c r="B78">
        <v>500</v>
      </c>
      <c r="C78">
        <v>500</v>
      </c>
      <c r="D78">
        <v>1000</v>
      </c>
    </row>
    <row r="79" spans="1:4" x14ac:dyDescent="0.2">
      <c r="A79" s="26" t="s">
        <v>578</v>
      </c>
      <c r="B79">
        <v>800</v>
      </c>
      <c r="D79">
        <v>800</v>
      </c>
    </row>
    <row r="80" spans="1:4" x14ac:dyDescent="0.2">
      <c r="A80" s="26" t="s">
        <v>1138</v>
      </c>
      <c r="C80">
        <v>660</v>
      </c>
      <c r="D80">
        <v>660</v>
      </c>
    </row>
    <row r="81" spans="1:4" x14ac:dyDescent="0.2">
      <c r="A81" s="26" t="s">
        <v>980</v>
      </c>
      <c r="B81">
        <v>2400</v>
      </c>
      <c r="D81">
        <v>2400</v>
      </c>
    </row>
    <row r="82" spans="1:4" x14ac:dyDescent="0.2">
      <c r="A82" s="26" t="s">
        <v>1139</v>
      </c>
      <c r="C82">
        <v>90</v>
      </c>
      <c r="D82">
        <v>90</v>
      </c>
    </row>
    <row r="83" spans="1:4" x14ac:dyDescent="0.2">
      <c r="A83" s="26" t="s">
        <v>995</v>
      </c>
      <c r="B83">
        <v>1980</v>
      </c>
      <c r="D83">
        <v>1980</v>
      </c>
    </row>
    <row r="84" spans="1:4" x14ac:dyDescent="0.2">
      <c r="A84" s="26" t="s">
        <v>1365</v>
      </c>
      <c r="B84">
        <v>800</v>
      </c>
      <c r="D84">
        <v>800</v>
      </c>
    </row>
    <row r="85" spans="1:4" x14ac:dyDescent="0.2">
      <c r="A85" s="26" t="s">
        <v>1097</v>
      </c>
      <c r="B85">
        <v>540</v>
      </c>
      <c r="D85">
        <v>540</v>
      </c>
    </row>
    <row r="86" spans="1:4" x14ac:dyDescent="0.2">
      <c r="A86" s="26" t="s">
        <v>1366</v>
      </c>
      <c r="B86">
        <v>1200</v>
      </c>
      <c r="D86">
        <v>1200</v>
      </c>
    </row>
    <row r="87" spans="1:4" x14ac:dyDescent="0.2">
      <c r="A87" s="26" t="s">
        <v>1003</v>
      </c>
      <c r="B87">
        <v>1320</v>
      </c>
      <c r="D87">
        <v>1320</v>
      </c>
    </row>
    <row r="88" spans="1:4" x14ac:dyDescent="0.2">
      <c r="A88" s="26" t="s">
        <v>1034</v>
      </c>
      <c r="B88">
        <v>1050</v>
      </c>
      <c r="D88">
        <v>1050</v>
      </c>
    </row>
    <row r="89" spans="1:4" x14ac:dyDescent="0.2">
      <c r="A89" s="26" t="s">
        <v>1140</v>
      </c>
      <c r="C89">
        <v>90</v>
      </c>
      <c r="D89">
        <v>90</v>
      </c>
    </row>
    <row r="90" spans="1:4" x14ac:dyDescent="0.2">
      <c r="A90" s="26" t="s">
        <v>1030</v>
      </c>
      <c r="B90">
        <v>1000</v>
      </c>
      <c r="D90">
        <v>1000</v>
      </c>
    </row>
    <row r="91" spans="1:4" x14ac:dyDescent="0.2">
      <c r="A91" s="26" t="s">
        <v>1367</v>
      </c>
      <c r="B91">
        <v>2320</v>
      </c>
      <c r="D91">
        <v>2320</v>
      </c>
    </row>
    <row r="92" spans="1:4" x14ac:dyDescent="0.2">
      <c r="A92" s="26" t="s">
        <v>990</v>
      </c>
      <c r="B92">
        <v>660</v>
      </c>
      <c r="D92">
        <v>660</v>
      </c>
    </row>
    <row r="93" spans="1:4" x14ac:dyDescent="0.2">
      <c r="A93" s="26" t="s">
        <v>1046</v>
      </c>
      <c r="B93">
        <v>1000</v>
      </c>
      <c r="C93">
        <v>1340</v>
      </c>
      <c r="D93">
        <v>2340</v>
      </c>
    </row>
    <row r="94" spans="1:4" x14ac:dyDescent="0.2">
      <c r="A94" s="26" t="s">
        <v>1141</v>
      </c>
      <c r="C94">
        <v>840</v>
      </c>
      <c r="D94">
        <v>840</v>
      </c>
    </row>
    <row r="95" spans="1:4" x14ac:dyDescent="0.2">
      <c r="A95" s="26" t="s">
        <v>1031</v>
      </c>
      <c r="B95">
        <v>600</v>
      </c>
      <c r="D95">
        <v>600</v>
      </c>
    </row>
    <row r="96" spans="1:4" x14ac:dyDescent="0.2">
      <c r="A96" s="26" t="s">
        <v>1368</v>
      </c>
      <c r="B96">
        <v>3300</v>
      </c>
      <c r="C96">
        <v>1320</v>
      </c>
      <c r="D96">
        <v>4620</v>
      </c>
    </row>
    <row r="97" spans="1:4" x14ac:dyDescent="0.2">
      <c r="A97" s="26" t="s">
        <v>1024</v>
      </c>
      <c r="B97">
        <v>4000</v>
      </c>
      <c r="D97">
        <v>4000</v>
      </c>
    </row>
    <row r="98" spans="1:4" x14ac:dyDescent="0.2">
      <c r="A98" s="26" t="s">
        <v>1067</v>
      </c>
      <c r="B98">
        <v>1200</v>
      </c>
      <c r="D98">
        <v>1200</v>
      </c>
    </row>
    <row r="99" spans="1:4" x14ac:dyDescent="0.2">
      <c r="A99" s="26" t="s">
        <v>1369</v>
      </c>
      <c r="B99">
        <v>195</v>
      </c>
      <c r="C99">
        <v>415</v>
      </c>
      <c r="D99">
        <v>610</v>
      </c>
    </row>
    <row r="100" spans="1:4" x14ac:dyDescent="0.2">
      <c r="A100" s="26" t="s">
        <v>1080</v>
      </c>
      <c r="B100">
        <v>750</v>
      </c>
      <c r="D100">
        <v>750</v>
      </c>
    </row>
    <row r="101" spans="1:4" x14ac:dyDescent="0.2">
      <c r="A101" s="26" t="s">
        <v>987</v>
      </c>
      <c r="B101">
        <v>660</v>
      </c>
      <c r="D101">
        <v>660</v>
      </c>
    </row>
    <row r="102" spans="1:4" x14ac:dyDescent="0.2">
      <c r="A102" s="26" t="s">
        <v>1144</v>
      </c>
      <c r="C102">
        <v>630</v>
      </c>
      <c r="D102">
        <v>630</v>
      </c>
    </row>
    <row r="103" spans="1:4" x14ac:dyDescent="0.2">
      <c r="A103" s="26" t="s">
        <v>1074</v>
      </c>
      <c r="B103">
        <v>600</v>
      </c>
      <c r="D103">
        <v>600</v>
      </c>
    </row>
    <row r="104" spans="1:4" x14ac:dyDescent="0.2">
      <c r="A104" s="26" t="s">
        <v>997</v>
      </c>
      <c r="B104">
        <v>1320</v>
      </c>
      <c r="D104">
        <v>1320</v>
      </c>
    </row>
    <row r="105" spans="1:4" x14ac:dyDescent="0.2">
      <c r="A105" s="26" t="s">
        <v>1370</v>
      </c>
      <c r="C105">
        <v>90</v>
      </c>
      <c r="D105">
        <v>90</v>
      </c>
    </row>
    <row r="106" spans="1:4" x14ac:dyDescent="0.2">
      <c r="A106" s="26" t="s">
        <v>1371</v>
      </c>
      <c r="B106">
        <v>1200</v>
      </c>
      <c r="C106">
        <v>630</v>
      </c>
      <c r="D106">
        <v>1830</v>
      </c>
    </row>
    <row r="107" spans="1:4" x14ac:dyDescent="0.2">
      <c r="A107" s="26" t="s">
        <v>1052</v>
      </c>
      <c r="B107">
        <v>1000</v>
      </c>
      <c r="D107">
        <v>1000</v>
      </c>
    </row>
    <row r="108" spans="1:4" x14ac:dyDescent="0.2">
      <c r="A108" s="26" t="s">
        <v>582</v>
      </c>
      <c r="C108">
        <v>1050</v>
      </c>
      <c r="D108">
        <v>1050</v>
      </c>
    </row>
    <row r="109" spans="1:4" x14ac:dyDescent="0.2">
      <c r="A109" s="26" t="s">
        <v>1148</v>
      </c>
      <c r="C109">
        <v>1000</v>
      </c>
      <c r="D109">
        <v>1000</v>
      </c>
    </row>
    <row r="110" spans="1:4" x14ac:dyDescent="0.2">
      <c r="A110" s="26" t="s">
        <v>294</v>
      </c>
      <c r="B110">
        <v>2400</v>
      </c>
      <c r="D110">
        <v>2400</v>
      </c>
    </row>
    <row r="111" spans="1:4" x14ac:dyDescent="0.2">
      <c r="A111" s="26" t="s">
        <v>1025</v>
      </c>
      <c r="B111">
        <v>1320</v>
      </c>
      <c r="D111">
        <v>1320</v>
      </c>
    </row>
    <row r="112" spans="1:4" x14ac:dyDescent="0.2">
      <c r="A112" s="26" t="s">
        <v>1372</v>
      </c>
      <c r="C112">
        <v>920</v>
      </c>
      <c r="D112">
        <v>920</v>
      </c>
    </row>
    <row r="113" spans="1:4" x14ac:dyDescent="0.2">
      <c r="A113" s="26" t="s">
        <v>1153</v>
      </c>
      <c r="C113">
        <v>500</v>
      </c>
      <c r="D113">
        <v>500</v>
      </c>
    </row>
    <row r="114" spans="1:4" x14ac:dyDescent="0.2">
      <c r="A114" s="26" t="s">
        <v>1373</v>
      </c>
      <c r="B114">
        <v>500</v>
      </c>
      <c r="C114">
        <v>530</v>
      </c>
      <c r="D114">
        <v>1030</v>
      </c>
    </row>
    <row r="115" spans="1:4" x14ac:dyDescent="0.2">
      <c r="A115" s="26" t="s">
        <v>1374</v>
      </c>
      <c r="B115">
        <v>250</v>
      </c>
      <c r="C115">
        <v>500</v>
      </c>
      <c r="D115">
        <v>750</v>
      </c>
    </row>
    <row r="116" spans="1:4" x14ac:dyDescent="0.2">
      <c r="A116" s="26" t="s">
        <v>1095</v>
      </c>
      <c r="B116">
        <v>600</v>
      </c>
      <c r="D116">
        <v>600</v>
      </c>
    </row>
    <row r="117" spans="1:4" x14ac:dyDescent="0.2">
      <c r="A117" s="26" t="s">
        <v>1013</v>
      </c>
      <c r="B117">
        <v>1200</v>
      </c>
      <c r="D117">
        <v>1200</v>
      </c>
    </row>
    <row r="118" spans="1:4" x14ac:dyDescent="0.2">
      <c r="A118" s="26" t="s">
        <v>1375</v>
      </c>
      <c r="B118">
        <v>250</v>
      </c>
      <c r="C118">
        <v>1470</v>
      </c>
      <c r="D118">
        <v>1720</v>
      </c>
    </row>
    <row r="119" spans="1:4" x14ac:dyDescent="0.2">
      <c r="A119" s="26" t="s">
        <v>1376</v>
      </c>
      <c r="B119">
        <v>1370</v>
      </c>
      <c r="D119">
        <v>1370</v>
      </c>
    </row>
    <row r="120" spans="1:4" x14ac:dyDescent="0.2">
      <c r="A120" s="26" t="s">
        <v>1021</v>
      </c>
      <c r="B120">
        <v>1200</v>
      </c>
      <c r="D120">
        <v>1200</v>
      </c>
    </row>
    <row r="121" spans="1:4" x14ac:dyDescent="0.2">
      <c r="A121" s="26" t="s">
        <v>1000</v>
      </c>
      <c r="B121">
        <v>1400</v>
      </c>
      <c r="D121">
        <v>1400</v>
      </c>
    </row>
    <row r="122" spans="1:4" x14ac:dyDescent="0.2">
      <c r="A122" s="26" t="s">
        <v>1158</v>
      </c>
      <c r="C122">
        <v>62.5</v>
      </c>
      <c r="D122">
        <v>62.5</v>
      </c>
    </row>
    <row r="123" spans="1:4" x14ac:dyDescent="0.2">
      <c r="A123" s="26" t="s">
        <v>1377</v>
      </c>
      <c r="B123">
        <v>2000</v>
      </c>
      <c r="C123">
        <v>600</v>
      </c>
      <c r="D123">
        <v>2600</v>
      </c>
    </row>
    <row r="124" spans="1:4" x14ac:dyDescent="0.2">
      <c r="A124" s="26" t="s">
        <v>1159</v>
      </c>
      <c r="C124">
        <v>100</v>
      </c>
      <c r="D124">
        <v>100</v>
      </c>
    </row>
    <row r="125" spans="1:4" x14ac:dyDescent="0.2">
      <c r="A125" s="26" t="s">
        <v>1378</v>
      </c>
      <c r="B125">
        <v>600</v>
      </c>
      <c r="C125">
        <v>1050</v>
      </c>
      <c r="D125">
        <v>1650</v>
      </c>
    </row>
    <row r="126" spans="1:4" x14ac:dyDescent="0.2">
      <c r="A126" s="26" t="s">
        <v>1379</v>
      </c>
      <c r="B126">
        <v>3000</v>
      </c>
      <c r="D126">
        <v>3000</v>
      </c>
    </row>
    <row r="127" spans="1:4" x14ac:dyDescent="0.2">
      <c r="A127" s="26" t="s">
        <v>1161</v>
      </c>
      <c r="C127">
        <v>840</v>
      </c>
      <c r="D127">
        <v>840</v>
      </c>
    </row>
    <row r="128" spans="1:4" x14ac:dyDescent="0.2">
      <c r="A128" s="26" t="s">
        <v>1380</v>
      </c>
      <c r="B128">
        <v>1200</v>
      </c>
      <c r="D128">
        <v>1200</v>
      </c>
    </row>
    <row r="129" spans="1:4" x14ac:dyDescent="0.2">
      <c r="A129" s="26" t="s">
        <v>1162</v>
      </c>
      <c r="C129">
        <v>362</v>
      </c>
      <c r="D129">
        <v>362</v>
      </c>
    </row>
    <row r="130" spans="1:4" x14ac:dyDescent="0.2">
      <c r="A130" s="26" t="s">
        <v>1381</v>
      </c>
      <c r="B130">
        <v>1600</v>
      </c>
      <c r="D130">
        <v>1600</v>
      </c>
    </row>
    <row r="131" spans="1:4" x14ac:dyDescent="0.2">
      <c r="A131" s="26" t="s">
        <v>1070</v>
      </c>
      <c r="B131">
        <v>1200</v>
      </c>
      <c r="D131">
        <v>1200</v>
      </c>
    </row>
    <row r="132" spans="1:4" x14ac:dyDescent="0.2">
      <c r="A132" s="26" t="s">
        <v>1382</v>
      </c>
      <c r="B132">
        <v>500</v>
      </c>
      <c r="C132">
        <v>840</v>
      </c>
      <c r="D132">
        <v>1340</v>
      </c>
    </row>
    <row r="133" spans="1:4" x14ac:dyDescent="0.2">
      <c r="A133" s="26" t="s">
        <v>1105</v>
      </c>
      <c r="B133">
        <v>250</v>
      </c>
      <c r="C133">
        <v>250</v>
      </c>
      <c r="D133">
        <v>500</v>
      </c>
    </row>
    <row r="134" spans="1:4" x14ac:dyDescent="0.2">
      <c r="A134" s="26" t="s">
        <v>996</v>
      </c>
      <c r="B134">
        <v>3960</v>
      </c>
      <c r="D134">
        <v>3960</v>
      </c>
    </row>
    <row r="135" spans="1:4" x14ac:dyDescent="0.2">
      <c r="A135" s="26" t="s">
        <v>583</v>
      </c>
      <c r="B135">
        <v>500</v>
      </c>
      <c r="C135">
        <v>830</v>
      </c>
      <c r="D135">
        <v>1330</v>
      </c>
    </row>
    <row r="136" spans="1:4" x14ac:dyDescent="0.2">
      <c r="A136" s="26" t="s">
        <v>1011</v>
      </c>
      <c r="B136">
        <v>600</v>
      </c>
      <c r="D136">
        <v>600</v>
      </c>
    </row>
    <row r="137" spans="1:4" x14ac:dyDescent="0.2">
      <c r="A137" s="26" t="s">
        <v>1383</v>
      </c>
      <c r="B137">
        <v>1320</v>
      </c>
      <c r="D137">
        <v>1320</v>
      </c>
    </row>
    <row r="138" spans="1:4" x14ac:dyDescent="0.2">
      <c r="A138" s="26" t="s">
        <v>1384</v>
      </c>
      <c r="C138">
        <v>150</v>
      </c>
      <c r="D138">
        <v>150</v>
      </c>
    </row>
    <row r="139" spans="1:4" x14ac:dyDescent="0.2">
      <c r="A139" s="26" t="s">
        <v>1385</v>
      </c>
      <c r="B139">
        <v>2520</v>
      </c>
      <c r="D139">
        <v>2520</v>
      </c>
    </row>
    <row r="140" spans="1:4" x14ac:dyDescent="0.2">
      <c r="A140" s="26" t="s">
        <v>1386</v>
      </c>
      <c r="C140">
        <v>500</v>
      </c>
      <c r="D140">
        <v>500</v>
      </c>
    </row>
    <row r="141" spans="1:4" x14ac:dyDescent="0.2">
      <c r="A141" s="26" t="s">
        <v>1387</v>
      </c>
      <c r="B141">
        <v>2000</v>
      </c>
      <c r="D141">
        <v>2000</v>
      </c>
    </row>
    <row r="142" spans="1:4" x14ac:dyDescent="0.2">
      <c r="A142" s="26" t="s">
        <v>1388</v>
      </c>
      <c r="C142">
        <v>300</v>
      </c>
      <c r="D142">
        <v>300</v>
      </c>
    </row>
    <row r="143" spans="1:4" x14ac:dyDescent="0.2">
      <c r="A143" s="26" t="s">
        <v>1007</v>
      </c>
      <c r="B143">
        <v>1200</v>
      </c>
      <c r="D143">
        <v>1200</v>
      </c>
    </row>
    <row r="144" spans="1:4" x14ac:dyDescent="0.2">
      <c r="A144" s="26" t="s">
        <v>1089</v>
      </c>
      <c r="B144">
        <v>1000</v>
      </c>
      <c r="C144">
        <v>1000</v>
      </c>
      <c r="D144">
        <v>2000</v>
      </c>
    </row>
    <row r="145" spans="1:4" x14ac:dyDescent="0.2">
      <c r="A145" s="26" t="s">
        <v>1389</v>
      </c>
      <c r="B145">
        <v>2980</v>
      </c>
      <c r="D145">
        <v>2980</v>
      </c>
    </row>
    <row r="146" spans="1:4" x14ac:dyDescent="0.2">
      <c r="A146" s="26" t="s">
        <v>991</v>
      </c>
      <c r="B146">
        <v>1320</v>
      </c>
      <c r="D146">
        <v>1320</v>
      </c>
    </row>
    <row r="147" spans="1:4" x14ac:dyDescent="0.2">
      <c r="A147" s="26" t="s">
        <v>1165</v>
      </c>
      <c r="C147">
        <v>136</v>
      </c>
      <c r="D147">
        <v>136</v>
      </c>
    </row>
    <row r="148" spans="1:4" x14ac:dyDescent="0.2">
      <c r="A148" s="26" t="s">
        <v>1390</v>
      </c>
      <c r="B148">
        <v>1200</v>
      </c>
      <c r="D148">
        <v>1200</v>
      </c>
    </row>
    <row r="149" spans="1:4" x14ac:dyDescent="0.2">
      <c r="A149" s="26" t="s">
        <v>1166</v>
      </c>
      <c r="C149">
        <v>1500</v>
      </c>
      <c r="D149">
        <v>1500</v>
      </c>
    </row>
    <row r="150" spans="1:4" x14ac:dyDescent="0.2">
      <c r="A150" s="26" t="s">
        <v>1391</v>
      </c>
      <c r="C150">
        <v>63</v>
      </c>
      <c r="D150">
        <v>63</v>
      </c>
    </row>
    <row r="151" spans="1:4" x14ac:dyDescent="0.2">
      <c r="A151" s="26" t="s">
        <v>1167</v>
      </c>
      <c r="C151">
        <v>460</v>
      </c>
      <c r="D151">
        <v>460</v>
      </c>
    </row>
    <row r="152" spans="1:4" x14ac:dyDescent="0.2">
      <c r="A152" s="26" t="s">
        <v>1392</v>
      </c>
      <c r="B152">
        <v>3000</v>
      </c>
      <c r="D152">
        <v>3000</v>
      </c>
    </row>
    <row r="153" spans="1:4" x14ac:dyDescent="0.2">
      <c r="A153" s="26" t="s">
        <v>1005</v>
      </c>
      <c r="B153">
        <v>1980</v>
      </c>
      <c r="D153">
        <v>1980</v>
      </c>
    </row>
    <row r="154" spans="1:4" x14ac:dyDescent="0.2">
      <c r="A154" s="26" t="s">
        <v>1393</v>
      </c>
      <c r="B154">
        <v>660</v>
      </c>
      <c r="C154">
        <v>440</v>
      </c>
      <c r="D154">
        <v>1100</v>
      </c>
    </row>
    <row r="155" spans="1:4" x14ac:dyDescent="0.2">
      <c r="A155" s="26" t="s">
        <v>1169</v>
      </c>
      <c r="C155">
        <v>420</v>
      </c>
      <c r="D155">
        <v>420</v>
      </c>
    </row>
    <row r="156" spans="1:4" x14ac:dyDescent="0.2">
      <c r="A156" s="26" t="s">
        <v>1394</v>
      </c>
      <c r="C156">
        <v>300</v>
      </c>
      <c r="D156">
        <v>300</v>
      </c>
    </row>
    <row r="157" spans="1:4" x14ac:dyDescent="0.2">
      <c r="A157" s="26" t="s">
        <v>1395</v>
      </c>
      <c r="B157">
        <v>3300</v>
      </c>
      <c r="D157">
        <v>3300</v>
      </c>
    </row>
    <row r="158" spans="1:4" x14ac:dyDescent="0.2">
      <c r="A158" s="26" t="s">
        <v>1396</v>
      </c>
      <c r="C158">
        <v>260</v>
      </c>
      <c r="D158">
        <v>260</v>
      </c>
    </row>
    <row r="159" spans="1:4" x14ac:dyDescent="0.2">
      <c r="A159" s="26" t="s">
        <v>1397</v>
      </c>
      <c r="C159">
        <v>600</v>
      </c>
      <c r="D159">
        <v>600</v>
      </c>
    </row>
    <row r="160" spans="1:4" x14ac:dyDescent="0.2">
      <c r="A160" s="26" t="s">
        <v>1398</v>
      </c>
      <c r="C160">
        <v>750</v>
      </c>
      <c r="D160">
        <v>750</v>
      </c>
    </row>
    <row r="161" spans="1:4" x14ac:dyDescent="0.2">
      <c r="A161" s="26" t="s">
        <v>1172</v>
      </c>
      <c r="C161">
        <v>1050</v>
      </c>
      <c r="D161">
        <v>1050</v>
      </c>
    </row>
    <row r="162" spans="1:4" x14ac:dyDescent="0.2">
      <c r="A162" s="26" t="s">
        <v>1399</v>
      </c>
      <c r="B162">
        <v>1080</v>
      </c>
      <c r="D162">
        <v>1080</v>
      </c>
    </row>
    <row r="163" spans="1:4" x14ac:dyDescent="0.2">
      <c r="A163" s="26" t="s">
        <v>1071</v>
      </c>
      <c r="B163">
        <v>1200</v>
      </c>
      <c r="D163">
        <v>1200</v>
      </c>
    </row>
    <row r="164" spans="1:4" x14ac:dyDescent="0.2">
      <c r="A164" s="26" t="s">
        <v>1400</v>
      </c>
      <c r="B164">
        <v>500</v>
      </c>
      <c r="C164">
        <v>610</v>
      </c>
      <c r="D164">
        <v>1110</v>
      </c>
    </row>
    <row r="165" spans="1:4" x14ac:dyDescent="0.2">
      <c r="A165" s="26" t="s">
        <v>1401</v>
      </c>
      <c r="B165">
        <v>500</v>
      </c>
      <c r="C165">
        <v>1050</v>
      </c>
      <c r="D165">
        <v>1550</v>
      </c>
    </row>
    <row r="166" spans="1:4" x14ac:dyDescent="0.2">
      <c r="A166" s="26" t="s">
        <v>1177</v>
      </c>
      <c r="C166">
        <v>90</v>
      </c>
      <c r="D166">
        <v>90</v>
      </c>
    </row>
    <row r="167" spans="1:4" x14ac:dyDescent="0.2">
      <c r="A167" s="26" t="s">
        <v>1035</v>
      </c>
      <c r="B167">
        <v>1500</v>
      </c>
      <c r="D167">
        <v>1500</v>
      </c>
    </row>
    <row r="168" spans="1:4" x14ac:dyDescent="0.2">
      <c r="A168" s="26" t="s">
        <v>584</v>
      </c>
      <c r="B168">
        <v>3500</v>
      </c>
      <c r="C168">
        <v>1260</v>
      </c>
      <c r="D168">
        <v>4760</v>
      </c>
    </row>
    <row r="169" spans="1:4" x14ac:dyDescent="0.2">
      <c r="A169" s="26" t="s">
        <v>1027</v>
      </c>
      <c r="B169">
        <v>1040</v>
      </c>
      <c r="D169">
        <v>1040</v>
      </c>
    </row>
    <row r="170" spans="1:4" x14ac:dyDescent="0.2">
      <c r="A170" s="26" t="s">
        <v>1402</v>
      </c>
      <c r="B170">
        <v>800</v>
      </c>
      <c r="C170">
        <v>1470</v>
      </c>
      <c r="D170">
        <v>2270</v>
      </c>
    </row>
    <row r="171" spans="1:4" x14ac:dyDescent="0.2">
      <c r="A171" s="26" t="s">
        <v>1403</v>
      </c>
      <c r="C171">
        <v>405</v>
      </c>
      <c r="D171">
        <v>405</v>
      </c>
    </row>
    <row r="172" spans="1:4" x14ac:dyDescent="0.2">
      <c r="A172" s="26" t="s">
        <v>1100</v>
      </c>
      <c r="B172">
        <v>600</v>
      </c>
      <c r="D172">
        <v>600</v>
      </c>
    </row>
    <row r="173" spans="1:4" x14ac:dyDescent="0.2">
      <c r="A173" s="26" t="s">
        <v>979</v>
      </c>
      <c r="B173">
        <v>1600</v>
      </c>
      <c r="D173">
        <v>1600</v>
      </c>
    </row>
    <row r="174" spans="1:4" x14ac:dyDescent="0.2">
      <c r="A174" s="26" t="s">
        <v>645</v>
      </c>
      <c r="B174">
        <v>143665</v>
      </c>
      <c r="C174">
        <v>50358.5</v>
      </c>
      <c r="D174">
        <v>194023.5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559"/>
  <sheetViews>
    <sheetView tabSelected="1" zoomScale="125" zoomScaleNormal="254" workbookViewId="0">
      <pane xSplit="6" ySplit="1" topLeftCell="AI2" activePane="bottomRight" state="frozen"/>
      <selection pane="topRight" activeCell="G1" sqref="G1"/>
      <selection pane="bottomLeft" activeCell="A2" sqref="A2"/>
      <selection pane="bottomRight" activeCell="AD7" sqref="AD7"/>
    </sheetView>
  </sheetViews>
  <sheetFormatPr baseColWidth="10" defaultColWidth="8.83203125" defaultRowHeight="15" x14ac:dyDescent="0.2"/>
  <cols>
    <col min="1" max="1" width="17.33203125" customWidth="1"/>
    <col min="2" max="2" width="32.1640625" hidden="1" customWidth="1"/>
    <col min="3" max="4" width="0.1640625" hidden="1" customWidth="1"/>
    <col min="5" max="5" width="12.5" hidden="1" customWidth="1"/>
    <col min="6" max="6" width="0.1640625" hidden="1" customWidth="1"/>
    <col min="7" max="7" width="8.83203125" customWidth="1"/>
    <col min="9" max="10" width="8.83203125" customWidth="1"/>
    <col min="11" max="11" width="24" customWidth="1"/>
    <col min="12" max="14" width="8.83203125" customWidth="1"/>
    <col min="15" max="15" width="39.1640625" customWidth="1"/>
    <col min="16" max="16" width="37.83203125" customWidth="1"/>
    <col min="17" max="17" width="24.5" customWidth="1"/>
    <col min="18" max="18" width="20.33203125" customWidth="1"/>
    <col min="19" max="19" width="37.83203125" customWidth="1"/>
    <col min="20" max="20" width="24.5" customWidth="1"/>
    <col min="21" max="21" width="11.1640625" customWidth="1"/>
    <col min="22" max="22" width="16.1640625" customWidth="1"/>
    <col min="23" max="23" width="18.83203125" customWidth="1"/>
    <col min="24" max="24" width="12" customWidth="1"/>
    <col min="25" max="25" width="9.5" customWidth="1"/>
    <col min="26" max="28" width="18.1640625" customWidth="1"/>
    <col min="29" max="29" width="24.1640625" customWidth="1"/>
    <col min="30" max="30" width="10" customWidth="1"/>
    <col min="31" max="31" width="15.1640625" customWidth="1"/>
    <col min="32" max="32" width="14.5" customWidth="1"/>
    <col min="33" max="36" width="15.5" customWidth="1"/>
    <col min="37" max="37" width="13.5" customWidth="1"/>
    <col min="38" max="39" width="15.5" customWidth="1"/>
    <col min="40" max="40" width="22.33203125" customWidth="1"/>
    <col min="41" max="43" width="16.5" customWidth="1"/>
    <col min="44" max="44" width="8.83203125" customWidth="1"/>
    <col min="45" max="45" width="18.5" customWidth="1"/>
    <col min="46" max="49" width="20.5" customWidth="1"/>
    <col min="50" max="50" width="17.5" customWidth="1"/>
    <col min="51" max="52" width="24.5" customWidth="1"/>
    <col min="53" max="53" width="35.5" customWidth="1"/>
    <col min="54" max="54" width="8.83203125" customWidth="1"/>
    <col min="55" max="55" width="29.5" bestFit="1" customWidth="1"/>
    <col min="56" max="56" width="20" customWidth="1"/>
    <col min="57" max="57" width="22.33203125" bestFit="1" customWidth="1"/>
    <col min="58" max="58" width="17" customWidth="1"/>
    <col min="59" max="59" width="26.83203125" bestFit="1" customWidth="1"/>
    <col min="60" max="61" width="19.1640625" bestFit="1" customWidth="1"/>
    <col min="68" max="68" width="30.83203125" customWidth="1"/>
    <col min="70" max="70" width="13.5" bestFit="1" customWidth="1"/>
    <col min="71" max="71" width="24.5" bestFit="1" customWidth="1"/>
    <col min="72" max="75" width="24.5" customWidth="1"/>
    <col min="76" max="76" width="13.1640625" bestFit="1" customWidth="1"/>
    <col min="77" max="77" width="15.5" bestFit="1" customWidth="1"/>
    <col min="78" max="78" width="15.33203125" bestFit="1" customWidth="1"/>
    <col min="79" max="79" width="20.33203125" bestFit="1" customWidth="1"/>
    <col min="81" max="81" width="12" bestFit="1" customWidth="1"/>
    <col min="82" max="82" width="14" bestFit="1" customWidth="1"/>
    <col min="83" max="83" width="15.1640625" bestFit="1" customWidth="1"/>
    <col min="84" max="84" width="13.33203125" bestFit="1" customWidth="1"/>
    <col min="85" max="85" width="12.1640625" bestFit="1" customWidth="1"/>
    <col min="88" max="88" width="25.5" customWidth="1"/>
    <col min="89" max="89" width="21.5" customWidth="1"/>
    <col min="91" max="91" width="12.1640625" bestFit="1" customWidth="1"/>
  </cols>
  <sheetData>
    <row r="1" spans="1:91" s="27" customFormat="1" x14ac:dyDescent="0.2">
      <c r="A1" s="20" t="s">
        <v>556</v>
      </c>
      <c r="B1" s="20" t="s">
        <v>577</v>
      </c>
      <c r="C1" s="20" t="s">
        <v>558</v>
      </c>
      <c r="D1" s="20" t="s">
        <v>607</v>
      </c>
      <c r="E1" s="20" t="s">
        <v>559</v>
      </c>
      <c r="F1" s="20" t="s">
        <v>555</v>
      </c>
      <c r="G1" s="20" t="s">
        <v>541</v>
      </c>
      <c r="H1" s="20" t="s">
        <v>557</v>
      </c>
      <c r="I1" s="20" t="s">
        <v>569</v>
      </c>
      <c r="J1" s="20"/>
      <c r="K1" s="20" t="s">
        <v>552</v>
      </c>
      <c r="L1" s="20" t="s">
        <v>554</v>
      </c>
      <c r="M1" s="20" t="s">
        <v>1306</v>
      </c>
      <c r="N1" s="20" t="s">
        <v>560</v>
      </c>
      <c r="O1" s="20" t="s">
        <v>568</v>
      </c>
      <c r="P1" s="20" t="s">
        <v>561</v>
      </c>
      <c r="Q1" s="20" t="s">
        <v>564</v>
      </c>
      <c r="R1" s="20" t="s">
        <v>562</v>
      </c>
      <c r="S1" s="20" t="s">
        <v>563</v>
      </c>
      <c r="T1" s="20" t="s">
        <v>573</v>
      </c>
      <c r="U1" s="20" t="s">
        <v>579</v>
      </c>
      <c r="V1" s="20" t="s">
        <v>602</v>
      </c>
      <c r="W1" s="20" t="s">
        <v>585</v>
      </c>
      <c r="X1" s="20" t="s">
        <v>586</v>
      </c>
      <c r="Y1" s="20" t="s">
        <v>587</v>
      </c>
      <c r="Z1" s="20" t="s">
        <v>1228</v>
      </c>
      <c r="AA1" s="20" t="s">
        <v>1229</v>
      </c>
      <c r="AB1" s="20" t="s">
        <v>646</v>
      </c>
      <c r="AC1" s="20" t="s">
        <v>588</v>
      </c>
      <c r="AD1" s="20" t="s">
        <v>603</v>
      </c>
      <c r="AE1" s="20" t="s">
        <v>589</v>
      </c>
      <c r="AF1" s="30" t="s">
        <v>590</v>
      </c>
      <c r="AG1" s="30" t="s">
        <v>591</v>
      </c>
      <c r="AH1" s="30" t="s">
        <v>592</v>
      </c>
      <c r="AI1" s="30" t="s">
        <v>593</v>
      </c>
      <c r="AJ1" s="30" t="s">
        <v>594</v>
      </c>
      <c r="AK1" s="30" t="s">
        <v>595</v>
      </c>
      <c r="AL1" s="30" t="s">
        <v>596</v>
      </c>
      <c r="AM1" s="30" t="s">
        <v>597</v>
      </c>
      <c r="AN1" s="31" t="s">
        <v>567</v>
      </c>
      <c r="AO1" s="31" t="s">
        <v>637</v>
      </c>
      <c r="AP1" s="31" t="s">
        <v>635</v>
      </c>
      <c r="AQ1" s="31" t="s">
        <v>636</v>
      </c>
      <c r="AR1" s="31" t="s">
        <v>1219</v>
      </c>
      <c r="AS1" s="31" t="s">
        <v>1311</v>
      </c>
      <c r="AT1" s="31" t="s">
        <v>1312</v>
      </c>
      <c r="AU1" s="31" t="s">
        <v>606</v>
      </c>
      <c r="AV1" s="31" t="s">
        <v>1307</v>
      </c>
      <c r="AW1" s="31" t="s">
        <v>1308</v>
      </c>
      <c r="AX1" s="31" t="s">
        <v>1313</v>
      </c>
      <c r="AY1" s="31" t="s">
        <v>1314</v>
      </c>
      <c r="AZ1" s="31" t="s">
        <v>706</v>
      </c>
      <c r="BA1" s="31" t="s">
        <v>668</v>
      </c>
      <c r="BB1" s="31"/>
      <c r="BC1" s="31" t="s">
        <v>1266</v>
      </c>
      <c r="BD1" s="31" t="s">
        <v>674</v>
      </c>
      <c r="BE1" s="31" t="s">
        <v>675</v>
      </c>
      <c r="BF1" s="31" t="s">
        <v>708</v>
      </c>
      <c r="BG1" s="31" t="s">
        <v>709</v>
      </c>
      <c r="BH1" s="31" t="s">
        <v>722</v>
      </c>
      <c r="BI1" s="31" t="s">
        <v>723</v>
      </c>
      <c r="BK1" s="89" t="s">
        <v>1246</v>
      </c>
      <c r="BL1" s="27" t="s">
        <v>1259</v>
      </c>
      <c r="BM1" s="27" t="s">
        <v>1260</v>
      </c>
      <c r="BN1" s="27" t="s">
        <v>1261</v>
      </c>
      <c r="BO1" s="27" t="s">
        <v>1262</v>
      </c>
      <c r="BP1" s="31" t="s">
        <v>1267</v>
      </c>
      <c r="BR1" s="27" t="s">
        <v>1309</v>
      </c>
      <c r="BS1" s="27" t="s">
        <v>1310</v>
      </c>
      <c r="BT1" s="27" t="s">
        <v>1326</v>
      </c>
      <c r="BU1" s="27" t="s">
        <v>1327</v>
      </c>
      <c r="BV1" s="27" t="s">
        <v>1328</v>
      </c>
      <c r="BW1" s="27" t="s">
        <v>1329</v>
      </c>
      <c r="BX1" s="27" t="s">
        <v>586</v>
      </c>
      <c r="BY1" s="27" t="s">
        <v>1315</v>
      </c>
      <c r="BZ1" s="27" t="s">
        <v>1316</v>
      </c>
      <c r="CA1" s="27" t="s">
        <v>1317</v>
      </c>
      <c r="CB1" s="27" t="s">
        <v>1318</v>
      </c>
      <c r="CC1" s="27" t="s">
        <v>1319</v>
      </c>
      <c r="CD1" s="27" t="s">
        <v>1320</v>
      </c>
      <c r="CE1" s="27" t="s">
        <v>1321</v>
      </c>
      <c r="CF1" s="27" t="s">
        <v>1322</v>
      </c>
      <c r="CG1" s="27" t="s">
        <v>1323</v>
      </c>
      <c r="CH1" s="27" t="s">
        <v>1330</v>
      </c>
      <c r="CI1" s="27" t="s">
        <v>1331</v>
      </c>
      <c r="CJ1" s="27" t="s">
        <v>1332</v>
      </c>
      <c r="CK1" s="27" t="s">
        <v>1333</v>
      </c>
      <c r="CL1" s="27" t="s">
        <v>1334</v>
      </c>
      <c r="CM1" s="27" t="s">
        <v>1335</v>
      </c>
    </row>
    <row r="2" spans="1:91" s="92" customFormat="1" x14ac:dyDescent="0.2">
      <c r="A2" s="90" t="s">
        <v>1404</v>
      </c>
      <c r="B2" s="90" t="s">
        <v>1405</v>
      </c>
      <c r="C2" s="90" t="s">
        <v>1406</v>
      </c>
      <c r="D2" s="90" t="s">
        <v>1406</v>
      </c>
      <c r="E2" s="90" t="s">
        <v>1407</v>
      </c>
      <c r="F2" s="90" t="s">
        <v>1426</v>
      </c>
      <c r="G2" s="90" t="s">
        <v>1427</v>
      </c>
      <c r="H2" s="90" t="s">
        <v>1408</v>
      </c>
      <c r="I2" s="90" t="s">
        <v>1465</v>
      </c>
      <c r="J2" s="90"/>
      <c r="K2" s="90" t="s">
        <v>1409</v>
      </c>
      <c r="L2" s="90" t="s">
        <v>1409</v>
      </c>
      <c r="M2" s="90" t="s">
        <v>1409</v>
      </c>
      <c r="N2" s="90"/>
      <c r="O2" s="90" t="s">
        <v>1410</v>
      </c>
      <c r="P2" s="90" t="s">
        <v>1411</v>
      </c>
      <c r="Q2" s="90" t="s">
        <v>1412</v>
      </c>
      <c r="R2" s="90" t="s">
        <v>1413</v>
      </c>
      <c r="S2" s="90" t="s">
        <v>1411</v>
      </c>
      <c r="T2" s="90" t="s">
        <v>1414</v>
      </c>
      <c r="U2" s="90" t="s">
        <v>1415</v>
      </c>
      <c r="V2" s="90" t="s">
        <v>1411</v>
      </c>
      <c r="W2" s="90" t="s">
        <v>1416</v>
      </c>
      <c r="X2" s="90" t="s">
        <v>1416</v>
      </c>
      <c r="Y2" s="90"/>
      <c r="Z2" s="90" t="s">
        <v>1411</v>
      </c>
      <c r="AA2" s="90" t="s">
        <v>1411</v>
      </c>
      <c r="AB2" s="90" t="s">
        <v>1417</v>
      </c>
      <c r="AC2" s="90" t="s">
        <v>1439</v>
      </c>
      <c r="AD2" s="90" t="s">
        <v>1440</v>
      </c>
      <c r="AE2" s="90" t="s">
        <v>1418</v>
      </c>
      <c r="AF2" s="91" t="s">
        <v>1428</v>
      </c>
      <c r="AG2" s="91" t="s">
        <v>1429</v>
      </c>
      <c r="AH2" s="91" t="s">
        <v>1430</v>
      </c>
      <c r="AI2" s="91" t="s">
        <v>1431</v>
      </c>
      <c r="AJ2" s="91" t="s">
        <v>1432</v>
      </c>
      <c r="AK2" s="91" t="s">
        <v>1433</v>
      </c>
      <c r="AL2" s="91" t="s">
        <v>1434</v>
      </c>
      <c r="AM2" s="91" t="s">
        <v>1442</v>
      </c>
      <c r="AN2" s="91" t="s">
        <v>1441</v>
      </c>
      <c r="AO2" s="91" t="s">
        <v>1419</v>
      </c>
      <c r="AP2" s="91" t="s">
        <v>1420</v>
      </c>
      <c r="AQ2" s="91" t="s">
        <v>1443</v>
      </c>
      <c r="AR2" s="91" t="s">
        <v>1424</v>
      </c>
      <c r="AS2" s="91" t="s">
        <v>1421</v>
      </c>
      <c r="AT2" s="91" t="s">
        <v>1422</v>
      </c>
      <c r="AU2" s="91" t="s">
        <v>1423</v>
      </c>
      <c r="AV2" s="91" t="s">
        <v>1425</v>
      </c>
      <c r="AW2" s="91" t="s">
        <v>1425</v>
      </c>
      <c r="AX2" s="91" t="s">
        <v>1435</v>
      </c>
      <c r="AY2" s="91"/>
      <c r="AZ2" s="91"/>
      <c r="BA2" s="91" t="s">
        <v>1447</v>
      </c>
      <c r="BB2" s="91" t="s">
        <v>1446</v>
      </c>
      <c r="BC2" s="91" t="s">
        <v>1445</v>
      </c>
      <c r="BD2" s="91" t="s">
        <v>1444</v>
      </c>
      <c r="BE2" s="91" t="s">
        <v>1444</v>
      </c>
      <c r="BF2" s="91"/>
      <c r="BG2" s="91"/>
      <c r="BH2" s="91" t="s">
        <v>1448</v>
      </c>
      <c r="BI2" s="91" t="s">
        <v>1449</v>
      </c>
      <c r="BK2" s="93" t="s">
        <v>1450</v>
      </c>
      <c r="BL2" s="92" t="s">
        <v>1451</v>
      </c>
      <c r="BM2" s="92" t="s">
        <v>1451</v>
      </c>
      <c r="BN2" s="92" t="s">
        <v>1452</v>
      </c>
      <c r="BO2" s="92" t="s">
        <v>1453</v>
      </c>
      <c r="BP2" s="91" t="s">
        <v>1445</v>
      </c>
      <c r="BQ2" s="92" t="s">
        <v>1446</v>
      </c>
      <c r="BR2" s="92" t="s">
        <v>1454</v>
      </c>
      <c r="BS2" s="92" t="s">
        <v>1455</v>
      </c>
      <c r="BT2" s="92" t="s">
        <v>1458</v>
      </c>
      <c r="BU2" s="92" t="s">
        <v>1456</v>
      </c>
      <c r="BV2" s="92" t="s">
        <v>1457</v>
      </c>
      <c r="BW2" s="92" t="s">
        <v>1459</v>
      </c>
      <c r="BX2" s="92" t="s">
        <v>1464</v>
      </c>
      <c r="BY2" s="92" t="s">
        <v>1416</v>
      </c>
      <c r="BZ2" s="92" t="s">
        <v>706</v>
      </c>
      <c r="CB2" s="92" t="s">
        <v>1438</v>
      </c>
      <c r="CC2" s="92" t="s">
        <v>1438</v>
      </c>
      <c r="CD2" s="92" t="s">
        <v>1438</v>
      </c>
      <c r="CE2" s="92" t="s">
        <v>1438</v>
      </c>
      <c r="CF2" s="92" t="s">
        <v>1460</v>
      </c>
      <c r="CG2" s="92" t="s">
        <v>1461</v>
      </c>
      <c r="CH2" s="92" t="s">
        <v>1437</v>
      </c>
      <c r="CI2" s="92" t="s">
        <v>1425</v>
      </c>
      <c r="CJ2" s="92" t="s">
        <v>1436</v>
      </c>
      <c r="CK2" s="92" t="s">
        <v>1436</v>
      </c>
      <c r="CL2" s="92" t="s">
        <v>1462</v>
      </c>
      <c r="CM2" s="92" t="s">
        <v>1463</v>
      </c>
    </row>
    <row r="3" spans="1:91" x14ac:dyDescent="0.2">
      <c r="A3" s="2" t="s">
        <v>0</v>
      </c>
      <c r="B3" s="2" t="str">
        <f>LEFT(A3,LEN(A3)-LEN(RIGHT(A3,1)))</f>
        <v>DARLIPALI STPS</v>
      </c>
      <c r="C3" s="2" t="str">
        <f>VLOOKUP($A3,'[1]daily coal, energy reqd'!$C$2:$T$599,17,FALSE)</f>
        <v>Odisha</v>
      </c>
      <c r="D3" s="2" t="str">
        <f>VLOOKUP(C3,'Target PLF'!$I$2:$J$19,2,FALSE)</f>
        <v>ER</v>
      </c>
      <c r="E3" s="2" t="str">
        <f>VLOOKUP(A3,[2]Ownership!$C$2:$D$666,2,FALSE)</f>
        <v>CENTRAL SECTOR</v>
      </c>
      <c r="F3" s="2" t="s">
        <v>542</v>
      </c>
      <c r="G3" s="10">
        <v>0.34223134839151198</v>
      </c>
      <c r="H3" s="2">
        <v>800</v>
      </c>
      <c r="I3" s="2">
        <f>VLOOKUP(A3,'[3]Calculated coal req (reg.)'!$A$2:$I$599,9,FALSE)</f>
        <v>0.112473118279569</v>
      </c>
      <c r="J3" s="2"/>
      <c r="K3" s="11">
        <v>5.8579749103942194E-3</v>
      </c>
      <c r="L3" s="3">
        <f>VLOOKUP(F3,'Target PLF'!$A$2:$B$11,2,FALSE)</f>
        <v>0.85</v>
      </c>
      <c r="M3" s="3">
        <f>L3-K3</f>
        <v>0.84414202508960579</v>
      </c>
      <c r="N3" s="2" t="str">
        <f t="shared" ref="N3:N66" si="0">IF(L3&gt;0.75,"0.15","0.25")</f>
        <v>0.15</v>
      </c>
      <c r="O3" s="2">
        <v>9.421002002951645E-2</v>
      </c>
      <c r="P3" s="2">
        <f t="shared" ref="P3:P66" si="1">(O3*H3*365)</f>
        <v>27509.325848618806</v>
      </c>
      <c r="Q3" s="2">
        <f t="shared" ref="Q3:Q66" si="2">(13.9133*0.85)+(-0.289097*N3)+(-0.0052079*H3)+(0.031675*G3)+3.492937+IF(E3="Pvt Sector",-0.8897511,0)</f>
        <v>11.120397627960301</v>
      </c>
      <c r="R3" s="2">
        <f t="shared" ref="R3:R66" si="3">(H3*24*L3)/1000</f>
        <v>16.32</v>
      </c>
      <c r="S3" s="2">
        <f t="shared" ref="S3:S66" si="4">(H3*L3*Q3*365)/0.85</f>
        <v>3247156.1073644082</v>
      </c>
      <c r="T3" s="2" t="str">
        <f>VLOOKUP(A3,'[4]CEA vs MERIT comp. &amp; NPA marker'!$C$2:$K$735,9,FALSE)</f>
        <v>Contracted</v>
      </c>
      <c r="U3" s="3">
        <v>0</v>
      </c>
      <c r="V3" s="3">
        <f t="shared" ref="V3:V66" si="5">(U3*O3*H3*365)</f>
        <v>0</v>
      </c>
      <c r="W3" s="2">
        <f t="shared" ref="W3:W66" si="6">3417.812+(7.640537*G3)+(-0.9257423*H3)+(-330.5712*L3)+(225.4556*U3)</f>
        <v>2398.8474712799452</v>
      </c>
      <c r="X3" s="2">
        <f t="shared" ref="X3:X66" si="7">3417.812+(7.640537*G3)+(-0.9257423*H3)+(-330.5712*K3)+(225.4556*U3)</f>
        <v>2677.896513484246</v>
      </c>
      <c r="Y3" s="6">
        <f t="shared" ref="Y3:Y66" si="8">860/W3</f>
        <v>0.35850549494967787</v>
      </c>
      <c r="Z3" s="2">
        <f>(W3*R3*365*10^6)/((IF(AC3,AC3,4286)*1000))</f>
        <v>3333983.8116939757</v>
      </c>
      <c r="AA3" s="2">
        <f>(X3*I3*365*10^6)/((IF(AC3,AC3,4286))*1000)</f>
        <v>25649.755138840188</v>
      </c>
      <c r="AB3" s="2" t="s">
        <v>598</v>
      </c>
      <c r="AC3" s="12"/>
      <c r="AD3" s="12">
        <f t="shared" ref="AD3:AD66" si="9">AC3*H3</f>
        <v>0</v>
      </c>
      <c r="AE3" s="2"/>
      <c r="AF3" s="7"/>
      <c r="AG3" s="7"/>
      <c r="AH3" s="7"/>
      <c r="AI3" s="7"/>
      <c r="AJ3" s="7"/>
      <c r="AK3" s="7"/>
      <c r="AL3" s="7"/>
      <c r="AM3" s="7"/>
      <c r="AN3" s="15">
        <f t="shared" ref="AN3:AN66" si="10">SUM(AF3:AM3)</f>
        <v>0</v>
      </c>
      <c r="AO3" s="6">
        <v>7.4804283350977385E-2</v>
      </c>
      <c r="AP3" s="11">
        <f>AO3*I3</f>
        <v>8.4134710091528734E-3</v>
      </c>
      <c r="AQ3" s="11">
        <f t="shared" ref="AQ3:AQ66" si="11">AO3*R3</f>
        <v>1.2208059042879509</v>
      </c>
      <c r="AR3" s="2"/>
      <c r="AS3" s="3">
        <f>0.6517435+(0.0001025*X3)+(1.890785*AZ3)+(0.0074045*G3 )+(-0.0006019*H3)+(2.827044*AO3)</f>
        <v>1.7780012313271869</v>
      </c>
      <c r="AT3" s="3">
        <f>0.6517435+(0.0001025*W3)+(1.890785*AZ3)+(0.0074045*G3)+(-0.0006019*H3)+(2.827044*AO3)</f>
        <v>1.7493987045012465</v>
      </c>
      <c r="AU3" s="3">
        <f t="shared" ref="AU3:AU66" si="12">AS3-AT3</f>
        <v>2.8602526825940444E-2</v>
      </c>
      <c r="AV3" s="88">
        <f>0.73282*M3</f>
        <v>0.61860415882616493</v>
      </c>
      <c r="AW3" s="32">
        <f>ABS(AU3-AV3)/AS3</f>
        <v>0.33183420888849358</v>
      </c>
      <c r="AX3" s="12">
        <f>(AS3*I3*365)/10</f>
        <v>7.2991730119182936</v>
      </c>
      <c r="AY3" s="12">
        <f t="shared" ref="AY3:AY66" si="13">(AT3*R3*365)/10</f>
        <v>1042.0818202973026</v>
      </c>
      <c r="AZ3" s="3">
        <f>VLOOKUP(A3,[5]Analysis!$A$3:$BJ$543,62,FALSE)</f>
        <v>0.59196803774845197</v>
      </c>
      <c r="BA3" s="2"/>
      <c r="BB3" s="2"/>
      <c r="BC3" s="2" t="e">
        <f>VLOOKUP(A3,'[6]FGD status - Jun 2020'!$I$2:$M$449,5,FALSE)</f>
        <v>#N/A</v>
      </c>
      <c r="BD3" s="2"/>
      <c r="BE3" s="2"/>
      <c r="BF3" s="2">
        <f t="shared" ref="BF3:BF66" si="14">((AA3*(1-U3)*3095)+(AA3*U3*5231))/10^7</f>
        <v>7.9385992154710383</v>
      </c>
      <c r="BG3" s="2">
        <f t="shared" ref="BG3:BG66" si="15">((Z3*(1-U3)*3095)+(Z3*U3*5231))/10^7</f>
        <v>1031.8679897192853</v>
      </c>
      <c r="BH3" s="2"/>
      <c r="BI3" s="2"/>
      <c r="BK3">
        <f t="shared" ref="BK3:BK66" si="16">K3*H3</f>
        <v>4.6863799283153753</v>
      </c>
      <c r="BP3" s="2" t="e">
        <f>VLOOKUP(A3,'[7]Table 2'!$J$2:$N$449,5,FALSE)</f>
        <v>#N/A</v>
      </c>
      <c r="BR3">
        <f>(X3*I3*365*AZ3)/10^4</f>
        <v>6.5077917745494505</v>
      </c>
      <c r="BS3">
        <f>(W3*R3*365*AZ3)/10^4</f>
        <v>845.89004100739135</v>
      </c>
      <c r="BT3">
        <f>(X3*I3*365*[5]Analysis!BK3)/10^4</f>
        <v>4.4144934401562441</v>
      </c>
      <c r="BU3">
        <f>(W3*R3*365*[5]Analysis!BK3)/10^4</f>
        <v>573.80078627041689</v>
      </c>
      <c r="BV3">
        <f>(X3*I3*365*[5]Analysis!BL3)/10^4</f>
        <v>2.0932983343932059</v>
      </c>
      <c r="BW3">
        <f>(W3*R3*365*[5]Analysis!BL3)/10^4</f>
        <v>272.08925473697451</v>
      </c>
      <c r="BX3">
        <f>0.0001025*((X3*I3*10^6))</f>
        <v>30872.115558409801</v>
      </c>
      <c r="BY3">
        <f>0.0001025*((W3*R3*10^6))</f>
        <v>4012792.0499570919</v>
      </c>
      <c r="BZ3">
        <f>(1.890785*AZ3*I3*10^6)</f>
        <v>125889.39391633237</v>
      </c>
      <c r="CA3">
        <f>(1.890785*AZ3*R3*10^6)</f>
        <v>18266719.551668655</v>
      </c>
      <c r="CB3">
        <f>(-0.107843*I3*K3*10^6)</f>
        <v>-71.053946378674638</v>
      </c>
      <c r="CC3">
        <f>(-0.107843*R3*L3*10^6)</f>
        <v>-1495998.0959999999</v>
      </c>
      <c r="CD3">
        <f>IF(E3="PVT SECTOR",-0.3690444,0)*I3*10^6</f>
        <v>0</v>
      </c>
      <c r="CE3">
        <f>IF(E3="PVT SECTOR",-0.3690444,0)*R3*10^6</f>
        <v>0</v>
      </c>
      <c r="CF3">
        <f xml:space="preserve"> 0.6517435*I3*10^6</f>
        <v>73303.623763440279</v>
      </c>
      <c r="CG3">
        <f xml:space="preserve"> 0.6517435*R3*10^6</f>
        <v>10636453.920000002</v>
      </c>
      <c r="CH3">
        <f>0.0074045*(G3*I3*10^6)</f>
        <v>285.01273247812014</v>
      </c>
      <c r="CI3">
        <f>0.0074045*(G3*R3*10^6)</f>
        <v>41355.728952771984</v>
      </c>
      <c r="CJ3">
        <f>-0.0006019*H3*I3*10^6</f>
        <v>-54158.055913978067</v>
      </c>
      <c r="CK3">
        <f>-0.0006019*H3*R3*10^6</f>
        <v>-7858406.4000000004</v>
      </c>
      <c r="CL3">
        <f>2.827044*AO3*I3*10^6</f>
        <v>23785.252735599573</v>
      </c>
      <c r="CM3">
        <f>2.827044*AO3*R3*10^6</f>
        <v>3451272.0068818256</v>
      </c>
    </row>
    <row r="4" spans="1:91" x14ac:dyDescent="0.2">
      <c r="A4" s="2" t="s">
        <v>2</v>
      </c>
      <c r="B4" s="2" t="str">
        <f>LEFT(A4,LEN(A4)-LEN(RIGHT(A4,1)))</f>
        <v>GADARWARA TPP</v>
      </c>
      <c r="C4" s="2" t="str">
        <f>VLOOKUP($A4,'[1]daily coal, energy reqd'!$C$2:$T$599,17,FALSE)</f>
        <v>Madhya Pradesh</v>
      </c>
      <c r="D4" s="2" t="str">
        <f>VLOOKUP(C4,'Target PLF'!$I$2:$J$19,2,FALSE)</f>
        <v>WR</v>
      </c>
      <c r="E4" s="2" t="str">
        <f>VLOOKUP(A4,[2]Ownership!$C$2:$D$666,2,FALSE)</f>
        <v>CENTRAL SECTOR</v>
      </c>
      <c r="F4" s="2" t="s">
        <v>542</v>
      </c>
      <c r="G4" s="10">
        <v>1.06776180698151</v>
      </c>
      <c r="H4" s="2">
        <v>800</v>
      </c>
      <c r="I4" s="2">
        <f>VLOOKUP(A4,'[3]Calculated coal req (reg.)'!$A$2:$I$599,9,FALSE)</f>
        <v>3.3010052439218098</v>
      </c>
      <c r="J4" s="2"/>
      <c r="K4" s="11">
        <v>0.17192735645426094</v>
      </c>
      <c r="L4" s="3">
        <f>VLOOKUP(F4,'Target PLF'!$A$2:$B$11,2,FALSE)</f>
        <v>0.85</v>
      </c>
      <c r="M4" s="3">
        <f t="shared" ref="M4:M67" si="17">L4-K4</f>
        <v>0.67807264354573904</v>
      </c>
      <c r="N4" s="2" t="str">
        <f t="shared" si="0"/>
        <v>0.15</v>
      </c>
      <c r="O4" s="2">
        <f>(13.9133*K4)+(-0.289097*N4)+(-0.0052079*H4)+(0.031675*G4)+3.492937+IF(E4="Pvt Sector",-0.8897511,0)</f>
        <v>1.7091506937912078</v>
      </c>
      <c r="P4" s="2">
        <f t="shared" si="1"/>
        <v>499072.00258703268</v>
      </c>
      <c r="Q4" s="2">
        <f t="shared" si="2"/>
        <v>11.143378805236139</v>
      </c>
      <c r="R4" s="2">
        <f t="shared" si="3"/>
        <v>16.32</v>
      </c>
      <c r="S4" s="2">
        <f t="shared" si="4"/>
        <v>3253866.6111289528</v>
      </c>
      <c r="T4" s="2" t="str">
        <f>VLOOKUP(A4,'[4]CEA vs MERIT comp. &amp; NPA marker'!$C$2:$K$735,9,FALSE)</f>
        <v>Contracted</v>
      </c>
      <c r="U4" s="3">
        <f>VLOOKUP(B4,'[8]Import-Domestic share'!$A$208:$F$406,6,FALSE)</f>
        <v>0</v>
      </c>
      <c r="V4" s="3">
        <f t="shared" si="5"/>
        <v>0</v>
      </c>
      <c r="W4" s="2">
        <f t="shared" si="6"/>
        <v>2404.3909135934291</v>
      </c>
      <c r="X4" s="2">
        <f t="shared" si="7"/>
        <v>2628.5422010575162</v>
      </c>
      <c r="Y4" s="6">
        <f t="shared" si="8"/>
        <v>0.35767894277836298</v>
      </c>
      <c r="Z4" s="2">
        <f t="shared" ref="Z4:Z66" si="18">(W4*R4*365*10^6)/((IF(AC4,AC4,4286)*1000))</f>
        <v>3451198.9865285149</v>
      </c>
      <c r="AA4" s="2">
        <f t="shared" ref="AA4:AA66" si="19">(X4*I4*365*10^6)/((IF(AC4,AC4,4286))*1000)</f>
        <v>763143.01932280301</v>
      </c>
      <c r="AB4" s="2" t="s">
        <v>598</v>
      </c>
      <c r="AC4" s="12">
        <f>VLOOKUP(B4,[9]Sheet1!$A$2:$B$137,2,FALSE)</f>
        <v>4150</v>
      </c>
      <c r="AD4" s="12">
        <f t="shared" si="9"/>
        <v>3320000</v>
      </c>
      <c r="AE4" s="2"/>
      <c r="AF4" s="7">
        <f>VLOOKUP($B4,'[9]Subsidiary wise dispatch'!$A$3:$R$138,11,FALSE)*$H4*$O4*365</f>
        <v>0</v>
      </c>
      <c r="AG4" s="7">
        <f>VLOOKUP($B4,'[9]Subsidiary wise dispatch'!$A$3:$R$138,12,FALSE)*$H4*$O4*365</f>
        <v>0</v>
      </c>
      <c r="AH4" s="7">
        <f>VLOOKUP($B4,'[9]Subsidiary wise dispatch'!$A$3:$R$138,13,FALSE)*$H4*$O4*365</f>
        <v>0</v>
      </c>
      <c r="AI4" s="7">
        <f>VLOOKUP($B4,'[9]Subsidiary wise dispatch'!$A$3:$R$138,14,FALSE)*$H4*$O4*365</f>
        <v>0</v>
      </c>
      <c r="AJ4" s="7">
        <f>VLOOKUP($B4,'[9]Subsidiary wise dispatch'!$A$3:$R$138,15,FALSE)*$H4*$O4*365</f>
        <v>0</v>
      </c>
      <c r="AK4" s="7">
        <f>VLOOKUP($B4,'[9]Subsidiary wise dispatch'!$A$3:$R$138,16,FALSE)*$H4*$O4*365</f>
        <v>0</v>
      </c>
      <c r="AL4" s="7">
        <f>VLOOKUP($B4,'[9]Subsidiary wise dispatch'!$A$3:$R$138,17,FALSE)*$H4*$O4*365</f>
        <v>0</v>
      </c>
      <c r="AM4" s="7">
        <f>VLOOKUP($B4,'[9]Subsidiary wise dispatch'!$A$3:$R$138,18,FALSE)*$H4*$O4*365</f>
        <v>499072.00258703268</v>
      </c>
      <c r="AN4" s="15">
        <f t="shared" si="10"/>
        <v>499072.00258703268</v>
      </c>
      <c r="AO4" s="6">
        <v>7.3541634189813465E-2</v>
      </c>
      <c r="AP4" s="11">
        <f t="shared" ref="AP4:AP66" si="20">AO4*I4</f>
        <v>0.24276132010715371</v>
      </c>
      <c r="AQ4" s="11">
        <f t="shared" si="11"/>
        <v>1.2001994699777558</v>
      </c>
      <c r="AR4" s="3">
        <f>VLOOKUP(A4,[10]Sheet1!$A$2:$L$542,12,FALSE)</f>
        <v>3.3710578127253199</v>
      </c>
      <c r="AS4" s="3">
        <f>0.6517435+(0.0001025*X4)+(1.890785*AZ4)+(0.0074045*G4 )+(-0.0006019*H4)+(2.827044*AO4)</f>
        <v>1.8267944068325281</v>
      </c>
      <c r="AT4" s="3">
        <f>0.6517435+(0.0001025*W4)+(1.890785*AZ4)+(0.0074045*G4)+(-0.0006019*H4)+(2.827044*AO4)</f>
        <v>1.8038188998674594</v>
      </c>
      <c r="AU4" s="3">
        <f t="shared" si="12"/>
        <v>2.2975506965068782E-2</v>
      </c>
      <c r="AV4" s="88">
        <f t="shared" ref="AV4:AV67" si="21">0.73282*M4</f>
        <v>0.4969051946431885</v>
      </c>
      <c r="AW4" s="32">
        <f t="shared" ref="AW4:AW67" si="22">ABS(AU4-AV4)/AS4</f>
        <v>0.25943241664499322</v>
      </c>
      <c r="AX4" s="12">
        <f>(AS4*I4*365)/10</f>
        <v>220.10441395302405</v>
      </c>
      <c r="AY4" s="12">
        <f t="shared" si="13"/>
        <v>1074.4988422730482</v>
      </c>
      <c r="AZ4" s="3">
        <f>VLOOKUP(A4,[5]Analysis!$A$3:$BJ$543,62,FALSE)</f>
        <v>0.61949595180722894</v>
      </c>
      <c r="BA4" s="2"/>
      <c r="BB4" s="2"/>
      <c r="BC4" s="2" t="e">
        <f>VLOOKUP(A4,'[6]FGD status - Jun 2020'!$I$2:$M$449,5,FALSE)</f>
        <v>#N/A</v>
      </c>
      <c r="BD4" s="2"/>
      <c r="BE4" s="2"/>
      <c r="BF4" s="2">
        <f t="shared" si="14"/>
        <v>236.19276448040753</v>
      </c>
      <c r="BG4" s="2">
        <f t="shared" si="15"/>
        <v>1068.1460863305754</v>
      </c>
      <c r="BH4" s="2"/>
      <c r="BI4" s="2"/>
      <c r="BK4">
        <f t="shared" si="16"/>
        <v>137.54188516340875</v>
      </c>
      <c r="BP4" s="2" t="e">
        <f>VLOOKUP(A4,'[7]Table 2'!$J$2:$N$449,5,FALSE)</f>
        <v>#N/A</v>
      </c>
      <c r="BR4">
        <f t="shared" ref="BR4:BR67" si="23">(X4*I4*365*AZ4)/10^4</f>
        <v>196.19706461497526</v>
      </c>
      <c r="BS4">
        <f t="shared" ref="BS4:BS67" si="24">(W4*R4*365*AZ4)/10^4</f>
        <v>887.27157742978488</v>
      </c>
      <c r="BT4">
        <f>(X4*I4*365*[5]Analysis!BK4)/10^4</f>
        <v>122.7178389994792</v>
      </c>
      <c r="BU4">
        <f>(W4*R4*365*[5]Analysis!BK4)/10^4</f>
        <v>554.97288301188689</v>
      </c>
      <c r="BV4">
        <f>(X4*I4*365*[5]Analysis!BL4)/10^4</f>
        <v>73.479225615496091</v>
      </c>
      <c r="BW4">
        <f>(W4*R4*365*[5]Analysis!BL4)/10^4</f>
        <v>332.2986944178981</v>
      </c>
      <c r="BX4">
        <f t="shared" ref="BX4:BX67" si="25">0.0001025*((X4*I4*10^6))</f>
        <v>889375.23792996525</v>
      </c>
      <c r="BY4">
        <f t="shared" ref="BY4:BY67" si="26">0.0001025*((W4*R4*10^6))</f>
        <v>4022065.1202590875</v>
      </c>
      <c r="BZ4">
        <f>(1.890785*AZ4*I4*10^6)</f>
        <v>3866578.5317201721</v>
      </c>
      <c r="CA4">
        <f t="shared" ref="CA4:CA67" si="27">(1.890785*AZ4*R4*10^6)</f>
        <v>19116165.220841408</v>
      </c>
      <c r="CB4">
        <f t="shared" ref="CB4:CB67" si="28">(-0.107843*I4*K4*10^6)</f>
        <v>-61204.472667225011</v>
      </c>
      <c r="CC4">
        <f t="shared" ref="CC4:CC67" si="29">(-0.107843*R4*L4*10^6)</f>
        <v>-1495998.0959999999</v>
      </c>
      <c r="CD4">
        <f t="shared" ref="CD4:CD67" si="30">IF(E4="PVT SECTOR",-0.3690444,0)*I4*10^6</f>
        <v>0</v>
      </c>
      <c r="CE4">
        <f t="shared" ref="CE4:CE67" si="31">IF(E4="PVT SECTOR",-0.3690444,0)*R4*10^6</f>
        <v>0</v>
      </c>
      <c r="CF4">
        <f t="shared" ref="CF4:CF67" si="32" xml:space="preserve"> 0.6517435*I4*10^6</f>
        <v>2151408.7111919541</v>
      </c>
      <c r="CG4">
        <f t="shared" ref="CG4:CG67" si="33" xml:space="preserve"> 0.6517435*R4*10^6</f>
        <v>10636453.920000002</v>
      </c>
      <c r="CH4">
        <f t="shared" ref="CH4:CH67" si="34">0.0074045*(G4*I4*10^6)</f>
        <v>26098.547291338375</v>
      </c>
      <c r="CI4">
        <f t="shared" ref="CI4:CI67" si="35">0.0074045*(G4*R4*10^6)</f>
        <v>129029.87433264771</v>
      </c>
      <c r="CJ4">
        <f t="shared" ref="CJ4:CJ67" si="36">-0.0006019*H4*I4*10^6</f>
        <v>-1589500.0450532301</v>
      </c>
      <c r="CK4">
        <f t="shared" ref="CK4:CK67" si="37">-0.0006019*H4*R4*10^6</f>
        <v>-7858406.4000000004</v>
      </c>
      <c r="CL4">
        <f t="shared" ref="CL4:CL67" si="38">2.827044*AO4*I4*10^6</f>
        <v>686296.93344100832</v>
      </c>
      <c r="CM4">
        <f t="shared" ref="CM4:CM67" si="39">2.827044*AO4*R4*10^6</f>
        <v>3393016.7104037949</v>
      </c>
    </row>
    <row r="5" spans="1:91" x14ac:dyDescent="0.2">
      <c r="A5" s="2" t="s">
        <v>3</v>
      </c>
      <c r="B5" s="2" t="s">
        <v>578</v>
      </c>
      <c r="C5" s="2" t="str">
        <f>VLOOKUP($A5,'[1]daily coal, energy reqd'!$C$2:$T$599,17,FALSE)</f>
        <v>Telangana</v>
      </c>
      <c r="D5" s="2" t="str">
        <f>VLOOKUP(C5,'Target PLF'!$I$2:$J$19,2,FALSE)</f>
        <v>SR</v>
      </c>
      <c r="E5" s="2" t="str">
        <f>VLOOKUP(A5,[2]Ownership!$C$2:$D$666,2,FALSE)</f>
        <v>STATE SECTOR</v>
      </c>
      <c r="F5" s="2" t="s">
        <v>542</v>
      </c>
      <c r="G5" s="10">
        <v>1.9603011635865799</v>
      </c>
      <c r="H5" s="2">
        <v>800</v>
      </c>
      <c r="I5" s="2">
        <f>VLOOKUP(A5,'[3]Calculated coal req (reg.)'!$A$2:$I$599,9,FALSE)</f>
        <v>12.164454465657199</v>
      </c>
      <c r="J5" s="2"/>
      <c r="K5" s="11">
        <v>0.6335653367529791</v>
      </c>
      <c r="L5" s="3">
        <f>VLOOKUP(F5,'Target PLF'!$A$2:$B$11,2,FALSE)</f>
        <v>0.85</v>
      </c>
      <c r="M5" s="3">
        <f t="shared" si="17"/>
        <v>0.21643466324702088</v>
      </c>
      <c r="N5" s="2" t="str">
        <f t="shared" si="0"/>
        <v>0.15</v>
      </c>
      <c r="O5" s="2">
        <f>(13.9133*K5)+(-0.289097*N5)+(-0.0052079*H5)+(0.031675*G5)+3.492937+IF(E5="Pvt Sector",-0.8897511,0)</f>
        <v>8.1603295892018277</v>
      </c>
      <c r="P5" s="2">
        <f>(O5*H5*365)</f>
        <v>2382816.2400469338</v>
      </c>
      <c r="Q5" s="2">
        <f t="shared" si="2"/>
        <v>11.171649989356604</v>
      </c>
      <c r="R5" s="2">
        <f t="shared" si="3"/>
        <v>16.32</v>
      </c>
      <c r="S5" s="2">
        <f t="shared" si="4"/>
        <v>3262121.7968921289</v>
      </c>
      <c r="T5" s="2" t="str">
        <f>VLOOKUP(A5,'[4]CEA vs MERIT comp. &amp; NPA marker'!$C$2:$K$735,9,FALSE)</f>
        <v>Contracted</v>
      </c>
      <c r="U5" s="3">
        <f>VLOOKUP(B5,'[8]Import-Domestic share'!$A$208:$F$406,6,FALSE)</f>
        <v>0</v>
      </c>
      <c r="V5" s="3">
        <f t="shared" si="5"/>
        <v>0</v>
      </c>
      <c r="W5" s="2">
        <f>3417.812+(7.640537*G5)+(-0.9257423*H5)+(-330.5712*L5)+(225.4556*U5)</f>
        <v>2411.2103935715259</v>
      </c>
      <c r="X5" s="2">
        <f t="shared" si="7"/>
        <v>2482.7574599226896</v>
      </c>
      <c r="Y5" s="6">
        <f t="shared" si="8"/>
        <v>0.35666734113822118</v>
      </c>
      <c r="Z5" s="2">
        <f t="shared" si="18"/>
        <v>3351166.1391569921</v>
      </c>
      <c r="AA5" s="2">
        <f t="shared" si="19"/>
        <v>2571980.2556538973</v>
      </c>
      <c r="AB5" s="2" t="s">
        <v>598</v>
      </c>
      <c r="AC5" s="12"/>
      <c r="AD5" s="12">
        <f t="shared" si="9"/>
        <v>0</v>
      </c>
      <c r="AE5" s="2"/>
      <c r="AF5" s="7"/>
      <c r="AG5" s="7"/>
      <c r="AH5" s="7"/>
      <c r="AI5" s="7"/>
      <c r="AJ5" s="7"/>
      <c r="AK5" s="7"/>
      <c r="AL5" s="7"/>
      <c r="AM5" s="7"/>
      <c r="AN5" s="15">
        <f t="shared" si="10"/>
        <v>0</v>
      </c>
      <c r="AO5" s="6">
        <v>7.0000000000000007E-2</v>
      </c>
      <c r="AP5" s="11">
        <f t="shared" si="20"/>
        <v>0.85151181259600406</v>
      </c>
      <c r="AQ5" s="11">
        <f t="shared" si="11"/>
        <v>1.1424000000000001</v>
      </c>
      <c r="AR5" s="3">
        <f>VLOOKUP(A5,[10]Sheet1!$A$2:$L$542,12,FALSE)</f>
        <v>2.62913705583756</v>
      </c>
      <c r="AS5" s="3">
        <f>0.6517435+(0.0001025*X5)+(1.890785*AZ5)+(0.0074045*G5 )+(-0.0006019*H5)+(2.827044*AO5)</f>
        <v>2.0824074512262363</v>
      </c>
      <c r="AT5" s="3">
        <f t="shared" ref="AT5:AT67" si="40">0.6517435+(0.0001025*W5)+(1.890785*AZ5)+(0.0074045*G5)+(-0.0006019*H5)+(2.827044*AO5)</f>
        <v>2.0750738769252419</v>
      </c>
      <c r="AU5" s="3">
        <f t="shared" si="12"/>
        <v>7.3335743009943499E-3</v>
      </c>
      <c r="AV5" s="88">
        <f t="shared" si="21"/>
        <v>0.15860764992068185</v>
      </c>
      <c r="AW5" s="32">
        <f t="shared" si="22"/>
        <v>7.2643840921049807E-2</v>
      </c>
      <c r="AX5" s="12">
        <f>(AS5*I5*365)/10</f>
        <v>924.59429760761873</v>
      </c>
      <c r="AY5" s="12">
        <f t="shared" si="13"/>
        <v>1236.0800070068283</v>
      </c>
      <c r="AZ5" s="3">
        <f>VLOOKUP(A5,[5]Analysis!$A$3:$BJ$543,62,FALSE)</f>
        <v>0.76438790323510297</v>
      </c>
      <c r="BA5" s="2"/>
      <c r="BB5" s="2"/>
      <c r="BC5" s="2" t="e">
        <f>VLOOKUP(A5,'[6]FGD status - Jun 2020'!$I$2:$M$449,5,FALSE)</f>
        <v>#N/A</v>
      </c>
      <c r="BD5" s="2"/>
      <c r="BE5" s="2"/>
      <c r="BF5" s="2">
        <f t="shared" si="14"/>
        <v>796.0278891248812</v>
      </c>
      <c r="BG5" s="2">
        <f t="shared" si="15"/>
        <v>1037.1859200690892</v>
      </c>
      <c r="BH5" s="2"/>
      <c r="BI5" s="2"/>
      <c r="BK5">
        <f t="shared" si="16"/>
        <v>506.85226940238329</v>
      </c>
      <c r="BP5" s="2" t="e">
        <f>VLOOKUP(A5,'[7]Table 2'!$J$2:$N$449,5,FALSE)</f>
        <v>#N/A</v>
      </c>
      <c r="BR5">
        <f t="shared" si="23"/>
        <v>842.62356892329376</v>
      </c>
      <c r="BS5">
        <f t="shared" si="24"/>
        <v>1097.897841954252</v>
      </c>
      <c r="BT5">
        <f>(X5*I5*365*[5]Analysis!BK5)/10^4</f>
        <v>414.26315111532199</v>
      </c>
      <c r="BU5">
        <f>(W5*R5*365*[5]Analysis!BK5)/10^4</f>
        <v>539.7648919218442</v>
      </c>
      <c r="BV5">
        <f>(X5*I5*365*[5]Analysis!BL5)/10^4</f>
        <v>428.36041780797177</v>
      </c>
      <c r="BW5">
        <f>(W5*R5*365*[5]Analysis!BL5)/10^4</f>
        <v>558.13295003240808</v>
      </c>
      <c r="BX5">
        <f t="shared" si="25"/>
        <v>3095642.4822262791</v>
      </c>
      <c r="BY5">
        <f t="shared" si="26"/>
        <v>4033472.7463664487</v>
      </c>
      <c r="BZ5">
        <f t="shared" ref="BZ5:BZ67" si="41">(1.890785*AZ5*I5*10^6)</f>
        <v>17581203.097321652</v>
      </c>
      <c r="CA5">
        <f t="shared" si="27"/>
        <v>23587184.724012028</v>
      </c>
      <c r="CB5">
        <f t="shared" si="28"/>
        <v>-831143.48717431922</v>
      </c>
      <c r="CC5">
        <f t="shared" si="29"/>
        <v>-1495998.0959999999</v>
      </c>
      <c r="CD5">
        <f t="shared" si="30"/>
        <v>0</v>
      </c>
      <c r="CE5">
        <f t="shared" si="31"/>
        <v>0</v>
      </c>
      <c r="CF5">
        <f t="shared" si="32"/>
        <v>7928104.1290380536</v>
      </c>
      <c r="CG5">
        <f t="shared" si="33"/>
        <v>10636453.920000002</v>
      </c>
      <c r="CH5">
        <f t="shared" si="34"/>
        <v>176567.66437543134</v>
      </c>
      <c r="CI5">
        <f t="shared" si="35"/>
        <v>236885.61544147786</v>
      </c>
      <c r="CJ5">
        <f t="shared" si="36"/>
        <v>-5857428.1143032555</v>
      </c>
      <c r="CK5">
        <f>-0.0006019*H5*R5*10^6</f>
        <v>-7858406.4000000004</v>
      </c>
      <c r="CL5">
        <f t="shared" si="38"/>
        <v>2407261.3607286573</v>
      </c>
      <c r="CM5">
        <f t="shared" si="39"/>
        <v>3229615.0655999999</v>
      </c>
    </row>
    <row r="6" spans="1:91" x14ac:dyDescent="0.2">
      <c r="A6" s="2" t="s">
        <v>4</v>
      </c>
      <c r="B6" s="2" t="str">
        <f t="shared" ref="B6:B40" si="42">LEFT(A6,LEN(A6)-LEN(RIGHT(A6,1)))</f>
        <v>LARA TPP</v>
      </c>
      <c r="C6" s="2" t="str">
        <f>VLOOKUP($A6,'[1]daily coal, energy reqd'!$C$2:$T$599,17,FALSE)</f>
        <v>Chhatisgarh</v>
      </c>
      <c r="D6" s="2" t="str">
        <f>VLOOKUP(C6,'Target PLF'!$I$2:$J$19,2,FALSE)</f>
        <v>WR</v>
      </c>
      <c r="E6" s="2" t="str">
        <f>VLOOKUP(A6,[2]Ownership!$C$2:$D$666,2,FALSE)</f>
        <v>CENTRAL SECTOR</v>
      </c>
      <c r="F6" s="2" t="s">
        <v>542</v>
      </c>
      <c r="G6" s="13">
        <v>2.0917180013689198</v>
      </c>
      <c r="H6" s="2">
        <v>800</v>
      </c>
      <c r="I6" s="2">
        <f>VLOOKUP(A6,'[3]Calculated coal req (reg.)'!$A$2:$I$599,9,FALSE)</f>
        <v>3.6697567218694802</v>
      </c>
      <c r="J6" s="2"/>
      <c r="K6" s="11">
        <v>0.19113316259736876</v>
      </c>
      <c r="L6" s="3">
        <f>VLOOKUP(F6,'Target PLF'!$A$2:$B$11,2,FALSE)</f>
        <v>0.85</v>
      </c>
      <c r="M6" s="3">
        <f t="shared" si="17"/>
        <v>0.65886683740263119</v>
      </c>
      <c r="N6" s="2" t="str">
        <f t="shared" si="0"/>
        <v>0.15</v>
      </c>
      <c r="O6" s="2">
        <f>(13.9133*K6)+(-0.289097*N6)+(-0.0052079*H6)+(0.031675*G6)+3.492937+IF(E6="Pvt Sector",-0.8897511,0)</f>
        <v>2.0088006488593311</v>
      </c>
      <c r="P6" s="2">
        <f t="shared" si="1"/>
        <v>586569.78946692473</v>
      </c>
      <c r="Q6" s="2">
        <f t="shared" si="2"/>
        <v>11.17581261769336</v>
      </c>
      <c r="R6" s="2">
        <f t="shared" si="3"/>
        <v>16.32</v>
      </c>
      <c r="S6" s="2">
        <f t="shared" si="4"/>
        <v>3263337.284366461</v>
      </c>
      <c r="T6" s="2" t="str">
        <f>VLOOKUP(A6,'[4]CEA vs MERIT comp. &amp; NPA marker'!$C$2:$K$735,9,FALSE)</f>
        <v>Contracted</v>
      </c>
      <c r="U6" s="3">
        <f>VLOOKUP(B6,'[8]Import-Domestic share'!$A$208:$F$406,6,FALSE)</f>
        <v>0</v>
      </c>
      <c r="V6" s="3">
        <f t="shared" si="5"/>
        <v>0</v>
      </c>
      <c r="W6" s="2">
        <f t="shared" si="6"/>
        <v>2412.2144887830254</v>
      </c>
      <c r="X6" s="2">
        <f t="shared" si="7"/>
        <v>2630.0168898634179</v>
      </c>
      <c r="Y6" s="6">
        <f t="shared" si="8"/>
        <v>0.35651887674129445</v>
      </c>
      <c r="Z6" s="2">
        <f t="shared" si="18"/>
        <v>2193752.5598141565</v>
      </c>
      <c r="AA6" s="2">
        <f>(X6*I6*365*10^6)/((IF(AC6,AC6,4286))*1000)</f>
        <v>537832.91427105165</v>
      </c>
      <c r="AB6" s="2" t="s">
        <v>598</v>
      </c>
      <c r="AC6" s="12">
        <f>VLOOKUP(B6,[9]Sheet1!$A$2:$B$137,2,FALSE)</f>
        <v>6550</v>
      </c>
      <c r="AD6" s="12">
        <f>AC6*H6</f>
        <v>5240000</v>
      </c>
      <c r="AE6" s="2"/>
      <c r="AF6" s="7">
        <f>VLOOKUP($B6,'[9]Subsidiary wise dispatch'!$A$3:$R$138,11,FALSE)*$H6*$O6*365</f>
        <v>0</v>
      </c>
      <c r="AG6" s="7">
        <f>VLOOKUP($B6,'[9]Subsidiary wise dispatch'!$A$3:$R$138,12,FALSE)*$H6*$O6*365</f>
        <v>0</v>
      </c>
      <c r="AH6" s="7">
        <f>VLOOKUP($B6,'[9]Subsidiary wise dispatch'!$A$3:$R$138,13,FALSE)*$H6*$O6*365</f>
        <v>0</v>
      </c>
      <c r="AI6" s="7">
        <f>VLOOKUP($B6,'[9]Subsidiary wise dispatch'!$A$3:$R$138,14,FALSE)*$H6*$O6*365</f>
        <v>0</v>
      </c>
      <c r="AJ6" s="7">
        <f>VLOOKUP($B6,'[9]Subsidiary wise dispatch'!$A$3:$R$138,15,FALSE)*$H6*$O6*365</f>
        <v>0</v>
      </c>
      <c r="AK6" s="7">
        <f>VLOOKUP($B6,'[9]Subsidiary wise dispatch'!$A$3:$R$138,16,FALSE)*$H6*$O6*365</f>
        <v>0</v>
      </c>
      <c r="AL6" s="7">
        <f>VLOOKUP($B6,'[9]Subsidiary wise dispatch'!$A$3:$R$138,17,FALSE)*$H6*$O6*365</f>
        <v>586569.78946692473</v>
      </c>
      <c r="AM6" s="7">
        <f>VLOOKUP($B6,'[9]Subsidiary wise dispatch'!$A$3:$R$138,18,FALSE)*$H6*$O6*365</f>
        <v>0</v>
      </c>
      <c r="AN6" s="15">
        <f t="shared" si="10"/>
        <v>586569.78946692473</v>
      </c>
      <c r="AO6" s="6">
        <v>5.2489445057243921E-2</v>
      </c>
      <c r="AP6" s="11">
        <f t="shared" si="20"/>
        <v>0.19262349382601965</v>
      </c>
      <c r="AQ6" s="11">
        <f t="shared" si="11"/>
        <v>0.85662774333422076</v>
      </c>
      <c r="AR6" s="3">
        <f>VLOOKUP(A6,[10]Sheet1!$A$2:$L$542,12,FALSE)</f>
        <v>2.4661387221164501</v>
      </c>
      <c r="AS6" s="3">
        <f t="shared" ref="AS6:AS67" si="43">0.6517435+(0.0001025*X6)+(1.890785*AZ6)+(0.0074045*G6 )+(-0.0006019*H6)+(2.827044*AO6)</f>
        <v>2.4270883826403646</v>
      </c>
      <c r="AT6" s="3">
        <f t="shared" si="40"/>
        <v>2.4047636365296245</v>
      </c>
      <c r="AU6" s="3">
        <f t="shared" si="12"/>
        <v>2.232474611074009E-2</v>
      </c>
      <c r="AV6" s="88">
        <f t="shared" si="21"/>
        <v>0.48283079578539623</v>
      </c>
      <c r="AW6" s="32">
        <f t="shared" si="22"/>
        <v>0.18973600342220909</v>
      </c>
      <c r="AX6" s="12">
        <f t="shared" ref="AX6:AX66" si="44">(AS6*I6*365)/10</f>
        <v>325.09907259695183</v>
      </c>
      <c r="AY6" s="12">
        <f>(AT6*R6*365)/10</f>
        <v>1432.4696030079667</v>
      </c>
      <c r="AZ6" s="3">
        <f>VLOOKUP(A6,[5]Analysis!$A$3:$BJ$543,62,FALSE)</f>
        <v>0.96436668091603073</v>
      </c>
      <c r="BA6" s="2"/>
      <c r="BB6" s="2"/>
      <c r="BC6" s="2" t="str">
        <f>VLOOKUP(A6,'[6]FGD status - Jun 2020'!$I$2:$M$449,5,FALSE)</f>
        <v>Bid Awarded</v>
      </c>
      <c r="BD6" s="2"/>
      <c r="BE6" s="2"/>
      <c r="BF6" s="2">
        <f t="shared" si="14"/>
        <v>166.45928696689049</v>
      </c>
      <c r="BG6" s="2">
        <f t="shared" si="15"/>
        <v>678.9664172624814</v>
      </c>
      <c r="BH6" s="2"/>
      <c r="BI6" s="2"/>
      <c r="BK6">
        <f t="shared" si="16"/>
        <v>152.90653007789501</v>
      </c>
      <c r="BP6" s="2" t="str">
        <f>VLOOKUP(A6,'[7]Table 2'!$J$2:$N$449,5,FALSE)</f>
        <v>Bid Awarded</v>
      </c>
      <c r="BR6">
        <f t="shared" si="23"/>
        <v>339.72763328704548</v>
      </c>
      <c r="BS6">
        <f>(W6*R6*365*AZ6)/10^4</f>
        <v>1385.7061280326609</v>
      </c>
      <c r="BT6">
        <f>(X6*I6*365*[5]Analysis!BK6)/10^4</f>
        <v>232.94951348515647</v>
      </c>
      <c r="BU6">
        <f>(W6*R6*365*[5]Analysis!BK6)/10^4</f>
        <v>950.17165732251726</v>
      </c>
      <c r="BV6">
        <f>(X6*I6*365*[5]Analysis!BL6)/10^4</f>
        <v>106.77811980188896</v>
      </c>
      <c r="BW6">
        <f>(W6*R6*365*[5]Analysis!BL6)/10^4</f>
        <v>435.53447071014381</v>
      </c>
      <c r="BX6">
        <f t="shared" si="25"/>
        <v>989281.02142117068</v>
      </c>
      <c r="BY6">
        <f t="shared" si="26"/>
        <v>4035152.3968362445</v>
      </c>
      <c r="BZ6">
        <f t="shared" si="41"/>
        <v>6691471.3052379526</v>
      </c>
      <c r="CA6">
        <f t="shared" si="27"/>
        <v>29758052.093941338</v>
      </c>
      <c r="CB6">
        <f t="shared" si="28"/>
        <v>-75642.39677040797</v>
      </c>
      <c r="CC6">
        <f t="shared" si="29"/>
        <v>-1495998.0959999999</v>
      </c>
      <c r="CD6">
        <f t="shared" si="30"/>
        <v>0</v>
      </c>
      <c r="CE6">
        <f t="shared" si="31"/>
        <v>0</v>
      </c>
      <c r="CF6">
        <f t="shared" si="32"/>
        <v>2391740.0900597419</v>
      </c>
      <c r="CG6">
        <f t="shared" si="33"/>
        <v>10636453.920000002</v>
      </c>
      <c r="CH6">
        <f t="shared" si="34"/>
        <v>56837.654281645518</v>
      </c>
      <c r="CI6">
        <f t="shared" si="35"/>
        <v>252766.21535934223</v>
      </c>
      <c r="CJ6">
        <f>-0.0006019*H6*I6*10^6</f>
        <v>-1767061.2567145922</v>
      </c>
      <c r="CK6">
        <f t="shared" si="37"/>
        <v>-7858406.4000000004</v>
      </c>
      <c r="CL6">
        <f t="shared" si="38"/>
        <v>544555.09247988591</v>
      </c>
      <c r="CM6">
        <f t="shared" si="39"/>
        <v>2421724.3220265489</v>
      </c>
    </row>
    <row r="7" spans="1:91" x14ac:dyDescent="0.2">
      <c r="A7" s="2" t="s">
        <v>6</v>
      </c>
      <c r="B7" s="2" t="str">
        <f t="shared" si="42"/>
        <v>YERMARUS TPS</v>
      </c>
      <c r="C7" s="2" t="str">
        <f>VLOOKUP($A7,'[1]daily coal, energy reqd'!$C$2:$T$599,17,FALSE)</f>
        <v>Karnataka</v>
      </c>
      <c r="D7" s="2" t="str">
        <f>VLOOKUP(C7,'Target PLF'!$I$2:$J$19,2,FALSE)</f>
        <v>SR</v>
      </c>
      <c r="E7" s="2" t="str">
        <f>VLOOKUP(A7,[2]Ownership!$C$2:$D$666,2,FALSE)</f>
        <v>STATE SECTOR</v>
      </c>
      <c r="F7" s="2" t="s">
        <v>542</v>
      </c>
      <c r="G7" s="12">
        <v>3.0910335386721401</v>
      </c>
      <c r="H7" s="2">
        <v>800</v>
      </c>
      <c r="I7" s="2">
        <f>VLOOKUP(A7,'[3]Calculated coal req (reg.)'!$A$2:$I$599,9,FALSE)</f>
        <v>0.78044121863799198</v>
      </c>
      <c r="J7" s="2"/>
      <c r="K7" s="11">
        <v>4.0647980137395415E-2</v>
      </c>
      <c r="L7" s="3">
        <f>VLOOKUP(F7,'Target PLF'!$A$2:$B$11,2,FALSE)</f>
        <v>0.85</v>
      </c>
      <c r="M7" s="3">
        <f t="shared" si="17"/>
        <v>0.80935201986260452</v>
      </c>
      <c r="N7" s="2" t="str">
        <f t="shared" si="0"/>
        <v>0.15</v>
      </c>
      <c r="O7" s="2">
        <v>0.61694784485311183</v>
      </c>
      <c r="P7" s="2">
        <f t="shared" si="1"/>
        <v>180148.77069710864</v>
      </c>
      <c r="Q7" s="2">
        <f t="shared" si="2"/>
        <v>11.207465937337441</v>
      </c>
      <c r="R7" s="2">
        <f t="shared" si="3"/>
        <v>16.32</v>
      </c>
      <c r="S7" s="2">
        <f t="shared" si="4"/>
        <v>3272580.0537025328</v>
      </c>
      <c r="T7" s="2" t="str">
        <f>VLOOKUP(A7,'[4]CEA vs MERIT comp. &amp; NPA marker'!$C$2:$K$735,9,FALSE)</f>
        <v>Contracted</v>
      </c>
      <c r="U7" s="3">
        <f>VLOOKUP(B7,'[8]Import-Domestic share'!$A$208:$F$406,6,FALSE)</f>
        <v>0</v>
      </c>
      <c r="V7" s="3">
        <f t="shared" si="5"/>
        <v>0</v>
      </c>
      <c r="W7" s="2">
        <f t="shared" si="6"/>
        <v>2419.8497961204657</v>
      </c>
      <c r="X7" s="2">
        <f t="shared" si="7"/>
        <v>2687.3982645488704</v>
      </c>
      <c r="Y7" s="6">
        <f t="shared" si="8"/>
        <v>0.35539395931878209</v>
      </c>
      <c r="Z7" s="2">
        <f t="shared" si="18"/>
        <v>3363173.4170626197</v>
      </c>
      <c r="AA7" s="2">
        <f>(X7*I7*365*10^6)/((IF(AC7,AC7,4286))*1000)</f>
        <v>178612.9438732625</v>
      </c>
      <c r="AB7" s="2" t="s">
        <v>598</v>
      </c>
      <c r="AC7" s="12"/>
      <c r="AD7" s="12">
        <f t="shared" si="9"/>
        <v>0</v>
      </c>
      <c r="AE7" s="2"/>
      <c r="AF7" s="7"/>
      <c r="AG7" s="7"/>
      <c r="AH7" s="7"/>
      <c r="AI7" s="7"/>
      <c r="AJ7" s="7"/>
      <c r="AK7" s="7"/>
      <c r="AL7" s="7"/>
      <c r="AM7" s="7"/>
      <c r="AN7" s="15">
        <f t="shared" si="10"/>
        <v>0</v>
      </c>
      <c r="AO7" s="6">
        <v>0.13221101440955424</v>
      </c>
      <c r="AP7" s="11">
        <f t="shared" si="20"/>
        <v>0.10318292520315762</v>
      </c>
      <c r="AQ7" s="11">
        <f t="shared" si="11"/>
        <v>2.1576837551639252</v>
      </c>
      <c r="AR7" s="3">
        <f>VLOOKUP(A7,[10]Sheet1!$A$2:$L$542,12,FALSE)</f>
        <v>3.75454148471615</v>
      </c>
      <c r="AS7" s="3">
        <f t="shared" si="43"/>
        <v>2.3826677198227593</v>
      </c>
      <c r="AT7" s="3">
        <f t="shared" si="40"/>
        <v>2.3552440018088481</v>
      </c>
      <c r="AU7" s="3">
        <f t="shared" si="12"/>
        <v>2.7423718013911191E-2</v>
      </c>
      <c r="AV7" s="88">
        <f t="shared" si="21"/>
        <v>0.59310934719571384</v>
      </c>
      <c r="AW7" s="32">
        <f t="shared" si="22"/>
        <v>0.23741691905906318</v>
      </c>
      <c r="AX7" s="12">
        <f t="shared" si="44"/>
        <v>67.872921608677615</v>
      </c>
      <c r="AY7" s="12">
        <f t="shared" si="13"/>
        <v>1402.9717469974944</v>
      </c>
      <c r="AZ7" s="3">
        <f>VLOOKUP(A7,[5]Analysis!$A$3:$BJ$543,62,FALSE)</f>
        <v>0.81465210737813054</v>
      </c>
      <c r="BA7" s="2"/>
      <c r="BB7" s="2"/>
      <c r="BC7" s="2" t="str">
        <f>VLOOKUP(A7,'[6]FGD status - Jun 2020'!$I$2:$M$449,5,FALSE)</f>
        <v>Bid opened</v>
      </c>
      <c r="BD7" s="2"/>
      <c r="BE7" s="2"/>
      <c r="BF7" s="2">
        <f t="shared" si="14"/>
        <v>55.280706128774739</v>
      </c>
      <c r="BG7" s="2">
        <f t="shared" si="15"/>
        <v>1040.9021725808807</v>
      </c>
      <c r="BH7" s="2"/>
      <c r="BI7" s="2"/>
      <c r="BK7">
        <f t="shared" si="16"/>
        <v>32.518384109916333</v>
      </c>
      <c r="BP7" s="2" t="str">
        <f>VLOOKUP(A7,'[7]Table 2'!$J$2:$N$449,5,FALSE)</f>
        <v>Bid Awarded</v>
      </c>
      <c r="BR7">
        <f t="shared" si="23"/>
        <v>62.364476410903059</v>
      </c>
      <c r="BS7">
        <f t="shared" si="24"/>
        <v>1174.2852711895503</v>
      </c>
      <c r="BT7">
        <f>(X7*I7*365*[5]Analysis!BK7)/10^4</f>
        <v>28.768790427634922</v>
      </c>
      <c r="BU7">
        <f>(W7*R7*365*[5]Analysis!BK7)/10^4</f>
        <v>541.69887752323757</v>
      </c>
      <c r="BV7">
        <f>(X7*I7*365*[5]Analysis!BL7)/10^4</f>
        <v>33.595685983268126</v>
      </c>
      <c r="BW7">
        <f>(W7*R7*365*[5]Analysis!BL7)/10^4</f>
        <v>632.58639366631257</v>
      </c>
      <c r="BX7">
        <f t="shared" si="25"/>
        <v>214979.02859638989</v>
      </c>
      <c r="BY7">
        <f t="shared" si="26"/>
        <v>4047924.7389503145</v>
      </c>
      <c r="BZ7">
        <f t="shared" si="41"/>
        <v>1202138.5713625983</v>
      </c>
      <c r="CA7">
        <f t="shared" si="27"/>
        <v>25138217.992735006</v>
      </c>
      <c r="CB7">
        <f t="shared" si="28"/>
        <v>-3421.1422212018756</v>
      </c>
      <c r="CC7">
        <f t="shared" si="29"/>
        <v>-1495998.0959999999</v>
      </c>
      <c r="CD7">
        <f t="shared" si="30"/>
        <v>0</v>
      </c>
      <c r="CE7">
        <f t="shared" si="31"/>
        <v>0</v>
      </c>
      <c r="CF7">
        <f t="shared" si="32"/>
        <v>508647.49137939012</v>
      </c>
      <c r="CG7">
        <f t="shared" si="33"/>
        <v>10636453.920000002</v>
      </c>
      <c r="CH7">
        <f t="shared" si="34"/>
        <v>17862.393530032179</v>
      </c>
      <c r="CI7">
        <f t="shared" si="35"/>
        <v>373524.9439014371</v>
      </c>
      <c r="CJ7">
        <f t="shared" si="36"/>
        <v>-375798.05559856596</v>
      </c>
      <c r="CK7">
        <f t="shared" si="37"/>
        <v>-7858406.4000000004</v>
      </c>
      <c r="CL7">
        <f t="shared" si="38"/>
        <v>291702.66959803551</v>
      </c>
      <c r="CM7">
        <f t="shared" si="39"/>
        <v>6099866.9139336441</v>
      </c>
    </row>
    <row r="8" spans="1:91" x14ac:dyDescent="0.2">
      <c r="A8" s="2" t="s">
        <v>5</v>
      </c>
      <c r="B8" s="2" t="str">
        <f t="shared" si="42"/>
        <v>KUDGI STPP</v>
      </c>
      <c r="C8" s="2" t="str">
        <f>VLOOKUP($A8,'[1]daily coal, energy reqd'!$C$2:$T$599,17,FALSE)</f>
        <v>Karnataka</v>
      </c>
      <c r="D8" s="2" t="str">
        <f>VLOOKUP(C8,'Target PLF'!$I$2:$J$19,2,FALSE)</f>
        <v>SR</v>
      </c>
      <c r="E8" s="2" t="str">
        <f>VLOOKUP(A8,[2]Ownership!$C$2:$D$666,2,FALSE)</f>
        <v>CENTRAL SECTOR</v>
      </c>
      <c r="F8" s="2" t="s">
        <v>542</v>
      </c>
      <c r="G8" s="13">
        <v>2.1163586584531102</v>
      </c>
      <c r="H8" s="2">
        <v>800</v>
      </c>
      <c r="I8" s="2">
        <f>VLOOKUP(A8,'[3]Calculated coal req (reg.)'!$A$2:$I$599,9,FALSE)</f>
        <v>4.5897522158659498</v>
      </c>
      <c r="J8" s="2"/>
      <c r="K8" s="11">
        <v>0.23904959457635153</v>
      </c>
      <c r="L8" s="3">
        <f>VLOOKUP(F8,'Target PLF'!$A$2:$B$11,2,FALSE)</f>
        <v>0.85</v>
      </c>
      <c r="M8" s="3">
        <f t="shared" si="17"/>
        <v>0.61095040542364842</v>
      </c>
      <c r="N8" s="2" t="str">
        <f t="shared" si="0"/>
        <v>0.15</v>
      </c>
      <c r="O8" s="2">
        <f>(13.9133*K8)+(-0.289097*N8)+(-0.0052079*H8)+(0.031675*G8)+3.492937+IF(E8="Pvt Sector",-0.8897511,0)</f>
        <v>2.6762568347256539</v>
      </c>
      <c r="P8" s="2">
        <f t="shared" si="1"/>
        <v>781466.99573989096</v>
      </c>
      <c r="Q8" s="2">
        <f t="shared" si="2"/>
        <v>11.176593110506502</v>
      </c>
      <c r="R8" s="2">
        <f t="shared" si="3"/>
        <v>16.32</v>
      </c>
      <c r="S8" s="2">
        <f t="shared" si="4"/>
        <v>3263565.1882678987</v>
      </c>
      <c r="T8" s="2" t="str">
        <f>VLOOKUP(A8,'[4]CEA vs MERIT comp. &amp; NPA marker'!$C$2:$K$735,9,FALSE)</f>
        <v>Contracted</v>
      </c>
      <c r="U8" s="3">
        <f>VLOOKUP(B8,'[8]Import-Domestic share'!$A$208:$F$406,6,FALSE)</f>
        <v>4.8908057223748518E-2</v>
      </c>
      <c r="V8" s="3">
        <f t="shared" si="5"/>
        <v>38220.032546117429</v>
      </c>
      <c r="W8" s="2">
        <f t="shared" si="6"/>
        <v>2423.429352021396</v>
      </c>
      <c r="X8" s="2">
        <f t="shared" si="7"/>
        <v>2625.3919606827776</v>
      </c>
      <c r="Y8" s="6">
        <f t="shared" si="8"/>
        <v>0.35486902033379647</v>
      </c>
      <c r="Z8" s="2">
        <f t="shared" si="18"/>
        <v>2417611.864105802</v>
      </c>
      <c r="AA8" s="2">
        <f t="shared" si="19"/>
        <v>736579.20098252222</v>
      </c>
      <c r="AB8" s="2" t="s">
        <v>598</v>
      </c>
      <c r="AC8" s="12">
        <f>VLOOKUP(B8,[9]Sheet1!$A$2:$B$137,2,FALSE)</f>
        <v>5971.1338194728896</v>
      </c>
      <c r="AD8" s="12">
        <f t="shared" si="9"/>
        <v>4776907.0555783119</v>
      </c>
      <c r="AE8" s="2"/>
      <c r="AF8" s="7">
        <f>VLOOKUP($B8,'[9]Subsidiary wise dispatch'!$A$3:$R$138,11,FALSE)*$H8*$O8*365</f>
        <v>0</v>
      </c>
      <c r="AG8" s="7">
        <f>VLOOKUP($B8,'[9]Subsidiary wise dispatch'!$A$3:$R$138,12,FALSE)*$H8*$O8*365</f>
        <v>0</v>
      </c>
      <c r="AH8" s="7">
        <f>VLOOKUP($B8,'[9]Subsidiary wise dispatch'!$A$3:$R$138,13,FALSE)*$H8*$O8*365</f>
        <v>781466.99573989096</v>
      </c>
      <c r="AI8" s="7">
        <f>VLOOKUP($B8,'[9]Subsidiary wise dispatch'!$A$3:$R$138,14,FALSE)*$H8*$O8*365</f>
        <v>0</v>
      </c>
      <c r="AJ8" s="7">
        <f>VLOOKUP($B8,'[9]Subsidiary wise dispatch'!$A$3:$R$138,15,FALSE)*$H8*$O8*365</f>
        <v>0</v>
      </c>
      <c r="AK8" s="7">
        <f>VLOOKUP($B8,'[9]Subsidiary wise dispatch'!$A$3:$R$138,16,FALSE)*$H8*$O8*365</f>
        <v>0</v>
      </c>
      <c r="AL8" s="7">
        <f>VLOOKUP($B8,'[9]Subsidiary wise dispatch'!$A$3:$R$138,17,FALSE)*$H8*$O8*365</f>
        <v>0</v>
      </c>
      <c r="AM8" s="7">
        <f>VLOOKUP($B8,'[9]Subsidiary wise dispatch'!$A$3:$R$138,18,FALSE)*$H8*$O8*365</f>
        <v>0</v>
      </c>
      <c r="AN8" s="15">
        <f t="shared" si="10"/>
        <v>781466.99573989096</v>
      </c>
      <c r="AO8" s="6">
        <v>7.8813638844723796E-2</v>
      </c>
      <c r="AP8" s="11">
        <f t="shared" si="20"/>
        <v>0.36173507352802975</v>
      </c>
      <c r="AQ8" s="11">
        <f t="shared" si="11"/>
        <v>1.2862385859458925</v>
      </c>
      <c r="AR8" s="3">
        <f>VLOOKUP(A8,[10]Sheet1!$A$2:$L$542,12,FALSE)</f>
        <v>3.77865221712625</v>
      </c>
      <c r="AS8" s="3">
        <f t="shared" si="43"/>
        <v>3.0458252468140583</v>
      </c>
      <c r="AT8" s="3">
        <f t="shared" si="40"/>
        <v>3.0251240794262664</v>
      </c>
      <c r="AU8" s="3">
        <f t="shared" si="12"/>
        <v>2.070116738779193E-2</v>
      </c>
      <c r="AV8" s="88">
        <f t="shared" si="21"/>
        <v>0.44771667610255805</v>
      </c>
      <c r="AW8" s="32">
        <f t="shared" si="22"/>
        <v>0.14019698246359522</v>
      </c>
      <c r="AX8" s="12">
        <f t="shared" si="44"/>
        <v>510.25478591324264</v>
      </c>
      <c r="AY8" s="12">
        <f t="shared" si="13"/>
        <v>1802.0059116326386</v>
      </c>
      <c r="AZ8" s="3">
        <f>VLOOKUP(A8,[5]Analysis!$A$3:$BJ$543,62,FALSE)</f>
        <v>1.252399859499316</v>
      </c>
      <c r="BA8" s="2"/>
      <c r="BB8" s="2"/>
      <c r="BC8" s="2" t="str">
        <f>VLOOKUP(A8,'[6]FGD status - Jun 2020'!$I$2:$M$449,5,FALSE)</f>
        <v>Bid Awarded</v>
      </c>
      <c r="BD8" s="2"/>
      <c r="BE8" s="2"/>
      <c r="BF8" s="2">
        <f t="shared" si="14"/>
        <v>235.66612959126195</v>
      </c>
      <c r="BG8" s="2">
        <f t="shared" si="15"/>
        <v>773.50708533141085</v>
      </c>
      <c r="BH8" s="2"/>
      <c r="BI8" s="2"/>
      <c r="BK8">
        <f t="shared" si="16"/>
        <v>191.23967566108121</v>
      </c>
      <c r="BP8" s="2" t="str">
        <f>VLOOKUP(A8,'[7]Table 2'!$J$2:$N$449,5,FALSE)</f>
        <v>Bid Awarded</v>
      </c>
      <c r="BR8">
        <f t="shared" si="23"/>
        <v>550.83213153283862</v>
      </c>
      <c r="BS8">
        <f t="shared" si="24"/>
        <v>1807.9499048413634</v>
      </c>
      <c r="BT8">
        <f>(X8*I8*365*[5]Analysis!BK8)/10^4</f>
        <v>286.80223138304376</v>
      </c>
      <c r="BU8">
        <f>(W8*R8*365*[5]Analysis!BK8)/10^4</f>
        <v>941.34680468681438</v>
      </c>
      <c r="BV8">
        <f>(X8*I8*365*[5]Analysis!BL8)/10^4</f>
        <v>264.02990014979474</v>
      </c>
      <c r="BW8">
        <f>(W8*R8*365*[5]Analysis!BL8)/10^4</f>
        <v>866.60310015454866</v>
      </c>
      <c r="BX8">
        <f t="shared" si="25"/>
        <v>1235114.6033286939</v>
      </c>
      <c r="BY8">
        <f t="shared" si="26"/>
        <v>4053912.620061391</v>
      </c>
      <c r="BZ8">
        <f t="shared" si="41"/>
        <v>10868619.848191563</v>
      </c>
      <c r="CA8">
        <f t="shared" si="27"/>
        <v>38646067.931364521</v>
      </c>
      <c r="CB8">
        <f t="shared" si="28"/>
        <v>-118323.01088232979</v>
      </c>
      <c r="CC8">
        <f t="shared" si="29"/>
        <v>-1495998.0959999999</v>
      </c>
      <c r="CD8">
        <f t="shared" si="30"/>
        <v>0</v>
      </c>
      <c r="CE8">
        <f t="shared" si="31"/>
        <v>0</v>
      </c>
      <c r="CF8">
        <f t="shared" si="32"/>
        <v>2991341.1733012297</v>
      </c>
      <c r="CG8">
        <f t="shared" si="33"/>
        <v>10636453.920000002</v>
      </c>
      <c r="CH8">
        <f t="shared" si="34"/>
        <v>71924.068660586563</v>
      </c>
      <c r="CI8">
        <f t="shared" si="35"/>
        <v>255743.82784394201</v>
      </c>
      <c r="CJ8">
        <f t="shared" si="36"/>
        <v>-2210057.4869837724</v>
      </c>
      <c r="CK8">
        <f t="shared" si="37"/>
        <v>-7858406.4000000004</v>
      </c>
      <c r="CL8">
        <f t="shared" si="38"/>
        <v>1022640.9692069751</v>
      </c>
      <c r="CM8">
        <f t="shared" si="39"/>
        <v>3636253.0769668189</v>
      </c>
    </row>
    <row r="9" spans="1:91" x14ac:dyDescent="0.2">
      <c r="A9" s="2" t="s">
        <v>1</v>
      </c>
      <c r="B9" s="2" t="str">
        <f t="shared" si="42"/>
        <v>WANAKBORI TPS</v>
      </c>
      <c r="C9" s="2" t="str">
        <f>VLOOKUP($A9,'[1]daily coal, energy reqd'!$C$2:$T$599,17,FALSE)</f>
        <v>Gujarat</v>
      </c>
      <c r="D9" s="2" t="str">
        <f>VLOOKUP(C9,'Target PLF'!$I$2:$J$19,2,FALSE)</f>
        <v>WR</v>
      </c>
      <c r="E9" s="2" t="str">
        <f>VLOOKUP(A9,[2]Ownership!$C$2:$D$666,2,FALSE)</f>
        <v>STATE SECTOR</v>
      </c>
      <c r="F9" s="2" t="s">
        <v>542</v>
      </c>
      <c r="G9" s="10">
        <v>0.53661875427789096</v>
      </c>
      <c r="H9" s="2">
        <v>800</v>
      </c>
      <c r="I9" s="2">
        <f>VLOOKUP(A9,'[3]Calculated coal req (reg.)'!$A$2:$I$599,9,FALSE)</f>
        <v>1.7629333333333299</v>
      </c>
      <c r="J9" s="2"/>
      <c r="K9" s="11">
        <v>9.1819444444444273E-2</v>
      </c>
      <c r="L9" s="3">
        <f>VLOOKUP(F9,'Target PLF'!$A$2:$B$11,2,FALSE)</f>
        <v>0.85</v>
      </c>
      <c r="M9" s="3">
        <f t="shared" si="17"/>
        <v>0.75818055555555575</v>
      </c>
      <c r="N9" s="2" t="str">
        <f t="shared" si="0"/>
        <v>0.15</v>
      </c>
      <c r="O9" s="2">
        <v>1.4185237744505705</v>
      </c>
      <c r="P9" s="2">
        <f t="shared" si="1"/>
        <v>414208.94213956658</v>
      </c>
      <c r="Q9" s="2">
        <f t="shared" si="2"/>
        <v>11.126554849041753</v>
      </c>
      <c r="R9" s="2">
        <f t="shared" si="3"/>
        <v>16.32</v>
      </c>
      <c r="S9" s="2">
        <f t="shared" si="4"/>
        <v>3248954.015920192</v>
      </c>
      <c r="T9" s="2" t="str">
        <f>VLOOKUP(A9,'[4]CEA vs MERIT comp. &amp; NPA marker'!$C$2:$K$735,9,FALSE)</f>
        <v>Contracted</v>
      </c>
      <c r="U9" s="3">
        <f>VLOOKUP(B9,'[8]Import-Domestic share'!$A$208:$F$406,6,FALSE)</f>
        <v>0.10571332468406133</v>
      </c>
      <c r="V9" s="3">
        <f>(U9*O9*H9*365)</f>
        <v>43787.40438744158</v>
      </c>
      <c r="W9" s="2">
        <f t="shared" si="6"/>
        <v>2424.1663564915939</v>
      </c>
      <c r="X9" s="2">
        <f t="shared" si="7"/>
        <v>2674.799012558261</v>
      </c>
      <c r="Y9" s="6">
        <f t="shared" si="8"/>
        <v>0.35476113167606455</v>
      </c>
      <c r="Z9" s="2">
        <f t="shared" si="18"/>
        <v>3311967.2693642345</v>
      </c>
      <c r="AA9" s="2">
        <f t="shared" si="19"/>
        <v>394757.60531903402</v>
      </c>
      <c r="AB9" s="2" t="s">
        <v>598</v>
      </c>
      <c r="AC9" s="12">
        <f>VLOOKUP(B9,[9]Sheet1!$A$2:$B$137,2,FALSE)</f>
        <v>4360.0292448303944</v>
      </c>
      <c r="AD9" s="12">
        <f t="shared" si="9"/>
        <v>3488023.3958643153</v>
      </c>
      <c r="AE9" s="2"/>
      <c r="AF9" s="7">
        <f>VLOOKUP($B9,'[9]Subsidiary wise dispatch'!$A$3:$R$138,11,FALSE)*$H9*$O9*365</f>
        <v>0</v>
      </c>
      <c r="AG9" s="7">
        <f>VLOOKUP($B9,'[9]Subsidiary wise dispatch'!$A$3:$R$138,12,FALSE)*$H9*$O9*365</f>
        <v>0</v>
      </c>
      <c r="AH9" s="7">
        <f>VLOOKUP($B9,'[9]Subsidiary wise dispatch'!$A$3:$R$138,13,FALSE)*$H9*$O9*365</f>
        <v>0</v>
      </c>
      <c r="AI9" s="7">
        <f>VLOOKUP($B9,'[9]Subsidiary wise dispatch'!$A$3:$R$138,14,FALSE)*$H9*$O9*365</f>
        <v>0</v>
      </c>
      <c r="AJ9" s="7">
        <f>VLOOKUP($B9,'[9]Subsidiary wise dispatch'!$A$3:$R$138,15,FALSE)*$H9*$O9*365</f>
        <v>0</v>
      </c>
      <c r="AK9" s="7">
        <f>VLOOKUP($B9,'[9]Subsidiary wise dispatch'!$A$3:$R$138,16,FALSE)*$H9*$O9*365</f>
        <v>0</v>
      </c>
      <c r="AL9" s="7">
        <f>VLOOKUP($B9,'[9]Subsidiary wise dispatch'!$A$3:$R$138,17,FALSE)*$H9*$O9*365</f>
        <v>382108.08448455721</v>
      </c>
      <c r="AM9" s="7">
        <f>VLOOKUP($B9,'[9]Subsidiary wise dispatch'!$A$3:$R$138,18,FALSE)*$H9*$O9*365</f>
        <v>32100.857655009368</v>
      </c>
      <c r="AN9" s="15">
        <f t="shared" si="10"/>
        <v>414208.94213956658</v>
      </c>
      <c r="AO9" s="6">
        <v>9.2496856160444826E-2</v>
      </c>
      <c r="AP9" s="11">
        <f t="shared" si="20"/>
        <v>0.16306579095378654</v>
      </c>
      <c r="AQ9" s="11">
        <f t="shared" si="11"/>
        <v>1.5095486925384596</v>
      </c>
      <c r="AR9" s="3">
        <f>VLOOKUP(A9,[10]Sheet1!$A$2:$L$542,12,FALSE)</f>
        <v>3.2968224299065398</v>
      </c>
      <c r="AS9" s="3">
        <f t="shared" si="43"/>
        <v>2.6655423152910416</v>
      </c>
      <c r="AT9" s="3">
        <f t="shared" si="40"/>
        <v>2.6398524680442086</v>
      </c>
      <c r="AU9" s="3">
        <f t="shared" si="12"/>
        <v>2.5689847246832986E-2</v>
      </c>
      <c r="AV9" s="88">
        <f t="shared" si="21"/>
        <v>0.55560987472222234</v>
      </c>
      <c r="AW9" s="32">
        <f t="shared" si="22"/>
        <v>0.19880383231414925</v>
      </c>
      <c r="AX9" s="12">
        <f t="shared" si="44"/>
        <v>171.51982906485335</v>
      </c>
      <c r="AY9" s="12">
        <f t="shared" si="13"/>
        <v>1572.5073181645744</v>
      </c>
      <c r="AZ9" s="3">
        <f>VLOOKUP(A9,[5]Analysis!$A$3:$BJ$543,62,FALSE)</f>
        <v>1.0343248125569651</v>
      </c>
      <c r="BA9" s="2"/>
      <c r="BB9" s="2"/>
      <c r="BC9" s="2" t="e">
        <f>VLOOKUP(A9,'[6]FGD status - Jun 2020'!$I$2:$M$449,5,FALSE)</f>
        <v>#N/A</v>
      </c>
      <c r="BD9" s="2"/>
      <c r="BE9" s="2"/>
      <c r="BF9" s="2">
        <f>((AA9*(1-U9)*3095)+(AA9*U9*5231))/10^7</f>
        <v>131.09125011583501</v>
      </c>
      <c r="BG9" s="2">
        <f t="shared" si="15"/>
        <v>1099.8393034956218</v>
      </c>
      <c r="BH9" s="2"/>
      <c r="BI9" s="2"/>
      <c r="BK9">
        <f t="shared" si="16"/>
        <v>73.455555555555421</v>
      </c>
      <c r="BP9" s="2" t="e">
        <f>VLOOKUP(A9,'[7]Table 2'!$J$2:$N$449,5,FALSE)</f>
        <v>#N/A</v>
      </c>
      <c r="BR9">
        <f t="shared" si="23"/>
        <v>178.02330164000267</v>
      </c>
      <c r="BS9">
        <f t="shared" si="24"/>
        <v>1493.59338558997</v>
      </c>
      <c r="BT9">
        <f>(X9*I9*365*[5]Analysis!BK9)/10^4</f>
        <v>81.628604586181751</v>
      </c>
      <c r="BU9">
        <f>(W9*R9*365*[5]Analysis!BK9)/10^4</f>
        <v>684.85385206148862</v>
      </c>
      <c r="BV9">
        <f>(X9*I9*365*[5]Analysis!BL9)/10^4</f>
        <v>96.394697053820934</v>
      </c>
      <c r="BW9">
        <f>(W9*R9*365*[5]Analysis!BL9)/10^4</f>
        <v>808.73953352848139</v>
      </c>
      <c r="BX9">
        <f t="shared" si="25"/>
        <v>483337.96476861852</v>
      </c>
      <c r="BY9">
        <f t="shared" si="26"/>
        <v>4055145.4811391388</v>
      </c>
      <c r="BZ9">
        <f t="shared" si="41"/>
        <v>3447743.758116595</v>
      </c>
      <c r="CA9">
        <f t="shared" si="27"/>
        <v>31916792.920395702</v>
      </c>
      <c r="CB9">
        <f t="shared" si="28"/>
        <v>-17456.714565196227</v>
      </c>
      <c r="CC9">
        <f t="shared" si="29"/>
        <v>-1495998.0959999999</v>
      </c>
      <c r="CD9">
        <f t="shared" si="30"/>
        <v>0</v>
      </c>
      <c r="CE9">
        <f t="shared" si="31"/>
        <v>0</v>
      </c>
      <c r="CF9">
        <f t="shared" si="32"/>
        <v>1148980.3409333313</v>
      </c>
      <c r="CG9">
        <f t="shared" si="33"/>
        <v>10636453.920000002</v>
      </c>
      <c r="CH9">
        <f t="shared" si="34"/>
        <v>7004.8279640428673</v>
      </c>
      <c r="CI9">
        <f t="shared" si="35"/>
        <v>64845.782997946495</v>
      </c>
      <c r="CJ9">
        <f t="shared" si="36"/>
        <v>-848887.6586666652</v>
      </c>
      <c r="CK9">
        <f t="shared" si="37"/>
        <v>-7858406.4000000004</v>
      </c>
      <c r="CL9">
        <f t="shared" si="38"/>
        <v>460994.16592115653</v>
      </c>
      <c r="CM9">
        <f t="shared" si="39"/>
        <v>4267560.5739486972</v>
      </c>
    </row>
    <row r="10" spans="1:91" x14ac:dyDescent="0.2">
      <c r="A10" s="2" t="s">
        <v>9</v>
      </c>
      <c r="B10" s="2" t="str">
        <f t="shared" si="42"/>
        <v>YERMARUS TPS</v>
      </c>
      <c r="C10" s="2" t="str">
        <f>VLOOKUP($A10,'[1]daily coal, energy reqd'!$C$2:$T$599,17,FALSE)</f>
        <v>Karnataka</v>
      </c>
      <c r="D10" s="2" t="str">
        <f>VLOOKUP(C10,'Target PLF'!$I$2:$J$19,2,FALSE)</f>
        <v>SR</v>
      </c>
      <c r="E10" s="2" t="str">
        <f>VLOOKUP(A10,[2]Ownership!$C$2:$D$666,2,FALSE)</f>
        <v>STATE SECTOR</v>
      </c>
      <c r="F10" s="2" t="s">
        <v>542</v>
      </c>
      <c r="G10" s="12">
        <v>4.1752224503764497</v>
      </c>
      <c r="H10" s="2">
        <v>800</v>
      </c>
      <c r="I10" s="2">
        <f>VLOOKUP(A10,'[3]Calculated coal req (reg.)'!$A$2:$I$599,9,FALSE)</f>
        <v>1.02148735543902</v>
      </c>
      <c r="J10" s="2"/>
      <c r="K10" s="11">
        <v>5.3202466429115629E-2</v>
      </c>
      <c r="L10" s="3">
        <f>VLOOKUP(F10,'Target PLF'!$A$2:$B$11,2,FALSE)</f>
        <v>0.85</v>
      </c>
      <c r="M10" s="3">
        <f t="shared" si="17"/>
        <v>0.79679753357088434</v>
      </c>
      <c r="N10" s="2" t="str">
        <f t="shared" si="0"/>
        <v>0.15</v>
      </c>
      <c r="O10" s="2">
        <v>0.80749761472443271</v>
      </c>
      <c r="P10" s="2">
        <f>(O10*H10*365)</f>
        <v>235789.30349953435</v>
      </c>
      <c r="Q10" s="2">
        <f t="shared" si="2"/>
        <v>11.241807621115674</v>
      </c>
      <c r="R10" s="2">
        <f t="shared" si="3"/>
        <v>16.32</v>
      </c>
      <c r="S10" s="2">
        <f t="shared" si="4"/>
        <v>3282607.8253657767</v>
      </c>
      <c r="T10" s="2" t="str">
        <f>VLOOKUP(A10,'[4]CEA vs MERIT comp. &amp; NPA marker'!$C$2:$K$735,9,FALSE)</f>
        <v>Contracted</v>
      </c>
      <c r="U10" s="3">
        <f>VLOOKUP(B10,'[8]Import-Domestic share'!$A$208:$F$406,6,FALSE)</f>
        <v>0</v>
      </c>
      <c r="V10" s="3">
        <f t="shared" si="5"/>
        <v>0</v>
      </c>
      <c r="W10" s="2">
        <f t="shared" si="6"/>
        <v>2428.1335816153314</v>
      </c>
      <c r="X10" s="2">
        <f t="shared" si="7"/>
        <v>2691.5318984448991</v>
      </c>
      <c r="Y10" s="6">
        <f t="shared" si="8"/>
        <v>0.3541815024146569</v>
      </c>
      <c r="Z10" s="2">
        <f t="shared" si="18"/>
        <v>3374686.4486622042</v>
      </c>
      <c r="AA10" s="2">
        <f t="shared" si="19"/>
        <v>234138.71147296298</v>
      </c>
      <c r="AB10" s="2" t="s">
        <v>598</v>
      </c>
      <c r="AC10" s="12"/>
      <c r="AD10" s="12">
        <f t="shared" si="9"/>
        <v>0</v>
      </c>
      <c r="AE10" s="2"/>
      <c r="AF10" s="7"/>
      <c r="AG10" s="7"/>
      <c r="AH10" s="7"/>
      <c r="AI10" s="7"/>
      <c r="AJ10" s="7"/>
      <c r="AK10" s="7"/>
      <c r="AL10" s="7"/>
      <c r="AM10" s="7"/>
      <c r="AN10" s="15">
        <f t="shared" si="10"/>
        <v>0</v>
      </c>
      <c r="AO10" s="6">
        <v>0.13221101440955424</v>
      </c>
      <c r="AP10" s="11">
        <f t="shared" si="20"/>
        <v>0.13505187946912572</v>
      </c>
      <c r="AQ10" s="11">
        <f t="shared" si="11"/>
        <v>2.1576837551639252</v>
      </c>
      <c r="AR10" s="3">
        <f>VLOOKUP(A10,[10]Sheet1!$A$2:$L$542,12,FALSE)</f>
        <v>3.75454148471615</v>
      </c>
      <c r="AS10" s="3">
        <f t="shared" si="43"/>
        <v>2.3911192940938166</v>
      </c>
      <c r="AT10" s="3">
        <f t="shared" si="40"/>
        <v>2.3641209666187861</v>
      </c>
      <c r="AU10" s="3">
        <f t="shared" si="12"/>
        <v>2.6998327475030504E-2</v>
      </c>
      <c r="AV10" s="88">
        <f t="shared" si="21"/>
        <v>0.5839091685514155</v>
      </c>
      <c r="AW10" s="32">
        <f t="shared" si="22"/>
        <v>0.23290801193063954</v>
      </c>
      <c r="AX10" s="12">
        <f t="shared" si="44"/>
        <v>89.151181535603484</v>
      </c>
      <c r="AY10" s="12">
        <f t="shared" si="13"/>
        <v>1408.2595773954786</v>
      </c>
      <c r="AZ10" s="3">
        <f>VLOOKUP(A10,[5]Analysis!$A$3:$BJ$543,62,FALSE)</f>
        <v>0.81465210737813054</v>
      </c>
      <c r="BA10" s="2"/>
      <c r="BB10" s="2"/>
      <c r="BC10" s="2" t="str">
        <f>VLOOKUP(A10,'[6]FGD status - Jun 2020'!$I$2:$M$449,5,FALSE)</f>
        <v>Bid opened</v>
      </c>
      <c r="BD10" s="2"/>
      <c r="BE10" s="2"/>
      <c r="BF10" s="2">
        <f t="shared" si="14"/>
        <v>72.465931200882039</v>
      </c>
      <c r="BG10" s="2">
        <f t="shared" si="15"/>
        <v>1044.4654558609523</v>
      </c>
      <c r="BH10" s="2"/>
      <c r="BI10" s="2"/>
      <c r="BK10">
        <f t="shared" si="16"/>
        <v>42.561973143292505</v>
      </c>
      <c r="BL10" t="str">
        <f>VLOOKUP(A10,'[11]Daily coal vs energy req.2'!$C$2:$P$599,14,FALSE)</f>
        <v/>
      </c>
      <c r="BM10" t="str">
        <f>VLOOKUP(A10,'[11]Daily coal vs energy req.2'!$C$2:$R$599,16,FALSE)</f>
        <v/>
      </c>
      <c r="BP10" s="2" t="str">
        <f>VLOOKUP(A10,'[7]Table 2'!$J$2:$N$449,5,FALSE)</f>
        <v>Bid Awarded</v>
      </c>
      <c r="BR10">
        <f t="shared" si="23"/>
        <v>81.751847497098879</v>
      </c>
      <c r="BS10">
        <f t="shared" si="24"/>
        <v>1178.3051600735259</v>
      </c>
      <c r="BT10">
        <f>(X10*I10*365*[5]Analysis!BK10)/10^4</f>
        <v>37.712202572181461</v>
      </c>
      <c r="BU10">
        <f>(W10*R10*365*[5]Analysis!BK10)/10^4</f>
        <v>543.55325596912564</v>
      </c>
      <c r="BV10">
        <f>(X10*I10*365*[5]Analysis!BL10)/10^4</f>
        <v>44.039644924917411</v>
      </c>
      <c r="BW10">
        <f>(W10*R10*365*[5]Analysis!BL10)/10^4</f>
        <v>634.75190410440007</v>
      </c>
      <c r="BX10">
        <f t="shared" si="25"/>
        <v>281809.99460478011</v>
      </c>
      <c r="BY10">
        <f t="shared" si="26"/>
        <v>4061781.8553261268</v>
      </c>
      <c r="BZ10">
        <f t="shared" si="41"/>
        <v>1573429.6457014994</v>
      </c>
      <c r="CA10">
        <f t="shared" si="27"/>
        <v>25138217.992735006</v>
      </c>
      <c r="CB10">
        <f t="shared" si="28"/>
        <v>-5860.7975808976662</v>
      </c>
      <c r="CC10">
        <f t="shared" si="29"/>
        <v>-1495998.0959999999</v>
      </c>
      <c r="CD10">
        <f t="shared" si="30"/>
        <v>0</v>
      </c>
      <c r="CE10">
        <f t="shared" si="31"/>
        <v>0</v>
      </c>
      <c r="CF10">
        <f t="shared" si="32"/>
        <v>665747.74423957092</v>
      </c>
      <c r="CG10">
        <f t="shared" si="33"/>
        <v>10636453.920000002</v>
      </c>
      <c r="CH10">
        <f t="shared" si="34"/>
        <v>31579.725566340941</v>
      </c>
      <c r="CI10">
        <f t="shared" si="35"/>
        <v>504539.89322381874</v>
      </c>
      <c r="CJ10">
        <f t="shared" si="36"/>
        <v>-491866.591390997</v>
      </c>
      <c r="CK10">
        <f t="shared" si="37"/>
        <v>-7858406.4000000004</v>
      </c>
      <c r="CL10">
        <f t="shared" si="38"/>
        <v>381797.60554191511</v>
      </c>
      <c r="CM10">
        <f t="shared" si="39"/>
        <v>6099866.9139336441</v>
      </c>
    </row>
    <row r="11" spans="1:91" x14ac:dyDescent="0.2">
      <c r="A11" s="2" t="s">
        <v>7</v>
      </c>
      <c r="B11" s="2" t="str">
        <f t="shared" si="42"/>
        <v>KUDGI STPP</v>
      </c>
      <c r="C11" s="2" t="str">
        <f>VLOOKUP($A11,'[1]daily coal, energy reqd'!$C$2:$T$599,17,FALSE)</f>
        <v>Karnataka</v>
      </c>
      <c r="D11" s="2" t="str">
        <f>VLOOKUP(C11,'Target PLF'!$I$2:$J$19,2,FALSE)</f>
        <v>SR</v>
      </c>
      <c r="E11" s="2" t="str">
        <f>VLOOKUP(A11,[2]Ownership!$C$2:$D$666,2,FALSE)</f>
        <v>CENTRAL SECTOR</v>
      </c>
      <c r="F11" s="2" t="s">
        <v>542</v>
      </c>
      <c r="G11" s="12">
        <v>3.1074606433949299</v>
      </c>
      <c r="H11" s="2">
        <v>800</v>
      </c>
      <c r="I11" s="2">
        <f>VLOOKUP(A11,'[3]Calculated coal req (reg.)'!$A$2:$I$599,9,FALSE)</f>
        <v>5.5814643404488198</v>
      </c>
      <c r="J11" s="2"/>
      <c r="K11" s="11">
        <v>0.29070126773170935</v>
      </c>
      <c r="L11" s="3">
        <f>VLOOKUP(F11,'Target PLF'!$A$2:$B$11,2,FALSE)</f>
        <v>0.85</v>
      </c>
      <c r="M11" s="3">
        <f t="shared" si="17"/>
        <v>0.55929873226829063</v>
      </c>
      <c r="N11" s="2" t="str">
        <f t="shared" si="0"/>
        <v>0.15</v>
      </c>
      <c r="O11" s="2">
        <f t="shared" ref="O11:O42" si="45">(13.9133*K11)+(-0.289097*N11)+(-0.0052079*H11)+(0.031675*G11)+3.492937+IF(E11="Pvt Sector",-0.8897511,0)</f>
        <v>3.4262952142111267</v>
      </c>
      <c r="P11" s="2">
        <f t="shared" si="1"/>
        <v>1000478.2025496489</v>
      </c>
      <c r="Q11" s="2">
        <f t="shared" si="2"/>
        <v>11.207986265879535</v>
      </c>
      <c r="R11" s="2">
        <f t="shared" si="3"/>
        <v>16.32</v>
      </c>
      <c r="S11" s="2">
        <f t="shared" si="4"/>
        <v>3272731.9896368245</v>
      </c>
      <c r="T11" s="2" t="str">
        <f>VLOOKUP(A11,'[4]CEA vs MERIT comp. &amp; NPA marker'!$C$2:$K$735,9,FALSE)</f>
        <v>Contracted</v>
      </c>
      <c r="U11" s="3">
        <f>VLOOKUP(B11,'[8]Import-Domestic share'!$A$208:$F$406,6,FALSE)</f>
        <v>4.8908057223748518E-2</v>
      </c>
      <c r="V11" s="3">
        <f t="shared" si="5"/>
        <v>48931.445181411291</v>
      </c>
      <c r="W11" s="2">
        <f t="shared" si="6"/>
        <v>2431.001903408117</v>
      </c>
      <c r="X11" s="2">
        <f t="shared" si="7"/>
        <v>2615.8899564925246</v>
      </c>
      <c r="Y11" s="6">
        <f t="shared" si="8"/>
        <v>0.35376360618818614</v>
      </c>
      <c r="Z11" s="2">
        <f t="shared" si="18"/>
        <v>2425166.2374399444</v>
      </c>
      <c r="AA11" s="2">
        <f t="shared" si="19"/>
        <v>892490.67053673812</v>
      </c>
      <c r="AB11" s="2" t="s">
        <v>598</v>
      </c>
      <c r="AC11" s="12">
        <f>VLOOKUP(B11,[9]Sheet1!$A$2:$B$137,2,FALSE)</f>
        <v>5971.1338194728896</v>
      </c>
      <c r="AD11" s="12">
        <f t="shared" si="9"/>
        <v>4776907.0555783119</v>
      </c>
      <c r="AE11" s="2"/>
      <c r="AF11" s="7">
        <f>VLOOKUP($B11,'[9]Subsidiary wise dispatch'!$A$3:$R$138,11,FALSE)*$H11*$O11*365</f>
        <v>0</v>
      </c>
      <c r="AG11" s="7">
        <f>VLOOKUP($B11,'[9]Subsidiary wise dispatch'!$A$3:$R$138,12,FALSE)*$H11*$O11*365</f>
        <v>0</v>
      </c>
      <c r="AH11" s="7">
        <f>VLOOKUP($B11,'[9]Subsidiary wise dispatch'!$A$3:$R$138,13,FALSE)*$H11*$O11*365</f>
        <v>1000478.2025496489</v>
      </c>
      <c r="AI11" s="7">
        <f>VLOOKUP($B11,'[9]Subsidiary wise dispatch'!$A$3:$R$138,14,FALSE)*$H11*$O11*365</f>
        <v>0</v>
      </c>
      <c r="AJ11" s="7">
        <f>VLOOKUP($B11,'[9]Subsidiary wise dispatch'!$A$3:$R$138,15,FALSE)*$H11*$O11*365</f>
        <v>0</v>
      </c>
      <c r="AK11" s="7">
        <f>VLOOKUP($B11,'[9]Subsidiary wise dispatch'!$A$3:$R$138,16,FALSE)*$H11*$O11*365</f>
        <v>0</v>
      </c>
      <c r="AL11" s="7">
        <f>VLOOKUP($B11,'[9]Subsidiary wise dispatch'!$A$3:$R$138,17,FALSE)*$H11*$O11*365</f>
        <v>0</v>
      </c>
      <c r="AM11" s="7">
        <f>VLOOKUP($B11,'[9]Subsidiary wise dispatch'!$A$3:$R$138,18,FALSE)*$H11*$O11*365</f>
        <v>0</v>
      </c>
      <c r="AN11" s="15">
        <f t="shared" si="10"/>
        <v>1000478.2025496489</v>
      </c>
      <c r="AO11" s="6">
        <v>7.8813638844723796E-2</v>
      </c>
      <c r="AP11" s="11">
        <f t="shared" si="20"/>
        <v>0.43989551475283778</v>
      </c>
      <c r="AQ11" s="11">
        <f t="shared" si="11"/>
        <v>1.2862385859458925</v>
      </c>
      <c r="AR11" s="3">
        <f>VLOOKUP(A11,[10]Sheet1!$A$2:$L$542,12,FALSE)</f>
        <v>3.77865221712625</v>
      </c>
      <c r="AS11" s="3">
        <f t="shared" si="43"/>
        <v>3.052189906032059</v>
      </c>
      <c r="AT11" s="3">
        <f t="shared" si="40"/>
        <v>3.0332388805909072</v>
      </c>
      <c r="AU11" s="3">
        <f t="shared" si="12"/>
        <v>1.8951025441151792E-2</v>
      </c>
      <c r="AV11" s="88">
        <f t="shared" si="21"/>
        <v>0.40986529698084878</v>
      </c>
      <c r="AW11" s="32">
        <f t="shared" si="22"/>
        <v>0.12807665432846463</v>
      </c>
      <c r="AX11" s="12">
        <f t="shared" si="44"/>
        <v>621.80265290904572</v>
      </c>
      <c r="AY11" s="12">
        <f t="shared" si="13"/>
        <v>1806.8397363903914</v>
      </c>
      <c r="AZ11" s="3">
        <f>VLOOKUP(A11,[5]Analysis!$A$3:$BJ$543,62,FALSE)</f>
        <v>1.252399859499316</v>
      </c>
      <c r="BA11" s="2"/>
      <c r="BB11" s="2"/>
      <c r="BC11" s="2" t="str">
        <f>VLOOKUP(A11,'[6]FGD status - Jun 2020'!$I$2:$M$449,5,FALSE)</f>
        <v>Bid Awarded</v>
      </c>
      <c r="BD11" s="2"/>
      <c r="BE11" s="2"/>
      <c r="BF11" s="2">
        <f t="shared" si="14"/>
        <v>285.54949928146823</v>
      </c>
      <c r="BG11" s="2">
        <f t="shared" si="15"/>
        <v>775.92408261122819</v>
      </c>
      <c r="BH11" s="2"/>
      <c r="BI11" s="2"/>
      <c r="BK11">
        <f t="shared" si="16"/>
        <v>232.56101418536747</v>
      </c>
      <c r="BP11" s="2" t="str">
        <f>VLOOKUP(A11,'[7]Table 2'!$J$2:$N$449,5,FALSE)</f>
        <v>Bid Awarded</v>
      </c>
      <c r="BR11">
        <f t="shared" si="23"/>
        <v>667.42658191972077</v>
      </c>
      <c r="BS11">
        <f t="shared" si="24"/>
        <v>1813.599251931927</v>
      </c>
      <c r="BT11">
        <f>(X11*I11*365*[5]Analysis!BK11)/10^4</f>
        <v>347.50956238928495</v>
      </c>
      <c r="BU11">
        <f>(W11*R11*365*[5]Analysis!BK11)/10^4</f>
        <v>944.28825501020481</v>
      </c>
      <c r="BV11">
        <f>(X11*I11*365*[5]Analysis!BL11)/10^4</f>
        <v>319.91701953043577</v>
      </c>
      <c r="BW11">
        <f>(W11*R11*365*[5]Analysis!BL11)/10^4</f>
        <v>869.31099692172222</v>
      </c>
      <c r="BX11">
        <f t="shared" si="25"/>
        <v>1496550.8923468771</v>
      </c>
      <c r="BY11">
        <f t="shared" si="26"/>
        <v>4066579.9840210988</v>
      </c>
      <c r="BZ11">
        <f t="shared" si="41"/>
        <v>13217012.871168736</v>
      </c>
      <c r="CA11">
        <f t="shared" si="27"/>
        <v>38646067.931364521</v>
      </c>
      <c r="CB11">
        <f t="shared" si="28"/>
        <v>-174979.44744807031</v>
      </c>
      <c r="CC11">
        <f t="shared" si="29"/>
        <v>-1495998.0959999999</v>
      </c>
      <c r="CD11">
        <f t="shared" si="30"/>
        <v>0</v>
      </c>
      <c r="CE11">
        <f t="shared" si="31"/>
        <v>0</v>
      </c>
      <c r="CF11">
        <f t="shared" si="32"/>
        <v>3637683.1043693055</v>
      </c>
      <c r="CG11">
        <f t="shared" si="33"/>
        <v>10636453.920000002</v>
      </c>
      <c r="CH11">
        <f t="shared" si="34"/>
        <v>128424.98651484845</v>
      </c>
      <c r="CI11">
        <f t="shared" si="35"/>
        <v>375510.01889116981</v>
      </c>
      <c r="CJ11">
        <f t="shared" si="36"/>
        <v>-2687586.709212916</v>
      </c>
      <c r="CK11">
        <f t="shared" si="37"/>
        <v>-7858406.4000000004</v>
      </c>
      <c r="CL11">
        <f t="shared" si="38"/>
        <v>1243603.9756089214</v>
      </c>
      <c r="CM11">
        <f t="shared" si="39"/>
        <v>3636253.0769668189</v>
      </c>
    </row>
    <row r="12" spans="1:91" x14ac:dyDescent="0.2">
      <c r="A12" s="2" t="s">
        <v>8</v>
      </c>
      <c r="B12" s="2" t="str">
        <f t="shared" si="42"/>
        <v>KUDGI STPP</v>
      </c>
      <c r="C12" s="2" t="str">
        <f>VLOOKUP($A12,'[1]daily coal, energy reqd'!$C$2:$T$599,17,FALSE)</f>
        <v>Karnataka</v>
      </c>
      <c r="D12" s="2" t="str">
        <f>VLOOKUP(C12,'Target PLF'!$I$2:$J$19,2,FALSE)</f>
        <v>SR</v>
      </c>
      <c r="E12" s="2" t="str">
        <f>VLOOKUP(A12,[2]Ownership!$C$2:$D$666,2,FALSE)</f>
        <v>CENTRAL SECTOR</v>
      </c>
      <c r="F12" s="2" t="s">
        <v>542</v>
      </c>
      <c r="G12" s="12">
        <v>3.3566050650239498</v>
      </c>
      <c r="H12" s="2">
        <v>800</v>
      </c>
      <c r="I12" s="2">
        <f>VLOOKUP(A12,'[3]Calculated coal req (reg.)'!$A$2:$I$599,9,FALSE)</f>
        <v>6.4095326782845099</v>
      </c>
      <c r="J12" s="2"/>
      <c r="K12" s="11">
        <v>0.33382982699398489</v>
      </c>
      <c r="L12" s="3">
        <f>VLOOKUP(F12,'Target PLF'!$A$2:$B$11,2,FALSE)</f>
        <v>0.85</v>
      </c>
      <c r="M12" s="3">
        <f t="shared" si="17"/>
        <v>0.51617017300601509</v>
      </c>
      <c r="N12" s="2" t="str">
        <f t="shared" si="0"/>
        <v>0.15</v>
      </c>
      <c r="O12" s="2">
        <f t="shared" si="45"/>
        <v>4.0342474473500438</v>
      </c>
      <c r="P12" s="2">
        <f t="shared" si="1"/>
        <v>1178000.2546262126</v>
      </c>
      <c r="Q12" s="2">
        <f t="shared" si="2"/>
        <v>11.215877915434634</v>
      </c>
      <c r="R12" s="2">
        <f t="shared" si="3"/>
        <v>16.32</v>
      </c>
      <c r="S12" s="2">
        <f t="shared" si="4"/>
        <v>3275036.351306913</v>
      </c>
      <c r="T12" s="2" t="str">
        <f>VLOOKUP(A12,'[4]CEA vs MERIT comp. &amp; NPA marker'!$C$2:$K$735,9,FALSE)</f>
        <v>Contracted</v>
      </c>
      <c r="U12" s="3">
        <f>VLOOKUP(B12,'[8]Import-Domestic share'!$A$208:$F$406,6,FALSE)</f>
        <v>4.8908057223748518E-2</v>
      </c>
      <c r="V12" s="3">
        <f t="shared" si="5"/>
        <v>57613.703862849135</v>
      </c>
      <c r="W12" s="2">
        <f t="shared" si="6"/>
        <v>2432.9055005799173</v>
      </c>
      <c r="X12" s="2">
        <f t="shared" si="7"/>
        <v>2603.5364940747231</v>
      </c>
      <c r="Y12" s="6">
        <f t="shared" si="8"/>
        <v>0.35348680817853667</v>
      </c>
      <c r="Z12" s="2">
        <f t="shared" si="18"/>
        <v>2427065.2649907926</v>
      </c>
      <c r="AA12" s="2">
        <f t="shared" si="19"/>
        <v>1020060.8880949911</v>
      </c>
      <c r="AB12" s="2" t="s">
        <v>598</v>
      </c>
      <c r="AC12" s="12">
        <f>VLOOKUP(B12,[9]Sheet1!$A$2:$B$137,2,FALSE)</f>
        <v>5971.1338194728896</v>
      </c>
      <c r="AD12" s="12">
        <f t="shared" si="9"/>
        <v>4776907.0555783119</v>
      </c>
      <c r="AE12" s="2"/>
      <c r="AF12" s="7">
        <f>VLOOKUP($B12,'[9]Subsidiary wise dispatch'!$A$3:$R$138,11,FALSE)*$H12*$O12*365</f>
        <v>0</v>
      </c>
      <c r="AG12" s="7">
        <f>VLOOKUP($B12,'[9]Subsidiary wise dispatch'!$A$3:$R$138,12,FALSE)*$H12*$O12*365</f>
        <v>0</v>
      </c>
      <c r="AH12" s="7">
        <f>VLOOKUP($B12,'[9]Subsidiary wise dispatch'!$A$3:$R$138,13,FALSE)*$H12*$O12*365</f>
        <v>1178000.2546262126</v>
      </c>
      <c r="AI12" s="7">
        <f>VLOOKUP($B12,'[9]Subsidiary wise dispatch'!$A$3:$R$138,14,FALSE)*$H12*$O12*365</f>
        <v>0</v>
      </c>
      <c r="AJ12" s="7">
        <f>VLOOKUP($B12,'[9]Subsidiary wise dispatch'!$A$3:$R$138,15,FALSE)*$H12*$O12*365</f>
        <v>0</v>
      </c>
      <c r="AK12" s="7">
        <f>VLOOKUP($B12,'[9]Subsidiary wise dispatch'!$A$3:$R$138,16,FALSE)*$H12*$O12*365</f>
        <v>0</v>
      </c>
      <c r="AL12" s="7">
        <f>VLOOKUP($B12,'[9]Subsidiary wise dispatch'!$A$3:$R$138,17,FALSE)*$H12*$O12*365</f>
        <v>0</v>
      </c>
      <c r="AM12" s="7">
        <f>VLOOKUP($B12,'[9]Subsidiary wise dispatch'!$A$3:$R$138,18,FALSE)*$H12*$O12*365</f>
        <v>0</v>
      </c>
      <c r="AN12" s="15">
        <f t="shared" si="10"/>
        <v>1178000.2546262126</v>
      </c>
      <c r="AO12" s="6">
        <v>7.8813638844723796E-2</v>
      </c>
      <c r="AP12" s="11">
        <f t="shared" si="20"/>
        <v>0.50515859366977056</v>
      </c>
      <c r="AQ12" s="11">
        <f t="shared" si="11"/>
        <v>1.2862385859458925</v>
      </c>
      <c r="AR12" s="3">
        <f>VLOOKUP(A12,[10]Sheet1!$A$2:$L$542,12,FALSE)</f>
        <v>3.77865221712625</v>
      </c>
      <c r="AS12" s="3">
        <f t="shared" si="43"/>
        <v>3.0527684660041863</v>
      </c>
      <c r="AT12" s="3">
        <f t="shared" si="40"/>
        <v>3.0352787891709689</v>
      </c>
      <c r="AU12" s="3">
        <f t="shared" si="12"/>
        <v>1.7489676833217338E-2</v>
      </c>
      <c r="AV12" s="88">
        <f t="shared" si="21"/>
        <v>0.378259826182268</v>
      </c>
      <c r="AW12" s="32">
        <f t="shared" si="22"/>
        <v>0.1181780254109045</v>
      </c>
      <c r="AX12" s="12">
        <f t="shared" si="44"/>
        <v>714.18890233629622</v>
      </c>
      <c r="AY12" s="12">
        <f t="shared" si="13"/>
        <v>1808.0548691333629</v>
      </c>
      <c r="AZ12" s="3">
        <f>VLOOKUP(A12,[5]Analysis!$A$3:$BJ$543,62,FALSE)</f>
        <v>1.252399859499316</v>
      </c>
      <c r="BA12" s="2"/>
      <c r="BB12" s="2"/>
      <c r="BC12" s="2" t="str">
        <f>VLOOKUP(A12,'[6]FGD status - Jun 2020'!$I$2:$M$449,5,FALSE)</f>
        <v>Bid Awarded</v>
      </c>
      <c r="BD12" s="2"/>
      <c r="BE12" s="2"/>
      <c r="BF12" s="2">
        <f t="shared" si="14"/>
        <v>326.36517719222979</v>
      </c>
      <c r="BG12" s="2">
        <f t="shared" si="15"/>
        <v>776.53167032521549</v>
      </c>
      <c r="BH12" s="2"/>
      <c r="BI12" s="2"/>
      <c r="BK12">
        <f t="shared" si="16"/>
        <v>267.06386159518792</v>
      </c>
      <c r="BP12" s="2" t="str">
        <f>VLOOKUP(A12,'[7]Table 2'!$J$2:$N$449,5,FALSE)</f>
        <v>Bid Awarded</v>
      </c>
      <c r="BR12">
        <f t="shared" si="23"/>
        <v>762.82674359138855</v>
      </c>
      <c r="BS12">
        <f t="shared" si="24"/>
        <v>1815.0193916701626</v>
      </c>
      <c r="BT12">
        <f>(X12*I12*365*[5]Analysis!BK12)/10^4</f>
        <v>397.18164518082102</v>
      </c>
      <c r="BU12">
        <f>(W12*R12*365*[5]Analysis!BK12)/10^4</f>
        <v>945.02768036774194</v>
      </c>
      <c r="BV12">
        <f>(X12*I12*365*[5]Analysis!BL12)/10^4</f>
        <v>365.64509841056747</v>
      </c>
      <c r="BW12">
        <f>(W12*R12*365*[5]Analysis!BL12)/10^4</f>
        <v>869.99171130242064</v>
      </c>
      <c r="BX12">
        <f t="shared" si="25"/>
        <v>1710463.8543825177</v>
      </c>
      <c r="BY12">
        <f t="shared" si="26"/>
        <v>4069764.3213700852</v>
      </c>
      <c r="BZ12">
        <f t="shared" si="41"/>
        <v>15177894.319441417</v>
      </c>
      <c r="CA12">
        <f t="shared" si="27"/>
        <v>38646067.931364521</v>
      </c>
      <c r="CB12">
        <f t="shared" si="28"/>
        <v>-230750.9321611718</v>
      </c>
      <c r="CC12">
        <f t="shared" si="29"/>
        <v>-1495998.0959999999</v>
      </c>
      <c r="CD12">
        <f t="shared" si="30"/>
        <v>0</v>
      </c>
      <c r="CE12">
        <f t="shared" si="31"/>
        <v>0</v>
      </c>
      <c r="CF12">
        <f t="shared" si="32"/>
        <v>4177371.2611095207</v>
      </c>
      <c r="CG12">
        <f t="shared" si="33"/>
        <v>10636453.920000002</v>
      </c>
      <c r="CH12">
        <f t="shared" si="34"/>
        <v>159302.41112184632</v>
      </c>
      <c r="CI12">
        <f t="shared" si="35"/>
        <v>405616.98956878769</v>
      </c>
      <c r="CJ12">
        <f t="shared" si="36"/>
        <v>-3086318.1752475575</v>
      </c>
      <c r="CK12">
        <f t="shared" si="37"/>
        <v>-7858406.4000000004</v>
      </c>
      <c r="CL12">
        <f t="shared" si="38"/>
        <v>1428105.5712825628</v>
      </c>
      <c r="CM12">
        <f t="shared" si="39"/>
        <v>3636253.0769668189</v>
      </c>
    </row>
    <row r="13" spans="1:91" x14ac:dyDescent="0.2">
      <c r="A13" s="2" t="s">
        <v>10</v>
      </c>
      <c r="B13" s="2" t="str">
        <f t="shared" si="42"/>
        <v>DAMODARAN SANJEEVAIAH TPS</v>
      </c>
      <c r="C13" s="2" t="str">
        <f>VLOOKUP($A13,'[1]daily coal, energy reqd'!$C$2:$T$599,17,FALSE)</f>
        <v>Andhra Pradesh</v>
      </c>
      <c r="D13" s="2" t="str">
        <f>VLOOKUP(C13,'Target PLF'!$I$2:$J$19,2,FALSE)</f>
        <v>SR</v>
      </c>
      <c r="E13" s="2" t="str">
        <f>VLOOKUP(A13,[2]Ownership!$C$2:$D$666,2,FALSE)</f>
        <v>STATE SECTOR</v>
      </c>
      <c r="F13" s="2" t="s">
        <v>543</v>
      </c>
      <c r="G13" s="12">
        <v>5.1772758384667998</v>
      </c>
      <c r="H13" s="2">
        <v>800</v>
      </c>
      <c r="I13" s="2">
        <f>VLOOKUP(A13,'[3]Calculated coal req (reg.)'!$A$2:$I$599,9,FALSE)</f>
        <v>9.2233283641663597</v>
      </c>
      <c r="J13" s="2"/>
      <c r="K13" s="11">
        <v>0.48038168563366457</v>
      </c>
      <c r="L13" s="3">
        <f>VLOOKUP(F13,'Target PLF'!$A$2:$B$11,2,FALSE)</f>
        <v>0.85</v>
      </c>
      <c r="M13" s="3">
        <f t="shared" si="17"/>
        <v>0.36961831436633541</v>
      </c>
      <c r="N13" s="2" t="str">
        <f t="shared" si="0"/>
        <v>0.15</v>
      </c>
      <c r="O13" s="2">
        <f t="shared" si="45"/>
        <v>6.1309371689103012</v>
      </c>
      <c r="P13" s="2">
        <f t="shared" si="1"/>
        <v>1790233.653321808</v>
      </c>
      <c r="Q13" s="2">
        <f t="shared" si="2"/>
        <v>11.273547662183436</v>
      </c>
      <c r="R13" s="2">
        <f t="shared" si="3"/>
        <v>16.32</v>
      </c>
      <c r="S13" s="2">
        <f t="shared" si="4"/>
        <v>3291875.9173575635</v>
      </c>
      <c r="T13" s="2" t="str">
        <f>VLOOKUP(A13,'[4]CEA vs MERIT comp. &amp; NPA marker'!$C$2:$K$735,9,FALSE)</f>
        <v>Contracted</v>
      </c>
      <c r="U13" s="3">
        <f>VLOOKUP(B13,'[8]Import-Domestic share'!$A$208:$F$406,6,FALSE)</f>
        <v>0.12048661201055144</v>
      </c>
      <c r="V13" s="3">
        <f t="shared" si="5"/>
        <v>215699.18759601674</v>
      </c>
      <c r="W13" s="2">
        <f t="shared" si="6"/>
        <v>2462.9541890058176</v>
      </c>
      <c r="X13" s="2">
        <f t="shared" si="7"/>
        <v>2585.1393587278744</v>
      </c>
      <c r="Y13" s="6">
        <f t="shared" si="8"/>
        <v>0.34917417621443575</v>
      </c>
      <c r="Z13" s="2">
        <f t="shared" si="18"/>
        <v>3903586.9922350878</v>
      </c>
      <c r="AA13" s="2">
        <f t="shared" si="19"/>
        <v>2315575.8099571392</v>
      </c>
      <c r="AB13" s="2" t="s">
        <v>598</v>
      </c>
      <c r="AC13" s="12">
        <f>VLOOKUP(B13,[9]Sheet1!$A$2:$B$137,2,FALSE)</f>
        <v>3758.421560030215</v>
      </c>
      <c r="AD13" s="12">
        <f t="shared" si="9"/>
        <v>3006737.2480241721</v>
      </c>
      <c r="AE13" s="2"/>
      <c r="AF13" s="7">
        <f>VLOOKUP($B13,'[9]Subsidiary wise dispatch'!$A$3:$R$138,11,FALSE)*$H13*$O13*365</f>
        <v>0</v>
      </c>
      <c r="AG13" s="7">
        <f>VLOOKUP($B13,'[9]Subsidiary wise dispatch'!$A$3:$R$138,12,FALSE)*$H13*$O13*365</f>
        <v>0</v>
      </c>
      <c r="AH13" s="7">
        <f>VLOOKUP($B13,'[9]Subsidiary wise dispatch'!$A$3:$R$138,13,FALSE)*$H13*$O13*365</f>
        <v>0</v>
      </c>
      <c r="AI13" s="7">
        <f>VLOOKUP($B13,'[9]Subsidiary wise dispatch'!$A$3:$R$138,14,FALSE)*$H13*$O13*365</f>
        <v>1790233.653321808</v>
      </c>
      <c r="AJ13" s="7">
        <f>VLOOKUP($B13,'[9]Subsidiary wise dispatch'!$A$3:$R$138,15,FALSE)*$H13*$O13*365</f>
        <v>0</v>
      </c>
      <c r="AK13" s="7">
        <f>VLOOKUP($B13,'[9]Subsidiary wise dispatch'!$A$3:$R$138,16,FALSE)*$H13*$O13*365</f>
        <v>0</v>
      </c>
      <c r="AL13" s="7">
        <f>VLOOKUP($B13,'[9]Subsidiary wise dispatch'!$A$3:$R$138,17,FALSE)*$H13*$O13*365</f>
        <v>0</v>
      </c>
      <c r="AM13" s="7">
        <f>VLOOKUP($B13,'[9]Subsidiary wise dispatch'!$A$3:$R$138,18,FALSE)*$H13*$O13*365</f>
        <v>0</v>
      </c>
      <c r="AN13" s="15">
        <f t="shared" si="10"/>
        <v>1790233.653321808</v>
      </c>
      <c r="AO13" s="6">
        <v>7.43080715713893E-2</v>
      </c>
      <c r="AP13" s="11">
        <f t="shared" si="20"/>
        <v>0.68536774421089885</v>
      </c>
      <c r="AQ13" s="11">
        <f t="shared" si="11"/>
        <v>1.2127077280450733</v>
      </c>
      <c r="AR13" s="3">
        <f>VLOOKUP(A13,[10]Sheet1!$A$2:$L$542,12,FALSE)</f>
        <v>3.1773464912280698</v>
      </c>
      <c r="AS13" s="3">
        <f t="shared" si="43"/>
        <v>2.9493756107926958</v>
      </c>
      <c r="AT13" s="3">
        <f t="shared" si="40"/>
        <v>2.936851630896185</v>
      </c>
      <c r="AU13" s="3">
        <f t="shared" si="12"/>
        <v>1.2523979896510884E-2</v>
      </c>
      <c r="AV13" s="88">
        <f t="shared" si="21"/>
        <v>0.27086369313393793</v>
      </c>
      <c r="AW13" s="32">
        <f t="shared" si="22"/>
        <v>8.7591323496431089E-2</v>
      </c>
      <c r="AX13" s="12">
        <f t="shared" si="44"/>
        <v>992.91168005757356</v>
      </c>
      <c r="AY13" s="12">
        <f t="shared" si="13"/>
        <v>1749.4237794922396</v>
      </c>
      <c r="AZ13" s="3">
        <f>VLOOKUP(A13,[5]Analysis!$A$3:$BJ$543,62,FALSE)</f>
        <v>1.198321331981</v>
      </c>
      <c r="BA13" s="2"/>
      <c r="BB13" s="2"/>
      <c r="BC13" s="2" t="str">
        <f>VLOOKUP(A13,'[6]FGD status - Jun 2020'!$I$2:$M$449,5,FALSE)</f>
        <v>Feasibility Study started</v>
      </c>
      <c r="BD13" s="2"/>
      <c r="BE13" s="2"/>
      <c r="BF13" s="2">
        <f t="shared" si="14"/>
        <v>776.26423404585591</v>
      </c>
      <c r="BG13" s="2">
        <f t="shared" si="15"/>
        <v>1308.6226559841396</v>
      </c>
      <c r="BH13" s="2"/>
      <c r="BI13" s="2"/>
      <c r="BK13">
        <f t="shared" si="16"/>
        <v>384.30534850693164</v>
      </c>
      <c r="BL13">
        <f>VLOOKUP(A13,'[11]Daily coal vs energy req.2'!$C$2:$P$599,14,FALSE)</f>
        <v>0.56999999999999995</v>
      </c>
      <c r="BM13">
        <f>VLOOKUP(A13,'[11]Daily coal vs energy req.2'!$C$2:$R$599,16,FALSE)</f>
        <v>0.6</v>
      </c>
      <c r="BN13">
        <f>BL13*H13</f>
        <v>455.99999999999994</v>
      </c>
      <c r="BO13">
        <f>BM13*H13</f>
        <v>480</v>
      </c>
      <c r="BP13" s="2" t="str">
        <f>VLOOKUP(A13,'[7]Table 2'!$J$2:$N$449,5,FALSE)</f>
        <v>Feasibility Study completed</v>
      </c>
      <c r="BR13">
        <f t="shared" si="23"/>
        <v>1042.8882760862948</v>
      </c>
      <c r="BS13">
        <f t="shared" si="24"/>
        <v>1758.0962330748696</v>
      </c>
      <c r="BT13">
        <f>(X13*I13*365*[5]Analysis!BK13)/10^4</f>
        <v>455.95490243341328</v>
      </c>
      <c r="BU13">
        <f>(W13*R13*365*[5]Analysis!BK13)/10^4</f>
        <v>768.64666599615043</v>
      </c>
      <c r="BV13">
        <f>(X13*I13*365*[5]Analysis!BL13)/10^4</f>
        <v>586.93337365288164</v>
      </c>
      <c r="BW13">
        <f>(W13*R13*365*[5]Analysis!BL13)/10^4</f>
        <v>989.44956707871916</v>
      </c>
      <c r="BX13">
        <f t="shared" si="25"/>
        <v>2443967.8901994578</v>
      </c>
      <c r="BY13">
        <f t="shared" si="26"/>
        <v>4120029.7673689318</v>
      </c>
      <c r="BZ13">
        <f t="shared" si="41"/>
        <v>20897922.258158438</v>
      </c>
      <c r="CA13">
        <f t="shared" si="27"/>
        <v>36977333.754935823</v>
      </c>
      <c r="CB13">
        <f t="shared" si="28"/>
        <v>-477821.92415675399</v>
      </c>
      <c r="CC13">
        <f t="shared" si="29"/>
        <v>-1495998.0959999999</v>
      </c>
      <c r="CD13">
        <f t="shared" si="30"/>
        <v>0</v>
      </c>
      <c r="CE13">
        <f t="shared" si="31"/>
        <v>0</v>
      </c>
      <c r="CF13">
        <f t="shared" si="32"/>
        <v>6011244.3097110586</v>
      </c>
      <c r="CG13">
        <f t="shared" si="33"/>
        <v>10636453.920000002</v>
      </c>
      <c r="CH13">
        <f t="shared" si="34"/>
        <v>353577.57438423083</v>
      </c>
      <c r="CI13">
        <f t="shared" si="35"/>
        <v>625629.46759753546</v>
      </c>
      <c r="CJ13">
        <f t="shared" si="36"/>
        <v>-4441217.0739133861</v>
      </c>
      <c r="CK13">
        <f t="shared" si="37"/>
        <v>-7858406.4000000004</v>
      </c>
      <c r="CL13">
        <f t="shared" si="38"/>
        <v>1937564.7690649561</v>
      </c>
      <c r="CM13">
        <f t="shared" si="39"/>
        <v>3428378.1063234564</v>
      </c>
    </row>
    <row r="14" spans="1:91" x14ac:dyDescent="0.2">
      <c r="A14" s="2" t="s">
        <v>11</v>
      </c>
      <c r="B14" s="2" t="str">
        <f t="shared" si="42"/>
        <v>DAMODARAN SANJEEVAIAH TPS</v>
      </c>
      <c r="C14" s="2" t="str">
        <f>VLOOKUP($A14,'[1]daily coal, energy reqd'!$C$2:$T$599,17,FALSE)</f>
        <v>Andhra Pradesh</v>
      </c>
      <c r="D14" s="2" t="str">
        <f>VLOOKUP(C14,'Target PLF'!$I$2:$J$19,2,FALSE)</f>
        <v>SR</v>
      </c>
      <c r="E14" s="2" t="str">
        <f>VLOOKUP(A14,[2]Ownership!$C$2:$D$666,2,FALSE)</f>
        <v>STATE SECTOR</v>
      </c>
      <c r="F14" s="2" t="s">
        <v>543</v>
      </c>
      <c r="G14" s="12">
        <v>5.7577002053388</v>
      </c>
      <c r="H14" s="2">
        <v>800</v>
      </c>
      <c r="I14" s="2">
        <f>VLOOKUP(A14,'[3]Calculated coal req (reg.)'!$A$2:$I$599,9,FALSE)</f>
        <v>8.5091254105517393</v>
      </c>
      <c r="J14" s="2"/>
      <c r="K14" s="11">
        <v>0.44318361513290311</v>
      </c>
      <c r="L14" s="3">
        <f>VLOOKUP(F14,'Target PLF'!$A$2:$B$11,2,FALSE)</f>
        <v>0.85</v>
      </c>
      <c r="M14" s="3">
        <f t="shared" si="17"/>
        <v>0.40681638486709687</v>
      </c>
      <c r="N14" s="2" t="str">
        <f t="shared" si="0"/>
        <v>0.15</v>
      </c>
      <c r="O14" s="2">
        <f t="shared" si="45"/>
        <v>5.631774196432727</v>
      </c>
      <c r="P14" s="2">
        <f t="shared" si="1"/>
        <v>1644478.0653583563</v>
      </c>
      <c r="Q14" s="2">
        <f t="shared" si="2"/>
        <v>11.291932604004106</v>
      </c>
      <c r="R14" s="2">
        <f t="shared" si="3"/>
        <v>16.32</v>
      </c>
      <c r="S14" s="2">
        <f t="shared" si="4"/>
        <v>3297244.3203691989</v>
      </c>
      <c r="T14" s="2" t="str">
        <f>VLOOKUP(A14,'[4]CEA vs MERIT comp. &amp; NPA marker'!$C$2:$K$735,9,FALSE)</f>
        <v>Contracted</v>
      </c>
      <c r="U14" s="3">
        <f>VLOOKUP(B14,'[8]Import-Domestic share'!$A$208:$F$406,6,FALSE)</f>
        <v>0.12048661201055144</v>
      </c>
      <c r="V14" s="3">
        <f t="shared" si="5"/>
        <v>198137.59062069451</v>
      </c>
      <c r="W14" s="2">
        <f t="shared" si="6"/>
        <v>2467.3889428566049</v>
      </c>
      <c r="X14" s="2">
        <f t="shared" si="7"/>
        <v>2601.8707233817827</v>
      </c>
      <c r="Y14" s="6">
        <f t="shared" si="8"/>
        <v>0.34854658909362707</v>
      </c>
      <c r="Z14" s="2">
        <f t="shared" si="18"/>
        <v>3910615.7252594265</v>
      </c>
      <c r="AA14" s="2">
        <f t="shared" si="19"/>
        <v>2150096.7988271676</v>
      </c>
      <c r="AB14" s="2" t="s">
        <v>598</v>
      </c>
      <c r="AC14" s="12">
        <f>VLOOKUP(B14,[9]Sheet1!$A$2:$B$137,2,FALSE)</f>
        <v>3758.421560030215</v>
      </c>
      <c r="AD14" s="12">
        <f t="shared" si="9"/>
        <v>3006737.2480241721</v>
      </c>
      <c r="AE14" s="2"/>
      <c r="AF14" s="7">
        <f>VLOOKUP($B14,'[9]Subsidiary wise dispatch'!$A$3:$R$138,11,FALSE)*$H14*$O14*365</f>
        <v>0</v>
      </c>
      <c r="AG14" s="7">
        <f>VLOOKUP($B14,'[9]Subsidiary wise dispatch'!$A$3:$R$138,12,FALSE)*$H14*$O14*365</f>
        <v>0</v>
      </c>
      <c r="AH14" s="7">
        <f>VLOOKUP($B14,'[9]Subsidiary wise dispatch'!$A$3:$R$138,13,FALSE)*$H14*$O14*365</f>
        <v>0</v>
      </c>
      <c r="AI14" s="7">
        <f>VLOOKUP($B14,'[9]Subsidiary wise dispatch'!$A$3:$R$138,14,FALSE)*$H14*$O14*365</f>
        <v>1644478.0653583563</v>
      </c>
      <c r="AJ14" s="7">
        <f>VLOOKUP($B14,'[9]Subsidiary wise dispatch'!$A$3:$R$138,15,FALSE)*$H14*$O14*365</f>
        <v>0</v>
      </c>
      <c r="AK14" s="7">
        <f>VLOOKUP($B14,'[9]Subsidiary wise dispatch'!$A$3:$R$138,16,FALSE)*$H14*$O14*365</f>
        <v>0</v>
      </c>
      <c r="AL14" s="7">
        <f>VLOOKUP($B14,'[9]Subsidiary wise dispatch'!$A$3:$R$138,17,FALSE)*$H14*$O14*365</f>
        <v>0</v>
      </c>
      <c r="AM14" s="7">
        <f>VLOOKUP($B14,'[9]Subsidiary wise dispatch'!$A$3:$R$138,18,FALSE)*$H14*$O14*365</f>
        <v>0</v>
      </c>
      <c r="AN14" s="15">
        <f t="shared" si="10"/>
        <v>1644478.0653583563</v>
      </c>
      <c r="AO14" s="6">
        <v>7.43080715713893E-2</v>
      </c>
      <c r="AP14" s="11">
        <f t="shared" si="20"/>
        <v>0.63229670001720606</v>
      </c>
      <c r="AQ14" s="11">
        <f t="shared" si="11"/>
        <v>1.2127077280450733</v>
      </c>
      <c r="AR14" s="3">
        <f>VLOOKUP(A14,[10]Sheet1!$A$2:$L$542,12,FALSE)</f>
        <v>3.1773464912280698</v>
      </c>
      <c r="AS14" s="3">
        <f t="shared" si="43"/>
        <v>2.9553883278942252</v>
      </c>
      <c r="AT14" s="3">
        <f t="shared" si="40"/>
        <v>2.9416039453903946</v>
      </c>
      <c r="AU14" s="3">
        <f t="shared" si="12"/>
        <v>1.3784382503830628E-2</v>
      </c>
      <c r="AV14" s="88">
        <f t="shared" si="21"/>
        <v>0.29812318315830594</v>
      </c>
      <c r="AW14" s="32">
        <f t="shared" si="22"/>
        <v>9.6210301018909594E-2</v>
      </c>
      <c r="AX14" s="12">
        <f t="shared" si="44"/>
        <v>917.89360204104594</v>
      </c>
      <c r="AY14" s="12">
        <f t="shared" si="13"/>
        <v>1752.2546381901502</v>
      </c>
      <c r="AZ14" s="3">
        <f>VLOOKUP(A14,[5]Analysis!$A$3:$BJ$543,62,FALSE)</f>
        <v>1.198321331981</v>
      </c>
      <c r="BA14" s="2"/>
      <c r="BB14" s="2"/>
      <c r="BC14" s="2" t="str">
        <f>VLOOKUP(A14,'[6]FGD status - Jun 2020'!$I$2:$M$449,5,FALSE)</f>
        <v>Feasibility Study started</v>
      </c>
      <c r="BD14" s="2"/>
      <c r="BE14" s="2"/>
      <c r="BF14" s="2">
        <f t="shared" si="14"/>
        <v>720.78972214557348</v>
      </c>
      <c r="BG14" s="2">
        <f t="shared" si="15"/>
        <v>1310.9789399088502</v>
      </c>
      <c r="BH14" s="2"/>
      <c r="BI14" s="2"/>
      <c r="BK14">
        <f t="shared" si="16"/>
        <v>354.5468921063225</v>
      </c>
      <c r="BL14">
        <f>VLOOKUP(A14,'[11]Daily coal vs energy req.2'!$C$2:$P$599,14,FALSE)</f>
        <v>0.66</v>
      </c>
      <c r="BM14">
        <f>VLOOKUP(A14,'[11]Daily coal vs energy req.2'!$C$2:$R$599,16,FALSE)</f>
        <v>0.64</v>
      </c>
      <c r="BN14">
        <f>BL14*H14</f>
        <v>528</v>
      </c>
      <c r="BO14">
        <f>BM14*H14</f>
        <v>512</v>
      </c>
      <c r="BP14" s="2" t="str">
        <f>VLOOKUP(A14,'[7]Table 2'!$J$2:$N$449,5,FALSE)</f>
        <v>Feasibility Study completed</v>
      </c>
      <c r="BR14">
        <f t="shared" si="23"/>
        <v>968.35989316585199</v>
      </c>
      <c r="BS14">
        <f t="shared" si="24"/>
        <v>1761.2618315559484</v>
      </c>
      <c r="BT14">
        <f>(X14*I14*365*[5]Analysis!BK14)/10^4</f>
        <v>423.37079698106777</v>
      </c>
      <c r="BU14">
        <f>(W14*R14*365*[5]Analysis!BK14)/10^4</f>
        <v>770.03067824336858</v>
      </c>
      <c r="BV14">
        <f>(X14*I14*365*[5]Analysis!BL14)/10^4</f>
        <v>544.98909618478422</v>
      </c>
      <c r="BW14">
        <f>(W14*R14*365*[5]Analysis!BL14)/10^4</f>
        <v>991.23115331257975</v>
      </c>
      <c r="BX14">
        <f t="shared" si="25"/>
        <v>2269313.5394481025</v>
      </c>
      <c r="BY14">
        <f t="shared" si="26"/>
        <v>4127448.2236105287</v>
      </c>
      <c r="BZ14">
        <f t="shared" si="41"/>
        <v>19279704.060574565</v>
      </c>
      <c r="CA14">
        <f t="shared" si="27"/>
        <v>36977333.754935823</v>
      </c>
      <c r="CB14">
        <f t="shared" si="28"/>
        <v>-406687.27231640974</v>
      </c>
      <c r="CC14">
        <f t="shared" si="29"/>
        <v>-1495998.0959999999</v>
      </c>
      <c r="CD14">
        <f t="shared" si="30"/>
        <v>0</v>
      </c>
      <c r="CE14">
        <f t="shared" si="31"/>
        <v>0</v>
      </c>
      <c r="CF14">
        <f t="shared" si="32"/>
        <v>5545767.1770119276</v>
      </c>
      <c r="CG14">
        <f t="shared" si="33"/>
        <v>10636453.920000002</v>
      </c>
      <c r="CH14">
        <f t="shared" si="34"/>
        <v>362768.61758360255</v>
      </c>
      <c r="CI14">
        <f t="shared" si="35"/>
        <v>695768.78390143625</v>
      </c>
      <c r="CJ14">
        <f t="shared" si="36"/>
        <v>-4097314.067688874</v>
      </c>
      <c r="CK14">
        <f t="shared" si="37"/>
        <v>-7858406.4000000004</v>
      </c>
      <c r="CL14">
        <f t="shared" si="38"/>
        <v>1787530.5920034421</v>
      </c>
      <c r="CM14">
        <f t="shared" si="39"/>
        <v>3428378.1063234564</v>
      </c>
    </row>
    <row r="15" spans="1:91" x14ac:dyDescent="0.2">
      <c r="A15" s="2" t="s">
        <v>27</v>
      </c>
      <c r="B15" s="2" t="str">
        <f t="shared" si="42"/>
        <v>BELLARY TPS</v>
      </c>
      <c r="C15" s="2" t="str">
        <f>VLOOKUP($A15,'[1]daily coal, energy reqd'!$C$2:$T$599,17,FALSE)</f>
        <v>Karnataka</v>
      </c>
      <c r="D15" s="2" t="str">
        <f>VLOOKUP(C15,'Target PLF'!$I$2:$J$19,2,FALSE)</f>
        <v>SR</v>
      </c>
      <c r="E15" s="2" t="str">
        <f>VLOOKUP(A15,[2]Ownership!$C$2:$D$666,2,FALSE)</f>
        <v>STATE SECTOR</v>
      </c>
      <c r="F15" s="2" t="s">
        <v>542</v>
      </c>
      <c r="G15" s="12">
        <v>4.1752224503764497</v>
      </c>
      <c r="H15" s="2">
        <v>700</v>
      </c>
      <c r="I15" s="2">
        <f>VLOOKUP(A15,'[3]Calculated coal req (reg.)'!$A$2:$I$599,9,FALSE)</f>
        <v>2.8541688533997198</v>
      </c>
      <c r="J15" s="2"/>
      <c r="K15" s="11">
        <v>0.16989100317855477</v>
      </c>
      <c r="L15" s="3">
        <f>VLOOKUP(F15,'Target PLF'!$A$2:$B$11,2,FALSE)</f>
        <v>0.85</v>
      </c>
      <c r="M15" s="3">
        <f t="shared" si="17"/>
        <v>0.68010899682144521</v>
      </c>
      <c r="N15" s="2" t="str">
        <f t="shared" si="0"/>
        <v>0.15</v>
      </c>
      <c r="O15" s="2">
        <f t="shared" si="45"/>
        <v>2.30003711563986</v>
      </c>
      <c r="P15" s="2">
        <f t="shared" si="1"/>
        <v>587659.48304598429</v>
      </c>
      <c r="Q15" s="2">
        <f t="shared" si="2"/>
        <v>11.762597621115674</v>
      </c>
      <c r="R15" s="2">
        <f t="shared" si="3"/>
        <v>14.28</v>
      </c>
      <c r="S15" s="2">
        <f t="shared" si="4"/>
        <v>3005343.6921950546</v>
      </c>
      <c r="T15" s="2" t="str">
        <f>VLOOKUP(A15,'[4]CEA vs MERIT comp. &amp; NPA marker'!$C$2:$K$735,9,FALSE)</f>
        <v>Contracted</v>
      </c>
      <c r="U15" s="3">
        <f>VLOOKUP(B15,'[8]Import-Domestic share'!$A$208:$F$406,6,FALSE)</f>
        <v>0</v>
      </c>
      <c r="V15" s="3">
        <f t="shared" si="5"/>
        <v>0</v>
      </c>
      <c r="W15" s="2">
        <f t="shared" si="6"/>
        <v>2520.7078116153316</v>
      </c>
      <c r="X15" s="2">
        <f t="shared" si="7"/>
        <v>2745.532258825393</v>
      </c>
      <c r="Y15" s="6">
        <f t="shared" si="8"/>
        <v>0.34117401312327861</v>
      </c>
      <c r="Z15" s="2">
        <f t="shared" si="18"/>
        <v>3814557.0467658192</v>
      </c>
      <c r="AA15" s="2">
        <f>(X15*I15*365*10^6)/((IF(AC15,AC15,4286))*1000)</f>
        <v>830423.46583911765</v>
      </c>
      <c r="AB15" s="2" t="s">
        <v>598</v>
      </c>
      <c r="AC15" s="12">
        <f>VLOOKUP(B15,[9]Sheet1!$A$2:$B$137,2,FALSE)</f>
        <v>3444.2880509129841</v>
      </c>
      <c r="AD15" s="12">
        <f t="shared" si="9"/>
        <v>2411001.6356390887</v>
      </c>
      <c r="AE15" s="2"/>
      <c r="AF15" s="7">
        <f>VLOOKUP($B15,'[9]Subsidiary wise dispatch'!$A$3:$R$138,11,FALSE)*$H15*$O15*365</f>
        <v>0</v>
      </c>
      <c r="AG15" s="7">
        <f>VLOOKUP($B15,'[9]Subsidiary wise dispatch'!$A$3:$R$138,12,FALSE)*$H15*$O15*365</f>
        <v>0</v>
      </c>
      <c r="AH15" s="7">
        <f>VLOOKUP($B15,'[9]Subsidiary wise dispatch'!$A$3:$R$138,13,FALSE)*$H15*$O15*365</f>
        <v>0</v>
      </c>
      <c r="AI15" s="7">
        <f>VLOOKUP($B15,'[9]Subsidiary wise dispatch'!$A$3:$R$138,14,FALSE)*$H15*$O15*365</f>
        <v>587659.48304598429</v>
      </c>
      <c r="AJ15" s="7">
        <f>VLOOKUP($B15,'[9]Subsidiary wise dispatch'!$A$3:$R$138,15,FALSE)*$H15*$O15*365</f>
        <v>0</v>
      </c>
      <c r="AK15" s="7">
        <f>VLOOKUP($B15,'[9]Subsidiary wise dispatch'!$A$3:$R$138,16,FALSE)*$H15*$O15*365</f>
        <v>0</v>
      </c>
      <c r="AL15" s="7">
        <f>VLOOKUP($B15,'[9]Subsidiary wise dispatch'!$A$3:$R$138,17,FALSE)*$H15*$O15*365</f>
        <v>0</v>
      </c>
      <c r="AM15" s="7">
        <f>VLOOKUP($B15,'[9]Subsidiary wise dispatch'!$A$3:$R$138,18,FALSE)*$H15*$O15*365</f>
        <v>0</v>
      </c>
      <c r="AN15" s="15">
        <f t="shared" si="10"/>
        <v>587659.48304598429</v>
      </c>
      <c r="AO15" s="6">
        <v>6.6702414133670743E-2</v>
      </c>
      <c r="AP15" s="11">
        <f t="shared" si="20"/>
        <v>0.1903799528668923</v>
      </c>
      <c r="AQ15" s="11">
        <f t="shared" si="11"/>
        <v>0.95251047382881815</v>
      </c>
      <c r="AR15" s="3">
        <f>VLOOKUP(A15,[10]Sheet1!$A$2:$L$542,12,FALSE)</f>
        <v>4.3600000000000003</v>
      </c>
      <c r="AS15" s="3">
        <f t="shared" si="43"/>
        <v>3.3350220359824529</v>
      </c>
      <c r="AT15" s="3">
        <f t="shared" si="40"/>
        <v>3.3119775301434213</v>
      </c>
      <c r="AU15" s="3">
        <f t="shared" si="12"/>
        <v>2.3044505839031615E-2</v>
      </c>
      <c r="AV15" s="88">
        <f t="shared" si="21"/>
        <v>0.49839747505069149</v>
      </c>
      <c r="AW15" s="32">
        <f t="shared" si="22"/>
        <v>0.14253368166175467</v>
      </c>
      <c r="AX15" s="12">
        <f t="shared" si="44"/>
        <v>347.43313474835355</v>
      </c>
      <c r="AY15" s="12">
        <f t="shared" si="13"/>
        <v>1726.2689282613542</v>
      </c>
      <c r="AZ15" s="3">
        <f>VLOOKUP(A15,[5]Analysis!$A$3:$BJ$543,62,FALSE)</f>
        <v>1.3770499475915714</v>
      </c>
      <c r="BA15" s="2"/>
      <c r="BB15" s="2"/>
      <c r="BC15" s="2" t="str">
        <f>VLOOKUP(A15,'[6]FGD status - Jun 2020'!$I$2:$M$449,5,FALSE)</f>
        <v>BID Opened</v>
      </c>
      <c r="BD15" s="2"/>
      <c r="BE15" s="2"/>
      <c r="BF15" s="2">
        <f t="shared" si="14"/>
        <v>257.01606267720689</v>
      </c>
      <c r="BG15" s="2">
        <f t="shared" si="15"/>
        <v>1180.6054059740209</v>
      </c>
      <c r="BH15" s="2"/>
      <c r="BI15" s="2"/>
      <c r="BK15">
        <f t="shared" si="16"/>
        <v>118.92370222498833</v>
      </c>
      <c r="BL15" t="str">
        <f>VLOOKUP(A15,'[11]Daily coal vs energy req.2'!$C$2:$P$599,14,FALSE)</f>
        <v/>
      </c>
      <c r="BM15" t="str">
        <f>VLOOKUP(A15,'[11]Daily coal vs energy req.2'!$C$2:$R$599,16,FALSE)</f>
        <v/>
      </c>
      <c r="BP15" s="2" t="str">
        <f>VLOOKUP(A15,'[7]Table 2'!$J$2:$N$449,5,FALSE)</f>
        <v>NIT issued</v>
      </c>
      <c r="BR15">
        <f t="shared" si="23"/>
        <v>393.86625245303952</v>
      </c>
      <c r="BS15">
        <f t="shared" si="24"/>
        <v>1809.2278826199017</v>
      </c>
      <c r="BT15">
        <f>(X15*I15*365*[5]Analysis!BK15)/10^4</f>
        <v>119.28042225499486</v>
      </c>
      <c r="BU15">
        <f>(W15*R15*365*[5]Analysis!BK15)/10^4</f>
        <v>547.91560447322797</v>
      </c>
      <c r="BV15">
        <f>(X15*I15*365*[5]Analysis!BL15)/10^4</f>
        <v>274.58583019804462</v>
      </c>
      <c r="BW15">
        <f>(W15*R15*365*[5]Analysis!BL15)/10^4</f>
        <v>1261.3122781466736</v>
      </c>
      <c r="BX15">
        <f t="shared" si="25"/>
        <v>803211.79756222048</v>
      </c>
      <c r="BY15">
        <f t="shared" si="26"/>
        <v>3689560.0238613607</v>
      </c>
      <c r="BZ15">
        <f t="shared" si="41"/>
        <v>7431414.813744029</v>
      </c>
      <c r="CA15">
        <f t="shared" si="27"/>
        <v>37180912.900040947</v>
      </c>
      <c r="CB15">
        <f t="shared" si="28"/>
        <v>-52292.812927736908</v>
      </c>
      <c r="CC15">
        <f t="shared" si="29"/>
        <v>-1308998.334</v>
      </c>
      <c r="CD15">
        <f t="shared" si="30"/>
        <v>0</v>
      </c>
      <c r="CE15">
        <f t="shared" si="31"/>
        <v>0</v>
      </c>
      <c r="CF15">
        <f t="shared" si="32"/>
        <v>1860185.9981057204</v>
      </c>
      <c r="CG15">
        <f t="shared" si="33"/>
        <v>9306897.1799999997</v>
      </c>
      <c r="CH15">
        <f t="shared" si="34"/>
        <v>88237.870621142385</v>
      </c>
      <c r="CI15">
        <f t="shared" si="35"/>
        <v>441472.40657084138</v>
      </c>
      <c r="CJ15">
        <f t="shared" si="36"/>
        <v>-1202546.9630029041</v>
      </c>
      <c r="CK15">
        <f t="shared" si="37"/>
        <v>-6016592.4000000004</v>
      </c>
      <c r="CL15">
        <f t="shared" si="38"/>
        <v>538212.50347263063</v>
      </c>
      <c r="CM15">
        <f t="shared" si="39"/>
        <v>2692789.0199749172</v>
      </c>
    </row>
    <row r="16" spans="1:91" x14ac:dyDescent="0.2">
      <c r="A16" s="2" t="s">
        <v>13</v>
      </c>
      <c r="B16" s="2" t="str">
        <f t="shared" si="42"/>
        <v>KHARGONE STPP</v>
      </c>
      <c r="C16" s="2" t="str">
        <f>VLOOKUP($A16,'[1]daily coal, energy reqd'!$C$2:$T$599,17,FALSE)</f>
        <v>Madhya Pradesh</v>
      </c>
      <c r="D16" s="2" t="str">
        <f>VLOOKUP(C16,'Target PLF'!$I$2:$J$19,2,FALSE)</f>
        <v>WR</v>
      </c>
      <c r="E16" s="2" t="str">
        <f>VLOOKUP(A16,[2]Ownership!$C$2:$D$666,2,FALSE)</f>
        <v>CENTRAL SECTOR</v>
      </c>
      <c r="F16" s="2" t="s">
        <v>542</v>
      </c>
      <c r="G16" s="13">
        <v>0.60232717316906204</v>
      </c>
      <c r="H16" s="2">
        <v>660</v>
      </c>
      <c r="I16" s="2">
        <f>VLOOKUP(A16,'[3]Calculated coal req (reg.)'!$A$2:$I$599,9,FALSE)</f>
        <v>4.4700574094673096</v>
      </c>
      <c r="J16" s="2"/>
      <c r="K16" s="11">
        <v>0.28220059403202707</v>
      </c>
      <c r="L16" s="3">
        <f>VLOOKUP(F16,'Target PLF'!$A$2:$B$11,2,FALSE)</f>
        <v>0.85</v>
      </c>
      <c r="M16" s="3">
        <f t="shared" si="17"/>
        <v>0.56779940596797296</v>
      </c>
      <c r="N16" s="2" t="str">
        <f t="shared" si="0"/>
        <v>0.15</v>
      </c>
      <c r="O16" s="2">
        <f t="shared" si="45"/>
        <v>3.957778688155932</v>
      </c>
      <c r="P16" s="2">
        <f t="shared" si="1"/>
        <v>953428.88597676402</v>
      </c>
      <c r="Q16" s="2">
        <f t="shared" si="2"/>
        <v>11.85774216321013</v>
      </c>
      <c r="R16" s="2">
        <f t="shared" si="3"/>
        <v>13.464</v>
      </c>
      <c r="S16" s="2">
        <f t="shared" si="4"/>
        <v>2856530.0871173204</v>
      </c>
      <c r="T16" s="2" t="str">
        <f>VLOOKUP(A16,'[4]CEA vs MERIT comp. &amp; NPA marker'!$C$2:$K$735,9,FALSE)</f>
        <v>Contracted</v>
      </c>
      <c r="U16" s="3">
        <f>VLOOKUP(B16,'[8]Import-Domestic share'!$A$208:$F$406,6,FALSE)</f>
        <v>0</v>
      </c>
      <c r="V16" s="3">
        <f t="shared" si="5"/>
        <v>0</v>
      </c>
      <c r="W16" s="2">
        <f t="shared" si="6"/>
        <v>2530.4386650527031</v>
      </c>
      <c r="X16" s="2">
        <f t="shared" si="7"/>
        <v>2718.1367960428233</v>
      </c>
      <c r="Y16" s="6">
        <f t="shared" si="8"/>
        <v>0.33986202150530614</v>
      </c>
      <c r="Z16" s="2">
        <f t="shared" si="18"/>
        <v>2901420.102190481</v>
      </c>
      <c r="AA16" s="2">
        <f t="shared" si="19"/>
        <v>1034725.3958610332</v>
      </c>
      <c r="AB16" s="2" t="s">
        <v>598</v>
      </c>
      <c r="AC16" s="12"/>
      <c r="AD16" s="12">
        <f t="shared" si="9"/>
        <v>0</v>
      </c>
      <c r="AE16" s="2"/>
      <c r="AF16" s="7"/>
      <c r="AG16" s="7"/>
      <c r="AH16" s="7"/>
      <c r="AI16" s="7"/>
      <c r="AJ16" s="7"/>
      <c r="AK16" s="7"/>
      <c r="AL16" s="7"/>
      <c r="AM16" s="7"/>
      <c r="AN16" s="15">
        <f t="shared" si="10"/>
        <v>0</v>
      </c>
      <c r="AO16" s="6">
        <v>7.3541634189813465E-2</v>
      </c>
      <c r="AP16" s="11">
        <f t="shared" si="20"/>
        <v>0.32873532681451012</v>
      </c>
      <c r="AQ16" s="11">
        <f t="shared" si="11"/>
        <v>0.99016456273164855</v>
      </c>
      <c r="AR16" s="3">
        <f>VLOOKUP(A16,[10]Sheet1!$A$2:$L$542,12,FALSE)</f>
        <v>2.8299999999999899</v>
      </c>
      <c r="AS16" s="3">
        <f t="shared" si="43"/>
        <v>2.0942706931837756</v>
      </c>
      <c r="AT16" s="3">
        <f t="shared" si="40"/>
        <v>2.0750316347572881</v>
      </c>
      <c r="AU16" s="3">
        <f t="shared" si="12"/>
        <v>1.9239058426487432E-2</v>
      </c>
      <c r="AV16" s="88">
        <f t="shared" si="21"/>
        <v>0.41609476068144996</v>
      </c>
      <c r="AW16" s="32">
        <f t="shared" si="22"/>
        <v>0.18949589637414546</v>
      </c>
      <c r="AX16" s="12">
        <f t="shared" si="44"/>
        <v>341.69512337661769</v>
      </c>
      <c r="AY16" s="12">
        <f t="shared" si="13"/>
        <v>1019.7452464585825</v>
      </c>
      <c r="AZ16" s="3">
        <f>VLOOKUP(A16,[5]Analysis!$A$3:$BJ$543,62,FALSE)</f>
        <v>0.7133581048872023</v>
      </c>
      <c r="BA16" s="2"/>
      <c r="BB16" s="2"/>
      <c r="BC16" s="2" t="str">
        <f>VLOOKUP(A16,'[6]FGD status - Jun 2020'!$I$2:$M$449,5,FALSE)</f>
        <v>Bid Awarded</v>
      </c>
      <c r="BD16" s="2"/>
      <c r="BE16" s="2"/>
      <c r="BF16" s="2">
        <f t="shared" si="14"/>
        <v>320.24751001898983</v>
      </c>
      <c r="BG16" s="2">
        <f t="shared" si="15"/>
        <v>897.98952162795388</v>
      </c>
      <c r="BH16" s="2"/>
      <c r="BI16" s="2"/>
      <c r="BK16">
        <f t="shared" si="16"/>
        <v>186.25239206113787</v>
      </c>
      <c r="BP16" s="2" t="str">
        <f>VLOOKUP(A16,'[7]Table 2'!$J$2:$N$449,5,FALSE)</f>
        <v>Bid Awarded</v>
      </c>
      <c r="BR16">
        <f t="shared" si="23"/>
        <v>316.36240976567927</v>
      </c>
      <c r="BS16">
        <f t="shared" si="24"/>
        <v>887.09551243568842</v>
      </c>
      <c r="BT16">
        <f>(X16*I16*365*[5]Analysis!BK16)/10^4</f>
        <v>166.66092287689878</v>
      </c>
      <c r="BU16">
        <f>(W16*R16*365*[5]Analysis!BK16)/10^4</f>
        <v>467.32529598567442</v>
      </c>
      <c r="BV16">
        <f>(X16*I16*365*[5]Analysis!BL16)/10^4</f>
        <v>149.70148688878047</v>
      </c>
      <c r="BW16">
        <f>(W16*R16*365*[5]Analysis!BL16)/10^4</f>
        <v>419.77021645001406</v>
      </c>
      <c r="BX16">
        <f t="shared" si="25"/>
        <v>1245398.3213224381</v>
      </c>
      <c r="BY16">
        <f t="shared" si="26"/>
        <v>3492157.1840926334</v>
      </c>
      <c r="BZ16">
        <f t="shared" si="41"/>
        <v>6029243.8497208357</v>
      </c>
      <c r="CA16">
        <f t="shared" si="27"/>
        <v>18160334.813756939</v>
      </c>
      <c r="CB16">
        <f t="shared" si="28"/>
        <v>-136038.86038292488</v>
      </c>
      <c r="CC16">
        <f t="shared" si="29"/>
        <v>-1234198.4292000001</v>
      </c>
      <c r="CD16">
        <f t="shared" si="30"/>
        <v>0</v>
      </c>
      <c r="CE16">
        <f t="shared" si="31"/>
        <v>0</v>
      </c>
      <c r="CF16">
        <f t="shared" si="32"/>
        <v>2913330.8612471577</v>
      </c>
      <c r="CG16">
        <f t="shared" si="33"/>
        <v>8775074.4840000011</v>
      </c>
      <c r="CH16">
        <f t="shared" si="34"/>
        <v>19936.150087469265</v>
      </c>
      <c r="CI16">
        <f t="shared" si="35"/>
        <v>60048.518439425025</v>
      </c>
      <c r="CJ16">
        <f t="shared" si="36"/>
        <v>-1775748.1861405268</v>
      </c>
      <c r="CK16">
        <f t="shared" si="37"/>
        <v>-5348627.8560000015</v>
      </c>
      <c r="CL16">
        <f t="shared" si="38"/>
        <v>929349.23325899988</v>
      </c>
      <c r="CM16">
        <f t="shared" si="39"/>
        <v>2799238.7860831306</v>
      </c>
    </row>
    <row r="17" spans="1:91" x14ac:dyDescent="0.2">
      <c r="A17" s="2" t="s">
        <v>12</v>
      </c>
      <c r="B17" s="2" t="str">
        <f t="shared" si="42"/>
        <v>TANDA STPS</v>
      </c>
      <c r="C17" s="2" t="str">
        <f>VLOOKUP($A17,'[1]daily coal, energy reqd'!$C$2:$T$599,17,FALSE)</f>
        <v>Uttar Pradesh</v>
      </c>
      <c r="D17" s="2" t="str">
        <f>VLOOKUP(C17,'Target PLF'!$I$2:$J$19,2,FALSE)</f>
        <v>NR</v>
      </c>
      <c r="E17" s="2" t="str">
        <f>VLOOKUP(A17,[2]Ownership!$C$2:$D$666,2,FALSE)</f>
        <v>CENTRAL SECTOR</v>
      </c>
      <c r="F17" s="2" t="s">
        <v>542</v>
      </c>
      <c r="G17" s="13">
        <v>0.60232717316906204</v>
      </c>
      <c r="H17" s="2">
        <v>660</v>
      </c>
      <c r="I17" s="2">
        <f>VLOOKUP(A17,'[3]Calculated coal req (reg.)'!$A$2:$I$599,9,FALSE)</f>
        <v>8.6554551662340806</v>
      </c>
      <c r="J17" s="2">
        <f>K17*H17*24/1000</f>
        <v>8.6554551662340806</v>
      </c>
      <c r="K17" s="11">
        <v>0.54643025039356563</v>
      </c>
      <c r="L17" s="3">
        <f>VLOOKUP(F17,'Target PLF'!$A$2:$B$11,2,FALSE)</f>
        <v>0.85</v>
      </c>
      <c r="M17" s="3">
        <f t="shared" si="17"/>
        <v>0.30356974960643435</v>
      </c>
      <c r="N17" s="2" t="str">
        <f t="shared" si="0"/>
        <v>0.15</v>
      </c>
      <c r="O17" s="2">
        <f t="shared" si="45"/>
        <v>7.6340851660109266</v>
      </c>
      <c r="P17" s="2">
        <f t="shared" si="1"/>
        <v>1839051.1164920323</v>
      </c>
      <c r="Q17" s="2">
        <f t="shared" si="2"/>
        <v>11.85774216321013</v>
      </c>
      <c r="R17" s="2">
        <f t="shared" si="3"/>
        <v>13.464</v>
      </c>
      <c r="S17" s="2">
        <f t="shared" si="4"/>
        <v>2856530.0871173204</v>
      </c>
      <c r="T17" s="2" t="str">
        <f>VLOOKUP(A17,'[4]CEA vs MERIT comp. &amp; NPA marker'!$C$2:$K$735,9,FALSE)</f>
        <v>Contracted</v>
      </c>
      <c r="U17" s="3">
        <f>VLOOKUP(B17,'[8]Import-Domestic share'!$A$208:$F$406,6,FALSE)</f>
        <v>0</v>
      </c>
      <c r="V17" s="3">
        <f t="shared" si="5"/>
        <v>0</v>
      </c>
      <c r="W17" s="2">
        <f t="shared" si="6"/>
        <v>2530.4386650527031</v>
      </c>
      <c r="X17" s="2">
        <f t="shared" si="7"/>
        <v>2630.7900814638019</v>
      </c>
      <c r="Y17" s="6">
        <f t="shared" si="8"/>
        <v>0.33986202150530614</v>
      </c>
      <c r="Z17" s="2">
        <f t="shared" si="18"/>
        <v>2857686.5259743878</v>
      </c>
      <c r="AA17" s="2">
        <f t="shared" si="19"/>
        <v>1909944.6259554164</v>
      </c>
      <c r="AB17" s="2" t="s">
        <v>598</v>
      </c>
      <c r="AC17" s="12">
        <f>VLOOKUP(B17,[9]Sheet1!$A$2:$B$137,2,FALSE)</f>
        <v>4351.5922565188512</v>
      </c>
      <c r="AD17" s="12">
        <f t="shared" si="9"/>
        <v>2872050.8893024419</v>
      </c>
      <c r="AE17" s="2"/>
      <c r="AF17" s="7">
        <f>VLOOKUP($B17,'[9]Subsidiary wise dispatch'!$A$3:$R$138,11,FALSE)*$H17*$O17*365</f>
        <v>0</v>
      </c>
      <c r="AG17" s="7">
        <f>VLOOKUP($B17,'[9]Subsidiary wise dispatch'!$A$3:$R$138,12,FALSE)*$H17*$O17*365</f>
        <v>1839051.1164920323</v>
      </c>
      <c r="AH17" s="7">
        <f>VLOOKUP($B17,'[9]Subsidiary wise dispatch'!$A$3:$R$138,13,FALSE)*$H17*$O17*365</f>
        <v>0</v>
      </c>
      <c r="AI17" s="7">
        <f>VLOOKUP($B17,'[9]Subsidiary wise dispatch'!$A$3:$R$138,14,FALSE)*$H17*$O17*365</f>
        <v>0</v>
      </c>
      <c r="AJ17" s="7">
        <f>VLOOKUP($B17,'[9]Subsidiary wise dispatch'!$A$3:$R$138,15,FALSE)*$H17*$O17*365</f>
        <v>0</v>
      </c>
      <c r="AK17" s="7">
        <f>VLOOKUP($B17,'[9]Subsidiary wise dispatch'!$A$3:$R$138,16,FALSE)*$H17*$O17*365</f>
        <v>0</v>
      </c>
      <c r="AL17" s="7">
        <f>VLOOKUP($B17,'[9]Subsidiary wise dispatch'!$A$3:$R$138,17,FALSE)*$H17*$O17*365</f>
        <v>0</v>
      </c>
      <c r="AM17" s="7">
        <f>VLOOKUP($B17,'[9]Subsidiary wise dispatch'!$A$3:$R$138,18,FALSE)*$H17*$O17*365</f>
        <v>0</v>
      </c>
      <c r="AN17" s="15">
        <f t="shared" si="10"/>
        <v>1839051.1164920323</v>
      </c>
      <c r="AO17" s="6">
        <v>0.12115813368341415</v>
      </c>
      <c r="AP17" s="11">
        <f t="shared" si="20"/>
        <v>1.0486787941213864</v>
      </c>
      <c r="AQ17" s="11">
        <f t="shared" si="11"/>
        <v>1.631273111913488</v>
      </c>
      <c r="AR17" s="3">
        <f>VLOOKUP(A17,[10]Sheet1!$A$2:$L$542,12,FALSE)</f>
        <v>2.4057923702741499</v>
      </c>
      <c r="AS17" s="3">
        <f t="shared" si="43"/>
        <v>2.3296149404429478</v>
      </c>
      <c r="AT17" s="3">
        <f t="shared" si="40"/>
        <v>2.3193289202608103</v>
      </c>
      <c r="AU17" s="3">
        <f t="shared" si="12"/>
        <v>1.0286020182137534E-2</v>
      </c>
      <c r="AV17" s="88">
        <f t="shared" si="21"/>
        <v>0.22246198390658722</v>
      </c>
      <c r="AW17" s="32">
        <f t="shared" si="22"/>
        <v>9.1077697022370147E-2</v>
      </c>
      <c r="AX17" s="12">
        <f t="shared" si="44"/>
        <v>735.98153501314505</v>
      </c>
      <c r="AY17" s="12">
        <f t="shared" si="13"/>
        <v>1139.8017272572918</v>
      </c>
      <c r="AZ17" s="3">
        <f>VLOOKUP(A17,[5]Analysis!$A$3:$BJ$543,62,FALSE)</f>
        <v>0.77136752759212912</v>
      </c>
      <c r="BA17" s="2"/>
      <c r="BB17" s="2"/>
      <c r="BC17" s="2" t="e">
        <f>VLOOKUP(A17,'[6]FGD status - Jun 2020'!$I$2:$M$449,5,FALSE)</f>
        <v>#N/A</v>
      </c>
      <c r="BD17" s="2"/>
      <c r="BE17" s="2"/>
      <c r="BF17" s="2">
        <f t="shared" si="14"/>
        <v>591.12786173320137</v>
      </c>
      <c r="BG17" s="2">
        <f t="shared" si="15"/>
        <v>884.45397978907295</v>
      </c>
      <c r="BH17" s="2"/>
      <c r="BI17" s="2"/>
      <c r="BK17">
        <f t="shared" si="16"/>
        <v>360.64396525975332</v>
      </c>
      <c r="BP17" s="2" t="e">
        <f>VLOOKUP(A17,'[7]Table 2'!$J$2:$N$449,5,FALSE)</f>
        <v>#N/A</v>
      </c>
      <c r="BR17">
        <f t="shared" si="23"/>
        <v>641.10671208203644</v>
      </c>
      <c r="BS17">
        <f t="shared" si="24"/>
        <v>959.2330520640669</v>
      </c>
      <c r="BT17">
        <f>(X17*I17*365*[5]Analysis!BK17)/10^4</f>
        <v>323.52493956742177</v>
      </c>
      <c r="BU17">
        <f>(W17*R17*365*[5]Analysis!BK17)/10^4</f>
        <v>484.06265189809773</v>
      </c>
      <c r="BV17">
        <f>(X17*I17*365*[5]Analysis!BL17)/10^4</f>
        <v>317.58177251461467</v>
      </c>
      <c r="BW17">
        <f>(W17*R17*365*[5]Analysis!BL17)/10^4</f>
        <v>475.17040016596923</v>
      </c>
      <c r="BX17">
        <f t="shared" si="25"/>
        <v>2333995.2741930322</v>
      </c>
      <c r="BY17">
        <f t="shared" si="26"/>
        <v>3492157.1840926334</v>
      </c>
      <c r="BZ17">
        <f t="shared" si="41"/>
        <v>12623896.109416766</v>
      </c>
      <c r="CA17">
        <f t="shared" si="27"/>
        <v>19637111.388463136</v>
      </c>
      <c r="CB17">
        <f t="shared" si="28"/>
        <v>-510054.52604780189</v>
      </c>
      <c r="CC17">
        <f t="shared" si="29"/>
        <v>-1234198.4292000001</v>
      </c>
      <c r="CD17">
        <f t="shared" si="30"/>
        <v>0</v>
      </c>
      <c r="CE17">
        <f t="shared" si="31"/>
        <v>0</v>
      </c>
      <c r="CF17">
        <f t="shared" si="32"/>
        <v>5641136.6441344824</v>
      </c>
      <c r="CG17">
        <f t="shared" si="33"/>
        <v>8775074.4840000011</v>
      </c>
      <c r="CH17">
        <f t="shared" si="34"/>
        <v>38602.737607785486</v>
      </c>
      <c r="CI17">
        <f t="shared" si="35"/>
        <v>60048.518439425025</v>
      </c>
      <c r="CJ17">
        <f t="shared" si="36"/>
        <v>-3438414.1866071541</v>
      </c>
      <c r="CK17">
        <f t="shared" si="37"/>
        <v>-5348627.8560000015</v>
      </c>
      <c r="CL17">
        <f t="shared" si="38"/>
        <v>2964661.0928481002</v>
      </c>
      <c r="CM17">
        <f t="shared" si="39"/>
        <v>4611680.863396355</v>
      </c>
    </row>
    <row r="18" spans="1:91" x14ac:dyDescent="0.2">
      <c r="A18" s="2" t="s">
        <v>14</v>
      </c>
      <c r="B18" s="2" t="str">
        <f t="shared" si="42"/>
        <v>IB VALLEY TPS</v>
      </c>
      <c r="C18" s="2" t="str">
        <f>VLOOKUP($A18,'[1]daily coal, energy reqd'!$C$2:$T$599,17,FALSE)</f>
        <v>Odisha</v>
      </c>
      <c r="D18" s="2" t="str">
        <f>VLOOKUP(C18,'Target PLF'!$I$2:$J$19,2,FALSE)</f>
        <v>ER</v>
      </c>
      <c r="E18" s="2" t="str">
        <f>VLOOKUP(A18,[2]Ownership!$C$2:$D$666,2,FALSE)</f>
        <v>STATE SECTOR</v>
      </c>
      <c r="F18" s="2" t="s">
        <v>542</v>
      </c>
      <c r="G18" s="13">
        <v>0.67898699520876105</v>
      </c>
      <c r="H18" s="2">
        <v>660</v>
      </c>
      <c r="I18" s="2">
        <f>VLOOKUP(A18,'[3]Calculated coal req (reg.)'!$A$2:$I$599,9,FALSE)</f>
        <v>7.9312901107050102</v>
      </c>
      <c r="J18" s="2"/>
      <c r="K18" s="11">
        <v>0.50071275951420524</v>
      </c>
      <c r="L18" s="3">
        <f>VLOOKUP(F18,'Target PLF'!$A$2:$B$11,2,FALSE)</f>
        <v>0.85</v>
      </c>
      <c r="M18" s="3">
        <f t="shared" si="17"/>
        <v>0.34928724048579474</v>
      </c>
      <c r="N18" s="2" t="str">
        <f t="shared" si="0"/>
        <v>0.15</v>
      </c>
      <c r="O18" s="2">
        <f t="shared" si="45"/>
        <v>7.000432200022229</v>
      </c>
      <c r="P18" s="2">
        <f t="shared" si="1"/>
        <v>1686404.1169853548</v>
      </c>
      <c r="Q18" s="2">
        <f t="shared" si="2"/>
        <v>11.860170363073237</v>
      </c>
      <c r="R18" s="2">
        <f t="shared" si="3"/>
        <v>13.464</v>
      </c>
      <c r="S18" s="2">
        <f t="shared" si="4"/>
        <v>2857115.0404643426</v>
      </c>
      <c r="T18" s="2" t="str">
        <f>VLOOKUP(A18,'[4]CEA vs MERIT comp. &amp; NPA marker'!$C$2:$K$735,9,FALSE)</f>
        <v>Contracted</v>
      </c>
      <c r="U18" s="3">
        <f>VLOOKUP(B18,'[8]Import-Domestic share'!$A$208:$F$406,6,FALSE)</f>
        <v>0</v>
      </c>
      <c r="V18" s="3">
        <f t="shared" si="5"/>
        <v>0</v>
      </c>
      <c r="W18" s="2">
        <f t="shared" si="6"/>
        <v>2531.024387259411</v>
      </c>
      <c r="X18" s="2">
        <f t="shared" si="7"/>
        <v>2646.4886894914889</v>
      </c>
      <c r="Y18" s="6">
        <f t="shared" si="8"/>
        <v>0.33978337163760264</v>
      </c>
      <c r="Z18" s="2">
        <f t="shared" si="18"/>
        <v>3827189.2331606657</v>
      </c>
      <c r="AA18" s="2">
        <f t="shared" si="19"/>
        <v>2357346.27490327</v>
      </c>
      <c r="AB18" s="2" t="s">
        <v>598</v>
      </c>
      <c r="AC18" s="12">
        <f>VLOOKUP(B18,[9]Sheet1!$A$2:$B$137,2,FALSE)</f>
        <v>3249.9999999999991</v>
      </c>
      <c r="AD18" s="12">
        <f t="shared" si="9"/>
        <v>2144999.9999999995</v>
      </c>
      <c r="AE18" s="2" t="s">
        <v>589</v>
      </c>
      <c r="AF18" s="7">
        <f>VLOOKUP($B18,'[9]Subsidiary wise dispatch'!$A$3:$R$138,11,FALSE)*$H18*$O18*365</f>
        <v>0</v>
      </c>
      <c r="AG18" s="7">
        <f>VLOOKUP($B18,'[9]Subsidiary wise dispatch'!$A$3:$R$138,12,FALSE)*$H18*$O18*365</f>
        <v>0</v>
      </c>
      <c r="AH18" s="7">
        <f>VLOOKUP($B18,'[9]Subsidiary wise dispatch'!$A$3:$R$138,13,FALSE)*$H18*$O18*365</f>
        <v>0</v>
      </c>
      <c r="AI18" s="7">
        <f>VLOOKUP($B18,'[9]Subsidiary wise dispatch'!$A$3:$R$138,14,FALSE)*$H18*$O18*365</f>
        <v>1686404.1169853548</v>
      </c>
      <c r="AJ18" s="7">
        <f>VLOOKUP($B18,'[9]Subsidiary wise dispatch'!$A$3:$R$138,15,FALSE)*$H18*$O18*365</f>
        <v>0</v>
      </c>
      <c r="AK18" s="7">
        <f>VLOOKUP($B18,'[9]Subsidiary wise dispatch'!$A$3:$R$138,16,FALSE)*$H18*$O18*365</f>
        <v>0</v>
      </c>
      <c r="AL18" s="7">
        <f>VLOOKUP($B18,'[9]Subsidiary wise dispatch'!$A$3:$R$138,17,FALSE)*$H18*$O18*365</f>
        <v>0</v>
      </c>
      <c r="AM18" s="7">
        <f>VLOOKUP($B18,'[9]Subsidiary wise dispatch'!$A$3:$R$138,18,FALSE)*$H18*$O18*365</f>
        <v>0</v>
      </c>
      <c r="AN18" s="15">
        <f t="shared" si="10"/>
        <v>1686404.1169853548</v>
      </c>
      <c r="AO18" s="6">
        <v>0.10945422612917571</v>
      </c>
      <c r="AP18" s="11">
        <f t="shared" si="20"/>
        <v>0.86811322127320123</v>
      </c>
      <c r="AQ18" s="11">
        <f t="shared" si="11"/>
        <v>1.4736917006032217</v>
      </c>
      <c r="AR18" s="3">
        <f>VLOOKUP(A18,[10]Sheet1!$A$2:$L$542,12,FALSE)</f>
        <v>1.51</v>
      </c>
      <c r="AS18" s="3">
        <f t="shared" si="43"/>
        <v>1.9052472178146487</v>
      </c>
      <c r="AT18" s="3">
        <f t="shared" si="40"/>
        <v>1.8934121268358606</v>
      </c>
      <c r="AU18" s="3">
        <f t="shared" si="12"/>
        <v>1.1835090978788099E-2</v>
      </c>
      <c r="AV18" s="88">
        <f t="shared" si="21"/>
        <v>0.25596467557280012</v>
      </c>
      <c r="AW18" s="32">
        <f t="shared" si="22"/>
        <v>0.12813538438021332</v>
      </c>
      <c r="AX18" s="12">
        <f t="shared" si="44"/>
        <v>551.55399722420691</v>
      </c>
      <c r="AY18" s="12">
        <f t="shared" si="13"/>
        <v>930.49088196370815</v>
      </c>
      <c r="AZ18" s="3">
        <f>VLOOKUP(A18,[5]Analysis!$A$3:$BJ$543,62,FALSE)</f>
        <v>0.56327565253723622</v>
      </c>
      <c r="BA18" s="2"/>
      <c r="BB18" s="2"/>
      <c r="BC18" s="2" t="e">
        <f>VLOOKUP(A18,'[6]FGD status - Jun 2020'!$I$2:$M$449,5,FALSE)</f>
        <v>#N/A</v>
      </c>
      <c r="BD18" s="2"/>
      <c r="BE18" s="2"/>
      <c r="BF18" s="2">
        <f t="shared" si="14"/>
        <v>729.59867208256208</v>
      </c>
      <c r="BG18" s="2">
        <f t="shared" si="15"/>
        <v>1184.5150676632261</v>
      </c>
      <c r="BH18" s="2"/>
      <c r="BI18" s="2"/>
      <c r="BK18">
        <f t="shared" si="16"/>
        <v>330.47042127937544</v>
      </c>
      <c r="BP18" s="2" t="e">
        <f>VLOOKUP(A18,'[7]Table 2'!$J$2:$N$449,5,FALSE)</f>
        <v>#N/A</v>
      </c>
      <c r="BR18">
        <f t="shared" si="23"/>
        <v>431.54662240701765</v>
      </c>
      <c r="BS18">
        <f t="shared" si="24"/>
        <v>700.62281662491887</v>
      </c>
      <c r="BT18">
        <f>(X18*I18*365*[5]Analysis!BK18)/10^4</f>
        <v>318.36949642127098</v>
      </c>
      <c r="BU18">
        <f>(W18*R18*365*[5]Analysis!BK18)/10^4</f>
        <v>516.87794951561341</v>
      </c>
      <c r="BV18">
        <f>(X18*I18*365*[5]Analysis!BL18)/10^4</f>
        <v>113.17712598574671</v>
      </c>
      <c r="BW18">
        <f>(W18*R18*365*[5]Analysis!BL18)/10^4</f>
        <v>183.74486710930563</v>
      </c>
      <c r="BX18">
        <f t="shared" si="25"/>
        <v>2151482.131033292</v>
      </c>
      <c r="BY18">
        <f t="shared" si="26"/>
        <v>3492965.5158812227</v>
      </c>
      <c r="BZ18">
        <f t="shared" si="41"/>
        <v>8447086.927307209</v>
      </c>
      <c r="CA18">
        <f t="shared" si="27"/>
        <v>14339606.394646771</v>
      </c>
      <c r="CB18">
        <f t="shared" si="28"/>
        <v>-428276.70723581314</v>
      </c>
      <c r="CC18">
        <f t="shared" si="29"/>
        <v>-1234198.4292000001</v>
      </c>
      <c r="CD18">
        <f t="shared" si="30"/>
        <v>0</v>
      </c>
      <c r="CE18">
        <f t="shared" si="31"/>
        <v>0</v>
      </c>
      <c r="CF18">
        <f t="shared" si="32"/>
        <v>5169166.7762662712</v>
      </c>
      <c r="CG18">
        <f t="shared" si="33"/>
        <v>8775074.4840000011</v>
      </c>
      <c r="CH18">
        <f t="shared" si="34"/>
        <v>39875.030611716305</v>
      </c>
      <c r="CI18">
        <f t="shared" si="35"/>
        <v>67691.057149897315</v>
      </c>
      <c r="CJ18">
        <f t="shared" si="36"/>
        <v>-3150736.7216380085</v>
      </c>
      <c r="CK18">
        <f t="shared" si="37"/>
        <v>-5348627.8560000015</v>
      </c>
      <c r="CL18">
        <f t="shared" si="38"/>
        <v>2454194.273521076</v>
      </c>
      <c r="CM18">
        <f t="shared" si="39"/>
        <v>4166191.2800401347</v>
      </c>
    </row>
    <row r="19" spans="1:91" x14ac:dyDescent="0.2">
      <c r="A19" s="2" t="s">
        <v>15</v>
      </c>
      <c r="B19" s="2" t="str">
        <f t="shared" si="42"/>
        <v>NABINAGAR STPP</v>
      </c>
      <c r="C19" s="2" t="str">
        <f>VLOOKUP($A19,'[1]daily coal, energy reqd'!$C$2:$T$599,17,FALSE)</f>
        <v>Bihar</v>
      </c>
      <c r="D19" s="2" t="str">
        <f>VLOOKUP(C19,'Target PLF'!$I$2:$J$19,2,FALSE)</f>
        <v>ER</v>
      </c>
      <c r="E19" s="2" t="str">
        <f>VLOOKUP(A19,[2]Ownership!$C$2:$D$666,2,FALSE)</f>
        <v>CENTRAL SECTOR</v>
      </c>
      <c r="F19" s="2" t="s">
        <v>542</v>
      </c>
      <c r="G19" s="13">
        <v>0.81040383299110197</v>
      </c>
      <c r="H19" s="2">
        <v>660</v>
      </c>
      <c r="I19" s="2">
        <f>VLOOKUP(A19,'[3]Calculated coal req (reg.)'!$A$2:$I$599,9,FALSE)</f>
        <v>6.1924459584723701</v>
      </c>
      <c r="J19" s="2"/>
      <c r="K19" s="11">
        <v>0.39093724485305364</v>
      </c>
      <c r="L19" s="3">
        <f>VLOOKUP(F19,'Target PLF'!$A$2:$B$11,2,FALSE)</f>
        <v>0.85</v>
      </c>
      <c r="M19" s="3">
        <f t="shared" si="17"/>
        <v>0.45906275514694633</v>
      </c>
      <c r="N19" s="2" t="str">
        <f t="shared" si="0"/>
        <v>0.15</v>
      </c>
      <c r="O19" s="2">
        <f t="shared" si="45"/>
        <v>5.4772551602239847</v>
      </c>
      <c r="P19" s="2">
        <f t="shared" si="1"/>
        <v>1319470.7680979578</v>
      </c>
      <c r="Q19" s="2">
        <f t="shared" si="2"/>
        <v>11.864332991409993</v>
      </c>
      <c r="R19" s="2">
        <f t="shared" si="3"/>
        <v>13.464</v>
      </c>
      <c r="S19" s="2">
        <f t="shared" si="4"/>
        <v>2858117.8176306672</v>
      </c>
      <c r="T19" s="2" t="str">
        <f>VLOOKUP(A19,'[4]CEA vs MERIT comp. &amp; NPA marker'!$C$2:$K$735,9,FALSE)</f>
        <v>Contracted</v>
      </c>
      <c r="U19" s="3">
        <f>VLOOKUP(B19,'[8]Import-Domestic share'!$A$208:$F$406,6,FALSE)</f>
        <v>0</v>
      </c>
      <c r="V19" s="3">
        <f t="shared" si="5"/>
        <v>0</v>
      </c>
      <c r="W19" s="2">
        <f t="shared" si="6"/>
        <v>2532.0284824709097</v>
      </c>
      <c r="X19" s="2">
        <f t="shared" si="7"/>
        <v>2683.781408315142</v>
      </c>
      <c r="Y19" s="6">
        <f t="shared" si="8"/>
        <v>0.33964862794938189</v>
      </c>
      <c r="Z19" s="2">
        <f t="shared" si="18"/>
        <v>3152265.5592279127</v>
      </c>
      <c r="AA19" s="2">
        <f t="shared" si="19"/>
        <v>1536701.3491950922</v>
      </c>
      <c r="AB19" s="2" t="s">
        <v>598</v>
      </c>
      <c r="AC19" s="12">
        <f>VLOOKUP(B19,[9]Sheet1!$A$2:$B$137,2,FALSE)</f>
        <v>3947.4147273821336</v>
      </c>
      <c r="AD19" s="12">
        <f t="shared" si="9"/>
        <v>2605293.720072208</v>
      </c>
      <c r="AE19" s="2"/>
      <c r="AF19" s="7">
        <f>VLOOKUP($B19,'[9]Subsidiary wise dispatch'!$A$3:$R$138,11,FALSE)*$H19*$O19*365</f>
        <v>0</v>
      </c>
      <c r="AG19" s="7">
        <f>VLOOKUP($B19,'[9]Subsidiary wise dispatch'!$A$3:$R$138,12,FALSE)*$H19*$O19*365</f>
        <v>1319470.7680979578</v>
      </c>
      <c r="AH19" s="7">
        <f>VLOOKUP($B19,'[9]Subsidiary wise dispatch'!$A$3:$R$138,13,FALSE)*$H19*$O19*365</f>
        <v>0</v>
      </c>
      <c r="AI19" s="7">
        <f>VLOOKUP($B19,'[9]Subsidiary wise dispatch'!$A$3:$R$138,14,FALSE)*$H19*$O19*365</f>
        <v>0</v>
      </c>
      <c r="AJ19" s="7">
        <f>VLOOKUP($B19,'[9]Subsidiary wise dispatch'!$A$3:$R$138,15,FALSE)*$H19*$O19*365</f>
        <v>0</v>
      </c>
      <c r="AK19" s="7">
        <f>VLOOKUP($B19,'[9]Subsidiary wise dispatch'!$A$3:$R$138,16,FALSE)*$H19*$O19*365</f>
        <v>0</v>
      </c>
      <c r="AL19" s="7">
        <f>VLOOKUP($B19,'[9]Subsidiary wise dispatch'!$A$3:$R$138,17,FALSE)*$H19*$O19*365</f>
        <v>0</v>
      </c>
      <c r="AM19" s="7">
        <f>VLOOKUP($B19,'[9]Subsidiary wise dispatch'!$A$3:$R$138,18,FALSE)*$H19*$O19*365</f>
        <v>0</v>
      </c>
      <c r="AN19" s="15">
        <f t="shared" si="10"/>
        <v>1319470.7680979578</v>
      </c>
      <c r="AO19" s="6">
        <v>7.0000000000000007E-2</v>
      </c>
      <c r="AP19" s="11">
        <f t="shared" si="20"/>
        <v>0.43347121709306596</v>
      </c>
      <c r="AQ19" s="11">
        <f t="shared" si="11"/>
        <v>0.9424800000000001</v>
      </c>
      <c r="AR19" s="3">
        <f>VLOOKUP(A19,[10]Sheet1!$A$2:$L$542,12,FALSE)</f>
        <v>2.0572391480183301</v>
      </c>
      <c r="AS19" s="3">
        <f t="shared" si="43"/>
        <v>1.9238022911782624</v>
      </c>
      <c r="AT19" s="3">
        <f t="shared" si="40"/>
        <v>1.9082476162792286</v>
      </c>
      <c r="AU19" s="3">
        <f t="shared" si="12"/>
        <v>1.5554674899033838E-2</v>
      </c>
      <c r="AV19" s="88">
        <f t="shared" si="21"/>
        <v>0.33641036822678522</v>
      </c>
      <c r="AW19" s="32">
        <f t="shared" si="22"/>
        <v>0.16678205177271016</v>
      </c>
      <c r="AX19" s="12">
        <f t="shared" si="44"/>
        <v>434.82602288609513</v>
      </c>
      <c r="AY19" s="12">
        <f t="shared" si="13"/>
        <v>937.78157555379914</v>
      </c>
      <c r="AZ19" s="3">
        <f>VLOOKUP(A19,[5]Analysis!$A$3:$BJ$543,62,FALSE)</f>
        <v>0.62954353966451893</v>
      </c>
      <c r="BA19" s="2"/>
      <c r="BB19" s="2"/>
      <c r="BC19" s="2" t="e">
        <f>VLOOKUP(A19,'[6]FGD status - Jun 2020'!$I$2:$M$449,5,FALSE)</f>
        <v>#N/A</v>
      </c>
      <c r="BD19" s="2"/>
      <c r="BE19" s="2"/>
      <c r="BF19" s="2">
        <f t="shared" si="14"/>
        <v>475.609067575881</v>
      </c>
      <c r="BG19" s="2">
        <f t="shared" si="15"/>
        <v>975.62619058103905</v>
      </c>
      <c r="BH19" s="2"/>
      <c r="BI19" s="2"/>
      <c r="BK19">
        <f t="shared" si="16"/>
        <v>258.01858160301538</v>
      </c>
      <c r="BP19" s="2" t="e">
        <f>VLOOKUP(A19,'[7]Table 2'!$J$2:$N$449,5,FALSE)</f>
        <v>#N/A</v>
      </c>
      <c r="BR19">
        <f t="shared" si="23"/>
        <v>381.8809561291493</v>
      </c>
      <c r="BS19">
        <f t="shared" si="24"/>
        <v>783.35988080017967</v>
      </c>
      <c r="BT19">
        <f>(X19*I19*365*[5]Analysis!BK19)/10^4</f>
        <v>233.9196667218998</v>
      </c>
      <c r="BU19">
        <f>(W19*R19*365*[5]Analysis!BK19)/10^4</f>
        <v>479.84399142992004</v>
      </c>
      <c r="BV19">
        <f>(X19*I19*365*[5]Analysis!BL19)/10^4</f>
        <v>147.96128940724947</v>
      </c>
      <c r="BW19">
        <f>(W19*R19*365*[5]Analysis!BL19)/10^4</f>
        <v>303.51588937025957</v>
      </c>
      <c r="BX19">
        <f t="shared" si="25"/>
        <v>1703465.0618727999</v>
      </c>
      <c r="BY19">
        <f t="shared" si="26"/>
        <v>3494351.2275188034</v>
      </c>
      <c r="BZ19">
        <f t="shared" si="41"/>
        <v>7371063.3727523908</v>
      </c>
      <c r="CA19">
        <f t="shared" si="27"/>
        <v>16026623.068862591</v>
      </c>
      <c r="CB19">
        <f t="shared" si="28"/>
        <v>-261072.56361729515</v>
      </c>
      <c r="CC19">
        <f t="shared" si="29"/>
        <v>-1234198.4292000001</v>
      </c>
      <c r="CD19">
        <f t="shared" si="30"/>
        <v>0</v>
      </c>
      <c r="CE19">
        <f t="shared" si="31"/>
        <v>0</v>
      </c>
      <c r="CF19">
        <f t="shared" si="32"/>
        <v>4035886.4025356374</v>
      </c>
      <c r="CG19">
        <f t="shared" si="33"/>
        <v>8775074.4840000011</v>
      </c>
      <c r="CH19">
        <f t="shared" si="34"/>
        <v>37158.609077219888</v>
      </c>
      <c r="CI19">
        <f t="shared" si="35"/>
        <v>80792.552082135517</v>
      </c>
      <c r="CJ19">
        <f t="shared" si="36"/>
        <v>-2459973.9267869834</v>
      </c>
      <c r="CK19">
        <f t="shared" si="37"/>
        <v>-5348627.8560000015</v>
      </c>
      <c r="CL19">
        <f t="shared" si="38"/>
        <v>1225442.2034556493</v>
      </c>
      <c r="CM19">
        <f t="shared" si="39"/>
        <v>2664432.42912</v>
      </c>
    </row>
    <row r="20" spans="1:91" x14ac:dyDescent="0.2">
      <c r="A20" s="2" t="s">
        <v>16</v>
      </c>
      <c r="B20" s="2" t="str">
        <f t="shared" si="42"/>
        <v>IB VALLEY TPS</v>
      </c>
      <c r="C20" s="2" t="str">
        <f>VLOOKUP($A20,'[1]daily coal, energy reqd'!$C$2:$T$599,17,FALSE)</f>
        <v>Odisha</v>
      </c>
      <c r="D20" s="2" t="str">
        <f>VLOOKUP(C20,'Target PLF'!$I$2:$J$19,2,FALSE)</f>
        <v>ER</v>
      </c>
      <c r="E20" s="2" t="str">
        <f>VLOOKUP(A20,[2]Ownership!$C$2:$D$666,2,FALSE)</f>
        <v>STATE SECTOR</v>
      </c>
      <c r="F20" s="2" t="s">
        <v>542</v>
      </c>
      <c r="G20" s="13">
        <v>0.84052019164955505</v>
      </c>
      <c r="H20" s="2">
        <v>660</v>
      </c>
      <c r="I20" s="2">
        <f>VLOOKUP(A20,'[3]Calculated coal req (reg.)'!$A$2:$I$599,9,FALSE)</f>
        <v>7.3002896737115304</v>
      </c>
      <c r="J20" s="2"/>
      <c r="K20" s="11">
        <v>0.46087687334037442</v>
      </c>
      <c r="L20" s="3">
        <f>VLOOKUP(F20,'Target PLF'!$A$2:$B$11,2,FALSE)</f>
        <v>0.85</v>
      </c>
      <c r="M20" s="3">
        <f t="shared" si="17"/>
        <v>0.38912312665962556</v>
      </c>
      <c r="N20" s="2" t="str">
        <f t="shared" si="0"/>
        <v>0.15</v>
      </c>
      <c r="O20" s="2">
        <f t="shared" si="45"/>
        <v>6.451300128917131</v>
      </c>
      <c r="P20" s="2">
        <f t="shared" si="1"/>
        <v>1554118.201056137</v>
      </c>
      <c r="Q20" s="2">
        <f t="shared" si="2"/>
        <v>11.8652869270705</v>
      </c>
      <c r="R20" s="2">
        <f t="shared" si="3"/>
        <v>13.464</v>
      </c>
      <c r="S20" s="2">
        <f t="shared" si="4"/>
        <v>2858347.6207312834</v>
      </c>
      <c r="T20" s="2" t="str">
        <f>VLOOKUP(A20,'[4]CEA vs MERIT comp. &amp; NPA marker'!$C$2:$K$735,9,FALSE)</f>
        <v>Contracted</v>
      </c>
      <c r="U20" s="3">
        <f>VLOOKUP(B20,'[8]Import-Domestic share'!$A$208:$F$406,6,FALSE)</f>
        <v>0</v>
      </c>
      <c r="V20" s="3">
        <f t="shared" si="5"/>
        <v>0</v>
      </c>
      <c r="W20" s="2">
        <f t="shared" si="6"/>
        <v>2532.2585876235453</v>
      </c>
      <c r="X20" s="2">
        <f t="shared" si="7"/>
        <v>2660.8914865511697</v>
      </c>
      <c r="Y20" s="6">
        <f t="shared" si="8"/>
        <v>0.33961776423753243</v>
      </c>
      <c r="Z20" s="2">
        <f t="shared" si="18"/>
        <v>3829055.480822661</v>
      </c>
      <c r="AA20" s="2">
        <f t="shared" si="19"/>
        <v>2181608.2167322459</v>
      </c>
      <c r="AB20" s="2" t="s">
        <v>598</v>
      </c>
      <c r="AC20" s="12">
        <f>VLOOKUP(B20,[9]Sheet1!$A$2:$B$137,2,FALSE)</f>
        <v>3249.9999999999991</v>
      </c>
      <c r="AD20" s="12">
        <f t="shared" si="9"/>
        <v>2144999.9999999995</v>
      </c>
      <c r="AE20" s="2" t="s">
        <v>589</v>
      </c>
      <c r="AF20" s="7">
        <f>VLOOKUP($B20,'[9]Subsidiary wise dispatch'!$A$3:$R$138,11,FALSE)*$H20*$O20*365</f>
        <v>0</v>
      </c>
      <c r="AG20" s="7">
        <f>VLOOKUP($B20,'[9]Subsidiary wise dispatch'!$A$3:$R$138,12,FALSE)*$H20*$O20*365</f>
        <v>0</v>
      </c>
      <c r="AH20" s="7">
        <f>VLOOKUP($B20,'[9]Subsidiary wise dispatch'!$A$3:$R$138,13,FALSE)*$H20*$O20*365</f>
        <v>0</v>
      </c>
      <c r="AI20" s="7">
        <f>VLOOKUP($B20,'[9]Subsidiary wise dispatch'!$A$3:$R$138,14,FALSE)*$H20*$O20*365</f>
        <v>1554118.201056137</v>
      </c>
      <c r="AJ20" s="7">
        <f>VLOOKUP($B20,'[9]Subsidiary wise dispatch'!$A$3:$R$138,15,FALSE)*$H20*$O20*365</f>
        <v>0</v>
      </c>
      <c r="AK20" s="7">
        <f>VLOOKUP($B20,'[9]Subsidiary wise dispatch'!$A$3:$R$138,16,FALSE)*$H20*$O20*365</f>
        <v>0</v>
      </c>
      <c r="AL20" s="7">
        <f>VLOOKUP($B20,'[9]Subsidiary wise dispatch'!$A$3:$R$138,17,FALSE)*$H20*$O20*365</f>
        <v>0</v>
      </c>
      <c r="AM20" s="7">
        <f>VLOOKUP($B20,'[9]Subsidiary wise dispatch'!$A$3:$R$138,18,FALSE)*$H20*$O20*365</f>
        <v>0</v>
      </c>
      <c r="AN20" s="15">
        <f t="shared" si="10"/>
        <v>1554118.201056137</v>
      </c>
      <c r="AO20" s="6">
        <v>0.10945422612917571</v>
      </c>
      <c r="AP20" s="11">
        <f t="shared" si="20"/>
        <v>0.79904755675490824</v>
      </c>
      <c r="AQ20" s="11">
        <f t="shared" si="11"/>
        <v>1.4736917006032217</v>
      </c>
      <c r="AR20" s="3">
        <f>VLOOKUP(A20,[10]Sheet1!$A$2:$L$542,12,FALSE)</f>
        <v>1.51</v>
      </c>
      <c r="AS20" s="3">
        <f t="shared" si="43"/>
        <v>1.9079195770663115</v>
      </c>
      <c r="AT20" s="3">
        <f t="shared" si="40"/>
        <v>1.8947347049262302</v>
      </c>
      <c r="AU20" s="3">
        <f t="shared" si="12"/>
        <v>1.318487214008135E-2</v>
      </c>
      <c r="AV20" s="88">
        <f t="shared" si="21"/>
        <v>0.28515720967870684</v>
      </c>
      <c r="AW20" s="32">
        <f t="shared" si="22"/>
        <v>0.14254916234824758</v>
      </c>
      <c r="AX20" s="12">
        <f t="shared" si="44"/>
        <v>508.38534391561814</v>
      </c>
      <c r="AY20" s="12">
        <f t="shared" si="13"/>
        <v>931.14084445012691</v>
      </c>
      <c r="AZ20" s="3">
        <f>VLOOKUP(A20,[5]Analysis!$A$3:$BJ$543,62,FALSE)</f>
        <v>0.56327565253723622</v>
      </c>
      <c r="BA20" s="2"/>
      <c r="BB20" s="2"/>
      <c r="BC20" s="2" t="e">
        <f>VLOOKUP(A20,'[6]FGD status - Jun 2020'!$I$2:$M$449,5,FALSE)</f>
        <v>#N/A</v>
      </c>
      <c r="BD20" s="2"/>
      <c r="BE20" s="2"/>
      <c r="BF20" s="2">
        <f t="shared" si="14"/>
        <v>675.20774307863007</v>
      </c>
      <c r="BG20" s="2">
        <f t="shared" si="15"/>
        <v>1185.0926713146134</v>
      </c>
      <c r="BH20" s="2"/>
      <c r="BI20" s="2"/>
      <c r="BK20">
        <f t="shared" si="16"/>
        <v>304.17873640464711</v>
      </c>
      <c r="BP20" s="2" t="e">
        <f>VLOOKUP(A20,'[7]Table 2'!$J$2:$N$449,5,FALSE)</f>
        <v>#N/A</v>
      </c>
      <c r="BR20">
        <f t="shared" si="23"/>
        <v>399.37520735464676</v>
      </c>
      <c r="BS20">
        <f t="shared" si="24"/>
        <v>700.96446048254097</v>
      </c>
      <c r="BT20">
        <f>(X20*I20*365*[5]Analysis!BK20)/10^4</f>
        <v>294.63533497133432</v>
      </c>
      <c r="BU20">
        <f>(W20*R20*365*[5]Analysis!BK20)/10^4</f>
        <v>517.12999408567589</v>
      </c>
      <c r="BV20">
        <f>(X20*I20*365*[5]Analysis!BL20)/10^4</f>
        <v>104.7398723833125</v>
      </c>
      <c r="BW20">
        <f>(W20*R20*365*[5]Analysis!BL20)/10^4</f>
        <v>183.83446639686505</v>
      </c>
      <c r="BX20">
        <f t="shared" si="25"/>
        <v>1991091.0608189839</v>
      </c>
      <c r="BY20">
        <f t="shared" si="26"/>
        <v>3494668.7864357498</v>
      </c>
      <c r="BZ20">
        <f t="shared" si="41"/>
        <v>7775050.5412899321</v>
      </c>
      <c r="CA20">
        <f t="shared" si="27"/>
        <v>14339606.394646771</v>
      </c>
      <c r="CB20">
        <f t="shared" si="28"/>
        <v>-362841.51341966284</v>
      </c>
      <c r="CC20">
        <f t="shared" si="29"/>
        <v>-1234198.4292000001</v>
      </c>
      <c r="CD20">
        <f t="shared" si="30"/>
        <v>0</v>
      </c>
      <c r="CE20">
        <f t="shared" si="31"/>
        <v>0</v>
      </c>
      <c r="CF20">
        <f t="shared" si="32"/>
        <v>4757916.3429586105</v>
      </c>
      <c r="CG20">
        <f t="shared" si="33"/>
        <v>8775074.4840000011</v>
      </c>
      <c r="CH20">
        <f t="shared" si="34"/>
        <v>45434.314663715493</v>
      </c>
      <c r="CI20">
        <f t="shared" si="35"/>
        <v>83794.978004106772</v>
      </c>
      <c r="CJ20">
        <f t="shared" si="36"/>
        <v>-2900069.2740406008</v>
      </c>
      <c r="CK20">
        <f t="shared" si="37"/>
        <v>-5348627.8560000015</v>
      </c>
      <c r="CL20">
        <f t="shared" si="38"/>
        <v>2258942.6010386227</v>
      </c>
      <c r="CM20">
        <f t="shared" si="39"/>
        <v>4166191.2800401347</v>
      </c>
    </row>
    <row r="21" spans="1:91" x14ac:dyDescent="0.2">
      <c r="A21" s="2" t="s">
        <v>18</v>
      </c>
      <c r="B21" s="2" t="str">
        <f t="shared" si="42"/>
        <v>CHHABRA TPS</v>
      </c>
      <c r="C21" s="2" t="str">
        <f>VLOOKUP($A21,'[1]daily coal, energy reqd'!$C$2:$T$599,17,FALSE)</f>
        <v>Rajasthan</v>
      </c>
      <c r="D21" s="2" t="str">
        <f>VLOOKUP(C21,'Target PLF'!$I$2:$J$19,2,FALSE)</f>
        <v>NR</v>
      </c>
      <c r="E21" s="2" t="str">
        <f>VLOOKUP(A21,[2]Ownership!$C$2:$D$666,2,FALSE)</f>
        <v>STATE SECTOR</v>
      </c>
      <c r="F21" s="2" t="s">
        <v>542</v>
      </c>
      <c r="G21" s="13">
        <v>1.06776180698151</v>
      </c>
      <c r="H21" s="2">
        <v>660</v>
      </c>
      <c r="I21" s="2">
        <f>VLOOKUP(A21,'[3]Calculated coal req (reg.)'!$A$2:$I$599,9,FALSE)</f>
        <v>9.6809891991582706</v>
      </c>
      <c r="J21" s="2"/>
      <c r="K21" s="11">
        <v>0.61117356055292105</v>
      </c>
      <c r="L21" s="3">
        <f>VLOOKUP(F21,'Target PLF'!$A$2:$B$11,2,FALSE)</f>
        <v>0.85</v>
      </c>
      <c r="M21" s="3">
        <f t="shared" si="17"/>
        <v>0.23882643944707893</v>
      </c>
      <c r="N21" s="2" t="str">
        <f t="shared" si="0"/>
        <v>0.15</v>
      </c>
      <c r="O21" s="2">
        <f t="shared" si="45"/>
        <v>8.5496209052770951</v>
      </c>
      <c r="P21" s="2">
        <f t="shared" si="1"/>
        <v>2059603.6760812523</v>
      </c>
      <c r="Q21" s="2">
        <f t="shared" si="2"/>
        <v>11.872484805236139</v>
      </c>
      <c r="R21" s="2">
        <f t="shared" si="3"/>
        <v>13.464</v>
      </c>
      <c r="S21" s="2">
        <f t="shared" si="4"/>
        <v>2860081.5895813862</v>
      </c>
      <c r="T21" s="2" t="str">
        <f>VLOOKUP(A21,'[4]CEA vs MERIT comp. &amp; NPA marker'!$C$2:$K$735,9,FALSE)</f>
        <v>Contracted</v>
      </c>
      <c r="U21" s="3">
        <f>VLOOKUP(B21,'[8]Import-Domestic share'!$A$208:$F$406,6,FALSE)</f>
        <v>0</v>
      </c>
      <c r="V21" s="3">
        <f t="shared" si="5"/>
        <v>0</v>
      </c>
      <c r="W21" s="2">
        <f t="shared" si="6"/>
        <v>2533.9948355934284</v>
      </c>
      <c r="X21" s="2">
        <f t="shared" si="7"/>
        <v>2612.943978273177</v>
      </c>
      <c r="Y21" s="6">
        <f t="shared" si="8"/>
        <v>0.33938506421564951</v>
      </c>
      <c r="Z21" s="2">
        <f t="shared" si="18"/>
        <v>2809835.0303206411</v>
      </c>
      <c r="AA21" s="2">
        <f t="shared" si="19"/>
        <v>2083295.2721869031</v>
      </c>
      <c r="AB21" s="2" t="s">
        <v>598</v>
      </c>
      <c r="AC21" s="12">
        <f>VLOOKUP(B21,[9]Sheet1!$A$2:$B$137,2,FALSE)</f>
        <v>4431.9195703193527</v>
      </c>
      <c r="AD21" s="12">
        <f t="shared" si="9"/>
        <v>2925066.9164107726</v>
      </c>
      <c r="AE21" s="2"/>
      <c r="AF21" s="7">
        <f>VLOOKUP($B21,'[9]Subsidiary wise dispatch'!$A$3:$R$138,11,FALSE)*$H21*$O21*365</f>
        <v>0</v>
      </c>
      <c r="AG21" s="7">
        <f>VLOOKUP($B21,'[9]Subsidiary wise dispatch'!$A$3:$R$138,12,FALSE)*$H21*$O21*365</f>
        <v>0</v>
      </c>
      <c r="AH21" s="7">
        <f>VLOOKUP($B21,'[9]Subsidiary wise dispatch'!$A$3:$R$138,13,FALSE)*$H21*$O21*365</f>
        <v>0</v>
      </c>
      <c r="AI21" s="7">
        <f>VLOOKUP($B21,'[9]Subsidiary wise dispatch'!$A$3:$R$138,14,FALSE)*$H21*$O21*365</f>
        <v>0</v>
      </c>
      <c r="AJ21" s="7">
        <f>VLOOKUP($B21,'[9]Subsidiary wise dispatch'!$A$3:$R$138,15,FALSE)*$H21*$O21*365</f>
        <v>0</v>
      </c>
      <c r="AK21" s="7">
        <f>VLOOKUP($B21,'[9]Subsidiary wise dispatch'!$A$3:$R$138,16,FALSE)*$H21*$O21*365</f>
        <v>0</v>
      </c>
      <c r="AL21" s="7">
        <f>VLOOKUP($B21,'[9]Subsidiary wise dispatch'!$A$3:$R$138,17,FALSE)*$H21*$O21*365</f>
        <v>2059603.6760812523</v>
      </c>
      <c r="AM21" s="7">
        <f>VLOOKUP($B21,'[9]Subsidiary wise dispatch'!$A$3:$R$138,18,FALSE)*$H21*$O21*365</f>
        <v>0</v>
      </c>
      <c r="AN21" s="15">
        <f t="shared" si="10"/>
        <v>2059603.6760812523</v>
      </c>
      <c r="AO21" s="6">
        <v>8.4616729904405857E-2</v>
      </c>
      <c r="AP21" s="11">
        <f t="shared" si="20"/>
        <v>0.81917364827264572</v>
      </c>
      <c r="AQ21" s="11">
        <f t="shared" si="11"/>
        <v>1.1392796514329204</v>
      </c>
      <c r="AR21" s="3">
        <f>VLOOKUP(A21,[10]Sheet1!$A$2:$L$542,12,FALSE)</f>
        <v>2.1394704049844102</v>
      </c>
      <c r="AS21" s="3">
        <f t="shared" si="43"/>
        <v>2.339106559663378</v>
      </c>
      <c r="AT21" s="3">
        <f t="shared" si="40"/>
        <v>2.3310142725387042</v>
      </c>
      <c r="AU21" s="3">
        <f t="shared" si="12"/>
        <v>8.0922871246738026E-3</v>
      </c>
      <c r="AV21" s="88">
        <f t="shared" si="21"/>
        <v>0.17501679135560838</v>
      </c>
      <c r="AW21" s="32">
        <f t="shared" si="22"/>
        <v>7.136250528704291E-2</v>
      </c>
      <c r="AX21" s="12">
        <f t="shared" si="44"/>
        <v>826.53758490202199</v>
      </c>
      <c r="AY21" s="12">
        <f t="shared" si="13"/>
        <v>1145.5443300393306</v>
      </c>
      <c r="AZ21" s="3">
        <f>VLOOKUP(A21,[5]Analysis!$A$3:$BJ$543,62,FALSE)</f>
        <v>0.83016780914525568</v>
      </c>
      <c r="BA21" s="2"/>
      <c r="BB21" s="2"/>
      <c r="BC21" s="2" t="e">
        <f>VLOOKUP(A21,'[6]FGD status - Jun 2020'!$I$2:$M$449,5,FALSE)</f>
        <v>#N/A</v>
      </c>
      <c r="BD21" s="2"/>
      <c r="BE21" s="2"/>
      <c r="BF21" s="2">
        <f t="shared" si="14"/>
        <v>644.77988674184644</v>
      </c>
      <c r="BG21" s="2">
        <f t="shared" si="15"/>
        <v>869.64394188423842</v>
      </c>
      <c r="BH21" s="2"/>
      <c r="BI21" s="2"/>
      <c r="BK21">
        <f t="shared" si="16"/>
        <v>403.37454996492789</v>
      </c>
      <c r="BP21" s="2" t="e">
        <f>VLOOKUP(A21,'[7]Table 2'!$J$2:$N$449,5,FALSE)</f>
        <v>#N/A</v>
      </c>
      <c r="BR21">
        <f t="shared" si="23"/>
        <v>766.49369640233135</v>
      </c>
      <c r="BS21">
        <f t="shared" si="24"/>
        <v>1033.8048895058425</v>
      </c>
      <c r="BT21">
        <f>(X21*I21*365*[5]Analysis!BK21)/10^4</f>
        <v>352.88875283397681</v>
      </c>
      <c r="BU21">
        <f>(W21*R21*365*[5]Analysis!BK21)/10^4</f>
        <v>475.95710159616431</v>
      </c>
      <c r="BV21">
        <f>(X21*I21*365*[5]Analysis!BL21)/10^4</f>
        <v>413.6049435683546</v>
      </c>
      <c r="BW21">
        <f>(W21*R21*365*[5]Analysis!BL21)/10^4</f>
        <v>557.84778790967823</v>
      </c>
      <c r="BX21">
        <f t="shared" si="25"/>
        <v>2592827.9492459977</v>
      </c>
      <c r="BY21">
        <f t="shared" si="26"/>
        <v>3497064.9128090669</v>
      </c>
      <c r="BZ21">
        <f t="shared" si="41"/>
        <v>15195947.096118709</v>
      </c>
      <c r="CA21">
        <f t="shared" si="27"/>
        <v>21134021.275422085</v>
      </c>
      <c r="CB21">
        <f t="shared" si="28"/>
        <v>-638081.64891233644</v>
      </c>
      <c r="CC21">
        <f t="shared" si="29"/>
        <v>-1234198.4292000001</v>
      </c>
      <c r="CD21">
        <f t="shared" si="30"/>
        <v>0</v>
      </c>
      <c r="CE21">
        <f t="shared" si="31"/>
        <v>0</v>
      </c>
      <c r="CF21">
        <f t="shared" si="32"/>
        <v>6309521.7841216084</v>
      </c>
      <c r="CG21">
        <f t="shared" si="33"/>
        <v>8775074.4840000011</v>
      </c>
      <c r="CH21">
        <f t="shared" si="34"/>
        <v>76540.246310239687</v>
      </c>
      <c r="CI21">
        <f t="shared" si="35"/>
        <v>106449.64632443438</v>
      </c>
      <c r="CJ21">
        <f t="shared" si="36"/>
        <v>-3845811.6833224203</v>
      </c>
      <c r="CK21">
        <f t="shared" si="37"/>
        <v>-5348627.8560000015</v>
      </c>
      <c r="CL21">
        <f t="shared" si="38"/>
        <v>2315839.9473072933</v>
      </c>
      <c r="CM21">
        <f t="shared" si="39"/>
        <v>3220793.7029055287</v>
      </c>
    </row>
    <row r="22" spans="1:91" x14ac:dyDescent="0.2">
      <c r="A22" s="2" t="s">
        <v>19</v>
      </c>
      <c r="B22" s="2" t="str">
        <f t="shared" si="42"/>
        <v>SHREE SINGAJI TPP</v>
      </c>
      <c r="C22" s="2" t="str">
        <f>VLOOKUP($A22,'[1]daily coal, energy reqd'!$C$2:$T$599,17,FALSE)</f>
        <v>Madhya Pradesh</v>
      </c>
      <c r="D22" s="2" t="str">
        <f>VLOOKUP(C22,'Target PLF'!$I$2:$J$19,2,FALSE)</f>
        <v>WR</v>
      </c>
      <c r="E22" s="2" t="str">
        <f>VLOOKUP(A22,[2]Ownership!$C$2:$D$666,2,FALSE)</f>
        <v>STATE SECTOR</v>
      </c>
      <c r="F22" s="2" t="s">
        <v>542</v>
      </c>
      <c r="G22" s="13">
        <v>1.06776180698151</v>
      </c>
      <c r="H22" s="2">
        <v>660</v>
      </c>
      <c r="I22" s="2">
        <f>VLOOKUP(A22,'[3]Calculated coal req (reg.)'!$A$2:$I$599,9,FALSE)</f>
        <v>5.8407741598409002</v>
      </c>
      <c r="J22" s="2"/>
      <c r="K22" s="11">
        <v>0.36873574241419826</v>
      </c>
      <c r="L22" s="3">
        <f>VLOOKUP(F22,'Target PLF'!$A$2:$B$11,2,FALSE)</f>
        <v>0.85</v>
      </c>
      <c r="M22" s="3">
        <f t="shared" si="17"/>
        <v>0.48126425758580171</v>
      </c>
      <c r="N22" s="2" t="str">
        <f t="shared" si="0"/>
        <v>0.15</v>
      </c>
      <c r="O22" s="2">
        <f t="shared" si="45"/>
        <v>5.1765108101676045</v>
      </c>
      <c r="P22" s="2">
        <f t="shared" si="1"/>
        <v>1247021.4541693758</v>
      </c>
      <c r="Q22" s="2">
        <f t="shared" si="2"/>
        <v>11.872484805236139</v>
      </c>
      <c r="R22" s="2">
        <f t="shared" si="3"/>
        <v>13.464</v>
      </c>
      <c r="S22" s="2">
        <f t="shared" si="4"/>
        <v>2860081.5895813862</v>
      </c>
      <c r="T22" s="2" t="str">
        <f>VLOOKUP(A22,'[4]CEA vs MERIT comp. &amp; NPA marker'!$C$2:$K$735,9,FALSE)</f>
        <v>Contracted</v>
      </c>
      <c r="U22" s="3">
        <f>VLOOKUP(B22,'[8]Import-Domestic share'!$A$208:$F$406,6,FALSE)</f>
        <v>2.4167248138043805E-3</v>
      </c>
      <c r="V22" s="3">
        <f t="shared" si="5"/>
        <v>3013.7076916375527</v>
      </c>
      <c r="W22" s="2">
        <f t="shared" si="6"/>
        <v>2534.5396997363596</v>
      </c>
      <c r="X22" s="2">
        <f t="shared" si="7"/>
        <v>2693.6318028836072</v>
      </c>
      <c r="Y22" s="6">
        <f t="shared" si="8"/>
        <v>0.33931210471449957</v>
      </c>
      <c r="Z22" s="2">
        <f t="shared" si="18"/>
        <v>2896052.9559463691</v>
      </c>
      <c r="AA22" s="2">
        <f t="shared" si="19"/>
        <v>1335186.5315735582</v>
      </c>
      <c r="AB22" s="2" t="s">
        <v>598</v>
      </c>
      <c r="AC22" s="12">
        <f>VLOOKUP(B22,[9]Sheet1!$A$2:$B$137,2,FALSE)</f>
        <v>4300.9021962880979</v>
      </c>
      <c r="AD22" s="12">
        <f t="shared" si="9"/>
        <v>2838595.4495501448</v>
      </c>
      <c r="AE22" s="2"/>
      <c r="AF22" s="7">
        <f>VLOOKUP($B22,'[9]Subsidiary wise dispatch'!$A$3:$R$138,11,FALSE)*$H22*$O22*365</f>
        <v>0</v>
      </c>
      <c r="AG22" s="7">
        <f>VLOOKUP($B22,'[9]Subsidiary wise dispatch'!$A$3:$R$138,12,FALSE)*$H22*$O22*365</f>
        <v>0</v>
      </c>
      <c r="AH22" s="7">
        <f>VLOOKUP($B22,'[9]Subsidiary wise dispatch'!$A$3:$R$138,13,FALSE)*$H22*$O22*365</f>
        <v>0</v>
      </c>
      <c r="AI22" s="7">
        <f>VLOOKUP($B22,'[9]Subsidiary wise dispatch'!$A$3:$R$138,14,FALSE)*$H22*$O22*365</f>
        <v>0</v>
      </c>
      <c r="AJ22" s="7">
        <f>VLOOKUP($B22,'[9]Subsidiary wise dispatch'!$A$3:$R$138,15,FALSE)*$H22*$O22*365</f>
        <v>127359.74250064102</v>
      </c>
      <c r="AK22" s="7">
        <f>VLOOKUP($B22,'[9]Subsidiary wise dispatch'!$A$3:$R$138,16,FALSE)*$H22*$O22*365</f>
        <v>0</v>
      </c>
      <c r="AL22" s="7">
        <f>VLOOKUP($B22,'[9]Subsidiary wise dispatch'!$A$3:$R$138,17,FALSE)*$H22*$O22*365</f>
        <v>731583.21115771646</v>
      </c>
      <c r="AM22" s="7">
        <f>VLOOKUP($B22,'[9]Subsidiary wise dispatch'!$A$3:$R$138,18,FALSE)*$H22*$O22*365</f>
        <v>388078.50051101862</v>
      </c>
      <c r="AN22" s="15">
        <f t="shared" si="10"/>
        <v>1247021.4541693761</v>
      </c>
      <c r="AO22" s="6">
        <v>8.2780713152587837E-2</v>
      </c>
      <c r="AP22" s="11">
        <f t="shared" si="20"/>
        <v>0.48350345031483677</v>
      </c>
      <c r="AQ22" s="11">
        <f t="shared" si="11"/>
        <v>1.1145595218864426</v>
      </c>
      <c r="AR22" s="3"/>
      <c r="AS22" s="3">
        <f t="shared" si="43"/>
        <v>2.2572546347592666</v>
      </c>
      <c r="AT22" s="3">
        <f t="shared" si="40"/>
        <v>2.2409476941866733</v>
      </c>
      <c r="AU22" s="3">
        <f t="shared" si="12"/>
        <v>1.6306940572593298E-2</v>
      </c>
      <c r="AV22" s="88">
        <f t="shared" si="21"/>
        <v>0.35268007324402723</v>
      </c>
      <c r="AW22" s="32">
        <f t="shared" si="22"/>
        <v>0.14901869177347274</v>
      </c>
      <c r="AX22" s="12">
        <f t="shared" si="44"/>
        <v>481.22018081523072</v>
      </c>
      <c r="AY22" s="12">
        <f t="shared" si="13"/>
        <v>1101.282371040322</v>
      </c>
      <c r="AZ22" s="3">
        <f>VLOOKUP(A22,[5]Analysis!$A$3:$BJ$543,62,FALSE)</f>
        <v>0.78524893852561628</v>
      </c>
      <c r="BA22" s="2"/>
      <c r="BB22" s="2"/>
      <c r="BC22" s="2" t="str">
        <f>VLOOKUP(A22,'[6]FGD status - Jun 2020'!$I$2:$M$449,5,FALSE)</f>
        <v>Bid opened</v>
      </c>
      <c r="BD22" s="2"/>
      <c r="BE22" s="2"/>
      <c r="BF22" s="2">
        <f t="shared" si="14"/>
        <v>413.92947139293659</v>
      </c>
      <c r="BG22" s="2">
        <f t="shared" si="15"/>
        <v>897.82336837090054</v>
      </c>
      <c r="BH22" s="2"/>
      <c r="BI22" s="2"/>
      <c r="BK22">
        <f t="shared" si="16"/>
        <v>243.36558999337086</v>
      </c>
      <c r="BP22" s="2" t="str">
        <f>VLOOKUP(A22,'[7]Table 2'!$J$2:$N$449,5,FALSE)</f>
        <v>Bid opened</v>
      </c>
      <c r="BR22">
        <f t="shared" si="23"/>
        <v>450.92972797354975</v>
      </c>
      <c r="BS22">
        <f t="shared" si="24"/>
        <v>978.0778496041512</v>
      </c>
      <c r="BT22">
        <f>(X22*I22*365*[5]Analysis!BK22)/10^4</f>
        <v>220.60062891383873</v>
      </c>
      <c r="BU22">
        <f>(W22*R22*365*[5]Analysis!BK22)/10^4</f>
        <v>478.48827736198149</v>
      </c>
      <c r="BV22">
        <f>(X22*I22*365*[5]Analysis!BL22)/10^4</f>
        <v>230.32909905971098</v>
      </c>
      <c r="BW22">
        <f>(W22*R22*365*[5]Analysis!BL22)/10^4</f>
        <v>499.58957224216965</v>
      </c>
      <c r="BX22">
        <f t="shared" si="25"/>
        <v>1612621.7406168436</v>
      </c>
      <c r="BY22">
        <f t="shared" si="26"/>
        <v>3497816.8580181603</v>
      </c>
      <c r="BZ22">
        <f t="shared" si="41"/>
        <v>8672013.0027974192</v>
      </c>
      <c r="CA22">
        <f t="shared" si="27"/>
        <v>19990497.813194837</v>
      </c>
      <c r="CB22">
        <f t="shared" si="28"/>
        <v>-232261.70593429264</v>
      </c>
      <c r="CC22">
        <f t="shared" si="29"/>
        <v>-1234198.4292000001</v>
      </c>
      <c r="CD22">
        <f t="shared" si="30"/>
        <v>0</v>
      </c>
      <c r="CE22">
        <f t="shared" si="31"/>
        <v>0</v>
      </c>
      <c r="CF22">
        <f t="shared" si="32"/>
        <v>3806686.5936442679</v>
      </c>
      <c r="CG22">
        <f t="shared" si="33"/>
        <v>8775074.4840000011</v>
      </c>
      <c r="CH22">
        <f t="shared" si="34"/>
        <v>46178.575726081341</v>
      </c>
      <c r="CI22">
        <f t="shared" si="35"/>
        <v>106449.64632443438</v>
      </c>
      <c r="CJ22">
        <f t="shared" si="36"/>
        <v>-2320270.8980934373</v>
      </c>
      <c r="CK22">
        <f t="shared" si="37"/>
        <v>-5348627.8560000015</v>
      </c>
      <c r="CL22">
        <f t="shared" si="38"/>
        <v>1366885.5281918575</v>
      </c>
      <c r="CM22">
        <f t="shared" si="39"/>
        <v>3150908.8089919365</v>
      </c>
    </row>
    <row r="23" spans="1:91" x14ac:dyDescent="0.2">
      <c r="A23" s="2" t="s">
        <v>29</v>
      </c>
      <c r="B23" s="2" t="str">
        <f t="shared" si="42"/>
        <v>RAIKHEDA TPP</v>
      </c>
      <c r="C23" s="2" t="str">
        <f>VLOOKUP($A23,'[1]daily coal, energy reqd'!$C$2:$T$599,17,FALSE)</f>
        <v>Chhatisgarh</v>
      </c>
      <c r="D23" s="2" t="str">
        <f>VLOOKUP(C23,'Target PLF'!$I$2:$J$19,2,FALSE)</f>
        <v>WR</v>
      </c>
      <c r="E23" s="2" t="str">
        <f>VLOOKUP(A23,[2]Ownership!$C$2:$D$666,2,FALSE)</f>
        <v>PVT SECTOR</v>
      </c>
      <c r="F23" s="2" t="s">
        <v>542</v>
      </c>
      <c r="G23" s="12">
        <v>4.1752224503764497</v>
      </c>
      <c r="H23" s="2">
        <v>685</v>
      </c>
      <c r="I23" s="2">
        <f>VLOOKUP(A23,'[3]Calculated coal req (reg.)'!$A$2:$I$599,9,FALSE)</f>
        <v>3.6677102194678302</v>
      </c>
      <c r="J23" s="2"/>
      <c r="K23" s="11">
        <v>0.22309672867809185</v>
      </c>
      <c r="L23" s="3">
        <f>VLOOKUP(F23,'Target PLF'!$A$2:$B$11,2,FALSE)</f>
        <v>0.85</v>
      </c>
      <c r="M23" s="3">
        <f t="shared" si="17"/>
        <v>0.62690327132190815</v>
      </c>
      <c r="N23" s="2" t="str">
        <f t="shared" si="0"/>
        <v>0.15</v>
      </c>
      <c r="O23" s="2">
        <f t="shared" si="45"/>
        <v>2.2286717362325694</v>
      </c>
      <c r="P23" s="2">
        <f t="shared" si="1"/>
        <v>557223.65085154818</v>
      </c>
      <c r="Q23" s="2">
        <f t="shared" si="2"/>
        <v>10.950965021115673</v>
      </c>
      <c r="R23" s="2">
        <f t="shared" si="3"/>
        <v>13.974</v>
      </c>
      <c r="S23" s="2">
        <f t="shared" si="4"/>
        <v>2738015.029404446</v>
      </c>
      <c r="T23" s="2" t="str">
        <f>VLOOKUP(A23,'[4]CEA vs MERIT comp. &amp; NPA marker'!$C$2:$K$735,9,FALSE)</f>
        <v>Not contracted</v>
      </c>
      <c r="U23" s="3">
        <f>VLOOKUP(B23,'[8]Import-Domestic share'!$A$208:$F$406,6,FALSE)</f>
        <v>1.3611142179564709E-3</v>
      </c>
      <c r="V23" s="3">
        <f t="shared" si="5"/>
        <v>758.44503375565455</v>
      </c>
      <c r="W23" s="2">
        <f t="shared" si="6"/>
        <v>2534.900816938009</v>
      </c>
      <c r="X23" s="2">
        <f t="shared" si="7"/>
        <v>2742.1369836228182</v>
      </c>
      <c r="Y23" s="6">
        <f t="shared" si="8"/>
        <v>0.33926376695038607</v>
      </c>
      <c r="Z23" s="2">
        <f t="shared" si="18"/>
        <v>3115490.8351326459</v>
      </c>
      <c r="AA23" s="2">
        <f t="shared" si="19"/>
        <v>884563.32551208325</v>
      </c>
      <c r="AB23" s="2" t="s">
        <v>598</v>
      </c>
      <c r="AC23" s="12">
        <f>VLOOKUP(B23,[9]Sheet1!$A$2:$B$137,2,FALSE)</f>
        <v>4150.0000000000009</v>
      </c>
      <c r="AD23" s="12">
        <f t="shared" si="9"/>
        <v>2842750.0000000005</v>
      </c>
      <c r="AE23" s="2"/>
      <c r="AF23" s="7">
        <f>VLOOKUP($B23,'[9]Subsidiary wise dispatch'!$A$3:$R$138,11,FALSE)*$H23*$O23*365</f>
        <v>0</v>
      </c>
      <c r="AG23" s="7">
        <f>VLOOKUP($B23,'[9]Subsidiary wise dispatch'!$A$3:$R$138,12,FALSE)*$H23*$O23*365</f>
        <v>0</v>
      </c>
      <c r="AH23" s="7">
        <f>VLOOKUP($B23,'[9]Subsidiary wise dispatch'!$A$3:$R$138,13,FALSE)*$H23*$O23*365</f>
        <v>0</v>
      </c>
      <c r="AI23" s="7">
        <f>VLOOKUP($B23,'[9]Subsidiary wise dispatch'!$A$3:$R$138,14,FALSE)*$H23*$O23*365</f>
        <v>0</v>
      </c>
      <c r="AJ23" s="7">
        <f>VLOOKUP($B23,'[9]Subsidiary wise dispatch'!$A$3:$R$138,15,FALSE)*$H23*$O23*365</f>
        <v>0</v>
      </c>
      <c r="AK23" s="7">
        <f>VLOOKUP($B23,'[9]Subsidiary wise dispatch'!$A$3:$R$138,16,FALSE)*$H23*$O23*365</f>
        <v>0</v>
      </c>
      <c r="AL23" s="7">
        <f>VLOOKUP($B23,'[9]Subsidiary wise dispatch'!$A$3:$R$138,17,FALSE)*$H23*$O23*365</f>
        <v>557223.65085154818</v>
      </c>
      <c r="AM23" s="7">
        <f>VLOOKUP($B23,'[9]Subsidiary wise dispatch'!$A$3:$R$138,18,FALSE)*$H23*$O23*365</f>
        <v>0</v>
      </c>
      <c r="AN23" s="15">
        <f t="shared" si="10"/>
        <v>557223.65085154818</v>
      </c>
      <c r="AO23" s="6">
        <v>9.4685661559992765E-2</v>
      </c>
      <c r="AP23" s="11">
        <f t="shared" si="20"/>
        <v>0.34727956854065778</v>
      </c>
      <c r="AQ23" s="11">
        <f t="shared" si="11"/>
        <v>1.323137434639339</v>
      </c>
      <c r="AR23" s="3"/>
      <c r="AS23" s="3">
        <f t="shared" si="43"/>
        <v>1.8867198977721562</v>
      </c>
      <c r="AT23" s="3">
        <f t="shared" si="40"/>
        <v>1.8654781906869633</v>
      </c>
      <c r="AU23" s="3">
        <f t="shared" si="12"/>
        <v>2.1241707085192907E-2</v>
      </c>
      <c r="AV23" s="88">
        <f t="shared" si="21"/>
        <v>0.45940725529012078</v>
      </c>
      <c r="AW23" s="32">
        <f t="shared" si="22"/>
        <v>0.2322366710195376</v>
      </c>
      <c r="AX23" s="12">
        <f t="shared" si="44"/>
        <v>252.57787753712665</v>
      </c>
      <c r="AY23" s="12">
        <f t="shared" si="13"/>
        <v>951.48901663807646</v>
      </c>
      <c r="AZ23" s="3">
        <f>VLOOKUP(A23,[5]Analysis!$A$3:$BJ$543,62,FALSE)</f>
        <v>0.56464002566013427</v>
      </c>
      <c r="BA23" s="2"/>
      <c r="BB23" s="2"/>
      <c r="BC23" s="2" t="str">
        <f>VLOOKUP(A23,'[6]FGD status - Jun 2020'!$I$2:$M$449,5,FALSE)</f>
        <v>GCEL is under stressed asset</v>
      </c>
      <c r="BD23" s="2"/>
      <c r="BE23" s="2"/>
      <c r="BF23" s="2">
        <f t="shared" si="14"/>
        <v>274.02952187717614</v>
      </c>
      <c r="BG23" s="2">
        <f t="shared" si="15"/>
        <v>965.15019257653023</v>
      </c>
      <c r="BH23" s="2"/>
      <c r="BI23" s="2"/>
      <c r="BK23">
        <f t="shared" si="16"/>
        <v>152.82125914449293</v>
      </c>
      <c r="BL23">
        <f>VLOOKUP(A23,'[11]Daily coal vs energy req.2'!$C$2:$P$599,14,FALSE)</f>
        <v>0.43</v>
      </c>
      <c r="BM23">
        <f>VLOOKUP(A23,'[11]Daily coal vs energy req.2'!$C$2:$R$599,16,FALSE)</f>
        <v>0.41</v>
      </c>
      <c r="BN23">
        <f>BL23*H23</f>
        <v>294.55</v>
      </c>
      <c r="BO23">
        <f>BM23*H23</f>
        <v>280.84999999999997</v>
      </c>
      <c r="BP23" s="2" t="str">
        <f>VLOOKUP(A23,'[7]Table 2'!$J$2:$N$449,5,FALSE)</f>
        <v>GCEL is under stressed ass</v>
      </c>
      <c r="BR23">
        <f t="shared" si="23"/>
        <v>207.27584140828995</v>
      </c>
      <c r="BS23">
        <f t="shared" si="24"/>
        <v>730.03929241368246</v>
      </c>
      <c r="BT23">
        <f>(X23*I23*365*[5]Analysis!BK23)/10^4</f>
        <v>142.67913009347291</v>
      </c>
      <c r="BU23">
        <f>(W23*R23*365*[5]Analysis!BK23)/10^4</f>
        <v>502.52538099923879</v>
      </c>
      <c r="BV23">
        <f>(X23*I23*365*[5]Analysis!BL23)/10^4</f>
        <v>64.596711314817043</v>
      </c>
      <c r="BW23">
        <f>(W23*R23*365*[5]Analysis!BL23)/10^4</f>
        <v>227.51391141444367</v>
      </c>
      <c r="BX23">
        <f t="shared" si="25"/>
        <v>1030879.7933964453</v>
      </c>
      <c r="BY23">
        <f t="shared" si="26"/>
        <v>3630827.1616289034</v>
      </c>
      <c r="BZ23">
        <f t="shared" si="41"/>
        <v>3915694.7104547974</v>
      </c>
      <c r="CA23">
        <f t="shared" si="27"/>
        <v>14918822.537685294</v>
      </c>
      <c r="CB23">
        <f t="shared" si="28"/>
        <v>-88242.982482050473</v>
      </c>
      <c r="CC23">
        <f t="shared" si="29"/>
        <v>-1280948.3696999999</v>
      </c>
      <c r="CD23">
        <f t="shared" si="30"/>
        <v>-1353547.9173173737</v>
      </c>
      <c r="CE23">
        <f t="shared" si="31"/>
        <v>-5157026.4455999993</v>
      </c>
      <c r="CF23">
        <f t="shared" si="32"/>
        <v>2390406.2954217321</v>
      </c>
      <c r="CG23">
        <f t="shared" si="33"/>
        <v>9107463.6690000016</v>
      </c>
      <c r="CH23">
        <f t="shared" si="34"/>
        <v>113388.85554572349</v>
      </c>
      <c r="CI23">
        <f t="shared" si="35"/>
        <v>432012.28357289475</v>
      </c>
      <c r="CJ23">
        <f t="shared" si="36"/>
        <v>-1512202.4250519157</v>
      </c>
      <c r="CK23">
        <f t="shared" si="37"/>
        <v>-5761501.1610000012</v>
      </c>
      <c r="CL23">
        <f t="shared" si="38"/>
        <v>981774.62056545517</v>
      </c>
      <c r="CM23">
        <f t="shared" si="39"/>
        <v>3740567.745772535</v>
      </c>
    </row>
    <row r="24" spans="1:91" x14ac:dyDescent="0.2">
      <c r="A24" s="2" t="s">
        <v>23</v>
      </c>
      <c r="B24" s="2" t="str">
        <f t="shared" si="42"/>
        <v>SHREE SINGAJI TPP</v>
      </c>
      <c r="C24" s="2" t="str">
        <f>VLOOKUP($A24,'[1]daily coal, energy reqd'!$C$2:$T$599,17,FALSE)</f>
        <v>Madhya Pradesh</v>
      </c>
      <c r="D24" s="2" t="str">
        <f>VLOOKUP(C24,'Target PLF'!$I$2:$J$19,2,FALSE)</f>
        <v>WR</v>
      </c>
      <c r="E24" s="2" t="str">
        <f>VLOOKUP(A24,[2]Ownership!$C$2:$D$666,2,FALSE)</f>
        <v>STATE SECTOR</v>
      </c>
      <c r="F24" s="2" t="s">
        <v>542</v>
      </c>
      <c r="G24" s="13">
        <v>1.45379876796714</v>
      </c>
      <c r="H24" s="2">
        <v>660</v>
      </c>
      <c r="I24" s="2">
        <f>VLOOKUP(A24,'[3]Calculated coal req (reg.)'!$A$2:$I$599,9,FALSE)</f>
        <v>7.6966385006007103</v>
      </c>
      <c r="J24" s="2"/>
      <c r="K24" s="11">
        <v>0.48589889523994384</v>
      </c>
      <c r="L24" s="3">
        <f>VLOOKUP(F24,'Target PLF'!$A$2:$B$11,2,FALSE)</f>
        <v>0.85</v>
      </c>
      <c r="M24" s="3">
        <f t="shared" si="17"/>
        <v>0.36410110476005614</v>
      </c>
      <c r="N24" s="2" t="str">
        <f t="shared" si="0"/>
        <v>0.15</v>
      </c>
      <c r="O24" s="2">
        <f t="shared" si="45"/>
        <v>6.8188646251172695</v>
      </c>
      <c r="P24" s="2">
        <f t="shared" si="1"/>
        <v>1642664.4881907501</v>
      </c>
      <c r="Q24" s="2">
        <f t="shared" si="2"/>
        <v>11.88471252597536</v>
      </c>
      <c r="R24" s="2">
        <f t="shared" si="3"/>
        <v>13.464</v>
      </c>
      <c r="S24" s="2">
        <f t="shared" si="4"/>
        <v>2863027.2475074641</v>
      </c>
      <c r="T24" s="2" t="str">
        <f>VLOOKUP(A24,'[4]CEA vs MERIT comp. &amp; NPA marker'!$C$2:$K$735,9,FALSE)</f>
        <v>Contracted</v>
      </c>
      <c r="U24" s="3">
        <f>VLOOKUP(B24,'[8]Import-Domestic share'!$A$208:$F$406,6,FALSE)</f>
        <v>2.4167248138043805E-3</v>
      </c>
      <c r="V24" s="3">
        <f t="shared" si="5"/>
        <v>3969.868029365859</v>
      </c>
      <c r="W24" s="2">
        <f t="shared" si="6"/>
        <v>2537.4892294201381</v>
      </c>
      <c r="X24" s="2">
        <f t="shared" si="7"/>
        <v>2657.8505685419959</v>
      </c>
      <c r="Y24" s="6">
        <f t="shared" si="8"/>
        <v>0.33891769471530936</v>
      </c>
      <c r="Z24" s="2">
        <f t="shared" si="18"/>
        <v>2899423.1908494746</v>
      </c>
      <c r="AA24" s="2">
        <f t="shared" si="19"/>
        <v>1736060.8634169083</v>
      </c>
      <c r="AB24" s="2" t="s">
        <v>598</v>
      </c>
      <c r="AC24" s="12">
        <f>VLOOKUP(B24,[9]Sheet1!$A$2:$B$137,2,FALSE)</f>
        <v>4300.9021962880979</v>
      </c>
      <c r="AD24" s="12">
        <f t="shared" si="9"/>
        <v>2838595.4495501448</v>
      </c>
      <c r="AE24" s="2"/>
      <c r="AF24" s="7">
        <f>VLOOKUP($B24,'[9]Subsidiary wise dispatch'!$A$3:$R$138,11,FALSE)*$H24*$O24*365</f>
        <v>0</v>
      </c>
      <c r="AG24" s="7">
        <f>VLOOKUP($B24,'[9]Subsidiary wise dispatch'!$A$3:$R$138,12,FALSE)*$H24*$O24*365</f>
        <v>0</v>
      </c>
      <c r="AH24" s="7">
        <f>VLOOKUP($B24,'[9]Subsidiary wise dispatch'!$A$3:$R$138,13,FALSE)*$H24*$O24*365</f>
        <v>0</v>
      </c>
      <c r="AI24" s="7">
        <f>VLOOKUP($B24,'[9]Subsidiary wise dispatch'!$A$3:$R$138,14,FALSE)*$H24*$O24*365</f>
        <v>0</v>
      </c>
      <c r="AJ24" s="7">
        <f>VLOOKUP($B24,'[9]Subsidiary wise dispatch'!$A$3:$R$138,15,FALSE)*$H24*$O24*365</f>
        <v>167767.22287450355</v>
      </c>
      <c r="AK24" s="7">
        <f>VLOOKUP($B24,'[9]Subsidiary wise dispatch'!$A$3:$R$138,16,FALSE)*$H24*$O24*365</f>
        <v>0</v>
      </c>
      <c r="AL24" s="7">
        <f>VLOOKUP($B24,'[9]Subsidiary wise dispatch'!$A$3:$R$138,17,FALSE)*$H24*$O24*365</f>
        <v>963692.93175136449</v>
      </c>
      <c r="AM24" s="7">
        <f>VLOOKUP($B24,'[9]Subsidiary wise dispatch'!$A$3:$R$138,18,FALSE)*$H24*$O24*365</f>
        <v>511204.33356488234</v>
      </c>
      <c r="AN24" s="15">
        <f t="shared" si="10"/>
        <v>1642664.4881907504</v>
      </c>
      <c r="AO24" s="6">
        <v>8.2780713152587837E-2</v>
      </c>
      <c r="AP24" s="11">
        <f t="shared" si="20"/>
        <v>0.63713322395739114</v>
      </c>
      <c r="AQ24" s="11">
        <f t="shared" si="11"/>
        <v>1.1145595218864426</v>
      </c>
      <c r="AR24" s="3"/>
      <c r="AS24" s="3">
        <f t="shared" si="43"/>
        <v>2.2564454689168691</v>
      </c>
      <c r="AT24" s="3">
        <f t="shared" si="40"/>
        <v>2.2441084316568785</v>
      </c>
      <c r="AU24" s="3">
        <f t="shared" si="12"/>
        <v>1.2337037259990691E-2</v>
      </c>
      <c r="AV24" s="88">
        <f t="shared" si="21"/>
        <v>0.26682057159026434</v>
      </c>
      <c r="AW24" s="32">
        <f t="shared" si="22"/>
        <v>0.11278071543755494</v>
      </c>
      <c r="AX24" s="12">
        <f t="shared" si="44"/>
        <v>633.89714507586336</v>
      </c>
      <c r="AY24" s="12">
        <f t="shared" si="13"/>
        <v>1102.8356712197296</v>
      </c>
      <c r="AZ24" s="3">
        <f>VLOOKUP(A24,[5]Analysis!$A$3:$BJ$543,62,FALSE)</f>
        <v>0.78524893852561628</v>
      </c>
      <c r="BA24" s="2"/>
      <c r="BB24" s="2"/>
      <c r="BC24" s="2" t="str">
        <f>VLOOKUP(A24,'[6]FGD status - Jun 2020'!$I$2:$M$449,5,FALSE)</f>
        <v>Bid opened</v>
      </c>
      <c r="BD24" s="2"/>
      <c r="BE24" s="2"/>
      <c r="BF24" s="2">
        <f t="shared" si="14"/>
        <v>538.20701340750179</v>
      </c>
      <c r="BG24" s="2">
        <f t="shared" si="15"/>
        <v>898.86819583052784</v>
      </c>
      <c r="BH24" s="2"/>
      <c r="BI24" s="2"/>
      <c r="BK24">
        <f t="shared" si="16"/>
        <v>320.69327085836295</v>
      </c>
      <c r="BP24" s="2" t="str">
        <f>VLOOKUP(A24,'[7]Table 2'!$J$2:$N$449,5,FALSE)</f>
        <v>Bid opened</v>
      </c>
      <c r="BR24">
        <f t="shared" si="23"/>
        <v>586.31616959430357</v>
      </c>
      <c r="BS24">
        <f t="shared" si="24"/>
        <v>979.21607192150282</v>
      </c>
      <c r="BT24">
        <f>(X24*I24*365*[5]Analysis!BK24)/10^4</f>
        <v>286.83341933589065</v>
      </c>
      <c r="BU24">
        <f>(W24*R24*365*[5]Analysis!BK24)/10^4</f>
        <v>479.04511037492108</v>
      </c>
      <c r="BV24">
        <f>(X24*I24*365*[5]Analysis!BL24)/10^4</f>
        <v>299.48275025841286</v>
      </c>
      <c r="BW24">
        <f>(W24*R24*365*[5]Analysis!BL24)/10^4</f>
        <v>500.17096154658168</v>
      </c>
      <c r="BX24">
        <f t="shared" si="25"/>
        <v>2096792.7890050909</v>
      </c>
      <c r="BY24">
        <f t="shared" si="26"/>
        <v>3501887.3859535558</v>
      </c>
      <c r="BZ24">
        <f t="shared" si="41"/>
        <v>11427483.297326924</v>
      </c>
      <c r="CA24">
        <f t="shared" si="27"/>
        <v>19990497.813194837</v>
      </c>
      <c r="CB24">
        <f t="shared" si="28"/>
        <v>-403309.97286764812</v>
      </c>
      <c r="CC24">
        <f t="shared" si="29"/>
        <v>-1234198.4292000001</v>
      </c>
      <c r="CD24">
        <f t="shared" si="30"/>
        <v>0</v>
      </c>
      <c r="CE24">
        <f t="shared" si="31"/>
        <v>0</v>
      </c>
      <c r="CF24">
        <f t="shared" si="32"/>
        <v>5016234.114616259</v>
      </c>
      <c r="CG24">
        <f t="shared" si="33"/>
        <v>8775074.4840000011</v>
      </c>
      <c r="CH24">
        <f t="shared" si="34"/>
        <v>82851.642551560552</v>
      </c>
      <c r="CI24">
        <f t="shared" si="35"/>
        <v>144935.28768788441</v>
      </c>
      <c r="CJ24">
        <f t="shared" si="36"/>
        <v>-3057520.4309176351</v>
      </c>
      <c r="CK24">
        <f t="shared" si="37"/>
        <v>-5348627.8560000015</v>
      </c>
      <c r="CL24">
        <f t="shared" si="38"/>
        <v>1801203.6579893988</v>
      </c>
      <c r="CM24">
        <f t="shared" si="39"/>
        <v>3150908.8089919365</v>
      </c>
    </row>
    <row r="25" spans="1:91" x14ac:dyDescent="0.2">
      <c r="A25" s="2" t="s">
        <v>26</v>
      </c>
      <c r="B25" s="2" t="str">
        <f t="shared" si="42"/>
        <v>MEJA STPP</v>
      </c>
      <c r="C25" s="2" t="str">
        <f>VLOOKUP($A25,'[1]daily coal, energy reqd'!$C$2:$T$599,17,FALSE)</f>
        <v>Uttar Pradesh</v>
      </c>
      <c r="D25" s="2" t="str">
        <f>VLOOKUP(C25,'Target PLF'!$I$2:$J$19,2,FALSE)</f>
        <v>NR</v>
      </c>
      <c r="E25" s="2" t="str">
        <f>VLOOKUP(A25,[2]Ownership!$C$2:$D$666,2,FALSE)</f>
        <v>CENTRAL SECTOR</v>
      </c>
      <c r="F25" s="2" t="s">
        <v>542</v>
      </c>
      <c r="G25" s="13">
        <v>2.0917180013689198</v>
      </c>
      <c r="H25" s="2">
        <v>660</v>
      </c>
      <c r="I25" s="2">
        <f>VLOOKUP(A25,'[3]Calculated coal req (reg.)'!$A$2:$I$599,9,FALSE)</f>
        <v>1.53725666199158</v>
      </c>
      <c r="J25" s="2"/>
      <c r="K25" s="11">
        <v>9.7049031691387622E-2</v>
      </c>
      <c r="L25" s="3">
        <f>VLOOKUP(F25,'Target PLF'!$A$2:$B$11,2,FALSE)</f>
        <v>0.85</v>
      </c>
      <c r="M25" s="3">
        <f t="shared" si="17"/>
        <v>0.75295096830861241</v>
      </c>
      <c r="N25" s="2" t="str">
        <f t="shared" si="0"/>
        <v>0.15</v>
      </c>
      <c r="O25" s="2">
        <f t="shared" si="45"/>
        <v>1.4288859103251439</v>
      </c>
      <c r="P25" s="2">
        <f t="shared" si="1"/>
        <v>344218.61579732719</v>
      </c>
      <c r="Q25" s="2">
        <f t="shared" si="2"/>
        <v>11.904918617693362</v>
      </c>
      <c r="R25" s="2">
        <f t="shared" si="3"/>
        <v>13.464</v>
      </c>
      <c r="S25" s="2">
        <f t="shared" si="4"/>
        <v>2867894.8950023311</v>
      </c>
      <c r="T25" s="2" t="str">
        <f>VLOOKUP(A25,'[4]CEA vs MERIT comp. &amp; NPA marker'!$C$2:$K$735,9,FALSE)</f>
        <v>Contracted</v>
      </c>
      <c r="U25" s="3">
        <f>VLOOKUP(B25,'[8]Import-Domestic share'!$A$208:$F$406,6,FALSE)</f>
        <v>0</v>
      </c>
      <c r="V25" s="3">
        <f t="shared" si="5"/>
        <v>0</v>
      </c>
      <c r="W25" s="2">
        <f t="shared" si="6"/>
        <v>2541.8184107830248</v>
      </c>
      <c r="X25" s="2">
        <f t="shared" si="7"/>
        <v>2790.7223159179648</v>
      </c>
      <c r="Y25" s="6">
        <f t="shared" si="8"/>
        <v>0.33834045593173234</v>
      </c>
      <c r="Z25" s="2">
        <f t="shared" si="18"/>
        <v>2982469.5941866124</v>
      </c>
      <c r="AA25" s="2">
        <f t="shared" si="19"/>
        <v>373869.82080685976</v>
      </c>
      <c r="AB25" s="2" t="s">
        <v>598</v>
      </c>
      <c r="AC25" s="12">
        <f>VLOOKUP(B25,[9]Sheet1!$A$2:$B$137,2,FALSE)</f>
        <v>4188.277643991325</v>
      </c>
      <c r="AD25" s="12">
        <f t="shared" si="9"/>
        <v>2764263.2450342746</v>
      </c>
      <c r="AE25" s="2"/>
      <c r="AF25" s="7">
        <f>VLOOKUP($B25,'[9]Subsidiary wise dispatch'!$A$3:$R$138,11,FALSE)*$H25*$O25*365</f>
        <v>0</v>
      </c>
      <c r="AG25" s="7">
        <f>VLOOKUP($B25,'[9]Subsidiary wise dispatch'!$A$3:$R$138,12,FALSE)*$H25*$O25*365</f>
        <v>0</v>
      </c>
      <c r="AH25" s="7">
        <f>VLOOKUP($B25,'[9]Subsidiary wise dispatch'!$A$3:$R$138,13,FALSE)*$H25*$O25*365</f>
        <v>0</v>
      </c>
      <c r="AI25" s="7">
        <f>VLOOKUP($B25,'[9]Subsidiary wise dispatch'!$A$3:$R$138,14,FALSE)*$H25*$O25*365</f>
        <v>0</v>
      </c>
      <c r="AJ25" s="7">
        <f>VLOOKUP($B25,'[9]Subsidiary wise dispatch'!$A$3:$R$138,15,FALSE)*$H25*$O25*365</f>
        <v>0</v>
      </c>
      <c r="AK25" s="7">
        <f>VLOOKUP($B25,'[9]Subsidiary wise dispatch'!$A$3:$R$138,16,FALSE)*$H25*$O25*365</f>
        <v>0</v>
      </c>
      <c r="AL25" s="7">
        <f>VLOOKUP($B25,'[9]Subsidiary wise dispatch'!$A$3:$R$138,17,FALSE)*$H25*$O25*365</f>
        <v>344218.61579732719</v>
      </c>
      <c r="AM25" s="7">
        <f>VLOOKUP($B25,'[9]Subsidiary wise dispatch'!$A$3:$R$138,18,FALSE)*$H25*$O25*365</f>
        <v>0</v>
      </c>
      <c r="AN25" s="15">
        <f t="shared" si="10"/>
        <v>344218.61579732719</v>
      </c>
      <c r="AO25" s="6">
        <v>6.4933199252980744E-2</v>
      </c>
      <c r="AP25" s="11">
        <f t="shared" si="20"/>
        <v>9.981899313607133E-2</v>
      </c>
      <c r="AQ25" s="11">
        <f t="shared" si="11"/>
        <v>0.8742605947421328</v>
      </c>
      <c r="AR25" s="3">
        <f>VLOOKUP(A25,[10]Sheet1!$A$2:$L$542,12,FALSE)</f>
        <v>3.2819118535366498</v>
      </c>
      <c r="AS25" s="3">
        <f t="shared" si="43"/>
        <v>2.1176284283591333</v>
      </c>
      <c r="AT25" s="3">
        <f t="shared" si="40"/>
        <v>2.0921157780828019</v>
      </c>
      <c r="AU25" s="3">
        <f t="shared" si="12"/>
        <v>2.5512650276331428E-2</v>
      </c>
      <c r="AV25" s="88">
        <f t="shared" si="21"/>
        <v>0.55177752859591733</v>
      </c>
      <c r="AW25" s="32">
        <f t="shared" si="22"/>
        <v>0.24851615669296986</v>
      </c>
      <c r="AX25" s="12">
        <f t="shared" si="44"/>
        <v>118.81985193280104</v>
      </c>
      <c r="AY25" s="12">
        <f t="shared" si="13"/>
        <v>1028.1410095178999</v>
      </c>
      <c r="AZ25" s="3">
        <f>VLOOKUP(A25,[5]Analysis!$A$3:$BJ$543,62,FALSE)</f>
        <v>0.72881515015586751</v>
      </c>
      <c r="BA25" s="2"/>
      <c r="BB25" s="2"/>
      <c r="BC25" s="2" t="str">
        <f>VLOOKUP(A25,'[6]FGD status - Jun 2020'!$I$2:$M$449,5,FALSE)</f>
        <v>Bid Awarded</v>
      </c>
      <c r="BD25" s="2"/>
      <c r="BE25" s="2"/>
      <c r="BF25" s="2">
        <f t="shared" si="14"/>
        <v>115.71270953972309</v>
      </c>
      <c r="BG25" s="2">
        <f t="shared" si="15"/>
        <v>923.07433940075646</v>
      </c>
      <c r="BH25" s="2"/>
      <c r="BI25" s="2"/>
      <c r="BK25">
        <f t="shared" si="16"/>
        <v>64.052360916315834</v>
      </c>
      <c r="BP25" s="2" t="str">
        <f>VLOOKUP(A25,'[7]Table 2'!$J$2:$N$449,5,FALSE)</f>
        <v>Bid Awarded</v>
      </c>
      <c r="BR25">
        <f t="shared" si="23"/>
        <v>114.12302253904876</v>
      </c>
      <c r="BS25">
        <f t="shared" si="24"/>
        <v>910.39293833566694</v>
      </c>
      <c r="BT25">
        <f>(X25*I25*365*[5]Analysis!BK25)/10^4</f>
        <v>60.120443108100154</v>
      </c>
      <c r="BU25">
        <f>(W25*R25*365*[5]Analysis!BK25)/10^4</f>
        <v>479.59846871824544</v>
      </c>
      <c r="BV25">
        <f>(X25*I25*365*[5]Analysis!BL25)/10^4</f>
        <v>54.002579430948607</v>
      </c>
      <c r="BW25">
        <f>(W25*R25*365*[5]Analysis!BL25)/10^4</f>
        <v>430.79446961742156</v>
      </c>
      <c r="BX25">
        <f t="shared" si="25"/>
        <v>439730.78837112983</v>
      </c>
      <c r="BY25">
        <f t="shared" si="26"/>
        <v>3507861.9159852215</v>
      </c>
      <c r="BZ25">
        <f t="shared" si="41"/>
        <v>2118390.0310486527</v>
      </c>
      <c r="CA25">
        <f t="shared" si="27"/>
        <v>18553832.995647985</v>
      </c>
      <c r="CB25">
        <f t="shared" si="28"/>
        <v>-16089.018499331434</v>
      </c>
      <c r="CC25">
        <f t="shared" si="29"/>
        <v>-1234198.4292000001</v>
      </c>
      <c r="CD25">
        <f t="shared" si="30"/>
        <v>0</v>
      </c>
      <c r="CE25">
        <f t="shared" si="31"/>
        <v>0</v>
      </c>
      <c r="CF25">
        <f t="shared" si="32"/>
        <v>1001897.0372847094</v>
      </c>
      <c r="CG25">
        <f t="shared" si="33"/>
        <v>8775074.4840000011</v>
      </c>
      <c r="CH25">
        <f t="shared" si="34"/>
        <v>23809.224784776179</v>
      </c>
      <c r="CI25">
        <f t="shared" si="35"/>
        <v>208532.12767145733</v>
      </c>
      <c r="CJ25">
        <f t="shared" si="36"/>
        <v>-610681.35800280317</v>
      </c>
      <c r="CK25">
        <f t="shared" si="37"/>
        <v>-5348627.8560000015</v>
      </c>
      <c r="CL25">
        <f t="shared" si="38"/>
        <v>282192.68563137163</v>
      </c>
      <c r="CM25">
        <f t="shared" si="39"/>
        <v>2471573.168802178</v>
      </c>
    </row>
    <row r="26" spans="1:91" x14ac:dyDescent="0.2">
      <c r="A26" s="2" t="s">
        <v>39</v>
      </c>
      <c r="B26" s="2" t="str">
        <f t="shared" si="42"/>
        <v>RAIKHEDA TPP</v>
      </c>
      <c r="C26" s="2" t="str">
        <f>VLOOKUP($A26,'[1]daily coal, energy reqd'!$C$2:$T$599,17,FALSE)</f>
        <v>Chhatisgarh</v>
      </c>
      <c r="D26" s="2" t="str">
        <f>VLOOKUP(C26,'Target PLF'!$I$2:$J$19,2,FALSE)</f>
        <v>WR</v>
      </c>
      <c r="E26" s="2" t="str">
        <f>VLOOKUP(A26,[2]Ownership!$C$2:$D$666,2,FALSE)</f>
        <v>PVT SECTOR</v>
      </c>
      <c r="F26" s="2" t="s">
        <v>543</v>
      </c>
      <c r="G26" s="12">
        <v>5.2539356605065004</v>
      </c>
      <c r="H26" s="2">
        <v>685</v>
      </c>
      <c r="I26" s="2">
        <f>VLOOKUP(A26,'[3]Calculated coal req (reg.)'!$A$2:$I$599,9,FALSE)</f>
        <v>6.6439723969151903</v>
      </c>
      <c r="J26" s="2"/>
      <c r="K26" s="11">
        <v>0.40413457402160524</v>
      </c>
      <c r="L26" s="3">
        <f>VLOOKUP(F26,'Target PLF'!$A$2:$B$11,2,FALSE)</f>
        <v>0.85</v>
      </c>
      <c r="M26" s="3">
        <f t="shared" si="17"/>
        <v>0.44586542597839474</v>
      </c>
      <c r="N26" s="2" t="str">
        <f t="shared" si="0"/>
        <v>0.15</v>
      </c>
      <c r="O26" s="2">
        <f t="shared" si="45"/>
        <v>4.7816738307813438</v>
      </c>
      <c r="P26" s="2">
        <f t="shared" si="1"/>
        <v>1195537.9995411055</v>
      </c>
      <c r="Q26" s="2">
        <f t="shared" si="2"/>
        <v>10.985133262046542</v>
      </c>
      <c r="R26" s="2">
        <f t="shared" si="3"/>
        <v>13.974</v>
      </c>
      <c r="S26" s="2">
        <f t="shared" si="4"/>
        <v>2746557.9438431864</v>
      </c>
      <c r="T26" s="2" t="str">
        <f>VLOOKUP(A26,'[4]CEA vs MERIT comp. &amp; NPA marker'!$C$2:$K$735,9,FALSE)</f>
        <v>Not contracted</v>
      </c>
      <c r="U26" s="3">
        <f>VLOOKUP(B26,'[8]Import-Domestic share'!$A$208:$F$406,6,FALSE)</f>
        <v>1.3611142179564709E-3</v>
      </c>
      <c r="V26" s="3">
        <f t="shared" si="5"/>
        <v>1627.2637692826356</v>
      </c>
      <c r="W26" s="2">
        <f t="shared" si="6"/>
        <v>2543.142765132397</v>
      </c>
      <c r="X26" s="2">
        <f t="shared" si="7"/>
        <v>2690.5330340365863</v>
      </c>
      <c r="Y26" s="6">
        <f t="shared" si="8"/>
        <v>0.33816426344245287</v>
      </c>
      <c r="Z26" s="2">
        <f t="shared" si="18"/>
        <v>3125620.5072254068</v>
      </c>
      <c r="AA26" s="2">
        <f t="shared" si="19"/>
        <v>1572211.3089304958</v>
      </c>
      <c r="AB26" s="2" t="s">
        <v>598</v>
      </c>
      <c r="AC26" s="12">
        <f>VLOOKUP(B26,[9]Sheet1!$A$2:$B$137,2,FALSE)</f>
        <v>4150.0000000000009</v>
      </c>
      <c r="AD26" s="12">
        <f t="shared" si="9"/>
        <v>2842750.0000000005</v>
      </c>
      <c r="AE26" s="2"/>
      <c r="AF26" s="7">
        <f>VLOOKUP($B26,'[9]Subsidiary wise dispatch'!$A$3:$R$138,11,FALSE)*$H26*$O26*365</f>
        <v>0</v>
      </c>
      <c r="AG26" s="7">
        <f>VLOOKUP($B26,'[9]Subsidiary wise dispatch'!$A$3:$R$138,12,FALSE)*$H26*$O26*365</f>
        <v>0</v>
      </c>
      <c r="AH26" s="7">
        <f>VLOOKUP($B26,'[9]Subsidiary wise dispatch'!$A$3:$R$138,13,FALSE)*$H26*$O26*365</f>
        <v>0</v>
      </c>
      <c r="AI26" s="7">
        <f>VLOOKUP($B26,'[9]Subsidiary wise dispatch'!$A$3:$R$138,14,FALSE)*$H26*$O26*365</f>
        <v>0</v>
      </c>
      <c r="AJ26" s="7">
        <f>VLOOKUP($B26,'[9]Subsidiary wise dispatch'!$A$3:$R$138,15,FALSE)*$H26*$O26*365</f>
        <v>0</v>
      </c>
      <c r="AK26" s="7">
        <f>VLOOKUP($B26,'[9]Subsidiary wise dispatch'!$A$3:$R$138,16,FALSE)*$H26*$O26*365</f>
        <v>0</v>
      </c>
      <c r="AL26" s="7">
        <f>VLOOKUP($B26,'[9]Subsidiary wise dispatch'!$A$3:$R$138,17,FALSE)*$H26*$O26*365</f>
        <v>1195537.9995411055</v>
      </c>
      <c r="AM26" s="7">
        <f>VLOOKUP($B26,'[9]Subsidiary wise dispatch'!$A$3:$R$138,18,FALSE)*$H26*$O26*365</f>
        <v>0</v>
      </c>
      <c r="AN26" s="15">
        <f t="shared" si="10"/>
        <v>1195537.9995411055</v>
      </c>
      <c r="AO26" s="6">
        <v>9.4685661559992765E-2</v>
      </c>
      <c r="AP26" s="11">
        <f t="shared" si="20"/>
        <v>0.6290889217882456</v>
      </c>
      <c r="AQ26" s="11">
        <f t="shared" si="11"/>
        <v>1.323137434639339</v>
      </c>
      <c r="AR26" s="3"/>
      <c r="AS26" s="3">
        <f t="shared" si="43"/>
        <v>1.8894178249039755</v>
      </c>
      <c r="AT26" s="3">
        <f t="shared" si="40"/>
        <v>1.874310322341296</v>
      </c>
      <c r="AU26" s="3">
        <f t="shared" si="12"/>
        <v>1.5107502562679453E-2</v>
      </c>
      <c r="AV26" s="88">
        <f t="shared" si="21"/>
        <v>0.32673910146548724</v>
      </c>
      <c r="AW26" s="32">
        <f t="shared" si="22"/>
        <v>0.16493524872861068</v>
      </c>
      <c r="AX26" s="12">
        <f t="shared" si="44"/>
        <v>458.19325543390659</v>
      </c>
      <c r="AY26" s="12">
        <f t="shared" si="13"/>
        <v>955.99385422050034</v>
      </c>
      <c r="AZ26" s="3">
        <f>VLOOKUP(A26,[5]Analysis!$A$3:$BJ$543,62,FALSE)</f>
        <v>0.56464002566013427</v>
      </c>
      <c r="BA26" s="2"/>
      <c r="BB26" s="2"/>
      <c r="BC26" s="2" t="str">
        <f>VLOOKUP(A26,'[6]FGD status - Jun 2020'!$I$2:$M$449,5,FALSE)</f>
        <v>GCEL is under stressed asset</v>
      </c>
      <c r="BD26" s="2"/>
      <c r="BE26" s="2"/>
      <c r="BF26" s="2">
        <f t="shared" si="14"/>
        <v>487.05649539189244</v>
      </c>
      <c r="BG26" s="2">
        <f t="shared" si="15"/>
        <v>968.28827112929514</v>
      </c>
      <c r="BH26" s="2"/>
      <c r="BI26" s="2"/>
      <c r="BK26">
        <f t="shared" si="16"/>
        <v>276.83218320479961</v>
      </c>
      <c r="BL26">
        <f>VLOOKUP(A26,'[11]Daily coal vs energy req.2'!$C$2:$P$599,14,FALSE)</f>
        <v>0.45</v>
      </c>
      <c r="BM26">
        <f>VLOOKUP(A26,'[11]Daily coal vs energy req.2'!$C$2:$R$599,16,FALSE)</f>
        <v>0.41</v>
      </c>
      <c r="BN26">
        <f>BL26*H26</f>
        <v>308.25</v>
      </c>
      <c r="BO26">
        <f>BM26*H26</f>
        <v>280.84999999999997</v>
      </c>
      <c r="BP26" s="2" t="str">
        <f>VLOOKUP(A26,'[7]Table 2'!$J$2:$N$449,5,FALSE)</f>
        <v>GCEL is under stressed ass</v>
      </c>
      <c r="BR26">
        <f t="shared" si="23"/>
        <v>368.40937503433247</v>
      </c>
      <c r="BS26">
        <f t="shared" si="24"/>
        <v>732.41293401249243</v>
      </c>
      <c r="BT26">
        <f>(X26*I26*365*[5]Analysis!BK26)/10^4</f>
        <v>253.59602349719984</v>
      </c>
      <c r="BU26">
        <f>(W26*R26*365*[5]Analysis!BK26)/10^4</f>
        <v>504.159286408431</v>
      </c>
      <c r="BV26">
        <f>(X26*I26*365*[5]Analysis!BL26)/10^4</f>
        <v>114.81335153713259</v>
      </c>
      <c r="BW26">
        <f>(W26*R26*365*[5]Analysis!BL26)/10^4</f>
        <v>228.25364760406129</v>
      </c>
      <c r="BX26">
        <f t="shared" si="25"/>
        <v>1832272.2891405749</v>
      </c>
      <c r="BY26">
        <f t="shared" si="26"/>
        <v>3642632.3924959116</v>
      </c>
      <c r="BZ26">
        <f t="shared" si="41"/>
        <v>7093190.5778486701</v>
      </c>
      <c r="CA26">
        <f t="shared" si="27"/>
        <v>14918822.537685294</v>
      </c>
      <c r="CB26">
        <f t="shared" si="28"/>
        <v>-289564.81282352452</v>
      </c>
      <c r="CC26">
        <f t="shared" si="29"/>
        <v>-1280948.3696999999</v>
      </c>
      <c r="CD26">
        <f t="shared" si="30"/>
        <v>-2451920.8068361282</v>
      </c>
      <c r="CE26">
        <f t="shared" si="31"/>
        <v>-5157026.4455999993</v>
      </c>
      <c r="CF26">
        <f t="shared" si="32"/>
        <v>4330165.8238688959</v>
      </c>
      <c r="CG26">
        <f t="shared" si="33"/>
        <v>9107463.6690000016</v>
      </c>
      <c r="CH26">
        <f t="shared" si="34"/>
        <v>258468.90744221047</v>
      </c>
      <c r="CI26">
        <f t="shared" si="35"/>
        <v>543627.26044353156</v>
      </c>
      <c r="CJ26">
        <f t="shared" si="36"/>
        <v>-2739319.7852067286</v>
      </c>
      <c r="CK26">
        <f t="shared" si="37"/>
        <v>-5761501.1610000012</v>
      </c>
      <c r="CL26">
        <f t="shared" si="38"/>
        <v>1778462.0618079291</v>
      </c>
      <c r="CM26">
        <f t="shared" si="39"/>
        <v>3740567.745772535</v>
      </c>
    </row>
    <row r="27" spans="1:91" x14ac:dyDescent="0.2">
      <c r="A27" s="2" t="s">
        <v>20</v>
      </c>
      <c r="B27" s="2" t="str">
        <f t="shared" si="42"/>
        <v>SOLAPUR STPS</v>
      </c>
      <c r="C27" s="2" t="str">
        <f>VLOOKUP($A27,'[1]daily coal, energy reqd'!$C$2:$T$599,17,FALSE)</f>
        <v>Maharashtra</v>
      </c>
      <c r="D27" s="2" t="str">
        <f>VLOOKUP(C27,'Target PLF'!$I$2:$J$19,2,FALSE)</f>
        <v>WR</v>
      </c>
      <c r="E27" s="2" t="str">
        <f>VLOOKUP(A27,[2]Ownership!$C$2:$D$666,2,FALSE)</f>
        <v>CENTRAL SECTOR</v>
      </c>
      <c r="F27" s="2" t="s">
        <v>542</v>
      </c>
      <c r="G27" s="13">
        <v>1.06776180698151</v>
      </c>
      <c r="H27" s="2">
        <v>660</v>
      </c>
      <c r="I27" s="2">
        <f>VLOOKUP(A27,'[3]Calculated coal req (reg.)'!$A$2:$I$599,9,FALSE)</f>
        <v>0.51650048875855303</v>
      </c>
      <c r="J27" s="2"/>
      <c r="K27" s="11">
        <v>3.2607354088292489E-2</v>
      </c>
      <c r="L27" s="3">
        <f>VLOOKUP(F27,'Target PLF'!$A$2:$B$11,2,FALSE)</f>
        <v>0.85</v>
      </c>
      <c r="M27" s="3">
        <f t="shared" si="17"/>
        <v>0.81739264591170746</v>
      </c>
      <c r="N27" s="2" t="str">
        <f t="shared" si="0"/>
        <v>0.15</v>
      </c>
      <c r="O27" s="2">
        <f t="shared" si="45"/>
        <v>0.49985570487277897</v>
      </c>
      <c r="P27" s="2">
        <f t="shared" si="1"/>
        <v>120415.23930385245</v>
      </c>
      <c r="Q27" s="2">
        <f t="shared" si="2"/>
        <v>11.872484805236139</v>
      </c>
      <c r="R27" s="2">
        <f t="shared" si="3"/>
        <v>13.464</v>
      </c>
      <c r="S27" s="2">
        <f t="shared" si="4"/>
        <v>2860081.5895813862</v>
      </c>
      <c r="T27" s="2" t="str">
        <f>VLOOKUP(A27,'[4]CEA vs MERIT comp. &amp; NPA marker'!$C$2:$K$735,9,FALSE)</f>
        <v>Not contracted</v>
      </c>
      <c r="U27" s="3">
        <f>VLOOKUP(B27,'[8]Import-Domestic share'!$A$208:$F$406,6,FALSE)</f>
        <v>6.2528240989779438E-2</v>
      </c>
      <c r="V27" s="3">
        <f t="shared" si="5"/>
        <v>7529.3531020332475</v>
      </c>
      <c r="W27" s="2">
        <f t="shared" si="6"/>
        <v>2548.0921776827236</v>
      </c>
      <c r="X27" s="2">
        <f t="shared" si="7"/>
        <v>2818.2986455129321</v>
      </c>
      <c r="Y27" s="6">
        <f t="shared" si="8"/>
        <v>0.33750741340217055</v>
      </c>
      <c r="Z27" s="2">
        <f t="shared" si="18"/>
        <v>3226271.8042369694</v>
      </c>
      <c r="AA27" s="2">
        <f t="shared" si="19"/>
        <v>136889.28775109933</v>
      </c>
      <c r="AB27" s="2" t="s">
        <v>598</v>
      </c>
      <c r="AC27" s="12">
        <f>VLOOKUP(B27,[9]Sheet1!$A$2:$B$137,2,FALSE)</f>
        <v>3881.3351862889454</v>
      </c>
      <c r="AD27" s="12">
        <f t="shared" si="9"/>
        <v>2561681.2229507039</v>
      </c>
      <c r="AE27" s="2"/>
      <c r="AF27" s="7">
        <f>VLOOKUP($B27,'[9]Subsidiary wise dispatch'!$A$3:$R$138,11,FALSE)*$H27*$O27*365</f>
        <v>44846.124047069323</v>
      </c>
      <c r="AG27" s="7">
        <f>VLOOKUP($B27,'[9]Subsidiary wise dispatch'!$A$3:$R$138,12,FALSE)*$H27*$O27*365</f>
        <v>0</v>
      </c>
      <c r="AH27" s="7">
        <f>VLOOKUP($B27,'[9]Subsidiary wise dispatch'!$A$3:$R$138,13,FALSE)*$H27*$O27*365</f>
        <v>0</v>
      </c>
      <c r="AI27" s="7">
        <f>VLOOKUP($B27,'[9]Subsidiary wise dispatch'!$A$3:$R$138,14,FALSE)*$H27*$O27*365</f>
        <v>68780.344211622651</v>
      </c>
      <c r="AJ27" s="7">
        <f>VLOOKUP($B27,'[9]Subsidiary wise dispatch'!$A$3:$R$138,15,FALSE)*$H27*$O27*365</f>
        <v>2166.6819423758207</v>
      </c>
      <c r="AK27" s="7">
        <f>VLOOKUP($B27,'[9]Subsidiary wise dispatch'!$A$3:$R$138,16,FALSE)*$H27*$O27*365</f>
        <v>0</v>
      </c>
      <c r="AL27" s="7">
        <f>VLOOKUP($B27,'[9]Subsidiary wise dispatch'!$A$3:$R$138,17,FALSE)*$H27*$O27*365</f>
        <v>270.41457908574358</v>
      </c>
      <c r="AM27" s="7">
        <f>VLOOKUP($B27,'[9]Subsidiary wise dispatch'!$A$3:$R$138,18,FALSE)*$H27*$O27*365</f>
        <v>4351.6745236989309</v>
      </c>
      <c r="AN27" s="15">
        <f t="shared" si="10"/>
        <v>120415.23930385248</v>
      </c>
      <c r="AO27" s="6">
        <v>0.09</v>
      </c>
      <c r="AP27" s="11">
        <f t="shared" si="20"/>
        <v>4.6485043988269768E-2</v>
      </c>
      <c r="AQ27" s="11">
        <f t="shared" si="11"/>
        <v>1.2117599999999999</v>
      </c>
      <c r="AR27" s="3">
        <f>VLOOKUP(A27,[10]Sheet1!$A$2:$L$542,12,FALSE)</f>
        <v>3.66088418655512</v>
      </c>
      <c r="AS27" s="3">
        <f t="shared" si="43"/>
        <v>3.1242404303328528</v>
      </c>
      <c r="AT27" s="3">
        <f t="shared" si="40"/>
        <v>3.0965442673802563</v>
      </c>
      <c r="AU27" s="3">
        <f t="shared" si="12"/>
        <v>2.769616295259647E-2</v>
      </c>
      <c r="AV27" s="88">
        <f t="shared" si="21"/>
        <v>0.59900167877701749</v>
      </c>
      <c r="AW27" s="32">
        <f t="shared" si="22"/>
        <v>0.18286221197244887</v>
      </c>
      <c r="AX27" s="12">
        <f t="shared" si="44"/>
        <v>58.899017388214496</v>
      </c>
      <c r="AY27" s="12">
        <f t="shared" si="13"/>
        <v>1521.7533285842837</v>
      </c>
      <c r="AZ27" s="3">
        <f>VLOOKUP(A27,[5]Analysis!$A$3:$BJ$543,62,FALSE)</f>
        <v>1.2262288503811818</v>
      </c>
      <c r="BA27" s="2"/>
      <c r="BB27" s="2"/>
      <c r="BC27" s="2" t="e">
        <f>VLOOKUP(A27,'[6]FGD status - Jun 2020'!$I$2:$M$449,5,FALSE)</f>
        <v>#N/A</v>
      </c>
      <c r="BD27" s="2"/>
      <c r="BE27" s="2"/>
      <c r="BF27" s="2">
        <f t="shared" si="14"/>
        <v>44.195532304327756</v>
      </c>
      <c r="BG27" s="2">
        <f t="shared" si="15"/>
        <v>1041.6213137579985</v>
      </c>
      <c r="BH27" s="2"/>
      <c r="BI27" s="2"/>
      <c r="BK27">
        <f t="shared" si="16"/>
        <v>21.520853698273044</v>
      </c>
      <c r="BP27" s="2" t="e">
        <f>VLOOKUP(A27,'[7]Table 2'!$J$2:$N$449,5,FALSE)</f>
        <v>#N/A</v>
      </c>
      <c r="BR27">
        <f t="shared" si="23"/>
        <v>65.151158567822904</v>
      </c>
      <c r="BS27">
        <f t="shared" si="24"/>
        <v>1535.5134748230209</v>
      </c>
      <c r="BT27">
        <f>(X27*I27*365*[5]Analysis!BK27)/10^4</f>
        <v>24.504245100448134</v>
      </c>
      <c r="BU27">
        <f>(W27*R27*365*[5]Analysis!BK27)/10^4</f>
        <v>577.52769665537869</v>
      </c>
      <c r="BV27">
        <f>(X27*I27*365*[5]Analysis!BL27)/10^4</f>
        <v>40.646913467374773</v>
      </c>
      <c r="BW27">
        <f>(W27*R27*365*[5]Analysis!BL27)/10^4</f>
        <v>957.98577816764214</v>
      </c>
      <c r="BX27">
        <f t="shared" si="25"/>
        <v>149204.39435718727</v>
      </c>
      <c r="BY27">
        <f t="shared" si="26"/>
        <v>3516520.0907328194</v>
      </c>
      <c r="BZ27">
        <f t="shared" si="41"/>
        <v>1197524.5210661821</v>
      </c>
      <c r="CA27">
        <f t="shared" si="27"/>
        <v>31216756.813510519</v>
      </c>
      <c r="CB27">
        <f t="shared" si="28"/>
        <v>-1816.2609978136124</v>
      </c>
      <c r="CC27">
        <f t="shared" si="29"/>
        <v>-1234198.4292000001</v>
      </c>
      <c r="CD27">
        <f t="shared" si="30"/>
        <v>0</v>
      </c>
      <c r="CE27">
        <f t="shared" si="31"/>
        <v>0</v>
      </c>
      <c r="CF27">
        <f t="shared" si="32"/>
        <v>336625.83629521006</v>
      </c>
      <c r="CG27">
        <f t="shared" si="33"/>
        <v>8775074.4840000011</v>
      </c>
      <c r="CH27">
        <f t="shared" si="34"/>
        <v>4083.578012087452</v>
      </c>
      <c r="CI27">
        <f t="shared" si="35"/>
        <v>106449.64632443438</v>
      </c>
      <c r="CJ27">
        <f t="shared" si="36"/>
        <v>-205181.88516129027</v>
      </c>
      <c r="CK27">
        <f t="shared" si="37"/>
        <v>-5348627.8560000015</v>
      </c>
      <c r="CL27">
        <f t="shared" si="38"/>
        <v>131415.2646967741</v>
      </c>
      <c r="CM27">
        <f t="shared" si="39"/>
        <v>3425698.8374399999</v>
      </c>
    </row>
    <row r="28" spans="1:91" x14ac:dyDescent="0.2">
      <c r="A28" s="2" t="s">
        <v>28</v>
      </c>
      <c r="B28" s="2" t="str">
        <f t="shared" si="42"/>
        <v>BARA TPP</v>
      </c>
      <c r="C28" s="2" t="str">
        <f>VLOOKUP($A28,'[1]daily coal, energy reqd'!$C$2:$T$599,17,FALSE)</f>
        <v>Uttar Pradesh</v>
      </c>
      <c r="D28" s="2" t="str">
        <f>VLOOKUP(C28,'Target PLF'!$I$2:$J$19,2,FALSE)</f>
        <v>NR</v>
      </c>
      <c r="E28" s="2" t="str">
        <f>VLOOKUP(A28,[2]Ownership!$C$2:$D$666,2,FALSE)</f>
        <v>PVT SECTOR</v>
      </c>
      <c r="F28" s="2" t="s">
        <v>542</v>
      </c>
      <c r="G28" s="12">
        <v>3.0088980150581701</v>
      </c>
      <c r="H28" s="2">
        <v>660</v>
      </c>
      <c r="I28" s="2">
        <f>VLOOKUP(A28,'[3]Calculated coal req (reg.)'!$A$2:$I$599,9,FALSE)</f>
        <v>7.2931149691897499</v>
      </c>
      <c r="J28" s="2"/>
      <c r="K28" s="11">
        <v>0.46042392482258521</v>
      </c>
      <c r="L28" s="3">
        <f>VLOOKUP(F28,'Target PLF'!$A$2:$B$11,2,FALSE)</f>
        <v>0.85</v>
      </c>
      <c r="M28" s="3">
        <f t="shared" si="17"/>
        <v>0.38957607517741477</v>
      </c>
      <c r="N28" s="2" t="str">
        <f t="shared" si="0"/>
        <v>0.15</v>
      </c>
      <c r="O28" s="2">
        <f t="shared" si="45"/>
        <v>5.6239303878610425</v>
      </c>
      <c r="P28" s="2">
        <f t="shared" si="1"/>
        <v>1354804.8304357252</v>
      </c>
      <c r="Q28" s="2">
        <f t="shared" si="2"/>
        <v>11.044219194626969</v>
      </c>
      <c r="R28" s="2">
        <f t="shared" si="3"/>
        <v>13.464</v>
      </c>
      <c r="S28" s="2">
        <f t="shared" si="4"/>
        <v>2660552.4039856368</v>
      </c>
      <c r="T28" s="2" t="str">
        <f>VLOOKUP(A28,'[4]CEA vs MERIT comp. &amp; NPA marker'!$C$2:$K$735,9,FALSE)</f>
        <v>Contracted</v>
      </c>
      <c r="U28" s="3">
        <f>VLOOKUP(B28,'[8]Import-Domestic share'!$A$208:$F$406,6,FALSE)</f>
        <v>0</v>
      </c>
      <c r="V28" s="3">
        <f t="shared" si="5"/>
        <v>0</v>
      </c>
      <c r="W28" s="2">
        <f t="shared" si="6"/>
        <v>2548.8261586132785</v>
      </c>
      <c r="X28" s="2">
        <f t="shared" si="7"/>
        <v>2677.608789275967</v>
      </c>
      <c r="Y28" s="6">
        <f t="shared" si="8"/>
        <v>0.33741022199328574</v>
      </c>
      <c r="Z28" s="2">
        <f t="shared" si="18"/>
        <v>2752175.7686297358</v>
      </c>
      <c r="AA28" s="2">
        <f t="shared" si="19"/>
        <v>1566109.1718373036</v>
      </c>
      <c r="AB28" s="2" t="s">
        <v>598</v>
      </c>
      <c r="AC28" s="12">
        <f>VLOOKUP(B28,[9]Sheet1!$A$2:$B$137,2,FALSE)</f>
        <v>4551.2533987170345</v>
      </c>
      <c r="AD28" s="12">
        <f t="shared" si="9"/>
        <v>3003827.2431532429</v>
      </c>
      <c r="AE28" s="2"/>
      <c r="AF28" s="7">
        <f>VLOOKUP($B28,'[9]Subsidiary wise dispatch'!$A$3:$R$138,11,FALSE)*$H28*$O28*365</f>
        <v>16401.020766954884</v>
      </c>
      <c r="AG28" s="7">
        <f>VLOOKUP($B28,'[9]Subsidiary wise dispatch'!$A$3:$R$138,12,FALSE)*$H28*$O28*365</f>
        <v>122853.10752548611</v>
      </c>
      <c r="AH28" s="7">
        <f>VLOOKUP($B28,'[9]Subsidiary wise dispatch'!$A$3:$R$138,13,FALSE)*$H28*$O28*365</f>
        <v>9836.3945596572066</v>
      </c>
      <c r="AI28" s="7">
        <f>VLOOKUP($B28,'[9]Subsidiary wise dispatch'!$A$3:$R$138,14,FALSE)*$H28*$O28*365</f>
        <v>0</v>
      </c>
      <c r="AJ28" s="7">
        <f>VLOOKUP($B28,'[9]Subsidiary wise dispatch'!$A$3:$R$138,15,FALSE)*$H28*$O28*365</f>
        <v>1198493.1303152875</v>
      </c>
      <c r="AK28" s="7">
        <f>VLOOKUP($B28,'[9]Subsidiary wise dispatch'!$A$3:$R$138,16,FALSE)*$H28*$O28*365</f>
        <v>0</v>
      </c>
      <c r="AL28" s="7">
        <f>VLOOKUP($B28,'[9]Subsidiary wise dispatch'!$A$3:$R$138,17,FALSE)*$H28*$O28*365</f>
        <v>7221.1772683393365</v>
      </c>
      <c r="AM28" s="7">
        <f>VLOOKUP($B28,'[9]Subsidiary wise dispatch'!$A$3:$R$138,18,FALSE)*$H28*$O28*365</f>
        <v>0</v>
      </c>
      <c r="AN28" s="15">
        <f t="shared" si="10"/>
        <v>1354804.8304357249</v>
      </c>
      <c r="AO28" s="6">
        <v>7.2032085285824013E-2</v>
      </c>
      <c r="AP28" s="11">
        <f t="shared" si="20"/>
        <v>0.52533827945999578</v>
      </c>
      <c r="AQ28" s="11">
        <f t="shared" si="11"/>
        <v>0.9698399962883345</v>
      </c>
      <c r="AR28" s="3">
        <f>VLOOKUP(A28,[10]Sheet1!$A$2:$L$542,12,FALSE)</f>
        <v>2.3263157894736799</v>
      </c>
      <c r="AS28" s="3">
        <f t="shared" si="43"/>
        <v>1.9028468970196795</v>
      </c>
      <c r="AT28" s="3">
        <f t="shared" si="40"/>
        <v>1.889646677376754</v>
      </c>
      <c r="AU28" s="3">
        <f t="shared" si="12"/>
        <v>1.3200219642925504E-2</v>
      </c>
      <c r="AV28" s="88">
        <f t="shared" si="21"/>
        <v>0.2854891394115131</v>
      </c>
      <c r="AW28" s="32">
        <f t="shared" si="22"/>
        <v>0.14309554814686257</v>
      </c>
      <c r="AX28" s="12">
        <f t="shared" si="44"/>
        <v>506.53536338866297</v>
      </c>
      <c r="AY28" s="12">
        <f t="shared" si="13"/>
        <v>928.64040454332246</v>
      </c>
      <c r="AZ28" s="3">
        <f>VLOOKUP(A28,[5]Analysis!$A$3:$BJ$543,62,FALSE)</f>
        <v>0.60714742091333385</v>
      </c>
      <c r="BA28" s="2"/>
      <c r="BB28" s="2"/>
      <c r="BC28" s="2" t="str">
        <f>VLOOKUP(A28,'[6]FGD status - Jun 2020'!$I$2:$M$449,5,FALSE)</f>
        <v>NIT issued</v>
      </c>
      <c r="BD28" s="2"/>
      <c r="BE28" s="2"/>
      <c r="BF28" s="2">
        <f t="shared" si="14"/>
        <v>484.71078868364543</v>
      </c>
      <c r="BG28" s="2">
        <f t="shared" si="15"/>
        <v>851.79840039090323</v>
      </c>
      <c r="BH28" s="2"/>
      <c r="BI28" s="2"/>
      <c r="BK28">
        <f t="shared" si="16"/>
        <v>303.87979038290621</v>
      </c>
      <c r="BL28" t="str">
        <f>VLOOKUP(A28,'[11]Daily coal vs energy req.2'!$C$2:$P$599,14,FALSE)</f>
        <v/>
      </c>
      <c r="BM28" t="str">
        <f>VLOOKUP(A28,'[11]Daily coal vs energy req.2'!$C$2:$R$599,16,FALSE)</f>
        <v/>
      </c>
      <c r="BP28" s="2" t="str">
        <f>VLOOKUP(A28,'[7]Table 2'!$J$2:$N$449,5,FALSE)</f>
        <v>Bid opened</v>
      </c>
      <c r="BR28">
        <f t="shared" si="23"/>
        <v>432.76009133331581</v>
      </c>
      <c r="BS28">
        <f t="shared" si="24"/>
        <v>760.50371098987114</v>
      </c>
      <c r="BT28">
        <f>(X28*I28*365*[5]Analysis!BK28)/10^4</f>
        <v>269.25787003183814</v>
      </c>
      <c r="BU28">
        <f>(W28*R28*365*[5]Analysis!BK28)/10^4</f>
        <v>473.17581605445304</v>
      </c>
      <c r="BV28">
        <f>(X28*I28*365*[5]Analysis!BL28)/10^4</f>
        <v>163.50222130147765</v>
      </c>
      <c r="BW28">
        <f>(W28*R28*365*[5]Analysis!BL28)/10^4</f>
        <v>287.32789493541816</v>
      </c>
      <c r="BX28">
        <f t="shared" si="25"/>
        <v>2001631.1461270158</v>
      </c>
      <c r="BY28">
        <f t="shared" si="26"/>
        <v>3517533.0284558414</v>
      </c>
      <c r="BZ28">
        <f t="shared" si="41"/>
        <v>8372388.3109155055</v>
      </c>
      <c r="CA28">
        <f t="shared" si="27"/>
        <v>15456473.220891783</v>
      </c>
      <c r="CB28">
        <f t="shared" si="28"/>
        <v>-362128.66461097013</v>
      </c>
      <c r="CC28">
        <f t="shared" si="29"/>
        <v>-1234198.4292000001</v>
      </c>
      <c r="CD28">
        <f t="shared" si="30"/>
        <v>-2691483.2379356497</v>
      </c>
      <c r="CE28">
        <f t="shared" si="31"/>
        <v>-4968813.8016000008</v>
      </c>
      <c r="CF28">
        <f t="shared" si="32"/>
        <v>4753240.2759221196</v>
      </c>
      <c r="CG28">
        <f t="shared" si="33"/>
        <v>8775074.4840000011</v>
      </c>
      <c r="CH28">
        <f t="shared" si="34"/>
        <v>162486.11881865162</v>
      </c>
      <c r="CI28">
        <f t="shared" si="35"/>
        <v>299969.64438603603</v>
      </c>
      <c r="CJ28">
        <f t="shared" si="36"/>
        <v>-2897219.0939705055</v>
      </c>
      <c r="CK28">
        <f t="shared" si="37"/>
        <v>-5348627.8560000015</v>
      </c>
      <c r="CL28">
        <f t="shared" si="38"/>
        <v>1485154.4309177045</v>
      </c>
      <c r="CM28">
        <f t="shared" si="39"/>
        <v>2741780.3424669583</v>
      </c>
    </row>
    <row r="29" spans="1:91" x14ac:dyDescent="0.2">
      <c r="A29" s="2" t="s">
        <v>30</v>
      </c>
      <c r="B29" s="2" t="str">
        <f t="shared" si="42"/>
        <v>CHHABRA TPS</v>
      </c>
      <c r="C29" s="2" t="str">
        <f>VLOOKUP($A29,'[1]daily coal, energy reqd'!$C$2:$T$599,17,FALSE)</f>
        <v>Rajasthan</v>
      </c>
      <c r="D29" s="2" t="str">
        <f>VLOOKUP(C29,'Target PLF'!$I$2:$J$19,2,FALSE)</f>
        <v>NR</v>
      </c>
      <c r="E29" s="2" t="str">
        <f>VLOOKUP(A29,[2]Ownership!$C$2:$D$666,2,FALSE)</f>
        <v>STATE SECTOR</v>
      </c>
      <c r="F29" s="2" t="s">
        <v>542</v>
      </c>
      <c r="G29" s="12">
        <v>3.0910335386721401</v>
      </c>
      <c r="H29" s="2">
        <v>660</v>
      </c>
      <c r="I29" s="2">
        <f>VLOOKUP(A29,'[3]Calculated coal req (reg.)'!$A$2:$I$599,9,FALSE)</f>
        <v>7.0537783374825596</v>
      </c>
      <c r="J29" s="2"/>
      <c r="K29" s="11">
        <v>0.44531428898248482</v>
      </c>
      <c r="L29" s="3">
        <f>VLOOKUP(F29,'Target PLF'!$A$2:$B$11,2,FALSE)</f>
        <v>0.85</v>
      </c>
      <c r="M29" s="3">
        <f t="shared" si="17"/>
        <v>0.40468571101751516</v>
      </c>
      <c r="N29" s="2" t="str">
        <f t="shared" si="0"/>
        <v>0.15</v>
      </c>
      <c r="O29" s="2">
        <f t="shared" si="45"/>
        <v>6.3060582342374456</v>
      </c>
      <c r="P29" s="2">
        <f t="shared" si="1"/>
        <v>1519129.4286278007</v>
      </c>
      <c r="Q29" s="2">
        <f t="shared" si="2"/>
        <v>11.93657193733744</v>
      </c>
      <c r="R29" s="2">
        <f t="shared" si="3"/>
        <v>13.464</v>
      </c>
      <c r="S29" s="2">
        <f t="shared" si="4"/>
        <v>2875520.1797045893</v>
      </c>
      <c r="T29" s="2" t="str">
        <f>VLOOKUP(A29,'[4]CEA vs MERIT comp. &amp; NPA marker'!$C$2:$K$735,9,FALSE)</f>
        <v>Contracted</v>
      </c>
      <c r="U29" s="3">
        <f>VLOOKUP(B29,'[8]Import-Domestic share'!$A$208:$F$406,6,FALSE)</f>
        <v>0</v>
      </c>
      <c r="V29" s="3">
        <f t="shared" si="5"/>
        <v>0</v>
      </c>
      <c r="W29" s="2">
        <f t="shared" si="6"/>
        <v>2549.4537181204651</v>
      </c>
      <c r="X29" s="2">
        <f t="shared" si="7"/>
        <v>2683.2311592343785</v>
      </c>
      <c r="Y29" s="6">
        <f t="shared" si="8"/>
        <v>0.3373271669485407</v>
      </c>
      <c r="Z29" s="2">
        <f t="shared" si="18"/>
        <v>2826976.7028465467</v>
      </c>
      <c r="AA29" s="2">
        <f t="shared" si="19"/>
        <v>1558765.8793630085</v>
      </c>
      <c r="AB29" s="2" t="s">
        <v>598</v>
      </c>
      <c r="AC29" s="12">
        <f>VLOOKUP(B29,[9]Sheet1!$A$2:$B$137,2,FALSE)</f>
        <v>4431.9195703193527</v>
      </c>
      <c r="AD29" s="12">
        <f t="shared" si="9"/>
        <v>2925066.9164107726</v>
      </c>
      <c r="AE29" s="2"/>
      <c r="AF29" s="7">
        <f>VLOOKUP($B29,'[9]Subsidiary wise dispatch'!$A$3:$R$138,11,FALSE)*$H29*$O29*365</f>
        <v>0</v>
      </c>
      <c r="AG29" s="7">
        <f>VLOOKUP($B29,'[9]Subsidiary wise dispatch'!$A$3:$R$138,12,FALSE)*$H29*$O29*365</f>
        <v>0</v>
      </c>
      <c r="AH29" s="7">
        <f>VLOOKUP($B29,'[9]Subsidiary wise dispatch'!$A$3:$R$138,13,FALSE)*$H29*$O29*365</f>
        <v>0</v>
      </c>
      <c r="AI29" s="7">
        <f>VLOOKUP($B29,'[9]Subsidiary wise dispatch'!$A$3:$R$138,14,FALSE)*$H29*$O29*365</f>
        <v>0</v>
      </c>
      <c r="AJ29" s="7">
        <f>VLOOKUP($B29,'[9]Subsidiary wise dispatch'!$A$3:$R$138,15,FALSE)*$H29*$O29*365</f>
        <v>0</v>
      </c>
      <c r="AK29" s="7">
        <f>VLOOKUP($B29,'[9]Subsidiary wise dispatch'!$A$3:$R$138,16,FALSE)*$H29*$O29*365</f>
        <v>0</v>
      </c>
      <c r="AL29" s="7">
        <f>VLOOKUP($B29,'[9]Subsidiary wise dispatch'!$A$3:$R$138,17,FALSE)*$H29*$O29*365</f>
        <v>1519129.4286278007</v>
      </c>
      <c r="AM29" s="7">
        <f>VLOOKUP($B29,'[9]Subsidiary wise dispatch'!$A$3:$R$138,18,FALSE)*$H29*$O29*365</f>
        <v>0</v>
      </c>
      <c r="AN29" s="15">
        <f t="shared" si="10"/>
        <v>1519129.4286278007</v>
      </c>
      <c r="AO29" s="6">
        <v>8.4616729904405857E-2</v>
      </c>
      <c r="AP29" s="11">
        <f t="shared" si="20"/>
        <v>0.59686765638831074</v>
      </c>
      <c r="AQ29" s="11">
        <f t="shared" si="11"/>
        <v>1.1392796514329204</v>
      </c>
      <c r="AR29" s="3">
        <f>VLOOKUP(A29,[10]Sheet1!$A$2:$L$542,12,FALSE)</f>
        <v>2.1333236151603598</v>
      </c>
      <c r="AS29" s="3">
        <f t="shared" si="43"/>
        <v>2.3612923112492048</v>
      </c>
      <c r="AT29" s="3">
        <f t="shared" si="40"/>
        <v>2.3475801235350282</v>
      </c>
      <c r="AU29" s="3">
        <f t="shared" si="12"/>
        <v>1.3712187714176594E-2</v>
      </c>
      <c r="AV29" s="88">
        <f t="shared" si="21"/>
        <v>0.2965617827478555</v>
      </c>
      <c r="AW29" s="32">
        <f t="shared" si="22"/>
        <v>0.11978592980046665</v>
      </c>
      <c r="AX29" s="12">
        <f t="shared" si="44"/>
        <v>607.94518820471251</v>
      </c>
      <c r="AY29" s="12">
        <f t="shared" si="13"/>
        <v>1153.6853855895602</v>
      </c>
      <c r="AZ29" s="3">
        <f>VLOOKUP(A29,[5]Analysis!$A$3:$BJ$543,62,FALSE)</f>
        <v>0.83016780914525568</v>
      </c>
      <c r="BA29" s="2"/>
      <c r="BB29" s="2"/>
      <c r="BC29" s="2" t="str">
        <f>VLOOKUP(A29,'[6]FGD status - Jun 2020'!$I$2:$M$449,5,FALSE)</f>
        <v>NIT issued</v>
      </c>
      <c r="BD29" s="2"/>
      <c r="BE29" s="2"/>
      <c r="BF29" s="2">
        <f t="shared" si="14"/>
        <v>482.43803966285117</v>
      </c>
      <c r="BG29" s="2">
        <f t="shared" si="15"/>
        <v>874.94928953100623</v>
      </c>
      <c r="BH29" s="2"/>
      <c r="BI29" s="2"/>
      <c r="BK29">
        <f t="shared" si="16"/>
        <v>293.90743072843998</v>
      </c>
      <c r="BL29" t="str">
        <f>VLOOKUP(A29,'[11]Daily coal vs energy req.2'!$C$2:$P$599,14,FALSE)</f>
        <v/>
      </c>
      <c r="BM29" t="str">
        <f>VLOOKUP(A29,'[11]Daily coal vs energy req.2'!$C$2:$R$599,16,FALSE)</f>
        <v/>
      </c>
      <c r="BP29" s="2" t="str">
        <f>VLOOKUP(A29,'[7]Table 2'!$J$2:$N$449,5,FALSE)</f>
        <v>Bid opened</v>
      </c>
      <c r="BR29">
        <f t="shared" si="23"/>
        <v>573.50690353392815</v>
      </c>
      <c r="BS29">
        <f t="shared" si="24"/>
        <v>1040.1117170171951</v>
      </c>
      <c r="BT29">
        <f>(X29*I29*365*[5]Analysis!BK29)/10^4</f>
        <v>264.03887844047273</v>
      </c>
      <c r="BU29">
        <f>(W29*R29*365*[5]Analysis!BK29)/10^4</f>
        <v>478.86072429425894</v>
      </c>
      <c r="BV29">
        <f>(X29*I29*365*[5]Analysis!BL29)/10^4</f>
        <v>309.46802509345559</v>
      </c>
      <c r="BW29">
        <f>(W29*R29*365*[5]Analysis!BL29)/10^4</f>
        <v>561.25099272293642</v>
      </c>
      <c r="BX29">
        <f t="shared" si="25"/>
        <v>1940009.0771102316</v>
      </c>
      <c r="BY29">
        <f t="shared" si="26"/>
        <v>3518399.0982293291</v>
      </c>
      <c r="BZ29">
        <f t="shared" si="41"/>
        <v>11072096.067770932</v>
      </c>
      <c r="CA29">
        <f t="shared" si="27"/>
        <v>21134021.275422085</v>
      </c>
      <c r="CB29">
        <f t="shared" si="28"/>
        <v>-338750.85449883435</v>
      </c>
      <c r="CC29">
        <f t="shared" si="29"/>
        <v>-1234198.4292000001</v>
      </c>
      <c r="CD29">
        <f t="shared" si="30"/>
        <v>0</v>
      </c>
      <c r="CE29">
        <f t="shared" si="31"/>
        <v>0</v>
      </c>
      <c r="CF29">
        <f t="shared" si="32"/>
        <v>4597254.1818950651</v>
      </c>
      <c r="CG29">
        <f t="shared" si="33"/>
        <v>8775074.4840000011</v>
      </c>
      <c r="CH29">
        <f t="shared" si="34"/>
        <v>161443.75966920005</v>
      </c>
      <c r="CI29">
        <f t="shared" si="35"/>
        <v>308158.0787186856</v>
      </c>
      <c r="CJ29">
        <f t="shared" si="36"/>
        <v>-2802141.6596782971</v>
      </c>
      <c r="CK29">
        <f t="shared" si="37"/>
        <v>-5348627.8560000015</v>
      </c>
      <c r="CL29">
        <f t="shared" si="38"/>
        <v>1687371.1267866353</v>
      </c>
      <c r="CM29">
        <f t="shared" si="39"/>
        <v>3220793.7029055287</v>
      </c>
    </row>
    <row r="30" spans="1:91" x14ac:dyDescent="0.2">
      <c r="A30" s="2" t="s">
        <v>35</v>
      </c>
      <c r="B30" s="2" t="str">
        <f t="shared" si="42"/>
        <v>BARA TPP</v>
      </c>
      <c r="C30" s="2" t="str">
        <f>VLOOKUP($A30,'[1]daily coal, energy reqd'!$C$2:$T$599,17,FALSE)</f>
        <v>Uttar Pradesh</v>
      </c>
      <c r="D30" s="2" t="str">
        <f>VLOOKUP(C30,'Target PLF'!$I$2:$J$19,2,FALSE)</f>
        <v>NR</v>
      </c>
      <c r="E30" s="2" t="str">
        <f>VLOOKUP(A30,[2]Ownership!$C$2:$D$666,2,FALSE)</f>
        <v>PVT SECTOR</v>
      </c>
      <c r="F30" s="2" t="s">
        <v>542</v>
      </c>
      <c r="G30" s="12">
        <v>3.4223134839151199</v>
      </c>
      <c r="H30" s="2">
        <v>660</v>
      </c>
      <c r="I30" s="2">
        <f>VLOOKUP(A30,'[3]Calculated coal req (reg.)'!$A$2:$I$599,9,FALSE)</f>
        <v>8.9067400988752894</v>
      </c>
      <c r="J30" s="2"/>
      <c r="K30" s="11">
        <v>0.56229419816131876</v>
      </c>
      <c r="L30" s="3">
        <f>VLOOKUP(F30,'Target PLF'!$A$2:$B$11,2,FALSE)</f>
        <v>0.85</v>
      </c>
      <c r="M30" s="3">
        <f t="shared" si="17"/>
        <v>0.28770580183868122</v>
      </c>
      <c r="N30" s="2" t="str">
        <f t="shared" si="0"/>
        <v>0.15</v>
      </c>
      <c r="O30" s="2">
        <f t="shared" si="45"/>
        <v>7.0543769968808885</v>
      </c>
      <c r="P30" s="2">
        <f t="shared" si="1"/>
        <v>1699399.4185486059</v>
      </c>
      <c r="Q30" s="2">
        <f t="shared" si="2"/>
        <v>11.057314129603013</v>
      </c>
      <c r="R30" s="2">
        <f t="shared" si="3"/>
        <v>13.464</v>
      </c>
      <c r="S30" s="2">
        <f t="shared" si="4"/>
        <v>2663706.9738213657</v>
      </c>
      <c r="T30" s="2" t="str">
        <f>VLOOKUP(A30,'[4]CEA vs MERIT comp. &amp; NPA marker'!$C$2:$K$735,9,FALSE)</f>
        <v>Contracted</v>
      </c>
      <c r="U30" s="3">
        <f>VLOOKUP(B30,'[8]Import-Domestic share'!$A$208:$F$406,6,FALSE)</f>
        <v>0</v>
      </c>
      <c r="V30" s="3">
        <f t="shared" si="5"/>
        <v>0</v>
      </c>
      <c r="W30" s="2">
        <f t="shared" si="6"/>
        <v>2551.984874799452</v>
      </c>
      <c r="X30" s="2">
        <f t="shared" si="7"/>
        <v>2647.0921269602272</v>
      </c>
      <c r="Y30" s="6">
        <f t="shared" si="8"/>
        <v>0.33699259289990235</v>
      </c>
      <c r="Z30" s="2">
        <f t="shared" si="18"/>
        <v>2755586.4924714491</v>
      </c>
      <c r="AA30" s="2">
        <f t="shared" si="19"/>
        <v>1890817.8093818873</v>
      </c>
      <c r="AB30" s="2" t="s">
        <v>598</v>
      </c>
      <c r="AC30" s="12">
        <f>VLOOKUP(B30,[9]Sheet1!$A$2:$B$137,2,FALSE)</f>
        <v>4551.2533987170345</v>
      </c>
      <c r="AD30" s="12">
        <f t="shared" si="9"/>
        <v>3003827.2431532429</v>
      </c>
      <c r="AE30" s="2"/>
      <c r="AF30" s="7">
        <f>VLOOKUP($B30,'[9]Subsidiary wise dispatch'!$A$3:$R$138,11,FALSE)*$H30*$O30*365</f>
        <v>20572.620150758343</v>
      </c>
      <c r="AG30" s="7">
        <f>VLOOKUP($B30,'[9]Subsidiary wise dispatch'!$A$3:$R$138,12,FALSE)*$H30*$O30*365</f>
        <v>154100.79356489662</v>
      </c>
      <c r="AH30" s="7">
        <f>VLOOKUP($B30,'[9]Subsidiary wise dispatch'!$A$3:$R$138,13,FALSE)*$H30*$O30*365</f>
        <v>12338.281367006957</v>
      </c>
      <c r="AI30" s="7">
        <f>VLOOKUP($B30,'[9]Subsidiary wise dispatch'!$A$3:$R$138,14,FALSE)*$H30*$O30*365</f>
        <v>0</v>
      </c>
      <c r="AJ30" s="7">
        <f>VLOOKUP($B30,'[9]Subsidiary wise dispatch'!$A$3:$R$138,15,FALSE)*$H30*$O30*365</f>
        <v>1503329.8398687136</v>
      </c>
      <c r="AK30" s="7">
        <f>VLOOKUP($B30,'[9]Subsidiary wise dispatch'!$A$3:$R$138,16,FALSE)*$H30*$O30*365</f>
        <v>0</v>
      </c>
      <c r="AL30" s="7">
        <f>VLOOKUP($B30,'[9]Subsidiary wise dispatch'!$A$3:$R$138,17,FALSE)*$H30*$O30*365</f>
        <v>9057.8835972304078</v>
      </c>
      <c r="AM30" s="7">
        <f>VLOOKUP($B30,'[9]Subsidiary wise dispatch'!$A$3:$R$138,18,FALSE)*$H30*$O30*365</f>
        <v>0</v>
      </c>
      <c r="AN30" s="15">
        <f t="shared" si="10"/>
        <v>1699399.4185486059</v>
      </c>
      <c r="AO30" s="6">
        <v>7.2032085285824013E-2</v>
      </c>
      <c r="AP30" s="11">
        <f t="shared" si="20"/>
        <v>0.64157106242085349</v>
      </c>
      <c r="AQ30" s="11">
        <f t="shared" si="11"/>
        <v>0.9698399962883345</v>
      </c>
      <c r="AR30" s="3">
        <f>VLOOKUP(A30,[10]Sheet1!$A$2:$L$542,12,FALSE)</f>
        <v>2.3263157894736799</v>
      </c>
      <c r="AS30" s="3">
        <f t="shared" si="43"/>
        <v>1.9027800739714678</v>
      </c>
      <c r="AT30" s="3">
        <f t="shared" si="40"/>
        <v>1.8930315806249884</v>
      </c>
      <c r="AU30" s="3">
        <f t="shared" si="12"/>
        <v>9.7484933464793144E-3</v>
      </c>
      <c r="AV30" s="88">
        <f t="shared" si="21"/>
        <v>0.21083656570342238</v>
      </c>
      <c r="AW30" s="32">
        <f t="shared" si="22"/>
        <v>0.10568119516683482</v>
      </c>
      <c r="AX30" s="12">
        <f t="shared" si="44"/>
        <v>618.58621682266346</v>
      </c>
      <c r="AY30" s="12">
        <f t="shared" si="13"/>
        <v>930.30386785602184</v>
      </c>
      <c r="AZ30" s="3">
        <f>VLOOKUP(A30,[5]Analysis!$A$3:$BJ$543,62,FALSE)</f>
        <v>0.60714742091333385</v>
      </c>
      <c r="BA30" s="2"/>
      <c r="BB30" s="2"/>
      <c r="BC30" s="2" t="str">
        <f>VLOOKUP(A30,'[6]FGD status - Jun 2020'!$I$2:$M$449,5,FALSE)</f>
        <v>NIT issued</v>
      </c>
      <c r="BD30" s="2"/>
      <c r="BE30" s="2"/>
      <c r="BF30" s="2">
        <f t="shared" si="14"/>
        <v>585.20811200369417</v>
      </c>
      <c r="BG30" s="2">
        <f t="shared" si="15"/>
        <v>852.85401941991347</v>
      </c>
      <c r="BH30" s="2"/>
      <c r="BI30" s="2"/>
      <c r="BK30">
        <f t="shared" si="16"/>
        <v>371.11417078647037</v>
      </c>
      <c r="BL30" t="str">
        <f>VLOOKUP(A30,'[11]Daily coal vs energy req.2'!$C$2:$P$599,14,FALSE)</f>
        <v/>
      </c>
      <c r="BM30" t="str">
        <f>VLOOKUP(A30,'[11]Daily coal vs energy req.2'!$C$2:$R$599,16,FALSE)</f>
        <v/>
      </c>
      <c r="BP30" s="2" t="str">
        <f>VLOOKUP(A30,'[7]Table 2'!$J$2:$N$449,5,FALSE)</f>
        <v>Bid opened</v>
      </c>
      <c r="BR30">
        <f t="shared" si="23"/>
        <v>522.48623697337769</v>
      </c>
      <c r="BS30">
        <f t="shared" si="24"/>
        <v>761.44619008889902</v>
      </c>
      <c r="BT30">
        <f>(X30*I30*365*[5]Analysis!BK30)/10^4</f>
        <v>325.08434605178547</v>
      </c>
      <c r="BU30">
        <f>(W30*R30*365*[5]Analysis!BK30)/10^4</f>
        <v>473.76221466152407</v>
      </c>
      <c r="BV30">
        <f>(X30*I30*365*[5]Analysis!BL30)/10^4</f>
        <v>197.40189092159221</v>
      </c>
      <c r="BW30">
        <f>(W30*R30*365*[5]Analysis!BL30)/10^4</f>
        <v>287.68397542737506</v>
      </c>
      <c r="BX30">
        <f t="shared" si="25"/>
        <v>2416638.5632429076</v>
      </c>
      <c r="BY30">
        <f t="shared" si="26"/>
        <v>3521892.2463157317</v>
      </c>
      <c r="BZ30">
        <f t="shared" si="41"/>
        <v>10224806.136639109</v>
      </c>
      <c r="CA30">
        <f t="shared" si="27"/>
        <v>15456473.220891783</v>
      </c>
      <c r="CB30">
        <f t="shared" si="28"/>
        <v>-540100.20576956717</v>
      </c>
      <c r="CC30">
        <f t="shared" si="29"/>
        <v>-1234198.4292000001</v>
      </c>
      <c r="CD30">
        <f t="shared" si="30"/>
        <v>-3286982.5557453721</v>
      </c>
      <c r="CE30">
        <f t="shared" si="31"/>
        <v>-4968813.8016000008</v>
      </c>
      <c r="CF30">
        <f t="shared" si="32"/>
        <v>5804909.9656313276</v>
      </c>
      <c r="CG30">
        <f t="shared" si="33"/>
        <v>8775074.4840000011</v>
      </c>
      <c r="CH30">
        <f t="shared" si="34"/>
        <v>225701.42731732357</v>
      </c>
      <c r="CI30">
        <f t="shared" si="35"/>
        <v>341184.76386036887</v>
      </c>
      <c r="CJ30">
        <f t="shared" si="36"/>
        <v>-3538238.1312386044</v>
      </c>
      <c r="CK30">
        <f t="shared" si="37"/>
        <v>-5348627.8560000015</v>
      </c>
      <c r="CL30">
        <f t="shared" si="38"/>
        <v>1813749.6225904992</v>
      </c>
      <c r="CM30">
        <f t="shared" si="39"/>
        <v>2741780.3424669583</v>
      </c>
    </row>
    <row r="31" spans="1:91" x14ac:dyDescent="0.2">
      <c r="A31" s="2" t="s">
        <v>33</v>
      </c>
      <c r="B31" s="2" t="str">
        <f t="shared" si="42"/>
        <v>MAUDA TPS</v>
      </c>
      <c r="C31" s="2" t="str">
        <f>VLOOKUP($A31,'[1]daily coal, energy reqd'!$C$2:$T$599,17,FALSE)</f>
        <v>Maharashtra</v>
      </c>
      <c r="D31" s="2" t="str">
        <f>VLOOKUP(C31,'Target PLF'!$I$2:$J$19,2,FALSE)</f>
        <v>WR</v>
      </c>
      <c r="E31" s="2" t="str">
        <f>VLOOKUP(A31,[2]Ownership!$C$2:$D$666,2,FALSE)</f>
        <v>CENTRAL SECTOR</v>
      </c>
      <c r="F31" s="2" t="s">
        <v>542</v>
      </c>
      <c r="G31" s="12">
        <v>3.1759069130732298</v>
      </c>
      <c r="H31" s="2">
        <v>660</v>
      </c>
      <c r="I31" s="2">
        <f>VLOOKUP(A31,'[3]Calculated coal req (reg.)'!$A$2:$I$599,9,FALSE)</f>
        <v>7.6447717225488603</v>
      </c>
      <c r="J31" s="2"/>
      <c r="K31" s="11">
        <v>0.48262447743364018</v>
      </c>
      <c r="L31" s="3">
        <f>VLOOKUP(F31,'Target PLF'!$A$2:$B$11,2,FALSE)</f>
        <v>0.85</v>
      </c>
      <c r="M31" s="3">
        <f t="shared" si="17"/>
        <v>0.3673755225663598</v>
      </c>
      <c r="N31" s="2" t="str">
        <f t="shared" si="0"/>
        <v>0.15</v>
      </c>
      <c r="O31" s="2">
        <f t="shared" si="45"/>
        <v>6.82785444334906</v>
      </c>
      <c r="P31" s="2">
        <f t="shared" si="1"/>
        <v>1644830.1354027886</v>
      </c>
      <c r="Q31" s="2">
        <f t="shared" si="2"/>
        <v>11.939260301471595</v>
      </c>
      <c r="R31" s="2">
        <f t="shared" si="3"/>
        <v>13.464</v>
      </c>
      <c r="S31" s="2">
        <f t="shared" si="4"/>
        <v>2876167.8066245071</v>
      </c>
      <c r="T31" s="2" t="str">
        <f>VLOOKUP(A31,'[4]CEA vs MERIT comp. &amp; NPA marker'!$C$2:$K$735,9,FALSE)</f>
        <v>Contracted</v>
      </c>
      <c r="U31" s="3">
        <f>VLOOKUP(B31,'[8]Import-Domestic share'!$A$208:$F$406,6,FALSE)</f>
        <v>2.9640974451316578E-2</v>
      </c>
      <c r="V31" s="3">
        <f t="shared" si="5"/>
        <v>48754.368020229638</v>
      </c>
      <c r="W31" s="2">
        <f t="shared" si="6"/>
        <v>2556.7849199573975</v>
      </c>
      <c r="X31" s="2">
        <f t="shared" si="7"/>
        <v>2678.2286873027865</v>
      </c>
      <c r="Y31" s="6">
        <f t="shared" si="8"/>
        <v>0.33635993128993025</v>
      </c>
      <c r="Z31" s="2">
        <f t="shared" si="18"/>
        <v>3001643.5859895339</v>
      </c>
      <c r="AA31" s="2">
        <f t="shared" si="19"/>
        <v>1785266.2840754038</v>
      </c>
      <c r="AB31" s="2" t="s">
        <v>598</v>
      </c>
      <c r="AC31" s="12">
        <f>VLOOKUP(B31,[9]Sheet1!$A$2:$B$137,2,FALSE)</f>
        <v>4186.0271478899185</v>
      </c>
      <c r="AD31" s="12">
        <f t="shared" si="9"/>
        <v>2762777.9176073461</v>
      </c>
      <c r="AE31" s="2"/>
      <c r="AF31" s="7">
        <f>VLOOKUP($B31,'[9]Subsidiary wise dispatch'!$A$3:$R$138,11,FALSE)*$H31*$O31*365</f>
        <v>120177.24487691188</v>
      </c>
      <c r="AG31" s="7">
        <f>VLOOKUP($B31,'[9]Subsidiary wise dispatch'!$A$3:$R$138,12,FALSE)*$H31*$O31*365</f>
        <v>7442.4594781033475</v>
      </c>
      <c r="AH31" s="7">
        <f>VLOOKUP($B31,'[9]Subsidiary wise dispatch'!$A$3:$R$138,13,FALSE)*$H31*$O31*365</f>
        <v>16945.683767844639</v>
      </c>
      <c r="AI31" s="7">
        <f>VLOOKUP($B31,'[9]Subsidiary wise dispatch'!$A$3:$R$138,14,FALSE)*$H31*$O31*365</f>
        <v>387216.50716453855</v>
      </c>
      <c r="AJ31" s="7">
        <f>VLOOKUP($B31,'[9]Subsidiary wise dispatch'!$A$3:$R$138,15,FALSE)*$H31*$O31*365</f>
        <v>235927.89943242451</v>
      </c>
      <c r="AK31" s="7">
        <f>VLOOKUP($B31,'[9]Subsidiary wise dispatch'!$A$3:$R$138,16,FALSE)*$H31*$O31*365</f>
        <v>0</v>
      </c>
      <c r="AL31" s="7">
        <f>VLOOKUP($B31,'[9]Subsidiary wise dispatch'!$A$3:$R$138,17,FALSE)*$H31*$O31*365</f>
        <v>158958.99894397723</v>
      </c>
      <c r="AM31" s="7">
        <f>VLOOKUP($B31,'[9]Subsidiary wise dispatch'!$A$3:$R$138,18,FALSE)*$H31*$O31*365</f>
        <v>718161.34173898841</v>
      </c>
      <c r="AN31" s="15">
        <f t="shared" si="10"/>
        <v>1644830.1354027886</v>
      </c>
      <c r="AO31" s="6">
        <v>7.3009693702312639E-2</v>
      </c>
      <c r="AP31" s="11">
        <f t="shared" si="20"/>
        <v>0.55814244188739326</v>
      </c>
      <c r="AQ31" s="11">
        <f t="shared" si="11"/>
        <v>0.98300251600793742</v>
      </c>
      <c r="AR31" s="3">
        <f>VLOOKUP(A31,[10]Sheet1!$A$2:$L$542,12,FALSE)</f>
        <v>2.8954572092241402</v>
      </c>
      <c r="AS31" s="3">
        <f t="shared" si="43"/>
        <v>2.0883882645276706</v>
      </c>
      <c r="AT31" s="3">
        <f t="shared" si="40"/>
        <v>2.0759402783747678</v>
      </c>
      <c r="AU31" s="3">
        <f t="shared" si="12"/>
        <v>1.2447986152902768E-2</v>
      </c>
      <c r="AV31" s="88">
        <f t="shared" si="21"/>
        <v>0.26922013044707982</v>
      </c>
      <c r="AW31" s="32">
        <f t="shared" si="22"/>
        <v>0.12295230185669093</v>
      </c>
      <c r="AX31" s="12">
        <f t="shared" si="44"/>
        <v>582.73168158828696</v>
      </c>
      <c r="AY31" s="12">
        <f t="shared" si="13"/>
        <v>1020.1917866433826</v>
      </c>
      <c r="AZ31" s="3">
        <f>VLOOKUP(A31,[5]Analysis!$A$3:$BJ$543,62,FALSE)</f>
        <v>0.70312738085944382</v>
      </c>
      <c r="BA31" s="2"/>
      <c r="BB31" s="2"/>
      <c r="BC31" s="2" t="str">
        <f>VLOOKUP(A31,'[6]FGD status - Jun 2020'!$I$2:$M$449,5,FALSE)</f>
        <v>Bid Awarded</v>
      </c>
      <c r="BD31" s="2"/>
      <c r="BE31" s="2"/>
      <c r="BF31" s="2">
        <f t="shared" si="14"/>
        <v>563.84299302383772</v>
      </c>
      <c r="BG31" s="2">
        <f t="shared" si="15"/>
        <v>948.01303234809779</v>
      </c>
      <c r="BH31" s="2"/>
      <c r="BI31" s="2"/>
      <c r="BK31">
        <f t="shared" si="16"/>
        <v>318.53215510620254</v>
      </c>
      <c r="BL31">
        <f>VLOOKUP(A31,'[11]Daily coal vs energy req.2'!$C$2:$P$599,14,FALSE)</f>
        <v>1.0900000000000001</v>
      </c>
      <c r="BM31">
        <f>VLOOKUP(A31,'[11]Daily coal vs energy req.2'!$C$2:$R$599,16,FALSE)</f>
        <v>1.29</v>
      </c>
      <c r="BN31">
        <f>BL31*H31</f>
        <v>719.40000000000009</v>
      </c>
      <c r="BO31">
        <f>BM31*H31</f>
        <v>851.4</v>
      </c>
      <c r="BP31" s="2" t="str">
        <f>VLOOKUP(A31,'[7]Table 2'!$J$2:$N$449,5,FALSE)</f>
        <v>Bid Awarded</v>
      </c>
      <c r="BR31">
        <f t="shared" si="23"/>
        <v>525.45926505568377</v>
      </c>
      <c r="BS31">
        <f t="shared" si="24"/>
        <v>883.47684976867572</v>
      </c>
      <c r="BT31">
        <f>(X31*I31*365*[5]Analysis!BK31)/10^4</f>
        <v>312.33805246865455</v>
      </c>
      <c r="BU31">
        <f>(W31*R31*365*[5]Analysis!BK31)/10^4</f>
        <v>525.14715603815284</v>
      </c>
      <c r="BV31">
        <f>(X31*I31*365*[5]Analysis!BL31)/10^4</f>
        <v>213.12121258702922</v>
      </c>
      <c r="BW31">
        <f>(W31*R31*365*[5]Analysis!BL31)/10^4</f>
        <v>358.32969373052288</v>
      </c>
      <c r="BX31">
        <f t="shared" si="25"/>
        <v>2098630.8108591787</v>
      </c>
      <c r="BY31">
        <f t="shared" si="26"/>
        <v>3528516.5966364057</v>
      </c>
      <c r="BZ31">
        <f t="shared" si="41"/>
        <v>10163438.891978441</v>
      </c>
      <c r="CA31">
        <f t="shared" si="27"/>
        <v>17899885.85767391</v>
      </c>
      <c r="CB31">
        <f t="shared" si="28"/>
        <v>-397892.56745966012</v>
      </c>
      <c r="CC31">
        <f t="shared" si="29"/>
        <v>-1234198.4292000001</v>
      </c>
      <c r="CD31">
        <f t="shared" si="30"/>
        <v>0</v>
      </c>
      <c r="CE31">
        <f t="shared" si="31"/>
        <v>0</v>
      </c>
      <c r="CF31">
        <f t="shared" si="32"/>
        <v>4982430.2791550234</v>
      </c>
      <c r="CG31">
        <f t="shared" si="33"/>
        <v>8775074.4840000011</v>
      </c>
      <c r="CH31">
        <f t="shared" si="34"/>
        <v>179774.47275770287</v>
      </c>
      <c r="CI31">
        <f t="shared" si="35"/>
        <v>316619.46086242225</v>
      </c>
      <c r="CJ31">
        <f t="shared" si="36"/>
        <v>-3036916.145869425</v>
      </c>
      <c r="CK31">
        <f t="shared" si="37"/>
        <v>-5348627.8560000015</v>
      </c>
      <c r="CL31">
        <f t="shared" si="38"/>
        <v>1577893.2414831037</v>
      </c>
      <c r="CM31">
        <f t="shared" si="39"/>
        <v>2778991.3648651429</v>
      </c>
    </row>
    <row r="32" spans="1:91" x14ac:dyDescent="0.2">
      <c r="A32" s="2" t="s">
        <v>38</v>
      </c>
      <c r="B32" s="2" t="str">
        <f t="shared" si="42"/>
        <v>LALITPUR TPS</v>
      </c>
      <c r="C32" s="2" t="str">
        <f>VLOOKUP($A32,'[1]daily coal, energy reqd'!$C$2:$T$599,17,FALSE)</f>
        <v>Uttar Pradesh</v>
      </c>
      <c r="D32" s="2" t="str">
        <f>VLOOKUP(C32,'Target PLF'!$I$2:$J$19,2,FALSE)</f>
        <v>NR</v>
      </c>
      <c r="E32" s="2" t="str">
        <f>VLOOKUP(A32,[2]Ownership!$C$2:$D$666,2,FALSE)</f>
        <v>PVT SECTOR</v>
      </c>
      <c r="F32" s="2" t="s">
        <v>542</v>
      </c>
      <c r="G32" s="12">
        <v>4.0903490759753502</v>
      </c>
      <c r="H32" s="2">
        <v>660</v>
      </c>
      <c r="I32" s="2">
        <f>VLOOKUP(A32,'[3]Calculated coal req (reg.)'!$A$2:$I$599,9,FALSE)</f>
        <v>7.0142725391528504</v>
      </c>
      <c r="J32" s="2"/>
      <c r="K32" s="11">
        <v>0.44282023605762943</v>
      </c>
      <c r="L32" s="3">
        <f>VLOOKUP(F32,'Target PLF'!$A$2:$B$11,2,FALSE)</f>
        <v>0.85</v>
      </c>
      <c r="M32" s="3">
        <f t="shared" si="17"/>
        <v>0.40717976394237054</v>
      </c>
      <c r="N32" s="2" t="str">
        <f t="shared" si="0"/>
        <v>0.15</v>
      </c>
      <c r="O32" s="2">
        <f t="shared" si="45"/>
        <v>5.4132599473221354</v>
      </c>
      <c r="P32" s="2">
        <f t="shared" si="1"/>
        <v>1304054.3213099025</v>
      </c>
      <c r="Q32" s="2">
        <f t="shared" si="2"/>
        <v>11.078474156981519</v>
      </c>
      <c r="R32" s="2">
        <f t="shared" si="3"/>
        <v>13.464</v>
      </c>
      <c r="S32" s="2">
        <f t="shared" si="4"/>
        <v>2668804.424416848</v>
      </c>
      <c r="T32" s="2" t="str">
        <f>VLOOKUP(A32,'[4]CEA vs MERIT comp. &amp; NPA marker'!$C$2:$K$735,9,FALSE)</f>
        <v>Contracted</v>
      </c>
      <c r="U32" s="3">
        <f>VLOOKUP(B32,'[8]Import-Domestic share'!$A$208:$F$406,6,FALSE)</f>
        <v>0</v>
      </c>
      <c r="V32" s="3">
        <f t="shared" si="5"/>
        <v>0</v>
      </c>
      <c r="W32" s="2">
        <f t="shared" si="6"/>
        <v>2557.0890254579053</v>
      </c>
      <c r="X32" s="2">
        <f t="shared" si="7"/>
        <v>2691.6909286400519</v>
      </c>
      <c r="Y32" s="6">
        <f t="shared" si="8"/>
        <v>0.33631992919996101</v>
      </c>
      <c r="Z32" s="2">
        <f t="shared" si="18"/>
        <v>2700007.1851995457</v>
      </c>
      <c r="AA32" s="2">
        <f t="shared" si="19"/>
        <v>1480651.3121993938</v>
      </c>
      <c r="AB32" s="2" t="s">
        <v>598</v>
      </c>
      <c r="AC32" s="12">
        <f>VLOOKUP(B32,[9]Sheet1!$A$2:$B$137,2,FALSE)</f>
        <v>4654.2305857680822</v>
      </c>
      <c r="AD32" s="12">
        <f t="shared" si="9"/>
        <v>3071792.1866069343</v>
      </c>
      <c r="AE32" s="2"/>
      <c r="AF32" s="7">
        <f>VLOOKUP($B32,'[9]Subsidiary wise dispatch'!$A$3:$R$138,11,FALSE)*$H32*$O32*365</f>
        <v>0</v>
      </c>
      <c r="AG32" s="7">
        <f>VLOOKUP($B32,'[9]Subsidiary wise dispatch'!$A$3:$R$138,12,FALSE)*$H32*$O32*365</f>
        <v>368431.65657863376</v>
      </c>
      <c r="AH32" s="7">
        <f>VLOOKUP($B32,'[9]Subsidiary wise dispatch'!$A$3:$R$138,13,FALSE)*$H32*$O32*365</f>
        <v>0</v>
      </c>
      <c r="AI32" s="7">
        <f>VLOOKUP($B32,'[9]Subsidiary wise dispatch'!$A$3:$R$138,14,FALSE)*$H32*$O32*365</f>
        <v>2627.2348120449087</v>
      </c>
      <c r="AJ32" s="7">
        <f>VLOOKUP($B32,'[9]Subsidiary wise dispatch'!$A$3:$R$138,15,FALSE)*$H32*$O32*365</f>
        <v>545336.32262992626</v>
      </c>
      <c r="AK32" s="7">
        <f>VLOOKUP($B32,'[9]Subsidiary wise dispatch'!$A$3:$R$138,16,FALSE)*$H32*$O32*365</f>
        <v>0</v>
      </c>
      <c r="AL32" s="7">
        <f>VLOOKUP($B32,'[9]Subsidiary wise dispatch'!$A$3:$R$138,17,FALSE)*$H32*$O32*365</f>
        <v>263773.2727522449</v>
      </c>
      <c r="AM32" s="7">
        <f>VLOOKUP($B32,'[9]Subsidiary wise dispatch'!$A$3:$R$138,18,FALSE)*$H32*$O32*365</f>
        <v>123885.83453705267</v>
      </c>
      <c r="AN32" s="15">
        <f t="shared" si="10"/>
        <v>1304054.3213099027</v>
      </c>
      <c r="AO32" s="6">
        <v>5.6784412022982754E-2</v>
      </c>
      <c r="AP32" s="11">
        <f t="shared" si="20"/>
        <v>0.39830134190474886</v>
      </c>
      <c r="AQ32" s="11">
        <f t="shared" si="11"/>
        <v>0.76454532347743986</v>
      </c>
      <c r="AR32" s="3">
        <f>VLOOKUP(A32,[10]Sheet1!$A$2:$L$542,12,FALSE)</f>
        <v>2.9009429824561401</v>
      </c>
      <c r="AS32" s="3">
        <f t="shared" si="43"/>
        <v>2.2904284277095242</v>
      </c>
      <c r="AT32" s="3">
        <f t="shared" si="40"/>
        <v>2.2766317326333541</v>
      </c>
      <c r="AU32" s="3">
        <f t="shared" si="12"/>
        <v>1.3796695076170096E-2</v>
      </c>
      <c r="AV32" s="88">
        <f t="shared" si="21"/>
        <v>0.29838947461224802</v>
      </c>
      <c r="AW32" s="32">
        <f t="shared" si="22"/>
        <v>0.12425307688862236</v>
      </c>
      <c r="AX32" s="12">
        <f t="shared" si="44"/>
        <v>586.39765665329537</v>
      </c>
      <c r="AY32" s="12">
        <f t="shared" si="13"/>
        <v>1118.8187921584049</v>
      </c>
      <c r="AZ32" s="3">
        <f>VLOOKUP(A32,[5]Analysis!$A$3:$BJ$543,62,FALSE)</f>
        <v>0.82993126478566237</v>
      </c>
      <c r="BA32" s="2"/>
      <c r="BB32" s="2"/>
      <c r="BC32" s="2" t="str">
        <f>VLOOKUP(A32,'[6]FGD status - Jun 2020'!$I$2:$M$449,5,FALSE)</f>
        <v>NIT issued</v>
      </c>
      <c r="BD32" s="2"/>
      <c r="BE32" s="2"/>
      <c r="BF32" s="2">
        <f t="shared" si="14"/>
        <v>458.26158112571238</v>
      </c>
      <c r="BG32" s="2">
        <f t="shared" si="15"/>
        <v>835.65222381925935</v>
      </c>
      <c r="BH32" s="2"/>
      <c r="BI32" s="2"/>
      <c r="BK32">
        <f t="shared" si="16"/>
        <v>292.26135579803542</v>
      </c>
      <c r="BL32">
        <f>VLOOKUP(A32,'[11]Daily coal vs energy req.2'!$C$2:$P$599,14,FALSE)</f>
        <v>1.08</v>
      </c>
      <c r="BM32">
        <f>VLOOKUP(A32,'[11]Daily coal vs energy req.2'!$C$2:$R$599,16,FALSE)</f>
        <v>1.1399999999999999</v>
      </c>
      <c r="BN32">
        <f>BL32*H32</f>
        <v>712.80000000000007</v>
      </c>
      <c r="BO32">
        <f>BM32*H32</f>
        <v>752.4</v>
      </c>
      <c r="BP32" s="2" t="str">
        <f>VLOOKUP(A32,'[7]Table 2'!$J$2:$N$449,5,FALSE)</f>
        <v>Bid opened</v>
      </c>
      <c r="BR32">
        <f t="shared" si="23"/>
        <v>571.92992035241525</v>
      </c>
      <c r="BS32">
        <f t="shared" si="24"/>
        <v>1042.9294741165713</v>
      </c>
      <c r="BT32">
        <f>(X32*I32*365*[5]Analysis!BK32)/10^4</f>
        <v>295.33990639011063</v>
      </c>
      <c r="BU32">
        <f>(W32*R32*365*[5]Analysis!BK32)/10^4</f>
        <v>538.56020168918371</v>
      </c>
      <c r="BV32">
        <f>(X32*I32*365*[5]Analysis!BL32)/10^4</f>
        <v>276.59001396230457</v>
      </c>
      <c r="BW32">
        <f>(W32*R32*365*[5]Analysis!BL32)/10^4</f>
        <v>504.36927242738773</v>
      </c>
      <c r="BX32">
        <f t="shared" si="25"/>
        <v>1935226.0108762919</v>
      </c>
      <c r="BY32">
        <f t="shared" si="26"/>
        <v>3528936.2804734372</v>
      </c>
      <c r="BZ32">
        <f t="shared" si="41"/>
        <v>11006947.881946955</v>
      </c>
      <c r="CA32">
        <f t="shared" si="27"/>
        <v>21127999.440471184</v>
      </c>
      <c r="CB32">
        <f t="shared" si="28"/>
        <v>-334967.02502251801</v>
      </c>
      <c r="CC32">
        <f t="shared" si="29"/>
        <v>-1234198.4292000001</v>
      </c>
      <c r="CD32">
        <f t="shared" si="30"/>
        <v>-2588578.0006481404</v>
      </c>
      <c r="CE32">
        <f t="shared" si="31"/>
        <v>-4968813.8016000008</v>
      </c>
      <c r="CF32">
        <f t="shared" si="32"/>
        <v>4571506.5346213663</v>
      </c>
      <c r="CG32">
        <f t="shared" si="33"/>
        <v>8775074.4840000011</v>
      </c>
      <c r="CH32">
        <f t="shared" si="34"/>
        <v>212441.20037820342</v>
      </c>
      <c r="CI32">
        <f t="shared" si="35"/>
        <v>407784.02976591286</v>
      </c>
      <c r="CJ32">
        <f t="shared" si="36"/>
        <v>-2786447.8232686268</v>
      </c>
      <c r="CK32">
        <f t="shared" si="37"/>
        <v>-5348627.8560000015</v>
      </c>
      <c r="CL32">
        <f t="shared" si="38"/>
        <v>1126015.4188237691</v>
      </c>
      <c r="CM32">
        <f t="shared" si="39"/>
        <v>2161403.2694649552</v>
      </c>
    </row>
    <row r="33" spans="1:91" x14ac:dyDescent="0.2">
      <c r="A33" s="2" t="s">
        <v>40</v>
      </c>
      <c r="B33" s="2" t="str">
        <f t="shared" si="42"/>
        <v>LALITPUR TPS</v>
      </c>
      <c r="C33" s="2" t="str">
        <f>VLOOKUP($A33,'[1]daily coal, energy reqd'!$C$2:$T$599,17,FALSE)</f>
        <v>Uttar Pradesh</v>
      </c>
      <c r="D33" s="2" t="str">
        <f>VLOOKUP(C33,'Target PLF'!$I$2:$J$19,2,FALSE)</f>
        <v>NR</v>
      </c>
      <c r="E33" s="2" t="str">
        <f>VLOOKUP(A33,[2]Ownership!$C$2:$D$666,2,FALSE)</f>
        <v>PVT SECTOR</v>
      </c>
      <c r="F33" s="2" t="s">
        <v>542</v>
      </c>
      <c r="G33" s="12">
        <v>4.1752224503764497</v>
      </c>
      <c r="H33" s="2">
        <v>660</v>
      </c>
      <c r="I33" s="2">
        <f>VLOOKUP(A33,'[3]Calculated coal req (reg.)'!$A$2:$I$599,9,FALSE)</f>
        <v>6.12250019775058</v>
      </c>
      <c r="J33" s="2"/>
      <c r="K33" s="11">
        <v>0.38652147713071844</v>
      </c>
      <c r="L33" s="3">
        <f>VLOOKUP(F33,'Target PLF'!$A$2:$B$11,2,FALSE)</f>
        <v>0.85</v>
      </c>
      <c r="M33" s="3">
        <f t="shared" si="17"/>
        <v>0.46347852286928154</v>
      </c>
      <c r="N33" s="2" t="str">
        <f t="shared" si="0"/>
        <v>0.15</v>
      </c>
      <c r="O33" s="2">
        <f t="shared" si="45"/>
        <v>4.6326467888784988</v>
      </c>
      <c r="P33" s="2">
        <f t="shared" si="1"/>
        <v>1116004.6114408304</v>
      </c>
      <c r="Q33" s="2">
        <f t="shared" si="2"/>
        <v>11.081162521115674</v>
      </c>
      <c r="R33" s="2">
        <f t="shared" si="3"/>
        <v>13.464</v>
      </c>
      <c r="S33" s="2">
        <f t="shared" si="4"/>
        <v>2669452.0513367658</v>
      </c>
      <c r="T33" s="2" t="str">
        <f>VLOOKUP(A33,'[4]CEA vs MERIT comp. &amp; NPA marker'!$C$2:$K$735,9,FALSE)</f>
        <v>Contracted</v>
      </c>
      <c r="U33" s="3">
        <f>VLOOKUP(B33,'[8]Import-Domestic share'!$A$208:$F$406,6,FALSE)</f>
        <v>0</v>
      </c>
      <c r="V33" s="3">
        <f t="shared" si="5"/>
        <v>0</v>
      </c>
      <c r="W33" s="2">
        <f t="shared" si="6"/>
        <v>2557.7375036153317</v>
      </c>
      <c r="X33" s="2">
        <f t="shared" si="7"/>
        <v>2710.9501550944578</v>
      </c>
      <c r="Y33" s="6">
        <f t="shared" si="8"/>
        <v>0.33623466004013319</v>
      </c>
      <c r="Z33" s="2">
        <f t="shared" si="18"/>
        <v>2700691.9074235526</v>
      </c>
      <c r="AA33" s="2">
        <f t="shared" si="19"/>
        <v>1301653.2555703437</v>
      </c>
      <c r="AB33" s="2" t="s">
        <v>598</v>
      </c>
      <c r="AC33" s="12">
        <f>VLOOKUP(B33,[9]Sheet1!$A$2:$B$137,2,FALSE)</f>
        <v>4654.2305857680822</v>
      </c>
      <c r="AD33" s="12">
        <f t="shared" si="9"/>
        <v>3071792.1866069343</v>
      </c>
      <c r="AE33" s="2"/>
      <c r="AF33" s="7">
        <f>VLOOKUP($B33,'[9]Subsidiary wise dispatch'!$A$3:$R$138,11,FALSE)*$H33*$O33*365</f>
        <v>0</v>
      </c>
      <c r="AG33" s="7">
        <f>VLOOKUP($B33,'[9]Subsidiary wise dispatch'!$A$3:$R$138,12,FALSE)*$H33*$O33*365</f>
        <v>315302.37738066324</v>
      </c>
      <c r="AH33" s="7">
        <f>VLOOKUP($B33,'[9]Subsidiary wise dispatch'!$A$3:$R$138,13,FALSE)*$H33*$O33*365</f>
        <v>0</v>
      </c>
      <c r="AI33" s="7">
        <f>VLOOKUP($B33,'[9]Subsidiary wise dispatch'!$A$3:$R$138,14,FALSE)*$H33*$O33*365</f>
        <v>2248.3773242167144</v>
      </c>
      <c r="AJ33" s="7">
        <f>VLOOKUP($B33,'[9]Subsidiary wise dispatch'!$A$3:$R$138,15,FALSE)*$H33*$O33*365</f>
        <v>466696.7018903438</v>
      </c>
      <c r="AK33" s="7">
        <f>VLOOKUP($B33,'[9]Subsidiary wise dispatch'!$A$3:$R$138,16,FALSE)*$H33*$O33*365</f>
        <v>0</v>
      </c>
      <c r="AL33" s="7">
        <f>VLOOKUP($B33,'[9]Subsidiary wise dispatch'!$A$3:$R$138,17,FALSE)*$H33*$O33*365</f>
        <v>225736.13994135841</v>
      </c>
      <c r="AM33" s="7">
        <f>VLOOKUP($B33,'[9]Subsidiary wise dispatch'!$A$3:$R$138,18,FALSE)*$H33*$O33*365</f>
        <v>106021.01490424821</v>
      </c>
      <c r="AN33" s="15">
        <f t="shared" si="10"/>
        <v>1116004.6114408304</v>
      </c>
      <c r="AO33" s="6">
        <v>5.6784412022982754E-2</v>
      </c>
      <c r="AP33" s="11">
        <f t="shared" si="20"/>
        <v>0.34766257383986232</v>
      </c>
      <c r="AQ33" s="11">
        <f t="shared" si="11"/>
        <v>0.76454532347743986</v>
      </c>
      <c r="AR33" s="3">
        <f>VLOOKUP(A33,[10]Sheet1!$A$2:$L$542,12,FALSE)</f>
        <v>2.9009429824561401</v>
      </c>
      <c r="AS33" s="3">
        <f t="shared" si="43"/>
        <v>2.2930309433218539</v>
      </c>
      <c r="AT33" s="3">
        <f t="shared" si="40"/>
        <v>2.2773266465452435</v>
      </c>
      <c r="AU33" s="3">
        <f t="shared" si="12"/>
        <v>1.5704296776610338E-2</v>
      </c>
      <c r="AV33" s="88">
        <f t="shared" si="21"/>
        <v>0.33964633112906689</v>
      </c>
      <c r="AW33" s="32">
        <f t="shared" si="22"/>
        <v>0.14127242168096094</v>
      </c>
      <c r="AX33" s="12">
        <f t="shared" si="44"/>
        <v>512.42650774367303</v>
      </c>
      <c r="AY33" s="12">
        <f t="shared" si="13"/>
        <v>1119.1602978716085</v>
      </c>
      <c r="AZ33" s="3">
        <f>VLOOKUP(A33,[5]Analysis!$A$3:$BJ$543,62,FALSE)</f>
        <v>0.82993126478566237</v>
      </c>
      <c r="BA33" s="2"/>
      <c r="BB33" s="2"/>
      <c r="BC33" s="2" t="str">
        <f>VLOOKUP(A33,'[6]FGD status - Jun 2020'!$I$2:$M$449,5,FALSE)</f>
        <v>NIT issued</v>
      </c>
      <c r="BD33" s="2"/>
      <c r="BE33" s="2"/>
      <c r="BF33" s="2">
        <f t="shared" si="14"/>
        <v>402.86168259902138</v>
      </c>
      <c r="BG33" s="2">
        <f t="shared" si="15"/>
        <v>835.86414534758944</v>
      </c>
      <c r="BH33" s="2"/>
      <c r="BI33" s="2"/>
      <c r="BK33">
        <f t="shared" si="16"/>
        <v>255.10417490627418</v>
      </c>
      <c r="BL33">
        <f>VLOOKUP(A33,'[11]Daily coal vs energy req.2'!$C$2:$P$599,14,FALSE)</f>
        <v>0.98</v>
      </c>
      <c r="BM33">
        <f>VLOOKUP(A33,'[11]Daily coal vs energy req.2'!$C$2:$R$599,16,FALSE)</f>
        <v>1.06</v>
      </c>
      <c r="BN33">
        <f>BL33*H33</f>
        <v>646.79999999999995</v>
      </c>
      <c r="BO33">
        <f>BM33*H33</f>
        <v>699.6</v>
      </c>
      <c r="BP33" s="2" t="str">
        <f>VLOOKUP(A33,'[7]Table 2'!$J$2:$N$449,5,FALSE)</f>
        <v>Bid opened</v>
      </c>
      <c r="BR33">
        <f t="shared" si="23"/>
        <v>502.78849358460957</v>
      </c>
      <c r="BS33">
        <f t="shared" si="24"/>
        <v>1043.1939611864257</v>
      </c>
      <c r="BT33">
        <f>(X33*I33*365*[5]Analysis!BK33)/10^4</f>
        <v>259.63584233852237</v>
      </c>
      <c r="BU33">
        <f>(W33*R33*365*[5]Analysis!BK33)/10^4</f>
        <v>538.69678063648564</v>
      </c>
      <c r="BV33">
        <f>(X33*I33*365*[5]Analysis!BL33)/10^4</f>
        <v>243.1526512460872</v>
      </c>
      <c r="BW33">
        <f>(W33*R33*365*[5]Analysis!BL33)/10^4</f>
        <v>504.4971805499402</v>
      </c>
      <c r="BX33">
        <f t="shared" si="25"/>
        <v>1701273.7682174228</v>
      </c>
      <c r="BY33">
        <f t="shared" si="26"/>
        <v>3529831.2192393746</v>
      </c>
      <c r="BZ33">
        <f t="shared" si="41"/>
        <v>9607559.4735857807</v>
      </c>
      <c r="CA33">
        <f t="shared" si="27"/>
        <v>21127999.440471184</v>
      </c>
      <c r="CB33">
        <f t="shared" si="28"/>
        <v>-255208.06756034202</v>
      </c>
      <c r="CC33">
        <f t="shared" si="29"/>
        <v>-1234198.4292000001</v>
      </c>
      <c r="CD33">
        <f t="shared" si="30"/>
        <v>-2259474.411978744</v>
      </c>
      <c r="CE33">
        <f t="shared" si="31"/>
        <v>-4968813.8016000008</v>
      </c>
      <c r="CF33">
        <f t="shared" si="32"/>
        <v>3990299.7076326553</v>
      </c>
      <c r="CG33">
        <f t="shared" si="33"/>
        <v>8775074.4840000011</v>
      </c>
      <c r="CH33">
        <f t="shared" si="34"/>
        <v>189279.75465906167</v>
      </c>
      <c r="CI33">
        <f t="shared" si="35"/>
        <v>416245.41190965049</v>
      </c>
      <c r="CJ33">
        <f t="shared" si="36"/>
        <v>-2432187.6935572093</v>
      </c>
      <c r="CK33">
        <f t="shared" si="37"/>
        <v>-5348627.8560000015</v>
      </c>
      <c r="CL33">
        <f t="shared" si="38"/>
        <v>982857.39339853975</v>
      </c>
      <c r="CM33">
        <f t="shared" si="39"/>
        <v>2161403.2694649552</v>
      </c>
    </row>
    <row r="34" spans="1:91" x14ac:dyDescent="0.2">
      <c r="A34" s="2" t="s">
        <v>45</v>
      </c>
      <c r="B34" s="2" t="str">
        <f t="shared" si="42"/>
        <v>LALITPUR TPS</v>
      </c>
      <c r="C34" s="2" t="str">
        <f>VLOOKUP($A34,'[1]daily coal, energy reqd'!$C$2:$T$599,17,FALSE)</f>
        <v>Uttar Pradesh</v>
      </c>
      <c r="D34" s="2" t="str">
        <f>VLOOKUP(C34,'Target PLF'!$I$2:$J$19,2,FALSE)</f>
        <v>NR</v>
      </c>
      <c r="E34" s="2" t="str">
        <f>VLOOKUP(A34,[2]Ownership!$C$2:$D$666,2,FALSE)</f>
        <v>PVT SECTOR</v>
      </c>
      <c r="F34" s="2" t="s">
        <v>542</v>
      </c>
      <c r="G34" s="12">
        <v>4.33949349760438</v>
      </c>
      <c r="H34" s="2">
        <v>660</v>
      </c>
      <c r="I34" s="2">
        <f>VLOOKUP(A34,'[3]Calculated coal req (reg.)'!$A$2:$I$599,9,FALSE)</f>
        <v>5.5378738622364096</v>
      </c>
      <c r="J34" s="2"/>
      <c r="K34" s="11">
        <v>0.34961324887856121</v>
      </c>
      <c r="L34" s="3">
        <f>VLOOKUP(F34,'Target PLF'!$A$2:$B$11,2,FALSE)</f>
        <v>0.85</v>
      </c>
      <c r="M34" s="3">
        <f t="shared" si="17"/>
        <v>0.50038675112143882</v>
      </c>
      <c r="N34" s="2" t="str">
        <f t="shared" si="0"/>
        <v>0.15</v>
      </c>
      <c r="O34" s="2">
        <f t="shared" si="45"/>
        <v>4.1243348221587048</v>
      </c>
      <c r="P34" s="2">
        <f t="shared" si="1"/>
        <v>993552.25865803193</v>
      </c>
      <c r="Q34" s="2">
        <f t="shared" si="2"/>
        <v>11.08636580653662</v>
      </c>
      <c r="R34" s="2">
        <f t="shared" si="3"/>
        <v>13.464</v>
      </c>
      <c r="S34" s="2">
        <f t="shared" si="4"/>
        <v>2670705.5227946714</v>
      </c>
      <c r="T34" s="2" t="str">
        <f>VLOOKUP(A34,'[4]CEA vs MERIT comp. &amp; NPA marker'!$C$2:$K$735,9,FALSE)</f>
        <v>Contracted</v>
      </c>
      <c r="U34" s="3">
        <f>VLOOKUP(B34,'[8]Import-Domestic share'!$A$208:$F$406,6,FALSE)</f>
        <v>0</v>
      </c>
      <c r="V34" s="3">
        <f t="shared" si="5"/>
        <v>0</v>
      </c>
      <c r="W34" s="2">
        <f t="shared" si="6"/>
        <v>2558.9926226297057</v>
      </c>
      <c r="X34" s="2">
        <f t="shared" si="7"/>
        <v>2724.4060714120214</v>
      </c>
      <c r="Y34" s="6">
        <f t="shared" si="8"/>
        <v>0.33606974572526727</v>
      </c>
      <c r="Z34" s="2">
        <f t="shared" si="18"/>
        <v>2702017.1762442128</v>
      </c>
      <c r="AA34" s="2">
        <f t="shared" si="19"/>
        <v>1183204.6493314961</v>
      </c>
      <c r="AB34" s="2" t="s">
        <v>598</v>
      </c>
      <c r="AC34" s="12">
        <f>VLOOKUP(B34,[9]Sheet1!$A$2:$B$137,2,FALSE)</f>
        <v>4654.2305857680822</v>
      </c>
      <c r="AD34" s="12">
        <f t="shared" si="9"/>
        <v>3071792.1866069343</v>
      </c>
      <c r="AE34" s="2"/>
      <c r="AF34" s="7">
        <f>VLOOKUP($B34,'[9]Subsidiary wise dispatch'!$A$3:$R$138,11,FALSE)*$H34*$O34*365</f>
        <v>0</v>
      </c>
      <c r="AG34" s="7">
        <f>VLOOKUP($B34,'[9]Subsidiary wise dispatch'!$A$3:$R$138,12,FALSE)*$H34*$O34*365</f>
        <v>280706.17808859696</v>
      </c>
      <c r="AH34" s="7">
        <f>VLOOKUP($B34,'[9]Subsidiary wise dispatch'!$A$3:$R$138,13,FALSE)*$H34*$O34*365</f>
        <v>0</v>
      </c>
      <c r="AI34" s="7">
        <f>VLOOKUP($B34,'[9]Subsidiary wise dispatch'!$A$3:$R$138,14,FALSE)*$H34*$O34*365</f>
        <v>2001.6766471125438</v>
      </c>
      <c r="AJ34" s="7">
        <f>VLOOKUP($B34,'[9]Subsidiary wise dispatch'!$A$3:$R$138,15,FALSE)*$H34*$O34*365</f>
        <v>415488.93034837575</v>
      </c>
      <c r="AK34" s="7">
        <f>VLOOKUP($B34,'[9]Subsidiary wise dispatch'!$A$3:$R$138,16,FALSE)*$H34*$O34*365</f>
        <v>0</v>
      </c>
      <c r="AL34" s="7">
        <f>VLOOKUP($B34,'[9]Subsidiary wise dispatch'!$A$3:$R$138,17,FALSE)*$H34*$O34*365</f>
        <v>200967.49547470253</v>
      </c>
      <c r="AM34" s="7">
        <f>VLOOKUP($B34,'[9]Subsidiary wise dispatch'!$A$3:$R$138,18,FALSE)*$H34*$O34*365</f>
        <v>94387.978099244254</v>
      </c>
      <c r="AN34" s="15">
        <f t="shared" si="10"/>
        <v>993552.25865803217</v>
      </c>
      <c r="AO34" s="6">
        <v>5.6784412022982754E-2</v>
      </c>
      <c r="AP34" s="11">
        <f t="shared" si="20"/>
        <v>0.31446491112453911</v>
      </c>
      <c r="AQ34" s="11">
        <f t="shared" si="11"/>
        <v>0.76454532347743986</v>
      </c>
      <c r="AR34" s="3">
        <f>VLOOKUP(A34,[10]Sheet1!$A$2:$L$542,12,FALSE)</f>
        <v>2.9009429824561401</v>
      </c>
      <c r="AS34" s="3">
        <f t="shared" si="43"/>
        <v>2.2956265197136037</v>
      </c>
      <c r="AT34" s="3">
        <f t="shared" si="40"/>
        <v>2.2786716412134163</v>
      </c>
      <c r="AU34" s="3">
        <f t="shared" si="12"/>
        <v>1.6954878500187398E-2</v>
      </c>
      <c r="AV34" s="88">
        <f t="shared" si="21"/>
        <v>0.36669341895681279</v>
      </c>
      <c r="AW34" s="32">
        <f t="shared" si="22"/>
        <v>0.15234993037990249</v>
      </c>
      <c r="AX34" s="12">
        <f t="shared" si="44"/>
        <v>464.02048868572263</v>
      </c>
      <c r="AY34" s="12">
        <f t="shared" si="13"/>
        <v>1119.8212766713564</v>
      </c>
      <c r="AZ34" s="3">
        <f>VLOOKUP(A34,[5]Analysis!$A$3:$BJ$543,62,FALSE)</f>
        <v>0.82993126478566237</v>
      </c>
      <c r="BA34" s="2"/>
      <c r="BB34" s="2"/>
      <c r="BC34" s="2" t="str">
        <f>VLOOKUP(A34,'[6]FGD status - Jun 2020'!$I$2:$M$449,5,FALSE)</f>
        <v>NIT issued</v>
      </c>
      <c r="BD34" s="2"/>
      <c r="BE34" s="2"/>
      <c r="BF34" s="2">
        <f t="shared" si="14"/>
        <v>366.201838968098</v>
      </c>
      <c r="BG34" s="2">
        <f t="shared" si="15"/>
        <v>836.27431604758385</v>
      </c>
      <c r="BH34" s="2"/>
      <c r="BI34" s="2"/>
      <c r="BK34">
        <f t="shared" si="16"/>
        <v>230.74474425985039</v>
      </c>
      <c r="BL34">
        <f>VLOOKUP(A34,'[11]Daily coal vs energy req.2'!$C$2:$P$599,14,FALSE)</f>
        <v>1.01</v>
      </c>
      <c r="BM34">
        <f>VLOOKUP(A34,'[11]Daily coal vs energy req.2'!$C$2:$R$599,16,FALSE)</f>
        <v>1.05</v>
      </c>
      <c r="BN34">
        <f>BL34*H34</f>
        <v>666.6</v>
      </c>
      <c r="BO34">
        <f>BM34*H34</f>
        <v>693</v>
      </c>
      <c r="BP34" s="2" t="str">
        <f>VLOOKUP(A34,'[7]Table 2'!$J$2:$N$449,5,FALSE)</f>
        <v>Bid opened</v>
      </c>
      <c r="BR34">
        <f t="shared" si="23"/>
        <v>457.03545141061545</v>
      </c>
      <c r="BS34">
        <f t="shared" si="24"/>
        <v>1043.7058716442093</v>
      </c>
      <c r="BT34">
        <f>(X34*I34*365*[5]Analysis!BK34)/10^4</f>
        <v>236.00934770714539</v>
      </c>
      <c r="BU34">
        <f>(W34*R34*365*[5]Analysis!BK34)/10^4</f>
        <v>538.96112698610261</v>
      </c>
      <c r="BV34">
        <f>(X34*I34*365*[5]Analysis!BL34)/10^4</f>
        <v>221.02610370347006</v>
      </c>
      <c r="BW34">
        <f>(W34*R34*365*[5]Analysis!BL34)/10^4</f>
        <v>504.74474465810664</v>
      </c>
      <c r="BX34">
        <f t="shared" si="25"/>
        <v>1546460.2602315587</v>
      </c>
      <c r="BY34">
        <f t="shared" si="26"/>
        <v>3531563.3587863515</v>
      </c>
      <c r="BZ34">
        <f t="shared" si="41"/>
        <v>8690151.2078677099</v>
      </c>
      <c r="CA34">
        <f t="shared" si="27"/>
        <v>21127999.440471184</v>
      </c>
      <c r="CB34">
        <f t="shared" si="28"/>
        <v>-208796.34995902434</v>
      </c>
      <c r="CC34">
        <f t="shared" si="29"/>
        <v>-1234198.4292000001</v>
      </c>
      <c r="CD34">
        <f t="shared" si="30"/>
        <v>-2043721.3367647184</v>
      </c>
      <c r="CE34">
        <f t="shared" si="31"/>
        <v>-4968813.8016000008</v>
      </c>
      <c r="CF34">
        <f t="shared" si="32"/>
        <v>3609273.2935324758</v>
      </c>
      <c r="CG34">
        <f t="shared" si="33"/>
        <v>8775074.4840000011</v>
      </c>
      <c r="CH34">
        <f t="shared" si="34"/>
        <v>177941.74241065912</v>
      </c>
      <c r="CI34">
        <f t="shared" si="35"/>
        <v>432622.28057494864</v>
      </c>
      <c r="CJ34">
        <f t="shared" si="36"/>
        <v>-2199942.5432688626</v>
      </c>
      <c r="CK34">
        <f t="shared" si="37"/>
        <v>-5348627.8560000015</v>
      </c>
      <c r="CL34">
        <f t="shared" si="38"/>
        <v>889006.14020516153</v>
      </c>
      <c r="CM34">
        <f t="shared" si="39"/>
        <v>2161403.2694649552</v>
      </c>
    </row>
    <row r="35" spans="1:91" x14ac:dyDescent="0.2">
      <c r="A35" s="2" t="s">
        <v>49</v>
      </c>
      <c r="B35" s="2" t="str">
        <f t="shared" si="42"/>
        <v>BARA TPP</v>
      </c>
      <c r="C35" s="2" t="str">
        <f>VLOOKUP($A35,'[1]daily coal, energy reqd'!$C$2:$T$599,17,FALSE)</f>
        <v>Uttar Pradesh</v>
      </c>
      <c r="D35" s="2" t="str">
        <f>VLOOKUP(C35,'Target PLF'!$I$2:$J$19,2,FALSE)</f>
        <v>NR</v>
      </c>
      <c r="E35" s="2" t="str">
        <f>VLOOKUP(A35,[2]Ownership!$C$2:$D$666,2,FALSE)</f>
        <v>PVT SECTOR</v>
      </c>
      <c r="F35" s="2" t="s">
        <v>542</v>
      </c>
      <c r="G35" s="12">
        <v>4.6735112936344896</v>
      </c>
      <c r="H35" s="2">
        <v>660</v>
      </c>
      <c r="I35" s="2">
        <f>VLOOKUP(A35,'[3]Calculated coal req (reg.)'!$A$2:$I$599,9,FALSE)</f>
        <v>5.3551309150464101</v>
      </c>
      <c r="J35" s="2"/>
      <c r="K35" s="11">
        <v>0.33807644665697034</v>
      </c>
      <c r="L35" s="3">
        <f>VLOOKUP(F35,'Target PLF'!$A$2:$B$11,2,FALSE)</f>
        <v>0.85</v>
      </c>
      <c r="M35" s="3">
        <f t="shared" si="17"/>
        <v>0.51192355334302964</v>
      </c>
      <c r="N35" s="2" t="str">
        <f t="shared" si="0"/>
        <v>0.15</v>
      </c>
      <c r="O35" s="2">
        <f t="shared" si="45"/>
        <v>3.9743998454982989</v>
      </c>
      <c r="P35" s="2">
        <f t="shared" si="1"/>
        <v>957432.92278054019</v>
      </c>
      <c r="Q35" s="2">
        <f t="shared" si="2"/>
        <v>11.096945820225873</v>
      </c>
      <c r="R35" s="2">
        <f t="shared" si="3"/>
        <v>13.464</v>
      </c>
      <c r="S35" s="2">
        <f t="shared" si="4"/>
        <v>2673254.2480924129</v>
      </c>
      <c r="T35" s="2" t="str">
        <f>VLOOKUP(A35,'[4]CEA vs MERIT comp. &amp; NPA marker'!$C$2:$K$735,9,FALSE)</f>
        <v>Contracted</v>
      </c>
      <c r="U35" s="3">
        <f>VLOOKUP(B35,'[8]Import-Domestic share'!$A$208:$F$406,6,FALSE)</f>
        <v>0</v>
      </c>
      <c r="V35" s="3">
        <f t="shared" si="5"/>
        <v>0</v>
      </c>
      <c r="W35" s="2">
        <f t="shared" si="6"/>
        <v>2561.5446979589315</v>
      </c>
      <c r="X35" s="2">
        <f t="shared" si="7"/>
        <v>2730.771881295801</v>
      </c>
      <c r="Y35" s="6">
        <f t="shared" si="8"/>
        <v>0.33573491834253683</v>
      </c>
      <c r="Z35" s="2">
        <f t="shared" si="18"/>
        <v>2765909.0142970327</v>
      </c>
      <c r="AA35" s="2">
        <f t="shared" si="19"/>
        <v>1172782.1919495726</v>
      </c>
      <c r="AB35" s="2" t="s">
        <v>598</v>
      </c>
      <c r="AC35" s="12">
        <f>VLOOKUP(B35,[9]Sheet1!$A$2:$B$137,2,FALSE)</f>
        <v>4551.2533987170345</v>
      </c>
      <c r="AD35" s="12">
        <f t="shared" si="9"/>
        <v>3003827.2431532429</v>
      </c>
      <c r="AE35" s="2"/>
      <c r="AF35" s="7">
        <f>VLOOKUP($B35,'[9]Subsidiary wise dispatch'!$A$3:$R$138,11,FALSE)*$H35*$O35*365</f>
        <v>11590.508755744304</v>
      </c>
      <c r="AG35" s="7">
        <f>VLOOKUP($B35,'[9]Subsidiary wise dispatch'!$A$3:$R$138,12,FALSE)*$H35*$O35*365</f>
        <v>86819.597309059391</v>
      </c>
      <c r="AH35" s="7">
        <f>VLOOKUP($B35,'[9]Subsidiary wise dispatch'!$A$3:$R$138,13,FALSE)*$H35*$O35*365</f>
        <v>6951.3244869715563</v>
      </c>
      <c r="AI35" s="7">
        <f>VLOOKUP($B35,'[9]Subsidiary wise dispatch'!$A$3:$R$138,14,FALSE)*$H35*$O35*365</f>
        <v>0</v>
      </c>
      <c r="AJ35" s="7">
        <f>VLOOKUP($B35,'[9]Subsidiary wise dispatch'!$A$3:$R$138,15,FALSE)*$H35*$O35*365</f>
        <v>846968.32703284605</v>
      </c>
      <c r="AK35" s="7">
        <f>VLOOKUP($B35,'[9]Subsidiary wise dispatch'!$A$3:$R$138,16,FALSE)*$H35*$O35*365</f>
        <v>0</v>
      </c>
      <c r="AL35" s="7">
        <f>VLOOKUP($B35,'[9]Subsidiary wise dispatch'!$A$3:$R$138,17,FALSE)*$H35*$O35*365</f>
        <v>5103.1651959189949</v>
      </c>
      <c r="AM35" s="7">
        <f>VLOOKUP($B35,'[9]Subsidiary wise dispatch'!$A$3:$R$138,18,FALSE)*$H35*$O35*365</f>
        <v>0</v>
      </c>
      <c r="AN35" s="15">
        <f t="shared" si="10"/>
        <v>957432.92278054031</v>
      </c>
      <c r="AO35" s="6">
        <v>7.2032085285824013E-2</v>
      </c>
      <c r="AP35" s="11">
        <f t="shared" si="20"/>
        <v>0.38574124678937582</v>
      </c>
      <c r="AQ35" s="11">
        <f t="shared" si="11"/>
        <v>0.9698399962883345</v>
      </c>
      <c r="AR35" s="3">
        <f>VLOOKUP(A35,[10]Sheet1!$A$2:$L$542,12,FALSE)</f>
        <v>2.3263157894736799</v>
      </c>
      <c r="AS35" s="3">
        <f t="shared" si="43"/>
        <v>1.9206217429729311</v>
      </c>
      <c r="AT35" s="3">
        <f t="shared" si="40"/>
        <v>1.9032759566809021</v>
      </c>
      <c r="AU35" s="3">
        <f t="shared" si="12"/>
        <v>1.7345786292028986E-2</v>
      </c>
      <c r="AV35" s="88">
        <f t="shared" si="21"/>
        <v>0.37514781836083899</v>
      </c>
      <c r="AW35" s="32">
        <f t="shared" si="22"/>
        <v>0.18629489819008718</v>
      </c>
      <c r="AX35" s="12">
        <f t="shared" si="44"/>
        <v>375.40910182452023</v>
      </c>
      <c r="AY35" s="12">
        <f t="shared" si="13"/>
        <v>935.33832304743589</v>
      </c>
      <c r="AZ35" s="3">
        <f>VLOOKUP(A35,[5]Analysis!$A$3:$BJ$543,62,FALSE)</f>
        <v>0.60714742091333385</v>
      </c>
      <c r="BA35" s="2"/>
      <c r="BB35" s="2"/>
      <c r="BC35" s="2" t="str">
        <f>VLOOKUP(A35,'[6]FGD status - Jun 2020'!$I$2:$M$449,5,FALSE)</f>
        <v>NIT issued</v>
      </c>
      <c r="BD35" s="2"/>
      <c r="BE35" s="2"/>
      <c r="BF35" s="2">
        <f t="shared" si="14"/>
        <v>362.97608840839274</v>
      </c>
      <c r="BG35" s="2">
        <f t="shared" si="15"/>
        <v>856.0488399249316</v>
      </c>
      <c r="BH35" s="2"/>
      <c r="BI35" s="2"/>
      <c r="BK35">
        <f t="shared" si="16"/>
        <v>223.13045479360042</v>
      </c>
      <c r="BL35" t="str">
        <f>VLOOKUP(A35,'[11]Daily coal vs energy req.2'!$C$2:$P$599,14,FALSE)</f>
        <v/>
      </c>
      <c r="BM35" t="str">
        <f>VLOOKUP(A35,'[11]Daily coal vs energy req.2'!$C$2:$R$599,16,FALSE)</f>
        <v/>
      </c>
      <c r="BP35" s="2" t="str">
        <f>VLOOKUP(A35,'[7]Table 2'!$J$2:$N$449,5,FALSE)</f>
        <v>Bid opened</v>
      </c>
      <c r="BR35">
        <f t="shared" si="23"/>
        <v>324.07276429315795</v>
      </c>
      <c r="BS35">
        <f t="shared" si="24"/>
        <v>764.29859371973214</v>
      </c>
      <c r="BT35">
        <f>(X35*I35*365*[5]Analysis!BK35)/10^4</f>
        <v>201.63398611933894</v>
      </c>
      <c r="BU35">
        <f>(W35*R35*365*[5]Analysis!BK35)/10^4</f>
        <v>475.53694422067292</v>
      </c>
      <c r="BV35">
        <f>(X35*I35*365*[5]Analysis!BL35)/10^4</f>
        <v>122.43877817381905</v>
      </c>
      <c r="BW35">
        <f>(W35*R35*365*[5]Analysis!BL35)/10^4</f>
        <v>288.76164949905927</v>
      </c>
      <c r="BX35">
        <f t="shared" si="25"/>
        <v>1498923.1946553253</v>
      </c>
      <c r="BY35">
        <f t="shared" si="26"/>
        <v>3535085.3758652029</v>
      </c>
      <c r="BZ35">
        <f t="shared" si="41"/>
        <v>6147611.2286678953</v>
      </c>
      <c r="CA35">
        <f t="shared" si="27"/>
        <v>15456473.220891783</v>
      </c>
      <c r="CB35">
        <f t="shared" si="28"/>
        <v>-195243.67251322299</v>
      </c>
      <c r="CC35">
        <f t="shared" si="29"/>
        <v>-1234198.4292000001</v>
      </c>
      <c r="CD35">
        <f t="shared" si="30"/>
        <v>-1976281.0754647532</v>
      </c>
      <c r="CE35">
        <f t="shared" si="31"/>
        <v>-4968813.8016000008</v>
      </c>
      <c r="CF35">
        <f t="shared" si="32"/>
        <v>3490171.7655305504</v>
      </c>
      <c r="CG35">
        <f t="shared" si="33"/>
        <v>8775074.4840000011</v>
      </c>
      <c r="CH35">
        <f t="shared" si="34"/>
        <v>185314.38228831501</v>
      </c>
      <c r="CI35">
        <f t="shared" si="35"/>
        <v>465921.91352771997</v>
      </c>
      <c r="CJ35">
        <f t="shared" si="36"/>
        <v>-2127347.1765258466</v>
      </c>
      <c r="CK35">
        <f t="shared" si="37"/>
        <v>-5348627.8560000015</v>
      </c>
      <c r="CL35">
        <f t="shared" si="38"/>
        <v>1090507.477288424</v>
      </c>
      <c r="CM35">
        <f t="shared" si="39"/>
        <v>2741780.3424669583</v>
      </c>
    </row>
    <row r="36" spans="1:91" x14ac:dyDescent="0.2">
      <c r="A36" s="2" t="s">
        <v>31</v>
      </c>
      <c r="B36" s="2" t="str">
        <f t="shared" si="42"/>
        <v>SOLAPUR STPS</v>
      </c>
      <c r="C36" s="2" t="str">
        <f>VLOOKUP($A36,'[1]daily coal, energy reqd'!$C$2:$T$599,17,FALSE)</f>
        <v>Maharashtra</v>
      </c>
      <c r="D36" s="2" t="str">
        <f>VLOOKUP(C36,'Target PLF'!$I$2:$J$19,2,FALSE)</f>
        <v>WR</v>
      </c>
      <c r="E36" s="2" t="str">
        <f>VLOOKUP(A36,[2]Ownership!$C$2:$D$666,2,FALSE)</f>
        <v>CENTRAL SECTOR</v>
      </c>
      <c r="F36" s="2" t="s">
        <v>542</v>
      </c>
      <c r="G36" s="12">
        <v>3.0910335386721401</v>
      </c>
      <c r="H36" s="2">
        <v>660</v>
      </c>
      <c r="I36" s="2">
        <f>VLOOKUP(A36,'[3]Calculated coal req (reg.)'!$A$2:$I$599,9,FALSE)</f>
        <v>3.86223589084873</v>
      </c>
      <c r="J36" s="2"/>
      <c r="K36" s="11">
        <v>0.24382802341216731</v>
      </c>
      <c r="L36" s="3">
        <f>VLOOKUP(F36,'Target PLF'!$A$2:$B$11,2,FALSE)</f>
        <v>0.85</v>
      </c>
      <c r="M36" s="3">
        <f t="shared" si="17"/>
        <v>0.60617197658783262</v>
      </c>
      <c r="N36" s="2" t="str">
        <f t="shared" si="0"/>
        <v>0.15</v>
      </c>
      <c r="O36" s="2">
        <f t="shared" si="45"/>
        <v>3.5027193754779473</v>
      </c>
      <c r="P36" s="2">
        <f t="shared" si="1"/>
        <v>843805.09755263745</v>
      </c>
      <c r="Q36" s="2">
        <f t="shared" si="2"/>
        <v>11.93657193733744</v>
      </c>
      <c r="R36" s="2">
        <f t="shared" si="3"/>
        <v>13.464</v>
      </c>
      <c r="S36" s="2">
        <f t="shared" si="4"/>
        <v>2875520.1797045893</v>
      </c>
      <c r="T36" s="2" t="str">
        <f>VLOOKUP(A36,'[4]CEA vs MERIT comp. &amp; NPA marker'!$C$2:$K$735,9,FALSE)</f>
        <v>Contracted</v>
      </c>
      <c r="U36" s="3">
        <f>VLOOKUP(B36,'[8]Import-Domestic share'!$A$208:$F$406,6,FALSE)</f>
        <v>6.2528240989779438E-2</v>
      </c>
      <c r="V36" s="3">
        <f t="shared" si="5"/>
        <v>52761.648488175662</v>
      </c>
      <c r="W36" s="2">
        <f t="shared" si="6"/>
        <v>2563.5510602097602</v>
      </c>
      <c r="X36" s="2">
        <f t="shared" si="7"/>
        <v>2763.934057916772</v>
      </c>
      <c r="Y36" s="6">
        <f t="shared" si="8"/>
        <v>0.33547215553788551</v>
      </c>
      <c r="Z36" s="2">
        <f t="shared" si="18"/>
        <v>3245845.0980364685</v>
      </c>
      <c r="AA36" s="2">
        <f t="shared" si="19"/>
        <v>1003871.6457649379</v>
      </c>
      <c r="AB36" s="2" t="s">
        <v>598</v>
      </c>
      <c r="AC36" s="12">
        <f>VLOOKUP(B36,[9]Sheet1!$A$2:$B$137,2,FALSE)</f>
        <v>3881.3351862889454</v>
      </c>
      <c r="AD36" s="12">
        <f t="shared" si="9"/>
        <v>2561681.2229507039</v>
      </c>
      <c r="AE36" s="2"/>
      <c r="AF36" s="7">
        <f>VLOOKUP($B36,'[9]Subsidiary wise dispatch'!$A$3:$R$138,11,FALSE)*$H36*$O36*365</f>
        <v>314257.46687183931</v>
      </c>
      <c r="AG36" s="7">
        <f>VLOOKUP($B36,'[9]Subsidiary wise dispatch'!$A$3:$R$138,12,FALSE)*$H36*$O36*365</f>
        <v>0</v>
      </c>
      <c r="AH36" s="7">
        <f>VLOOKUP($B36,'[9]Subsidiary wise dispatch'!$A$3:$R$138,13,FALSE)*$H36*$O36*365</f>
        <v>0</v>
      </c>
      <c r="AI36" s="7">
        <f>VLOOKUP($B36,'[9]Subsidiary wise dispatch'!$A$3:$R$138,14,FALSE)*$H36*$O36*365</f>
        <v>481975.58210005926</v>
      </c>
      <c r="AJ36" s="7">
        <f>VLOOKUP($B36,'[9]Subsidiary wise dispatch'!$A$3:$R$138,15,FALSE)*$H36*$O36*365</f>
        <v>15182.939288428384</v>
      </c>
      <c r="AK36" s="7">
        <f>VLOOKUP($B36,'[9]Subsidiary wise dispatch'!$A$3:$R$138,16,FALSE)*$H36*$O36*365</f>
        <v>0</v>
      </c>
      <c r="AL36" s="7">
        <f>VLOOKUP($B36,'[9]Subsidiary wise dispatch'!$A$3:$R$138,17,FALSE)*$H36*$O36*365</f>
        <v>1894.9196264878506</v>
      </c>
      <c r="AM36" s="7">
        <f>VLOOKUP($B36,'[9]Subsidiary wise dispatch'!$A$3:$R$138,18,FALSE)*$H36*$O36*365</f>
        <v>30494.189665822694</v>
      </c>
      <c r="AN36" s="15">
        <f t="shared" si="10"/>
        <v>843805.09755263757</v>
      </c>
      <c r="AO36" s="6">
        <v>0.09</v>
      </c>
      <c r="AP36" s="11">
        <f t="shared" si="20"/>
        <v>0.34760123017638567</v>
      </c>
      <c r="AQ36" s="11">
        <f t="shared" si="11"/>
        <v>1.2117599999999999</v>
      </c>
      <c r="AR36" s="3">
        <f>VLOOKUP(A36,[10]Sheet1!$A$2:$L$542,12,FALSE)</f>
        <v>3.66088418655512</v>
      </c>
      <c r="AS36" s="3">
        <f t="shared" si="43"/>
        <v>3.1336493756415496</v>
      </c>
      <c r="AT36" s="3">
        <f t="shared" si="40"/>
        <v>3.1131101183765808</v>
      </c>
      <c r="AU36" s="3">
        <f t="shared" si="12"/>
        <v>2.0539257264968747E-2</v>
      </c>
      <c r="AV36" s="88">
        <f t="shared" si="21"/>
        <v>0.44421494788309551</v>
      </c>
      <c r="AW36" s="32">
        <f t="shared" si="22"/>
        <v>0.13520200884994926</v>
      </c>
      <c r="AX36" s="12">
        <f t="shared" si="44"/>
        <v>441.75559770975553</v>
      </c>
      <c r="AY36" s="12">
        <f t="shared" si="13"/>
        <v>1529.8943841345133</v>
      </c>
      <c r="AZ36" s="3">
        <f>VLOOKUP(A36,[5]Analysis!$A$3:$BJ$543,62,FALSE)</f>
        <v>1.2262288503811818</v>
      </c>
      <c r="BA36" s="2"/>
      <c r="BB36" s="2"/>
      <c r="BC36" s="2" t="str">
        <f>VLOOKUP(A36,'[6]FGD status - Jun 2020'!$I$2:$M$449,5,FALSE)</f>
        <v>Bid Awarded</v>
      </c>
      <c r="BD36" s="2"/>
      <c r="BE36" s="2"/>
      <c r="BF36" s="2">
        <f t="shared" si="14"/>
        <v>324.10601646546064</v>
      </c>
      <c r="BG36" s="2">
        <f t="shared" si="15"/>
        <v>1047.9406697326658</v>
      </c>
      <c r="BH36" s="2"/>
      <c r="BI36" s="2"/>
      <c r="BK36">
        <f t="shared" si="16"/>
        <v>160.92649545203042</v>
      </c>
      <c r="BL36">
        <f>VLOOKUP(A36,'[11]Daily coal vs energy req.2'!$C$2:$P$599,14,FALSE)</f>
        <v>0.99</v>
      </c>
      <c r="BM36">
        <f>VLOOKUP(A36,'[11]Daily coal vs energy req.2'!$C$2:$R$599,16,FALSE)</f>
        <v>0.46</v>
      </c>
      <c r="BN36">
        <f>BL36*H36</f>
        <v>653.4</v>
      </c>
      <c r="BO36">
        <f>BM36*H36</f>
        <v>303.60000000000002</v>
      </c>
      <c r="BP36" s="2" t="str">
        <f>VLOOKUP(A36,'[7]Table 2'!$J$2:$N$449,5,FALSE)</f>
        <v>Bid Awarded</v>
      </c>
      <c r="BR36">
        <f t="shared" si="23"/>
        <v>477.7831914349162</v>
      </c>
      <c r="BS36">
        <f t="shared" si="24"/>
        <v>1544.8291984196289</v>
      </c>
      <c r="BT36">
        <f>(X36*I36*365*[5]Analysis!BK36)/10^4</f>
        <v>179.70081707154426</v>
      </c>
      <c r="BU36">
        <f>(W36*R36*365*[5]Analysis!BK36)/10^4</f>
        <v>581.03146818173877</v>
      </c>
      <c r="BV36">
        <f>(X36*I36*365*[5]Analysis!BL36)/10^4</f>
        <v>298.08237436337185</v>
      </c>
      <c r="BW36">
        <f>(W36*R36*365*[5]Analysis!BL36)/10^4</f>
        <v>963.79773023789005</v>
      </c>
      <c r="BX36">
        <f t="shared" si="25"/>
        <v>1094183.9451385962</v>
      </c>
      <c r="BY36">
        <f t="shared" si="26"/>
        <v>3537854.276153082</v>
      </c>
      <c r="BZ36">
        <f t="shared" si="41"/>
        <v>8954729.542560678</v>
      </c>
      <c r="CA36">
        <f t="shared" si="27"/>
        <v>31216756.813510519</v>
      </c>
      <c r="CB36">
        <f t="shared" si="28"/>
        <v>-101558.05481657002</v>
      </c>
      <c r="CC36">
        <f t="shared" si="29"/>
        <v>-1234198.4292000001</v>
      </c>
      <c r="CD36">
        <f t="shared" si="30"/>
        <v>0</v>
      </c>
      <c r="CE36">
        <f t="shared" si="31"/>
        <v>0</v>
      </c>
      <c r="CF36">
        <f t="shared" si="32"/>
        <v>2517187.1373273693</v>
      </c>
      <c r="CG36">
        <f t="shared" si="33"/>
        <v>8775074.4840000011</v>
      </c>
      <c r="CH36">
        <f t="shared" si="34"/>
        <v>88397.147332315479</v>
      </c>
      <c r="CI36">
        <f t="shared" si="35"/>
        <v>308158.0787186856</v>
      </c>
      <c r="CJ36">
        <f t="shared" si="36"/>
        <v>-1534288.6565832216</v>
      </c>
      <c r="CK36">
        <f t="shared" si="37"/>
        <v>-5348627.8560000015</v>
      </c>
      <c r="CL36">
        <f t="shared" si="38"/>
        <v>982683.97216276987</v>
      </c>
      <c r="CM36">
        <f t="shared" si="39"/>
        <v>3425698.8374399999</v>
      </c>
    </row>
    <row r="37" spans="1:91" x14ac:dyDescent="0.2">
      <c r="A37" s="2" t="s">
        <v>43</v>
      </c>
      <c r="B37" s="2" t="str">
        <f t="shared" si="42"/>
        <v>MAUDA TPS</v>
      </c>
      <c r="C37" s="2" t="str">
        <f>VLOOKUP($A37,'[1]daily coal, energy reqd'!$C$2:$T$599,17,FALSE)</f>
        <v>Maharashtra</v>
      </c>
      <c r="D37" s="2" t="str">
        <f>VLOOKUP(C37,'Target PLF'!$I$2:$J$19,2,FALSE)</f>
        <v>WR</v>
      </c>
      <c r="E37" s="2" t="str">
        <f>VLOOKUP(A37,[2]Ownership!$C$2:$D$666,2,FALSE)</f>
        <v>CENTRAL SECTOR</v>
      </c>
      <c r="F37" s="2" t="s">
        <v>542</v>
      </c>
      <c r="G37" s="12">
        <v>4.1752224503764497</v>
      </c>
      <c r="H37" s="2">
        <v>660</v>
      </c>
      <c r="I37" s="2">
        <f>VLOOKUP(A37,'[3]Calculated coal req (reg.)'!$A$2:$I$599,9,FALSE)</f>
        <v>7.9687640367604198</v>
      </c>
      <c r="J37" s="2"/>
      <c r="K37" s="11">
        <v>0.50307853767426891</v>
      </c>
      <c r="L37" s="3">
        <f>VLOOKUP(F37,'Target PLF'!$A$2:$B$11,2,FALSE)</f>
        <v>0.85</v>
      </c>
      <c r="M37" s="3">
        <f t="shared" si="17"/>
        <v>0.34692146232573107</v>
      </c>
      <c r="N37" s="2" t="str">
        <f t="shared" si="0"/>
        <v>0.15</v>
      </c>
      <c r="O37" s="2">
        <f t="shared" si="45"/>
        <v>7.1440912393390796</v>
      </c>
      <c r="P37" s="2">
        <f t="shared" si="1"/>
        <v>1721011.5795567844</v>
      </c>
      <c r="Q37" s="2">
        <f t="shared" si="2"/>
        <v>11.970913621115674</v>
      </c>
      <c r="R37" s="2">
        <f t="shared" si="3"/>
        <v>13.464</v>
      </c>
      <c r="S37" s="2">
        <f t="shared" si="4"/>
        <v>2883793.0913267657</v>
      </c>
      <c r="T37" s="2" t="str">
        <f>VLOOKUP(A37,'[4]CEA vs MERIT comp. &amp; NPA marker'!$C$2:$K$735,9,FALSE)</f>
        <v>Contracted</v>
      </c>
      <c r="U37" s="3">
        <f>VLOOKUP(B37,'[8]Import-Domestic share'!$A$208:$F$406,6,FALSE)</f>
        <v>2.9640974451316578E-2</v>
      </c>
      <c r="V37" s="3">
        <f t="shared" si="5"/>
        <v>51012.460260062631</v>
      </c>
      <c r="W37" s="2">
        <f t="shared" si="6"/>
        <v>2564.4202272948378</v>
      </c>
      <c r="X37" s="2">
        <f t="shared" si="7"/>
        <v>2679.1024714016098</v>
      </c>
      <c r="Y37" s="6">
        <f t="shared" si="8"/>
        <v>0.33535845289568589</v>
      </c>
      <c r="Z37" s="2">
        <f t="shared" si="18"/>
        <v>3010607.3713739021</v>
      </c>
      <c r="AA37" s="2">
        <f t="shared" si="19"/>
        <v>1861534.6137964954</v>
      </c>
      <c r="AB37" s="2" t="s">
        <v>598</v>
      </c>
      <c r="AC37" s="12">
        <f>VLOOKUP(B37,[9]Sheet1!$A$2:$B$137,2,FALSE)</f>
        <v>4186.0271478899185</v>
      </c>
      <c r="AD37" s="12">
        <f t="shared" si="9"/>
        <v>2762777.9176073461</v>
      </c>
      <c r="AE37" s="2"/>
      <c r="AF37" s="7">
        <f>VLOOKUP($B37,'[9]Subsidiary wise dispatch'!$A$3:$R$138,11,FALSE)*$H37*$O37*365</f>
        <v>125743.33700528207</v>
      </c>
      <c r="AG37" s="7">
        <f>VLOOKUP($B37,'[9]Subsidiary wise dispatch'!$A$3:$R$138,12,FALSE)*$H37*$O37*365</f>
        <v>7787.1621309159809</v>
      </c>
      <c r="AH37" s="7">
        <f>VLOOKUP($B37,'[9]Subsidiary wise dispatch'!$A$3:$R$138,13,FALSE)*$H37*$O37*365</f>
        <v>17730.534819527977</v>
      </c>
      <c r="AI37" s="7">
        <f>VLOOKUP($B37,'[9]Subsidiary wise dispatch'!$A$3:$R$138,14,FALSE)*$H37*$O37*365</f>
        <v>405150.70722638076</v>
      </c>
      <c r="AJ37" s="7">
        <f>VLOOKUP($B37,'[9]Subsidiary wise dispatch'!$A$3:$R$138,15,FALSE)*$H37*$O37*365</f>
        <v>246855.06310004508</v>
      </c>
      <c r="AK37" s="7">
        <f>VLOOKUP($B37,'[9]Subsidiary wise dispatch'!$A$3:$R$138,16,FALSE)*$H37*$O37*365</f>
        <v>0</v>
      </c>
      <c r="AL37" s="7">
        <f>VLOOKUP($B37,'[9]Subsidiary wise dispatch'!$A$3:$R$138,17,FALSE)*$H37*$O37*365</f>
        <v>166321.29480674135</v>
      </c>
      <c r="AM37" s="7">
        <f>VLOOKUP($B37,'[9]Subsidiary wise dispatch'!$A$3:$R$138,18,FALSE)*$H37*$O37*365</f>
        <v>751423.4804678912</v>
      </c>
      <c r="AN37" s="15">
        <f t="shared" si="10"/>
        <v>1721011.5795567846</v>
      </c>
      <c r="AO37" s="6">
        <v>7.3009693702312639E-2</v>
      </c>
      <c r="AP37" s="11">
        <f t="shared" si="20"/>
        <v>0.58179702150988266</v>
      </c>
      <c r="AQ37" s="11">
        <f t="shared" si="11"/>
        <v>0.98300251600793742</v>
      </c>
      <c r="AR37" s="3">
        <f>VLOOKUP(A37,[10]Sheet1!$A$2:$L$542,12,FALSE)</f>
        <v>2.8954572092241402</v>
      </c>
      <c r="AS37" s="3">
        <f t="shared" si="43"/>
        <v>2.0958772592937613</v>
      </c>
      <c r="AT37" s="3">
        <f t="shared" si="40"/>
        <v>2.0841223292728168</v>
      </c>
      <c r="AU37" s="3">
        <f t="shared" si="12"/>
        <v>1.1754930020944521E-2</v>
      </c>
      <c r="AV37" s="88">
        <f t="shared" si="21"/>
        <v>0.25423098602154226</v>
      </c>
      <c r="AW37" s="32">
        <f t="shared" si="22"/>
        <v>0.11569191608210103</v>
      </c>
      <c r="AX37" s="12">
        <f t="shared" si="44"/>
        <v>609.60662352033034</v>
      </c>
      <c r="AY37" s="12">
        <f t="shared" si="13"/>
        <v>1024.2127410085161</v>
      </c>
      <c r="AZ37" s="3">
        <f>VLOOKUP(A37,[5]Analysis!$A$3:$BJ$543,62,FALSE)</f>
        <v>0.70312738085944382</v>
      </c>
      <c r="BA37" s="2"/>
      <c r="BB37" s="2"/>
      <c r="BC37" s="2" t="str">
        <f>VLOOKUP(A37,'[6]FGD status - Jun 2020'!$I$2:$M$449,5,FALSE)</f>
        <v>Bid Awarded</v>
      </c>
      <c r="BD37" s="2"/>
      <c r="BE37" s="2"/>
      <c r="BF37" s="2">
        <f t="shared" si="14"/>
        <v>587.93091967458997</v>
      </c>
      <c r="BG37" s="2">
        <f t="shared" si="15"/>
        <v>950.84407644780924</v>
      </c>
      <c r="BH37" s="2"/>
      <c r="BI37" s="2"/>
      <c r="BK37">
        <f t="shared" si="16"/>
        <v>332.03183486501746</v>
      </c>
      <c r="BL37">
        <f>VLOOKUP(A37,'[11]Daily coal vs energy req.2'!$C$2:$P$599,14,FALSE)</f>
        <v>0.96</v>
      </c>
      <c r="BM37">
        <f>VLOOKUP(A37,'[11]Daily coal vs energy req.2'!$C$2:$R$599,16,FALSE)</f>
        <v>1.05</v>
      </c>
      <c r="BN37">
        <f>BL37*H37</f>
        <v>633.6</v>
      </c>
      <c r="BO37">
        <f>BM37*H37</f>
        <v>693</v>
      </c>
      <c r="BP37" s="2" t="str">
        <f>VLOOKUP(A37,'[7]Table 2'!$J$2:$N$449,5,FALSE)</f>
        <v>Bid Awarded</v>
      </c>
      <c r="BR37">
        <f t="shared" si="23"/>
        <v>547.90740113473646</v>
      </c>
      <c r="BS37">
        <f t="shared" si="24"/>
        <v>886.11516995777095</v>
      </c>
      <c r="BT37">
        <f>(X37*I37*365*[5]Analysis!BK37)/10^4</f>
        <v>325.68144094947166</v>
      </c>
      <c r="BU37">
        <f>(W37*R37*365*[5]Analysis!BK37)/10^4</f>
        <v>526.71539899141658</v>
      </c>
      <c r="BV37">
        <f>(X37*I37*365*[5]Analysis!BL37)/10^4</f>
        <v>222.22596018526471</v>
      </c>
      <c r="BW37">
        <f>(W37*R37*365*[5]Analysis!BL37)/10^4</f>
        <v>359.39977096635431</v>
      </c>
      <c r="BX37">
        <f t="shared" si="25"/>
        <v>2188286.3810523637</v>
      </c>
      <c r="BY37">
        <f t="shared" si="26"/>
        <v>3539053.7788805142</v>
      </c>
      <c r="BZ37">
        <f t="shared" si="41"/>
        <v>10594174.590370489</v>
      </c>
      <c r="CA37">
        <f t="shared" si="27"/>
        <v>17899885.85767391</v>
      </c>
      <c r="CB37">
        <f t="shared" si="28"/>
        <v>-432333.32961503795</v>
      </c>
      <c r="CC37">
        <f t="shared" si="29"/>
        <v>-1234198.4292000001</v>
      </c>
      <c r="CD37">
        <f t="shared" si="30"/>
        <v>0</v>
      </c>
      <c r="CE37">
        <f t="shared" si="31"/>
        <v>0</v>
      </c>
      <c r="CF37">
        <f t="shared" si="32"/>
        <v>5193590.1639923649</v>
      </c>
      <c r="CG37">
        <f t="shared" si="33"/>
        <v>8775074.4840000011</v>
      </c>
      <c r="CH37">
        <f t="shared" si="34"/>
        <v>246357.80369074197</v>
      </c>
      <c r="CI37">
        <f t="shared" si="35"/>
        <v>416245.41190965049</v>
      </c>
      <c r="CJ37">
        <f t="shared" si="36"/>
        <v>-3165623.3886592239</v>
      </c>
      <c r="CK37">
        <f t="shared" si="37"/>
        <v>-5348627.8560000015</v>
      </c>
      <c r="CL37">
        <f t="shared" si="38"/>
        <v>1644765.7788773847</v>
      </c>
      <c r="CM37">
        <f t="shared" si="39"/>
        <v>2778991.3648651429</v>
      </c>
    </row>
    <row r="38" spans="1:91" x14ac:dyDescent="0.2">
      <c r="A38" s="2" t="s">
        <v>52</v>
      </c>
      <c r="B38" s="2" t="str">
        <f t="shared" si="42"/>
        <v>SASAN UMPTPP</v>
      </c>
      <c r="C38" s="2" t="str">
        <f>VLOOKUP($A38,'[1]daily coal, energy reqd'!$C$2:$T$599,17,FALSE)</f>
        <v>Madhya Pradesh</v>
      </c>
      <c r="D38" s="2" t="str">
        <f>VLOOKUP(C38,'Target PLF'!$I$2:$J$19,2,FALSE)</f>
        <v>WR</v>
      </c>
      <c r="E38" s="2" t="str">
        <f>VLOOKUP(A38,[2]Ownership!$C$2:$D$666,2,FALSE)</f>
        <v>PVT SECTOR</v>
      </c>
      <c r="F38" s="2" t="s">
        <v>543</v>
      </c>
      <c r="G38" s="12">
        <v>5.1772758384667998</v>
      </c>
      <c r="H38" s="2">
        <v>660</v>
      </c>
      <c r="I38" s="2">
        <f>VLOOKUP(A38,'[3]Calculated coal req (reg.)'!$A$2:$I$599,9,FALSE)</f>
        <v>15.3174876476679</v>
      </c>
      <c r="J38" s="2"/>
      <c r="K38" s="11">
        <v>0.9670131090699432</v>
      </c>
      <c r="L38" s="3">
        <f>VLOOKUP(F38,'Target PLF'!$A$2:$B$11,2,FALSE)</f>
        <v>0.85</v>
      </c>
      <c r="M38" s="3">
        <f t="shared" si="17"/>
        <v>-0.11701310906994322</v>
      </c>
      <c r="N38" s="2" t="str">
        <f t="shared" si="0"/>
        <v>0.15</v>
      </c>
      <c r="O38" s="2">
        <f t="shared" si="45"/>
        <v>12.740941052606274</v>
      </c>
      <c r="P38" s="2">
        <f t="shared" si="1"/>
        <v>3069292.6995728514</v>
      </c>
      <c r="Q38" s="2">
        <f t="shared" si="2"/>
        <v>11.112902562183436</v>
      </c>
      <c r="R38" s="2">
        <f t="shared" si="3"/>
        <v>13.464</v>
      </c>
      <c r="S38" s="2">
        <f t="shared" si="4"/>
        <v>2677098.2272299896</v>
      </c>
      <c r="T38" s="2" t="str">
        <f>VLOOKUP(A38,'[4]CEA vs MERIT comp. &amp; NPA marker'!$C$2:$K$735,9,FALSE)</f>
        <v>Contracted</v>
      </c>
      <c r="U38" s="3">
        <f>VLOOKUP(B38,'[8]Import-Domestic share'!$A$208:$F$406,6,FALSE)</f>
        <v>0</v>
      </c>
      <c r="V38" s="3">
        <f t="shared" si="5"/>
        <v>0</v>
      </c>
      <c r="W38" s="2">
        <f t="shared" si="6"/>
        <v>2565.3937296030117</v>
      </c>
      <c r="X38" s="2">
        <f t="shared" si="7"/>
        <v>2526.7125657220299</v>
      </c>
      <c r="Y38" s="6">
        <f t="shared" si="8"/>
        <v>0.33523119280917663</v>
      </c>
      <c r="Z38" s="2">
        <f t="shared" si="18"/>
        <v>2941499.8434465365</v>
      </c>
      <c r="AA38" s="2">
        <f t="shared" si="19"/>
        <v>3295976.2734131771</v>
      </c>
      <c r="AB38" s="2" t="s">
        <v>598</v>
      </c>
      <c r="AC38" s="12"/>
      <c r="AD38" s="12">
        <f t="shared" si="9"/>
        <v>0</v>
      </c>
      <c r="AE38" s="2"/>
      <c r="AF38" s="7"/>
      <c r="AG38" s="7"/>
      <c r="AH38" s="7"/>
      <c r="AI38" s="7"/>
      <c r="AJ38" s="7"/>
      <c r="AK38" s="7"/>
      <c r="AL38" s="7"/>
      <c r="AM38" s="7"/>
      <c r="AN38" s="15">
        <f t="shared" si="10"/>
        <v>0</v>
      </c>
      <c r="AO38" s="6">
        <v>5.9985033260734698E-2</v>
      </c>
      <c r="AP38" s="11">
        <f t="shared" si="20"/>
        <v>0.9188200060162518</v>
      </c>
      <c r="AQ38" s="11">
        <f t="shared" si="11"/>
        <v>0.807638487822532</v>
      </c>
      <c r="AR38" s="3">
        <f>VLOOKUP(A38,[10]Sheet1!$A$2:$L$542,12,FALSE)</f>
        <v>1.3375862509674501</v>
      </c>
      <c r="AS38" s="3">
        <f t="shared" si="43"/>
        <v>1.7396821743881137</v>
      </c>
      <c r="AT38" s="3">
        <f t="shared" si="40"/>
        <v>1.7436469936859142</v>
      </c>
      <c r="AU38" s="3">
        <f t="shared" si="12"/>
        <v>-3.9648192978005703E-3</v>
      </c>
      <c r="AV38" s="88">
        <f t="shared" si="21"/>
        <v>-8.5749546588635789E-2</v>
      </c>
      <c r="AW38" s="32">
        <f t="shared" si="22"/>
        <v>4.7011303843244125E-2</v>
      </c>
      <c r="AX38" s="12">
        <f t="shared" si="44"/>
        <v>972.63594792261574</v>
      </c>
      <c r="AY38" s="12">
        <f t="shared" si="13"/>
        <v>856.89090398903102</v>
      </c>
      <c r="AZ38" s="3">
        <f>VLOOKUP(A38,[5]Analysis!$A$3:$BJ$543,62,FALSE)</f>
        <v>0.53855365315787762</v>
      </c>
      <c r="BA38" s="2"/>
      <c r="BB38" s="2"/>
      <c r="BC38" s="2" t="str">
        <f>VLOOKUP(A38,'[6]FGD status - Jun 2020'!$I$2:$M$449,5,FALSE)</f>
        <v>Bid Awarded</v>
      </c>
      <c r="BD38" s="2"/>
      <c r="BE38" s="2"/>
      <c r="BF38" s="2">
        <f t="shared" si="14"/>
        <v>1020.1046566213784</v>
      </c>
      <c r="BG38" s="2">
        <f t="shared" si="15"/>
        <v>910.3942015467029</v>
      </c>
      <c r="BH38" s="2"/>
      <c r="BI38" s="2"/>
      <c r="BK38">
        <f t="shared" si="16"/>
        <v>638.2286519861625</v>
      </c>
      <c r="BL38">
        <f>VLOOKUP(A38,'[11]Daily coal vs energy req.2'!$C$2:$P$599,14,FALSE)</f>
        <v>0.52</v>
      </c>
      <c r="BM38">
        <f>VLOOKUP(A38,'[11]Daily coal vs energy req.2'!$C$2:$R$599,16,FALSE)</f>
        <v>0.55000000000000004</v>
      </c>
      <c r="BN38">
        <f>BL38*H38</f>
        <v>343.2</v>
      </c>
      <c r="BO38">
        <f>BM38*H38</f>
        <v>363.00000000000006</v>
      </c>
      <c r="BP38" s="2" t="str">
        <f>VLOOKUP(A38,'[7]Table 2'!$J$2:$N$449,5,FALSE)</f>
        <v>Bid Awarded</v>
      </c>
      <c r="BR38">
        <f t="shared" si="23"/>
        <v>760.79074290251663</v>
      </c>
      <c r="BS38">
        <f t="shared" si="24"/>
        <v>678.96904149309466</v>
      </c>
      <c r="BT38">
        <f>(X38*I38*365*[5]Analysis!BK38)/10^4</f>
        <v>531.38831221138366</v>
      </c>
      <c r="BU38">
        <f>(W38*R38*365*[5]Analysis!BK38)/10^4</f>
        <v>474.23843726898087</v>
      </c>
      <c r="BV38">
        <f>(X38*I38*365*[5]Analysis!BL38)/10^4</f>
        <v>229.40243069113288</v>
      </c>
      <c r="BW38">
        <f>(W38*R38*365*[5]Analysis!BL38)/10^4</f>
        <v>204.73060422411373</v>
      </c>
      <c r="BX38">
        <f t="shared" si="25"/>
        <v>3967046.0727520818</v>
      </c>
      <c r="BY38">
        <f t="shared" si="26"/>
        <v>3540397.2704759319</v>
      </c>
      <c r="BZ38">
        <f t="shared" si="41"/>
        <v>15597631.769230615</v>
      </c>
      <c r="CA38">
        <f t="shared" si="27"/>
        <v>13710245.372575488</v>
      </c>
      <c r="CB38">
        <f t="shared" si="28"/>
        <v>-1597393.308975203</v>
      </c>
      <c r="CC38">
        <f t="shared" si="29"/>
        <v>-1234198.4292000001</v>
      </c>
      <c r="CD38">
        <f t="shared" si="30"/>
        <v>-5652833.0384410117</v>
      </c>
      <c r="CE38">
        <f t="shared" si="31"/>
        <v>-4968813.8016000008</v>
      </c>
      <c r="CF38">
        <f t="shared" si="32"/>
        <v>9983073.0106978435</v>
      </c>
      <c r="CG38">
        <f t="shared" si="33"/>
        <v>8775074.4840000011</v>
      </c>
      <c r="CH38">
        <f t="shared" si="34"/>
        <v>587198.01727587578</v>
      </c>
      <c r="CI38">
        <f t="shared" si="35"/>
        <v>516144.31076796685</v>
      </c>
      <c r="CJ38">
        <f t="shared" si="36"/>
        <v>-6084933.2379866643</v>
      </c>
      <c r="CK38">
        <f t="shared" si="37"/>
        <v>-5348627.8560000015</v>
      </c>
      <c r="CL38">
        <f t="shared" si="38"/>
        <v>2597544.5850882088</v>
      </c>
      <c r="CM38">
        <f t="shared" si="39"/>
        <v>2283229.5411677621</v>
      </c>
    </row>
    <row r="39" spans="1:91" x14ac:dyDescent="0.2">
      <c r="A39" s="2" t="s">
        <v>56</v>
      </c>
      <c r="B39" s="2" t="str">
        <f t="shared" si="42"/>
        <v>NIGRI TPP</v>
      </c>
      <c r="C39" s="2" t="str">
        <f>VLOOKUP($A39,'[1]daily coal, energy reqd'!$C$2:$T$599,17,FALSE)</f>
        <v>Madhya Pradesh</v>
      </c>
      <c r="D39" s="2" t="str">
        <f>VLOOKUP(C39,'Target PLF'!$I$2:$J$19,2,FALSE)</f>
        <v>WR</v>
      </c>
      <c r="E39" s="2" t="str">
        <f>VLOOKUP(A39,[2]Ownership!$C$2:$D$666,2,FALSE)</f>
        <v>PVT SECTOR</v>
      </c>
      <c r="F39" s="2" t="s">
        <v>543</v>
      </c>
      <c r="G39" s="12">
        <v>5.2539356605065004</v>
      </c>
      <c r="H39" s="2">
        <v>660</v>
      </c>
      <c r="I39" s="2">
        <f>VLOOKUP(A39,'[3]Calculated coal req (reg.)'!$A$2:$I$599,9,FALSE)</f>
        <v>9.4328214715255996</v>
      </c>
      <c r="J39" s="2"/>
      <c r="K39" s="11">
        <v>0.59550640603065652</v>
      </c>
      <c r="L39" s="3">
        <f>VLOOKUP(F39,'Target PLF'!$A$2:$B$11,2,FALSE)</f>
        <v>0.85</v>
      </c>
      <c r="M39" s="3">
        <f t="shared" si="17"/>
        <v>0.25449359396934346</v>
      </c>
      <c r="N39" s="2" t="str">
        <f t="shared" si="0"/>
        <v>0.15</v>
      </c>
      <c r="O39" s="2">
        <f t="shared" si="45"/>
        <v>7.5744850410728777</v>
      </c>
      <c r="P39" s="2">
        <f t="shared" si="1"/>
        <v>1824693.4463944561</v>
      </c>
      <c r="Q39" s="2">
        <f t="shared" si="2"/>
        <v>11.115330762046543</v>
      </c>
      <c r="R39" s="2">
        <f t="shared" si="3"/>
        <v>13.464</v>
      </c>
      <c r="S39" s="2">
        <f t="shared" si="4"/>
        <v>2677683.1805770127</v>
      </c>
      <c r="T39" s="2" t="str">
        <f>VLOOKUP(A39,'[4]CEA vs MERIT comp. &amp; NPA marker'!$C$2:$K$735,9,FALSE)</f>
        <v>Contracted</v>
      </c>
      <c r="U39" s="3">
        <f>VLOOKUP(B39,'[8]Import-Domestic share'!$A$208:$F$406,6,FALSE)</f>
        <v>0</v>
      </c>
      <c r="V39" s="3">
        <f t="shared" si="5"/>
        <v>0</v>
      </c>
      <c r="W39" s="2">
        <f t="shared" si="6"/>
        <v>2565.9794518097187</v>
      </c>
      <c r="X39" s="2">
        <f t="shared" si="7"/>
        <v>2650.1077045604775</v>
      </c>
      <c r="Y39" s="6">
        <f t="shared" si="8"/>
        <v>0.33515467140372629</v>
      </c>
      <c r="Z39" s="2">
        <f t="shared" si="18"/>
        <v>2812339.1163517633</v>
      </c>
      <c r="AA39" s="2">
        <f t="shared" si="19"/>
        <v>2034911.6110553499</v>
      </c>
      <c r="AB39" s="2" t="s">
        <v>598</v>
      </c>
      <c r="AC39" s="12">
        <f>VLOOKUP(B39,[9]Sheet1!$A$2:$B$137,2,FALSE)</f>
        <v>4483.8642343935417</v>
      </c>
      <c r="AD39" s="12">
        <f t="shared" si="9"/>
        <v>2959350.3946997374</v>
      </c>
      <c r="AE39" s="2" t="s">
        <v>589</v>
      </c>
      <c r="AF39" s="7">
        <f>VLOOKUP($B39,'[9]Subsidiary wise dispatch'!$A$3:$R$138,11,FALSE)*$H39*$O39*365</f>
        <v>74701.057396103934</v>
      </c>
      <c r="AG39" s="7">
        <f>VLOOKUP($B39,'[9]Subsidiary wise dispatch'!$A$3:$R$138,12,FALSE)*$H39*$O39*365</f>
        <v>0</v>
      </c>
      <c r="AH39" s="7">
        <f>VLOOKUP($B39,'[9]Subsidiary wise dispatch'!$A$3:$R$138,13,FALSE)*$H39*$O39*365</f>
        <v>0</v>
      </c>
      <c r="AI39" s="7">
        <f>VLOOKUP($B39,'[9]Subsidiary wise dispatch'!$A$3:$R$138,14,FALSE)*$H39*$O39*365</f>
        <v>0</v>
      </c>
      <c r="AJ39" s="7">
        <f>VLOOKUP($B39,'[9]Subsidiary wise dispatch'!$A$3:$R$138,15,FALSE)*$H39*$O39*365</f>
        <v>1749992.3889983525</v>
      </c>
      <c r="AK39" s="7">
        <f>VLOOKUP($B39,'[9]Subsidiary wise dispatch'!$A$3:$R$138,16,FALSE)*$H39*$O39*365</f>
        <v>0</v>
      </c>
      <c r="AL39" s="7">
        <f>VLOOKUP($B39,'[9]Subsidiary wise dispatch'!$A$3:$R$138,17,FALSE)*$H39*$O39*365</f>
        <v>0</v>
      </c>
      <c r="AM39" s="7">
        <f>VLOOKUP($B39,'[9]Subsidiary wise dispatch'!$A$3:$R$138,18,FALSE)*$H39*$O39*365</f>
        <v>0</v>
      </c>
      <c r="AN39" s="15">
        <f t="shared" si="10"/>
        <v>1824693.4463944563</v>
      </c>
      <c r="AO39" s="6">
        <v>6.0287169912146825E-2</v>
      </c>
      <c r="AP39" s="11">
        <f t="shared" si="20"/>
        <v>0.56867811080481068</v>
      </c>
      <c r="AQ39" s="11">
        <f t="shared" si="11"/>
        <v>0.81170645569714484</v>
      </c>
      <c r="AR39" s="3">
        <f>VLOOKUP(A39,[10]Sheet1!$A$2:$L$542,12,FALSE)</f>
        <v>0.61437499999999101</v>
      </c>
      <c r="AS39" s="3">
        <f t="shared" si="43"/>
        <v>1.6463222282200762</v>
      </c>
      <c r="AT39" s="3">
        <f t="shared" si="40"/>
        <v>1.6376990823131234</v>
      </c>
      <c r="AU39" s="3">
        <f t="shared" si="12"/>
        <v>8.6231459069527894E-3</v>
      </c>
      <c r="AV39" s="88">
        <f t="shared" si="21"/>
        <v>0.18649799553261429</v>
      </c>
      <c r="AW39" s="32">
        <f t="shared" si="22"/>
        <v>0.10804376359418481</v>
      </c>
      <c r="AX39" s="12">
        <f t="shared" si="44"/>
        <v>566.82542371425347</v>
      </c>
      <c r="AY39" s="12">
        <f t="shared" si="13"/>
        <v>804.82428621563213</v>
      </c>
      <c r="AZ39" s="3">
        <f>VLOOKUP(A39,[5]Analysis!$A$3:$BJ$543,62,FALSE)</f>
        <v>0.48173612543324146</v>
      </c>
      <c r="BA39" s="2"/>
      <c r="BB39" s="2"/>
      <c r="BC39" s="2" t="str">
        <f>VLOOKUP(A39,'[6]FGD status - Jun 2020'!$I$2:$M$449,5,FALSE)</f>
        <v>NIT issued</v>
      </c>
      <c r="BD39" s="2"/>
      <c r="BE39" s="2"/>
      <c r="BF39" s="2">
        <f t="shared" si="14"/>
        <v>629.8051436216308</v>
      </c>
      <c r="BG39" s="2">
        <f t="shared" si="15"/>
        <v>870.41895651087077</v>
      </c>
      <c r="BH39" s="2"/>
      <c r="BI39" s="2"/>
      <c r="BK39">
        <f t="shared" si="16"/>
        <v>393.03422798023331</v>
      </c>
      <c r="BL39">
        <f>VLOOKUP(A39,'[11]Daily coal vs energy req.2'!$C$2:$P$599,14,FALSE)</f>
        <v>0.67</v>
      </c>
      <c r="BM39">
        <f>VLOOKUP(A39,'[11]Daily coal vs energy req.2'!$C$2:$R$599,16,FALSE)</f>
        <v>0.73</v>
      </c>
      <c r="BN39">
        <f>BL39*H39</f>
        <v>442.20000000000005</v>
      </c>
      <c r="BO39">
        <f>BM39*H39</f>
        <v>481.8</v>
      </c>
      <c r="BP39" s="2" t="str">
        <f>VLOOKUP(A39,'[7]Table 2'!$J$2:$N$449,5,FALSE)</f>
        <v>NIT issued</v>
      </c>
      <c r="BR39">
        <f t="shared" si="23"/>
        <v>439.54892213029677</v>
      </c>
      <c r="BS39">
        <f t="shared" si="24"/>
        <v>607.47632503614682</v>
      </c>
      <c r="BT39">
        <f>(X39*I39*365*[5]Analysis!BK39)/10^4</f>
        <v>345.89525363919</v>
      </c>
      <c r="BU39">
        <f>(W39*R39*365*[5]Analysis!BK39)/10^4</f>
        <v>478.04275462628391</v>
      </c>
      <c r="BV39">
        <f>(X39*I39*365*[5]Analysis!BL39)/10^4</f>
        <v>93.6536684911067</v>
      </c>
      <c r="BW39">
        <f>(W39*R39*365*[5]Analysis!BL39)/10^4</f>
        <v>129.43357040986282</v>
      </c>
      <c r="BX39">
        <f t="shared" si="25"/>
        <v>2562294.2678869329</v>
      </c>
      <c r="BY39">
        <f t="shared" si="26"/>
        <v>3541205.6022645202</v>
      </c>
      <c r="BZ39">
        <f t="shared" si="41"/>
        <v>8591974.4824879356</v>
      </c>
      <c r="CA39">
        <f t="shared" si="27"/>
        <v>12263811.499181053</v>
      </c>
      <c r="CB39">
        <f t="shared" si="28"/>
        <v>-605787.08924831974</v>
      </c>
      <c r="CC39">
        <f t="shared" si="29"/>
        <v>-1234198.4292000001</v>
      </c>
      <c r="CD39">
        <f t="shared" si="30"/>
        <v>-3481129.9402662818</v>
      </c>
      <c r="CE39">
        <f t="shared" si="31"/>
        <v>-4968813.8016000008</v>
      </c>
      <c r="CF39">
        <f t="shared" si="32"/>
        <v>6147780.0807272447</v>
      </c>
      <c r="CG39">
        <f t="shared" si="33"/>
        <v>8775074.4840000011</v>
      </c>
      <c r="CH39">
        <f t="shared" si="34"/>
        <v>366962.8520694421</v>
      </c>
      <c r="CI39">
        <f t="shared" si="35"/>
        <v>523786.84947843925</v>
      </c>
      <c r="CJ39">
        <f t="shared" si="36"/>
        <v>-3747226.0608494314</v>
      </c>
      <c r="CK39">
        <f t="shared" si="37"/>
        <v>-5348627.8560000015</v>
      </c>
      <c r="CL39">
        <f t="shared" si="38"/>
        <v>1607678.0410820751</v>
      </c>
      <c r="CM39">
        <f t="shared" si="39"/>
        <v>2294729.8653398789</v>
      </c>
    </row>
    <row r="40" spans="1:91" x14ac:dyDescent="0.2">
      <c r="A40" s="2" t="s">
        <v>53</v>
      </c>
      <c r="B40" s="2" t="str">
        <f t="shared" si="42"/>
        <v>BARH II</v>
      </c>
      <c r="C40" s="2" t="str">
        <f>VLOOKUP($A40,'[1]daily coal, energy reqd'!$C$2:$T$599,17,FALSE)</f>
        <v>Bihar</v>
      </c>
      <c r="D40" s="2" t="str">
        <f>VLOOKUP(C40,'Target PLF'!$I$2:$J$19,2,FALSE)</f>
        <v>ER</v>
      </c>
      <c r="E40" s="2" t="str">
        <f>VLOOKUP(A40,[2]Ownership!$C$2:$D$666,2,FALSE)</f>
        <v>CENTRAL SECTOR</v>
      </c>
      <c r="F40" s="2" t="s">
        <v>543</v>
      </c>
      <c r="G40" s="12">
        <v>5.1772758384667998</v>
      </c>
      <c r="H40" s="2">
        <v>660</v>
      </c>
      <c r="I40" s="2">
        <f>VLOOKUP(A40,'[3]Calculated coal req (reg.)'!$A$2:$I$599,9,FALSE)</f>
        <v>12.5744592662268</v>
      </c>
      <c r="J40" s="2"/>
      <c r="K40" s="11">
        <v>0.79384212539310606</v>
      </c>
      <c r="L40" s="3">
        <f>VLOOKUP(F40,'Target PLF'!$A$2:$B$11,2,FALSE)</f>
        <v>0.85</v>
      </c>
      <c r="M40" s="3">
        <f t="shared" si="17"/>
        <v>5.6157874606893921E-2</v>
      </c>
      <c r="N40" s="2" t="str">
        <f t="shared" si="0"/>
        <v>0.15</v>
      </c>
      <c r="O40" s="2">
        <f t="shared" si="45"/>
        <v>11.221312305415339</v>
      </c>
      <c r="P40" s="2">
        <f t="shared" si="1"/>
        <v>2703214.1343745552</v>
      </c>
      <c r="Q40" s="2">
        <f t="shared" si="2"/>
        <v>12.002653662183436</v>
      </c>
      <c r="R40" s="2">
        <f t="shared" si="3"/>
        <v>13.464</v>
      </c>
      <c r="S40" s="2">
        <f t="shared" si="4"/>
        <v>2891439.26721999</v>
      </c>
      <c r="T40" s="2" t="str">
        <f>VLOOKUP(A40,'[4]CEA vs MERIT comp. &amp; NPA marker'!$C$2:$K$735,9,FALSE)</f>
        <v>Contracted</v>
      </c>
      <c r="U40" s="3">
        <f>VLOOKUP(B40,'[8]Import-Domestic share'!$A$208:$F$406,6,FALSE)</f>
        <v>4.7535098469989852E-3</v>
      </c>
      <c r="V40" s="3">
        <f t="shared" si="5"/>
        <v>12849.755006296286</v>
      </c>
      <c r="W40" s="2">
        <f t="shared" si="6"/>
        <v>2566.4654350176729</v>
      </c>
      <c r="X40" s="2">
        <f t="shared" si="7"/>
        <v>2585.0296110159238</v>
      </c>
      <c r="Y40" s="6">
        <f t="shared" si="8"/>
        <v>0.33509120686602117</v>
      </c>
      <c r="Z40" s="2">
        <f t="shared" si="18"/>
        <v>2942728.6689765402</v>
      </c>
      <c r="AA40" s="2">
        <f t="shared" si="19"/>
        <v>2768187.7237947024</v>
      </c>
      <c r="AB40" s="2" t="s">
        <v>598</v>
      </c>
      <c r="AC40" s="12"/>
      <c r="AD40" s="12">
        <f t="shared" si="9"/>
        <v>0</v>
      </c>
      <c r="AE40" s="2"/>
      <c r="AF40" s="7"/>
      <c r="AG40" s="7"/>
      <c r="AH40" s="7"/>
      <c r="AI40" s="7"/>
      <c r="AJ40" s="7"/>
      <c r="AK40" s="7"/>
      <c r="AL40" s="7"/>
      <c r="AM40" s="7"/>
      <c r="AN40" s="15">
        <f t="shared" si="10"/>
        <v>0</v>
      </c>
      <c r="AO40" s="6">
        <v>7.8938602528921195E-2</v>
      </c>
      <c r="AP40" s="11">
        <f t="shared" si="20"/>
        <v>0.99261024203278736</v>
      </c>
      <c r="AQ40" s="11">
        <f t="shared" si="11"/>
        <v>1.062829344449395</v>
      </c>
      <c r="AR40" s="3">
        <f>VLOOKUP(A40,[10]Sheet1!$A$2:$L$542,12,FALSE)</f>
        <v>2.3142443367293999</v>
      </c>
      <c r="AS40" s="3">
        <f t="shared" si="43"/>
        <v>2.0219074788493381</v>
      </c>
      <c r="AT40" s="3">
        <f t="shared" si="40"/>
        <v>2.0200046508095175</v>
      </c>
      <c r="AU40" s="3">
        <f t="shared" si="12"/>
        <v>1.9028280398205588E-3</v>
      </c>
      <c r="AV40" s="88">
        <f t="shared" si="21"/>
        <v>4.1153613669424001E-2</v>
      </c>
      <c r="AW40" s="32">
        <f t="shared" si="22"/>
        <v>1.9412750603178416E-2</v>
      </c>
      <c r="AX40" s="12">
        <f t="shared" si="44"/>
        <v>927.99035299976697</v>
      </c>
      <c r="AY40" s="12">
        <f t="shared" si="13"/>
        <v>992.70300557522603</v>
      </c>
      <c r="AZ40" s="3">
        <f>VLOOKUP(A40,[5]Analysis!$A$3:$BJ$543,62,FALSE)</f>
        <v>0.65631703346837811</v>
      </c>
      <c r="BA40" s="2"/>
      <c r="BB40" s="2"/>
      <c r="BC40" s="2" t="str">
        <f>VLOOKUP(A40,'[6]FGD status - Jun 2020'!$I$2:$M$449,5,FALSE)</f>
        <v>Bid Awarded</v>
      </c>
      <c r="BD40" s="2"/>
      <c r="BE40" s="2"/>
      <c r="BF40" s="2">
        <f t="shared" si="14"/>
        <v>859.56477909854675</v>
      </c>
      <c r="BG40" s="2">
        <f t="shared" si="15"/>
        <v>913.76242172923298</v>
      </c>
      <c r="BH40" s="2"/>
      <c r="BI40" s="2"/>
      <c r="BK40">
        <f t="shared" si="16"/>
        <v>523.93580275944998</v>
      </c>
      <c r="BL40">
        <f>VLOOKUP(A40,'[11]Daily coal vs energy req.2'!$C$2:$P$599,14,FALSE)</f>
        <v>0.68</v>
      </c>
      <c r="BM40">
        <f>VLOOKUP(A40,'[11]Daily coal vs energy req.2'!$C$2:$R$599,16,FALSE)</f>
        <v>0.76</v>
      </c>
      <c r="BN40">
        <f>BL40*H40</f>
        <v>448.8</v>
      </c>
      <c r="BO40">
        <f>BM40*H40</f>
        <v>501.6</v>
      </c>
      <c r="BP40" s="2" t="str">
        <f>VLOOKUP(A40,'[7]Table 2'!$J$2:$N$449,5,FALSE)</f>
        <v>Bid Awarded</v>
      </c>
      <c r="BR40">
        <f t="shared" si="23"/>
        <v>778.68423237779359</v>
      </c>
      <c r="BS40">
        <f t="shared" si="24"/>
        <v>827.7821605093086</v>
      </c>
      <c r="BT40">
        <f>(X40*I40*365*[5]Analysis!BK40)/10^4</f>
        <v>471.48113497892393</v>
      </c>
      <c r="BU40">
        <f>(W40*R40*365*[5]Analysis!BK40)/10^4</f>
        <v>501.20916325795196</v>
      </c>
      <c r="BV40">
        <f>(X40*I40*365*[5]Analysis!BL40)/10^4</f>
        <v>307.20309739886972</v>
      </c>
      <c r="BW40">
        <f>(W40*R40*365*[5]Analysis!BL40)/10^4</f>
        <v>326.5729972513567</v>
      </c>
      <c r="BX40">
        <f t="shared" si="25"/>
        <v>3331798.3284352589</v>
      </c>
      <c r="BY40">
        <f t="shared" si="26"/>
        <v>3541876.2882504896</v>
      </c>
      <c r="BZ40">
        <f t="shared" si="41"/>
        <v>15604330.580784598</v>
      </c>
      <c r="CA40">
        <f t="shared" si="27"/>
        <v>16708210.070231296</v>
      </c>
      <c r="CB40">
        <f t="shared" si="28"/>
        <v>-1076503.4354448935</v>
      </c>
      <c r="CC40">
        <f t="shared" si="29"/>
        <v>-1234198.4292000001</v>
      </c>
      <c r="CD40">
        <f t="shared" si="30"/>
        <v>0</v>
      </c>
      <c r="CE40">
        <f t="shared" si="31"/>
        <v>0</v>
      </c>
      <c r="CF40">
        <f t="shared" si="32"/>
        <v>8195322.0927780867</v>
      </c>
      <c r="CG40">
        <f t="shared" si="33"/>
        <v>8775074.4840000011</v>
      </c>
      <c r="CH40">
        <f t="shared" si="34"/>
        <v>482043.64314070885</v>
      </c>
      <c r="CI40">
        <f t="shared" si="35"/>
        <v>516144.31076796685</v>
      </c>
      <c r="CJ40">
        <f t="shared" si="36"/>
        <v>-4995254.2413456617</v>
      </c>
      <c r="CK40">
        <f t="shared" si="37"/>
        <v>-5348627.8560000015</v>
      </c>
      <c r="CL40">
        <f t="shared" si="38"/>
        <v>2806152.8290773393</v>
      </c>
      <c r="CM40">
        <f t="shared" si="39"/>
        <v>3004665.3212495949</v>
      </c>
    </row>
    <row r="41" spans="1:91" x14ac:dyDescent="0.2">
      <c r="A41" s="2" t="s">
        <v>34</v>
      </c>
      <c r="B41" s="2" t="s">
        <v>581</v>
      </c>
      <c r="C41" s="2" t="str">
        <f>VLOOKUP($A41,'[1]daily coal, energy reqd'!$C$2:$T$599,17,FALSE)</f>
        <v>Maharashtra</v>
      </c>
      <c r="D41" s="2" t="str">
        <f>VLOOKUP(C41,'Target PLF'!$I$2:$J$19,2,FALSE)</f>
        <v>WR</v>
      </c>
      <c r="E41" s="2" t="str">
        <f>VLOOKUP(A41,[2]Ownership!$C$2:$D$666,2,FALSE)</f>
        <v>STATE SECTOR</v>
      </c>
      <c r="F41" s="2" t="s">
        <v>542</v>
      </c>
      <c r="G41" s="12">
        <v>3.4223134839151199</v>
      </c>
      <c r="H41" s="2">
        <v>660</v>
      </c>
      <c r="I41" s="2">
        <f>VLOOKUP(A41,'[3]Calculated coal req (reg.)'!$A$2:$I$599,9,FALSE)</f>
        <v>8.1700420061090799</v>
      </c>
      <c r="J41" s="2"/>
      <c r="K41" s="11">
        <v>0.515785480183654</v>
      </c>
      <c r="L41" s="3">
        <f>VLOOKUP(F41,'Target PLF'!$A$2:$B$11,2,FALSE)</f>
        <v>0.85</v>
      </c>
      <c r="M41" s="3">
        <f t="shared" si="17"/>
        <v>0.33421451981634598</v>
      </c>
      <c r="N41" s="2" t="str">
        <f t="shared" si="0"/>
        <v>0.15</v>
      </c>
      <c r="O41" s="2">
        <f t="shared" si="45"/>
        <v>7.2970383510422447</v>
      </c>
      <c r="P41" s="2">
        <f t="shared" si="1"/>
        <v>1757856.5387660768</v>
      </c>
      <c r="Q41" s="2">
        <f t="shared" si="2"/>
        <v>11.947065229603012</v>
      </c>
      <c r="R41" s="2">
        <f t="shared" si="3"/>
        <v>13.464</v>
      </c>
      <c r="S41" s="2">
        <f t="shared" si="4"/>
        <v>2878048.0138113657</v>
      </c>
      <c r="T41" s="2" t="str">
        <f>VLOOKUP(A41,'[4]CEA vs MERIT comp. &amp; NPA marker'!$C$2:$K$735,9,FALSE)</f>
        <v>Contracted</v>
      </c>
      <c r="U41" s="3">
        <f>VLOOKUP(B41,'[8]Import-Domestic share'!$A$208:$F$406,6,FALSE)</f>
        <v>7.1458891059498833E-2</v>
      </c>
      <c r="V41" s="3">
        <f t="shared" si="5"/>
        <v>125614.47890191278</v>
      </c>
      <c r="W41" s="2">
        <f t="shared" si="6"/>
        <v>2568.0956819586058</v>
      </c>
      <c r="X41" s="2">
        <f t="shared" si="7"/>
        <v>2678.5773768317194</v>
      </c>
      <c r="Y41" s="6">
        <f t="shared" si="8"/>
        <v>0.3348784883840874</v>
      </c>
      <c r="Z41" s="2">
        <f t="shared" si="18"/>
        <v>3097344.8707390283</v>
      </c>
      <c r="AA41" s="2">
        <f t="shared" si="19"/>
        <v>1960346.0704983198</v>
      </c>
      <c r="AB41" s="2" t="s">
        <v>598</v>
      </c>
      <c r="AC41" s="12">
        <f>VLOOKUP(B41,[9]Sheet1!$A$2:$B$137,2,FALSE)</f>
        <v>4074.6339921065437</v>
      </c>
      <c r="AD41" s="12">
        <f t="shared" si="9"/>
        <v>2689258.4347903188</v>
      </c>
      <c r="AE41" s="2"/>
      <c r="AF41" s="7">
        <f>VLOOKUP($B41,'[9]Subsidiary wise dispatch'!$A$3:$R$138,11,FALSE)*$H41*$O41*365</f>
        <v>0</v>
      </c>
      <c r="AG41" s="7">
        <f>VLOOKUP($B41,'[9]Subsidiary wise dispatch'!$A$3:$R$138,12,FALSE)*$H41*$O41*365</f>
        <v>0</v>
      </c>
      <c r="AH41" s="7">
        <f>VLOOKUP($B41,'[9]Subsidiary wise dispatch'!$A$3:$R$138,13,FALSE)*$H41*$O41*365</f>
        <v>0</v>
      </c>
      <c r="AI41" s="7">
        <f>VLOOKUP($B41,'[9]Subsidiary wise dispatch'!$A$3:$R$138,14,FALSE)*$H41*$O41*365</f>
        <v>278535.11827910878</v>
      </c>
      <c r="AJ41" s="7">
        <f>VLOOKUP($B41,'[9]Subsidiary wise dispatch'!$A$3:$R$138,15,FALSE)*$H41*$O41*365</f>
        <v>0</v>
      </c>
      <c r="AK41" s="7">
        <f>VLOOKUP($B41,'[9]Subsidiary wise dispatch'!$A$3:$R$138,16,FALSE)*$H41*$O41*365</f>
        <v>0</v>
      </c>
      <c r="AL41" s="7">
        <f>VLOOKUP($B41,'[9]Subsidiary wise dispatch'!$A$3:$R$138,17,FALSE)*$H41*$O41*365</f>
        <v>403265.33816993143</v>
      </c>
      <c r="AM41" s="7">
        <f>VLOOKUP($B41,'[9]Subsidiary wise dispatch'!$A$3:$R$138,18,FALSE)*$H41*$O41*365</f>
        <v>1076056.0823170366</v>
      </c>
      <c r="AN41" s="15">
        <f t="shared" si="10"/>
        <v>1757856.5387660768</v>
      </c>
      <c r="AO41" s="6">
        <v>8.2497496941869752E-2</v>
      </c>
      <c r="AP41" s="11">
        <f t="shared" si="20"/>
        <v>0.67400801541393129</v>
      </c>
      <c r="AQ41" s="11">
        <f t="shared" si="11"/>
        <v>1.1107462988253345</v>
      </c>
      <c r="AR41" s="3">
        <f>VLOOKUP(A41,[10]Sheet1!$A$2:$L$542,12,FALSE)</f>
        <v>2.1859560439560699</v>
      </c>
      <c r="AS41" s="3">
        <f t="shared" si="43"/>
        <v>2.0239405051773032</v>
      </c>
      <c r="AT41" s="3">
        <f t="shared" si="40"/>
        <v>2.012616131452809</v>
      </c>
      <c r="AU41" s="3">
        <f t="shared" si="12"/>
        <v>1.132437372449413E-2</v>
      </c>
      <c r="AV41" s="88">
        <f t="shared" si="21"/>
        <v>0.24491908441181467</v>
      </c>
      <c r="AW41" s="32">
        <f t="shared" si="22"/>
        <v>0.1154157990759995</v>
      </c>
      <c r="AX41" s="12">
        <f t="shared" si="44"/>
        <v>603.55228149849324</v>
      </c>
      <c r="AY41" s="12">
        <f t="shared" si="13"/>
        <v>989.07202117664269</v>
      </c>
      <c r="AZ41" s="3">
        <f>VLOOKUP(A41,[5]Analysis!$A$3:$BJ$543,62,FALSE)</f>
        <v>0.653872465730303</v>
      </c>
      <c r="BA41" s="2"/>
      <c r="BB41" s="2"/>
      <c r="BC41" s="2" t="str">
        <f>VLOOKUP(A41,'[6]FGD status - Jun 2020'!$I$2:$M$449,5,FALSE)</f>
        <v>Bid opened</v>
      </c>
      <c r="BD41" s="2"/>
      <c r="BE41" s="2"/>
      <c r="BF41" s="2">
        <f t="shared" si="14"/>
        <v>636.64908460291406</v>
      </c>
      <c r="BG41" s="2">
        <f t="shared" si="15"/>
        <v>1005.9049299159058</v>
      </c>
      <c r="BH41" s="2"/>
      <c r="BI41" s="2"/>
      <c r="BK41">
        <f t="shared" si="16"/>
        <v>340.41841692121164</v>
      </c>
      <c r="BL41" t="str">
        <f>VLOOKUP(A41,'[11]Daily coal vs energy req.2'!$C$2:$P$599,14,FALSE)</f>
        <v/>
      </c>
      <c r="BM41" t="str">
        <f>VLOOKUP(A41,'[11]Daily coal vs energy req.2'!$C$2:$R$599,16,FALSE)</f>
        <v/>
      </c>
      <c r="BP41" s="2" t="str">
        <f>VLOOKUP(A41,'[7]Table 2'!$J$2:$N$449,5,FALSE)</f>
        <v>Bid opened</v>
      </c>
      <c r="BR41">
        <f t="shared" si="23"/>
        <v>522.29323442252542</v>
      </c>
      <c r="BS41">
        <f t="shared" si="24"/>
        <v>825.22279867099223</v>
      </c>
      <c r="BT41">
        <f>(X41*I41*365*[5]Analysis!BK41)/10^4</f>
        <v>364.61962000858949</v>
      </c>
      <c r="BU41">
        <f>(W41*R41*365*[5]Analysis!BK41)/10^4</f>
        <v>576.09864237763725</v>
      </c>
      <c r="BV41">
        <f>(X41*I41*365*[5]Analysis!BL41)/10^4</f>
        <v>157.67361441393592</v>
      </c>
      <c r="BW41">
        <f>(W41*R41*365*[5]Analysis!BL41)/10^4</f>
        <v>249.12415629335499</v>
      </c>
      <c r="BX41">
        <f t="shared" si="25"/>
        <v>2243119.1927461834</v>
      </c>
      <c r="BY41">
        <f t="shared" si="26"/>
        <v>3544126.1268437938</v>
      </c>
      <c r="BZ41">
        <f t="shared" si="41"/>
        <v>10100886.416954022</v>
      </c>
      <c r="CA41">
        <f t="shared" si="27"/>
        <v>16645977.415560085</v>
      </c>
      <c r="CB41">
        <f t="shared" si="28"/>
        <v>-454449.21995893138</v>
      </c>
      <c r="CC41">
        <f t="shared" si="29"/>
        <v>-1234198.4292000001</v>
      </c>
      <c r="CD41">
        <f t="shared" si="30"/>
        <v>0</v>
      </c>
      <c r="CE41">
        <f t="shared" si="31"/>
        <v>0</v>
      </c>
      <c r="CF41">
        <f t="shared" si="32"/>
        <v>5324771.7722085528</v>
      </c>
      <c r="CG41">
        <f t="shared" si="33"/>
        <v>8775074.4840000011</v>
      </c>
      <c r="CH41">
        <f t="shared" si="34"/>
        <v>207033.11442243177</v>
      </c>
      <c r="CI41">
        <f t="shared" si="35"/>
        <v>341184.76386036887</v>
      </c>
      <c r="CJ41">
        <f t="shared" si="36"/>
        <v>-3245581.8670948567</v>
      </c>
      <c r="CK41">
        <f t="shared" si="37"/>
        <v>-5348627.8560000015</v>
      </c>
      <c r="CL41">
        <f t="shared" si="38"/>
        <v>1905450.3159278617</v>
      </c>
      <c r="CM41">
        <f t="shared" si="39"/>
        <v>3140128.6596163684</v>
      </c>
    </row>
    <row r="42" spans="1:91" x14ac:dyDescent="0.2">
      <c r="A42" s="2" t="s">
        <v>59</v>
      </c>
      <c r="B42" s="2" t="str">
        <f t="shared" ref="B42:B73" si="46">LEFT(A42,LEN(A42)-LEN(RIGHT(A42,1)))</f>
        <v>NIGRI TPP</v>
      </c>
      <c r="C42" s="2" t="str">
        <f>VLOOKUP($A42,'[1]daily coal, energy reqd'!$C$2:$T$599,17,FALSE)</f>
        <v>Madhya Pradesh</v>
      </c>
      <c r="D42" s="2" t="str">
        <f>VLOOKUP(C42,'Target PLF'!$I$2:$J$19,2,FALSE)</f>
        <v>WR</v>
      </c>
      <c r="E42" s="2" t="str">
        <f>VLOOKUP(A42,[2]Ownership!$C$2:$D$666,2,FALSE)</f>
        <v>PVT SECTOR</v>
      </c>
      <c r="F42" s="2" t="s">
        <v>543</v>
      </c>
      <c r="G42" s="12">
        <v>5.7577002053388</v>
      </c>
      <c r="H42" s="2">
        <v>660</v>
      </c>
      <c r="I42" s="2">
        <f>VLOOKUP(A42,'[3]Calculated coal req (reg.)'!$A$2:$I$599,9,FALSE)</f>
        <v>9.4007889650388101</v>
      </c>
      <c r="J42" s="2"/>
      <c r="K42" s="11">
        <v>0.5934841518332582</v>
      </c>
      <c r="L42" s="3">
        <f>VLOOKUP(F42,'Target PLF'!$A$2:$B$11,2,FALSE)</f>
        <v>0.85</v>
      </c>
      <c r="M42" s="3">
        <f t="shared" si="17"/>
        <v>0.25651584816674178</v>
      </c>
      <c r="N42" s="2" t="str">
        <f t="shared" si="0"/>
        <v>0.15</v>
      </c>
      <c r="O42" s="2">
        <f t="shared" si="45"/>
        <v>7.5623055537057784</v>
      </c>
      <c r="P42" s="2">
        <f t="shared" si="1"/>
        <v>1821759.4078877221</v>
      </c>
      <c r="Q42" s="2">
        <f t="shared" si="2"/>
        <v>11.131287504004106</v>
      </c>
      <c r="R42" s="2">
        <f t="shared" si="3"/>
        <v>13.464</v>
      </c>
      <c r="S42" s="2">
        <f t="shared" si="4"/>
        <v>2681527.1597145894</v>
      </c>
      <c r="T42" s="2" t="str">
        <f>VLOOKUP(A42,'[4]CEA vs MERIT comp. &amp; NPA marker'!$C$2:$K$735,9,FALSE)</f>
        <v>Contracted</v>
      </c>
      <c r="U42" s="3">
        <f>VLOOKUP(B42,'[8]Import-Domestic share'!$A$208:$F$406,6,FALSE)</f>
        <v>0</v>
      </c>
      <c r="V42" s="3">
        <f t="shared" si="5"/>
        <v>0</v>
      </c>
      <c r="W42" s="2">
        <f t="shared" si="6"/>
        <v>2569.8284834537981</v>
      </c>
      <c r="X42" s="2">
        <f t="shared" si="7"/>
        <v>2654.6252352012957</v>
      </c>
      <c r="Y42" s="6">
        <f t="shared" si="8"/>
        <v>0.33465268423057448</v>
      </c>
      <c r="Z42" s="2">
        <f t="shared" si="18"/>
        <v>2816557.6934900517</v>
      </c>
      <c r="AA42" s="2">
        <f t="shared" si="19"/>
        <v>2031458.3948549831</v>
      </c>
      <c r="AB42" s="2" t="s">
        <v>598</v>
      </c>
      <c r="AC42" s="12">
        <f>VLOOKUP(B42,[9]Sheet1!$A$2:$B$137,2,FALSE)</f>
        <v>4483.8642343935417</v>
      </c>
      <c r="AD42" s="12">
        <f t="shared" si="9"/>
        <v>2959350.3946997374</v>
      </c>
      <c r="AE42" s="2" t="s">
        <v>589</v>
      </c>
      <c r="AF42" s="7">
        <f>VLOOKUP($B42,'[9]Subsidiary wise dispatch'!$A$3:$R$138,11,FALSE)*$H42*$O42*365</f>
        <v>74580.940902384391</v>
      </c>
      <c r="AG42" s="7">
        <f>VLOOKUP($B42,'[9]Subsidiary wise dispatch'!$A$3:$R$138,12,FALSE)*$H42*$O42*365</f>
        <v>0</v>
      </c>
      <c r="AH42" s="7">
        <f>VLOOKUP($B42,'[9]Subsidiary wise dispatch'!$A$3:$R$138,13,FALSE)*$H42*$O42*365</f>
        <v>0</v>
      </c>
      <c r="AI42" s="7">
        <f>VLOOKUP($B42,'[9]Subsidiary wise dispatch'!$A$3:$R$138,14,FALSE)*$H42*$O42*365</f>
        <v>0</v>
      </c>
      <c r="AJ42" s="7">
        <f>VLOOKUP($B42,'[9]Subsidiary wise dispatch'!$A$3:$R$138,15,FALSE)*$H42*$O42*365</f>
        <v>1747178.4669853377</v>
      </c>
      <c r="AK42" s="7">
        <f>VLOOKUP($B42,'[9]Subsidiary wise dispatch'!$A$3:$R$138,16,FALSE)*$H42*$O42*365</f>
        <v>0</v>
      </c>
      <c r="AL42" s="7">
        <f>VLOOKUP($B42,'[9]Subsidiary wise dispatch'!$A$3:$R$138,17,FALSE)*$H42*$O42*365</f>
        <v>0</v>
      </c>
      <c r="AM42" s="7">
        <f>VLOOKUP($B42,'[9]Subsidiary wise dispatch'!$A$3:$R$138,18,FALSE)*$H42*$O42*365</f>
        <v>0</v>
      </c>
      <c r="AN42" s="15">
        <f t="shared" si="10"/>
        <v>1821759.4078877221</v>
      </c>
      <c r="AO42" s="6">
        <v>6.0287169912146825E-2</v>
      </c>
      <c r="AP42" s="11">
        <f t="shared" si="20"/>
        <v>0.56674696164352967</v>
      </c>
      <c r="AQ42" s="11">
        <f t="shared" si="11"/>
        <v>0.81170645569714484</v>
      </c>
      <c r="AR42" s="3">
        <f>VLOOKUP(A42,[10]Sheet1!$A$2:$L$542,12,FALSE)</f>
        <v>0.61437499999999101</v>
      </c>
      <c r="AS42" s="3">
        <f t="shared" si="43"/>
        <v>1.6505153996829707</v>
      </c>
      <c r="AT42" s="3">
        <f t="shared" si="40"/>
        <v>1.6418237326288523</v>
      </c>
      <c r="AU42" s="3">
        <f t="shared" si="12"/>
        <v>8.6916670541183905E-3</v>
      </c>
      <c r="AV42" s="88">
        <f t="shared" si="21"/>
        <v>0.18797994385355171</v>
      </c>
      <c r="AW42" s="32">
        <f t="shared" si="22"/>
        <v>0.10862563102038965</v>
      </c>
      <c r="AX42" s="12">
        <f t="shared" si="44"/>
        <v>566.33936389276971</v>
      </c>
      <c r="AY42" s="12">
        <f t="shared" si="13"/>
        <v>806.85128786819257</v>
      </c>
      <c r="AZ42" s="3">
        <f>VLOOKUP(A42,[5]Analysis!$A$3:$BJ$543,62,FALSE)</f>
        <v>0.48173612543324146</v>
      </c>
      <c r="BA42" s="2"/>
      <c r="BB42" s="2"/>
      <c r="BC42" s="2" t="str">
        <f>VLOOKUP(A42,'[6]FGD status - Jun 2020'!$I$2:$M$449,5,FALSE)</f>
        <v>NIT issued</v>
      </c>
      <c r="BD42" s="2"/>
      <c r="BE42" s="2"/>
      <c r="BF42" s="2">
        <f t="shared" si="14"/>
        <v>628.73637320761725</v>
      </c>
      <c r="BG42" s="2">
        <f t="shared" si="15"/>
        <v>871.72460613517092</v>
      </c>
      <c r="BH42" s="2"/>
      <c r="BI42" s="2"/>
      <c r="BK42">
        <f t="shared" si="16"/>
        <v>391.69954020995038</v>
      </c>
      <c r="BL42">
        <f>VLOOKUP(A42,'[11]Daily coal vs energy req.2'!$C$2:$P$599,14,FALSE)</f>
        <v>0.6</v>
      </c>
      <c r="BM42">
        <f>VLOOKUP(A42,'[11]Daily coal vs energy req.2'!$C$2:$R$599,16,FALSE)</f>
        <v>0.66</v>
      </c>
      <c r="BN42">
        <f t="shared" ref="BN42:BN62" si="47">BL42*H42</f>
        <v>396</v>
      </c>
      <c r="BO42">
        <f t="shared" ref="BO42:BO62" si="48">BM42*H42</f>
        <v>435.6</v>
      </c>
      <c r="BP42" s="2" t="str">
        <f>VLOOKUP(A42,'[7]Table 2'!$J$2:$N$449,5,FALSE)</f>
        <v>NIT issued</v>
      </c>
      <c r="BR42">
        <f t="shared" si="23"/>
        <v>438.80301383113135</v>
      </c>
      <c r="BS42">
        <f t="shared" si="24"/>
        <v>608.38755431214281</v>
      </c>
      <c r="BT42">
        <f>(X42*I42*365*[5]Analysis!BK42)/10^4</f>
        <v>345.30827428981308</v>
      </c>
      <c r="BU42">
        <f>(W42*R42*365*[5]Analysis!BK42)/10^4</f>
        <v>478.75983039572623</v>
      </c>
      <c r="BV42">
        <f>(X42*I42*365*[5]Analysis!BL42)/10^4</f>
        <v>93.494739541318282</v>
      </c>
      <c r="BW42">
        <f>(W42*R42*365*[5]Analysis!BL42)/10^4</f>
        <v>129.62772391641658</v>
      </c>
      <c r="BX42">
        <f t="shared" si="25"/>
        <v>2557946.0907828743</v>
      </c>
      <c r="BY42">
        <f t="shared" si="26"/>
        <v>3546517.4968752488</v>
      </c>
      <c r="BZ42">
        <f t="shared" si="41"/>
        <v>8562797.3715699129</v>
      </c>
      <c r="CA42">
        <f t="shared" si="27"/>
        <v>12263811.499181053</v>
      </c>
      <c r="CB42">
        <f t="shared" si="28"/>
        <v>-601679.7432471069</v>
      </c>
      <c r="CC42">
        <f t="shared" si="29"/>
        <v>-1234198.4292000001</v>
      </c>
      <c r="CD42">
        <f t="shared" si="30"/>
        <v>-3469308.5231293687</v>
      </c>
      <c r="CE42">
        <f t="shared" si="31"/>
        <v>-4968813.8016000008</v>
      </c>
      <c r="CF42">
        <f t="shared" si="32"/>
        <v>6126903.1028357726</v>
      </c>
      <c r="CG42">
        <f t="shared" si="33"/>
        <v>8775074.4840000011</v>
      </c>
      <c r="CH42">
        <f t="shared" si="34"/>
        <v>400782.81286268961</v>
      </c>
      <c r="CI42">
        <f t="shared" si="35"/>
        <v>574009.24671868491</v>
      </c>
      <c r="CJ42">
        <f t="shared" si="36"/>
        <v>-3734501.0195175279</v>
      </c>
      <c r="CK42">
        <f t="shared" si="37"/>
        <v>-5348627.8560000015</v>
      </c>
      <c r="CL42">
        <f t="shared" si="38"/>
        <v>1602218.5974325705</v>
      </c>
      <c r="CM42">
        <f t="shared" si="39"/>
        <v>2294729.8653398789</v>
      </c>
    </row>
    <row r="43" spans="1:91" x14ac:dyDescent="0.2">
      <c r="A43" s="2" t="s">
        <v>58</v>
      </c>
      <c r="B43" s="2" t="str">
        <f t="shared" si="46"/>
        <v>SASAN UMPTPP</v>
      </c>
      <c r="C43" s="2" t="str">
        <f>VLOOKUP($A43,'[1]daily coal, energy reqd'!$C$2:$T$599,17,FALSE)</f>
        <v>Madhya Pradesh</v>
      </c>
      <c r="D43" s="2" t="str">
        <f>VLOOKUP(C43,'Target PLF'!$I$2:$J$19,2,FALSE)</f>
        <v>WR</v>
      </c>
      <c r="E43" s="2" t="str">
        <f>VLOOKUP(A43,[2]Ownership!$C$2:$D$666,2,FALSE)</f>
        <v>PVT SECTOR</v>
      </c>
      <c r="F43" s="2" t="s">
        <v>543</v>
      </c>
      <c r="G43" s="12">
        <v>5.7577002053388</v>
      </c>
      <c r="H43" s="2">
        <v>660</v>
      </c>
      <c r="I43" s="2">
        <f>VLOOKUP(A43,'[3]Calculated coal req (reg.)'!$A$2:$I$599,9,FALSE)</f>
        <v>15.597310825306799</v>
      </c>
      <c r="J43" s="2"/>
      <c r="K43" s="11">
        <v>0.98467871371886351</v>
      </c>
      <c r="L43" s="3">
        <f>VLOOKUP(F43,'Target PLF'!$A$2:$B$11,2,FALSE)</f>
        <v>0.85</v>
      </c>
      <c r="M43" s="3">
        <f t="shared" si="17"/>
        <v>-0.13467871371886353</v>
      </c>
      <c r="N43" s="2" t="str">
        <f t="shared" si="0"/>
        <v>0.15</v>
      </c>
      <c r="O43" s="2">
        <f t="shared" ref="O43:O74" si="49">(13.9133*K43)+(-0.289097*N43)+(-0.0052079*H43)+(0.031675*G43)+3.492937+IF(E43="Pvt Sector",-0.8897511,0)</f>
        <v>13.00511285158877</v>
      </c>
      <c r="P43" s="2">
        <f t="shared" si="1"/>
        <v>3132931.6859477349</v>
      </c>
      <c r="Q43" s="2">
        <f t="shared" si="2"/>
        <v>11.131287504004106</v>
      </c>
      <c r="R43" s="2">
        <f t="shared" si="3"/>
        <v>13.464</v>
      </c>
      <c r="S43" s="2">
        <f t="shared" si="4"/>
        <v>2681527.1597145894</v>
      </c>
      <c r="T43" s="2" t="str">
        <f>VLOOKUP(A43,'[4]CEA vs MERIT comp. &amp; NPA marker'!$C$2:$K$735,9,FALSE)</f>
        <v>Contracted</v>
      </c>
      <c r="U43" s="3">
        <f>VLOOKUP(B43,'[8]Import-Domestic share'!$A$208:$F$406,6,FALSE)</f>
        <v>0</v>
      </c>
      <c r="V43" s="3">
        <f t="shared" si="5"/>
        <v>0</v>
      </c>
      <c r="W43" s="2">
        <f t="shared" si="6"/>
        <v>2569.8284834537981</v>
      </c>
      <c r="X43" s="2">
        <f t="shared" si="7"/>
        <v>2525.3075794452971</v>
      </c>
      <c r="Y43" s="6">
        <f t="shared" si="8"/>
        <v>0.33465268423057448</v>
      </c>
      <c r="Z43" s="2">
        <f t="shared" si="18"/>
        <v>2946584.7657363531</v>
      </c>
      <c r="AA43" s="2">
        <f t="shared" si="19"/>
        <v>3354321.6623496679</v>
      </c>
      <c r="AB43" s="2" t="s">
        <v>598</v>
      </c>
      <c r="AC43" s="12"/>
      <c r="AD43" s="12">
        <f t="shared" si="9"/>
        <v>0</v>
      </c>
      <c r="AE43" s="2"/>
      <c r="AF43" s="7"/>
      <c r="AG43" s="7"/>
      <c r="AH43" s="7"/>
      <c r="AI43" s="7"/>
      <c r="AJ43" s="7"/>
      <c r="AK43" s="7"/>
      <c r="AL43" s="7"/>
      <c r="AM43" s="7"/>
      <c r="AN43" s="15">
        <f t="shared" si="10"/>
        <v>0</v>
      </c>
      <c r="AO43" s="6">
        <v>5.9985033260734698E-2</v>
      </c>
      <c r="AP43" s="11">
        <f t="shared" si="20"/>
        <v>0.93560520863404573</v>
      </c>
      <c r="AQ43" s="11">
        <f t="shared" si="11"/>
        <v>0.807638487822532</v>
      </c>
      <c r="AR43" s="3">
        <f>VLOOKUP(A43,[10]Sheet1!$A$2:$L$542,12,FALSE)</f>
        <v>1.3375862509674501</v>
      </c>
      <c r="AS43" s="3">
        <f t="shared" si="43"/>
        <v>1.7438359155192522</v>
      </c>
      <c r="AT43" s="3">
        <f t="shared" si="40"/>
        <v>1.7483993081801237</v>
      </c>
      <c r="AU43" s="3">
        <f t="shared" si="12"/>
        <v>-4.5633926608714681E-3</v>
      </c>
      <c r="AV43" s="88">
        <f t="shared" si="21"/>
        <v>-9.869525498745757E-2</v>
      </c>
      <c r="AW43" s="32">
        <f t="shared" si="22"/>
        <v>5.3979770395173328E-2</v>
      </c>
      <c r="AX43" s="12">
        <f t="shared" si="44"/>
        <v>992.7690042980837</v>
      </c>
      <c r="AY43" s="12">
        <f t="shared" si="13"/>
        <v>859.22636241480723</v>
      </c>
      <c r="AZ43" s="3">
        <f>VLOOKUP(A43,[5]Analysis!$A$3:$BJ$543,62,FALSE)</f>
        <v>0.53855365315787762</v>
      </c>
      <c r="BA43" s="2"/>
      <c r="BB43" s="2"/>
      <c r="BC43" s="2" t="str">
        <f>VLOOKUP(A43,'[6]FGD status - Jun 2020'!$I$2:$M$449,5,FALSE)</f>
        <v>Bid Awarded</v>
      </c>
      <c r="BD43" s="2"/>
      <c r="BE43" s="2"/>
      <c r="BF43" s="2">
        <f t="shared" si="14"/>
        <v>1038.1625544972221</v>
      </c>
      <c r="BG43" s="2">
        <f t="shared" si="15"/>
        <v>911.96798499540137</v>
      </c>
      <c r="BH43" s="2"/>
      <c r="BI43" s="2"/>
      <c r="BK43">
        <f t="shared" si="16"/>
        <v>649.8879510544499</v>
      </c>
      <c r="BL43">
        <f>VLOOKUP(A43,'[11]Daily coal vs energy req.2'!$C$2:$P$599,14,FALSE)</f>
        <v>0.53</v>
      </c>
      <c r="BM43">
        <f>VLOOKUP(A43,'[11]Daily coal vs energy req.2'!$C$2:$R$599,16,FALSE)</f>
        <v>0.48</v>
      </c>
      <c r="BN43">
        <f t="shared" si="47"/>
        <v>349.8</v>
      </c>
      <c r="BO43">
        <f t="shared" si="48"/>
        <v>316.8</v>
      </c>
      <c r="BP43" s="2" t="str">
        <f>VLOOKUP(A43,'[7]Table 2'!$J$2:$N$449,5,FALSE)</f>
        <v>Bid Awarded</v>
      </c>
      <c r="BR43">
        <f t="shared" si="23"/>
        <v>774.25826454458297</v>
      </c>
      <c r="BS43">
        <f t="shared" si="24"/>
        <v>680.14276408256728</v>
      </c>
      <c r="BT43">
        <f>(X43*I43*365*[5]Analysis!BK43)/10^4</f>
        <v>540.79495084600342</v>
      </c>
      <c r="BU43">
        <f>(W43*R43*365*[5]Analysis!BK43)/10^4</f>
        <v>475.05824543784058</v>
      </c>
      <c r="BV43">
        <f>(X43*I43*365*[5]Analysis!BL43)/10^4</f>
        <v>233.46331369857941</v>
      </c>
      <c r="BW43">
        <f>(W43*R43*365*[5]Analysis!BL43)/10^4</f>
        <v>205.08451864472678</v>
      </c>
      <c r="BX43">
        <f t="shared" si="25"/>
        <v>4037270.7427264228</v>
      </c>
      <c r="BY43">
        <f t="shared" si="26"/>
        <v>3546517.4968752488</v>
      </c>
      <c r="BZ43">
        <f t="shared" si="41"/>
        <v>15882572.680279568</v>
      </c>
      <c r="CA43">
        <f t="shared" si="27"/>
        <v>13710245.372575488</v>
      </c>
      <c r="CB43">
        <f t="shared" si="28"/>
        <v>-1656289.4564072646</v>
      </c>
      <c r="CC43">
        <f t="shared" si="29"/>
        <v>-1234198.4292000001</v>
      </c>
      <c r="CD43">
        <f t="shared" si="30"/>
        <v>-5756100.2151388526</v>
      </c>
      <c r="CE43">
        <f t="shared" si="31"/>
        <v>-4968813.8016000008</v>
      </c>
      <c r="CF43">
        <f t="shared" si="32"/>
        <v>10165445.947873343</v>
      </c>
      <c r="CG43">
        <f t="shared" si="33"/>
        <v>8775074.4840000011</v>
      </c>
      <c r="CH43">
        <f t="shared" si="34"/>
        <v>664958.45496669237</v>
      </c>
      <c r="CI43">
        <f t="shared" si="35"/>
        <v>574009.24671868491</v>
      </c>
      <c r="CJ43">
        <f t="shared" si="36"/>
        <v>-6196094.1145964283</v>
      </c>
      <c r="CK43">
        <f t="shared" si="37"/>
        <v>-5348627.8560000015</v>
      </c>
      <c r="CL43">
        <f t="shared" si="38"/>
        <v>2644997.0914376271</v>
      </c>
      <c r="CM43">
        <f t="shared" si="39"/>
        <v>2283229.5411677621</v>
      </c>
    </row>
    <row r="44" spans="1:91" x14ac:dyDescent="0.2">
      <c r="A44" s="2" t="s">
        <v>61</v>
      </c>
      <c r="B44" s="2" t="str">
        <f t="shared" si="46"/>
        <v>SASAN UMPTPP</v>
      </c>
      <c r="C44" s="2" t="str">
        <f>VLOOKUP($A44,'[1]daily coal, energy reqd'!$C$2:$T$599,17,FALSE)</f>
        <v>Madhya Pradesh</v>
      </c>
      <c r="D44" s="2" t="str">
        <f>VLOOKUP(C44,'Target PLF'!$I$2:$J$19,2,FALSE)</f>
        <v>WR</v>
      </c>
      <c r="E44" s="2" t="str">
        <f>VLOOKUP(A44,[2]Ownership!$C$2:$D$666,2,FALSE)</f>
        <v>PVT SECTOR</v>
      </c>
      <c r="F44" s="2" t="s">
        <v>543</v>
      </c>
      <c r="G44" s="12">
        <v>6.00958247775496</v>
      </c>
      <c r="H44" s="2">
        <v>660</v>
      </c>
      <c r="I44" s="2">
        <f>VLOOKUP(A44,'[3]Calculated coal req (reg.)'!$A$2:$I$599,9,FALSE)</f>
        <v>14.7629499536607</v>
      </c>
      <c r="J44" s="2"/>
      <c r="K44" s="11">
        <v>0.93200441626645836</v>
      </c>
      <c r="L44" s="3">
        <f>VLOOKUP(F44,'Target PLF'!$A$2:$B$11,2,FALSE)</f>
        <v>0.85</v>
      </c>
      <c r="M44" s="3">
        <f t="shared" si="17"/>
        <v>-8.200441626645838E-2</v>
      </c>
      <c r="N44" s="2" t="str">
        <f t="shared" si="0"/>
        <v>0.15</v>
      </c>
      <c r="O44" s="2">
        <f t="shared" si="49"/>
        <v>12.280217919823002</v>
      </c>
      <c r="P44" s="2">
        <f t="shared" si="1"/>
        <v>2958304.4968853611</v>
      </c>
      <c r="Q44" s="2">
        <f t="shared" si="2"/>
        <v>11.13926587498289</v>
      </c>
      <c r="R44" s="2">
        <f t="shared" si="3"/>
        <v>13.464</v>
      </c>
      <c r="S44" s="2">
        <f t="shared" si="4"/>
        <v>2683449.1492833779</v>
      </c>
      <c r="T44" s="2" t="str">
        <f>VLOOKUP(A44,'[4]CEA vs MERIT comp. &amp; NPA marker'!$C$2:$K$735,9,FALSE)</f>
        <v>Contracted</v>
      </c>
      <c r="U44" s="3">
        <f>VLOOKUP(B44,'[8]Import-Domestic share'!$A$208:$F$406,6,FALSE)</f>
        <v>0</v>
      </c>
      <c r="V44" s="3">
        <f t="shared" si="5"/>
        <v>0</v>
      </c>
      <c r="W44" s="2">
        <f t="shared" si="6"/>
        <v>2571.7529992758382</v>
      </c>
      <c r="X44" s="2">
        <f t="shared" si="7"/>
        <v>2544.6447009853359</v>
      </c>
      <c r="Y44" s="6">
        <f t="shared" si="8"/>
        <v>0.33440225412089003</v>
      </c>
      <c r="Z44" s="2">
        <f t="shared" si="18"/>
        <v>2948791.4301262735</v>
      </c>
      <c r="AA44" s="2">
        <f t="shared" si="19"/>
        <v>3199197.098747191</v>
      </c>
      <c r="AB44" s="2" t="s">
        <v>598</v>
      </c>
      <c r="AC44" s="12"/>
      <c r="AD44" s="12">
        <f t="shared" si="9"/>
        <v>0</v>
      </c>
      <c r="AE44" s="2"/>
      <c r="AF44" s="7"/>
      <c r="AG44" s="7"/>
      <c r="AH44" s="7"/>
      <c r="AI44" s="7"/>
      <c r="AJ44" s="7"/>
      <c r="AK44" s="7"/>
      <c r="AL44" s="7"/>
      <c r="AM44" s="7"/>
      <c r="AN44" s="15">
        <f t="shared" si="10"/>
        <v>0</v>
      </c>
      <c r="AO44" s="6">
        <v>5.9985033260734698E-2</v>
      </c>
      <c r="AP44" s="11">
        <f t="shared" si="20"/>
        <v>0.8855560439968988</v>
      </c>
      <c r="AQ44" s="11">
        <f t="shared" si="11"/>
        <v>0.807638487822532</v>
      </c>
      <c r="AR44" s="3">
        <f>VLOOKUP(A44,[10]Sheet1!$A$2:$L$542,12,FALSE)</f>
        <v>1.3375862509674501</v>
      </c>
      <c r="AS44" s="3">
        <f t="shared" si="43"/>
        <v>1.7476830327632116</v>
      </c>
      <c r="AT44" s="3">
        <f t="shared" si="40"/>
        <v>1.7504616333379881</v>
      </c>
      <c r="AU44" s="3">
        <f t="shared" si="12"/>
        <v>-2.7786005747765241E-3</v>
      </c>
      <c r="AV44" s="88">
        <f t="shared" si="21"/>
        <v>-6.0094476328386034E-2</v>
      </c>
      <c r="AW44" s="32">
        <f t="shared" si="22"/>
        <v>3.2795349430719725E-2</v>
      </c>
      <c r="AX44" s="12">
        <f t="shared" si="44"/>
        <v>941.73493588540134</v>
      </c>
      <c r="AY44" s="12">
        <f t="shared" si="13"/>
        <v>860.23986324108751</v>
      </c>
      <c r="AZ44" s="3">
        <f>VLOOKUP(A44,[5]Analysis!$A$3:$BJ$543,62,FALSE)</f>
        <v>0.53855365315787762</v>
      </c>
      <c r="BA44" s="2"/>
      <c r="BB44" s="2"/>
      <c r="BC44" s="2" t="str">
        <f>VLOOKUP(A44,'[6]FGD status - Jun 2020'!$I$2:$M$449,5,FALSE)</f>
        <v>Bid Awarded</v>
      </c>
      <c r="BD44" s="2"/>
      <c r="BE44" s="2"/>
      <c r="BF44" s="2">
        <f t="shared" si="14"/>
        <v>990.15150206225564</v>
      </c>
      <c r="BG44" s="2">
        <f t="shared" si="15"/>
        <v>912.6509476240816</v>
      </c>
      <c r="BH44" s="2"/>
      <c r="BI44" s="2"/>
      <c r="BK44">
        <f t="shared" si="16"/>
        <v>615.12291473586254</v>
      </c>
      <c r="BL44">
        <f>VLOOKUP(A44,'[11]Daily coal vs energy req.2'!$C$2:$P$599,14,FALSE)</f>
        <v>0.51</v>
      </c>
      <c r="BM44">
        <f>VLOOKUP(A44,'[11]Daily coal vs energy req.2'!$C$2:$R$599,16,FALSE)</f>
        <v>0.56000000000000005</v>
      </c>
      <c r="BN44">
        <f t="shared" si="47"/>
        <v>336.6</v>
      </c>
      <c r="BO44">
        <f t="shared" si="48"/>
        <v>369.6</v>
      </c>
      <c r="BP44" s="2" t="str">
        <f>VLOOKUP(A44,'[7]Table 2'!$J$2:$N$449,5,FALSE)</f>
        <v>Bid Awarded</v>
      </c>
      <c r="BR44">
        <f t="shared" si="23"/>
        <v>738.45177742344129</v>
      </c>
      <c r="BS44">
        <f t="shared" si="24"/>
        <v>680.65211539498011</v>
      </c>
      <c r="BT44">
        <f>(X44*I44*365*[5]Analysis!BK44)/10^4</f>
        <v>515.78525016940091</v>
      </c>
      <c r="BU44">
        <f>(W44*R44*365*[5]Analysis!BK44)/10^4</f>
        <v>475.41401124696836</v>
      </c>
      <c r="BV44">
        <f>(X44*I44*365*[5]Analysis!BL44)/10^4</f>
        <v>222.66652725404046</v>
      </c>
      <c r="BW44">
        <f>(W44*R44*365*[5]Analysis!BL44)/10^4</f>
        <v>205.23810414801173</v>
      </c>
      <c r="BX44">
        <f t="shared" si="25"/>
        <v>3850562.3929756768</v>
      </c>
      <c r="BY44">
        <f t="shared" si="26"/>
        <v>3549173.4441806134</v>
      </c>
      <c r="BZ44">
        <f t="shared" si="41"/>
        <v>15032952.041573092</v>
      </c>
      <c r="CA44">
        <f t="shared" si="27"/>
        <v>13710245.372575488</v>
      </c>
      <c r="CB44">
        <f t="shared" si="28"/>
        <v>-1483826.3476997404</v>
      </c>
      <c r="CC44">
        <f t="shared" si="29"/>
        <v>-1234198.4292000001</v>
      </c>
      <c r="CD44">
        <f t="shared" si="30"/>
        <v>-5448184.0078787403</v>
      </c>
      <c r="CE44">
        <f t="shared" si="31"/>
        <v>-4968813.8016000008</v>
      </c>
      <c r="CF44">
        <f t="shared" si="32"/>
        <v>9621656.6731236633</v>
      </c>
      <c r="CG44">
        <f t="shared" si="33"/>
        <v>8775074.4840000011</v>
      </c>
      <c r="CH44">
        <f t="shared" si="34"/>
        <v>656921.0599191729</v>
      </c>
      <c r="CI44">
        <f t="shared" si="35"/>
        <v>599120.44533880881</v>
      </c>
      <c r="CJ44">
        <f t="shared" si="36"/>
        <v>-5864640.920891528</v>
      </c>
      <c r="CK44">
        <f t="shared" si="37"/>
        <v>-5348627.8560000015</v>
      </c>
      <c r="CL44">
        <f t="shared" si="38"/>
        <v>2503505.9008451686</v>
      </c>
      <c r="CM44">
        <f t="shared" si="39"/>
        <v>2283229.5411677621</v>
      </c>
    </row>
    <row r="45" spans="1:91" x14ac:dyDescent="0.2">
      <c r="A45" s="2" t="s">
        <v>63</v>
      </c>
      <c r="B45" s="2" t="str">
        <f t="shared" si="46"/>
        <v>SASAN UMPTPP</v>
      </c>
      <c r="C45" s="2" t="str">
        <f>VLOOKUP($A45,'[1]daily coal, energy reqd'!$C$2:$T$599,17,FALSE)</f>
        <v>Madhya Pradesh</v>
      </c>
      <c r="D45" s="2" t="str">
        <f>VLOOKUP(C45,'Target PLF'!$I$2:$J$19,2,FALSE)</f>
        <v>WR</v>
      </c>
      <c r="E45" s="2" t="str">
        <f>VLOOKUP(A45,[2]Ownership!$C$2:$D$666,2,FALSE)</f>
        <v>PVT SECTOR</v>
      </c>
      <c r="F45" s="2" t="s">
        <v>543</v>
      </c>
      <c r="G45" s="12">
        <v>6.1765913757700197</v>
      </c>
      <c r="H45" s="2">
        <v>660</v>
      </c>
      <c r="I45" s="2">
        <f>VLOOKUP(A45,'[3]Calculated coal req (reg.)'!$A$2:$I$599,9,FALSE)</f>
        <v>14.4964427562798</v>
      </c>
      <c r="J45" s="2"/>
      <c r="K45" s="11">
        <v>0.91517946693685603</v>
      </c>
      <c r="L45" s="3">
        <f>VLOOKUP(F45,'Target PLF'!$A$2:$B$11,2,FALSE)</f>
        <v>0.85</v>
      </c>
      <c r="M45" s="3">
        <f t="shared" si="17"/>
        <v>-6.5179466936856056E-2</v>
      </c>
      <c r="N45" s="2" t="str">
        <f t="shared" si="0"/>
        <v>0.15</v>
      </c>
      <c r="O45" s="2">
        <f t="shared" si="49"/>
        <v>12.051417359160075</v>
      </c>
      <c r="P45" s="2">
        <f t="shared" si="1"/>
        <v>2903186.4418216618</v>
      </c>
      <c r="Q45" s="2">
        <f t="shared" si="2"/>
        <v>11.144555881827516</v>
      </c>
      <c r="R45" s="2">
        <f t="shared" si="3"/>
        <v>13.464</v>
      </c>
      <c r="S45" s="2">
        <f t="shared" si="4"/>
        <v>2684723.5119322492</v>
      </c>
      <c r="T45" s="2" t="str">
        <f>VLOOKUP(A45,'[4]CEA vs MERIT comp. &amp; NPA marker'!$C$2:$K$735,9,FALSE)</f>
        <v>Contracted</v>
      </c>
      <c r="U45" s="3">
        <f>VLOOKUP(B45,'[8]Import-Domestic share'!$A$208:$F$406,6,FALSE)</f>
        <v>0</v>
      </c>
      <c r="V45" s="3">
        <f t="shared" si="5"/>
        <v>0</v>
      </c>
      <c r="W45" s="2">
        <f t="shared" si="6"/>
        <v>2573.0290369404511</v>
      </c>
      <c r="X45" s="2">
        <f t="shared" si="7"/>
        <v>2551.4825823397746</v>
      </c>
      <c r="Y45" s="6">
        <f t="shared" si="8"/>
        <v>0.33423641461217735</v>
      </c>
      <c r="Z45" s="2">
        <f t="shared" si="18"/>
        <v>2950254.5445587202</v>
      </c>
      <c r="AA45" s="2">
        <f t="shared" si="19"/>
        <v>3149885.3797164559</v>
      </c>
      <c r="AB45" s="2" t="s">
        <v>598</v>
      </c>
      <c r="AC45" s="12"/>
      <c r="AD45" s="12">
        <f t="shared" si="9"/>
        <v>0</v>
      </c>
      <c r="AE45" s="2"/>
      <c r="AF45" s="7"/>
      <c r="AG45" s="7"/>
      <c r="AH45" s="7"/>
      <c r="AI45" s="7"/>
      <c r="AJ45" s="7"/>
      <c r="AK45" s="7"/>
      <c r="AL45" s="7"/>
      <c r="AM45" s="7"/>
      <c r="AN45" s="15">
        <f t="shared" si="10"/>
        <v>0</v>
      </c>
      <c r="AO45" s="6">
        <v>5.9985033260734698E-2</v>
      </c>
      <c r="AP45" s="11">
        <f t="shared" si="20"/>
        <v>0.86956960089778035</v>
      </c>
      <c r="AQ45" s="11">
        <f t="shared" si="11"/>
        <v>0.807638487822532</v>
      </c>
      <c r="AR45" s="3">
        <f>VLOOKUP(A45,[10]Sheet1!$A$2:$L$542,12,FALSE)</f>
        <v>1.3375862509674501</v>
      </c>
      <c r="AS45" s="3">
        <f t="shared" si="43"/>
        <v>1.749620532987394</v>
      </c>
      <c r="AT45" s="3">
        <f t="shared" si="40"/>
        <v>1.7518290445839633</v>
      </c>
      <c r="AU45" s="3">
        <f t="shared" si="12"/>
        <v>-2.2085115965693181E-3</v>
      </c>
      <c r="AV45" s="88">
        <f t="shared" si="21"/>
        <v>-4.776481696066686E-2</v>
      </c>
      <c r="AW45" s="32">
        <f t="shared" si="22"/>
        <v>2.6037820490316443E-2</v>
      </c>
      <c r="AX45" s="12">
        <f t="shared" si="44"/>
        <v>925.75949741071804</v>
      </c>
      <c r="AY45" s="12">
        <f t="shared" si="13"/>
        <v>860.91185835416456</v>
      </c>
      <c r="AZ45" s="3">
        <f>VLOOKUP(A45,[5]Analysis!$A$3:$BJ$543,62,FALSE)</f>
        <v>0.53855365315787762</v>
      </c>
      <c r="BA45" s="2"/>
      <c r="BB45" s="2"/>
      <c r="BC45" s="2" t="str">
        <f>VLOOKUP(A45,'[6]FGD status - Jun 2020'!$I$2:$M$449,5,FALSE)</f>
        <v>Bid Awarded</v>
      </c>
      <c r="BD45" s="2"/>
      <c r="BE45" s="2"/>
      <c r="BF45" s="2">
        <f t="shared" si="14"/>
        <v>974.88952502224311</v>
      </c>
      <c r="BG45" s="2">
        <f t="shared" si="15"/>
        <v>913.10378154092393</v>
      </c>
      <c r="BH45" s="2"/>
      <c r="BI45" s="2"/>
      <c r="BK45">
        <f t="shared" si="16"/>
        <v>604.018448178325</v>
      </c>
      <c r="BL45">
        <f>VLOOKUP(A45,'[11]Daily coal vs energy req.2'!$C$2:$P$599,14,FALSE)</f>
        <v>0.71</v>
      </c>
      <c r="BM45">
        <f>VLOOKUP(A45,'[11]Daily coal vs energy req.2'!$C$2:$R$599,16,FALSE)</f>
        <v>0.75</v>
      </c>
      <c r="BN45">
        <f t="shared" si="47"/>
        <v>468.59999999999997</v>
      </c>
      <c r="BO45">
        <f t="shared" si="48"/>
        <v>495</v>
      </c>
      <c r="BP45" s="2" t="str">
        <f>VLOOKUP(A45,'[7]Table 2'!$J$2:$N$449,5,FALSE)</f>
        <v>Bid Awarded</v>
      </c>
      <c r="BR45">
        <f t="shared" si="23"/>
        <v>727.0694444686161</v>
      </c>
      <c r="BS45">
        <f t="shared" si="24"/>
        <v>680.98983746081865</v>
      </c>
      <c r="BT45">
        <f>(X45*I45*365*[5]Analysis!BK45)/10^4</f>
        <v>507.83504999370342</v>
      </c>
      <c r="BU45">
        <f>(W45*R45*365*[5]Analysis!BK45)/10^4</f>
        <v>475.64989944649858</v>
      </c>
      <c r="BV45">
        <f>(X45*I45*365*[5]Analysis!BL45)/10^4</f>
        <v>219.23439447491268</v>
      </c>
      <c r="BW45">
        <f>(W45*R45*365*[5]Analysis!BL45)/10^4</f>
        <v>205.33993801432015</v>
      </c>
      <c r="BX45">
        <f t="shared" si="25"/>
        <v>3791210.6728496845</v>
      </c>
      <c r="BY45">
        <f t="shared" si="26"/>
        <v>3550934.4527200391</v>
      </c>
      <c r="BZ45">
        <f t="shared" si="41"/>
        <v>14761570.648996625</v>
      </c>
      <c r="CA45">
        <f t="shared" si="27"/>
        <v>13710245.372575488</v>
      </c>
      <c r="CB45">
        <f t="shared" si="28"/>
        <v>-1430736.5545102567</v>
      </c>
      <c r="CC45">
        <f t="shared" si="29"/>
        <v>-1234198.4292000001</v>
      </c>
      <c r="CD45">
        <f t="shared" si="30"/>
        <v>-5349831.0191256246</v>
      </c>
      <c r="CE45">
        <f t="shared" si="31"/>
        <v>-4968813.8016000008</v>
      </c>
      <c r="CF45">
        <f t="shared" si="32"/>
        <v>9447962.3395274449</v>
      </c>
      <c r="CG45">
        <f t="shared" si="33"/>
        <v>8775074.4840000011</v>
      </c>
      <c r="CH45">
        <f t="shared" si="34"/>
        <v>662988.58819246874</v>
      </c>
      <c r="CI45">
        <f t="shared" si="35"/>
        <v>615770.26181519509</v>
      </c>
      <c r="CJ45">
        <f t="shared" si="36"/>
        <v>-5758769.8707031766</v>
      </c>
      <c r="CK45">
        <f t="shared" si="37"/>
        <v>-5348627.8560000015</v>
      </c>
      <c r="CL45">
        <f t="shared" si="38"/>
        <v>2458311.5228004646</v>
      </c>
      <c r="CM45">
        <f t="shared" si="39"/>
        <v>2283229.5411677621</v>
      </c>
    </row>
    <row r="46" spans="1:91" x14ac:dyDescent="0.2">
      <c r="A46" s="2" t="s">
        <v>41</v>
      </c>
      <c r="B46" s="2" t="str">
        <f t="shared" si="46"/>
        <v>KORADI TPS</v>
      </c>
      <c r="C46" s="2" t="str">
        <f>VLOOKUP($A46,'[1]daily coal, energy reqd'!$C$2:$T$599,17,FALSE)</f>
        <v>Maharashtra</v>
      </c>
      <c r="D46" s="2" t="str">
        <f>VLOOKUP(C46,'Target PLF'!$I$2:$J$19,2,FALSE)</f>
        <v>WR</v>
      </c>
      <c r="E46" s="2" t="str">
        <f>VLOOKUP(A46,[2]Ownership!$C$2:$D$666,2,FALSE)</f>
        <v>STATE SECTOR</v>
      </c>
      <c r="F46" s="2" t="s">
        <v>542</v>
      </c>
      <c r="G46" s="12">
        <v>4.1752224503764497</v>
      </c>
      <c r="H46" s="2">
        <v>660</v>
      </c>
      <c r="I46" s="2">
        <f>VLOOKUP(A46,'[3]Calculated coal req (reg.)'!$A$2:$I$599,9,FALSE)</f>
        <v>7.3356619453713998</v>
      </c>
      <c r="J46" s="2"/>
      <c r="K46" s="11">
        <v>0.46310997129869952</v>
      </c>
      <c r="L46" s="3">
        <f>VLOOKUP(F46,'Target PLF'!$A$2:$B$11,2,FALSE)</f>
        <v>0.85</v>
      </c>
      <c r="M46" s="3">
        <f t="shared" si="17"/>
        <v>0.38689002870130046</v>
      </c>
      <c r="N46" s="2" t="str">
        <f t="shared" si="0"/>
        <v>0.15</v>
      </c>
      <c r="O46" s="2">
        <f t="shared" si="49"/>
        <v>6.5879965847858699</v>
      </c>
      <c r="P46" s="2">
        <f t="shared" si="1"/>
        <v>1587048.377274916</v>
      </c>
      <c r="Q46" s="2">
        <f t="shared" si="2"/>
        <v>11.970913621115674</v>
      </c>
      <c r="R46" s="2">
        <f t="shared" si="3"/>
        <v>13.464</v>
      </c>
      <c r="S46" s="2">
        <f t="shared" si="4"/>
        <v>2883793.0913267657</v>
      </c>
      <c r="T46" s="2" t="str">
        <f>VLOOKUP(A46,'[4]CEA vs MERIT comp. &amp; NPA marker'!$C$2:$K$735,9,FALSE)</f>
        <v>Contracted</v>
      </c>
      <c r="U46" s="3">
        <f>VLOOKUP(B46,'[8]Import-Domestic share'!$A$208:$F$406,6,FALSE)</f>
        <v>7.1458891059498833E-2</v>
      </c>
      <c r="V46" s="3">
        <f t="shared" si="5"/>
        <v>113408.71709784261</v>
      </c>
      <c r="W46" s="2">
        <f t="shared" si="6"/>
        <v>2573.8483107744855</v>
      </c>
      <c r="X46" s="2">
        <f t="shared" si="7"/>
        <v>2701.7430118303091</v>
      </c>
      <c r="Y46" s="6">
        <f t="shared" si="8"/>
        <v>0.33413002483476623</v>
      </c>
      <c r="Z46" s="2">
        <f t="shared" si="18"/>
        <v>3104283.0372105134</v>
      </c>
      <c r="AA46" s="2">
        <f t="shared" si="19"/>
        <v>1775364.8068279172</v>
      </c>
      <c r="AB46" s="2" t="s">
        <v>598</v>
      </c>
      <c r="AC46" s="12">
        <f>VLOOKUP(B46,[9]Sheet1!$A$2:$B$137,2,FALSE)</f>
        <v>4074.6339921065437</v>
      </c>
      <c r="AD46" s="12">
        <f t="shared" si="9"/>
        <v>2689258.4347903188</v>
      </c>
      <c r="AE46" s="2"/>
      <c r="AF46" s="7">
        <f>VLOOKUP($B46,'[9]Subsidiary wise dispatch'!$A$3:$R$138,11,FALSE)*$H46*$O46*365</f>
        <v>0</v>
      </c>
      <c r="AG46" s="7">
        <f>VLOOKUP($B46,'[9]Subsidiary wise dispatch'!$A$3:$R$138,12,FALSE)*$H46*$O46*365</f>
        <v>0</v>
      </c>
      <c r="AH46" s="7">
        <f>VLOOKUP($B46,'[9]Subsidiary wise dispatch'!$A$3:$R$138,13,FALSE)*$H46*$O46*365</f>
        <v>0</v>
      </c>
      <c r="AI46" s="7">
        <f>VLOOKUP($B46,'[9]Subsidiary wise dispatch'!$A$3:$R$138,14,FALSE)*$H46*$O46*365</f>
        <v>251470.29790567062</v>
      </c>
      <c r="AJ46" s="7">
        <f>VLOOKUP($B46,'[9]Subsidiary wise dispatch'!$A$3:$R$138,15,FALSE)*$H46*$O46*365</f>
        <v>0</v>
      </c>
      <c r="AK46" s="7">
        <f>VLOOKUP($B46,'[9]Subsidiary wise dispatch'!$A$3:$R$138,16,FALSE)*$H46*$O46*365</f>
        <v>0</v>
      </c>
      <c r="AL46" s="7">
        <f>VLOOKUP($B46,'[9]Subsidiary wise dispatch'!$A$3:$R$138,17,FALSE)*$H46*$O46*365</f>
        <v>364080.67805297556</v>
      </c>
      <c r="AM46" s="7">
        <f>VLOOKUP($B46,'[9]Subsidiary wise dispatch'!$A$3:$R$138,18,FALSE)*$H46*$O46*365</f>
        <v>971497.40131626988</v>
      </c>
      <c r="AN46" s="15">
        <f t="shared" si="10"/>
        <v>1587048.377274916</v>
      </c>
      <c r="AO46" s="6">
        <v>8.2497496941869752E-2</v>
      </c>
      <c r="AP46" s="11">
        <f t="shared" si="20"/>
        <v>0.60517374890486741</v>
      </c>
      <c r="AQ46" s="11">
        <f t="shared" si="11"/>
        <v>1.1107462988253345</v>
      </c>
      <c r="AR46" s="3">
        <f>VLOOKUP(A46,[10]Sheet1!$A$2:$L$542,12,FALSE)</f>
        <v>2.1859560439560699</v>
      </c>
      <c r="AS46" s="3">
        <f t="shared" si="43"/>
        <v>2.0318898972068209</v>
      </c>
      <c r="AT46" s="3">
        <f t="shared" si="40"/>
        <v>2.0187806903485992</v>
      </c>
      <c r="AU46" s="3">
        <f t="shared" si="12"/>
        <v>1.31092068582217E-2</v>
      </c>
      <c r="AV46" s="88">
        <f t="shared" si="21"/>
        <v>0.28352075083288703</v>
      </c>
      <c r="AW46" s="32">
        <f t="shared" si="22"/>
        <v>0.1330837583012702</v>
      </c>
      <c r="AX46" s="12">
        <f t="shared" si="44"/>
        <v>544.04189495855087</v>
      </c>
      <c r="AY46" s="12">
        <f t="shared" si="13"/>
        <v>992.10150734215426</v>
      </c>
      <c r="AZ46" s="3">
        <f>VLOOKUP(A46,[5]Analysis!$A$3:$BJ$543,62,FALSE)</f>
        <v>0.653872465730303</v>
      </c>
      <c r="BA46" s="2"/>
      <c r="BB46" s="2"/>
      <c r="BC46" s="2" t="str">
        <f>VLOOKUP(A46,'[6]FGD status - Jun 2020'!$I$2:$M$449,5,FALSE)</f>
        <v>Bid opened</v>
      </c>
      <c r="BD46" s="2"/>
      <c r="BE46" s="2"/>
      <c r="BF46" s="2">
        <f t="shared" si="14"/>
        <v>576.57389994201617</v>
      </c>
      <c r="BG46" s="2">
        <f t="shared" si="15"/>
        <v>1008.1581939693139</v>
      </c>
      <c r="BH46" s="2"/>
      <c r="BI46" s="2"/>
      <c r="BK46">
        <f t="shared" si="16"/>
        <v>305.65258105714167</v>
      </c>
      <c r="BL46">
        <f>VLOOKUP(A46,'[11]Daily coal vs energy req.2'!$C$2:$P$599,14,FALSE)</f>
        <v>0.65</v>
      </c>
      <c r="BM46">
        <f>VLOOKUP(A46,'[11]Daily coal vs energy req.2'!$C$2:$R$599,16,FALSE)</f>
        <v>0.67</v>
      </c>
      <c r="BN46">
        <f t="shared" si="47"/>
        <v>429</v>
      </c>
      <c r="BO46">
        <f t="shared" si="48"/>
        <v>442.20000000000005</v>
      </c>
      <c r="BP46" s="2" t="str">
        <f>VLOOKUP(A46,'[7]Table 2'!$J$2:$N$449,5,FALSE)</f>
        <v>Bid opened</v>
      </c>
      <c r="BR46">
        <f t="shared" si="23"/>
        <v>473.00884328161766</v>
      </c>
      <c r="BS46">
        <f t="shared" si="24"/>
        <v>827.0713281025495</v>
      </c>
      <c r="BT46">
        <f>(X46*I46*365*[5]Analysis!BK46)/10^4</f>
        <v>330.21355309864549</v>
      </c>
      <c r="BU46">
        <f>(W46*R46*365*[5]Analysis!BK46)/10^4</f>
        <v>577.38912453303863</v>
      </c>
      <c r="BV46">
        <f>(X46*I46*365*[5]Analysis!BL46)/10^4</f>
        <v>142.7952901829722</v>
      </c>
      <c r="BW46">
        <f>(W46*R46*365*[5]Analysis!BL46)/10^4</f>
        <v>249.68220356951096</v>
      </c>
      <c r="BX46">
        <f t="shared" si="25"/>
        <v>2031455.0233008126</v>
      </c>
      <c r="BY46">
        <f t="shared" si="26"/>
        <v>3552065.0997674367</v>
      </c>
      <c r="BZ46">
        <f t="shared" si="41"/>
        <v>9069315.439010391</v>
      </c>
      <c r="CA46">
        <f t="shared" si="27"/>
        <v>16645977.415560085</v>
      </c>
      <c r="CB46">
        <f t="shared" si="28"/>
        <v>-366366.20158531691</v>
      </c>
      <c r="CC46">
        <f t="shared" si="29"/>
        <v>-1234198.4292000001</v>
      </c>
      <c r="CD46">
        <f t="shared" si="30"/>
        <v>0</v>
      </c>
      <c r="CE46">
        <f t="shared" si="31"/>
        <v>0</v>
      </c>
      <c r="CF46">
        <f t="shared" si="32"/>
        <v>4780969.9910931652</v>
      </c>
      <c r="CG46">
        <f t="shared" si="33"/>
        <v>8775074.4840000011</v>
      </c>
      <c r="CH46">
        <f t="shared" si="34"/>
        <v>226785.17736787477</v>
      </c>
      <c r="CI46">
        <f t="shared" si="35"/>
        <v>416245.41190965049</v>
      </c>
      <c r="CJ46">
        <f t="shared" si="36"/>
        <v>-2914121.0504465709</v>
      </c>
      <c r="CK46">
        <f t="shared" si="37"/>
        <v>-5348627.8560000015</v>
      </c>
      <c r="CL46">
        <f t="shared" si="38"/>
        <v>1710852.8157990118</v>
      </c>
      <c r="CM46">
        <f t="shared" si="39"/>
        <v>3140128.6596163684</v>
      </c>
    </row>
    <row r="47" spans="1:91" x14ac:dyDescent="0.2">
      <c r="A47" s="2" t="s">
        <v>65</v>
      </c>
      <c r="B47" s="2" t="str">
        <f t="shared" si="46"/>
        <v>SASAN UMPTPP</v>
      </c>
      <c r="C47" s="2" t="str">
        <f>VLOOKUP($A47,'[1]daily coal, energy reqd'!$C$2:$T$599,17,FALSE)</f>
        <v>Madhya Pradesh</v>
      </c>
      <c r="D47" s="2" t="str">
        <f>VLOOKUP(C47,'Target PLF'!$I$2:$J$19,2,FALSE)</f>
        <v>WR</v>
      </c>
      <c r="E47" s="2" t="str">
        <f>VLOOKUP(A47,[2]Ownership!$C$2:$D$666,2,FALSE)</f>
        <v>PVT SECTOR</v>
      </c>
      <c r="F47" s="2" t="s">
        <v>543</v>
      </c>
      <c r="G47" s="12">
        <v>6.4229979466118996</v>
      </c>
      <c r="H47" s="2">
        <v>660</v>
      </c>
      <c r="I47" s="2">
        <f>VLOOKUP(A47,'[3]Calculated coal req (reg.)'!$A$2:$I$599,9,FALSE)</f>
        <v>15.2138026165102</v>
      </c>
      <c r="J47" s="2"/>
      <c r="K47" s="11">
        <v>0.96046733690089647</v>
      </c>
      <c r="L47" s="3">
        <f>VLOOKUP(F47,'Target PLF'!$A$2:$B$11,2,FALSE)</f>
        <v>0.85</v>
      </c>
      <c r="M47" s="3">
        <f t="shared" si="17"/>
        <v>-0.1104673369008965</v>
      </c>
      <c r="N47" s="2" t="str">
        <f t="shared" si="0"/>
        <v>0.15</v>
      </c>
      <c r="O47" s="2">
        <f t="shared" si="49"/>
        <v>12.689326008462174</v>
      </c>
      <c r="P47" s="2">
        <f t="shared" si="1"/>
        <v>3056858.6354385382</v>
      </c>
      <c r="Q47" s="2">
        <f t="shared" si="2"/>
        <v>11.152360809958932</v>
      </c>
      <c r="R47" s="2">
        <f t="shared" si="3"/>
        <v>13.464</v>
      </c>
      <c r="S47" s="2">
        <f t="shared" si="4"/>
        <v>2686603.7191191069</v>
      </c>
      <c r="T47" s="2" t="str">
        <f>VLOOKUP(A47,'[4]CEA vs MERIT comp. &amp; NPA marker'!$C$2:$K$735,9,FALSE)</f>
        <v>Contracted</v>
      </c>
      <c r="U47" s="3">
        <f>VLOOKUP(B47,'[8]Import-Domestic share'!$A$208:$F$406,6,FALSE)</f>
        <v>0</v>
      </c>
      <c r="V47" s="3">
        <f t="shared" si="5"/>
        <v>0</v>
      </c>
      <c r="W47" s="2">
        <f t="shared" si="6"/>
        <v>2574.9117154620117</v>
      </c>
      <c r="X47" s="2">
        <f t="shared" si="7"/>
        <v>2538.3943953418784</v>
      </c>
      <c r="Y47" s="6">
        <f t="shared" si="8"/>
        <v>0.33399203352713464</v>
      </c>
      <c r="Z47" s="2">
        <f t="shared" si="18"/>
        <v>2952413.2379836426</v>
      </c>
      <c r="AA47" s="2">
        <f t="shared" si="19"/>
        <v>3288800.8451141599</v>
      </c>
      <c r="AB47" s="2" t="s">
        <v>598</v>
      </c>
      <c r="AC47" s="12"/>
      <c r="AD47" s="12">
        <f t="shared" si="9"/>
        <v>0</v>
      </c>
      <c r="AE47" s="2"/>
      <c r="AF47" s="7"/>
      <c r="AG47" s="7"/>
      <c r="AH47" s="7"/>
      <c r="AI47" s="7"/>
      <c r="AJ47" s="7"/>
      <c r="AK47" s="7"/>
      <c r="AL47" s="7"/>
      <c r="AM47" s="7"/>
      <c r="AN47" s="15">
        <f t="shared" si="10"/>
        <v>0</v>
      </c>
      <c r="AO47" s="6">
        <v>5.9985033260734698E-2</v>
      </c>
      <c r="AP47" s="11">
        <f t="shared" si="20"/>
        <v>0.91260045597361694</v>
      </c>
      <c r="AQ47" s="11">
        <f t="shared" si="11"/>
        <v>0.807638487822532</v>
      </c>
      <c r="AR47" s="3">
        <f>VLOOKUP(A47,[10]Sheet1!$A$2:$L$542,12,FALSE)</f>
        <v>1.3375862509674501</v>
      </c>
      <c r="AS47" s="3">
        <f t="shared" si="43"/>
        <v>1.7501035112739083</v>
      </c>
      <c r="AT47" s="3">
        <f t="shared" si="40"/>
        <v>1.7538465365862219</v>
      </c>
      <c r="AU47" s="3">
        <f t="shared" si="12"/>
        <v>-3.7430253123136303E-3</v>
      </c>
      <c r="AV47" s="88">
        <f t="shared" si="21"/>
        <v>-8.0952673827714969E-2</v>
      </c>
      <c r="AW47" s="32">
        <f t="shared" si="22"/>
        <v>4.4117189650799617E-2</v>
      </c>
      <c r="AX47" s="12">
        <f t="shared" si="44"/>
        <v>971.83912233286776</v>
      </c>
      <c r="AY47" s="12">
        <f t="shared" si="13"/>
        <v>861.90332655378666</v>
      </c>
      <c r="AZ47" s="3">
        <f>VLOOKUP(A47,[5]Analysis!$A$3:$BJ$543,62,FALSE)</f>
        <v>0.53855365315787762</v>
      </c>
      <c r="BA47" s="2"/>
      <c r="BB47" s="2"/>
      <c r="BC47" s="2" t="str">
        <f>VLOOKUP(A47,'[6]FGD status - Jun 2020'!$I$2:$M$449,5,FALSE)</f>
        <v>Bid Awarded</v>
      </c>
      <c r="BD47" s="2"/>
      <c r="BE47" s="2"/>
      <c r="BF47" s="2">
        <f t="shared" si="14"/>
        <v>1017.8838615628324</v>
      </c>
      <c r="BG47" s="2">
        <f t="shared" si="15"/>
        <v>913.77189715593738</v>
      </c>
      <c r="BH47" s="2"/>
      <c r="BI47" s="2"/>
      <c r="BK47">
        <f t="shared" si="16"/>
        <v>633.90844235459167</v>
      </c>
      <c r="BL47">
        <f>VLOOKUP(A47,'[11]Daily coal vs energy req.2'!$C$2:$P$599,14,FALSE)</f>
        <v>0.66</v>
      </c>
      <c r="BM47">
        <f>VLOOKUP(A47,'[11]Daily coal vs energy req.2'!$C$2:$R$599,16,FALSE)</f>
        <v>0.57999999999999996</v>
      </c>
      <c r="BN47">
        <f t="shared" si="47"/>
        <v>435.6</v>
      </c>
      <c r="BO47">
        <f t="shared" si="48"/>
        <v>382.79999999999995</v>
      </c>
      <c r="BP47" s="2" t="str">
        <f>VLOOKUP(A47,'[7]Table 2'!$J$2:$N$449,5,FALSE)</f>
        <v>Bid Awarded</v>
      </c>
      <c r="BR47">
        <f t="shared" si="23"/>
        <v>759.13448115382391</v>
      </c>
      <c r="BS47">
        <f t="shared" si="24"/>
        <v>681.48811591861374</v>
      </c>
      <c r="BT47">
        <f>(X47*I47*365*[5]Analysis!BK47)/10^4</f>
        <v>530.23146567581682</v>
      </c>
      <c r="BU47">
        <f>(W47*R47*365*[5]Analysis!BK47)/10^4</f>
        <v>475.9979312162975</v>
      </c>
      <c r="BV47">
        <f>(X47*I47*365*[5]Analysis!BL47)/10^4</f>
        <v>228.90301547800703</v>
      </c>
      <c r="BW47">
        <f>(W47*R47*365*[5]Analysis!BL47)/10^4</f>
        <v>205.49018470231627</v>
      </c>
      <c r="BX47">
        <f t="shared" si="25"/>
        <v>3958409.7075926773</v>
      </c>
      <c r="BY47">
        <f t="shared" si="26"/>
        <v>3553532.6620405032</v>
      </c>
      <c r="BZ47">
        <f t="shared" si="41"/>
        <v>15492050.425006375</v>
      </c>
      <c r="CA47">
        <f t="shared" si="27"/>
        <v>13710245.372575488</v>
      </c>
      <c r="CB47">
        <f t="shared" si="28"/>
        <v>-1575840.7915914028</v>
      </c>
      <c r="CC47">
        <f t="shared" si="29"/>
        <v>-1234198.4292000001</v>
      </c>
      <c r="CD47">
        <f t="shared" si="30"/>
        <v>-5614568.6583284372</v>
      </c>
      <c r="CE47">
        <f t="shared" si="31"/>
        <v>-4968813.8016000008</v>
      </c>
      <c r="CF47">
        <f t="shared" si="32"/>
        <v>9915496.965593515</v>
      </c>
      <c r="CG47">
        <f t="shared" si="33"/>
        <v>8775074.4840000011</v>
      </c>
      <c r="CH47">
        <f t="shared" si="34"/>
        <v>723554.58195177477</v>
      </c>
      <c r="CI47">
        <f t="shared" si="35"/>
        <v>640335.56481314078</v>
      </c>
      <c r="CJ47">
        <f t="shared" si="36"/>
        <v>-6043743.9446191443</v>
      </c>
      <c r="CK47">
        <f t="shared" si="37"/>
        <v>-5348627.8560000015</v>
      </c>
      <c r="CL47">
        <f t="shared" si="38"/>
        <v>2579961.6434574779</v>
      </c>
      <c r="CM47">
        <f t="shared" si="39"/>
        <v>2283229.5411677621</v>
      </c>
    </row>
    <row r="48" spans="1:91" x14ac:dyDescent="0.2">
      <c r="A48" s="2" t="s">
        <v>37</v>
      </c>
      <c r="B48" s="2" t="str">
        <f t="shared" si="46"/>
        <v>RAJPURA TPS</v>
      </c>
      <c r="C48" s="2" t="str">
        <f>VLOOKUP($A48,'[1]daily coal, energy reqd'!$C$2:$T$599,17,FALSE)</f>
        <v>Punjab</v>
      </c>
      <c r="D48" s="2" t="str">
        <f>VLOOKUP(C48,'Target PLF'!$I$2:$J$19,2,FALSE)</f>
        <v>NR</v>
      </c>
      <c r="E48" s="2" t="str">
        <f>VLOOKUP(A48,[2]Ownership!$C$2:$D$666,2,FALSE)</f>
        <v>PVT SECTOR</v>
      </c>
      <c r="F48" s="2" t="s">
        <v>543</v>
      </c>
      <c r="G48" s="12">
        <v>5.8425735797399003</v>
      </c>
      <c r="H48" s="2">
        <v>700</v>
      </c>
      <c r="I48" s="2">
        <f>VLOOKUP(A48,'[3]Calculated coal req (reg.)'!$A$2:$I$599,9,FALSE)</f>
        <v>12.553751259890999</v>
      </c>
      <c r="J48" s="2"/>
      <c r="K48" s="11">
        <v>0.74724709880303575</v>
      </c>
      <c r="L48" s="3">
        <f>VLOOKUP(F48,'Target PLF'!$A$2:$B$11,2,FALSE)</f>
        <v>0.85</v>
      </c>
      <c r="M48" s="3">
        <f t="shared" si="17"/>
        <v>0.10275290119696423</v>
      </c>
      <c r="N48" s="2" t="str">
        <f t="shared" si="0"/>
        <v>0.15</v>
      </c>
      <c r="O48" s="2">
        <f t="shared" si="49"/>
        <v>9.4960279279145379</v>
      </c>
      <c r="P48" s="2">
        <f t="shared" si="1"/>
        <v>2426235.1355821644</v>
      </c>
      <c r="Q48" s="2">
        <f t="shared" si="2"/>
        <v>10.925659868138261</v>
      </c>
      <c r="R48" s="2">
        <f t="shared" si="3"/>
        <v>14.28</v>
      </c>
      <c r="S48" s="2">
        <f t="shared" si="4"/>
        <v>2791506.0963093261</v>
      </c>
      <c r="T48" s="2" t="str">
        <f>VLOOKUP(A48,'[4]CEA vs MERIT comp. &amp; NPA marker'!$C$2:$K$735,9,FALSE)</f>
        <v>capacity not mentioned</v>
      </c>
      <c r="U48" s="3">
        <f>VLOOKUP(B48,'[8]Import-Domestic share'!$A$208:$F$406,6,FALSE)</f>
        <v>0.18617211707693215</v>
      </c>
      <c r="V48" s="3">
        <f t="shared" si="5"/>
        <v>451697.33171776909</v>
      </c>
      <c r="W48" s="2">
        <f t="shared" si="6"/>
        <v>2575.4208159700752</v>
      </c>
      <c r="X48" s="2">
        <f t="shared" si="7"/>
        <v>2609.3879658222372</v>
      </c>
      <c r="Y48" s="6">
        <f t="shared" si="8"/>
        <v>0.33392601110745729</v>
      </c>
      <c r="Z48" s="2">
        <f t="shared" si="18"/>
        <v>3190288.7703241459</v>
      </c>
      <c r="AA48" s="2">
        <f t="shared" si="19"/>
        <v>2841618.4284373461</v>
      </c>
      <c r="AB48" s="2" t="s">
        <v>598</v>
      </c>
      <c r="AC48" s="12">
        <f>VLOOKUP(B48,[9]Sheet1!$A$2:$B$137,2,FALSE)</f>
        <v>4207.6468129984778</v>
      </c>
      <c r="AD48" s="12">
        <f t="shared" si="9"/>
        <v>2945352.7690989343</v>
      </c>
      <c r="AE48" s="2"/>
      <c r="AF48" s="7">
        <f>VLOOKUP($B48,'[9]Subsidiary wise dispatch'!$A$3:$R$138,11,FALSE)*$H48*$O48*365</f>
        <v>70887.11696230511</v>
      </c>
      <c r="AG48" s="7">
        <f>VLOOKUP($B48,'[9]Subsidiary wise dispatch'!$A$3:$R$138,12,FALSE)*$H48*$O48*365</f>
        <v>47379.575574605435</v>
      </c>
      <c r="AH48" s="7">
        <f>VLOOKUP($B48,'[9]Subsidiary wise dispatch'!$A$3:$R$138,13,FALSE)*$H48*$O48*365</f>
        <v>0</v>
      </c>
      <c r="AI48" s="7">
        <f>VLOOKUP($B48,'[9]Subsidiary wise dispatch'!$A$3:$R$138,14,FALSE)*$H48*$O48*365</f>
        <v>0</v>
      </c>
      <c r="AJ48" s="7">
        <f>VLOOKUP($B48,'[9]Subsidiary wise dispatch'!$A$3:$R$138,15,FALSE)*$H48*$O48*365</f>
        <v>0</v>
      </c>
      <c r="AK48" s="7">
        <f>VLOOKUP($B48,'[9]Subsidiary wise dispatch'!$A$3:$R$138,16,FALSE)*$H48*$O48*365</f>
        <v>0</v>
      </c>
      <c r="AL48" s="7">
        <f>VLOOKUP($B48,'[9]Subsidiary wise dispatch'!$A$3:$R$138,17,FALSE)*$H48*$O48*365</f>
        <v>2307968.4430452539</v>
      </c>
      <c r="AM48" s="7">
        <f>VLOOKUP($B48,'[9]Subsidiary wise dispatch'!$A$3:$R$138,18,FALSE)*$H48*$O48*365</f>
        <v>0</v>
      </c>
      <c r="AN48" s="15">
        <f t="shared" si="10"/>
        <v>2426235.1355821644</v>
      </c>
      <c r="AO48" s="6">
        <v>5.271272326947618E-2</v>
      </c>
      <c r="AP48" s="11">
        <f t="shared" si="20"/>
        <v>0.66174241615647222</v>
      </c>
      <c r="AQ48" s="11">
        <f t="shared" si="11"/>
        <v>0.75273768828811982</v>
      </c>
      <c r="AR48" s="3">
        <f>VLOOKUP(A48,[10]Sheet1!$A$2:$L$542,12,FALSE)</f>
        <v>2.2599999999999998</v>
      </c>
      <c r="AS48" s="3">
        <f t="shared" si="43"/>
        <v>2.8336832605404498</v>
      </c>
      <c r="AT48" s="3">
        <f t="shared" si="40"/>
        <v>2.8302016276806032</v>
      </c>
      <c r="AU48" s="3">
        <f t="shared" si="12"/>
        <v>3.4816328598465951E-3</v>
      </c>
      <c r="AV48" s="88">
        <f t="shared" si="21"/>
        <v>7.5299381055159334E-2</v>
      </c>
      <c r="AW48" s="32">
        <f t="shared" si="22"/>
        <v>2.5344310422900057E-2</v>
      </c>
      <c r="AX48" s="12">
        <f t="shared" si="44"/>
        <v>1298.4274502781723</v>
      </c>
      <c r="AY48" s="12">
        <f t="shared" si="13"/>
        <v>1475.1576923796838</v>
      </c>
      <c r="AZ48" s="3">
        <f>VLOOKUP(A48,[5]Analysis!$A$3:$BJ$543,62,FALSE)</f>
        <v>1.1336693330705787</v>
      </c>
      <c r="BA48" s="2"/>
      <c r="BB48" s="2"/>
      <c r="BC48" s="2" t="str">
        <f>VLOOKUP(A48,'[6]FGD status - Jun 2020'!$I$2:$M$449,5,FALSE)</f>
        <v>Bid Awarded</v>
      </c>
      <c r="BD48" s="2"/>
      <c r="BE48" s="2"/>
      <c r="BF48" s="2">
        <f t="shared" si="14"/>
        <v>992.48173696571905</v>
      </c>
      <c r="BG48" s="2">
        <f t="shared" si="15"/>
        <v>1114.2605595835539</v>
      </c>
      <c r="BH48" s="2"/>
      <c r="BI48" s="2"/>
      <c r="BK48">
        <f t="shared" si="16"/>
        <v>523.07296916212499</v>
      </c>
      <c r="BL48">
        <f>VLOOKUP(A48,'[11]Daily coal vs energy req.2'!$C$2:$P$599,14,FALSE)</f>
        <v>0.69</v>
      </c>
      <c r="BM48">
        <f>VLOOKUP(A48,'[11]Daily coal vs energy req.2'!$C$2:$R$599,16,FALSE)</f>
        <v>0.81</v>
      </c>
      <c r="BN48">
        <f t="shared" si="47"/>
        <v>482.99999999999994</v>
      </c>
      <c r="BO48">
        <f t="shared" si="48"/>
        <v>567</v>
      </c>
      <c r="BP48" s="2" t="str">
        <f>VLOOKUP(A48,'[7]Table 2'!$J$2:$N$449,5,FALSE)</f>
        <v>Bid Awarded</v>
      </c>
      <c r="BR48">
        <f t="shared" si="23"/>
        <v>1355.4747677232783</v>
      </c>
      <c r="BS48">
        <f t="shared" si="24"/>
        <v>1521.7933156153344</v>
      </c>
      <c r="BT48">
        <f>(X48*I48*365*[5]Analysis!BK48)/10^4</f>
        <v>648.61331457872768</v>
      </c>
      <c r="BU48">
        <f>(W48*R48*365*[5]Analysis!BK48)/10^4</f>
        <v>728.19902667972235</v>
      </c>
      <c r="BV48">
        <f>(X48*I48*365*[5]Analysis!BL48)/10^4</f>
        <v>706.8614531445503</v>
      </c>
      <c r="BW48">
        <f>(W48*R48*365*[5]Analysis!BL48)/10^4</f>
        <v>793.59428893561187</v>
      </c>
      <c r="BX48">
        <f t="shared" si="25"/>
        <v>3357654.7650072454</v>
      </c>
      <c r="BY48">
        <f t="shared" si="26"/>
        <v>3769643.4483353989</v>
      </c>
      <c r="BZ48">
        <f t="shared" si="41"/>
        <v>26909279.291864719</v>
      </c>
      <c r="CA48">
        <f t="shared" si="27"/>
        <v>30609536.570598312</v>
      </c>
      <c r="CB48">
        <f t="shared" si="28"/>
        <v>-1011648.6760585748</v>
      </c>
      <c r="CC48">
        <f t="shared" si="29"/>
        <v>-1308998.334</v>
      </c>
      <c r="CD48">
        <f t="shared" si="30"/>
        <v>-4632891.6014557183</v>
      </c>
      <c r="CE48">
        <f t="shared" si="31"/>
        <v>-5269954.0319999997</v>
      </c>
      <c r="CF48">
        <f t="shared" si="32"/>
        <v>8181825.7842507707</v>
      </c>
      <c r="CG48">
        <f t="shared" si="33"/>
        <v>9306897.1799999997</v>
      </c>
      <c r="CH48">
        <f t="shared" si="34"/>
        <v>543092.05220819521</v>
      </c>
      <c r="CI48">
        <f t="shared" si="35"/>
        <v>617771.87909650884</v>
      </c>
      <c r="CJ48">
        <f t="shared" si="36"/>
        <v>-5289272.0183298746</v>
      </c>
      <c r="CK48">
        <f t="shared" si="37"/>
        <v>-6016592.4000000004</v>
      </c>
      <c r="CL48">
        <f t="shared" si="38"/>
        <v>1870774.9271406578</v>
      </c>
      <c r="CM48">
        <f t="shared" si="39"/>
        <v>2128022.5652487995</v>
      </c>
    </row>
    <row r="49" spans="1:91" x14ac:dyDescent="0.2">
      <c r="A49" s="2" t="s">
        <v>67</v>
      </c>
      <c r="B49" s="2" t="str">
        <f t="shared" si="46"/>
        <v>BARH II</v>
      </c>
      <c r="C49" s="2" t="str">
        <f>VLOOKUP($A49,'[1]daily coal, energy reqd'!$C$2:$T$599,17,FALSE)</f>
        <v>Bihar</v>
      </c>
      <c r="D49" s="2" t="str">
        <f>VLOOKUP(C49,'Target PLF'!$I$2:$J$19,2,FALSE)</f>
        <v>ER</v>
      </c>
      <c r="E49" s="2" t="str">
        <f>VLOOKUP(A49,[2]Ownership!$C$2:$D$666,2,FALSE)</f>
        <v>CENTRAL SECTOR</v>
      </c>
      <c r="F49" s="2" t="s">
        <v>543</v>
      </c>
      <c r="G49" s="12">
        <v>6.5051334702258696</v>
      </c>
      <c r="H49" s="2">
        <v>660</v>
      </c>
      <c r="I49" s="2">
        <f>VLOOKUP(A49,'[3]Calculated coal req (reg.)'!$A$2:$I$599,9,FALSE)</f>
        <v>12.1776629759299</v>
      </c>
      <c r="J49" s="2"/>
      <c r="K49" s="11">
        <v>0.76879185454102905</v>
      </c>
      <c r="L49" s="3">
        <f>VLOOKUP(F49,'Target PLF'!$A$2:$B$11,2,FALSE)</f>
        <v>0.85</v>
      </c>
      <c r="M49" s="3">
        <f t="shared" si="17"/>
        <v>8.1208145458970926E-2</v>
      </c>
      <c r="N49" s="2" t="str">
        <f t="shared" si="0"/>
        <v>0.15</v>
      </c>
      <c r="O49" s="2">
        <f t="shared" si="49"/>
        <v>10.914840262455105</v>
      </c>
      <c r="P49" s="2">
        <f t="shared" si="1"/>
        <v>2629385.0192254349</v>
      </c>
      <c r="Q49" s="2">
        <f t="shared" si="2"/>
        <v>12.044713552669405</v>
      </c>
      <c r="R49" s="2">
        <f t="shared" si="3"/>
        <v>13.464</v>
      </c>
      <c r="S49" s="2">
        <f t="shared" si="4"/>
        <v>2901571.4948380599</v>
      </c>
      <c r="T49" s="2" t="str">
        <f>VLOOKUP(A49,'[4]CEA vs MERIT comp. &amp; NPA marker'!$C$2:$K$735,9,FALSE)</f>
        <v>Contracted</v>
      </c>
      <c r="U49" s="3">
        <f>VLOOKUP(B49,'[8]Import-Domestic share'!$A$208:$F$406,6,FALSE)</f>
        <v>4.7535098469989852E-3</v>
      </c>
      <c r="V49" s="3">
        <f t="shared" si="5"/>
        <v>12498.807580439719</v>
      </c>
      <c r="W49" s="2">
        <f t="shared" si="6"/>
        <v>2576.6109803838604</v>
      </c>
      <c r="X49" s="2">
        <f t="shared" si="7"/>
        <v>2603.456054478007</v>
      </c>
      <c r="Y49" s="6">
        <f t="shared" si="8"/>
        <v>0.33377176707982448</v>
      </c>
      <c r="Z49" s="2">
        <f t="shared" si="18"/>
        <v>2954361.6279886207</v>
      </c>
      <c r="AA49" s="2">
        <f t="shared" si="19"/>
        <v>2699944.889754605</v>
      </c>
      <c r="AB49" s="2" t="s">
        <v>598</v>
      </c>
      <c r="AC49" s="12"/>
      <c r="AD49" s="12">
        <f t="shared" si="9"/>
        <v>0</v>
      </c>
      <c r="AE49" s="2"/>
      <c r="AF49" s="7"/>
      <c r="AG49" s="7"/>
      <c r="AH49" s="7"/>
      <c r="AI49" s="7"/>
      <c r="AJ49" s="7"/>
      <c r="AK49" s="7"/>
      <c r="AL49" s="7"/>
      <c r="AM49" s="7"/>
      <c r="AN49" s="15">
        <f t="shared" si="10"/>
        <v>0</v>
      </c>
      <c r="AO49" s="6">
        <v>7.8938602528921195E-2</v>
      </c>
      <c r="AP49" s="11">
        <f t="shared" si="20"/>
        <v>0.96128769738809006</v>
      </c>
      <c r="AQ49" s="11">
        <f t="shared" si="11"/>
        <v>1.062829344449395</v>
      </c>
      <c r="AR49" s="3">
        <f>VLOOKUP(A49,[10]Sheet1!$A$2:$L$542,12,FALSE)</f>
        <v>2.3142443367293999</v>
      </c>
      <c r="AS49" s="3">
        <f t="shared" si="43"/>
        <v>2.0336283111385618</v>
      </c>
      <c r="AT49" s="3">
        <f t="shared" si="40"/>
        <v>2.0308766910439116</v>
      </c>
      <c r="AU49" s="3">
        <f t="shared" si="12"/>
        <v>2.7516200946502423E-3</v>
      </c>
      <c r="AV49" s="88">
        <f t="shared" si="21"/>
        <v>5.9510953155243074E-2</v>
      </c>
      <c r="AW49" s="32">
        <f t="shared" si="22"/>
        <v>2.7910377107611736E-2</v>
      </c>
      <c r="AX49" s="12">
        <f t="shared" si="44"/>
        <v>903.91666698445442</v>
      </c>
      <c r="AY49" s="12">
        <f t="shared" si="13"/>
        <v>998.04591753985585</v>
      </c>
      <c r="AZ49" s="3">
        <f>VLOOKUP(A49,[5]Analysis!$A$3:$BJ$543,62,FALSE)</f>
        <v>0.65631703346837811</v>
      </c>
      <c r="BA49" s="2"/>
      <c r="BB49" s="2"/>
      <c r="BC49" s="2" t="str">
        <f>VLOOKUP(A49,'[6]FGD status - Jun 2020'!$I$2:$M$449,5,FALSE)</f>
        <v>Bid Awarded</v>
      </c>
      <c r="BD49" s="2"/>
      <c r="BE49" s="2"/>
      <c r="BF49" s="2">
        <f t="shared" si="14"/>
        <v>838.37433162184016</v>
      </c>
      <c r="BG49" s="2">
        <f t="shared" si="15"/>
        <v>917.37463406495328</v>
      </c>
      <c r="BH49" s="2"/>
      <c r="BI49" s="2"/>
      <c r="BK49">
        <f t="shared" si="16"/>
        <v>507.40262399707916</v>
      </c>
      <c r="BL49">
        <f>VLOOKUP(A49,'[11]Daily coal vs energy req.2'!$C$2:$P$599,14,FALSE)</f>
        <v>0.74</v>
      </c>
      <c r="BM49">
        <f>VLOOKUP(A49,'[11]Daily coal vs energy req.2'!$C$2:$R$599,16,FALSE)</f>
        <v>0.75</v>
      </c>
      <c r="BN49">
        <f t="shared" si="47"/>
        <v>488.4</v>
      </c>
      <c r="BO49">
        <f t="shared" si="48"/>
        <v>495</v>
      </c>
      <c r="BP49" s="2" t="str">
        <f>VLOOKUP(A49,'[7]Table 2'!$J$2:$N$449,5,FALSE)</f>
        <v>Bid Awarded</v>
      </c>
      <c r="BR49">
        <f t="shared" si="23"/>
        <v>759.48769509709473</v>
      </c>
      <c r="BS49">
        <f t="shared" si="24"/>
        <v>831.05448257068474</v>
      </c>
      <c r="BT49">
        <f>(X49*I49*365*[5]Analysis!BK49)/10^4</f>
        <v>459.85793162070058</v>
      </c>
      <c r="BU49">
        <f>(W49*R49*365*[5]Analysis!BK49)/10^4</f>
        <v>503.19050313278547</v>
      </c>
      <c r="BV49">
        <f>(X49*I49*365*[5]Analysis!BL49)/10^4</f>
        <v>299.62976347639415</v>
      </c>
      <c r="BW49">
        <f>(W49*R49*365*[5]Analysis!BL49)/10^4</f>
        <v>327.86397943789933</v>
      </c>
      <c r="BX49">
        <f t="shared" si="25"/>
        <v>3249661.0664179297</v>
      </c>
      <c r="BY49">
        <f t="shared" si="26"/>
        <v>3555877.7495885505</v>
      </c>
      <c r="BZ49">
        <f t="shared" si="41"/>
        <v>15111924.477593193</v>
      </c>
      <c r="CA49">
        <f t="shared" si="27"/>
        <v>16708210.070231296</v>
      </c>
      <c r="CB49">
        <f t="shared" si="28"/>
        <v>-1009635.6673177946</v>
      </c>
      <c r="CC49">
        <f t="shared" si="29"/>
        <v>-1234198.4292000001</v>
      </c>
      <c r="CD49">
        <f t="shared" si="30"/>
        <v>0</v>
      </c>
      <c r="CE49">
        <f t="shared" si="31"/>
        <v>0</v>
      </c>
      <c r="CF49">
        <f t="shared" si="32"/>
        <v>7936712.689752969</v>
      </c>
      <c r="CG49">
        <f t="shared" si="33"/>
        <v>8775074.4840000011</v>
      </c>
      <c r="CH49">
        <f t="shared" si="34"/>
        <v>586564.66825606686</v>
      </c>
      <c r="CI49">
        <f t="shared" si="35"/>
        <v>648523.99914579024</v>
      </c>
      <c r="CJ49">
        <f t="shared" si="36"/>
        <v>-4837625.3278400572</v>
      </c>
      <c r="CK49">
        <f t="shared" si="37"/>
        <v>-5348627.8560000015</v>
      </c>
      <c r="CL49">
        <f t="shared" si="38"/>
        <v>2717602.6171748154</v>
      </c>
      <c r="CM49">
        <f t="shared" si="39"/>
        <v>3004665.3212495949</v>
      </c>
    </row>
    <row r="50" spans="1:91" x14ac:dyDescent="0.2">
      <c r="A50" s="2" t="s">
        <v>46</v>
      </c>
      <c r="B50" s="2" t="str">
        <f t="shared" si="46"/>
        <v>RAJPURA TPS</v>
      </c>
      <c r="C50" s="2" t="str">
        <f>VLOOKUP($A50,'[1]daily coal, energy reqd'!$C$2:$T$599,17,FALSE)</f>
        <v>Punjab</v>
      </c>
      <c r="D50" s="2" t="str">
        <f>VLOOKUP(C50,'Target PLF'!$I$2:$J$19,2,FALSE)</f>
        <v>NR</v>
      </c>
      <c r="E50" s="2" t="str">
        <f>VLOOKUP(A50,[2]Ownership!$C$2:$D$666,2,FALSE)</f>
        <v>PVT SECTOR</v>
      </c>
      <c r="F50" s="2" t="s">
        <v>543</v>
      </c>
      <c r="G50" s="12">
        <v>6.3381245722108099</v>
      </c>
      <c r="H50" s="2">
        <v>700</v>
      </c>
      <c r="I50" s="2">
        <f>VLOOKUP(A50,'[3]Calculated coal req (reg.)'!$A$2:$I$599,9,FALSE)</f>
        <v>12.5968725721872</v>
      </c>
      <c r="J50" s="2"/>
      <c r="K50" s="11">
        <v>0.74981384358257142</v>
      </c>
      <c r="L50" s="3">
        <f>VLOOKUP(F50,'Target PLF'!$A$2:$B$11,2,FALSE)</f>
        <v>0.85</v>
      </c>
      <c r="M50" s="3">
        <f t="shared" si="17"/>
        <v>0.10018615641742856</v>
      </c>
      <c r="N50" s="2" t="str">
        <f t="shared" si="0"/>
        <v>0.15</v>
      </c>
      <c r="O50" s="2">
        <f t="shared" si="49"/>
        <v>9.5474363957421673</v>
      </c>
      <c r="P50" s="2">
        <f t="shared" si="1"/>
        <v>2439369.9991121236</v>
      </c>
      <c r="Q50" s="2">
        <f t="shared" si="2"/>
        <v>10.941356445824779</v>
      </c>
      <c r="R50" s="2">
        <f t="shared" si="3"/>
        <v>14.28</v>
      </c>
      <c r="S50" s="2">
        <f t="shared" si="4"/>
        <v>2795516.5719082314</v>
      </c>
      <c r="T50" s="2" t="str">
        <f>VLOOKUP(A50,'[4]CEA vs MERIT comp. &amp; NPA marker'!$C$2:$K$735,9,FALSE)</f>
        <v>capacity not mentioned</v>
      </c>
      <c r="U50" s="3">
        <f>VLOOKUP(B50,'[8]Import-Domestic share'!$A$208:$F$406,6,FALSE)</f>
        <v>0.18617211707693215</v>
      </c>
      <c r="V50" s="3">
        <f t="shared" si="5"/>
        <v>454142.67706865817</v>
      </c>
      <c r="W50" s="2">
        <f t="shared" si="6"/>
        <v>2579.2070916634352</v>
      </c>
      <c r="X50" s="2">
        <f t="shared" si="7"/>
        <v>2612.3257496137326</v>
      </c>
      <c r="Y50" s="6">
        <f t="shared" si="8"/>
        <v>0.33343580776421916</v>
      </c>
      <c r="Z50" s="2">
        <f t="shared" si="18"/>
        <v>3194978.9991018958</v>
      </c>
      <c r="AA50" s="2">
        <f t="shared" si="19"/>
        <v>2854589.4314116994</v>
      </c>
      <c r="AB50" s="2" t="s">
        <v>598</v>
      </c>
      <c r="AC50" s="12">
        <f>VLOOKUP(B50,[9]Sheet1!$A$2:$B$137,2,FALSE)</f>
        <v>4207.6468129984778</v>
      </c>
      <c r="AD50" s="12">
        <f t="shared" si="9"/>
        <v>2945352.7690989343</v>
      </c>
      <c r="AE50" s="2"/>
      <c r="AF50" s="7">
        <f>VLOOKUP($B50,'[9]Subsidiary wise dispatch'!$A$3:$R$138,11,FALSE)*$H50*$O50*365</f>
        <v>71270.877214424589</v>
      </c>
      <c r="AG50" s="7">
        <f>VLOOKUP($B50,'[9]Subsidiary wise dispatch'!$A$3:$R$138,12,FALSE)*$H50*$O50*365</f>
        <v>47636.073491956107</v>
      </c>
      <c r="AH50" s="7">
        <f>VLOOKUP($B50,'[9]Subsidiary wise dispatch'!$A$3:$R$138,13,FALSE)*$H50*$O50*365</f>
        <v>0</v>
      </c>
      <c r="AI50" s="7">
        <f>VLOOKUP($B50,'[9]Subsidiary wise dispatch'!$A$3:$R$138,14,FALSE)*$H50*$O50*365</f>
        <v>0</v>
      </c>
      <c r="AJ50" s="7">
        <f>VLOOKUP($B50,'[9]Subsidiary wise dispatch'!$A$3:$R$138,15,FALSE)*$H50*$O50*365</f>
        <v>0</v>
      </c>
      <c r="AK50" s="7">
        <f>VLOOKUP($B50,'[9]Subsidiary wise dispatch'!$A$3:$R$138,16,FALSE)*$H50*$O50*365</f>
        <v>0</v>
      </c>
      <c r="AL50" s="7">
        <f>VLOOKUP($B50,'[9]Subsidiary wise dispatch'!$A$3:$R$138,17,FALSE)*$H50*$O50*365</f>
        <v>2320463.0484057427</v>
      </c>
      <c r="AM50" s="7">
        <f>VLOOKUP($B50,'[9]Subsidiary wise dispatch'!$A$3:$R$138,18,FALSE)*$H50*$O50*365</f>
        <v>0</v>
      </c>
      <c r="AN50" s="15">
        <f t="shared" si="10"/>
        <v>2439369.9991121236</v>
      </c>
      <c r="AO50" s="6">
        <v>5.271272326947618E-2</v>
      </c>
      <c r="AP50" s="11">
        <f t="shared" si="20"/>
        <v>0.66401545795855854</v>
      </c>
      <c r="AQ50" s="11">
        <f t="shared" si="11"/>
        <v>0.75273768828811982</v>
      </c>
      <c r="AR50" s="3">
        <f>VLOOKUP(A50,[10]Sheet1!$A$2:$L$542,12,FALSE)</f>
        <v>2.2599999999999998</v>
      </c>
      <c r="AS50" s="3">
        <f t="shared" si="43"/>
        <v>2.8376536907028291</v>
      </c>
      <c r="AT50" s="3">
        <f t="shared" si="40"/>
        <v>2.8342590282629239</v>
      </c>
      <c r="AU50" s="3">
        <f t="shared" si="12"/>
        <v>3.3946624399052716E-3</v>
      </c>
      <c r="AV50" s="88">
        <f t="shared" si="21"/>
        <v>7.3418419145820007E-2</v>
      </c>
      <c r="AW50" s="32">
        <f t="shared" si="22"/>
        <v>2.4676639343038112E-2</v>
      </c>
      <c r="AX50" s="12">
        <f t="shared" si="44"/>
        <v>1304.7130110209789</v>
      </c>
      <c r="AY50" s="12">
        <f t="shared" si="13"/>
        <v>1477.272490711201</v>
      </c>
      <c r="AZ50" s="3">
        <f>VLOOKUP(A50,[5]Analysis!$A$3:$BJ$543,62,FALSE)</f>
        <v>1.1336693330705787</v>
      </c>
      <c r="BA50" s="2"/>
      <c r="BB50" s="2"/>
      <c r="BC50" s="2" t="str">
        <f>VLOOKUP(A50,'[6]FGD status - Jun 2020'!$I$2:$M$449,5,FALSE)</f>
        <v>Bid Awarded</v>
      </c>
      <c r="BD50" s="2"/>
      <c r="BE50" s="2"/>
      <c r="BF50" s="2">
        <f t="shared" si="14"/>
        <v>997.01207201469788</v>
      </c>
      <c r="BG50" s="2">
        <f t="shared" si="15"/>
        <v>1115.8986987360606</v>
      </c>
      <c r="BH50" s="2"/>
      <c r="BI50" s="2"/>
      <c r="BK50">
        <f t="shared" si="16"/>
        <v>524.86969050779999</v>
      </c>
      <c r="BL50">
        <f>VLOOKUP(A50,'[11]Daily coal vs energy req.2'!$C$2:$P$599,14,FALSE)</f>
        <v>0.72</v>
      </c>
      <c r="BM50">
        <f>VLOOKUP(A50,'[11]Daily coal vs energy req.2'!$C$2:$R$599,16,FALSE)</f>
        <v>0.76</v>
      </c>
      <c r="BN50">
        <f t="shared" si="47"/>
        <v>504</v>
      </c>
      <c r="BO50">
        <f t="shared" si="48"/>
        <v>532</v>
      </c>
      <c r="BP50" s="2" t="str">
        <f>VLOOKUP(A50,'[7]Table 2'!$J$2:$N$449,5,FALSE)</f>
        <v>Bid Awarded</v>
      </c>
      <c r="BR50">
        <f t="shared" si="23"/>
        <v>1361.6620401127905</v>
      </c>
      <c r="BS50">
        <f t="shared" si="24"/>
        <v>1524.0305923374542</v>
      </c>
      <c r="BT50">
        <f>(X50*I50*365*[5]Analysis!BK50)/10^4</f>
        <v>651.57400949413625</v>
      </c>
      <c r="BU50">
        <f>(W50*R50*365*[5]Analysis!BK50)/10^4</f>
        <v>729.26959435454603</v>
      </c>
      <c r="BV50">
        <f>(X50*I50*365*[5]Analysis!BL50)/10^4</f>
        <v>710.08803061865387</v>
      </c>
      <c r="BW50">
        <f>(W50*R50*365*[5]Analysis!BL50)/10^4</f>
        <v>794.76099798290761</v>
      </c>
      <c r="BX50">
        <f t="shared" si="25"/>
        <v>3372981.2949550785</v>
      </c>
      <c r="BY50">
        <f t="shared" si="26"/>
        <v>3775185.4200677695</v>
      </c>
      <c r="BZ50">
        <f t="shared" si="41"/>
        <v>27001710.901507773</v>
      </c>
      <c r="CA50">
        <f t="shared" si="27"/>
        <v>30609536.570598312</v>
      </c>
      <c r="CB50">
        <f t="shared" si="28"/>
        <v>-1018610.505988774</v>
      </c>
      <c r="CC50">
        <f t="shared" si="29"/>
        <v>-1308998.334</v>
      </c>
      <c r="CD50">
        <f t="shared" si="30"/>
        <v>-4648805.2802792815</v>
      </c>
      <c r="CE50">
        <f t="shared" si="31"/>
        <v>-5269954.0319999997</v>
      </c>
      <c r="CF50">
        <f t="shared" si="32"/>
        <v>8209929.8192512896</v>
      </c>
      <c r="CG50">
        <f t="shared" si="33"/>
        <v>9306897.1799999997</v>
      </c>
      <c r="CH50">
        <f t="shared" si="34"/>
        <v>591179.33457675437</v>
      </c>
      <c r="CI50">
        <f t="shared" si="35"/>
        <v>670169.58767967101</v>
      </c>
      <c r="CJ50">
        <f t="shared" si="36"/>
        <v>-5307440.3208396332</v>
      </c>
      <c r="CK50">
        <f t="shared" si="37"/>
        <v>-6016592.4000000004</v>
      </c>
      <c r="CL50">
        <f t="shared" si="38"/>
        <v>1877200.9163289948</v>
      </c>
      <c r="CM50">
        <f t="shared" si="39"/>
        <v>2128022.5652487995</v>
      </c>
    </row>
    <row r="51" spans="1:91" x14ac:dyDescent="0.2">
      <c r="A51" s="2" t="s">
        <v>57</v>
      </c>
      <c r="B51" s="2" t="str">
        <f t="shared" si="46"/>
        <v>TIRORA TPS</v>
      </c>
      <c r="C51" s="2" t="str">
        <f>VLOOKUP($A51,'[1]daily coal, energy reqd'!$C$2:$T$599,17,FALSE)</f>
        <v>Maharashtra</v>
      </c>
      <c r="D51" s="2" t="str">
        <f>VLOOKUP(C51,'Target PLF'!$I$2:$J$19,2,FALSE)</f>
        <v>WR</v>
      </c>
      <c r="E51" s="2" t="str">
        <f>VLOOKUP(A51,[2]Ownership!$C$2:$D$666,2,FALSE)</f>
        <v>PVT SECTOR</v>
      </c>
      <c r="F51" s="2" t="s">
        <v>543</v>
      </c>
      <c r="G51" s="12">
        <v>5.6728268309377103</v>
      </c>
      <c r="H51" s="2">
        <v>660</v>
      </c>
      <c r="I51" s="2">
        <f>VLOOKUP(A51,'[3]Calculated coal req (reg.)'!$A$2:$I$599,9,FALSE)</f>
        <v>11.562372339807499</v>
      </c>
      <c r="J51" s="2"/>
      <c r="K51" s="11">
        <v>0.72994774872522095</v>
      </c>
      <c r="L51" s="3">
        <f>VLOOKUP(F51,'Target PLF'!$A$2:$B$11,2,FALSE)</f>
        <v>0.85</v>
      </c>
      <c r="M51" s="3">
        <f t="shared" si="17"/>
        <v>0.12005225127477903</v>
      </c>
      <c r="N51" s="2" t="str">
        <f t="shared" si="0"/>
        <v>0.15</v>
      </c>
      <c r="O51" s="2">
        <f t="shared" si="49"/>
        <v>9.458276152208569</v>
      </c>
      <c r="P51" s="2">
        <f t="shared" si="1"/>
        <v>2278498.7250670441</v>
      </c>
      <c r="Q51" s="2">
        <f t="shared" si="2"/>
        <v>11.128599139869953</v>
      </c>
      <c r="R51" s="2">
        <f t="shared" si="3"/>
        <v>13.464</v>
      </c>
      <c r="S51" s="2">
        <f t="shared" si="4"/>
        <v>2680879.5327946721</v>
      </c>
      <c r="T51" s="2" t="str">
        <f>VLOOKUP(A51,'[4]CEA vs MERIT comp. &amp; NPA marker'!$C$2:$K$735,9,FALSE)</f>
        <v>Contracted</v>
      </c>
      <c r="U51" s="3">
        <f>VLOOKUP(B51,'[8]Import-Domestic share'!$A$208:$F$406,6,FALSE)</f>
        <v>4.5121823647374507E-2</v>
      </c>
      <c r="V51" s="3">
        <f t="shared" si="5"/>
        <v>102810.01765324283</v>
      </c>
      <c r="W51" s="2">
        <f t="shared" si="6"/>
        <v>2579.3529731198846</v>
      </c>
      <c r="X51" s="2">
        <f t="shared" si="7"/>
        <v>2619.0387898864901</v>
      </c>
      <c r="Y51" s="6">
        <f t="shared" si="8"/>
        <v>0.33341694950721601</v>
      </c>
      <c r="Z51" s="2">
        <f t="shared" si="18"/>
        <v>2981136.2032103208</v>
      </c>
      <c r="AA51" s="2">
        <f t="shared" si="19"/>
        <v>2599476.0450966447</v>
      </c>
      <c r="AB51" s="2" t="s">
        <v>598</v>
      </c>
      <c r="AC51" s="12">
        <f>VLOOKUP(B51,[9]Sheet1!$A$2:$B$137,2,FALSE)</f>
        <v>4252.0261447065277</v>
      </c>
      <c r="AD51" s="12">
        <f t="shared" si="9"/>
        <v>2806337.2555063083</v>
      </c>
      <c r="AE51" s="2"/>
      <c r="AF51" s="7">
        <f>VLOOKUP($B51,'[9]Subsidiary wise dispatch'!$A$3:$R$138,11,FALSE)*$H51*$O51*365</f>
        <v>0</v>
      </c>
      <c r="AG51" s="7">
        <f>VLOOKUP($B51,'[9]Subsidiary wise dispatch'!$A$3:$R$138,12,FALSE)*$H51*$O51*365</f>
        <v>0</v>
      </c>
      <c r="AH51" s="7">
        <f>VLOOKUP($B51,'[9]Subsidiary wise dispatch'!$A$3:$R$138,13,FALSE)*$H51*$O51*365</f>
        <v>0</v>
      </c>
      <c r="AI51" s="7">
        <f>VLOOKUP($B51,'[9]Subsidiary wise dispatch'!$A$3:$R$138,14,FALSE)*$H51*$O51*365</f>
        <v>125485.87598117297</v>
      </c>
      <c r="AJ51" s="7">
        <f>VLOOKUP($B51,'[9]Subsidiary wise dispatch'!$A$3:$R$138,15,FALSE)*$H51*$O51*365</f>
        <v>0</v>
      </c>
      <c r="AK51" s="7">
        <f>VLOOKUP($B51,'[9]Subsidiary wise dispatch'!$A$3:$R$138,16,FALSE)*$H51*$O51*365</f>
        <v>0</v>
      </c>
      <c r="AL51" s="7">
        <f>VLOOKUP($B51,'[9]Subsidiary wise dispatch'!$A$3:$R$138,17,FALSE)*$H51*$O51*365</f>
        <v>1605633.9729529193</v>
      </c>
      <c r="AM51" s="7">
        <f>VLOOKUP($B51,'[9]Subsidiary wise dispatch'!$A$3:$R$138,18,FALSE)*$H51*$O51*365</f>
        <v>547378.87613295205</v>
      </c>
      <c r="AN51" s="15">
        <f t="shared" si="10"/>
        <v>2278498.7250670446</v>
      </c>
      <c r="AO51" s="6">
        <v>5.508216674000762E-2</v>
      </c>
      <c r="AP51" s="11">
        <f t="shared" si="20"/>
        <v>0.63688052113132876</v>
      </c>
      <c r="AQ51" s="11">
        <f t="shared" si="11"/>
        <v>0.74162629298746263</v>
      </c>
      <c r="AR51" s="3">
        <f>VLOOKUP(A51,[10]Sheet1!$A$2:$L$542,12,FALSE)</f>
        <v>2.3944739905986698</v>
      </c>
      <c r="AS51" s="3">
        <f t="shared" si="43"/>
        <v>1.9955821357189047</v>
      </c>
      <c r="AT51" s="3">
        <f t="shared" si="40"/>
        <v>1.9915143395003279</v>
      </c>
      <c r="AU51" s="3">
        <f t="shared" si="12"/>
        <v>4.0677962185768912E-3</v>
      </c>
      <c r="AV51" s="88">
        <f t="shared" si="21"/>
        <v>8.7976690779183575E-2</v>
      </c>
      <c r="AW51" s="32">
        <f t="shared" si="22"/>
        <v>4.2047326972276519E-2</v>
      </c>
      <c r="AX51" s="12">
        <f t="shared" si="44"/>
        <v>842.1887246065337</v>
      </c>
      <c r="AY51" s="12">
        <f t="shared" si="13"/>
        <v>978.70184094668309</v>
      </c>
      <c r="AZ51" s="3">
        <f>VLOOKUP(A51,[5]Analysis!$A$3:$BJ$543,62,FALSE)</f>
        <v>0.67427920387380003</v>
      </c>
      <c r="BA51" s="2"/>
      <c r="BB51" s="2"/>
      <c r="BC51" s="2" t="str">
        <f>VLOOKUP(A51,'[6]FGD status - Jun 2020'!$I$2:$M$449,5,FALSE)</f>
        <v>NIT issued</v>
      </c>
      <c r="BD51" s="2"/>
      <c r="BE51" s="2"/>
      <c r="BF51" s="2">
        <f t="shared" si="14"/>
        <v>829.59164204957767</v>
      </c>
      <c r="BG51" s="2">
        <f t="shared" si="15"/>
        <v>951.3939098072151</v>
      </c>
      <c r="BH51" s="2"/>
      <c r="BI51" s="2"/>
      <c r="BK51">
        <f t="shared" si="16"/>
        <v>481.76551415864583</v>
      </c>
      <c r="BL51">
        <f>VLOOKUP(A51,'[11]Daily coal vs energy req.2'!$C$2:$P$599,14,FALSE)</f>
        <v>0.52</v>
      </c>
      <c r="BM51">
        <f>VLOOKUP(A51,'[11]Daily coal vs energy req.2'!$C$2:$R$599,16,FALSE)</f>
        <v>0.6</v>
      </c>
      <c r="BN51">
        <f t="shared" si="47"/>
        <v>343.2</v>
      </c>
      <c r="BO51">
        <f t="shared" si="48"/>
        <v>396</v>
      </c>
      <c r="BP51" s="2" t="str">
        <f>VLOOKUP(A51,'[7]Table 2'!$J$2:$N$449,5,FALSE)</f>
        <v>NIT issued</v>
      </c>
      <c r="BR51">
        <f t="shared" si="23"/>
        <v>745.28350832539036</v>
      </c>
      <c r="BS51">
        <f t="shared" si="24"/>
        <v>854.70749096355621</v>
      </c>
      <c r="BT51">
        <f>(X51*I51*365*[5]Analysis!BK51)/10^4</f>
        <v>462.10380714820457</v>
      </c>
      <c r="BU51">
        <f>(W51*R51*365*[5]Analysis!BK51)/10^4</f>
        <v>529.95079209495691</v>
      </c>
      <c r="BV51">
        <f>(X51*I51*365*[5]Analysis!BL51)/10^4</f>
        <v>283.1797011771859</v>
      </c>
      <c r="BW51">
        <f>(W51*R51*365*[5]Analysis!BL51)/10^4</f>
        <v>324.75669886859959</v>
      </c>
      <c r="BX51">
        <f t="shared" si="25"/>
        <v>3103935.9202593123</v>
      </c>
      <c r="BY51">
        <f t="shared" si="26"/>
        <v>3559661.8640838279</v>
      </c>
      <c r="BZ51">
        <f t="shared" si="41"/>
        <v>14741065.10834083</v>
      </c>
      <c r="CA51">
        <f t="shared" si="27"/>
        <v>17165482.548541185</v>
      </c>
      <c r="CB51">
        <f t="shared" si="28"/>
        <v>-910187.11856892658</v>
      </c>
      <c r="CC51">
        <f t="shared" si="29"/>
        <v>-1234198.4292000001</v>
      </c>
      <c r="CD51">
        <f t="shared" si="30"/>
        <v>-4267028.762720854</v>
      </c>
      <c r="CE51">
        <f t="shared" si="31"/>
        <v>-4968813.8016000008</v>
      </c>
      <c r="CF51">
        <f t="shared" si="32"/>
        <v>7535701.0170493294</v>
      </c>
      <c r="CG51">
        <f t="shared" si="33"/>
        <v>8775074.4840000011</v>
      </c>
      <c r="CH51">
        <f t="shared" si="34"/>
        <v>485671.04769745836</v>
      </c>
      <c r="CI51">
        <f t="shared" si="35"/>
        <v>565547.86457494833</v>
      </c>
      <c r="CJ51">
        <f t="shared" si="36"/>
        <v>-4593198.6614778889</v>
      </c>
      <c r="CK51">
        <f t="shared" si="37"/>
        <v>-5348627.8560000015</v>
      </c>
      <c r="CL51">
        <f t="shared" si="38"/>
        <v>1800489.255981196</v>
      </c>
      <c r="CM51">
        <f t="shared" si="39"/>
        <v>2096610.1618324479</v>
      </c>
    </row>
    <row r="52" spans="1:91" x14ac:dyDescent="0.2">
      <c r="A52" s="2" t="s">
        <v>76</v>
      </c>
      <c r="B52" s="2" t="str">
        <f t="shared" si="46"/>
        <v>SASAN UMPTPP</v>
      </c>
      <c r="C52" s="2" t="str">
        <f>VLOOKUP($A52,'[1]daily coal, energy reqd'!$C$2:$T$599,17,FALSE)</f>
        <v>Madhya Pradesh</v>
      </c>
      <c r="D52" s="2" t="str">
        <f>VLOOKUP(C52,'Target PLF'!$I$2:$J$19,2,FALSE)</f>
        <v>WR</v>
      </c>
      <c r="E52" s="2" t="str">
        <f>VLOOKUP(A52,[2]Ownership!$C$2:$D$666,2,FALSE)</f>
        <v>PVT SECTOR</v>
      </c>
      <c r="F52" s="2" t="s">
        <v>543</v>
      </c>
      <c r="G52" s="12">
        <v>7.0088980150581701</v>
      </c>
      <c r="H52" s="2">
        <v>660</v>
      </c>
      <c r="I52" s="2">
        <f>VLOOKUP(A52,'[3]Calculated coal req (reg.)'!$A$2:$I$599,9,FALSE)</f>
        <v>15.159753460494001</v>
      </c>
      <c r="J52" s="2"/>
      <c r="K52" s="11">
        <v>0.95705514270795466</v>
      </c>
      <c r="L52" s="3">
        <f>VLOOKUP(F52,'Target PLF'!$A$2:$B$11,2,FALSE)</f>
        <v>0.85</v>
      </c>
      <c r="M52" s="3">
        <f t="shared" si="17"/>
        <v>-0.10705514270795469</v>
      </c>
      <c r="N52" s="2" t="str">
        <f t="shared" si="0"/>
        <v>0.15</v>
      </c>
      <c r="O52" s="2">
        <f t="shared" si="49"/>
        <v>12.660409511665552</v>
      </c>
      <c r="P52" s="2">
        <f t="shared" si="1"/>
        <v>3049892.6513602319</v>
      </c>
      <c r="Q52" s="2">
        <f t="shared" si="2"/>
        <v>11.170919194626968</v>
      </c>
      <c r="R52" s="2">
        <f t="shared" si="3"/>
        <v>13.464</v>
      </c>
      <c r="S52" s="2">
        <f t="shared" si="4"/>
        <v>2691074.433985637</v>
      </c>
      <c r="T52" s="2" t="str">
        <f>VLOOKUP(A52,'[4]CEA vs MERIT comp. &amp; NPA marker'!$C$2:$K$735,9,FALSE)</f>
        <v>Contracted</v>
      </c>
      <c r="U52" s="3">
        <f>VLOOKUP(B52,'[8]Import-Domestic share'!$A$208:$F$406,6,FALSE)</f>
        <v>0</v>
      </c>
      <c r="V52" s="3">
        <f t="shared" si="5"/>
        <v>0</v>
      </c>
      <c r="W52" s="2">
        <f t="shared" si="6"/>
        <v>2579.3883066132785</v>
      </c>
      <c r="X52" s="2">
        <f t="shared" si="7"/>
        <v>2543.998959622139</v>
      </c>
      <c r="Y52" s="6">
        <f t="shared" si="8"/>
        <v>0.33341238222839542</v>
      </c>
      <c r="Z52" s="2">
        <f t="shared" si="18"/>
        <v>2957546.1312384582</v>
      </c>
      <c r="AA52" s="2">
        <f t="shared" si="19"/>
        <v>3284352.5236918046</v>
      </c>
      <c r="AB52" s="2" t="s">
        <v>598</v>
      </c>
      <c r="AC52" s="12"/>
      <c r="AD52" s="12">
        <f t="shared" si="9"/>
        <v>0</v>
      </c>
      <c r="AE52" s="2"/>
      <c r="AF52" s="7"/>
      <c r="AG52" s="7"/>
      <c r="AH52" s="7"/>
      <c r="AI52" s="7"/>
      <c r="AJ52" s="7"/>
      <c r="AK52" s="7"/>
      <c r="AL52" s="7"/>
      <c r="AM52" s="7"/>
      <c r="AN52" s="15">
        <f t="shared" si="10"/>
        <v>0</v>
      </c>
      <c r="AO52" s="6">
        <v>5.9985033260734698E-2</v>
      </c>
      <c r="AP52" s="11">
        <f t="shared" si="20"/>
        <v>0.90935831555227054</v>
      </c>
      <c r="AQ52" s="11">
        <f t="shared" si="11"/>
        <v>0.807638487822532</v>
      </c>
      <c r="AR52" s="3">
        <f>VLOOKUP(A52,[10]Sheet1!$A$2:$L$542,12,FALSE)</f>
        <v>1.3375862509674501</v>
      </c>
      <c r="AS52" s="3">
        <f t="shared" si="43"/>
        <v>1.7550162761694454</v>
      </c>
      <c r="AT52" s="3">
        <f t="shared" si="40"/>
        <v>1.7586436842360373</v>
      </c>
      <c r="AU52" s="3">
        <f t="shared" si="12"/>
        <v>-3.6274080665918973E-3</v>
      </c>
      <c r="AV52" s="88">
        <f t="shared" si="21"/>
        <v>-7.8452149679243355E-2</v>
      </c>
      <c r="AW52" s="32">
        <f t="shared" si="22"/>
        <v>4.2634785003798553E-2</v>
      </c>
      <c r="AX52" s="12">
        <f t="shared" si="44"/>
        <v>971.10491340473106</v>
      </c>
      <c r="AY52" s="12">
        <f t="shared" si="13"/>
        <v>864.26081760622128</v>
      </c>
      <c r="AZ52" s="3">
        <f>VLOOKUP(A52,[5]Analysis!$A$3:$BJ$543,62,FALSE)</f>
        <v>0.53855365315787762</v>
      </c>
      <c r="BA52" s="2"/>
      <c r="BB52" s="2"/>
      <c r="BC52" s="2" t="str">
        <f>VLOOKUP(A52,'[6]FGD status - Jun 2020'!$I$2:$M$449,5,FALSE)</f>
        <v>Bid Awarded</v>
      </c>
      <c r="BD52" s="2"/>
      <c r="BE52" s="2"/>
      <c r="BF52" s="2">
        <f t="shared" si="14"/>
        <v>1016.5071060826135</v>
      </c>
      <c r="BG52" s="2">
        <f t="shared" si="15"/>
        <v>915.36052761830274</v>
      </c>
      <c r="BH52" s="2"/>
      <c r="BI52" s="2"/>
      <c r="BK52">
        <f t="shared" si="16"/>
        <v>631.65639418725004</v>
      </c>
      <c r="BL52">
        <f>VLOOKUP(A52,'[11]Daily coal vs energy req.2'!$C$2:$P$599,14,FALSE)</f>
        <v>0.87</v>
      </c>
      <c r="BM52">
        <f>VLOOKUP(A52,'[11]Daily coal vs energy req.2'!$C$2:$R$599,16,FALSE)</f>
        <v>0.56000000000000005</v>
      </c>
      <c r="BN52">
        <f t="shared" si="47"/>
        <v>574.20000000000005</v>
      </c>
      <c r="BO52">
        <f t="shared" si="48"/>
        <v>369.6</v>
      </c>
      <c r="BP52" s="2" t="str">
        <f>VLOOKUP(A52,'[7]Table 2'!$J$2:$N$449,5,FALSE)</f>
        <v>Bid Awarded</v>
      </c>
      <c r="BR52">
        <f t="shared" si="23"/>
        <v>758.10770138393241</v>
      </c>
      <c r="BS52">
        <f t="shared" si="24"/>
        <v>682.67291136270433</v>
      </c>
      <c r="BT52">
        <f>(X52*I52*365*[5]Analysis!BK52)/10^4</f>
        <v>529.51429242676568</v>
      </c>
      <c r="BU52">
        <f>(W52*R52*365*[5]Analysis!BK52)/10^4</f>
        <v>476.82547342448618</v>
      </c>
      <c r="BV52">
        <f>(X52*I52*365*[5]Analysis!BL52)/10^4</f>
        <v>228.5934089571667</v>
      </c>
      <c r="BW52">
        <f>(W52*R52*365*[5]Analysis!BL52)/10^4</f>
        <v>205.84743793821818</v>
      </c>
      <c r="BX52">
        <f t="shared" si="25"/>
        <v>3953055.6957415482</v>
      </c>
      <c r="BY52">
        <f t="shared" si="26"/>
        <v>3559710.6264247219</v>
      </c>
      <c r="BZ52">
        <f t="shared" si="41"/>
        <v>15437012.754836831</v>
      </c>
      <c r="CA52">
        <f t="shared" si="27"/>
        <v>13710245.372575488</v>
      </c>
      <c r="CB52">
        <f t="shared" si="28"/>
        <v>-1564663.89220564</v>
      </c>
      <c r="CC52">
        <f t="shared" si="29"/>
        <v>-1234198.4292000001</v>
      </c>
      <c r="CD52">
        <f t="shared" si="30"/>
        <v>-5594622.1199759319</v>
      </c>
      <c r="CE52">
        <f t="shared" si="31"/>
        <v>-4968813.8016000008</v>
      </c>
      <c r="CF52">
        <f t="shared" si="32"/>
        <v>9880270.779479472</v>
      </c>
      <c r="CG52">
        <f t="shared" si="33"/>
        <v>8775074.4840000011</v>
      </c>
      <c r="CH52">
        <f t="shared" si="34"/>
        <v>786751.56718812545</v>
      </c>
      <c r="CI52">
        <f t="shared" si="35"/>
        <v>698746.39638603607</v>
      </c>
      <c r="CJ52">
        <f t="shared" si="36"/>
        <v>-6022272.7011950845</v>
      </c>
      <c r="CK52">
        <f t="shared" si="37"/>
        <v>-5348627.8560000015</v>
      </c>
      <c r="CL52">
        <f t="shared" si="38"/>
        <v>2570795.9698321531</v>
      </c>
      <c r="CM52">
        <f t="shared" si="39"/>
        <v>2283229.5411677621</v>
      </c>
    </row>
    <row r="53" spans="1:91" x14ac:dyDescent="0.2">
      <c r="A53" s="2" t="s">
        <v>54</v>
      </c>
      <c r="B53" s="2" t="str">
        <f t="shared" si="46"/>
        <v>KORADI TPS</v>
      </c>
      <c r="C53" s="2" t="str">
        <f>VLOOKUP($A53,'[1]daily coal, energy reqd'!$C$2:$T$599,17,FALSE)</f>
        <v>Maharashtra</v>
      </c>
      <c r="D53" s="2" t="str">
        <f>VLOOKUP(C53,'Target PLF'!$I$2:$J$19,2,FALSE)</f>
        <v>WR</v>
      </c>
      <c r="E53" s="2" t="str">
        <f>VLOOKUP(A53,[2]Ownership!$C$2:$D$666,2,FALSE)</f>
        <v>STATE SECTOR</v>
      </c>
      <c r="F53" s="2" t="s">
        <v>543</v>
      </c>
      <c r="G53" s="12">
        <v>5.1772758384667998</v>
      </c>
      <c r="H53" s="2">
        <v>660</v>
      </c>
      <c r="I53" s="2">
        <f>VLOOKUP(A53,'[3]Calculated coal req (reg.)'!$A$2:$I$599,9,FALSE)</f>
        <v>7.4267589461921304</v>
      </c>
      <c r="J53" s="2"/>
      <c r="K53" s="11">
        <v>0.46886104458283651</v>
      </c>
      <c r="L53" s="3">
        <f>VLOOKUP(F53,'Target PLF'!$A$2:$B$11,2,FALSE)</f>
        <v>0.85</v>
      </c>
      <c r="M53" s="3">
        <f t="shared" si="17"/>
        <v>0.38113895541716347</v>
      </c>
      <c r="N53" s="2" t="str">
        <f t="shared" si="0"/>
        <v>0.15</v>
      </c>
      <c r="O53" s="2">
        <f t="shared" si="49"/>
        <v>6.6997530337778146</v>
      </c>
      <c r="P53" s="2">
        <f t="shared" si="1"/>
        <v>1613970.5058370756</v>
      </c>
      <c r="Q53" s="2">
        <f t="shared" si="2"/>
        <v>12.002653662183436</v>
      </c>
      <c r="R53" s="2">
        <f t="shared" si="3"/>
        <v>13.464</v>
      </c>
      <c r="S53" s="2">
        <f t="shared" si="4"/>
        <v>2891439.26721999</v>
      </c>
      <c r="T53" s="2" t="str">
        <f>VLOOKUP(A53,'[4]CEA vs MERIT comp. &amp; NPA marker'!$C$2:$K$735,9,FALSE)</f>
        <v>Contracted</v>
      </c>
      <c r="U53" s="3">
        <f>VLOOKUP(B53,'[8]Import-Domestic share'!$A$208:$F$406,6,FALSE)</f>
        <v>7.1458891059498833E-2</v>
      </c>
      <c r="V53" s="3">
        <f t="shared" si="5"/>
        <v>115332.54254985579</v>
      </c>
      <c r="W53" s="2">
        <f t="shared" si="6"/>
        <v>2581.5045367621656</v>
      </c>
      <c r="X53" s="2">
        <f t="shared" si="7"/>
        <v>2707.498098621164</v>
      </c>
      <c r="Y53" s="6">
        <f t="shared" si="8"/>
        <v>0.33313906202878463</v>
      </c>
      <c r="Z53" s="2">
        <f t="shared" si="18"/>
        <v>3113517.1060416531</v>
      </c>
      <c r="AA53" s="2">
        <f t="shared" si="19"/>
        <v>1801240.689129509</v>
      </c>
      <c r="AB53" s="2" t="s">
        <v>598</v>
      </c>
      <c r="AC53" s="12">
        <f>VLOOKUP(B53,[9]Sheet1!$A$2:$B$137,2,FALSE)</f>
        <v>4074.6339921065437</v>
      </c>
      <c r="AD53" s="12">
        <f t="shared" si="9"/>
        <v>2689258.4347903188</v>
      </c>
      <c r="AE53" s="2"/>
      <c r="AF53" s="7">
        <f>VLOOKUP($B53,'[9]Subsidiary wise dispatch'!$A$3:$R$138,11,FALSE)*$H53*$O53*365</f>
        <v>0</v>
      </c>
      <c r="AG53" s="7">
        <f>VLOOKUP($B53,'[9]Subsidiary wise dispatch'!$A$3:$R$138,12,FALSE)*$H53*$O53*365</f>
        <v>0</v>
      </c>
      <c r="AH53" s="7">
        <f>VLOOKUP($B53,'[9]Subsidiary wise dispatch'!$A$3:$R$138,13,FALSE)*$H53*$O53*365</f>
        <v>0</v>
      </c>
      <c r="AI53" s="7">
        <f>VLOOKUP($B53,'[9]Subsidiary wise dispatch'!$A$3:$R$138,14,FALSE)*$H53*$O53*365</f>
        <v>255736.1512890475</v>
      </c>
      <c r="AJ53" s="7">
        <f>VLOOKUP($B53,'[9]Subsidiary wise dispatch'!$A$3:$R$138,15,FALSE)*$H53*$O53*365</f>
        <v>0</v>
      </c>
      <c r="AK53" s="7">
        <f>VLOOKUP($B53,'[9]Subsidiary wise dispatch'!$A$3:$R$138,16,FALSE)*$H53*$O53*365</f>
        <v>0</v>
      </c>
      <c r="AL53" s="7">
        <f>VLOOKUP($B53,'[9]Subsidiary wise dispatch'!$A$3:$R$138,17,FALSE)*$H53*$O53*365</f>
        <v>370256.81418209022</v>
      </c>
      <c r="AM53" s="7">
        <f>VLOOKUP($B53,'[9]Subsidiary wise dispatch'!$A$3:$R$138,18,FALSE)*$H53*$O53*365</f>
        <v>987977.54036593786</v>
      </c>
      <c r="AN53" s="15">
        <f t="shared" si="10"/>
        <v>1613970.5058370756</v>
      </c>
      <c r="AO53" s="6">
        <v>8.2497496941869752E-2</v>
      </c>
      <c r="AP53" s="11">
        <f t="shared" si="20"/>
        <v>0.61268902345148912</v>
      </c>
      <c r="AQ53" s="11">
        <f t="shared" si="11"/>
        <v>1.1107462988253345</v>
      </c>
      <c r="AR53" s="3">
        <f>VLOOKUP(A53,[10]Sheet1!$A$2:$L$542,12,FALSE)</f>
        <v>2.1859560439560699</v>
      </c>
      <c r="AS53" s="3">
        <f t="shared" si="43"/>
        <v>2.0398994979149987</v>
      </c>
      <c r="AT53" s="3">
        <f t="shared" si="40"/>
        <v>2.0269851578244515</v>
      </c>
      <c r="AU53" s="3">
        <f t="shared" si="12"/>
        <v>1.2914340090547149E-2</v>
      </c>
      <c r="AV53" s="88">
        <f t="shared" si="21"/>
        <v>0.27930624930880577</v>
      </c>
      <c r="AW53" s="32">
        <f t="shared" si="22"/>
        <v>0.13059070287067592</v>
      </c>
      <c r="AX53" s="12">
        <f t="shared" si="44"/>
        <v>552.96922735976636</v>
      </c>
      <c r="AY53" s="12">
        <f t="shared" si="13"/>
        <v>996.1334780206173</v>
      </c>
      <c r="AZ53" s="3">
        <f>VLOOKUP(A53,[5]Analysis!$A$3:$BJ$543,62,FALSE)</f>
        <v>0.653872465730303</v>
      </c>
      <c r="BA53" s="2"/>
      <c r="BB53" s="2"/>
      <c r="BC53" s="2" t="str">
        <f>VLOOKUP(A53,'[6]FGD status - Jun 2020'!$I$2:$M$449,5,FALSE)</f>
        <v>Bid opened</v>
      </c>
      <c r="BD53" s="2"/>
      <c r="BE53" s="2"/>
      <c r="BF53" s="2">
        <f t="shared" si="14"/>
        <v>584.97744512647103</v>
      </c>
      <c r="BG53" s="2">
        <f t="shared" si="15"/>
        <v>1011.1570835822132</v>
      </c>
      <c r="BH53" s="2"/>
      <c r="BI53" s="2"/>
      <c r="BK53">
        <f t="shared" si="16"/>
        <v>309.44828942467211</v>
      </c>
      <c r="BL53">
        <f>VLOOKUP(A53,'[11]Daily coal vs energy req.2'!$C$2:$P$599,14,FALSE)</f>
        <v>0.61</v>
      </c>
      <c r="BM53">
        <f>VLOOKUP(A53,'[11]Daily coal vs energy req.2'!$C$2:$R$599,16,FALSE)</f>
        <v>0.66</v>
      </c>
      <c r="BN53">
        <f t="shared" si="47"/>
        <v>402.59999999999997</v>
      </c>
      <c r="BO53">
        <f t="shared" si="48"/>
        <v>435.6</v>
      </c>
      <c r="BP53" s="2" t="str">
        <f>VLOOKUP(A53,'[7]Table 2'!$J$2:$N$449,5,FALSE)</f>
        <v>Bid opened</v>
      </c>
      <c r="BR53">
        <f t="shared" si="23"/>
        <v>479.90293125119723</v>
      </c>
      <c r="BS53">
        <f t="shared" si="24"/>
        <v>829.53155272782215</v>
      </c>
      <c r="BT53">
        <f>(X53*I53*365*[5]Analysis!BK53)/10^4</f>
        <v>335.02640452022894</v>
      </c>
      <c r="BU53">
        <f>(W53*R53*365*[5]Analysis!BK53)/10^4</f>
        <v>579.10663896531821</v>
      </c>
      <c r="BV53">
        <f>(X53*I53*365*[5]Analysis!BL53)/10^4</f>
        <v>144.87652673096824</v>
      </c>
      <c r="BW53">
        <f>(W53*R53*365*[5]Analysis!BL53)/10^4</f>
        <v>250.42491376250396</v>
      </c>
      <c r="BX53">
        <f t="shared" si="25"/>
        <v>2061063.4118876236</v>
      </c>
      <c r="BY53">
        <f t="shared" si="26"/>
        <v>3562631.151003994</v>
      </c>
      <c r="BZ53">
        <f t="shared" si="41"/>
        <v>9181941.5990138911</v>
      </c>
      <c r="CA53">
        <f t="shared" si="27"/>
        <v>16645977.415560085</v>
      </c>
      <c r="CB53">
        <f t="shared" si="28"/>
        <v>-375522.04687736125</v>
      </c>
      <c r="CC53">
        <f t="shared" si="29"/>
        <v>-1234198.4292000001</v>
      </c>
      <c r="CD53">
        <f t="shared" si="30"/>
        <v>0</v>
      </c>
      <c r="CE53">
        <f t="shared" si="31"/>
        <v>0</v>
      </c>
      <c r="CF53">
        <f t="shared" si="32"/>
        <v>4840341.8692475716</v>
      </c>
      <c r="CG53">
        <f t="shared" si="33"/>
        <v>8775074.4840000011</v>
      </c>
      <c r="CH53">
        <f t="shared" si="34"/>
        <v>284705.8361201848</v>
      </c>
      <c r="CI53">
        <f t="shared" si="35"/>
        <v>516144.31076796685</v>
      </c>
      <c r="CJ53">
        <f t="shared" si="36"/>
        <v>-2950309.6984106088</v>
      </c>
      <c r="CK53">
        <f t="shared" si="37"/>
        <v>-5348627.8560000015</v>
      </c>
      <c r="CL53">
        <f t="shared" si="38"/>
        <v>1732098.8276143917</v>
      </c>
      <c r="CM53">
        <f t="shared" si="39"/>
        <v>3140128.6596163684</v>
      </c>
    </row>
    <row r="54" spans="1:91" x14ac:dyDescent="0.2">
      <c r="A54" s="2" t="s">
        <v>64</v>
      </c>
      <c r="B54" s="2" t="str">
        <f t="shared" si="46"/>
        <v>TIRORA TPS</v>
      </c>
      <c r="C54" s="2" t="str">
        <f>VLOOKUP($A54,'[1]daily coal, energy reqd'!$C$2:$T$599,17,FALSE)</f>
        <v>Maharashtra</v>
      </c>
      <c r="D54" s="2" t="str">
        <f>VLOOKUP(C54,'Target PLF'!$I$2:$J$19,2,FALSE)</f>
        <v>WR</v>
      </c>
      <c r="E54" s="2" t="str">
        <f>VLOOKUP(A54,[2]Ownership!$C$2:$D$666,2,FALSE)</f>
        <v>PVT SECTOR</v>
      </c>
      <c r="F54" s="2" t="s">
        <v>543</v>
      </c>
      <c r="G54" s="12">
        <v>6.1765913757700197</v>
      </c>
      <c r="H54" s="2">
        <v>660</v>
      </c>
      <c r="I54" s="2">
        <f>VLOOKUP(A54,'[3]Calculated coal req (reg.)'!$A$2:$I$599,9,FALSE)</f>
        <v>11.0752459739358</v>
      </c>
      <c r="J54" s="2"/>
      <c r="K54" s="11">
        <v>0.69919482158685609</v>
      </c>
      <c r="L54" s="3">
        <f>VLOOKUP(F54,'Target PLF'!$A$2:$B$11,2,FALSE)</f>
        <v>0.85</v>
      </c>
      <c r="M54" s="3">
        <f t="shared" si="17"/>
        <v>0.15080517841314389</v>
      </c>
      <c r="N54" s="2" t="str">
        <f t="shared" si="0"/>
        <v>0.15</v>
      </c>
      <c r="O54" s="2">
        <f t="shared" si="49"/>
        <v>9.0463581930119208</v>
      </c>
      <c r="P54" s="2">
        <f t="shared" si="1"/>
        <v>2179267.6886965716</v>
      </c>
      <c r="Q54" s="2">
        <f t="shared" si="2"/>
        <v>11.144555881827516</v>
      </c>
      <c r="R54" s="2">
        <f t="shared" si="3"/>
        <v>13.464</v>
      </c>
      <c r="S54" s="2">
        <f t="shared" si="4"/>
        <v>2684723.5119322492</v>
      </c>
      <c r="T54" s="2" t="str">
        <f>VLOOKUP(A54,'[4]CEA vs MERIT comp. &amp; NPA marker'!$C$2:$K$735,9,FALSE)</f>
        <v>Contracted</v>
      </c>
      <c r="U54" s="3">
        <f>VLOOKUP(B54,'[8]Import-Domestic share'!$A$208:$F$406,6,FALSE)</f>
        <v>4.5121823647374507E-2</v>
      </c>
      <c r="V54" s="3">
        <f t="shared" si="5"/>
        <v>98332.53232978817</v>
      </c>
      <c r="W54" s="2">
        <f t="shared" si="6"/>
        <v>2583.2020047639639</v>
      </c>
      <c r="X54" s="2">
        <f t="shared" si="7"/>
        <v>2633.0538535582114</v>
      </c>
      <c r="Y54" s="6">
        <f t="shared" si="8"/>
        <v>0.33292015042338169</v>
      </c>
      <c r="Z54" s="2">
        <f t="shared" si="18"/>
        <v>2985584.7946598222</v>
      </c>
      <c r="AA54" s="2">
        <f t="shared" si="19"/>
        <v>2503283.636057734</v>
      </c>
      <c r="AB54" s="2" t="s">
        <v>598</v>
      </c>
      <c r="AC54" s="12">
        <f>VLOOKUP(B54,[9]Sheet1!$A$2:$B$137,2,FALSE)</f>
        <v>4252.0261447065277</v>
      </c>
      <c r="AD54" s="12">
        <f t="shared" si="9"/>
        <v>2806337.2555063083</v>
      </c>
      <c r="AE54" s="2"/>
      <c r="AF54" s="7">
        <f>VLOOKUP($B54,'[9]Subsidiary wise dispatch'!$A$3:$R$138,11,FALSE)*$H54*$O54*365</f>
        <v>0</v>
      </c>
      <c r="AG54" s="7">
        <f>VLOOKUP($B54,'[9]Subsidiary wise dispatch'!$A$3:$R$138,12,FALSE)*$H54*$O54*365</f>
        <v>0</v>
      </c>
      <c r="AH54" s="7">
        <f>VLOOKUP($B54,'[9]Subsidiary wise dispatch'!$A$3:$R$138,13,FALSE)*$H54*$O54*365</f>
        <v>0</v>
      </c>
      <c r="AI54" s="7">
        <f>VLOOKUP($B54,'[9]Subsidiary wise dispatch'!$A$3:$R$138,14,FALSE)*$H54*$O54*365</f>
        <v>120020.83297435629</v>
      </c>
      <c r="AJ54" s="7">
        <f>VLOOKUP($B54,'[9]Subsidiary wise dispatch'!$A$3:$R$138,15,FALSE)*$H54*$O54*365</f>
        <v>0</v>
      </c>
      <c r="AK54" s="7">
        <f>VLOOKUP($B54,'[9]Subsidiary wise dispatch'!$A$3:$R$138,16,FALSE)*$H54*$O54*365</f>
        <v>0</v>
      </c>
      <c r="AL54" s="7">
        <f>VLOOKUP($B54,'[9]Subsidiary wise dispatch'!$A$3:$R$138,17,FALSE)*$H54*$O54*365</f>
        <v>1535706.9102712981</v>
      </c>
      <c r="AM54" s="7">
        <f>VLOOKUP($B54,'[9]Subsidiary wise dispatch'!$A$3:$R$138,18,FALSE)*$H54*$O54*365</f>
        <v>523539.94545091753</v>
      </c>
      <c r="AN54" s="15">
        <f t="shared" si="10"/>
        <v>2179267.6886965721</v>
      </c>
      <c r="AO54" s="6">
        <v>5.508216674000762E-2</v>
      </c>
      <c r="AP54" s="11">
        <f t="shared" si="20"/>
        <v>0.61004854542292986</v>
      </c>
      <c r="AQ54" s="11">
        <f t="shared" si="11"/>
        <v>0.74162629298746263</v>
      </c>
      <c r="AR54" s="3">
        <f>VLOOKUP(A54,[10]Sheet1!$A$2:$L$542,12,FALSE)</f>
        <v>2.3944739905986698</v>
      </c>
      <c r="AS54" s="3">
        <f t="shared" si="43"/>
        <v>2.000748804317467</v>
      </c>
      <c r="AT54" s="3">
        <f t="shared" si="40"/>
        <v>1.9956389898160567</v>
      </c>
      <c r="AU54" s="3">
        <f t="shared" si="12"/>
        <v>5.109814501410348E-3</v>
      </c>
      <c r="AV54" s="88">
        <f t="shared" si="21"/>
        <v>0.11051305084472011</v>
      </c>
      <c r="AW54" s="32">
        <f t="shared" si="22"/>
        <v>5.2681893956831274E-2</v>
      </c>
      <c r="AX54" s="12">
        <f t="shared" si="44"/>
        <v>808.79565760539708</v>
      </c>
      <c r="AY54" s="12">
        <f t="shared" si="13"/>
        <v>980.72884259924376</v>
      </c>
      <c r="AZ54" s="3">
        <f>VLOOKUP(A54,[5]Analysis!$A$3:$BJ$543,62,FALSE)</f>
        <v>0.67427920387380003</v>
      </c>
      <c r="BA54" s="2"/>
      <c r="BB54" s="2"/>
      <c r="BC54" s="2" t="str">
        <f>VLOOKUP(A54,'[6]FGD status - Jun 2020'!$I$2:$M$449,5,FALSE)</f>
        <v>NIT issued</v>
      </c>
      <c r="BD54" s="2"/>
      <c r="BE54" s="2"/>
      <c r="BF54" s="2">
        <f t="shared" si="14"/>
        <v>798.89298694259128</v>
      </c>
      <c r="BG54" s="2">
        <f t="shared" si="15"/>
        <v>952.8136244810089</v>
      </c>
      <c r="BH54" s="2"/>
      <c r="BI54" s="2"/>
      <c r="BK54">
        <f t="shared" si="16"/>
        <v>461.468582247325</v>
      </c>
      <c r="BL54">
        <f>VLOOKUP(A54,'[11]Daily coal vs energy req.2'!$C$2:$P$599,14,FALSE)</f>
        <v>0.55000000000000004</v>
      </c>
      <c r="BM54">
        <f>VLOOKUP(A54,'[11]Daily coal vs energy req.2'!$C$2:$R$599,16,FALSE)</f>
        <v>0.57999999999999996</v>
      </c>
      <c r="BN54">
        <f t="shared" si="47"/>
        <v>363.00000000000006</v>
      </c>
      <c r="BO54">
        <f t="shared" si="48"/>
        <v>382.79999999999995</v>
      </c>
      <c r="BP54" s="2" t="str">
        <f>VLOOKUP(A54,'[7]Table 2'!$J$2:$N$449,5,FALSE)</f>
        <v>NIT issued</v>
      </c>
      <c r="BR54">
        <f t="shared" si="23"/>
        <v>717.70463672239191</v>
      </c>
      <c r="BS54">
        <f t="shared" si="24"/>
        <v>855.9829256223386</v>
      </c>
      <c r="BT54">
        <f>(X54*I54*365*[5]Analysis!BK54)/10^4</f>
        <v>445.00386944364857</v>
      </c>
      <c r="BU54">
        <f>(W54*R54*365*[5]Analysis!BK54)/10^4</f>
        <v>530.74160955570608</v>
      </c>
      <c r="BV54">
        <f>(X54*I54*365*[5]Analysis!BL54)/10^4</f>
        <v>272.70076727874346</v>
      </c>
      <c r="BW54">
        <f>(W54*R54*365*[5]Analysis!BL54)/10^4</f>
        <v>325.24131606663281</v>
      </c>
      <c r="BX54">
        <f t="shared" si="25"/>
        <v>2989076.2068046145</v>
      </c>
      <c r="BY54">
        <f t="shared" si="26"/>
        <v>3564973.7586945565</v>
      </c>
      <c r="BZ54">
        <f t="shared" si="41"/>
        <v>14120019.421152407</v>
      </c>
      <c r="CA54">
        <f t="shared" si="27"/>
        <v>17165482.548541185</v>
      </c>
      <c r="CB54">
        <f t="shared" si="28"/>
        <v>-835109.73086252552</v>
      </c>
      <c r="CC54">
        <f t="shared" si="29"/>
        <v>-1234198.4292000001</v>
      </c>
      <c r="CD54">
        <f t="shared" si="30"/>
        <v>-4087257.5053035528</v>
      </c>
      <c r="CE54">
        <f t="shared" si="31"/>
        <v>-4968813.8016000008</v>
      </c>
      <c r="CF54">
        <f t="shared" si="32"/>
        <v>7218219.5744138276</v>
      </c>
      <c r="CG54">
        <f t="shared" si="33"/>
        <v>8775074.4840000011</v>
      </c>
      <c r="CH54">
        <f t="shared" si="34"/>
        <v>506521.62158631394</v>
      </c>
      <c r="CI54">
        <f t="shared" si="35"/>
        <v>615770.26181519509</v>
      </c>
      <c r="CJ54">
        <f t="shared" si="36"/>
        <v>-4399685.7641298929</v>
      </c>
      <c r="CK54">
        <f t="shared" si="37"/>
        <v>-5348627.8560000015</v>
      </c>
      <c r="CL54">
        <f t="shared" si="38"/>
        <v>1724634.0800466212</v>
      </c>
      <c r="CM54">
        <f t="shared" si="39"/>
        <v>2096610.1618324479</v>
      </c>
    </row>
    <row r="55" spans="1:91" x14ac:dyDescent="0.2">
      <c r="A55" s="2" t="s">
        <v>85</v>
      </c>
      <c r="B55" s="2" t="str">
        <f t="shared" si="46"/>
        <v>SIPAT STPS</v>
      </c>
      <c r="C55" s="2" t="str">
        <f>VLOOKUP($A55,'[1]daily coal, energy reqd'!$C$2:$T$599,17,FALSE)</f>
        <v>Chhatisgarh</v>
      </c>
      <c r="D55" s="2" t="str">
        <f>VLOOKUP(C55,'Target PLF'!$I$2:$J$19,2,FALSE)</f>
        <v>WR</v>
      </c>
      <c r="E55" s="2" t="str">
        <f>VLOOKUP(A55,[2]Ownership!$C$2:$D$666,2,FALSE)</f>
        <v>CENTRAL SECTOR</v>
      </c>
      <c r="F55" s="2" t="s">
        <v>543</v>
      </c>
      <c r="G55" s="12">
        <v>7.7563312799452397</v>
      </c>
      <c r="H55" s="2">
        <v>660</v>
      </c>
      <c r="I55" s="2">
        <f>VLOOKUP(A55,'[3]Calculated coal req (reg.)'!$A$2:$I$599,9,FALSE)</f>
        <v>13.421149081872199</v>
      </c>
      <c r="J55" s="2"/>
      <c r="K55" s="11">
        <v>0.84729476526970959</v>
      </c>
      <c r="L55" s="3">
        <f>VLOOKUP(F55,'Target PLF'!$A$2:$B$11,2,FALSE)</f>
        <v>0.85</v>
      </c>
      <c r="M55" s="3">
        <f t="shared" si="17"/>
        <v>2.7052347302903845E-3</v>
      </c>
      <c r="N55" s="2" t="str">
        <f t="shared" si="0"/>
        <v>0.15</v>
      </c>
      <c r="O55" s="2">
        <f t="shared" si="49"/>
        <v>12.046706500919313</v>
      </c>
      <c r="P55" s="2">
        <f t="shared" si="1"/>
        <v>2902051.5960714626</v>
      </c>
      <c r="Q55" s="2">
        <f t="shared" si="2"/>
        <v>12.084345243292265</v>
      </c>
      <c r="R55" s="2">
        <f t="shared" si="3"/>
        <v>13.464</v>
      </c>
      <c r="S55" s="2">
        <f t="shared" si="4"/>
        <v>2911118.7691091066</v>
      </c>
      <c r="T55" s="2" t="str">
        <f>VLOOKUP(A55,'[4]CEA vs MERIT comp. &amp; NPA marker'!$C$2:$K$735,9,FALSE)</f>
        <v>Contracted</v>
      </c>
      <c r="U55" s="3">
        <f>VLOOKUP(B55,'[8]Import-Domestic share'!$A$208:$F$406,6,FALSE)</f>
        <v>2.9815102260802168E-3</v>
      </c>
      <c r="V55" s="3">
        <f t="shared" si="5"/>
        <v>8652.4965102994793</v>
      </c>
      <c r="W55" s="2">
        <f t="shared" si="6"/>
        <v>2585.7712963056056</v>
      </c>
      <c r="X55" s="2">
        <f t="shared" si="7"/>
        <v>2586.6655689966797</v>
      </c>
      <c r="Y55" s="6">
        <f t="shared" si="8"/>
        <v>0.33258935205472978</v>
      </c>
      <c r="Z55" s="2">
        <f t="shared" si="18"/>
        <v>3025953.3306646324</v>
      </c>
      <c r="AA55" s="2">
        <f t="shared" si="19"/>
        <v>3017366.0197836356</v>
      </c>
      <c r="AB55" s="2" t="s">
        <v>598</v>
      </c>
      <c r="AC55" s="12">
        <f>VLOOKUP(B55,[9]Sheet1!$A$2:$B$137,2,FALSE)</f>
        <v>4199.473567201816</v>
      </c>
      <c r="AD55" s="12">
        <f t="shared" si="9"/>
        <v>2771652.5543531985</v>
      </c>
      <c r="AE55" s="2" t="s">
        <v>589</v>
      </c>
      <c r="AF55" s="7">
        <f>VLOOKUP($B55,'[9]Subsidiary wise dispatch'!$A$3:$R$138,11,FALSE)*$H55*$O55*365</f>
        <v>0</v>
      </c>
      <c r="AG55" s="7">
        <f>VLOOKUP($B55,'[9]Subsidiary wise dispatch'!$A$3:$R$138,12,FALSE)*$H55*$O55*365</f>
        <v>0</v>
      </c>
      <c r="AH55" s="7">
        <f>VLOOKUP($B55,'[9]Subsidiary wise dispatch'!$A$3:$R$138,13,FALSE)*$H55*$O55*365</f>
        <v>0</v>
      </c>
      <c r="AI55" s="7">
        <f>VLOOKUP($B55,'[9]Subsidiary wise dispatch'!$A$3:$R$138,14,FALSE)*$H55*$O55*365</f>
        <v>0</v>
      </c>
      <c r="AJ55" s="7">
        <f>VLOOKUP($B55,'[9]Subsidiary wise dispatch'!$A$3:$R$138,15,FALSE)*$H55*$O55*365</f>
        <v>2299.9139454066594</v>
      </c>
      <c r="AK55" s="7">
        <f>VLOOKUP($B55,'[9]Subsidiary wise dispatch'!$A$3:$R$138,16,FALSE)*$H55*$O55*365</f>
        <v>0</v>
      </c>
      <c r="AL55" s="7">
        <f>VLOOKUP($B55,'[9]Subsidiary wise dispatch'!$A$3:$R$138,17,FALSE)*$H55*$O55*365</f>
        <v>2899751.6821260559</v>
      </c>
      <c r="AM55" s="7">
        <f>VLOOKUP($B55,'[9]Subsidiary wise dispatch'!$A$3:$R$138,18,FALSE)*$H55*$O55*365</f>
        <v>0</v>
      </c>
      <c r="AN55" s="15">
        <f t="shared" si="10"/>
        <v>2902051.5960714626</v>
      </c>
      <c r="AO55" s="6">
        <v>5.4595359838897593E-2</v>
      </c>
      <c r="AP55" s="11">
        <f t="shared" si="20"/>
        <v>0.73273246357630284</v>
      </c>
      <c r="AQ55" s="11">
        <f t="shared" si="11"/>
        <v>0.73507192487091721</v>
      </c>
      <c r="AR55" s="3">
        <f>VLOOKUP(A55,[10]Sheet1!$A$2:$L$542,12,FALSE)</f>
        <v>1.3472208353353701</v>
      </c>
      <c r="AS55" s="3">
        <f t="shared" si="43"/>
        <v>1.5502389061794675</v>
      </c>
      <c r="AT55" s="3">
        <f t="shared" si="40"/>
        <v>1.5501472432286325</v>
      </c>
      <c r="AU55" s="3">
        <f t="shared" si="12"/>
        <v>9.1662950834958679E-5</v>
      </c>
      <c r="AV55" s="88">
        <f t="shared" si="21"/>
        <v>1.9824501150513996E-3</v>
      </c>
      <c r="AW55" s="32">
        <f t="shared" si="22"/>
        <v>1.2196746944483853E-3</v>
      </c>
      <c r="AX55" s="12">
        <f t="shared" si="44"/>
        <v>759.41854274088905</v>
      </c>
      <c r="AY55" s="12">
        <f t="shared" si="13"/>
        <v>761.79816062330633</v>
      </c>
      <c r="AZ55" s="3">
        <f>VLOOKUP(A55,[5]Analysis!$A$3:$BJ$543,62,FALSE)</f>
        <v>0.43306930504238034</v>
      </c>
      <c r="BA55" s="2"/>
      <c r="BB55" s="2"/>
      <c r="BC55" s="2" t="str">
        <f>VLOOKUP(A55,'[6]FGD status - Jun 2020'!$I$2:$M$449,5,FALSE)</f>
        <v>Bid Awarded</v>
      </c>
      <c r="BD55" s="2"/>
      <c r="BE55" s="2"/>
      <c r="BF55" s="2">
        <f t="shared" si="14"/>
        <v>935.79639443575365</v>
      </c>
      <c r="BG55" s="2">
        <f t="shared" si="15"/>
        <v>938.45963598737387</v>
      </c>
      <c r="BH55" s="2"/>
      <c r="BI55" s="2"/>
      <c r="BK55">
        <f t="shared" si="16"/>
        <v>559.21454507800831</v>
      </c>
      <c r="BL55">
        <f>VLOOKUP(A55,'[11]Daily coal vs energy req.2'!$C$2:$P$599,14,FALSE)</f>
        <v>0.53</v>
      </c>
      <c r="BM55">
        <f>VLOOKUP(A55,'[11]Daily coal vs energy req.2'!$C$2:$R$599,16,FALSE)</f>
        <v>0.65</v>
      </c>
      <c r="BN55">
        <f t="shared" si="47"/>
        <v>349.8</v>
      </c>
      <c r="BO55">
        <f t="shared" si="48"/>
        <v>429</v>
      </c>
      <c r="BP55" s="2" t="str">
        <f>VLOOKUP(A55,'[7]Table 2'!$J$2:$N$449,5,FALSE)</f>
        <v>Bid Awarded</v>
      </c>
      <c r="BR55">
        <f t="shared" si="23"/>
        <v>548.75722372378812</v>
      </c>
      <c r="BS55">
        <f t="shared" si="24"/>
        <v>550.3189662659297</v>
      </c>
      <c r="BT55">
        <f>(X55*I55*365*[5]Analysis!BK55)/10^4</f>
        <v>488.48979239293027</v>
      </c>
      <c r="BU55">
        <f>(W55*R55*365*[5]Analysis!BK55)/10^4</f>
        <v>489.88001607874361</v>
      </c>
      <c r="BV55">
        <f>(X55*I55*365*[5]Analysis!BL55)/10^4</f>
        <v>60.267431330857683</v>
      </c>
      <c r="BW55">
        <f>(W55*R55*365*[5]Analysis!BL55)/10^4</f>
        <v>60.438950187185988</v>
      </c>
      <c r="BX55">
        <f t="shared" si="25"/>
        <v>3558392.4832111471</v>
      </c>
      <c r="BY55">
        <f t="shared" si="26"/>
        <v>3568519.5351795144</v>
      </c>
      <c r="BZ55">
        <f t="shared" si="41"/>
        <v>10989786.409728942</v>
      </c>
      <c r="CA55">
        <f t="shared" si="27"/>
        <v>11024874.496062877</v>
      </c>
      <c r="CB55">
        <f t="shared" si="28"/>
        <v>-1226354.9388955927</v>
      </c>
      <c r="CC55">
        <f t="shared" si="29"/>
        <v>-1234198.4292000001</v>
      </c>
      <c r="CD55">
        <f t="shared" si="30"/>
        <v>0</v>
      </c>
      <c r="CE55">
        <f t="shared" si="31"/>
        <v>0</v>
      </c>
      <c r="CF55">
        <f t="shared" si="32"/>
        <v>8747146.6766411737</v>
      </c>
      <c r="CG55">
        <f t="shared" si="33"/>
        <v>8775074.4840000011</v>
      </c>
      <c r="CH55">
        <f t="shared" si="34"/>
        <v>770800.14538331353</v>
      </c>
      <c r="CI55">
        <f t="shared" si="35"/>
        <v>773261.14881314128</v>
      </c>
      <c r="CJ55">
        <f t="shared" si="36"/>
        <v>-5331605.1573700598</v>
      </c>
      <c r="CK55">
        <f t="shared" si="37"/>
        <v>-5348627.8560000015</v>
      </c>
      <c r="CL55">
        <f t="shared" si="38"/>
        <v>2071466.914758605</v>
      </c>
      <c r="CM55">
        <f t="shared" si="39"/>
        <v>2078080.6747747769</v>
      </c>
    </row>
    <row r="56" spans="1:91" x14ac:dyDescent="0.2">
      <c r="A56" s="2" t="s">
        <v>92</v>
      </c>
      <c r="B56" s="2" t="str">
        <f t="shared" si="46"/>
        <v>MAHATMA GANDHI TPS</v>
      </c>
      <c r="C56" s="2" t="str">
        <f>VLOOKUP($A56,'[1]daily coal, energy reqd'!$C$2:$T$599,17,FALSE)</f>
        <v>Haryana</v>
      </c>
      <c r="D56" s="2" t="str">
        <f>VLOOKUP(C56,'Target PLF'!$I$2:$J$19,2,FALSE)</f>
        <v>NR</v>
      </c>
      <c r="E56" s="2" t="str">
        <f>VLOOKUP(A56,[2]Ownership!$C$2:$D$666,2,FALSE)</f>
        <v>PVT SECTOR</v>
      </c>
      <c r="F56" s="2" t="s">
        <v>543</v>
      </c>
      <c r="G56" s="12">
        <v>8.0903490759753591</v>
      </c>
      <c r="H56" s="2">
        <v>660</v>
      </c>
      <c r="I56" s="2">
        <f>VLOOKUP(A56,'[3]Calculated coal req (reg.)'!$A$2:$I$599,9,FALSE)</f>
        <v>9.2948723239225206</v>
      </c>
      <c r="J56" s="2"/>
      <c r="K56" s="11">
        <v>0.58679749519712876</v>
      </c>
      <c r="L56" s="3">
        <f>VLOOKUP(F56,'Target PLF'!$A$2:$B$11,2,FALSE)</f>
        <v>0.85</v>
      </c>
      <c r="M56" s="3">
        <f t="shared" si="17"/>
        <v>0.26320250480287122</v>
      </c>
      <c r="N56" s="2" t="str">
        <f t="shared" si="0"/>
        <v>0.15</v>
      </c>
      <c r="O56" s="2">
        <f t="shared" si="49"/>
        <v>7.5431587469077304</v>
      </c>
      <c r="P56" s="2">
        <f t="shared" si="1"/>
        <v>1817146.9421300723</v>
      </c>
      <c r="Q56" s="2">
        <f t="shared" si="2"/>
        <v>11.205174156981521</v>
      </c>
      <c r="R56" s="2">
        <f t="shared" si="3"/>
        <v>13.464</v>
      </c>
      <c r="S56" s="2">
        <f t="shared" si="4"/>
        <v>2699326.4544168483</v>
      </c>
      <c r="T56" s="2" t="str">
        <f>VLOOKUP(A56,'[4]CEA vs MERIT comp. &amp; NPA marker'!$C$2:$K$735,9,FALSE)</f>
        <v>Contracted</v>
      </c>
      <c r="U56" s="3">
        <f>VLOOKUP(B56,'[8]Import-Domestic share'!$A$208:$F$406,6,FALSE)</f>
        <v>0</v>
      </c>
      <c r="V56" s="3">
        <f t="shared" si="5"/>
        <v>0</v>
      </c>
      <c r="W56" s="2">
        <f t="shared" si="6"/>
        <v>2587.6511734579053</v>
      </c>
      <c r="X56" s="2">
        <f t="shared" si="7"/>
        <v>2674.6583413135963</v>
      </c>
      <c r="Y56" s="6">
        <f t="shared" si="8"/>
        <v>0.33234773250011629</v>
      </c>
      <c r="Z56" s="2">
        <f t="shared" si="18"/>
        <v>2820889.4510656171</v>
      </c>
      <c r="AA56" s="2">
        <f t="shared" si="19"/>
        <v>2012880.416946549</v>
      </c>
      <c r="AB56" s="2" t="s">
        <v>598</v>
      </c>
      <c r="AC56" s="12">
        <f>VLOOKUP(B56,[9]Sheet1!$A$2:$B$137,2,FALSE)</f>
        <v>4508.0282802258562</v>
      </c>
      <c r="AD56" s="12">
        <f t="shared" si="9"/>
        <v>2975298.6649490651</v>
      </c>
      <c r="AE56" s="2"/>
      <c r="AF56" s="7">
        <f>VLOOKUP($B56,'[9]Subsidiary wise dispatch'!$A$3:$R$138,11,FALSE)*$H56*$O56*365</f>
        <v>397982.80396201625</v>
      </c>
      <c r="AG56" s="7">
        <f>VLOOKUP($B56,'[9]Subsidiary wise dispatch'!$A$3:$R$138,12,FALSE)*$H56*$O56*365</f>
        <v>969437.16239596938</v>
      </c>
      <c r="AH56" s="7">
        <f>VLOOKUP($B56,'[9]Subsidiary wise dispatch'!$A$3:$R$138,13,FALSE)*$H56*$O56*365</f>
        <v>223727.33237701005</v>
      </c>
      <c r="AI56" s="7">
        <f>VLOOKUP($B56,'[9]Subsidiary wise dispatch'!$A$3:$R$138,14,FALSE)*$H56*$O56*365</f>
        <v>0</v>
      </c>
      <c r="AJ56" s="7">
        <f>VLOOKUP($B56,'[9]Subsidiary wise dispatch'!$A$3:$R$138,15,FALSE)*$H56*$O56*365</f>
        <v>225999.64339507642</v>
      </c>
      <c r="AK56" s="7">
        <f>VLOOKUP($B56,'[9]Subsidiary wise dispatch'!$A$3:$R$138,16,FALSE)*$H56*$O56*365</f>
        <v>0</v>
      </c>
      <c r="AL56" s="7">
        <f>VLOOKUP($B56,'[9]Subsidiary wise dispatch'!$A$3:$R$138,17,FALSE)*$H56*$O56*365</f>
        <v>0</v>
      </c>
      <c r="AM56" s="7">
        <f>VLOOKUP($B56,'[9]Subsidiary wise dispatch'!$A$3:$R$138,18,FALSE)*$H56*$O56*365</f>
        <v>0</v>
      </c>
      <c r="AN56" s="15">
        <f t="shared" si="10"/>
        <v>1817146.942130072</v>
      </c>
      <c r="AO56" s="6">
        <v>6.2602876632131307E-2</v>
      </c>
      <c r="AP56" s="11">
        <f t="shared" si="20"/>
        <v>0.58188574540593319</v>
      </c>
      <c r="AQ56" s="11">
        <f t="shared" si="11"/>
        <v>0.84288513097501594</v>
      </c>
      <c r="AR56" s="3">
        <f>VLOOKUP(A56,[10]Sheet1!$A$2:$L$542,12,FALSE)</f>
        <v>3.3316093229744701</v>
      </c>
      <c r="AS56" s="3">
        <f t="shared" si="43"/>
        <v>2.7620888748225432</v>
      </c>
      <c r="AT56" s="3">
        <f t="shared" si="40"/>
        <v>2.753170640117335</v>
      </c>
      <c r="AU56" s="3">
        <f t="shared" si="12"/>
        <v>8.918234705208139E-3</v>
      </c>
      <c r="AV56" s="88">
        <f t="shared" si="21"/>
        <v>0.19288005956964011</v>
      </c>
      <c r="AW56" s="32">
        <f t="shared" si="22"/>
        <v>6.660242780068075E-2</v>
      </c>
      <c r="AX56" s="12">
        <f t="shared" si="44"/>
        <v>937.0741155162857</v>
      </c>
      <c r="AY56" s="12">
        <f t="shared" si="13"/>
        <v>1353.0071666967026</v>
      </c>
      <c r="AZ56" s="3">
        <f>VLOOKUP(A56,[5]Analysis!$A$3:$BJ$543,62,FALSE)</f>
        <v>1.0559428059452731</v>
      </c>
      <c r="BA56" s="2"/>
      <c r="BB56" s="2"/>
      <c r="BC56" s="2" t="str">
        <f>VLOOKUP(A56,'[6]FGD status - Jun 2020'!$I$2:$M$449,5,FALSE)</f>
        <v>FGD commissioned</v>
      </c>
      <c r="BD56" s="2"/>
      <c r="BE56" s="2"/>
      <c r="BF56" s="2">
        <f t="shared" si="14"/>
        <v>622.9864890449569</v>
      </c>
      <c r="BG56" s="2">
        <f t="shared" si="15"/>
        <v>873.06528510480848</v>
      </c>
      <c r="BH56" s="2"/>
      <c r="BI56" s="2"/>
      <c r="BK56">
        <f t="shared" si="16"/>
        <v>387.286346830105</v>
      </c>
      <c r="BL56">
        <f>VLOOKUP(A56,'[11]Daily coal vs energy req.2'!$C$2:$P$599,14,FALSE)</f>
        <v>0.73</v>
      </c>
      <c r="BM56">
        <f>VLOOKUP(A56,'[11]Daily coal vs energy req.2'!$C$2:$R$599,16,FALSE)</f>
        <v>0.79</v>
      </c>
      <c r="BN56">
        <f t="shared" si="47"/>
        <v>481.8</v>
      </c>
      <c r="BO56">
        <f t="shared" si="48"/>
        <v>521.4</v>
      </c>
      <c r="BP56" s="2" t="str">
        <f>VLOOKUP(A56,'[7]Table 2'!$J$2:$N$449,5,FALSE)</f>
        <v>FGD commissioned</v>
      </c>
      <c r="BR56">
        <f t="shared" si="23"/>
        <v>958.17536817677342</v>
      </c>
      <c r="BS56">
        <f t="shared" si="24"/>
        <v>1342.8054471616174</v>
      </c>
      <c r="BT56">
        <f>(X56*I56*365*[5]Analysis!BK56)/10^4</f>
        <v>371.43568141704509</v>
      </c>
      <c r="BU56">
        <f>(W56*R56*365*[5]Analysis!BK56)/10^4</f>
        <v>520.53713009347393</v>
      </c>
      <c r="BV56">
        <f>(X56*I56*365*[5]Analysis!BL56)/10^4</f>
        <v>586.73968675972833</v>
      </c>
      <c r="BW56">
        <f>(W56*R56*365*[5]Analysis!BL56)/10^4</f>
        <v>822.2683170681438</v>
      </c>
      <c r="BX56">
        <f t="shared" si="25"/>
        <v>2548212.2987439865</v>
      </c>
      <c r="BY56">
        <f t="shared" si="26"/>
        <v>3571113.8784423172</v>
      </c>
      <c r="BZ56">
        <f t="shared" si="41"/>
        <v>18557777.893409438</v>
      </c>
      <c r="CA56">
        <f t="shared" si="27"/>
        <v>26881694.858119436</v>
      </c>
      <c r="CB56">
        <f t="shared" si="28"/>
        <v>-588198.13154406066</v>
      </c>
      <c r="CC56">
        <f t="shared" si="29"/>
        <v>-1234198.4292000001</v>
      </c>
      <c r="CD56">
        <f t="shared" si="30"/>
        <v>-3430220.5798585922</v>
      </c>
      <c r="CE56">
        <f t="shared" si="31"/>
        <v>-4968813.8016000008</v>
      </c>
      <c r="CF56">
        <f t="shared" si="32"/>
        <v>6057872.6204463979</v>
      </c>
      <c r="CG56">
        <f t="shared" si="33"/>
        <v>8775074.4840000011</v>
      </c>
      <c r="CH56">
        <f t="shared" si="34"/>
        <v>556809.23113467789</v>
      </c>
      <c r="CI56">
        <f t="shared" si="35"/>
        <v>806560.78176591371</v>
      </c>
      <c r="CJ56">
        <f t="shared" si="36"/>
        <v>-3692425.2101675179</v>
      </c>
      <c r="CK56">
        <f t="shared" si="37"/>
        <v>-5348627.8560000015</v>
      </c>
      <c r="CL56">
        <f t="shared" si="38"/>
        <v>1645016.6052353708</v>
      </c>
      <c r="CM56">
        <f t="shared" si="39"/>
        <v>2382873.3522121329</v>
      </c>
    </row>
    <row r="57" spans="1:91" x14ac:dyDescent="0.2">
      <c r="A57" s="2" t="s">
        <v>90</v>
      </c>
      <c r="B57" s="2" t="str">
        <f t="shared" si="46"/>
        <v>SIPAT STPS</v>
      </c>
      <c r="C57" s="2" t="str">
        <f>VLOOKUP($A57,'[1]daily coal, energy reqd'!$C$2:$T$599,17,FALSE)</f>
        <v>Chhatisgarh</v>
      </c>
      <c r="D57" s="2" t="str">
        <f>VLOOKUP(C57,'Target PLF'!$I$2:$J$19,2,FALSE)</f>
        <v>WR</v>
      </c>
      <c r="E57" s="2" t="str">
        <f>VLOOKUP(A57,[2]Ownership!$C$2:$D$666,2,FALSE)</f>
        <v>CENTRAL SECTOR</v>
      </c>
      <c r="F57" s="2" t="s">
        <v>543</v>
      </c>
      <c r="G57" s="12">
        <v>8.00821355236139</v>
      </c>
      <c r="H57" s="2">
        <v>660</v>
      </c>
      <c r="I57" s="2">
        <f>VLOOKUP(A57,'[3]Calculated coal req (reg.)'!$A$2:$I$599,9,FALSE)</f>
        <v>14.0907449511803</v>
      </c>
      <c r="J57" s="2"/>
      <c r="K57" s="11">
        <v>0.88956723176643315</v>
      </c>
      <c r="L57" s="3">
        <f>VLOOKUP(F57,'Target PLF'!$A$2:$B$11,2,FALSE)</f>
        <v>0.85</v>
      </c>
      <c r="M57" s="3">
        <f t="shared" si="17"/>
        <v>-3.9567231766433175E-2</v>
      </c>
      <c r="N57" s="2" t="str">
        <f t="shared" si="0"/>
        <v>0.15</v>
      </c>
      <c r="O57" s="2">
        <f t="shared" si="49"/>
        <v>12.642834380006962</v>
      </c>
      <c r="P57" s="2">
        <f t="shared" si="1"/>
        <v>3045658.8021436771</v>
      </c>
      <c r="Q57" s="2">
        <f t="shared" si="2"/>
        <v>12.092323614271047</v>
      </c>
      <c r="R57" s="2">
        <f t="shared" si="3"/>
        <v>13.464</v>
      </c>
      <c r="S57" s="2">
        <f t="shared" si="4"/>
        <v>2913040.7586778952</v>
      </c>
      <c r="T57" s="2" t="str">
        <f>VLOOKUP(A57,'[4]CEA vs MERIT comp. &amp; NPA marker'!$C$2:$K$735,9,FALSE)</f>
        <v>Contracted</v>
      </c>
      <c r="U57" s="3">
        <f>VLOOKUP(B57,'[8]Import-Domestic share'!$A$208:$F$406,6,FALSE)</f>
        <v>2.9815102260802168E-3</v>
      </c>
      <c r="V57" s="3">
        <f t="shared" si="5"/>
        <v>9080.6628637425965</v>
      </c>
      <c r="W57" s="2">
        <f t="shared" si="6"/>
        <v>2587.6958121276457</v>
      </c>
      <c r="X57" s="2">
        <f t="shared" si="7"/>
        <v>2574.6160248419378</v>
      </c>
      <c r="Y57" s="6">
        <f t="shared" si="8"/>
        <v>0.33234199938395925</v>
      </c>
      <c r="Z57" s="2">
        <f t="shared" si="18"/>
        <v>3028205.4614195595</v>
      </c>
      <c r="AA57" s="2">
        <f t="shared" si="19"/>
        <v>3153148.5716116629</v>
      </c>
      <c r="AB57" s="2" t="s">
        <v>598</v>
      </c>
      <c r="AC57" s="12">
        <f>VLOOKUP(B57,[9]Sheet1!$A$2:$B$137,2,FALSE)</f>
        <v>4199.473567201816</v>
      </c>
      <c r="AD57" s="12">
        <f t="shared" si="9"/>
        <v>2771652.5543531985</v>
      </c>
      <c r="AE57" s="2" t="s">
        <v>589</v>
      </c>
      <c r="AF57" s="7">
        <f>VLOOKUP($B57,'[9]Subsidiary wise dispatch'!$A$3:$R$138,11,FALSE)*$H57*$O57*365</f>
        <v>0</v>
      </c>
      <c r="AG57" s="7">
        <f>VLOOKUP($B57,'[9]Subsidiary wise dispatch'!$A$3:$R$138,12,FALSE)*$H57*$O57*365</f>
        <v>0</v>
      </c>
      <c r="AH57" s="7">
        <f>VLOOKUP($B57,'[9]Subsidiary wise dispatch'!$A$3:$R$138,13,FALSE)*$H57*$O57*365</f>
        <v>0</v>
      </c>
      <c r="AI57" s="7">
        <f>VLOOKUP($B57,'[9]Subsidiary wise dispatch'!$A$3:$R$138,14,FALSE)*$H57*$O57*365</f>
        <v>0</v>
      </c>
      <c r="AJ57" s="7">
        <f>VLOOKUP($B57,'[9]Subsidiary wise dispatch'!$A$3:$R$138,15,FALSE)*$H57*$O57*365</f>
        <v>2413.7245393855819</v>
      </c>
      <c r="AK57" s="7">
        <f>VLOOKUP($B57,'[9]Subsidiary wise dispatch'!$A$3:$R$138,16,FALSE)*$H57*$O57*365</f>
        <v>0</v>
      </c>
      <c r="AL57" s="7">
        <f>VLOOKUP($B57,'[9]Subsidiary wise dispatch'!$A$3:$R$138,17,FALSE)*$H57*$O57*365</f>
        <v>3043245.0776042915</v>
      </c>
      <c r="AM57" s="7">
        <f>VLOOKUP($B57,'[9]Subsidiary wise dispatch'!$A$3:$R$138,18,FALSE)*$H57*$O57*365</f>
        <v>0</v>
      </c>
      <c r="AN57" s="15">
        <f t="shared" si="10"/>
        <v>3045658.8021436771</v>
      </c>
      <c r="AO57" s="6">
        <v>5.4595359838897593E-2</v>
      </c>
      <c r="AP57" s="11">
        <f t="shared" si="20"/>
        <v>0.76928929100781795</v>
      </c>
      <c r="AQ57" s="11">
        <f t="shared" si="11"/>
        <v>0.73507192487091721</v>
      </c>
      <c r="AR57" s="3">
        <f>VLOOKUP(A57,[10]Sheet1!$A$2:$L$542,12,FALSE)</f>
        <v>1.3472208353353701</v>
      </c>
      <c r="AS57" s="3">
        <f t="shared" si="43"/>
        <v>1.5508688901897119</v>
      </c>
      <c r="AT57" s="3">
        <f t="shared" si="40"/>
        <v>1.5522095683864969</v>
      </c>
      <c r="AU57" s="3">
        <f t="shared" si="12"/>
        <v>-1.3406781967850723E-3</v>
      </c>
      <c r="AV57" s="88">
        <f t="shared" si="21"/>
        <v>-2.8995658783077562E-2</v>
      </c>
      <c r="AW57" s="32">
        <f t="shared" si="22"/>
        <v>1.7831926838708823E-2</v>
      </c>
      <c r="AX57" s="12">
        <f t="shared" si="44"/>
        <v>797.63077642998962</v>
      </c>
      <c r="AY57" s="12">
        <f t="shared" si="13"/>
        <v>762.8116614495865</v>
      </c>
      <c r="AZ57" s="3">
        <f>VLOOKUP(A57,[5]Analysis!$A$3:$BJ$543,62,FALSE)</f>
        <v>0.43306930504238034</v>
      </c>
      <c r="BA57" s="2"/>
      <c r="BB57" s="2"/>
      <c r="BC57" s="2" t="str">
        <f>VLOOKUP(A57,'[6]FGD status - Jun 2020'!$I$2:$M$449,5,FALSE)</f>
        <v>Bid Awarded</v>
      </c>
      <c r="BD57" s="2"/>
      <c r="BE57" s="2"/>
      <c r="BF57" s="2">
        <f t="shared" si="14"/>
        <v>977.90756742399617</v>
      </c>
      <c r="BG57" s="2">
        <f t="shared" si="15"/>
        <v>939.15810472681119</v>
      </c>
      <c r="BH57" s="2"/>
      <c r="BI57" s="2"/>
      <c r="BK57">
        <f t="shared" si="16"/>
        <v>587.11437296584586</v>
      </c>
      <c r="BL57">
        <f>VLOOKUP(A57,'[11]Daily coal vs energy req.2'!$C$2:$P$599,14,FALSE)</f>
        <v>0.54</v>
      </c>
      <c r="BM57">
        <f>VLOOKUP(A57,'[11]Daily coal vs energy req.2'!$C$2:$R$599,16,FALSE)</f>
        <v>0.61</v>
      </c>
      <c r="BN57">
        <f t="shared" si="47"/>
        <v>356.40000000000003</v>
      </c>
      <c r="BO57">
        <f t="shared" si="48"/>
        <v>402.59999999999997</v>
      </c>
      <c r="BP57" s="2" t="str">
        <f>VLOOKUP(A57,'[7]Table 2'!$J$2:$N$449,5,FALSE)</f>
        <v>Bid Awarded</v>
      </c>
      <c r="BR57">
        <f t="shared" si="23"/>
        <v>573.45149537752081</v>
      </c>
      <c r="BS57">
        <f t="shared" si="24"/>
        <v>550.72855297580645</v>
      </c>
      <c r="BT57">
        <f>(X57*I57*365*[5]Analysis!BK57)/10^4</f>
        <v>510.47200804663862</v>
      </c>
      <c r="BU57">
        <f>(W57*R57*365*[5]Analysis!BK57)/10^4</f>
        <v>490.24461980189261</v>
      </c>
      <c r="BV57">
        <f>(X57*I57*365*[5]Analysis!BL57)/10^4</f>
        <v>62.979487330882193</v>
      </c>
      <c r="BW57">
        <f>(W57*R57*365*[5]Analysis!BL57)/10^4</f>
        <v>60.483933173913741</v>
      </c>
      <c r="BX57">
        <f t="shared" si="25"/>
        <v>3718521.419710116</v>
      </c>
      <c r="BY57">
        <f t="shared" si="26"/>
        <v>3571175.482484879</v>
      </c>
      <c r="BZ57">
        <f t="shared" si="41"/>
        <v>11538078.924747059</v>
      </c>
      <c r="CA57">
        <f t="shared" si="27"/>
        <v>11024874.496062877</v>
      </c>
      <c r="CB57">
        <f t="shared" si="28"/>
        <v>-1351775.8754109964</v>
      </c>
      <c r="CC57">
        <f t="shared" si="29"/>
        <v>-1234198.4292000001</v>
      </c>
      <c r="CD57">
        <f t="shared" si="30"/>
        <v>0</v>
      </c>
      <c r="CE57">
        <f t="shared" si="31"/>
        <v>0</v>
      </c>
      <c r="CF57">
        <f t="shared" si="32"/>
        <v>9183551.4320895784</v>
      </c>
      <c r="CG57">
        <f t="shared" si="33"/>
        <v>8775074.4840000011</v>
      </c>
      <c r="CH57">
        <f t="shared" si="34"/>
        <v>835536.32826479746</v>
      </c>
      <c r="CI57">
        <f t="shared" si="35"/>
        <v>798372.34743326413</v>
      </c>
      <c r="CJ57">
        <f t="shared" si="36"/>
        <v>-5597604.7948361794</v>
      </c>
      <c r="CK57">
        <f t="shared" si="37"/>
        <v>-5348627.8560000015</v>
      </c>
      <c r="CL57">
        <f t="shared" si="38"/>
        <v>2174814.6744079054</v>
      </c>
      <c r="CM57">
        <f t="shared" si="39"/>
        <v>2078080.6747747769</v>
      </c>
    </row>
    <row r="58" spans="1:91" x14ac:dyDescent="0.2">
      <c r="A58" s="2" t="s">
        <v>73</v>
      </c>
      <c r="B58" s="2" t="str">
        <f t="shared" si="46"/>
        <v>TIRORA TPS</v>
      </c>
      <c r="C58" s="2" t="str">
        <f>VLOOKUP($A58,'[1]daily coal, energy reqd'!$C$2:$T$599,17,FALSE)</f>
        <v>Maharashtra</v>
      </c>
      <c r="D58" s="2" t="str">
        <f>VLOOKUP(C58,'Target PLF'!$I$2:$J$19,2,FALSE)</f>
        <v>WR</v>
      </c>
      <c r="E58" s="2" t="str">
        <f>VLOOKUP(A58,[2]Ownership!$C$2:$D$666,2,FALSE)</f>
        <v>PVT SECTOR</v>
      </c>
      <c r="F58" s="2" t="s">
        <v>543</v>
      </c>
      <c r="G58" s="12">
        <v>6.9240246406570796</v>
      </c>
      <c r="H58" s="2">
        <v>660</v>
      </c>
      <c r="I58" s="2">
        <f>VLOOKUP(A58,'[3]Calculated coal req (reg.)'!$A$2:$I$599,9,FALSE)</f>
        <v>12.1061020507795</v>
      </c>
      <c r="J58" s="2"/>
      <c r="K58" s="11">
        <v>0.76427411936739265</v>
      </c>
      <c r="L58" s="3">
        <f>VLOOKUP(F58,'Target PLF'!$A$2:$B$11,2,FALSE)</f>
        <v>0.85</v>
      </c>
      <c r="M58" s="3">
        <f t="shared" si="17"/>
        <v>8.5725880632607332E-2</v>
      </c>
      <c r="N58" s="2" t="str">
        <f t="shared" si="0"/>
        <v>0.15</v>
      </c>
      <c r="O58" s="2">
        <f t="shared" si="49"/>
        <v>9.9755009354871582</v>
      </c>
      <c r="P58" s="2">
        <f t="shared" si="1"/>
        <v>2403098.1753588561</v>
      </c>
      <c r="Q58" s="2">
        <f t="shared" si="2"/>
        <v>11.168230830492814</v>
      </c>
      <c r="R58" s="2">
        <f t="shared" si="3"/>
        <v>13.464</v>
      </c>
      <c r="S58" s="2">
        <f t="shared" si="4"/>
        <v>2690426.8070657193</v>
      </c>
      <c r="T58" s="2" t="str">
        <f>VLOOKUP(A58,'[4]CEA vs MERIT comp. &amp; NPA marker'!$C$2:$K$735,9,FALSE)</f>
        <v>Contracted</v>
      </c>
      <c r="U58" s="3">
        <f>VLOOKUP(B58,'[8]Import-Domestic share'!$A$208:$F$406,6,FALSE)</f>
        <v>4.5121823647374507E-2</v>
      </c>
      <c r="V58" s="3">
        <f t="shared" si="5"/>
        <v>108432.17207586979</v>
      </c>
      <c r="W58" s="2">
        <f t="shared" si="6"/>
        <v>2588.912796279365</v>
      </c>
      <c r="X58" s="2">
        <f t="shared" si="7"/>
        <v>2617.2513035111429</v>
      </c>
      <c r="Y58" s="6">
        <f t="shared" si="8"/>
        <v>0.33218577359420604</v>
      </c>
      <c r="Z58" s="2">
        <f t="shared" si="18"/>
        <v>2992185.1504517463</v>
      </c>
      <c r="AA58" s="2">
        <f t="shared" si="19"/>
        <v>2719860.8986646705</v>
      </c>
      <c r="AB58" s="2" t="s">
        <v>598</v>
      </c>
      <c r="AC58" s="12">
        <f>VLOOKUP(B58,[9]Sheet1!$A$2:$B$137,2,FALSE)</f>
        <v>4252.0261447065277</v>
      </c>
      <c r="AD58" s="12">
        <f t="shared" si="9"/>
        <v>2806337.2555063083</v>
      </c>
      <c r="AE58" s="2"/>
      <c r="AF58" s="7">
        <f>VLOOKUP($B58,'[9]Subsidiary wise dispatch'!$A$3:$R$138,11,FALSE)*$H58*$O58*365</f>
        <v>0</v>
      </c>
      <c r="AG58" s="7">
        <f>VLOOKUP($B58,'[9]Subsidiary wise dispatch'!$A$3:$R$138,12,FALSE)*$H58*$O58*365</f>
        <v>0</v>
      </c>
      <c r="AH58" s="7">
        <f>VLOOKUP($B58,'[9]Subsidiary wise dispatch'!$A$3:$R$138,13,FALSE)*$H58*$O58*365</f>
        <v>0</v>
      </c>
      <c r="AI58" s="7">
        <f>VLOOKUP($B58,'[9]Subsidiary wise dispatch'!$A$3:$R$138,14,FALSE)*$H58*$O58*365</f>
        <v>132348.05720367096</v>
      </c>
      <c r="AJ58" s="7">
        <f>VLOOKUP($B58,'[9]Subsidiary wise dispatch'!$A$3:$R$138,15,FALSE)*$H58*$O58*365</f>
        <v>0</v>
      </c>
      <c r="AK58" s="7">
        <f>VLOOKUP($B58,'[9]Subsidiary wise dispatch'!$A$3:$R$138,16,FALSE)*$H58*$O58*365</f>
        <v>0</v>
      </c>
      <c r="AL58" s="7">
        <f>VLOOKUP($B58,'[9]Subsidiary wise dispatch'!$A$3:$R$138,17,FALSE)*$H58*$O58*365</f>
        <v>1693437.8888378867</v>
      </c>
      <c r="AM58" s="7">
        <f>VLOOKUP($B58,'[9]Subsidiary wise dispatch'!$A$3:$R$138,18,FALSE)*$H58*$O58*365</f>
        <v>577312.22931729886</v>
      </c>
      <c r="AN58" s="15">
        <f t="shared" si="10"/>
        <v>2403098.1753588566</v>
      </c>
      <c r="AO58" s="6">
        <v>5.508216674000762E-2</v>
      </c>
      <c r="AP58" s="11">
        <f t="shared" si="20"/>
        <v>0.66683033173258455</v>
      </c>
      <c r="AQ58" s="11">
        <f t="shared" si="11"/>
        <v>0.74162629298746263</v>
      </c>
      <c r="AR58" s="3">
        <f>VLOOKUP(A58,[10]Sheet1!$A$2:$L$542,12,FALSE)</f>
        <v>1.8199999999999601</v>
      </c>
      <c r="AS58" s="3">
        <f t="shared" si="43"/>
        <v>2.0046634125474987</v>
      </c>
      <c r="AT58" s="3">
        <f t="shared" si="40"/>
        <v>2.0017587155562411</v>
      </c>
      <c r="AU58" s="3">
        <f t="shared" si="12"/>
        <v>2.9046969912576159E-3</v>
      </c>
      <c r="AV58" s="88">
        <f t="shared" si="21"/>
        <v>6.2821639845187308E-2</v>
      </c>
      <c r="AW58" s="32">
        <f t="shared" si="22"/>
        <v>2.9888779572121819E-2</v>
      </c>
      <c r="AX58" s="12">
        <f t="shared" si="44"/>
        <v>885.8060845163825</v>
      </c>
      <c r="AY58" s="12">
        <f t="shared" si="13"/>
        <v>983.73629613809703</v>
      </c>
      <c r="AZ58" s="3">
        <f>VLOOKUP(A58,[5]Analysis!$A$3:$BJ$543,62,FALSE)</f>
        <v>0.67427920387380003</v>
      </c>
      <c r="BA58" s="2"/>
      <c r="BB58" s="2"/>
      <c r="BC58" s="2" t="str">
        <f>VLOOKUP(A58,'[6]FGD status - Jun 2020'!$I$2:$M$449,5,FALSE)</f>
        <v>NIT issued</v>
      </c>
      <c r="BD58" s="2"/>
      <c r="BE58" s="2"/>
      <c r="BF58" s="2">
        <f t="shared" si="14"/>
        <v>868.01102603958611</v>
      </c>
      <c r="BG58" s="2">
        <f t="shared" si="15"/>
        <v>954.92004896984486</v>
      </c>
      <c r="BH58" s="2"/>
      <c r="BI58" s="2"/>
      <c r="BK58">
        <f t="shared" si="16"/>
        <v>504.42091878247913</v>
      </c>
      <c r="BL58">
        <f>VLOOKUP(A58,'[11]Daily coal vs energy req.2'!$C$2:$P$599,14,FALSE)</f>
        <v>0.55000000000000004</v>
      </c>
      <c r="BM58">
        <f>VLOOKUP(A58,'[11]Daily coal vs energy req.2'!$C$2:$R$599,16,FALSE)</f>
        <v>0.56999999999999995</v>
      </c>
      <c r="BN58">
        <f t="shared" si="47"/>
        <v>363.00000000000006</v>
      </c>
      <c r="BO58">
        <f t="shared" si="48"/>
        <v>376.2</v>
      </c>
      <c r="BP58" s="2" t="str">
        <f>VLOOKUP(A58,'[7]Table 2'!$J$2:$N$449,5,FALSE)</f>
        <v>NIT issued</v>
      </c>
      <c r="BR58">
        <f t="shared" si="23"/>
        <v>779.79848151995225</v>
      </c>
      <c r="BS58">
        <f t="shared" si="24"/>
        <v>857.87528248020612</v>
      </c>
      <c r="BT58">
        <f>(X58*I58*365*[5]Analysis!BK58)/10^4</f>
        <v>483.50438872374872</v>
      </c>
      <c r="BU58">
        <f>(W58*R58*365*[5]Analysis!BK58)/10^4</f>
        <v>531.91494198388284</v>
      </c>
      <c r="BV58">
        <f>(X58*I58*365*[5]Analysis!BL58)/10^4</f>
        <v>296.29409279620364</v>
      </c>
      <c r="BW58">
        <f>(W58*R58*365*[5]Analysis!BL58)/10^4</f>
        <v>325.96034049632345</v>
      </c>
      <c r="BX58">
        <f t="shared" si="25"/>
        <v>3247682.9157162602</v>
      </c>
      <c r="BY58">
        <f t="shared" si="26"/>
        <v>3572854.9936333005</v>
      </c>
      <c r="BZ58">
        <f t="shared" si="41"/>
        <v>15434275.362709014</v>
      </c>
      <c r="CA58">
        <f t="shared" si="27"/>
        <v>17165482.548541185</v>
      </c>
      <c r="CB58">
        <f t="shared" si="28"/>
        <v>-997804.46851781744</v>
      </c>
      <c r="CC58">
        <f t="shared" si="29"/>
        <v>-1234198.4292000001</v>
      </c>
      <c r="CD58">
        <f t="shared" si="30"/>
        <v>-4467689.16766869</v>
      </c>
      <c r="CE58">
        <f t="shared" si="31"/>
        <v>-4968813.8016000008</v>
      </c>
      <c r="CF58">
        <f t="shared" si="32"/>
        <v>7890073.3219322087</v>
      </c>
      <c r="CG58">
        <f t="shared" si="33"/>
        <v>8775074.4840000011</v>
      </c>
      <c r="CH58">
        <f t="shared" si="34"/>
        <v>620667.02514416631</v>
      </c>
      <c r="CI58">
        <f t="shared" si="35"/>
        <v>690285.01424229925</v>
      </c>
      <c r="CJ58">
        <f t="shared" si="36"/>
        <v>-4809197.4640803598</v>
      </c>
      <c r="CK58">
        <f t="shared" si="37"/>
        <v>-5348627.8560000015</v>
      </c>
      <c r="CL58">
        <f t="shared" si="38"/>
        <v>1885158.6883426127</v>
      </c>
      <c r="CM58">
        <f t="shared" si="39"/>
        <v>2096610.1618324479</v>
      </c>
    </row>
    <row r="59" spans="1:91" x14ac:dyDescent="0.2">
      <c r="A59" s="2" t="s">
        <v>96</v>
      </c>
      <c r="B59" s="2" t="str">
        <f t="shared" si="46"/>
        <v>MAHATMA GANDHI TPS</v>
      </c>
      <c r="C59" s="2" t="str">
        <f>VLOOKUP($A59,'[1]daily coal, energy reqd'!$C$2:$T$599,17,FALSE)</f>
        <v>Haryana</v>
      </c>
      <c r="D59" s="2" t="str">
        <f>VLOOKUP(C59,'Target PLF'!$I$2:$J$19,2,FALSE)</f>
        <v>NR</v>
      </c>
      <c r="E59" s="2" t="str">
        <f>VLOOKUP(A59,[2]Ownership!$C$2:$D$666,2,FALSE)</f>
        <v>PVT SECTOR</v>
      </c>
      <c r="F59" s="2" t="s">
        <v>543</v>
      </c>
      <c r="G59" s="12">
        <v>8.33949349760438</v>
      </c>
      <c r="H59" s="2">
        <v>660</v>
      </c>
      <c r="I59" s="2">
        <f>VLOOKUP(A59,'[3]Calculated coal req (reg.)'!$A$2:$I$599,9,FALSE)</f>
        <v>9.7315668811907408</v>
      </c>
      <c r="J59" s="2"/>
      <c r="K59" s="11">
        <v>0.61436659603476895</v>
      </c>
      <c r="L59" s="3">
        <f>VLOOKUP(F59,'Target PLF'!$A$2:$B$11,2,FALSE)</f>
        <v>0.85</v>
      </c>
      <c r="M59" s="3">
        <f t="shared" si="17"/>
        <v>0.23563340396523103</v>
      </c>
      <c r="N59" s="2" t="str">
        <f t="shared" si="0"/>
        <v>0.15</v>
      </c>
      <c r="O59" s="2">
        <f t="shared" si="49"/>
        <v>7.9346275671471709</v>
      </c>
      <c r="P59" s="2">
        <f t="shared" si="1"/>
        <v>1911451.7809257535</v>
      </c>
      <c r="Q59" s="2">
        <f t="shared" si="2"/>
        <v>11.213065806536619</v>
      </c>
      <c r="R59" s="2">
        <f t="shared" si="3"/>
        <v>13.464</v>
      </c>
      <c r="S59" s="2">
        <f t="shared" si="4"/>
        <v>2701227.5527946716</v>
      </c>
      <c r="T59" s="2" t="str">
        <f>VLOOKUP(A59,'[4]CEA vs MERIT comp. &amp; NPA marker'!$C$2:$K$735,9,FALSE)</f>
        <v>Contracted</v>
      </c>
      <c r="U59" s="3">
        <f>VLOOKUP(B59,'[8]Import-Domestic share'!$A$208:$F$406,6,FALSE)</f>
        <v>0</v>
      </c>
      <c r="V59" s="3">
        <f t="shared" si="5"/>
        <v>0</v>
      </c>
      <c r="W59" s="2">
        <f t="shared" si="6"/>
        <v>2589.5547706297057</v>
      </c>
      <c r="X59" s="2">
        <f t="shared" si="7"/>
        <v>2667.4483877385769</v>
      </c>
      <c r="Y59" s="6">
        <f t="shared" si="8"/>
        <v>0.33210342169780505</v>
      </c>
      <c r="Z59" s="2">
        <f t="shared" si="18"/>
        <v>2822964.6292179464</v>
      </c>
      <c r="AA59" s="2">
        <f t="shared" si="19"/>
        <v>2101769.2286808747</v>
      </c>
      <c r="AB59" s="2" t="s">
        <v>598</v>
      </c>
      <c r="AC59" s="12">
        <f>VLOOKUP(B59,[9]Sheet1!$A$2:$B$137,2,FALSE)</f>
        <v>4508.0282802258562</v>
      </c>
      <c r="AD59" s="12">
        <f t="shared" si="9"/>
        <v>2975298.6649490651</v>
      </c>
      <c r="AE59" s="2"/>
      <c r="AF59" s="7">
        <f>VLOOKUP($B59,'[9]Subsidiary wise dispatch'!$A$3:$R$138,11,FALSE)*$H59*$O59*365</f>
        <v>418636.997247616</v>
      </c>
      <c r="AG59" s="7">
        <f>VLOOKUP($B59,'[9]Subsidiary wise dispatch'!$A$3:$R$138,12,FALSE)*$H59*$O59*365</f>
        <v>1019748.2369726506</v>
      </c>
      <c r="AH59" s="7">
        <f>VLOOKUP($B59,'[9]Subsidiary wise dispatch'!$A$3:$R$138,13,FALSE)*$H59*$O59*365</f>
        <v>235338.15455370749</v>
      </c>
      <c r="AI59" s="7">
        <f>VLOOKUP($B59,'[9]Subsidiary wise dispatch'!$A$3:$R$138,14,FALSE)*$H59*$O59*365</f>
        <v>0</v>
      </c>
      <c r="AJ59" s="7">
        <f>VLOOKUP($B59,'[9]Subsidiary wise dispatch'!$A$3:$R$138,15,FALSE)*$H59*$O59*365</f>
        <v>237728.39215177906</v>
      </c>
      <c r="AK59" s="7">
        <f>VLOOKUP($B59,'[9]Subsidiary wise dispatch'!$A$3:$R$138,16,FALSE)*$H59*$O59*365</f>
        <v>0</v>
      </c>
      <c r="AL59" s="7">
        <f>VLOOKUP($B59,'[9]Subsidiary wise dispatch'!$A$3:$R$138,17,FALSE)*$H59*$O59*365</f>
        <v>0</v>
      </c>
      <c r="AM59" s="7">
        <f>VLOOKUP($B59,'[9]Subsidiary wise dispatch'!$A$3:$R$138,18,FALSE)*$H59*$O59*365</f>
        <v>0</v>
      </c>
      <c r="AN59" s="15">
        <f t="shared" si="10"/>
        <v>1911451.7809257531</v>
      </c>
      <c r="AO59" s="6">
        <v>6.2602876632131307E-2</v>
      </c>
      <c r="AP59" s="11">
        <f t="shared" si="20"/>
        <v>0.60922408090051872</v>
      </c>
      <c r="AQ59" s="11">
        <f t="shared" si="11"/>
        <v>0.84288513097501594</v>
      </c>
      <c r="AR59" s="3">
        <f>VLOOKUP(A59,[10]Sheet1!$A$2:$L$542,12,FALSE)</f>
        <v>3.3316093229744701</v>
      </c>
      <c r="AS59" s="3">
        <f t="shared" si="43"/>
        <v>2.763194644451056</v>
      </c>
      <c r="AT59" s="3">
        <f t="shared" si="40"/>
        <v>2.7552105486973968</v>
      </c>
      <c r="AU59" s="3">
        <f t="shared" si="12"/>
        <v>7.984095753659215E-3</v>
      </c>
      <c r="AV59" s="88">
        <f t="shared" si="21"/>
        <v>0.17267687109380062</v>
      </c>
      <c r="AW59" s="32">
        <f t="shared" si="22"/>
        <v>5.9602306942390493E-2</v>
      </c>
      <c r="AX59" s="12">
        <f t="shared" si="44"/>
        <v>981.49279232015851</v>
      </c>
      <c r="AY59" s="12">
        <f t="shared" si="13"/>
        <v>1354.0096512096538</v>
      </c>
      <c r="AZ59" s="3">
        <f>VLOOKUP(A59,[5]Analysis!$A$3:$BJ$543,62,FALSE)</f>
        <v>1.0559428059452731</v>
      </c>
      <c r="BA59" s="2"/>
      <c r="BB59" s="2"/>
      <c r="BC59" s="2" t="str">
        <f>VLOOKUP(A59,'[6]FGD status - Jun 2020'!$I$2:$M$449,5,FALSE)</f>
        <v>FGD commissioned</v>
      </c>
      <c r="BD59" s="2"/>
      <c r="BE59" s="2"/>
      <c r="BF59" s="2">
        <f t="shared" si="14"/>
        <v>650.49757627673068</v>
      </c>
      <c r="BG59" s="2">
        <f t="shared" si="15"/>
        <v>873.70755274295448</v>
      </c>
      <c r="BH59" s="2"/>
      <c r="BI59" s="2"/>
      <c r="BK59">
        <f t="shared" si="16"/>
        <v>405.48195338294749</v>
      </c>
      <c r="BL59">
        <f>VLOOKUP(A59,'[11]Daily coal vs energy req.2'!$C$2:$P$599,14,FALSE)</f>
        <v>0.7</v>
      </c>
      <c r="BM59">
        <f>VLOOKUP(A59,'[11]Daily coal vs energy req.2'!$C$2:$R$599,16,FALSE)</f>
        <v>0.73</v>
      </c>
      <c r="BN59">
        <f t="shared" si="47"/>
        <v>461.99999999999994</v>
      </c>
      <c r="BO59">
        <f t="shared" si="48"/>
        <v>481.8</v>
      </c>
      <c r="BP59" s="2" t="str">
        <f>VLOOKUP(A59,'[7]Table 2'!$J$2:$N$449,5,FALSE)</f>
        <v>FGD commissioned</v>
      </c>
      <c r="BR59">
        <f t="shared" si="23"/>
        <v>1000.488398396191</v>
      </c>
      <c r="BS59">
        <f t="shared" si="24"/>
        <v>1343.793277622583</v>
      </c>
      <c r="BT59">
        <f>(X59*I59*365*[5]Analysis!BK59)/10^4</f>
        <v>387.83828341909305</v>
      </c>
      <c r="BU59">
        <f>(W59*R59*365*[5]Analysis!BK59)/10^4</f>
        <v>520.92006154065916</v>
      </c>
      <c r="BV59">
        <f>(X59*I59*365*[5]Analysis!BL59)/10^4</f>
        <v>612.65011497709804</v>
      </c>
      <c r="BW59">
        <f>(W59*R59*365*[5]Analysis!BL59)/10^4</f>
        <v>822.87321608192394</v>
      </c>
      <c r="BX59">
        <f t="shared" si="25"/>
        <v>2660741.3697087434</v>
      </c>
      <c r="BY59">
        <f t="shared" si="26"/>
        <v>3573740.9567552321</v>
      </c>
      <c r="BZ59">
        <f t="shared" si="41"/>
        <v>19429665.136033166</v>
      </c>
      <c r="CA59">
        <f t="shared" si="27"/>
        <v>26881694.858119436</v>
      </c>
      <c r="CB59">
        <f t="shared" si="28"/>
        <v>-644766.2951490751</v>
      </c>
      <c r="CC59">
        <f t="shared" si="29"/>
        <v>-1234198.4292000001</v>
      </c>
      <c r="CD59">
        <f t="shared" si="30"/>
        <v>-3591380.2607289082</v>
      </c>
      <c r="CE59">
        <f t="shared" si="31"/>
        <v>-4968813.8016000008</v>
      </c>
      <c r="CF59">
        <f t="shared" si="32"/>
        <v>6342485.4596313387</v>
      </c>
      <c r="CG59">
        <f t="shared" si="33"/>
        <v>8775074.4840000011</v>
      </c>
      <c r="CH59">
        <f t="shared" si="34"/>
        <v>600922.11010549555</v>
      </c>
      <c r="CI59">
        <f t="shared" si="35"/>
        <v>831399.03257494862</v>
      </c>
      <c r="CJ59">
        <f t="shared" si="36"/>
        <v>-3865903.8698205468</v>
      </c>
      <c r="CK59">
        <f t="shared" si="37"/>
        <v>-5348627.8560000015</v>
      </c>
      <c r="CL59">
        <f t="shared" si="38"/>
        <v>1722303.282565326</v>
      </c>
      <c r="CM59">
        <f t="shared" si="39"/>
        <v>2382873.3522121329</v>
      </c>
    </row>
    <row r="60" spans="1:91" x14ac:dyDescent="0.2">
      <c r="A60" s="2" t="s">
        <v>79</v>
      </c>
      <c r="B60" s="2" t="str">
        <f t="shared" si="46"/>
        <v>TIRORA TPS</v>
      </c>
      <c r="C60" s="2" t="str">
        <f>VLOOKUP($A60,'[1]daily coal, energy reqd'!$C$2:$T$599,17,FALSE)</f>
        <v>Maharashtra</v>
      </c>
      <c r="D60" s="2" t="str">
        <f>VLOOKUP(C60,'Target PLF'!$I$2:$J$19,2,FALSE)</f>
        <v>WR</v>
      </c>
      <c r="E60" s="2" t="str">
        <f>VLOOKUP(A60,[2]Ownership!$C$2:$D$666,2,FALSE)</f>
        <v>PVT SECTOR</v>
      </c>
      <c r="F60" s="2" t="s">
        <v>543</v>
      </c>
      <c r="G60" s="12">
        <v>7.1759069130732298</v>
      </c>
      <c r="H60" s="2">
        <v>660</v>
      </c>
      <c r="I60" s="2">
        <f>VLOOKUP(A60,'[3]Calculated coal req (reg.)'!$A$2:$I$599,9,FALSE)</f>
        <v>10.8651856330667</v>
      </c>
      <c r="J60" s="2"/>
      <c r="K60" s="11">
        <v>0.68593343643097848</v>
      </c>
      <c r="L60" s="3">
        <f>VLOOKUP(F60,'Target PLF'!$A$2:$B$11,2,FALSE)</f>
        <v>0.85</v>
      </c>
      <c r="M60" s="3">
        <f t="shared" si="17"/>
        <v>0.1640665635690215</v>
      </c>
      <c r="N60" s="2" t="str">
        <f t="shared" si="0"/>
        <v>0.15</v>
      </c>
      <c r="O60" s="2">
        <f t="shared" si="49"/>
        <v>8.8935018825667278</v>
      </c>
      <c r="P60" s="2">
        <f t="shared" si="1"/>
        <v>2142444.6035103248</v>
      </c>
      <c r="Q60" s="2">
        <f t="shared" si="2"/>
        <v>11.176209201471595</v>
      </c>
      <c r="R60" s="2">
        <f t="shared" si="3"/>
        <v>13.464</v>
      </c>
      <c r="S60" s="2">
        <f t="shared" si="4"/>
        <v>2692348.7966345069</v>
      </c>
      <c r="T60" s="2" t="str">
        <f>VLOOKUP(A60,'[4]CEA vs MERIT comp. &amp; NPA marker'!$C$2:$K$735,9,FALSE)</f>
        <v>Contracted</v>
      </c>
      <c r="U60" s="3">
        <f>VLOOKUP(B60,'[8]Import-Domestic share'!$A$208:$F$406,6,FALSE)</f>
        <v>4.5121823647374507E-2</v>
      </c>
      <c r="V60" s="3">
        <f t="shared" si="5"/>
        <v>96671.007573862065</v>
      </c>
      <c r="W60" s="2">
        <f t="shared" si="6"/>
        <v>2590.8373121014042</v>
      </c>
      <c r="X60" s="2">
        <f t="shared" si="7"/>
        <v>2645.0729929002923</v>
      </c>
      <c r="Y60" s="6">
        <f t="shared" si="8"/>
        <v>0.33193902063362751</v>
      </c>
      <c r="Z60" s="2">
        <f t="shared" si="18"/>
        <v>2994409.4461764968</v>
      </c>
      <c r="AA60" s="2">
        <f t="shared" si="19"/>
        <v>2467014.7730812328</v>
      </c>
      <c r="AB60" s="2" t="s">
        <v>598</v>
      </c>
      <c r="AC60" s="12">
        <f>VLOOKUP(B60,[9]Sheet1!$A$2:$B$137,2,FALSE)</f>
        <v>4252.0261447065277</v>
      </c>
      <c r="AD60" s="12">
        <f t="shared" si="9"/>
        <v>2806337.2555063083</v>
      </c>
      <c r="AE60" s="2"/>
      <c r="AF60" s="7">
        <f>VLOOKUP($B60,'[9]Subsidiary wise dispatch'!$A$3:$R$138,11,FALSE)*$H60*$O60*365</f>
        <v>0</v>
      </c>
      <c r="AG60" s="7">
        <f>VLOOKUP($B60,'[9]Subsidiary wise dispatch'!$A$3:$R$138,12,FALSE)*$H60*$O60*365</f>
        <v>0</v>
      </c>
      <c r="AH60" s="7">
        <f>VLOOKUP($B60,'[9]Subsidiary wise dispatch'!$A$3:$R$138,13,FALSE)*$H60*$O60*365</f>
        <v>0</v>
      </c>
      <c r="AI60" s="7">
        <f>VLOOKUP($B60,'[9]Subsidiary wise dispatch'!$A$3:$R$138,14,FALSE)*$H60*$O60*365</f>
        <v>117992.84101189002</v>
      </c>
      <c r="AJ60" s="7">
        <f>VLOOKUP($B60,'[9]Subsidiary wise dispatch'!$A$3:$R$138,15,FALSE)*$H60*$O60*365</f>
        <v>0</v>
      </c>
      <c r="AK60" s="7">
        <f>VLOOKUP($B60,'[9]Subsidiary wise dispatch'!$A$3:$R$138,16,FALSE)*$H60*$O60*365</f>
        <v>0</v>
      </c>
      <c r="AL60" s="7">
        <f>VLOOKUP($B60,'[9]Subsidiary wise dispatch'!$A$3:$R$138,17,FALSE)*$H60*$O60*365</f>
        <v>1509758.0712776585</v>
      </c>
      <c r="AM60" s="7">
        <f>VLOOKUP($B60,'[9]Subsidiary wise dispatch'!$A$3:$R$138,18,FALSE)*$H60*$O60*365</f>
        <v>514693.69122077624</v>
      </c>
      <c r="AN60" s="15">
        <f t="shared" si="10"/>
        <v>2142444.6035103248</v>
      </c>
      <c r="AO60" s="6">
        <v>5.508216674000762E-2</v>
      </c>
      <c r="AP60" s="11">
        <f t="shared" si="20"/>
        <v>0.59847796670171516</v>
      </c>
      <c r="AQ60" s="11">
        <f t="shared" si="11"/>
        <v>0.74162629298746263</v>
      </c>
      <c r="AR60" s="3">
        <f>VLOOKUP(A60,[10]Sheet1!$A$2:$L$542,12,FALSE)</f>
        <v>1.8199999999999601</v>
      </c>
      <c r="AS60" s="3">
        <f t="shared" si="43"/>
        <v>2.0093801979959918</v>
      </c>
      <c r="AT60" s="3">
        <f t="shared" si="40"/>
        <v>2.0038210407141057</v>
      </c>
      <c r="AU60" s="3">
        <f t="shared" si="12"/>
        <v>5.5591572818860513E-3</v>
      </c>
      <c r="AV60" s="88">
        <f t="shared" si="21"/>
        <v>0.12023125911465034</v>
      </c>
      <c r="AW60" s="32">
        <f t="shared" si="22"/>
        <v>5.7068394496536702E-2</v>
      </c>
      <c r="AX60" s="12">
        <f t="shared" si="44"/>
        <v>796.87854334016902</v>
      </c>
      <c r="AY60" s="12">
        <f t="shared" si="13"/>
        <v>984.74979696437731</v>
      </c>
      <c r="AZ60" s="3">
        <f>VLOOKUP(A60,[5]Analysis!$A$3:$BJ$543,62,FALSE)</f>
        <v>0.67427920387380003</v>
      </c>
      <c r="BA60" s="2"/>
      <c r="BB60" s="2"/>
      <c r="BC60" s="2" t="str">
        <f>VLOOKUP(A60,'[6]FGD status - Jun 2020'!$I$2:$M$449,5,FALSE)</f>
        <v>NIT issued</v>
      </c>
      <c r="BD60" s="2"/>
      <c r="BE60" s="2"/>
      <c r="BF60" s="2">
        <f t="shared" si="14"/>
        <v>787.31821376908897</v>
      </c>
      <c r="BG60" s="2">
        <f t="shared" si="15"/>
        <v>955.62990630674176</v>
      </c>
      <c r="BH60" s="2"/>
      <c r="BI60" s="2"/>
      <c r="BK60">
        <f t="shared" si="16"/>
        <v>452.71606804444582</v>
      </c>
      <c r="BL60">
        <f>VLOOKUP(A60,'[11]Daily coal vs energy req.2'!$C$2:$P$599,14,FALSE)</f>
        <v>0.67</v>
      </c>
      <c r="BM60">
        <f>VLOOKUP(A60,'[11]Daily coal vs energy req.2'!$C$2:$R$599,16,FALSE)</f>
        <v>0.6</v>
      </c>
      <c r="BN60">
        <f t="shared" si="47"/>
        <v>442.20000000000005</v>
      </c>
      <c r="BO60">
        <f t="shared" si="48"/>
        <v>396</v>
      </c>
      <c r="BP60" s="2" t="str">
        <f>VLOOKUP(A60,'[7]Table 2'!$J$2:$N$449,5,FALSE)</f>
        <v>NIT issued</v>
      </c>
      <c r="BR60">
        <f t="shared" si="23"/>
        <v>707.30616219400088</v>
      </c>
      <c r="BS60">
        <f t="shared" si="24"/>
        <v>858.5129998095972</v>
      </c>
      <c r="BT60">
        <f>(X60*I60*365*[5]Analysis!BK60)/10^4</f>
        <v>438.55642412327637</v>
      </c>
      <c r="BU60">
        <f>(W60*R60*365*[5]Analysis!BK60)/10^4</f>
        <v>532.31035071425731</v>
      </c>
      <c r="BV60">
        <f>(X60*I60*365*[5]Analysis!BL60)/10^4</f>
        <v>268.74973807072462</v>
      </c>
      <c r="BW60">
        <f>(W60*R60*365*[5]Analysis!BL60)/10^4</f>
        <v>326.20264909534001</v>
      </c>
      <c r="BX60">
        <f t="shared" si="25"/>
        <v>2945768.9307894818</v>
      </c>
      <c r="BY60">
        <f t="shared" si="26"/>
        <v>3575510.9409386641</v>
      </c>
      <c r="BZ60">
        <f t="shared" si="41"/>
        <v>13852209.920608057</v>
      </c>
      <c r="CA60">
        <f t="shared" si="27"/>
        <v>17165482.548541185</v>
      </c>
      <c r="CB60">
        <f t="shared" si="28"/>
        <v>-803731.67614834954</v>
      </c>
      <c r="CC60">
        <f t="shared" si="29"/>
        <v>-1234198.4292000001</v>
      </c>
      <c r="CD60">
        <f t="shared" si="30"/>
        <v>-4009735.9128437205</v>
      </c>
      <c r="CE60">
        <f t="shared" si="31"/>
        <v>-4968813.8016000008</v>
      </c>
      <c r="CF60">
        <f t="shared" si="32"/>
        <v>7081314.1126446072</v>
      </c>
      <c r="CG60">
        <f t="shared" si="33"/>
        <v>8775074.4840000011</v>
      </c>
      <c r="CH60">
        <f t="shared" si="34"/>
        <v>577310.80317462247</v>
      </c>
      <c r="CI60">
        <f t="shared" si="35"/>
        <v>715396.21286242222</v>
      </c>
      <c r="CJ60">
        <f t="shared" si="36"/>
        <v>-4316238.4534782795</v>
      </c>
      <c r="CK60">
        <f t="shared" si="37"/>
        <v>-5348627.8560000015</v>
      </c>
      <c r="CL60">
        <f t="shared" si="38"/>
        <v>1691923.5448962837</v>
      </c>
      <c r="CM60">
        <f t="shared" si="39"/>
        <v>2096610.1618324479</v>
      </c>
    </row>
    <row r="61" spans="1:91" x14ac:dyDescent="0.2">
      <c r="A61" s="2" t="s">
        <v>100</v>
      </c>
      <c r="B61" s="2" t="str">
        <f t="shared" si="46"/>
        <v>SIPAT STPS</v>
      </c>
      <c r="C61" s="2" t="str">
        <f>VLOOKUP($A61,'[1]daily coal, energy reqd'!$C$2:$T$599,17,FALSE)</f>
        <v>Chhatisgarh</v>
      </c>
      <c r="D61" s="2" t="str">
        <f>VLOOKUP(C61,'Target PLF'!$I$2:$J$19,2,FALSE)</f>
        <v>WR</v>
      </c>
      <c r="E61" s="2" t="str">
        <f>VLOOKUP(A61,[2]Ownership!$C$2:$D$666,2,FALSE)</f>
        <v>CENTRAL SECTOR</v>
      </c>
      <c r="F61" s="2" t="s">
        <v>543</v>
      </c>
      <c r="G61" s="12">
        <v>8.5913757700205302</v>
      </c>
      <c r="H61" s="2">
        <v>660</v>
      </c>
      <c r="I61" s="2">
        <f>VLOOKUP(A61,'[3]Calculated coal req (reg.)'!$A$2:$I$599,9,FALSE)</f>
        <v>14.174446174762</v>
      </c>
      <c r="J61" s="2"/>
      <c r="K61" s="11">
        <v>0.89485139992184348</v>
      </c>
      <c r="L61" s="3">
        <f>VLOOKUP(F61,'Target PLF'!$A$2:$B$11,2,FALSE)</f>
        <v>0.85</v>
      </c>
      <c r="M61" s="3">
        <f t="shared" si="17"/>
        <v>-4.4851399921843504E-2</v>
      </c>
      <c r="N61" s="2" t="str">
        <f t="shared" si="0"/>
        <v>0.15</v>
      </c>
      <c r="O61" s="2">
        <f t="shared" si="49"/>
        <v>12.734826260047985</v>
      </c>
      <c r="P61" s="2">
        <f t="shared" si="1"/>
        <v>3067819.6460455596</v>
      </c>
      <c r="Q61" s="2">
        <f t="shared" si="2"/>
        <v>12.1107952775154</v>
      </c>
      <c r="R61" s="2">
        <f t="shared" si="3"/>
        <v>13.464</v>
      </c>
      <c r="S61" s="2">
        <f t="shared" si="4"/>
        <v>2917490.5823534601</v>
      </c>
      <c r="T61" s="2" t="str">
        <f>VLOOKUP(A61,'[4]CEA vs MERIT comp. &amp; NPA marker'!$C$2:$K$735,9,FALSE)</f>
        <v>Contracted</v>
      </c>
      <c r="U61" s="3">
        <f>VLOOKUP(B61,'[8]Import-Domestic share'!$A$208:$F$406,6,FALSE)</f>
        <v>2.9815102260802168E-3</v>
      </c>
      <c r="V61" s="3">
        <f t="shared" si="5"/>
        <v>9146.7356464546265</v>
      </c>
      <c r="W61" s="2">
        <f t="shared" si="6"/>
        <v>2592.1514846286718</v>
      </c>
      <c r="X61" s="2">
        <f t="shared" si="7"/>
        <v>2577.3249035348281</v>
      </c>
      <c r="Y61" s="6">
        <f t="shared" si="8"/>
        <v>0.33177073373209737</v>
      </c>
      <c r="Z61" s="2">
        <f t="shared" si="18"/>
        <v>3033419.6337108579</v>
      </c>
      <c r="AA61" s="2">
        <f t="shared" si="19"/>
        <v>3175216.0539719965</v>
      </c>
      <c r="AB61" s="2" t="s">
        <v>598</v>
      </c>
      <c r="AC61" s="12">
        <f>VLOOKUP(B61,[9]Sheet1!$A$2:$B$137,2,FALSE)</f>
        <v>4199.473567201816</v>
      </c>
      <c r="AD61" s="12">
        <f t="shared" si="9"/>
        <v>2771652.5543531985</v>
      </c>
      <c r="AE61" s="2" t="s">
        <v>589</v>
      </c>
      <c r="AF61" s="7">
        <f>VLOOKUP($B61,'[9]Subsidiary wise dispatch'!$A$3:$R$138,11,FALSE)*$H61*$O61*365</f>
        <v>0</v>
      </c>
      <c r="AG61" s="7">
        <f>VLOOKUP($B61,'[9]Subsidiary wise dispatch'!$A$3:$R$138,12,FALSE)*$H61*$O61*365</f>
        <v>0</v>
      </c>
      <c r="AH61" s="7">
        <f>VLOOKUP($B61,'[9]Subsidiary wise dispatch'!$A$3:$R$138,13,FALSE)*$H61*$O61*365</f>
        <v>0</v>
      </c>
      <c r="AI61" s="7">
        <f>VLOOKUP($B61,'[9]Subsidiary wise dispatch'!$A$3:$R$138,14,FALSE)*$H61*$O61*365</f>
        <v>0</v>
      </c>
      <c r="AJ61" s="7">
        <f>VLOOKUP($B61,'[9]Subsidiary wise dispatch'!$A$3:$R$138,15,FALSE)*$H61*$O61*365</f>
        <v>2431.2872987799756</v>
      </c>
      <c r="AK61" s="7">
        <f>VLOOKUP($B61,'[9]Subsidiary wise dispatch'!$A$3:$R$138,16,FALSE)*$H61*$O61*365</f>
        <v>0</v>
      </c>
      <c r="AL61" s="7">
        <f>VLOOKUP($B61,'[9]Subsidiary wise dispatch'!$A$3:$R$138,17,FALSE)*$H61*$O61*365</f>
        <v>3065388.3587467796</v>
      </c>
      <c r="AM61" s="7">
        <f>VLOOKUP($B61,'[9]Subsidiary wise dispatch'!$A$3:$R$138,18,FALSE)*$H61*$O61*365</f>
        <v>0</v>
      </c>
      <c r="AN61" s="15">
        <f t="shared" si="10"/>
        <v>3067819.6460455596</v>
      </c>
      <c r="AO61" s="6">
        <v>5.4595359838897593E-2</v>
      </c>
      <c r="AP61" s="11">
        <f t="shared" si="20"/>
        <v>0.77385898942821696</v>
      </c>
      <c r="AQ61" s="11">
        <f t="shared" si="11"/>
        <v>0.73507192487091721</v>
      </c>
      <c r="AR61" s="3">
        <f>VLOOKUP(A61,[10]Sheet1!$A$2:$L$542,12,FALSE)</f>
        <v>1.3472208353353701</v>
      </c>
      <c r="AS61" s="3">
        <f t="shared" si="43"/>
        <v>1.5554645748963902</v>
      </c>
      <c r="AT61" s="3">
        <f t="shared" si="40"/>
        <v>1.556984299458509</v>
      </c>
      <c r="AU61" s="3">
        <f t="shared" si="12"/>
        <v>-1.519724562118796E-3</v>
      </c>
      <c r="AV61" s="88">
        <f t="shared" si="21"/>
        <v>-3.2868002890725355E-2</v>
      </c>
      <c r="AW61" s="32">
        <f t="shared" si="22"/>
        <v>2.0153643377377895E-2</v>
      </c>
      <c r="AX61" s="12">
        <f t="shared" si="44"/>
        <v>804.74648461705476</v>
      </c>
      <c r="AY61" s="12">
        <f t="shared" si="13"/>
        <v>765.15813618869186</v>
      </c>
      <c r="AZ61" s="3">
        <f>VLOOKUP(A61,[5]Analysis!$A$3:$BJ$543,62,FALSE)</f>
        <v>0.43306930504238034</v>
      </c>
      <c r="BA61" s="2"/>
      <c r="BB61" s="2"/>
      <c r="BC61" s="2" t="str">
        <f>VLOOKUP(A61,'[6]FGD status - Jun 2020'!$I$2:$M$449,5,FALSE)</f>
        <v>Bid Awarded</v>
      </c>
      <c r="BD61" s="2"/>
      <c r="BE61" s="2"/>
      <c r="BF61" s="2">
        <f t="shared" si="14"/>
        <v>984.75150690355417</v>
      </c>
      <c r="BG61" s="2">
        <f t="shared" si="15"/>
        <v>940.77521169963836</v>
      </c>
      <c r="BH61" s="2"/>
      <c r="BI61" s="2"/>
      <c r="BK61">
        <f t="shared" si="16"/>
        <v>590.6019239484167</v>
      </c>
      <c r="BL61">
        <f>VLOOKUP(A61,'[11]Daily coal vs energy req.2'!$C$2:$P$599,14,FALSE)</f>
        <v>0.47</v>
      </c>
      <c r="BM61">
        <f>VLOOKUP(A61,'[11]Daily coal vs energy req.2'!$C$2:$R$599,16,FALSE)</f>
        <v>0.48</v>
      </c>
      <c r="BN61">
        <f t="shared" si="47"/>
        <v>310.2</v>
      </c>
      <c r="BO61">
        <f t="shared" si="48"/>
        <v>316.8</v>
      </c>
      <c r="BP61" s="2" t="str">
        <f>VLOOKUP(A61,'[7]Table 2'!$J$2:$N$449,5,FALSE)</f>
        <v>Bid Awarded</v>
      </c>
      <c r="BR61">
        <f t="shared" si="23"/>
        <v>577.46482696382225</v>
      </c>
      <c r="BS61">
        <f t="shared" si="24"/>
        <v>551.67683524975996</v>
      </c>
      <c r="BT61">
        <f>(X61*I61*365*[5]Analysis!BK61)/10^4</f>
        <v>514.04457425377279</v>
      </c>
      <c r="BU61">
        <f>(W61*R61*365*[5]Analysis!BK61)/10^4</f>
        <v>491.0887566826612</v>
      </c>
      <c r="BV61">
        <f>(X61*I61*365*[5]Analysis!BL61)/10^4</f>
        <v>63.420252710049439</v>
      </c>
      <c r="BW61">
        <f>(W61*R61*365*[5]Analysis!BL61)/10^4</f>
        <v>60.588078567098641</v>
      </c>
      <c r="BX61">
        <f t="shared" si="25"/>
        <v>3744545.6948028794</v>
      </c>
      <c r="BY61">
        <f t="shared" si="26"/>
        <v>3577324.5778766456</v>
      </c>
      <c r="BZ61">
        <f t="shared" si="41"/>
        <v>11606616.913840579</v>
      </c>
      <c r="CA61">
        <f t="shared" si="27"/>
        <v>11024874.496062877</v>
      </c>
      <c r="CB61">
        <f t="shared" si="28"/>
        <v>-1367883.0926696716</v>
      </c>
      <c r="CC61">
        <f t="shared" si="29"/>
        <v>-1234198.4292000001</v>
      </c>
      <c r="CD61">
        <f t="shared" si="30"/>
        <v>0</v>
      </c>
      <c r="CE61">
        <f t="shared" si="31"/>
        <v>0</v>
      </c>
      <c r="CF61">
        <f t="shared" si="32"/>
        <v>9238103.1605009977</v>
      </c>
      <c r="CG61">
        <f t="shared" si="33"/>
        <v>8775074.4840000011</v>
      </c>
      <c r="CH61">
        <f t="shared" si="34"/>
        <v>901705.15227328404</v>
      </c>
      <c r="CI61">
        <f t="shared" si="35"/>
        <v>856510.23119507148</v>
      </c>
      <c r="CJ61">
        <f t="shared" si="36"/>
        <v>-5630855.4407089045</v>
      </c>
      <c r="CK61">
        <f t="shared" si="37"/>
        <v>-5348627.8560000015</v>
      </c>
      <c r="CL61">
        <f t="shared" si="38"/>
        <v>2187733.412909104</v>
      </c>
      <c r="CM61">
        <f t="shared" si="39"/>
        <v>2078080.6747747769</v>
      </c>
    </row>
    <row r="62" spans="1:91" x14ac:dyDescent="0.2">
      <c r="A62" s="2" t="s">
        <v>42</v>
      </c>
      <c r="B62" s="2" t="str">
        <f t="shared" si="46"/>
        <v>TALWANDI SABO TPS</v>
      </c>
      <c r="C62" s="2" t="str">
        <f>VLOOKUP($A62,'[1]daily coal, energy reqd'!$C$2:$T$599,17,FALSE)</f>
        <v>Punjab</v>
      </c>
      <c r="D62" s="2" t="str">
        <f>VLOOKUP(C62,'Target PLF'!$I$2:$J$19,2,FALSE)</f>
        <v>NR</v>
      </c>
      <c r="E62" s="2" t="str">
        <f>VLOOKUP(A62,[2]Ownership!$C$2:$D$666,2,FALSE)</f>
        <v>PVT SECTOR</v>
      </c>
      <c r="F62" s="2" t="s">
        <v>542</v>
      </c>
      <c r="G62" s="12">
        <v>4.1752224503764497</v>
      </c>
      <c r="H62" s="2">
        <v>660</v>
      </c>
      <c r="I62" s="2">
        <f>VLOOKUP(A62,'[3]Calculated coal req (reg.)'!$A$2:$I$599,9,FALSE)</f>
        <v>8.9884295209845106</v>
      </c>
      <c r="J62" s="2"/>
      <c r="K62" s="11">
        <v>0.56745135864801211</v>
      </c>
      <c r="L62" s="3">
        <f>VLOOKUP(F62,'Target PLF'!$A$2:$B$11,2,FALSE)</f>
        <v>0.85</v>
      </c>
      <c r="M62" s="3">
        <f t="shared" si="17"/>
        <v>0.28254864135198787</v>
      </c>
      <c r="N62" s="2" t="str">
        <f t="shared" si="0"/>
        <v>0.15</v>
      </c>
      <c r="O62" s="2">
        <f t="shared" si="49"/>
        <v>7.1499785093930601</v>
      </c>
      <c r="P62" s="2">
        <f t="shared" si="1"/>
        <v>1722429.8229127883</v>
      </c>
      <c r="Q62" s="2">
        <f t="shared" si="2"/>
        <v>11.081162521115674</v>
      </c>
      <c r="R62" s="2">
        <f t="shared" si="3"/>
        <v>13.464</v>
      </c>
      <c r="S62" s="2">
        <f t="shared" si="4"/>
        <v>2669452.0513367658</v>
      </c>
      <c r="T62" s="2" t="str">
        <f>VLOOKUP(A62,'[4]CEA vs MERIT comp. &amp; NPA marker'!$C$2:$K$735,9,FALSE)</f>
        <v>Contracted</v>
      </c>
      <c r="U62" s="3">
        <f>VLOOKUP(B62,'[8]Import-Domestic share'!$A$208:$F$406,6,FALSE)</f>
        <v>0.15771750712608484</v>
      </c>
      <c r="V62" s="3">
        <f t="shared" si="5"/>
        <v>271657.33786942874</v>
      </c>
      <c r="W62" s="2">
        <f t="shared" si="6"/>
        <v>2593.2957988149474</v>
      </c>
      <c r="X62" s="2">
        <f t="shared" si="7"/>
        <v>2686.6982422450437</v>
      </c>
      <c r="Y62" s="6">
        <f t="shared" si="8"/>
        <v>0.33162433702819105</v>
      </c>
      <c r="Z62" s="2">
        <f t="shared" si="18"/>
        <v>3774356.5054768198</v>
      </c>
      <c r="AA62" s="2">
        <f t="shared" si="19"/>
        <v>2610474.5771597126</v>
      </c>
      <c r="AB62" s="2" t="s">
        <v>598</v>
      </c>
      <c r="AC62" s="12">
        <f>VLOOKUP(B62,[9]Sheet1!$A$2:$B$137,2,FALSE)</f>
        <v>3376.5727014317126</v>
      </c>
      <c r="AD62" s="12">
        <f t="shared" si="9"/>
        <v>2228537.9829449304</v>
      </c>
      <c r="AE62" s="2"/>
      <c r="AF62" s="7">
        <f>VLOOKUP($B62,'[9]Subsidiary wise dispatch'!$A$3:$R$138,11,FALSE)*$H62*$O62*365</f>
        <v>0</v>
      </c>
      <c r="AG62" s="7">
        <f>VLOOKUP($B62,'[9]Subsidiary wise dispatch'!$A$3:$R$138,12,FALSE)*$H62*$O62*365</f>
        <v>0</v>
      </c>
      <c r="AH62" s="7">
        <f>VLOOKUP($B62,'[9]Subsidiary wise dispatch'!$A$3:$R$138,13,FALSE)*$H62*$O62*365</f>
        <v>0</v>
      </c>
      <c r="AI62" s="7">
        <f>VLOOKUP($B62,'[9]Subsidiary wise dispatch'!$A$3:$R$138,14,FALSE)*$H62*$O62*365</f>
        <v>1722429.8229127883</v>
      </c>
      <c r="AJ62" s="7">
        <f>VLOOKUP($B62,'[9]Subsidiary wise dispatch'!$A$3:$R$138,15,FALSE)*$H62*$O62*365</f>
        <v>0</v>
      </c>
      <c r="AK62" s="7">
        <f>VLOOKUP($B62,'[9]Subsidiary wise dispatch'!$A$3:$R$138,16,FALSE)*$H62*$O62*365</f>
        <v>0</v>
      </c>
      <c r="AL62" s="7">
        <f>VLOOKUP($B62,'[9]Subsidiary wise dispatch'!$A$3:$R$138,17,FALSE)*$H62*$O62*365</f>
        <v>0</v>
      </c>
      <c r="AM62" s="7">
        <f>VLOOKUP($B62,'[9]Subsidiary wise dispatch'!$A$3:$R$138,18,FALSE)*$H62*$O62*365</f>
        <v>0</v>
      </c>
      <c r="AN62" s="15">
        <f t="shared" si="10"/>
        <v>1722429.8229127883</v>
      </c>
      <c r="AO62" s="6">
        <v>7.1090892196094782E-2</v>
      </c>
      <c r="AP62" s="11">
        <f t="shared" si="20"/>
        <v>0.63899547408850565</v>
      </c>
      <c r="AQ62" s="11">
        <f t="shared" si="11"/>
        <v>0.95716777252822016</v>
      </c>
      <c r="AR62" s="3">
        <f>VLOOKUP(A62,[10]Sheet1!$A$2:$L$542,12,FALSE)</f>
        <v>2.85</v>
      </c>
      <c r="AS62" s="3">
        <f t="shared" si="43"/>
        <v>3.5696500242759215</v>
      </c>
      <c r="AT62" s="3">
        <f t="shared" si="40"/>
        <v>3.5600762738243366</v>
      </c>
      <c r="AU62" s="3">
        <f t="shared" si="12"/>
        <v>9.5737504515849281E-3</v>
      </c>
      <c r="AV62" s="88">
        <f t="shared" si="21"/>
        <v>0.20705729535556375</v>
      </c>
      <c r="AW62" s="32">
        <f t="shared" si="22"/>
        <v>5.5322943022695054E-2</v>
      </c>
      <c r="AX62" s="12">
        <f t="shared" si="44"/>
        <v>1171.1224895091441</v>
      </c>
      <c r="AY62" s="12">
        <f t="shared" si="13"/>
        <v>1749.5496437031366</v>
      </c>
      <c r="AZ62" s="3">
        <f>VLOOKUP(A62,[5]Analysis!$A$3:$BJ$543,62,FALSE)</f>
        <v>1.4850347551807193</v>
      </c>
      <c r="BA62" s="2"/>
      <c r="BB62" s="2"/>
      <c r="BC62" s="2" t="str">
        <f>VLOOKUP(A62,'[6]FGD status - Jun 2020'!$I$2:$M$449,5,FALSE)</f>
        <v>Bid Awarded</v>
      </c>
      <c r="BD62" s="2"/>
      <c r="BE62" s="2"/>
      <c r="BF62" s="2">
        <f t="shared" si="14"/>
        <v>895.88474875713007</v>
      </c>
      <c r="BG62" s="2">
        <f t="shared" si="15"/>
        <v>1295.315594801926</v>
      </c>
      <c r="BH62" s="2"/>
      <c r="BI62" s="2"/>
      <c r="BK62">
        <f t="shared" si="16"/>
        <v>374.51789670768801</v>
      </c>
      <c r="BL62">
        <f>VLOOKUP(A62,'[11]Daily coal vs energy req.2'!$C$2:$P$599,14,FALSE)</f>
        <v>0.95</v>
      </c>
      <c r="BM62">
        <f>VLOOKUP(A62,'[11]Daily coal vs energy req.2'!$C$2:$R$599,16,FALSE)</f>
        <v>0.92</v>
      </c>
      <c r="BN62">
        <f t="shared" si="47"/>
        <v>627</v>
      </c>
      <c r="BO62">
        <f t="shared" si="48"/>
        <v>607.20000000000005</v>
      </c>
      <c r="BP62" s="2" t="str">
        <f>VLOOKUP(A62,'[7]Table 2'!$J$2:$N$449,5,FALSE)</f>
        <v>Bid Awarded</v>
      </c>
      <c r="BR62">
        <f t="shared" si="23"/>
        <v>1308.9775282655939</v>
      </c>
      <c r="BS62">
        <f t="shared" si="24"/>
        <v>1892.5860809216156</v>
      </c>
      <c r="BT62">
        <f>(X62*I62*365*[5]Analysis!BK62)/10^4</f>
        <v>512.32080128959615</v>
      </c>
      <c r="BU62">
        <f>(W62*R62*365*[5]Analysis!BK62)/10^4</f>
        <v>740.73939128049165</v>
      </c>
      <c r="BV62">
        <f>(X62*I62*365*[5]Analysis!BL62)/10^4</f>
        <v>796.65672697599769</v>
      </c>
      <c r="BW62">
        <f>(W62*R62*365*[5]Analysis!BL62)/10^4</f>
        <v>1151.8466896411239</v>
      </c>
      <c r="BX62">
        <f t="shared" si="25"/>
        <v>2475292.7739436859</v>
      </c>
      <c r="BY62">
        <f t="shared" si="26"/>
        <v>3578903.8001125562</v>
      </c>
      <c r="BZ62">
        <f t="shared" si="41"/>
        <v>25238444.422894809</v>
      </c>
      <c r="CA62">
        <f t="shared" si="27"/>
        <v>37805315.702429406</v>
      </c>
      <c r="CB62">
        <f t="shared" si="28"/>
        <v>-550052.84877243685</v>
      </c>
      <c r="CC62">
        <f t="shared" si="29"/>
        <v>-1234198.4292000001</v>
      </c>
      <c r="CD62">
        <f t="shared" si="30"/>
        <v>-3317129.5795140159</v>
      </c>
      <c r="CE62">
        <f t="shared" si="31"/>
        <v>-4968813.8016000008</v>
      </c>
      <c r="CF62">
        <f t="shared" si="32"/>
        <v>5858150.5155097684</v>
      </c>
      <c r="CG62">
        <f t="shared" si="33"/>
        <v>8775074.4840000011</v>
      </c>
      <c r="CH62">
        <f t="shared" si="34"/>
        <v>277881.20531662653</v>
      </c>
      <c r="CI62">
        <f t="shared" si="35"/>
        <v>416245.41190965049</v>
      </c>
      <c r="CJ62">
        <f t="shared" si="36"/>
        <v>-3570689.5809291815</v>
      </c>
      <c r="CK62">
        <f t="shared" si="37"/>
        <v>-5348627.8560000015</v>
      </c>
      <c r="CL62">
        <f t="shared" si="38"/>
        <v>1806468.3210490656</v>
      </c>
      <c r="CM62">
        <f t="shared" si="39"/>
        <v>2705955.4083192693</v>
      </c>
    </row>
    <row r="63" spans="1:91" x14ac:dyDescent="0.2">
      <c r="A63" s="2" t="s">
        <v>44</v>
      </c>
      <c r="B63" s="2" t="str">
        <f t="shared" si="46"/>
        <v>MAHAN TPP</v>
      </c>
      <c r="C63" s="2" t="str">
        <f>VLOOKUP($A63,'[1]daily coal, energy reqd'!$C$2:$T$599,17,FALSE)</f>
        <v>Madhya Pradesh</v>
      </c>
      <c r="D63" s="2" t="str">
        <f>VLOOKUP(C63,'Target PLF'!$I$2:$J$19,2,FALSE)</f>
        <v>WR</v>
      </c>
      <c r="E63" s="2" t="str">
        <f>VLOOKUP(A63,[2]Ownership!$C$2:$D$666,2,FALSE)</f>
        <v>PVT SECTOR</v>
      </c>
      <c r="F63" s="2" t="s">
        <v>542</v>
      </c>
      <c r="G63" s="13">
        <v>1.67008898015058</v>
      </c>
      <c r="H63" s="2">
        <v>600</v>
      </c>
      <c r="I63" s="2">
        <f>VLOOKUP(A63,'[3]Calculated coal req (reg.)'!$A$2:$I$599,9,FALSE)</f>
        <v>4.7245915293662799</v>
      </c>
      <c r="J63" s="2"/>
      <c r="K63" s="11">
        <v>0.32809663398376948</v>
      </c>
      <c r="L63" s="3">
        <f>VLOOKUP(F63,'Target PLF'!$A$2:$B$11,2,FALSE)</f>
        <v>0.85</v>
      </c>
      <c r="M63" s="3">
        <f t="shared" si="17"/>
        <v>0.52190336601623044</v>
      </c>
      <c r="N63" s="2" t="str">
        <f t="shared" si="0"/>
        <v>0.15</v>
      </c>
      <c r="O63" s="2">
        <f t="shared" si="49"/>
        <v>4.0528883160526501</v>
      </c>
      <c r="P63" s="2">
        <f t="shared" si="1"/>
        <v>887582.54121553036</v>
      </c>
      <c r="Q63" s="2">
        <f t="shared" si="2"/>
        <v>11.314286418446271</v>
      </c>
      <c r="R63" s="2">
        <f t="shared" si="3"/>
        <v>12.24</v>
      </c>
      <c r="S63" s="2">
        <f t="shared" si="4"/>
        <v>2477828.7256397335</v>
      </c>
      <c r="T63" s="2" t="str">
        <f>VLOOKUP(A63,'[4]CEA vs MERIT comp. &amp; NPA marker'!$C$2:$K$735,9,FALSE)</f>
        <v>Not contracted</v>
      </c>
      <c r="U63" s="3">
        <f>VLOOKUP(B63,'[8]Import-Domestic share'!$A$208:$F$406,6,FALSE)</f>
        <v>0</v>
      </c>
      <c r="V63" s="3">
        <f t="shared" si="5"/>
        <v>0</v>
      </c>
      <c r="W63" s="2">
        <f t="shared" si="6"/>
        <v>2594.141476646133</v>
      </c>
      <c r="X63" s="2">
        <f t="shared" si="7"/>
        <v>2766.6676986341572</v>
      </c>
      <c r="Y63" s="6">
        <f t="shared" si="8"/>
        <v>0.33151622906544842</v>
      </c>
      <c r="Z63" s="2">
        <f t="shared" si="18"/>
        <v>2306250.5717220278</v>
      </c>
      <c r="AA63" s="2">
        <f t="shared" si="19"/>
        <v>949407.55313131947</v>
      </c>
      <c r="AB63" s="2" t="s">
        <v>598</v>
      </c>
      <c r="AC63" s="12">
        <f>VLOOKUP(B63,[9]Sheet1!$A$2:$B$137,2,FALSE)</f>
        <v>5025.2936966908019</v>
      </c>
      <c r="AD63" s="12">
        <f t="shared" si="9"/>
        <v>3015176.218014481</v>
      </c>
      <c r="AE63" s="2"/>
      <c r="AF63" s="7">
        <f>VLOOKUP($B63,'[9]Subsidiary wise dispatch'!$A$3:$R$138,11,FALSE)*$H63*$O63*365</f>
        <v>0</v>
      </c>
      <c r="AG63" s="7">
        <f>VLOOKUP($B63,'[9]Subsidiary wise dispatch'!$A$3:$R$138,12,FALSE)*$H63*$O63*365</f>
        <v>13594.430575639004</v>
      </c>
      <c r="AH63" s="7">
        <f>VLOOKUP($B63,'[9]Subsidiary wise dispatch'!$A$3:$R$138,13,FALSE)*$H63*$O63*365</f>
        <v>0</v>
      </c>
      <c r="AI63" s="7">
        <f>VLOOKUP($B63,'[9]Subsidiary wise dispatch'!$A$3:$R$138,14,FALSE)*$H63*$O63*365</f>
        <v>0</v>
      </c>
      <c r="AJ63" s="7">
        <f>VLOOKUP($B63,'[9]Subsidiary wise dispatch'!$A$3:$R$138,15,FALSE)*$H63*$O63*365</f>
        <v>873988.11063989135</v>
      </c>
      <c r="AK63" s="7">
        <f>VLOOKUP($B63,'[9]Subsidiary wise dispatch'!$A$3:$R$138,16,FALSE)*$H63*$O63*365</f>
        <v>0</v>
      </c>
      <c r="AL63" s="7">
        <f>VLOOKUP($B63,'[9]Subsidiary wise dispatch'!$A$3:$R$138,17,FALSE)*$H63*$O63*365</f>
        <v>0</v>
      </c>
      <c r="AM63" s="7">
        <f>VLOOKUP($B63,'[9]Subsidiary wise dispatch'!$A$3:$R$138,18,FALSE)*$H63*$O63*365</f>
        <v>0</v>
      </c>
      <c r="AN63" s="15">
        <f t="shared" si="10"/>
        <v>887582.54121553036</v>
      </c>
      <c r="AO63" s="6">
        <v>9.2920955405355318E-2</v>
      </c>
      <c r="AP63" s="11">
        <f t="shared" si="20"/>
        <v>0.43901355880876358</v>
      </c>
      <c r="AQ63" s="11">
        <f t="shared" si="11"/>
        <v>1.1373524941615492</v>
      </c>
      <c r="AR63" s="3"/>
      <c r="AS63" s="3">
        <f t="shared" si="43"/>
        <v>1.8417872981006813</v>
      </c>
      <c r="AT63" s="3">
        <f t="shared" si="40"/>
        <v>1.8241033603469088</v>
      </c>
      <c r="AU63" s="3">
        <f t="shared" si="12"/>
        <v>1.7683937753772527E-2</v>
      </c>
      <c r="AV63" s="88">
        <f t="shared" si="21"/>
        <v>0.382461224684014</v>
      </c>
      <c r="AW63" s="32">
        <f t="shared" si="22"/>
        <v>0.19805614215409847</v>
      </c>
      <c r="AX63" s="12">
        <f t="shared" si="44"/>
        <v>317.61178236378231</v>
      </c>
      <c r="AY63" s="12">
        <f t="shared" si="13"/>
        <v>814.93641726858493</v>
      </c>
      <c r="AZ63" s="3">
        <f>VLOOKUP(A63,[5]Analysis!$A$3:$BJ$543,62,FALSE)</f>
        <v>0.52493676207722073</v>
      </c>
      <c r="BA63" s="2"/>
      <c r="BB63" s="2"/>
      <c r="BC63" s="2" t="e">
        <f>VLOOKUP(A63,'[6]FGD status - Jun 2020'!$I$2:$M$449,5,FALSE)</f>
        <v>#N/A</v>
      </c>
      <c r="BD63" s="2"/>
      <c r="BE63" s="2"/>
      <c r="BF63" s="2">
        <f t="shared" si="14"/>
        <v>293.8416376941434</v>
      </c>
      <c r="BG63" s="2">
        <f t="shared" si="15"/>
        <v>713.78455194796766</v>
      </c>
      <c r="BH63" s="2"/>
      <c r="BI63" s="2"/>
      <c r="BK63">
        <f t="shared" si="16"/>
        <v>196.8579803902617</v>
      </c>
      <c r="BP63" s="2" t="e">
        <f>VLOOKUP(A63,'[7]Table 2'!$J$2:$N$449,5,FALSE)</f>
        <v>#N/A</v>
      </c>
      <c r="BR63">
        <f t="shared" si="23"/>
        <v>250.45004795744447</v>
      </c>
      <c r="BS63">
        <f t="shared" si="24"/>
        <v>608.379999068507</v>
      </c>
      <c r="BT63">
        <f>(X63*I63*365*[5]Analysis!BK63)/10^4</f>
        <v>212.10863934616418</v>
      </c>
      <c r="BU63">
        <f>(W63*R63*365*[5]Analysis!BK63)/10^4</f>
        <v>515.24307885047051</v>
      </c>
      <c r="BV63">
        <f>(X63*I63*365*[5]Analysis!BL63)/10^4</f>
        <v>38.341408611280279</v>
      </c>
      <c r="BW63">
        <f>(W63*R63*365*[5]Analysis!BL63)/10^4</f>
        <v>93.136920218036593</v>
      </c>
      <c r="BX63">
        <f t="shared" si="25"/>
        <v>1339815.9142876694</v>
      </c>
      <c r="BY63">
        <f t="shared" si="26"/>
        <v>3254609.8966002385</v>
      </c>
      <c r="BZ63">
        <f t="shared" si="41"/>
        <v>4689358.151121025</v>
      </c>
      <c r="CA63">
        <f t="shared" si="27"/>
        <v>12148720.881574336</v>
      </c>
      <c r="CB63">
        <f t="shared" si="28"/>
        <v>-167169.86915049292</v>
      </c>
      <c r="CC63">
        <f t="shared" si="29"/>
        <v>-1121998.5720000002</v>
      </c>
      <c r="CD63">
        <f t="shared" si="30"/>
        <v>-1743584.0462000612</v>
      </c>
      <c r="CE63">
        <f t="shared" si="31"/>
        <v>-4517103.4560000002</v>
      </c>
      <c r="CF63">
        <f t="shared" si="32"/>
        <v>3079221.8194195321</v>
      </c>
      <c r="CG63">
        <f t="shared" si="33"/>
        <v>7977340.4400000004</v>
      </c>
      <c r="CH63">
        <f t="shared" si="34"/>
        <v>58425.120239034841</v>
      </c>
      <c r="CI63">
        <f t="shared" si="35"/>
        <v>151361.96796714564</v>
      </c>
      <c r="CJ63">
        <f t="shared" si="36"/>
        <v>-1706238.9849153382</v>
      </c>
      <c r="CK63">
        <f t="shared" si="37"/>
        <v>-4420353.6000000006</v>
      </c>
      <c r="CL63">
        <f t="shared" si="38"/>
        <v>1241110.6473489623</v>
      </c>
      <c r="CM63">
        <f t="shared" si="39"/>
        <v>3215345.5445044423</v>
      </c>
    </row>
    <row r="64" spans="1:91" x14ac:dyDescent="0.2">
      <c r="A64" s="2" t="s">
        <v>83</v>
      </c>
      <c r="B64" s="2" t="str">
        <f t="shared" si="46"/>
        <v>TIRORA TPS</v>
      </c>
      <c r="C64" s="2" t="str">
        <f>VLOOKUP($A64,'[1]daily coal, energy reqd'!$C$2:$T$599,17,FALSE)</f>
        <v>Maharashtra</v>
      </c>
      <c r="D64" s="2" t="str">
        <f>VLOOKUP(C64,'Target PLF'!$I$2:$J$19,2,FALSE)</f>
        <v>WR</v>
      </c>
      <c r="E64" s="2" t="str">
        <f>VLOOKUP(A64,[2]Ownership!$C$2:$D$666,2,FALSE)</f>
        <v>PVT SECTOR</v>
      </c>
      <c r="F64" s="2" t="s">
        <v>543</v>
      </c>
      <c r="G64" s="12">
        <v>7.6714579055441403</v>
      </c>
      <c r="H64" s="2">
        <v>660</v>
      </c>
      <c r="I64" s="2">
        <f>VLOOKUP(A64,'[3]Calculated coal req (reg.)'!$A$2:$I$599,9,FALSE)</f>
        <v>12.018567155746201</v>
      </c>
      <c r="J64" s="2"/>
      <c r="K64" s="11">
        <v>0.75874792649912881</v>
      </c>
      <c r="L64" s="3">
        <f>VLOOKUP(F64,'Target PLF'!$A$2:$B$11,2,FALSE)</f>
        <v>0.85</v>
      </c>
      <c r="M64" s="3">
        <f t="shared" si="17"/>
        <v>9.1252073500871167E-2</v>
      </c>
      <c r="N64" s="2" t="str">
        <f t="shared" si="0"/>
        <v>0.15</v>
      </c>
      <c r="O64" s="2">
        <f t="shared" si="49"/>
        <v>9.9222883049184389</v>
      </c>
      <c r="P64" s="2">
        <f t="shared" si="1"/>
        <v>2390279.2526548519</v>
      </c>
      <c r="Q64" s="2">
        <f t="shared" si="2"/>
        <v>11.191905779158111</v>
      </c>
      <c r="R64" s="2">
        <f t="shared" si="3"/>
        <v>13.464</v>
      </c>
      <c r="S64" s="2">
        <f t="shared" si="4"/>
        <v>2696130.1021991889</v>
      </c>
      <c r="T64" s="2" t="str">
        <f>VLOOKUP(A64,'[4]CEA vs MERIT comp. &amp; NPA marker'!$C$2:$K$735,9,FALSE)</f>
        <v>Contracted</v>
      </c>
      <c r="U64" s="3">
        <f>VLOOKUP(B64,'[8]Import-Domestic share'!$A$208:$F$406,6,FALSE)</f>
        <v>4.5121823647374507E-2</v>
      </c>
      <c r="V64" s="3">
        <f t="shared" si="5"/>
        <v>107853.75890627036</v>
      </c>
      <c r="W64" s="2">
        <f t="shared" si="6"/>
        <v>2594.6235877947652</v>
      </c>
      <c r="X64" s="2">
        <f t="shared" si="7"/>
        <v>2624.7888952344365</v>
      </c>
      <c r="Y64" s="6">
        <f t="shared" si="8"/>
        <v>0.3314546295059837</v>
      </c>
      <c r="Z64" s="2">
        <f t="shared" si="18"/>
        <v>2998785.5062436694</v>
      </c>
      <c r="AA64" s="2">
        <f t="shared" si="19"/>
        <v>2707971.0224503754</v>
      </c>
      <c r="AB64" s="2" t="s">
        <v>598</v>
      </c>
      <c r="AC64" s="12">
        <f>VLOOKUP(B64,[9]Sheet1!$A$2:$B$137,2,FALSE)</f>
        <v>4252.0261447065277</v>
      </c>
      <c r="AD64" s="12">
        <f t="shared" si="9"/>
        <v>2806337.2555063083</v>
      </c>
      <c r="AE64" s="2"/>
      <c r="AF64" s="7">
        <f>VLOOKUP($B64,'[9]Subsidiary wise dispatch'!$A$3:$R$138,11,FALSE)*$H64*$O64*365</f>
        <v>0</v>
      </c>
      <c r="AG64" s="7">
        <f>VLOOKUP($B64,'[9]Subsidiary wise dispatch'!$A$3:$R$138,12,FALSE)*$H64*$O64*365</f>
        <v>0</v>
      </c>
      <c r="AH64" s="7">
        <f>VLOOKUP($B64,'[9]Subsidiary wise dispatch'!$A$3:$R$138,13,FALSE)*$H64*$O64*365</f>
        <v>0</v>
      </c>
      <c r="AI64" s="7">
        <f>VLOOKUP($B64,'[9]Subsidiary wise dispatch'!$A$3:$R$138,14,FALSE)*$H64*$O64*365</f>
        <v>131642.06877060758</v>
      </c>
      <c r="AJ64" s="7">
        <f>VLOOKUP($B64,'[9]Subsidiary wise dispatch'!$A$3:$R$138,15,FALSE)*$H64*$O64*365</f>
        <v>0</v>
      </c>
      <c r="AK64" s="7">
        <f>VLOOKUP($B64,'[9]Subsidiary wise dispatch'!$A$3:$R$138,16,FALSE)*$H64*$O64*365</f>
        <v>0</v>
      </c>
      <c r="AL64" s="7">
        <f>VLOOKUP($B64,'[9]Subsidiary wise dispatch'!$A$3:$R$138,17,FALSE)*$H64*$O64*365</f>
        <v>1684404.529475528</v>
      </c>
      <c r="AM64" s="7">
        <f>VLOOKUP($B64,'[9]Subsidiary wise dispatch'!$A$3:$R$138,18,FALSE)*$H64*$O64*365</f>
        <v>574232.65440871648</v>
      </c>
      <c r="AN64" s="15">
        <f t="shared" si="10"/>
        <v>2390279.2526548523</v>
      </c>
      <c r="AO64" s="6">
        <v>5.508216674000762E-2</v>
      </c>
      <c r="AP64" s="11">
        <f t="shared" si="20"/>
        <v>0.66200872004879141</v>
      </c>
      <c r="AQ64" s="11">
        <f t="shared" si="11"/>
        <v>0.74162629298746263</v>
      </c>
      <c r="AR64" s="3">
        <f>VLOOKUP(A64,[10]Sheet1!$A$2:$L$542,12,FALSE)</f>
        <v>2.3944739905986698</v>
      </c>
      <c r="AS64" s="3">
        <f t="shared" si="43"/>
        <v>2.0109703853089926</v>
      </c>
      <c r="AT64" s="3">
        <f t="shared" si="40"/>
        <v>2.0078784412964263</v>
      </c>
      <c r="AU64" s="3">
        <f t="shared" si="12"/>
        <v>3.0919440125662945E-3</v>
      </c>
      <c r="AV64" s="88">
        <f t="shared" si="21"/>
        <v>6.6871344502908409E-2</v>
      </c>
      <c r="AW64" s="32">
        <f t="shared" si="22"/>
        <v>3.1715733337635492E-2</v>
      </c>
      <c r="AX64" s="12">
        <f t="shared" si="44"/>
        <v>882.16786577793232</v>
      </c>
      <c r="AY64" s="12">
        <f t="shared" si="13"/>
        <v>986.74374967695053</v>
      </c>
      <c r="AZ64" s="3">
        <f>VLOOKUP(A64,[5]Analysis!$A$3:$BJ$543,62,FALSE)</f>
        <v>0.67427920387380003</v>
      </c>
      <c r="BA64" s="2"/>
      <c r="BB64" s="2"/>
      <c r="BC64" s="2" t="str">
        <f>VLOOKUP(A64,'[6]FGD status - Jun 2020'!$I$2:$M$449,5,FALSE)</f>
        <v>NIT issued</v>
      </c>
      <c r="BD64" s="2"/>
      <c r="BE64" s="2"/>
      <c r="BF64" s="2">
        <f t="shared" si="14"/>
        <v>864.2165144683064</v>
      </c>
      <c r="BG64" s="2">
        <f t="shared" si="15"/>
        <v>957.02647345868058</v>
      </c>
      <c r="BH64" s="2"/>
      <c r="BI64" s="2"/>
      <c r="BK64">
        <f t="shared" si="16"/>
        <v>500.77363148942504</v>
      </c>
      <c r="BL64">
        <f>VLOOKUP(A64,'[11]Daily coal vs energy req.2'!$C$2:$P$599,14,FALSE)</f>
        <v>0.56000000000000005</v>
      </c>
      <c r="BM64">
        <f>VLOOKUP(A64,'[11]Daily coal vs energy req.2'!$C$2:$R$599,16,FALSE)</f>
        <v>0.56999999999999995</v>
      </c>
      <c r="BN64">
        <f>BL64*H64</f>
        <v>369.6</v>
      </c>
      <c r="BO64">
        <f>BM64*H64</f>
        <v>376.2</v>
      </c>
      <c r="BP64" s="2" t="str">
        <f>VLOOKUP(A64,'[7]Table 2'!$J$2:$N$449,5,FALSE)</f>
        <v>NIT issued</v>
      </c>
      <c r="BR64">
        <f t="shared" si="23"/>
        <v>776.38959122636425</v>
      </c>
      <c r="BS64">
        <f t="shared" si="24"/>
        <v>859.76763933807331</v>
      </c>
      <c r="BT64">
        <f>(X64*I64*365*[5]Analysis!BK64)/10^4</f>
        <v>481.39074852478996</v>
      </c>
      <c r="BU64">
        <f>(W64*R64*365*[5]Analysis!BK64)/10^4</f>
        <v>533.0882744120596</v>
      </c>
      <c r="BV64">
        <f>(X64*I64*365*[5]Analysis!BL64)/10^4</f>
        <v>294.9988427015744</v>
      </c>
      <c r="BW64">
        <f>(W64*R64*365*[5]Analysis!BL64)/10^4</f>
        <v>326.67936492601399</v>
      </c>
      <c r="BX64">
        <f t="shared" si="25"/>
        <v>3233485.6647207756</v>
      </c>
      <c r="BY64">
        <f t="shared" si="26"/>
        <v>3580736.2285720436</v>
      </c>
      <c r="BZ64">
        <f t="shared" si="41"/>
        <v>15322675.636544243</v>
      </c>
      <c r="CA64">
        <f t="shared" si="27"/>
        <v>17165482.548541185</v>
      </c>
      <c r="CB64">
        <f t="shared" si="28"/>
        <v>-983427.10128590045</v>
      </c>
      <c r="CC64">
        <f t="shared" si="29"/>
        <v>-1234198.4292000001</v>
      </c>
      <c r="CD64">
        <f t="shared" si="30"/>
        <v>-4435384.9048520634</v>
      </c>
      <c r="CE64">
        <f t="shared" si="31"/>
        <v>-4968813.8016000008</v>
      </c>
      <c r="CF64">
        <f t="shared" si="32"/>
        <v>7833023.0230710749</v>
      </c>
      <c r="CG64">
        <f t="shared" si="33"/>
        <v>8775074.4840000011</v>
      </c>
      <c r="CH64">
        <f t="shared" si="34"/>
        <v>682694.39664403256</v>
      </c>
      <c r="CI64">
        <f t="shared" si="35"/>
        <v>764799.76666940376</v>
      </c>
      <c r="CJ64">
        <f t="shared" si="36"/>
        <v>-4774423.8768888023</v>
      </c>
      <c r="CK64">
        <f t="shared" si="37"/>
        <v>-5348627.8560000015</v>
      </c>
      <c r="CL64">
        <f t="shared" si="38"/>
        <v>1871527.7799616153</v>
      </c>
      <c r="CM64">
        <f t="shared" si="39"/>
        <v>2096610.1618324479</v>
      </c>
    </row>
    <row r="65" spans="1:91" x14ac:dyDescent="0.2">
      <c r="A65" s="2" t="s">
        <v>47</v>
      </c>
      <c r="B65" s="2" t="str">
        <f t="shared" si="46"/>
        <v>TALWANDI SABO TPS</v>
      </c>
      <c r="C65" s="2" t="str">
        <f>VLOOKUP($A65,'[1]daily coal, energy reqd'!$C$2:$T$599,17,FALSE)</f>
        <v>Punjab</v>
      </c>
      <c r="D65" s="2" t="str">
        <f>VLOOKUP(C65,'Target PLF'!$I$2:$J$19,2,FALSE)</f>
        <v>NR</v>
      </c>
      <c r="E65" s="2" t="str">
        <f>VLOOKUP(A65,[2]Ownership!$C$2:$D$666,2,FALSE)</f>
        <v>PVT SECTOR</v>
      </c>
      <c r="F65" s="2" t="s">
        <v>542</v>
      </c>
      <c r="G65" s="12">
        <v>4.5913757700205302</v>
      </c>
      <c r="H65" s="2">
        <v>660</v>
      </c>
      <c r="I65" s="2">
        <f>VLOOKUP(A65,'[3]Calculated coal req (reg.)'!$A$2:$I$599,9,FALSE)</f>
        <v>9.1095079596889494</v>
      </c>
      <c r="J65" s="2"/>
      <c r="K65" s="11">
        <v>0.57509519947531251</v>
      </c>
      <c r="L65" s="3">
        <f>VLOOKUP(F65,'Target PLF'!$A$2:$B$11,2,FALSE)</f>
        <v>0.85</v>
      </c>
      <c r="M65" s="3">
        <f t="shared" si="17"/>
        <v>0.27490480052468746</v>
      </c>
      <c r="N65" s="2" t="str">
        <f t="shared" si="0"/>
        <v>0.15</v>
      </c>
      <c r="O65" s="2">
        <f t="shared" si="49"/>
        <v>7.2695112163752675</v>
      </c>
      <c r="P65" s="2">
        <f t="shared" si="1"/>
        <v>1751225.2520248021</v>
      </c>
      <c r="Q65" s="2">
        <f t="shared" si="2"/>
        <v>11.094344177515401</v>
      </c>
      <c r="R65" s="2">
        <f t="shared" si="3"/>
        <v>13.464</v>
      </c>
      <c r="S65" s="2">
        <f t="shared" si="4"/>
        <v>2672627.5123634599</v>
      </c>
      <c r="T65" s="2" t="str">
        <f>VLOOKUP(A65,'[4]CEA vs MERIT comp. &amp; NPA marker'!$C$2:$K$735,9,FALSE)</f>
        <v>Contracted</v>
      </c>
      <c r="U65" s="3">
        <f>VLOOKUP(B65,'[8]Import-Domestic share'!$A$208:$F$406,6,FALSE)</f>
        <v>0.15771750712608484</v>
      </c>
      <c r="V65" s="3">
        <f t="shared" si="5"/>
        <v>276198.88116560143</v>
      </c>
      <c r="W65" s="2">
        <f t="shared" si="6"/>
        <v>2596.4754336513606</v>
      </c>
      <c r="X65" s="2">
        <f t="shared" si="7"/>
        <v>2687.3510434465675</v>
      </c>
      <c r="Y65" s="6">
        <f t="shared" si="8"/>
        <v>0.33121823101195408</v>
      </c>
      <c r="Z65" s="2">
        <f t="shared" si="18"/>
        <v>3778984.2365036244</v>
      </c>
      <c r="AA65" s="2">
        <f t="shared" si="19"/>
        <v>2646281.7413310329</v>
      </c>
      <c r="AB65" s="2" t="s">
        <v>598</v>
      </c>
      <c r="AC65" s="12">
        <f>VLOOKUP(B65,[9]Sheet1!$A$2:$B$137,2,FALSE)</f>
        <v>3376.5727014317126</v>
      </c>
      <c r="AD65" s="12">
        <f t="shared" si="9"/>
        <v>2228537.9829449304</v>
      </c>
      <c r="AE65" s="2"/>
      <c r="AF65" s="7">
        <f>VLOOKUP($B65,'[9]Subsidiary wise dispatch'!$A$3:$R$138,11,FALSE)*$H65*$O65*365</f>
        <v>0</v>
      </c>
      <c r="AG65" s="7">
        <f>VLOOKUP($B65,'[9]Subsidiary wise dispatch'!$A$3:$R$138,12,FALSE)*$H65*$O65*365</f>
        <v>0</v>
      </c>
      <c r="AH65" s="7">
        <f>VLOOKUP($B65,'[9]Subsidiary wise dispatch'!$A$3:$R$138,13,FALSE)*$H65*$O65*365</f>
        <v>0</v>
      </c>
      <c r="AI65" s="7">
        <f>VLOOKUP($B65,'[9]Subsidiary wise dispatch'!$A$3:$R$138,14,FALSE)*$H65*$O65*365</f>
        <v>1751225.2520248021</v>
      </c>
      <c r="AJ65" s="7">
        <f>VLOOKUP($B65,'[9]Subsidiary wise dispatch'!$A$3:$R$138,15,FALSE)*$H65*$O65*365</f>
        <v>0</v>
      </c>
      <c r="AK65" s="7">
        <f>VLOOKUP($B65,'[9]Subsidiary wise dispatch'!$A$3:$R$138,16,FALSE)*$H65*$O65*365</f>
        <v>0</v>
      </c>
      <c r="AL65" s="7">
        <f>VLOOKUP($B65,'[9]Subsidiary wise dispatch'!$A$3:$R$138,17,FALSE)*$H65*$O65*365</f>
        <v>0</v>
      </c>
      <c r="AM65" s="7">
        <f>VLOOKUP($B65,'[9]Subsidiary wise dispatch'!$A$3:$R$138,18,FALSE)*$H65*$O65*365</f>
        <v>0</v>
      </c>
      <c r="AN65" s="15">
        <f t="shared" si="10"/>
        <v>1751225.2520248021</v>
      </c>
      <c r="AO65" s="6">
        <v>7.1090892196094782E-2</v>
      </c>
      <c r="AP65" s="11">
        <f t="shared" si="20"/>
        <v>0.64760304832171445</v>
      </c>
      <c r="AQ65" s="11">
        <f t="shared" si="11"/>
        <v>0.95716777252822016</v>
      </c>
      <c r="AR65" s="3">
        <f>VLOOKUP(A65,[10]Sheet1!$A$2:$L$542,12,FALSE)</f>
        <v>2.85</v>
      </c>
      <c r="AS65" s="3">
        <f t="shared" si="43"/>
        <v>3.5727983436543829</v>
      </c>
      <c r="AT65" s="3">
        <f t="shared" si="40"/>
        <v>3.5634835936503744</v>
      </c>
      <c r="AU65" s="3">
        <f t="shared" si="12"/>
        <v>9.3147500040084985E-3</v>
      </c>
      <c r="AV65" s="88">
        <f t="shared" si="21"/>
        <v>0.20145573592050148</v>
      </c>
      <c r="AW65" s="32">
        <f t="shared" si="22"/>
        <v>5.3778849919630355E-2</v>
      </c>
      <c r="AX65" s="12">
        <f t="shared" si="44"/>
        <v>1187.9448756707329</v>
      </c>
      <c r="AY65" s="12">
        <f t="shared" si="13"/>
        <v>1751.2241233291654</v>
      </c>
      <c r="AZ65" s="3">
        <f>VLOOKUP(A65,[5]Analysis!$A$3:$BJ$543,62,FALSE)</f>
        <v>1.4850347551807193</v>
      </c>
      <c r="BA65" s="2"/>
      <c r="BB65" s="2"/>
      <c r="BC65" s="2" t="str">
        <f>VLOOKUP(A65,'[6]FGD status - Jun 2020'!$I$2:$M$449,5,FALSE)</f>
        <v>Bid Awarded</v>
      </c>
      <c r="BD65" s="2"/>
      <c r="BE65" s="2"/>
      <c r="BF65" s="2">
        <f t="shared" si="14"/>
        <v>908.17335426894147</v>
      </c>
      <c r="BG65" s="2">
        <f t="shared" si="15"/>
        <v>1296.9037786840981</v>
      </c>
      <c r="BH65" s="2"/>
      <c r="BI65" s="2"/>
      <c r="BK65">
        <f t="shared" si="16"/>
        <v>379.56283165370627</v>
      </c>
      <c r="BL65">
        <f>VLOOKUP(A65,'[11]Daily coal vs energy req.2'!$C$2:$P$599,14,FALSE)</f>
        <v>1.06</v>
      </c>
      <c r="BM65">
        <f>VLOOKUP(A65,'[11]Daily coal vs energy req.2'!$C$2:$R$599,16,FALSE)</f>
        <v>0.98</v>
      </c>
      <c r="BN65">
        <f>BL65*H65</f>
        <v>699.6</v>
      </c>
      <c r="BO65">
        <f>BM65*H65</f>
        <v>646.79999999999995</v>
      </c>
      <c r="BP65" s="2" t="str">
        <f>VLOOKUP(A65,'[7]Table 2'!$J$2:$N$449,5,FALSE)</f>
        <v>Bid Awarded</v>
      </c>
      <c r="BR65">
        <f t="shared" si="23"/>
        <v>1326.9324141937195</v>
      </c>
      <c r="BS65">
        <f t="shared" si="24"/>
        <v>1894.9065769624292</v>
      </c>
      <c r="BT65">
        <f>(X65*I65*365*[5]Analysis!BK65)/10^4</f>
        <v>519.34816527952569</v>
      </c>
      <c r="BU65">
        <f>(W65*R65*365*[5]Analysis!BK65)/10^4</f>
        <v>741.647610379252</v>
      </c>
      <c r="BV65">
        <f>(X65*I65*365*[5]Analysis!BL65)/10^4</f>
        <v>807.58424891419384</v>
      </c>
      <c r="BW65">
        <f>(W65*R65*365*[5]Analysis!BL65)/10^4</f>
        <v>1153.2589665831772</v>
      </c>
      <c r="BX65">
        <f t="shared" si="25"/>
        <v>2509245.6863773782</v>
      </c>
      <c r="BY65">
        <f t="shared" si="26"/>
        <v>3583291.8869648962</v>
      </c>
      <c r="BZ65">
        <f t="shared" si="41"/>
        <v>25578418.323665645</v>
      </c>
      <c r="CA65">
        <f t="shared" si="27"/>
        <v>37805315.702429406</v>
      </c>
      <c r="CB65">
        <f t="shared" si="28"/>
        <v>-564971.60711286007</v>
      </c>
      <c r="CC65">
        <f t="shared" si="29"/>
        <v>-1234198.4292000001</v>
      </c>
      <c r="CD65">
        <f t="shared" si="30"/>
        <v>-3361812.8992786324</v>
      </c>
      <c r="CE65">
        <f t="shared" si="31"/>
        <v>-4968813.8016000008</v>
      </c>
      <c r="CF65">
        <f t="shared" si="32"/>
        <v>5937062.600925535</v>
      </c>
      <c r="CG65">
        <f t="shared" si="33"/>
        <v>8775074.4840000011</v>
      </c>
      <c r="CH65">
        <f t="shared" si="34"/>
        <v>309694.50179319811</v>
      </c>
      <c r="CI65">
        <f t="shared" si="35"/>
        <v>457733.47919507144</v>
      </c>
      <c r="CJ65">
        <f t="shared" si="36"/>
        <v>-3618788.4750182745</v>
      </c>
      <c r="CK65">
        <f t="shared" si="37"/>
        <v>-5348627.8560000015</v>
      </c>
      <c r="CL65">
        <f t="shared" si="38"/>
        <v>1830802.3121396129</v>
      </c>
      <c r="CM65">
        <f t="shared" si="39"/>
        <v>2705955.4083192693</v>
      </c>
    </row>
    <row r="66" spans="1:91" x14ac:dyDescent="0.2">
      <c r="A66" s="2" t="s">
        <v>50</v>
      </c>
      <c r="B66" s="2" t="str">
        <f t="shared" si="46"/>
        <v>RAYALSEEMA TPS</v>
      </c>
      <c r="C66" s="2" t="str">
        <f>VLOOKUP($A66,'[1]daily coal, energy reqd'!$C$2:$T$599,17,FALSE)</f>
        <v>Andhra Pradesh</v>
      </c>
      <c r="D66" s="2" t="str">
        <f>VLOOKUP(C66,'Target PLF'!$I$2:$J$19,2,FALSE)</f>
        <v>SR</v>
      </c>
      <c r="E66" s="2" t="str">
        <f>VLOOKUP(A66,[2]Ownership!$C$2:$D$666,2,FALSE)</f>
        <v>STATE SECTOR</v>
      </c>
      <c r="F66" s="2" t="s">
        <v>542</v>
      </c>
      <c r="G66" s="13">
        <v>2.1163586584531102</v>
      </c>
      <c r="H66" s="2">
        <v>600</v>
      </c>
      <c r="I66" s="2">
        <f>VLOOKUP(A66,'[3]Calculated coal req (reg.)'!$A$2:$I$599,9,FALSE)</f>
        <v>4.7878847650387497</v>
      </c>
      <c r="J66" s="2"/>
      <c r="K66" s="11">
        <v>0.33249199757213538</v>
      </c>
      <c r="L66" s="3">
        <f>VLOOKUP(F66,'Target PLF'!$A$2:$B$11,2,FALSE)</f>
        <v>0.85</v>
      </c>
      <c r="M66" s="3">
        <f t="shared" si="17"/>
        <v>0.51750800242786466</v>
      </c>
      <c r="N66" s="2" t="str">
        <f t="shared" si="0"/>
        <v>0.15</v>
      </c>
      <c r="O66" s="2">
        <f t="shared" si="49"/>
        <v>5.0179290203268945</v>
      </c>
      <c r="P66" s="2">
        <f t="shared" si="1"/>
        <v>1098926.4554515898</v>
      </c>
      <c r="Q66" s="2">
        <f t="shared" si="2"/>
        <v>12.218173110506502</v>
      </c>
      <c r="R66" s="2">
        <f t="shared" si="3"/>
        <v>12.24</v>
      </c>
      <c r="S66" s="2">
        <f t="shared" si="4"/>
        <v>2675779.9112009243</v>
      </c>
      <c r="T66" s="2" t="str">
        <f>VLOOKUP(A66,'[4]CEA vs MERIT comp. &amp; NPA marker'!$C$2:$K$735,9,FALSE)</f>
        <v>Contracted</v>
      </c>
      <c r="U66" s="3">
        <f>VLOOKUP(B66,'[8]Import-Domestic share'!$A$208:$F$406,6,FALSE)</f>
        <v>0</v>
      </c>
      <c r="V66" s="3">
        <f t="shared" si="5"/>
        <v>0</v>
      </c>
      <c r="W66" s="2">
        <f t="shared" si="6"/>
        <v>2597.5512166351809</v>
      </c>
      <c r="X66" s="2">
        <f t="shared" si="7"/>
        <v>2768.624458007363</v>
      </c>
      <c r="Y66" s="6">
        <f t="shared" si="8"/>
        <v>0.33108105607019672</v>
      </c>
      <c r="Z66" s="2">
        <f t="shared" si="18"/>
        <v>3131467.5788996727</v>
      </c>
      <c r="AA66" s="2">
        <f t="shared" si="19"/>
        <v>1305599.9441140855</v>
      </c>
      <c r="AB66" s="2" t="s">
        <v>598</v>
      </c>
      <c r="AC66" s="12">
        <f>VLOOKUP(B66,[9]Sheet1!$A$2:$B$137,2,FALSE)</f>
        <v>3705.8725734969948</v>
      </c>
      <c r="AD66" s="12">
        <f t="shared" si="9"/>
        <v>2223523.544098197</v>
      </c>
      <c r="AE66" s="2"/>
      <c r="AF66" s="7">
        <f>VLOOKUP($B66,'[9]Subsidiary wise dispatch'!$A$3:$R$138,11,FALSE)*$H66*$O66*365</f>
        <v>0</v>
      </c>
      <c r="AG66" s="7">
        <f>VLOOKUP($B66,'[9]Subsidiary wise dispatch'!$A$3:$R$138,12,FALSE)*$H66*$O66*365</f>
        <v>0</v>
      </c>
      <c r="AH66" s="7">
        <f>VLOOKUP($B66,'[9]Subsidiary wise dispatch'!$A$3:$R$138,13,FALSE)*$H66*$O66*365</f>
        <v>0</v>
      </c>
      <c r="AI66" s="7">
        <f>VLOOKUP($B66,'[9]Subsidiary wise dispatch'!$A$3:$R$138,14,FALSE)*$H66*$O66*365</f>
        <v>1098926.4554515898</v>
      </c>
      <c r="AJ66" s="7">
        <f>VLOOKUP($B66,'[9]Subsidiary wise dispatch'!$A$3:$R$138,15,FALSE)*$H66*$O66*365</f>
        <v>0</v>
      </c>
      <c r="AK66" s="7">
        <f>VLOOKUP($B66,'[9]Subsidiary wise dispatch'!$A$3:$R$138,16,FALSE)*$H66*$O66*365</f>
        <v>0</v>
      </c>
      <c r="AL66" s="7">
        <f>VLOOKUP($B66,'[9]Subsidiary wise dispatch'!$A$3:$R$138,17,FALSE)*$H66*$O66*365</f>
        <v>0</v>
      </c>
      <c r="AM66" s="7">
        <f>VLOOKUP($B66,'[9]Subsidiary wise dispatch'!$A$3:$R$138,18,FALSE)*$H66*$O66*365</f>
        <v>0</v>
      </c>
      <c r="AN66" s="15">
        <f t="shared" si="10"/>
        <v>1098926.4554515898</v>
      </c>
      <c r="AO66" s="6">
        <v>0.10362859790133408</v>
      </c>
      <c r="AP66" s="11">
        <f t="shared" si="20"/>
        <v>0.49616178511412401</v>
      </c>
      <c r="AQ66" s="11">
        <f t="shared" si="11"/>
        <v>1.2684140383123292</v>
      </c>
      <c r="AR66" s="3">
        <f>VLOOKUP(A66,[10]Sheet1!$A$2:$L$542,12,FALSE)</f>
        <v>3.3901125703564698</v>
      </c>
      <c r="AS66" s="3">
        <f t="shared" si="43"/>
        <v>3.2161048291581351</v>
      </c>
      <c r="AT66" s="3">
        <f t="shared" si="40"/>
        <v>3.1985698219174865</v>
      </c>
      <c r="AU66" s="3">
        <f t="shared" si="12"/>
        <v>1.7535007240648603E-2</v>
      </c>
      <c r="AV66" s="88">
        <f t="shared" si="21"/>
        <v>0.37924021433918781</v>
      </c>
      <c r="AW66" s="32">
        <f t="shared" si="22"/>
        <v>0.11246685861083114</v>
      </c>
      <c r="AX66" s="12">
        <f t="shared" si="44"/>
        <v>562.03938497172317</v>
      </c>
      <c r="AY66" s="12">
        <f t="shared" si="13"/>
        <v>1428.9930536398565</v>
      </c>
      <c r="AZ66" s="3">
        <f>VLOOKUP(A66,[5]Analysis!$A$3:$BJ$543,62,FALSE)</f>
        <v>1.2339235495312717</v>
      </c>
      <c r="BA66" s="2"/>
      <c r="BB66" s="2"/>
      <c r="BC66" s="2" t="str">
        <f>VLOOKUP(A66,'[6]FGD status - Jun 2020'!$I$2:$M$449,5,FALSE)</f>
        <v>Commitment yet to be received</v>
      </c>
      <c r="BD66" s="2"/>
      <c r="BE66" s="2"/>
      <c r="BF66" s="2">
        <f t="shared" si="14"/>
        <v>404.08318270330949</v>
      </c>
      <c r="BG66" s="2">
        <f t="shared" si="15"/>
        <v>969.18921566944869</v>
      </c>
      <c r="BH66" s="2"/>
      <c r="BI66" s="2"/>
      <c r="BK66">
        <f t="shared" si="16"/>
        <v>199.49519854328122</v>
      </c>
      <c r="BP66" s="2" t="str">
        <f>VLOOKUP(A66,'[7]Table 2'!$J$2:$N$449,5,FALSE)</f>
        <v>Feasibility Study completed</v>
      </c>
      <c r="BR66">
        <f t="shared" si="23"/>
        <v>597.01996917109341</v>
      </c>
      <c r="BS66">
        <f t="shared" si="24"/>
        <v>1431.9460458337742</v>
      </c>
      <c r="BT66">
        <f>(X66*I66*365*[5]Analysis!BK66)/10^4</f>
        <v>198.74096157933747</v>
      </c>
      <c r="BU66">
        <f>(W66*R66*365*[5]Analysis!BK66)/10^4</f>
        <v>476.67808243308161</v>
      </c>
      <c r="BV66">
        <f>(X66*I66*365*[5]Analysis!BL66)/10^4</f>
        <v>398.27900759175594</v>
      </c>
      <c r="BW66">
        <f>(W66*R66*365*[5]Analysis!BL66)/10^4</f>
        <v>955.26796340069245</v>
      </c>
      <c r="BX66">
        <f t="shared" si="25"/>
        <v>1358725.1234172296</v>
      </c>
      <c r="BY66">
        <f t="shared" si="26"/>
        <v>3258887.756390498</v>
      </c>
      <c r="BZ66">
        <f t="shared" si="41"/>
        <v>11170538.00275882</v>
      </c>
      <c r="CA66">
        <f t="shared" si="27"/>
        <v>28556949.856469944</v>
      </c>
      <c r="CB66">
        <f t="shared" si="28"/>
        <v>-171678.87038563757</v>
      </c>
      <c r="CC66">
        <f t="shared" si="29"/>
        <v>-1121998.5720000002</v>
      </c>
      <c r="CD66">
        <f t="shared" si="30"/>
        <v>0</v>
      </c>
      <c r="CE66">
        <f t="shared" si="31"/>
        <v>0</v>
      </c>
      <c r="CF66">
        <f t="shared" si="32"/>
        <v>3120472.7743630325</v>
      </c>
      <c r="CG66">
        <f t="shared" si="33"/>
        <v>7977340.4400000004</v>
      </c>
      <c r="CH66">
        <f t="shared" si="34"/>
        <v>75028.920164626383</v>
      </c>
      <c r="CI66">
        <f t="shared" si="35"/>
        <v>191807.87088295651</v>
      </c>
      <c r="CJ66">
        <f t="shared" si="36"/>
        <v>-1729096.7040460941</v>
      </c>
      <c r="CK66">
        <f t="shared" si="37"/>
        <v>-4420353.6000000006</v>
      </c>
      <c r="CL66">
        <f t="shared" si="38"/>
        <v>1402671.1976361733</v>
      </c>
      <c r="CM66">
        <f t="shared" si="39"/>
        <v>3585862.2965266402</v>
      </c>
    </row>
    <row r="67" spans="1:91" x14ac:dyDescent="0.2">
      <c r="A67" s="2" t="s">
        <v>60</v>
      </c>
      <c r="B67" s="2" t="str">
        <f t="shared" si="46"/>
        <v>TALWANDI SABO TPS</v>
      </c>
      <c r="C67" s="2" t="str">
        <f>VLOOKUP($A67,'[1]daily coal, energy reqd'!$C$2:$T$599,17,FALSE)</f>
        <v>Punjab</v>
      </c>
      <c r="D67" s="2" t="str">
        <f>VLOOKUP(C67,'Target PLF'!$I$2:$J$19,2,FALSE)</f>
        <v>NR</v>
      </c>
      <c r="E67" s="2" t="str">
        <f>VLOOKUP(A67,[2]Ownership!$C$2:$D$666,2,FALSE)</f>
        <v>PVT SECTOR</v>
      </c>
      <c r="F67" s="2" t="s">
        <v>543</v>
      </c>
      <c r="G67" s="12">
        <v>5.9247091033538597</v>
      </c>
      <c r="H67" s="2">
        <v>660</v>
      </c>
      <c r="I67" s="2">
        <f>VLOOKUP(A67,'[3]Calculated coal req (reg.)'!$A$2:$I$599,9,FALSE)</f>
        <v>9.5504584766483909</v>
      </c>
      <c r="J67" s="2"/>
      <c r="K67" s="11">
        <v>0.60293298463689338</v>
      </c>
      <c r="L67" s="3">
        <f>VLOOKUP(F67,'Target PLF'!$A$2:$B$11,2,FALSE)</f>
        <v>0.85</v>
      </c>
      <c r="M67" s="3">
        <f t="shared" si="17"/>
        <v>0.2470670153631066</v>
      </c>
      <c r="N67" s="2" t="str">
        <f t="shared" ref="N67:N130" si="50">IF(L67&gt;0.75,"0.15","0.25")</f>
        <v>0.15</v>
      </c>
      <c r="O67" s="2">
        <f t="shared" si="49"/>
        <v>7.6990600059972216</v>
      </c>
      <c r="P67" s="2">
        <f t="shared" ref="P67:P130" si="51">(O67*H67*365)</f>
        <v>1854703.5554447309</v>
      </c>
      <c r="Q67" s="2">
        <f t="shared" ref="Q67:Q130" si="52">(13.9133*0.85)+(-0.289097*N67)+(-0.0052079*H67)+(0.031675*G67)+3.492937+IF(E67="Pvt Sector",-0.8897511,0)</f>
        <v>11.136577510848735</v>
      </c>
      <c r="R67" s="2">
        <f t="shared" ref="R67:R130" si="53">(H67*24*L67)/1000</f>
        <v>13.464</v>
      </c>
      <c r="S67" s="2">
        <f t="shared" ref="S67:S130" si="54">(H67*L67*Q67*365)/0.85</f>
        <v>2682801.5223634602</v>
      </c>
      <c r="T67" s="2" t="str">
        <f>VLOOKUP(A67,'[4]CEA vs MERIT comp. &amp; NPA marker'!$C$2:$K$735,9,FALSE)</f>
        <v>Contracted</v>
      </c>
      <c r="U67" s="3">
        <f>VLOOKUP(B67,'[8]Import-Domestic share'!$A$208:$F$406,6,FALSE)</f>
        <v>0.15771750712608484</v>
      </c>
      <c r="V67" s="3">
        <f t="shared" ref="V67:V130" si="55">(U67*O67*H67*365)</f>
        <v>292519.22122262919</v>
      </c>
      <c r="W67" s="2">
        <f t="shared" ref="W67:W130" si="56">3417.812+(7.640537*G67)+(-0.9257423*H67)+(-330.5712*L67)+(225.4556*U67)</f>
        <v>2606.6628163180276</v>
      </c>
      <c r="X67" s="2">
        <f t="shared" ref="X67:X130" si="57">3417.812+(7.640537*G67)+(-0.9257423*H67)+(-330.5712*K67)+(225.4556*U67)</f>
        <v>2688.3360560670285</v>
      </c>
      <c r="Y67" s="6">
        <f t="shared" ref="Y67:Y130" si="58">860/W67</f>
        <v>0.32992376099290438</v>
      </c>
      <c r="Z67" s="2">
        <f t="shared" ref="Z67:Z130" si="59">(W67*R67*365*10^6)/((IF(AC67,AC67,4286)*1000))</f>
        <v>3793811.2431487162</v>
      </c>
      <c r="AA67" s="2">
        <f t="shared" ref="AA67:AA130" si="60">(X67*I67*365*10^6)/((IF(AC67,AC67,4286))*1000)</f>
        <v>2775393.3094075858</v>
      </c>
      <c r="AB67" s="2" t="s">
        <v>598</v>
      </c>
      <c r="AC67" s="12">
        <f>VLOOKUP(B67,[9]Sheet1!$A$2:$B$137,2,FALSE)</f>
        <v>3376.5727014317126</v>
      </c>
      <c r="AD67" s="12">
        <f t="shared" ref="AD67:AD130" si="61">AC67*H67</f>
        <v>2228537.9829449304</v>
      </c>
      <c r="AE67" s="2"/>
      <c r="AF67" s="7">
        <f>VLOOKUP($B67,'[9]Subsidiary wise dispatch'!$A$3:$R$138,11,FALSE)*$H67*$O67*365</f>
        <v>0</v>
      </c>
      <c r="AG67" s="7">
        <f>VLOOKUP($B67,'[9]Subsidiary wise dispatch'!$A$3:$R$138,12,FALSE)*$H67*$O67*365</f>
        <v>0</v>
      </c>
      <c r="AH67" s="7">
        <f>VLOOKUP($B67,'[9]Subsidiary wise dispatch'!$A$3:$R$138,13,FALSE)*$H67*$O67*365</f>
        <v>0</v>
      </c>
      <c r="AI67" s="7">
        <f>VLOOKUP($B67,'[9]Subsidiary wise dispatch'!$A$3:$R$138,14,FALSE)*$H67*$O67*365</f>
        <v>1854703.5554447309</v>
      </c>
      <c r="AJ67" s="7">
        <f>VLOOKUP($B67,'[9]Subsidiary wise dispatch'!$A$3:$R$138,15,FALSE)*$H67*$O67*365</f>
        <v>0</v>
      </c>
      <c r="AK67" s="7">
        <f>VLOOKUP($B67,'[9]Subsidiary wise dispatch'!$A$3:$R$138,16,FALSE)*$H67*$O67*365</f>
        <v>0</v>
      </c>
      <c r="AL67" s="7">
        <f>VLOOKUP($B67,'[9]Subsidiary wise dispatch'!$A$3:$R$138,17,FALSE)*$H67*$O67*365</f>
        <v>0</v>
      </c>
      <c r="AM67" s="7">
        <f>VLOOKUP($B67,'[9]Subsidiary wise dispatch'!$A$3:$R$138,18,FALSE)*$H67*$O67*365</f>
        <v>0</v>
      </c>
      <c r="AN67" s="15">
        <f t="shared" ref="AN67:AN130" si="62">SUM(AF67:AM67)</f>
        <v>1854703.5554447309</v>
      </c>
      <c r="AO67" s="6">
        <v>7.1090892196094782E-2</v>
      </c>
      <c r="AP67" s="11">
        <f t="shared" ref="AP67:AP130" si="63">AO67*I67</f>
        <v>0.67895061398669032</v>
      </c>
      <c r="AQ67" s="11">
        <f t="shared" ref="AQ67:AQ130" si="64">AO67*R67</f>
        <v>0.95716777252822016</v>
      </c>
      <c r="AR67" s="3">
        <f>VLOOKUP(A67,[10]Sheet1!$A$2:$L$542,12,FALSE)</f>
        <v>2.85</v>
      </c>
      <c r="AS67" s="3">
        <f t="shared" si="43"/>
        <v>3.5827719741146464</v>
      </c>
      <c r="AT67" s="3">
        <f t="shared" si="40"/>
        <v>3.5744004670403737</v>
      </c>
      <c r="AU67" s="3">
        <f t="shared" ref="AU67:AU130" si="65">AS67-AT67</f>
        <v>8.3715070742726994E-3</v>
      </c>
      <c r="AV67" s="88">
        <f t="shared" si="21"/>
        <v>0.18105565019839179</v>
      </c>
      <c r="AW67" s="32">
        <f t="shared" si="22"/>
        <v>4.8198474357774829E-2</v>
      </c>
      <c r="AX67" s="12">
        <f t="shared" ref="AX67:AX130" si="66">(AS67*I67*365)/10</f>
        <v>1248.9246964079753</v>
      </c>
      <c r="AY67" s="12">
        <f t="shared" ref="AY67:AY130" si="67">(AT67*R67*365)/10</f>
        <v>1756.5890679204531</v>
      </c>
      <c r="AZ67" s="3">
        <f>VLOOKUP(A67,[5]Analysis!$A$3:$BJ$543,62,FALSE)</f>
        <v>1.4850347551807193</v>
      </c>
      <c r="BA67" s="2"/>
      <c r="BB67" s="2"/>
      <c r="BC67" s="2" t="str">
        <f>VLOOKUP(A67,'[6]FGD status - Jun 2020'!$I$2:$M$449,5,FALSE)</f>
        <v>Bid Awarded</v>
      </c>
      <c r="BD67" s="2"/>
      <c r="BE67" s="2"/>
      <c r="BF67" s="2">
        <f t="shared" ref="BF67:BF130" si="68">((AA67*(1-U67)*3095)+(AA67*U67*5231))/10^7</f>
        <v>952.48295442362064</v>
      </c>
      <c r="BG67" s="2">
        <f t="shared" ref="BG67:BG130" si="69">((Z67*(1-U67)*3095)+(Z67*U67*5231))/10^7</f>
        <v>1301.9922362539514</v>
      </c>
      <c r="BH67" s="2"/>
      <c r="BI67" s="2"/>
      <c r="BK67">
        <f t="shared" ref="BK67:BK130" si="70">K67*H67</f>
        <v>397.93576986034964</v>
      </c>
      <c r="BL67">
        <f>VLOOKUP(A67,'[11]Daily coal vs energy req.2'!$C$2:$P$599,14,FALSE)</f>
        <v>1.01</v>
      </c>
      <c r="BM67">
        <f>VLOOKUP(A67,'[11]Daily coal vs energy req.2'!$C$2:$R$599,16,FALSE)</f>
        <v>1</v>
      </c>
      <c r="BN67">
        <f>BL67*H67</f>
        <v>666.6</v>
      </c>
      <c r="BO67">
        <f>BM67*H67</f>
        <v>660</v>
      </c>
      <c r="BP67" s="2" t="str">
        <f>VLOOKUP(A67,'[7]Table 2'!$J$2:$N$449,5,FALSE)</f>
        <v>Bid Awarded</v>
      </c>
      <c r="BR67">
        <f t="shared" si="23"/>
        <v>1391.6731868984373</v>
      </c>
      <c r="BS67">
        <f t="shared" si="24"/>
        <v>1902.341324145827</v>
      </c>
      <c r="BT67">
        <f>(X67*I67*365*[5]Analysis!BK67)/10^4</f>
        <v>544.68706058671751</v>
      </c>
      <c r="BU67">
        <f>(W67*R67*365*[5]Analysis!BK67)/10^4</f>
        <v>744.55749657067565</v>
      </c>
      <c r="BV67">
        <f>(X67*I67*365*[5]Analysis!BL67)/10^4</f>
        <v>846.98612631171966</v>
      </c>
      <c r="BW67">
        <f>(W67*R67*365*[5]Analysis!BL67)/10^4</f>
        <v>1157.7838275751512</v>
      </c>
      <c r="BX67">
        <f t="shared" si="25"/>
        <v>2631671.2921613478</v>
      </c>
      <c r="BY67">
        <f t="shared" si="26"/>
        <v>3597351.086287857</v>
      </c>
      <c r="BZ67">
        <f t="shared" si="41"/>
        <v>26816555.096006788</v>
      </c>
      <c r="CA67">
        <f t="shared" si="27"/>
        <v>37805315.702429406</v>
      </c>
      <c r="CB67">
        <f t="shared" si="28"/>
        <v>-620990.88389930956</v>
      </c>
      <c r="CC67">
        <f t="shared" si="29"/>
        <v>-1234198.4292000001</v>
      </c>
      <c r="CD67">
        <f t="shared" si="30"/>
        <v>-3524543.2182396194</v>
      </c>
      <c r="CE67">
        <f t="shared" si="31"/>
        <v>-4968813.8016000008</v>
      </c>
      <c r="CF67">
        <f t="shared" si="32"/>
        <v>6224449.2341754902</v>
      </c>
      <c r="CG67">
        <f t="shared" si="33"/>
        <v>8775074.4840000011</v>
      </c>
      <c r="CH67">
        <f t="shared" si="34"/>
        <v>418973.91985298303</v>
      </c>
      <c r="CI67">
        <f t="shared" si="35"/>
        <v>590659.06319507118</v>
      </c>
      <c r="CJ67">
        <f t="shared" si="36"/>
        <v>-3793957.8316824804</v>
      </c>
      <c r="CK67">
        <f t="shared" si="37"/>
        <v>-5348627.8560000015</v>
      </c>
      <c r="CL67">
        <f t="shared" si="38"/>
        <v>1919423.259567389</v>
      </c>
      <c r="CM67">
        <f t="shared" si="39"/>
        <v>2705955.4083192693</v>
      </c>
    </row>
    <row r="68" spans="1:91" x14ac:dyDescent="0.2">
      <c r="A68" s="2" t="s">
        <v>62</v>
      </c>
      <c r="B68" s="2" t="str">
        <f t="shared" si="46"/>
        <v>SINGARENI TPP</v>
      </c>
      <c r="C68" s="2" t="s">
        <v>610</v>
      </c>
      <c r="D68" s="2" t="str">
        <f>VLOOKUP(C68,'Target PLF'!$I$2:$J$19,2,FALSE)</f>
        <v>SR</v>
      </c>
      <c r="E68" s="2" t="str">
        <f>VLOOKUP(A68,[2]Ownership!$C$2:$D$666,2,FALSE)</f>
        <v>STATE SECTOR</v>
      </c>
      <c r="F68" s="2" t="s">
        <v>542</v>
      </c>
      <c r="G68" s="12">
        <v>3.4250513347022502</v>
      </c>
      <c r="H68" s="2">
        <v>600</v>
      </c>
      <c r="I68" s="2">
        <f>VLOOKUP(A68,'[3]Calculated coal req (reg.)'!$A$2:$I$599,9,FALSE)</f>
        <v>12.4542142300969</v>
      </c>
      <c r="J68" s="2"/>
      <c r="K68" s="11">
        <v>0.86487598820117362</v>
      </c>
      <c r="L68" s="3">
        <f>VLOOKUP(F68,'Target PLF'!$A$2:$B$11,2,FALSE)</f>
        <v>0.85</v>
      </c>
      <c r="M68" s="3">
        <f t="shared" ref="M68:M131" si="71">L68-K68</f>
        <v>-1.487598820117364E-2</v>
      </c>
      <c r="N68" s="2" t="str">
        <f t="shared" si="50"/>
        <v>0.15</v>
      </c>
      <c r="O68" s="2">
        <f t="shared" si="49"/>
        <v>12.466600037666083</v>
      </c>
      <c r="P68" s="2">
        <f t="shared" si="51"/>
        <v>2730185.4082488725</v>
      </c>
      <c r="Q68" s="2">
        <f t="shared" si="52"/>
        <v>12.259625951026694</v>
      </c>
      <c r="R68" s="2">
        <f t="shared" si="53"/>
        <v>12.24</v>
      </c>
      <c r="S68" s="2">
        <f t="shared" si="54"/>
        <v>2684858.0832748455</v>
      </c>
      <c r="T68" s="2" t="str">
        <f>VLOOKUP(A68,'[4]CEA vs MERIT comp. &amp; NPA marker'!$C$2:$K$735,9,FALSE)</f>
        <v>Contracted</v>
      </c>
      <c r="U68" s="3">
        <f>VLOOKUP(B68,'[8]Import-Domestic share'!$A$208:$F$406,6,FALSE)</f>
        <v>0</v>
      </c>
      <c r="V68" s="3">
        <f t="shared" si="55"/>
        <v>0</v>
      </c>
      <c r="W68" s="2">
        <f t="shared" si="56"/>
        <v>2607.5503314496918</v>
      </c>
      <c r="X68" s="2">
        <f t="shared" si="57"/>
        <v>2602.6327581788437</v>
      </c>
      <c r="Y68" s="6">
        <f t="shared" si="58"/>
        <v>0.32981146696481023</v>
      </c>
      <c r="Z68" s="2">
        <f t="shared" si="59"/>
        <v>2718033.5652787318</v>
      </c>
      <c r="AA68" s="2">
        <f t="shared" si="60"/>
        <v>2760386.6694841259</v>
      </c>
      <c r="AB68" s="2" t="s">
        <v>598</v>
      </c>
      <c r="AC68" s="12"/>
      <c r="AD68" s="12">
        <f t="shared" si="61"/>
        <v>0</v>
      </c>
      <c r="AE68" s="2"/>
      <c r="AF68" s="7"/>
      <c r="AG68" s="7"/>
      <c r="AH68" s="7"/>
      <c r="AI68" s="7"/>
      <c r="AJ68" s="7"/>
      <c r="AK68" s="7"/>
      <c r="AL68" s="7"/>
      <c r="AM68" s="7"/>
      <c r="AN68" s="15">
        <f t="shared" si="62"/>
        <v>0</v>
      </c>
      <c r="AO68" s="6">
        <v>5.8057563443709923E-2</v>
      </c>
      <c r="AP68" s="11">
        <f t="shared" si="63"/>
        <v>0.72306133280540574</v>
      </c>
      <c r="AQ68" s="11">
        <f t="shared" si="64"/>
        <v>0.71062457655100941</v>
      </c>
      <c r="AR68" s="3">
        <f>VLOOKUP(A68,[10]Sheet1!$A$2:$L$542,12,FALSE)</f>
        <v>2.3885855263157798</v>
      </c>
      <c r="AS68" s="3">
        <f t="shared" ref="AS68:AS131" si="72">0.6517435+(0.0001025*X68)+(1.890785*AZ68)+(0.0074045*G68 )+(-0.0006019*H68)+(2.827044*AO68)</f>
        <v>1.9523067353064048</v>
      </c>
      <c r="AT68" s="3">
        <f t="shared" ref="AT68:AT131" si="73">0.6517435+(0.0001025*W68)+(1.890785*AZ68)+(0.0074045*G68)+(-0.0006019*H68)+(2.827044*AO68)</f>
        <v>1.9528107865666664</v>
      </c>
      <c r="AU68" s="3">
        <f t="shared" si="65"/>
        <v>-5.0405126026165092E-4</v>
      </c>
      <c r="AV68" s="88">
        <f t="shared" ref="AV68:AV131" si="74">0.73282*M68</f>
        <v>-1.0901421673584067E-2</v>
      </c>
      <c r="AW68" s="32">
        <f t="shared" ref="AW68:AW131" si="75">ABS(AU68-AV68)/AS68</f>
        <v>5.3256848554029089E-3</v>
      </c>
      <c r="AX68" s="12">
        <f t="shared" si="66"/>
        <v>887.47729083939726</v>
      </c>
      <c r="AY68" s="12">
        <f t="shared" si="67"/>
        <v>872.43774700652398</v>
      </c>
      <c r="AZ68" s="3">
        <f>VLOOKUP(A68,[5]Analysis!$A$3:$BJ$543,62,FALSE)</f>
        <v>0.63753483267378941</v>
      </c>
      <c r="BA68" s="2"/>
      <c r="BB68" s="2"/>
      <c r="BC68" s="2" t="str">
        <f>VLOOKUP(A68,'[6]FGD status - Jun 2020'!$I$2:$M$449,5,FALSE)</f>
        <v>NIT issued</v>
      </c>
      <c r="BD68" s="2"/>
      <c r="BE68" s="2"/>
      <c r="BF68" s="2">
        <f t="shared" si="68"/>
        <v>854.33967420533691</v>
      </c>
      <c r="BG68" s="2">
        <f t="shared" si="69"/>
        <v>841.23138845376752</v>
      </c>
      <c r="BH68" s="2"/>
      <c r="BI68" s="2"/>
      <c r="BK68">
        <f t="shared" si="70"/>
        <v>518.92559292070416</v>
      </c>
      <c r="BP68" s="2" t="str">
        <f>VLOOKUP(A68,'[7]Table 2'!$J$2:$N$449,5,FALSE)</f>
        <v>NIT issued</v>
      </c>
      <c r="BR68">
        <f t="shared" ref="BR68:BR131" si="76">(X68*I68*365*AZ68)/10^4</f>
        <v>754.26856126632174</v>
      </c>
      <c r="BS68">
        <f t="shared" ref="BS68:BS131" si="77">(W68*R68*365*AZ68)/10^4</f>
        <v>742.69568442000093</v>
      </c>
      <c r="BT68">
        <f>(X68*I68*365*[5]Analysis!BK68)/10^4</f>
        <v>444.60935401173748</v>
      </c>
      <c r="BU68">
        <f>(W68*R68*365*[5]Analysis!BK68)/10^4</f>
        <v>437.78763352260358</v>
      </c>
      <c r="BV68">
        <f>(X68*I68*365*[5]Analysis!BL68)/10^4</f>
        <v>309.6592072545842</v>
      </c>
      <c r="BW68">
        <f>(W68*R68*365*[5]Analysis!BL68)/10^4</f>
        <v>304.9080508973974</v>
      </c>
      <c r="BX68">
        <f t="shared" ref="BX68:BX131" si="78">0.0001025*((X68*I68*10^6))</f>
        <v>3322408.9580942979</v>
      </c>
      <c r="BY68">
        <f t="shared" ref="BY68:BY131" si="79">0.0001025*((W68*R68*10^6))</f>
        <v>3271432.6458367836</v>
      </c>
      <c r="BZ68">
        <f t="shared" ref="BZ68:BZ131" si="80">(1.890785*AZ68*I68*10^6)</f>
        <v>15012824.174534623</v>
      </c>
      <c r="CA68">
        <f t="shared" ref="CA68:CA131" si="81">(1.890785*AZ68*R68*10^6)</f>
        <v>14754601.494828636</v>
      </c>
      <c r="CB68">
        <f t="shared" ref="CB68:CB131" si="82">(-0.107843*I68*K68*10^6)</f>
        <v>-1161614.7885868056</v>
      </c>
      <c r="CC68">
        <f t="shared" ref="CC68:CC131" si="83">(-0.107843*R68*L68*10^6)</f>
        <v>-1121998.5720000002</v>
      </c>
      <c r="CD68">
        <f t="shared" ref="CD68:CD131" si="84">IF(E68="PVT SECTOR",-0.3690444,0)*I68*10^6</f>
        <v>0</v>
      </c>
      <c r="CE68">
        <f t="shared" ref="CE68:CE131" si="85">IF(E68="PVT SECTOR",-0.3690444,0)*R68*10^6</f>
        <v>0</v>
      </c>
      <c r="CF68">
        <f t="shared" ref="CF68:CF131" si="86" xml:space="preserve"> 0.6517435*I68*10^6</f>
        <v>8116953.1720731594</v>
      </c>
      <c r="CG68">
        <f t="shared" ref="CG68:CG131" si="87" xml:space="preserve"> 0.6517435*R68*10^6</f>
        <v>7977340.4400000004</v>
      </c>
      <c r="CH68">
        <f t="shared" ref="CH68:CH131" si="88">0.0074045*(G68*I68*10^6)</f>
        <v>315848.74418263405</v>
      </c>
      <c r="CI68">
        <f t="shared" ref="CI68:CI131" si="89">0.0074045*(G68*R68*10^6)</f>
        <v>310416.10151950642</v>
      </c>
      <c r="CJ68">
        <f t="shared" ref="CJ68:CJ131" si="90">-0.0006019*H68*I68*10^6</f>
        <v>-4497714.9270571945</v>
      </c>
      <c r="CK68">
        <f t="shared" ref="CK68:CK131" si="91">-0.0006019*H68*R68*10^6</f>
        <v>-4420353.6000000006</v>
      </c>
      <c r="CL68">
        <f t="shared" ref="CL68:CL131" si="92">2.827044*AO68*I68*10^6</f>
        <v>2044126.202539525</v>
      </c>
      <c r="CM68">
        <f t="shared" ref="CM68:CM131" si="93">2.827044*AO68*R68*10^6</f>
        <v>2008966.9453910717</v>
      </c>
    </row>
    <row r="69" spans="1:91" x14ac:dyDescent="0.2">
      <c r="A69" s="2" t="s">
        <v>66</v>
      </c>
      <c r="B69" s="2" t="str">
        <f t="shared" si="46"/>
        <v>KAWAI TPS</v>
      </c>
      <c r="C69" s="2" t="str">
        <f>VLOOKUP($A69,'[1]daily coal, energy reqd'!$C$2:$T$599,17,FALSE)</f>
        <v>Rajasthan</v>
      </c>
      <c r="D69" s="2" t="str">
        <f>VLOOKUP(C69,'Target PLF'!$I$2:$J$19,2,FALSE)</f>
        <v>NR</v>
      </c>
      <c r="E69" s="2" t="str">
        <f>VLOOKUP(A69,[2]Ownership!$C$2:$D$666,2,FALSE)</f>
        <v>PVT SECTOR</v>
      </c>
      <c r="F69" s="2" t="s">
        <v>543</v>
      </c>
      <c r="G69" s="12">
        <v>6.4229979466118996</v>
      </c>
      <c r="H69" s="2">
        <v>660</v>
      </c>
      <c r="I69" s="2">
        <f>VLOOKUP(A69,'[3]Calculated coal req (reg.)'!$A$2:$I$599,9,FALSE)</f>
        <v>9.4914593964278406</v>
      </c>
      <c r="J69" s="2"/>
      <c r="K69" s="11">
        <v>0.59920829522903041</v>
      </c>
      <c r="L69" s="3">
        <f>VLOOKUP(F69,'Target PLF'!$A$2:$B$11,2,FALSE)</f>
        <v>0.85</v>
      </c>
      <c r="M69" s="3">
        <f t="shared" si="71"/>
        <v>0.25079170477096957</v>
      </c>
      <c r="N69" s="2" t="str">
        <f t="shared" si="50"/>
        <v>0.15</v>
      </c>
      <c r="O69" s="2">
        <f t="shared" si="49"/>
        <v>7.6630205839690007</v>
      </c>
      <c r="P69" s="2">
        <f t="shared" si="51"/>
        <v>1846021.6586781323</v>
      </c>
      <c r="Q69" s="2">
        <f t="shared" si="52"/>
        <v>11.152360809958932</v>
      </c>
      <c r="R69" s="2">
        <f t="shared" si="53"/>
        <v>13.464</v>
      </c>
      <c r="S69" s="2">
        <f t="shared" si="54"/>
        <v>2686603.7191191069</v>
      </c>
      <c r="T69" s="2" t="str">
        <f>VLOOKUP(A69,'[4]CEA vs MERIT comp. &amp; NPA marker'!$C$2:$K$735,9,FALSE)</f>
        <v>Contracted</v>
      </c>
      <c r="U69" s="3">
        <f>VLOOKUP(B69,'[8]Import-Domestic share'!$A$208:$F$406,6,FALSE)</f>
        <v>0.14544979256246485</v>
      </c>
      <c r="V69" s="3">
        <f t="shared" si="55"/>
        <v>268503.46732055163</v>
      </c>
      <c r="W69" s="2">
        <f t="shared" si="56"/>
        <v>2607.7041857140575</v>
      </c>
      <c r="X69" s="2">
        <f t="shared" si="57"/>
        <v>2690.6087005102427</v>
      </c>
      <c r="Y69" s="6">
        <f t="shared" si="58"/>
        <v>0.32979200812400028</v>
      </c>
      <c r="Z69" s="2">
        <f t="shared" si="59"/>
        <v>2870272.8909108532</v>
      </c>
      <c r="AA69" s="2">
        <f t="shared" si="60"/>
        <v>2087729.8395919565</v>
      </c>
      <c r="AB69" s="2" t="s">
        <v>598</v>
      </c>
      <c r="AC69" s="12">
        <f>VLOOKUP(B69,[9]Sheet1!$A$2:$B$137,2,FALSE)</f>
        <v>4464.8009541834754</v>
      </c>
      <c r="AD69" s="12">
        <f t="shared" si="61"/>
        <v>2946768.6297610938</v>
      </c>
      <c r="AE69" s="2"/>
      <c r="AF69" s="7">
        <f>VLOOKUP($B69,'[9]Subsidiary wise dispatch'!$A$3:$R$138,11,FALSE)*$H69*$O69*365</f>
        <v>0</v>
      </c>
      <c r="AG69" s="7">
        <f>VLOOKUP($B69,'[9]Subsidiary wise dispatch'!$A$3:$R$138,12,FALSE)*$H69*$O69*365</f>
        <v>0</v>
      </c>
      <c r="AH69" s="7">
        <f>VLOOKUP($B69,'[9]Subsidiary wise dispatch'!$A$3:$R$138,13,FALSE)*$H69*$O69*365</f>
        <v>0</v>
      </c>
      <c r="AI69" s="7">
        <f>VLOOKUP($B69,'[9]Subsidiary wise dispatch'!$A$3:$R$138,14,FALSE)*$H69*$O69*365</f>
        <v>312978.54790632654</v>
      </c>
      <c r="AJ69" s="7">
        <f>VLOOKUP($B69,'[9]Subsidiary wise dispatch'!$A$3:$R$138,15,FALSE)*$H69*$O69*365</f>
        <v>1145931.4429839186</v>
      </c>
      <c r="AK69" s="7">
        <f>VLOOKUP($B69,'[9]Subsidiary wise dispatch'!$A$3:$R$138,16,FALSE)*$H69*$O69*365</f>
        <v>0</v>
      </c>
      <c r="AL69" s="7">
        <f>VLOOKUP($B69,'[9]Subsidiary wise dispatch'!$A$3:$R$138,17,FALSE)*$H69*$O69*365</f>
        <v>387111.66778788716</v>
      </c>
      <c r="AM69" s="7">
        <f>VLOOKUP($B69,'[9]Subsidiary wise dispatch'!$A$3:$R$138,18,FALSE)*$H69*$O69*365</f>
        <v>0</v>
      </c>
      <c r="AN69" s="15">
        <f t="shared" si="62"/>
        <v>1846021.6586781323</v>
      </c>
      <c r="AO69" s="6">
        <v>5.4957824315639968E-2</v>
      </c>
      <c r="AP69" s="11">
        <f t="shared" si="63"/>
        <v>0.52162995800791145</v>
      </c>
      <c r="AQ69" s="11">
        <f t="shared" si="64"/>
        <v>0.73995214658577657</v>
      </c>
      <c r="AR69" s="3">
        <f>VLOOKUP(A69,[10]Sheet1!$A$2:$L$542,12,FALSE)</f>
        <v>2.3595170142700299</v>
      </c>
      <c r="AS69" s="3">
        <f t="shared" si="72"/>
        <v>2.4343453774526584</v>
      </c>
      <c r="AT69" s="3">
        <f t="shared" si="73"/>
        <v>2.4258476646860494</v>
      </c>
      <c r="AU69" s="3">
        <f t="shared" si="65"/>
        <v>8.4977127666090446E-3</v>
      </c>
      <c r="AV69" s="88">
        <f t="shared" si="74"/>
        <v>0.18378517709026193</v>
      </c>
      <c r="AW69" s="32">
        <f t="shared" si="75"/>
        <v>7.2005996333633138E-2</v>
      </c>
      <c r="AX69" s="12">
        <f t="shared" si="66"/>
        <v>843.35039620454063</v>
      </c>
      <c r="AY69" s="12">
        <f t="shared" si="67"/>
        <v>1192.1488729426533</v>
      </c>
      <c r="AZ69" s="3">
        <f>VLOOKUP(A69,[5]Analysis!$A$3:$BJ$543,62,FALSE)</f>
        <v>0.89970102886900782</v>
      </c>
      <c r="BA69" s="2"/>
      <c r="BB69" s="2"/>
      <c r="BC69" s="2" t="str">
        <f>VLOOKUP(A69,'[6]FGD status - Jun 2020'!$I$2:$M$449,5,FALSE)</f>
        <v>NIT issued</v>
      </c>
      <c r="BD69" s="2"/>
      <c r="BE69" s="2"/>
      <c r="BF69" s="2">
        <f t="shared" si="68"/>
        <v>711.01413403322772</v>
      </c>
      <c r="BG69" s="2">
        <f t="shared" si="69"/>
        <v>977.52331516653589</v>
      </c>
      <c r="BH69" s="2"/>
      <c r="BI69" s="2"/>
      <c r="BK69">
        <f t="shared" si="70"/>
        <v>395.47747485116008</v>
      </c>
      <c r="BL69">
        <f>VLOOKUP(A69,'[11]Daily coal vs energy req.2'!$C$2:$P$599,14,FALSE)</f>
        <v>0.79</v>
      </c>
      <c r="BM69">
        <f>VLOOKUP(A69,'[11]Daily coal vs energy req.2'!$C$2:$R$599,16,FALSE)</f>
        <v>0.91</v>
      </c>
      <c r="BN69">
        <f>BL69*H69</f>
        <v>521.4</v>
      </c>
      <c r="BO69">
        <f>BM69*H69</f>
        <v>600.6</v>
      </c>
      <c r="BP69" s="2" t="str">
        <f>VLOOKUP(A69,'[7]Table 2'!$J$2:$N$449,5,FALSE)</f>
        <v>NIT issued</v>
      </c>
      <c r="BR69">
        <f t="shared" si="76"/>
        <v>838.63815628395764</v>
      </c>
      <c r="BS69">
        <f t="shared" si="77"/>
        <v>1152.9846053911701</v>
      </c>
      <c r="BT69">
        <f>(X69*I69*365*[5]Analysis!BK69)/10^4</f>
        <v>461.25361077344536</v>
      </c>
      <c r="BU69">
        <f>(W69*R69*365*[5]Analysis!BK69)/10^4</f>
        <v>634.14514164175819</v>
      </c>
      <c r="BV69">
        <f>(X69*I69*365*[5]Analysis!BL69)/10^4</f>
        <v>377.38454551051234</v>
      </c>
      <c r="BW69">
        <f>(W69*R69*365*[5]Analysis!BL69)/10^4</f>
        <v>518.83946374941183</v>
      </c>
      <c r="BX69">
        <f t="shared" si="78"/>
        <v>2617624.8313382654</v>
      </c>
      <c r="BY69">
        <f t="shared" si="79"/>
        <v>3598788.2385365423</v>
      </c>
      <c r="BZ69">
        <f t="shared" si="80"/>
        <v>16146312.721072061</v>
      </c>
      <c r="CA69">
        <f t="shared" si="81"/>
        <v>22904165.249690853</v>
      </c>
      <c r="CB69">
        <f t="shared" si="82"/>
        <v>-613342.09434120695</v>
      </c>
      <c r="CC69">
        <f t="shared" si="83"/>
        <v>-1234198.4292000001</v>
      </c>
      <c r="CD69">
        <f t="shared" si="84"/>
        <v>-3502769.9380790745</v>
      </c>
      <c r="CE69">
        <f t="shared" si="85"/>
        <v>-4968813.8016000008</v>
      </c>
      <c r="CF69">
        <f t="shared" si="86"/>
        <v>6185996.9671357693</v>
      </c>
      <c r="CG69">
        <f t="shared" si="87"/>
        <v>8775074.4840000011</v>
      </c>
      <c r="CH69">
        <f t="shared" si="88"/>
        <v>451405.15548964735</v>
      </c>
      <c r="CI69">
        <f t="shared" si="89"/>
        <v>640335.56481314078</v>
      </c>
      <c r="CJ69">
        <f t="shared" si="90"/>
        <v>-3770520.2110685459</v>
      </c>
      <c r="CK69">
        <f t="shared" si="91"/>
        <v>-5348627.8560000015</v>
      </c>
      <c r="CL69">
        <f t="shared" si="92"/>
        <v>1474670.8430065177</v>
      </c>
      <c r="CM69">
        <f t="shared" si="93"/>
        <v>2091877.2762924398</v>
      </c>
    </row>
    <row r="70" spans="1:91" x14ac:dyDescent="0.2">
      <c r="A70" s="2" t="s">
        <v>51</v>
      </c>
      <c r="B70" s="2" t="str">
        <f t="shared" si="46"/>
        <v>AKALTARA TPS</v>
      </c>
      <c r="C70" s="2" t="str">
        <f>VLOOKUP($A70,'[1]daily coal, energy reqd'!$C$2:$T$599,17,FALSE)</f>
        <v>Chhatisgarh</v>
      </c>
      <c r="D70" s="2" t="str">
        <f>VLOOKUP(C70,'Target PLF'!$I$2:$J$19,2,FALSE)</f>
        <v>WR</v>
      </c>
      <c r="E70" s="2" t="str">
        <f>VLOOKUP(A70,[2]Ownership!$C$2:$D$666,2,FALSE)</f>
        <v>PVT SECTOR</v>
      </c>
      <c r="F70" s="2" t="s">
        <v>542</v>
      </c>
      <c r="G70" s="13">
        <v>2.3381245722108099</v>
      </c>
      <c r="H70" s="2">
        <v>600</v>
      </c>
      <c r="I70" s="2">
        <f>VLOOKUP(A70,'[3]Calculated coal req (reg.)'!$A$2:$I$599,9,FALSE)</f>
        <v>9.1471877322380895</v>
      </c>
      <c r="J70" s="2"/>
      <c r="K70" s="11">
        <v>0.6352213702943118</v>
      </c>
      <c r="L70" s="3">
        <f>VLOOKUP(F70,'Target PLF'!$A$2:$B$11,2,FALSE)</f>
        <v>0.85</v>
      </c>
      <c r="M70" s="3">
        <f t="shared" si="71"/>
        <v>0.21477862970568817</v>
      </c>
      <c r="N70" s="2" t="str">
        <f t="shared" si="50"/>
        <v>0.15</v>
      </c>
      <c r="O70" s="2">
        <f t="shared" si="49"/>
        <v>8.3471669371406279</v>
      </c>
      <c r="P70" s="2">
        <f t="shared" si="51"/>
        <v>1828029.5592337975</v>
      </c>
      <c r="Q70" s="2">
        <f t="shared" si="52"/>
        <v>11.335446445824777</v>
      </c>
      <c r="R70" s="2">
        <f t="shared" si="53"/>
        <v>12.24</v>
      </c>
      <c r="S70" s="2">
        <f t="shared" si="54"/>
        <v>2482462.7716356264</v>
      </c>
      <c r="T70" s="2" t="str">
        <f>VLOOKUP(A70,'[4]CEA vs MERIT comp. &amp; NPA marker'!$C$2:$K$735,9,FALSE)</f>
        <v>Contracted</v>
      </c>
      <c r="U70" s="3">
        <f>VLOOKUP(B70,'[8]Import-Domestic share'!$A$208:$F$406,6,FALSE)</f>
        <v>4.3831710939856224E-2</v>
      </c>
      <c r="V70" s="3">
        <f t="shared" si="55"/>
        <v>80125.663229848593</v>
      </c>
      <c r="W70" s="2">
        <f t="shared" si="56"/>
        <v>2609.1277319935575</v>
      </c>
      <c r="X70" s="2">
        <f t="shared" si="57"/>
        <v>2680.1273613497228</v>
      </c>
      <c r="Y70" s="6">
        <f t="shared" si="58"/>
        <v>0.32961207282209193</v>
      </c>
      <c r="Z70" s="2">
        <f t="shared" si="59"/>
        <v>2724294.2552560051</v>
      </c>
      <c r="AA70" s="2">
        <f t="shared" si="60"/>
        <v>2091318.9888804336</v>
      </c>
      <c r="AB70" s="2" t="s">
        <v>598</v>
      </c>
      <c r="AC70" s="12">
        <f>VLOOKUP(B70,[9]Sheet1!$A$2:$B$137,2,FALSE)</f>
        <v>4278.737156592154</v>
      </c>
      <c r="AD70" s="12">
        <f t="shared" si="61"/>
        <v>2567242.2939552926</v>
      </c>
      <c r="AE70" s="2"/>
      <c r="AF70" s="7">
        <f>VLOOKUP($B70,'[9]Subsidiary wise dispatch'!$A$3:$R$138,11,FALSE)*$H70*$O70*365</f>
        <v>1042.1756534246188</v>
      </c>
      <c r="AG70" s="7">
        <f>VLOOKUP($B70,'[9]Subsidiary wise dispatch'!$A$3:$R$138,12,FALSE)*$H70*$O70*365</f>
        <v>0</v>
      </c>
      <c r="AH70" s="7">
        <f>VLOOKUP($B70,'[9]Subsidiary wise dispatch'!$A$3:$R$138,13,FALSE)*$H70*$O70*365</f>
        <v>0</v>
      </c>
      <c r="AI70" s="7">
        <f>VLOOKUP($B70,'[9]Subsidiary wise dispatch'!$A$3:$R$138,14,FALSE)*$H70*$O70*365</f>
        <v>301328.23716136324</v>
      </c>
      <c r="AJ70" s="7">
        <f>VLOOKUP($B70,'[9]Subsidiary wise dispatch'!$A$3:$R$138,15,FALSE)*$H70*$O70*365</f>
        <v>0</v>
      </c>
      <c r="AK70" s="7">
        <f>VLOOKUP($B70,'[9]Subsidiary wise dispatch'!$A$3:$R$138,16,FALSE)*$H70*$O70*365</f>
        <v>0</v>
      </c>
      <c r="AL70" s="7">
        <f>VLOOKUP($B70,'[9]Subsidiary wise dispatch'!$A$3:$R$138,17,FALSE)*$H70*$O70*365</f>
        <v>1525659.1464190094</v>
      </c>
      <c r="AM70" s="7">
        <f>VLOOKUP($B70,'[9]Subsidiary wise dispatch'!$A$3:$R$138,18,FALSE)*$H70*$O70*365</f>
        <v>0</v>
      </c>
      <c r="AN70" s="15">
        <f t="shared" si="62"/>
        <v>1828029.5592337972</v>
      </c>
      <c r="AO70" s="6">
        <v>8.0030636155213206E-2</v>
      </c>
      <c r="AP70" s="11">
        <f t="shared" si="63"/>
        <v>0.73205525324217635</v>
      </c>
      <c r="AQ70" s="11">
        <f t="shared" si="64"/>
        <v>0.97957498653980968</v>
      </c>
      <c r="AR70" s="3">
        <f>VLOOKUP(A70,[10]Sheet1!$A$2:$L$542,12,FALSE)</f>
        <v>2.4868647268903099</v>
      </c>
      <c r="AS70" s="3">
        <f t="shared" si="72"/>
        <v>1.8171251665440429</v>
      </c>
      <c r="AT70" s="3">
        <f t="shared" si="73"/>
        <v>1.8098477045350356</v>
      </c>
      <c r="AU70" s="3">
        <f t="shared" si="65"/>
        <v>7.2774620090072517E-3</v>
      </c>
      <c r="AV70" s="88">
        <f t="shared" si="74"/>
        <v>0.1573940754209224</v>
      </c>
      <c r="AW70" s="32">
        <f t="shared" si="75"/>
        <v>8.261214812043971E-2</v>
      </c>
      <c r="AX70" s="12">
        <f t="shared" si="66"/>
        <v>606.68785364437588</v>
      </c>
      <c r="AY70" s="12">
        <f t="shared" si="67"/>
        <v>808.56756047807255</v>
      </c>
      <c r="AZ70" s="3">
        <f>VLOOKUP(A70,[5]Analysis!$A$3:$BJ$543,62,FALSE)</f>
        <v>0.53324192800978565</v>
      </c>
      <c r="BA70" s="2"/>
      <c r="BB70" s="2"/>
      <c r="BC70" s="2" t="str">
        <f>VLOOKUP(A70,'[6]FGD status - Jun 2020'!$I$2:$M$449,5,FALSE)</f>
        <v>Feasiblity Study Completed</v>
      </c>
      <c r="BD70" s="2"/>
      <c r="BE70" s="2"/>
      <c r="BF70" s="2">
        <f t="shared" si="68"/>
        <v>666.84310375511154</v>
      </c>
      <c r="BG70" s="2">
        <f t="shared" si="69"/>
        <v>868.67515016906839</v>
      </c>
      <c r="BH70" s="2"/>
      <c r="BI70" s="2"/>
      <c r="BK70">
        <f t="shared" si="70"/>
        <v>381.13282217658707</v>
      </c>
      <c r="BL70" t="str">
        <f>VLOOKUP(A70,'[11]Daily coal vs energy req.2'!$C$2:$P$599,14,FALSE)</f>
        <v/>
      </c>
      <c r="BM70" t="str">
        <f>VLOOKUP(A70,'[11]Daily coal vs energy req.2'!$C$2:$R$599,16,FALSE)</f>
        <v/>
      </c>
      <c r="BP70" s="2" t="str">
        <f>VLOOKUP(A70,'[7]Table 2'!$J$2:$N$449,5,FALSE)</f>
        <v>Feasiblity Study Completed</v>
      </c>
      <c r="BR70">
        <f t="shared" si="76"/>
        <v>477.15576939657814</v>
      </c>
      <c r="BS70">
        <f t="shared" si="77"/>
        <v>621.57553598518803</v>
      </c>
      <c r="BT70">
        <f>(X70*I70*365*[5]Analysis!BK70)/10^4</f>
        <v>375.35351977044962</v>
      </c>
      <c r="BU70">
        <f>(W70*R70*365*[5]Analysis!BK70)/10^4</f>
        <v>488.96100644511495</v>
      </c>
      <c r="BV70">
        <f>(X70*I70*365*[5]Analysis!BL70)/10^4</f>
        <v>101.8022496261285</v>
      </c>
      <c r="BW70">
        <f>(W70*R70*365*[5]Analysis!BL70)/10^4</f>
        <v>132.61452954007288</v>
      </c>
      <c r="BX70">
        <f t="shared" si="78"/>
        <v>2512851.8823588169</v>
      </c>
      <c r="BY70">
        <f t="shared" si="79"/>
        <v>3273411.6525591169</v>
      </c>
      <c r="BZ70">
        <f t="shared" si="80"/>
        <v>9222613.9682269581</v>
      </c>
      <c r="CA70">
        <f t="shared" si="81"/>
        <v>12340929.067548266</v>
      </c>
      <c r="CB70">
        <f t="shared" si="82"/>
        <v>-626620.5787733316</v>
      </c>
      <c r="CC70">
        <f t="shared" si="83"/>
        <v>-1121998.5720000002</v>
      </c>
      <c r="CD70">
        <f t="shared" si="84"/>
        <v>-3375718.408331166</v>
      </c>
      <c r="CE70">
        <f t="shared" si="85"/>
        <v>-4517103.4560000002</v>
      </c>
      <c r="CF70">
        <f t="shared" si="86"/>
        <v>5961620.1477659158</v>
      </c>
      <c r="CG70">
        <f t="shared" si="87"/>
        <v>7977340.4400000004</v>
      </c>
      <c r="CH70">
        <f t="shared" si="88"/>
        <v>158361.99927476168</v>
      </c>
      <c r="CI70">
        <f t="shared" si="89"/>
        <v>211906.75515400368</v>
      </c>
      <c r="CJ70">
        <f t="shared" si="90"/>
        <v>-3303415.3776204637</v>
      </c>
      <c r="CK70">
        <f t="shared" si="91"/>
        <v>-4420353.6000000006</v>
      </c>
      <c r="CL70">
        <f t="shared" si="92"/>
        <v>2069552.4113467752</v>
      </c>
      <c r="CM70">
        <f t="shared" si="93"/>
        <v>2769301.5882474496</v>
      </c>
    </row>
    <row r="71" spans="1:91" x14ac:dyDescent="0.2">
      <c r="A71" s="2" t="s">
        <v>77</v>
      </c>
      <c r="B71" s="2" t="str">
        <f t="shared" si="46"/>
        <v>KAWAI TPS</v>
      </c>
      <c r="C71" s="2" t="str">
        <f>VLOOKUP($A71,'[1]daily coal, energy reqd'!$C$2:$T$599,17,FALSE)</f>
        <v>Rajasthan</v>
      </c>
      <c r="D71" s="2" t="str">
        <f>VLOOKUP(C71,'Target PLF'!$I$2:$J$19,2,FALSE)</f>
        <v>NR</v>
      </c>
      <c r="E71" s="2" t="str">
        <f>VLOOKUP(A71,[2]Ownership!$C$2:$D$666,2,FALSE)</f>
        <v>PVT SECTOR</v>
      </c>
      <c r="F71" s="2" t="s">
        <v>543</v>
      </c>
      <c r="G71" s="12">
        <v>7.0088980150581701</v>
      </c>
      <c r="H71" s="2">
        <v>660</v>
      </c>
      <c r="I71" s="2">
        <f>VLOOKUP(A71,'[3]Calculated coal req (reg.)'!$A$2:$I$599,9,FALSE)</f>
        <v>9.4372354492646107</v>
      </c>
      <c r="J71" s="2"/>
      <c r="K71" s="11">
        <v>0.59578506624145267</v>
      </c>
      <c r="L71" s="3">
        <f>VLOOKUP(F71,'Target PLF'!$A$2:$B$11,2,FALSE)</f>
        <v>0.85</v>
      </c>
      <c r="M71" s="3">
        <f t="shared" si="71"/>
        <v>0.25421493375854731</v>
      </c>
      <c r="N71" s="2" t="str">
        <f t="shared" si="50"/>
        <v>0.15</v>
      </c>
      <c r="O71" s="2">
        <f t="shared" si="49"/>
        <v>7.6339505567641712</v>
      </c>
      <c r="P71" s="2">
        <f t="shared" si="51"/>
        <v>1839018.689124489</v>
      </c>
      <c r="Q71" s="2">
        <f t="shared" si="52"/>
        <v>11.170919194626968</v>
      </c>
      <c r="R71" s="2">
        <f t="shared" si="53"/>
        <v>13.464</v>
      </c>
      <c r="S71" s="2">
        <f t="shared" si="54"/>
        <v>2691074.433985637</v>
      </c>
      <c r="T71" s="2" t="str">
        <f>VLOOKUP(A71,'[4]CEA vs MERIT comp. &amp; NPA marker'!$C$2:$K$735,9,FALSE)</f>
        <v>Contracted</v>
      </c>
      <c r="U71" s="3">
        <f>VLOOKUP(B71,'[8]Import-Domestic share'!$A$208:$F$406,6,FALSE)</f>
        <v>0.14544979256246485</v>
      </c>
      <c r="V71" s="3">
        <f t="shared" si="55"/>
        <v>267484.88685165293</v>
      </c>
      <c r="W71" s="2">
        <f t="shared" si="56"/>
        <v>2612.1807768653243</v>
      </c>
      <c r="X71" s="2">
        <f t="shared" si="57"/>
        <v>2696.2169125758082</v>
      </c>
      <c r="Y71" s="6">
        <f t="shared" si="58"/>
        <v>0.32922683131908631</v>
      </c>
      <c r="Z71" s="2">
        <f t="shared" si="59"/>
        <v>2875200.228258227</v>
      </c>
      <c r="AA71" s="2">
        <f t="shared" si="60"/>
        <v>2080129.5381119638</v>
      </c>
      <c r="AB71" s="2" t="s">
        <v>598</v>
      </c>
      <c r="AC71" s="12">
        <f>VLOOKUP(B71,[9]Sheet1!$A$2:$B$137,2,FALSE)</f>
        <v>4464.8009541834754</v>
      </c>
      <c r="AD71" s="12">
        <f t="shared" si="61"/>
        <v>2946768.6297610938</v>
      </c>
      <c r="AE71" s="2"/>
      <c r="AF71" s="7">
        <f>VLOOKUP($B71,'[9]Subsidiary wise dispatch'!$A$3:$R$138,11,FALSE)*$H71*$O71*365</f>
        <v>0</v>
      </c>
      <c r="AG71" s="7">
        <f>VLOOKUP($B71,'[9]Subsidiary wise dispatch'!$A$3:$R$138,12,FALSE)*$H71*$O71*365</f>
        <v>0</v>
      </c>
      <c r="AH71" s="7">
        <f>VLOOKUP($B71,'[9]Subsidiary wise dispatch'!$A$3:$R$138,13,FALSE)*$H71*$O71*365</f>
        <v>0</v>
      </c>
      <c r="AI71" s="7">
        <f>VLOOKUP($B71,'[9]Subsidiary wise dispatch'!$A$3:$R$138,14,FALSE)*$H71*$O71*365</f>
        <v>311791.24913784891</v>
      </c>
      <c r="AJ71" s="7">
        <f>VLOOKUP($B71,'[9]Subsidiary wise dispatch'!$A$3:$R$138,15,FALSE)*$H71*$O71*365</f>
        <v>1141584.298426836</v>
      </c>
      <c r="AK71" s="7">
        <f>VLOOKUP($B71,'[9]Subsidiary wise dispatch'!$A$3:$R$138,16,FALSE)*$H71*$O71*365</f>
        <v>0</v>
      </c>
      <c r="AL71" s="7">
        <f>VLOOKUP($B71,'[9]Subsidiary wise dispatch'!$A$3:$R$138,17,FALSE)*$H71*$O71*365</f>
        <v>385643.14155980386</v>
      </c>
      <c r="AM71" s="7">
        <f>VLOOKUP($B71,'[9]Subsidiary wise dispatch'!$A$3:$R$138,18,FALSE)*$H71*$O71*365</f>
        <v>0</v>
      </c>
      <c r="AN71" s="15">
        <f t="shared" si="62"/>
        <v>1839018.6891244887</v>
      </c>
      <c r="AO71" s="6">
        <v>5.4957824315639968E-2</v>
      </c>
      <c r="AP71" s="11">
        <f t="shared" si="63"/>
        <v>0.51864992784601405</v>
      </c>
      <c r="AQ71" s="11">
        <f t="shared" si="64"/>
        <v>0.73995214658577657</v>
      </c>
      <c r="AR71" s="3">
        <f>VLOOKUP(A71,[10]Sheet1!$A$2:$L$542,12,FALSE)</f>
        <v>2.3595170142700299</v>
      </c>
      <c r="AS71" s="3">
        <f t="shared" si="72"/>
        <v>2.4392585162461895</v>
      </c>
      <c r="AT71" s="3">
        <f t="shared" si="73"/>
        <v>2.4306448123358644</v>
      </c>
      <c r="AU71" s="3">
        <f t="shared" si="65"/>
        <v>8.6137039103251212E-3</v>
      </c>
      <c r="AV71" s="88">
        <f t="shared" si="74"/>
        <v>0.18629378775693864</v>
      </c>
      <c r="AW71" s="32">
        <f t="shared" si="75"/>
        <v>7.2841842167696097E-2</v>
      </c>
      <c r="AX71" s="12">
        <f t="shared" si="66"/>
        <v>840.22477828952856</v>
      </c>
      <c r="AY71" s="12">
        <f t="shared" si="67"/>
        <v>1194.5063639950879</v>
      </c>
      <c r="AZ71" s="3">
        <f>VLOOKUP(A71,[5]Analysis!$A$3:$BJ$543,62,FALSE)</f>
        <v>0.89970102886900782</v>
      </c>
      <c r="BA71" s="2"/>
      <c r="BB71" s="2"/>
      <c r="BC71" s="2" t="str">
        <f>VLOOKUP(A71,'[6]FGD status - Jun 2020'!$I$2:$M$449,5,FALSE)</f>
        <v>NIT issued</v>
      </c>
      <c r="BD71" s="2"/>
      <c r="BE71" s="2"/>
      <c r="BF71" s="2">
        <f t="shared" si="68"/>
        <v>708.42571398351254</v>
      </c>
      <c r="BG71" s="2">
        <f t="shared" si="69"/>
        <v>979.20140896521298</v>
      </c>
      <c r="BH71" s="2"/>
      <c r="BI71" s="2"/>
      <c r="BK71">
        <f t="shared" si="70"/>
        <v>393.21814371935875</v>
      </c>
      <c r="BL71">
        <f>VLOOKUP(A71,'[11]Daily coal vs energy req.2'!$C$2:$P$599,14,FALSE)</f>
        <v>0.75</v>
      </c>
      <c r="BM71">
        <f>VLOOKUP(A71,'[11]Daily coal vs energy req.2'!$C$2:$R$599,16,FALSE)</f>
        <v>0.65</v>
      </c>
      <c r="BN71">
        <f>BL71*H71</f>
        <v>495</v>
      </c>
      <c r="BO71">
        <f>BM71*H71</f>
        <v>429</v>
      </c>
      <c r="BP71" s="2" t="str">
        <f>VLOOKUP(A71,'[7]Table 2'!$J$2:$N$449,5,FALSE)</f>
        <v>NIT issued</v>
      </c>
      <c r="BR71">
        <f t="shared" si="76"/>
        <v>835.58512581061393</v>
      </c>
      <c r="BS71">
        <f t="shared" si="77"/>
        <v>1154.9639099113365</v>
      </c>
      <c r="BT71">
        <f>(X71*I71*365*[5]Analysis!BK71)/10^4</f>
        <v>459.57443445755837</v>
      </c>
      <c r="BU71">
        <f>(W71*R71*365*[5]Analysis!BK71)/10^4</f>
        <v>635.23376532278928</v>
      </c>
      <c r="BV71">
        <f>(X71*I71*365*[5]Analysis!BL71)/10^4</f>
        <v>376.01069135305556</v>
      </c>
      <c r="BW71">
        <f>(W71*R71*365*[5]Analysis!BL71)/10^4</f>
        <v>519.73014458854732</v>
      </c>
      <c r="BX71">
        <f t="shared" si="78"/>
        <v>2608095.4671923881</v>
      </c>
      <c r="BY71">
        <f t="shared" si="79"/>
        <v>3604966.2029207596</v>
      </c>
      <c r="BZ71">
        <f t="shared" si="80"/>
        <v>16054070.129990872</v>
      </c>
      <c r="CA71">
        <f t="shared" si="81"/>
        <v>22904165.249690853</v>
      </c>
      <c r="CB71">
        <f t="shared" si="82"/>
        <v>-606354.16376611812</v>
      </c>
      <c r="CC71">
        <f t="shared" si="83"/>
        <v>-1234198.4292000001</v>
      </c>
      <c r="CD71">
        <f t="shared" si="84"/>
        <v>-3482758.8940325882</v>
      </c>
      <c r="CE71">
        <f t="shared" si="85"/>
        <v>-4968813.8016000008</v>
      </c>
      <c r="CF71">
        <f t="shared" si="86"/>
        <v>6150656.8620277904</v>
      </c>
      <c r="CG71">
        <f t="shared" si="87"/>
        <v>8775074.4840000011</v>
      </c>
      <c r="CH71">
        <f t="shared" si="88"/>
        <v>489767.84477274213</v>
      </c>
      <c r="CI71">
        <f t="shared" si="89"/>
        <v>698746.39638603607</v>
      </c>
      <c r="CJ71">
        <f t="shared" si="90"/>
        <v>-3748979.5311621642</v>
      </c>
      <c r="CK71">
        <f t="shared" si="91"/>
        <v>-5348627.8560000015</v>
      </c>
      <c r="CL71">
        <f t="shared" si="92"/>
        <v>1466246.1666175069</v>
      </c>
      <c r="CM71">
        <f t="shared" si="93"/>
        <v>2091877.2762924398</v>
      </c>
    </row>
    <row r="72" spans="1:91" x14ac:dyDescent="0.2">
      <c r="A72" s="2" t="s">
        <v>70</v>
      </c>
      <c r="B72" s="2" t="str">
        <f t="shared" si="46"/>
        <v>ANPARA TPS</v>
      </c>
      <c r="C72" s="2" t="str">
        <f>VLOOKUP($A72,'[1]daily coal, energy reqd'!$C$2:$T$599,17,FALSE)</f>
        <v>Uttar Pradesh</v>
      </c>
      <c r="D72" s="2" t="str">
        <f>VLOOKUP(C72,'Target PLF'!$I$2:$J$19,2,FALSE)</f>
        <v>NR</v>
      </c>
      <c r="E72" s="2" t="str">
        <f>VLOOKUP(A72,[2]Ownership!$C$2:$D$666,2,FALSE)</f>
        <v>STATE SECTOR</v>
      </c>
      <c r="F72" s="2" t="s">
        <v>542</v>
      </c>
      <c r="G72" s="12">
        <v>4.1752224503764497</v>
      </c>
      <c r="H72" s="2">
        <v>600</v>
      </c>
      <c r="I72" s="2">
        <f>VLOOKUP(A72,'[3]Calculated coal req (reg.)'!$A$2:$I$599,9,FALSE)</f>
        <v>7.2684389789360297</v>
      </c>
      <c r="J72" s="2"/>
      <c r="K72" s="11">
        <v>0.50475270687055762</v>
      </c>
      <c r="L72" s="3">
        <f>VLOOKUP(F72,'Target PLF'!$A$2:$B$11,2,FALSE)</f>
        <v>0.85</v>
      </c>
      <c r="M72" s="3">
        <f t="shared" si="71"/>
        <v>0.34524729312944236</v>
      </c>
      <c r="N72" s="2" t="str">
        <f t="shared" si="50"/>
        <v>0.15</v>
      </c>
      <c r="O72" s="2">
        <f t="shared" si="49"/>
        <v>7.4798584576178033</v>
      </c>
      <c r="P72" s="2">
        <f t="shared" si="51"/>
        <v>1638089.0022182988</v>
      </c>
      <c r="Q72" s="2">
        <f t="shared" si="52"/>
        <v>12.283387621115674</v>
      </c>
      <c r="R72" s="2">
        <f t="shared" si="53"/>
        <v>12.24</v>
      </c>
      <c r="S72" s="2">
        <f t="shared" si="54"/>
        <v>2690061.8890243326</v>
      </c>
      <c r="T72" s="2" t="str">
        <f>VLOOKUP(A72,'[4]CEA vs MERIT comp. &amp; NPA marker'!$C$2:$K$735,9,FALSE)</f>
        <v>Contracted</v>
      </c>
      <c r="U72" s="3">
        <f>VLOOKUP(B72,'[8]Import-Domestic share'!$A$208:$F$406,6,FALSE)</f>
        <v>0</v>
      </c>
      <c r="V72" s="3">
        <f t="shared" si="55"/>
        <v>0</v>
      </c>
      <c r="W72" s="2">
        <f t="shared" si="56"/>
        <v>2613.2820416153318</v>
      </c>
      <c r="X72" s="2">
        <f t="shared" si="57"/>
        <v>2727.410853601883</v>
      </c>
      <c r="Y72" s="6">
        <f t="shared" si="58"/>
        <v>0.32908809164295699</v>
      </c>
      <c r="Z72" s="2">
        <f t="shared" si="59"/>
        <v>2600748.5315157329</v>
      </c>
      <c r="AA72" s="2">
        <f t="shared" si="60"/>
        <v>1611841.6482311497</v>
      </c>
      <c r="AB72" s="2" t="s">
        <v>598</v>
      </c>
      <c r="AC72" s="12">
        <f>VLOOKUP(B72,[9]Sheet1!$A$2:$B$137,2,FALSE)</f>
        <v>4489.130228333277</v>
      </c>
      <c r="AD72" s="12">
        <f t="shared" si="61"/>
        <v>2693478.1369999661</v>
      </c>
      <c r="AE72" s="2" t="s">
        <v>589</v>
      </c>
      <c r="AF72" s="7">
        <f>VLOOKUP($B72,'[9]Subsidiary wise dispatch'!$A$3:$R$138,11,FALSE)*$H72*$O72*365</f>
        <v>0</v>
      </c>
      <c r="AG72" s="7">
        <f>VLOOKUP($B72,'[9]Subsidiary wise dispatch'!$A$3:$R$138,12,FALSE)*$H72*$O72*365</f>
        <v>0</v>
      </c>
      <c r="AH72" s="7">
        <f>VLOOKUP($B72,'[9]Subsidiary wise dispatch'!$A$3:$R$138,13,FALSE)*$H72*$O72*365</f>
        <v>0</v>
      </c>
      <c r="AI72" s="7">
        <f>VLOOKUP($B72,'[9]Subsidiary wise dispatch'!$A$3:$R$138,14,FALSE)*$H72*$O72*365</f>
        <v>0</v>
      </c>
      <c r="AJ72" s="7">
        <f>VLOOKUP($B72,'[9]Subsidiary wise dispatch'!$A$3:$R$138,15,FALSE)*$H72*$O72*365</f>
        <v>1638089.0022182988</v>
      </c>
      <c r="AK72" s="7">
        <f>VLOOKUP($B72,'[9]Subsidiary wise dispatch'!$A$3:$R$138,16,FALSE)*$H72*$O72*365</f>
        <v>0</v>
      </c>
      <c r="AL72" s="7">
        <f>VLOOKUP($B72,'[9]Subsidiary wise dispatch'!$A$3:$R$138,17,FALSE)*$H72*$O72*365</f>
        <v>0</v>
      </c>
      <c r="AM72" s="7">
        <f>VLOOKUP($B72,'[9]Subsidiary wise dispatch'!$A$3:$R$138,18,FALSE)*$H72*$O72*365</f>
        <v>0</v>
      </c>
      <c r="AN72" s="15">
        <f t="shared" si="62"/>
        <v>1638089.0022182988</v>
      </c>
      <c r="AO72" s="6">
        <v>9.3255770253987805E-2</v>
      </c>
      <c r="AP72" s="11">
        <f t="shared" si="63"/>
        <v>0.67782387552478807</v>
      </c>
      <c r="AQ72" s="11">
        <f t="shared" si="64"/>
        <v>1.1414506279088108</v>
      </c>
      <c r="AR72" s="3">
        <f>VLOOKUP(A72,[10]Sheet1!$A$2:$L$542,12,FALSE)</f>
        <v>1.39269736842105</v>
      </c>
      <c r="AS72" s="3">
        <f t="shared" si="72"/>
        <v>1.586202628039437</v>
      </c>
      <c r="AT72" s="3">
        <f t="shared" si="73"/>
        <v>1.5745044248108155</v>
      </c>
      <c r="AU72" s="3">
        <f t="shared" si="65"/>
        <v>1.1698203228621473E-2</v>
      </c>
      <c r="AV72" s="88">
        <f t="shared" si="74"/>
        <v>0.25300412135111794</v>
      </c>
      <c r="AW72" s="32">
        <f t="shared" si="75"/>
        <v>0.15212805341317148</v>
      </c>
      <c r="AX72" s="12">
        <f t="shared" si="66"/>
        <v>420.81642086984039</v>
      </c>
      <c r="AY72" s="12">
        <f t="shared" si="67"/>
        <v>703.42559682847991</v>
      </c>
      <c r="AZ72" s="3">
        <f>VLOOKUP(A72,[5]Analysis!$A$3:$BJ$543,62,FALSE)</f>
        <v>0.38158009247456304</v>
      </c>
      <c r="BA72" s="2"/>
      <c r="BB72" s="2"/>
      <c r="BC72" s="2" t="str">
        <f>VLOOKUP(A72,'[6]FGD status - Jun 2020'!$I$2:$M$449,5,FALSE)</f>
        <v>Bid Awarded</v>
      </c>
      <c r="BD72" s="2"/>
      <c r="BE72" s="2"/>
      <c r="BF72" s="2">
        <f t="shared" si="68"/>
        <v>498.86499012754081</v>
      </c>
      <c r="BG72" s="2">
        <f t="shared" si="69"/>
        <v>804.93167050411932</v>
      </c>
      <c r="BH72" s="2"/>
      <c r="BI72" s="2"/>
      <c r="BK72">
        <f t="shared" si="70"/>
        <v>302.85162412233456</v>
      </c>
      <c r="BL72" t="str">
        <f>VLOOKUP(A72,'[11]Daily coal vs energy req.2'!$C$2:$P$599,14,FALSE)</f>
        <v/>
      </c>
      <c r="BM72" t="str">
        <f>VLOOKUP(A72,'[11]Daily coal vs energy req.2'!$C$2:$R$599,16,FALSE)</f>
        <v/>
      </c>
      <c r="BP72" s="2" t="str">
        <f>VLOOKUP(A72,'[7]Table 2'!$J$2:$N$449,5,FALSE)</f>
        <v>Bid Awarded</v>
      </c>
      <c r="BR72">
        <f t="shared" si="76"/>
        <v>276.10246663064231</v>
      </c>
      <c r="BS72">
        <f t="shared" si="77"/>
        <v>445.49852984971244</v>
      </c>
      <c r="BT72">
        <f>(X72*I72*365*[5]Analysis!BK72)/10^4</f>
        <v>273.02936679401347</v>
      </c>
      <c r="BU72">
        <f>(W72*R72*365*[5]Analysis!BK72)/10^4</f>
        <v>440.54000312589648</v>
      </c>
      <c r="BV72">
        <f>(X72*I72*365*[5]Analysis!BL72)/10^4</f>
        <v>3.0730998366288396</v>
      </c>
      <c r="BW72">
        <f>(W72*R72*365*[5]Analysis!BL72)/10^4</f>
        <v>4.9585267238159432</v>
      </c>
      <c r="BX72">
        <f t="shared" si="78"/>
        <v>2031961.9843890443</v>
      </c>
      <c r="BY72">
        <f t="shared" si="79"/>
        <v>3278623.6494105952</v>
      </c>
      <c r="BZ72">
        <f t="shared" si="80"/>
        <v>5244076.3484260794</v>
      </c>
      <c r="CA72">
        <f t="shared" si="81"/>
        <v>8830987.6014300846</v>
      </c>
      <c r="CB72">
        <f t="shared" si="82"/>
        <v>-395650.54294172814</v>
      </c>
      <c r="CC72">
        <f t="shared" si="83"/>
        <v>-1121998.5720000002</v>
      </c>
      <c r="CD72">
        <f t="shared" si="84"/>
        <v>0</v>
      </c>
      <c r="CE72">
        <f t="shared" si="85"/>
        <v>0</v>
      </c>
      <c r="CF72">
        <f t="shared" si="86"/>
        <v>4737157.8596681943</v>
      </c>
      <c r="CG72">
        <f t="shared" si="87"/>
        <v>7977340.4400000004</v>
      </c>
      <c r="CH72">
        <f t="shared" si="88"/>
        <v>224706.9501431511</v>
      </c>
      <c r="CI72">
        <f t="shared" si="89"/>
        <v>378404.91991786403</v>
      </c>
      <c r="CJ72">
        <f t="shared" si="90"/>
        <v>-2624924.052852958</v>
      </c>
      <c r="CK72">
        <f t="shared" si="91"/>
        <v>-4420353.6000000006</v>
      </c>
      <c r="CL72">
        <f t="shared" si="92"/>
        <v>1916237.9203590988</v>
      </c>
      <c r="CM72">
        <f t="shared" si="93"/>
        <v>3226931.1489258357</v>
      </c>
    </row>
    <row r="73" spans="1:91" x14ac:dyDescent="0.2">
      <c r="A73" s="2" t="s">
        <v>72</v>
      </c>
      <c r="B73" s="2" t="str">
        <f t="shared" si="46"/>
        <v>SEIONI TPP</v>
      </c>
      <c r="C73" s="2" t="str">
        <f>VLOOKUP($A73,'[1]daily coal, energy reqd'!$C$2:$T$599,17,FALSE)</f>
        <v>Madhya Pradesh</v>
      </c>
      <c r="D73" s="2" t="str">
        <f>VLOOKUP(C73,'Target PLF'!$I$2:$J$19,2,FALSE)</f>
        <v>WR</v>
      </c>
      <c r="E73" s="2" t="str">
        <f>VLOOKUP(A73,[2]Ownership!$C$2:$D$666,2,FALSE)</f>
        <v>PVT SECTOR</v>
      </c>
      <c r="F73" s="2" t="s">
        <v>542</v>
      </c>
      <c r="G73" s="12">
        <v>4.1752224503764497</v>
      </c>
      <c r="H73" s="2">
        <v>600</v>
      </c>
      <c r="I73" s="2">
        <f>VLOOKUP(A73,'[3]Calculated coal req (reg.)'!$A$2:$I$599,9,FALSE)</f>
        <v>6.94086002648445</v>
      </c>
      <c r="J73" s="2"/>
      <c r="K73" s="11">
        <v>0.48200416850586458</v>
      </c>
      <c r="L73" s="3">
        <f>VLOOKUP(F73,'Target PLF'!$A$2:$B$11,2,FALSE)</f>
        <v>0.85</v>
      </c>
      <c r="M73" s="3">
        <f t="shared" si="71"/>
        <v>0.36799583149413539</v>
      </c>
      <c r="N73" s="2" t="str">
        <f t="shared" si="50"/>
        <v>0.15</v>
      </c>
      <c r="O73" s="2">
        <f t="shared" si="49"/>
        <v>6.2736001187883197</v>
      </c>
      <c r="P73" s="2">
        <f t="shared" si="51"/>
        <v>1373918.426014642</v>
      </c>
      <c r="Q73" s="2">
        <f t="shared" si="52"/>
        <v>11.393636521115674</v>
      </c>
      <c r="R73" s="2">
        <f t="shared" si="53"/>
        <v>12.24</v>
      </c>
      <c r="S73" s="2">
        <f t="shared" si="54"/>
        <v>2495206.3981243325</v>
      </c>
      <c r="T73" s="2" t="str">
        <f>VLOOKUP(A73,'[4]CEA vs MERIT comp. &amp; NPA marker'!$C$2:$K$735,9,FALSE)</f>
        <v>Contracted</v>
      </c>
      <c r="U73" s="3">
        <f>VLOOKUP(B73,'[8]Import-Domestic share'!$A$208:$F$406,6,FALSE)</f>
        <v>0</v>
      </c>
      <c r="V73" s="3">
        <f t="shared" si="55"/>
        <v>0</v>
      </c>
      <c r="W73" s="2">
        <f t="shared" si="56"/>
        <v>2613.2820416153318</v>
      </c>
      <c r="X73" s="2">
        <f t="shared" si="57"/>
        <v>2734.9308652273457</v>
      </c>
      <c r="Y73" s="6">
        <f t="shared" si="58"/>
        <v>0.32908809164295699</v>
      </c>
      <c r="Z73" s="2">
        <f t="shared" si="59"/>
        <v>2993135.0046919421</v>
      </c>
      <c r="AA73" s="2">
        <f t="shared" si="60"/>
        <v>1776307.8823728918</v>
      </c>
      <c r="AB73" s="2" t="s">
        <v>598</v>
      </c>
      <c r="AC73" s="12">
        <f>VLOOKUP(B73,[9]Sheet1!$A$2:$B$137,2,FALSE)</f>
        <v>3900.6255417210209</v>
      </c>
      <c r="AD73" s="12">
        <f t="shared" si="61"/>
        <v>2340375.3250326128</v>
      </c>
      <c r="AE73" s="2"/>
      <c r="AF73" s="7">
        <f>VLOOKUP($B73,'[9]Subsidiary wise dispatch'!$A$3:$R$138,11,FALSE)*$H73*$O73*365</f>
        <v>0</v>
      </c>
      <c r="AG73" s="7">
        <f>VLOOKUP($B73,'[9]Subsidiary wise dispatch'!$A$3:$R$138,12,FALSE)*$H73*$O73*365</f>
        <v>0</v>
      </c>
      <c r="AH73" s="7">
        <f>VLOOKUP($B73,'[9]Subsidiary wise dispatch'!$A$3:$R$138,13,FALSE)*$H73*$O73*365</f>
        <v>0</v>
      </c>
      <c r="AI73" s="7">
        <f>VLOOKUP($B73,'[9]Subsidiary wise dispatch'!$A$3:$R$138,14,FALSE)*$H73*$O73*365</f>
        <v>392908.68771283136</v>
      </c>
      <c r="AJ73" s="7">
        <f>VLOOKUP($B73,'[9]Subsidiary wise dispatch'!$A$3:$R$138,15,FALSE)*$H73*$O73*365</f>
        <v>0</v>
      </c>
      <c r="AK73" s="7">
        <f>VLOOKUP($B73,'[9]Subsidiary wise dispatch'!$A$3:$R$138,16,FALSE)*$H73*$O73*365</f>
        <v>0</v>
      </c>
      <c r="AL73" s="7">
        <f>VLOOKUP($B73,'[9]Subsidiary wise dispatch'!$A$3:$R$138,17,FALSE)*$H73*$O73*365</f>
        <v>981009.73830181058</v>
      </c>
      <c r="AM73" s="7">
        <f>VLOOKUP($B73,'[9]Subsidiary wise dispatch'!$A$3:$R$138,18,FALSE)*$H73*$O73*365</f>
        <v>0</v>
      </c>
      <c r="AN73" s="15">
        <f t="shared" si="62"/>
        <v>1373918.426014642</v>
      </c>
      <c r="AO73" s="6">
        <v>6.5611235962542022E-2</v>
      </c>
      <c r="AP73" s="11">
        <f t="shared" si="63"/>
        <v>0.45539840498064693</v>
      </c>
      <c r="AQ73" s="11">
        <f t="shared" si="64"/>
        <v>0.80308152818151435</v>
      </c>
      <c r="AR73" s="3">
        <f>VLOOKUP(A73,[10]Sheet1!$A$2:$L$542,12,FALSE)</f>
        <v>2.0769568454351699</v>
      </c>
      <c r="AS73" s="3">
        <f t="shared" si="72"/>
        <v>2.235251723351908</v>
      </c>
      <c r="AT73" s="3">
        <f t="shared" si="73"/>
        <v>2.2227827189316764</v>
      </c>
      <c r="AU73" s="3">
        <f t="shared" si="65"/>
        <v>1.2469004420231578E-2</v>
      </c>
      <c r="AV73" s="88">
        <f t="shared" si="74"/>
        <v>0.26967470523553233</v>
      </c>
      <c r="AW73" s="32">
        <f t="shared" si="75"/>
        <v>0.11506789062200286</v>
      </c>
      <c r="AX73" s="12">
        <f t="shared" si="66"/>
        <v>566.28178075464643</v>
      </c>
      <c r="AY73" s="12">
        <f t="shared" si="67"/>
        <v>993.05040750991577</v>
      </c>
      <c r="AZ73" s="3">
        <f>VLOOKUP(A73,[5]Analysis!$A$3:$BJ$543,62,FALSE)</f>
        <v>0.76577533885227778</v>
      </c>
      <c r="BA73" s="2"/>
      <c r="BB73" s="2"/>
      <c r="BC73" s="2" t="str">
        <f>VLOOKUP(A73,'[6]FGD status - Jun 2020'!$I$2:$M$449,5,FALSE)</f>
        <v>Feasibility Study completed</v>
      </c>
      <c r="BD73" s="2"/>
      <c r="BE73" s="2"/>
      <c r="BF73" s="2">
        <f t="shared" si="68"/>
        <v>549.76728959441004</v>
      </c>
      <c r="BG73" s="2">
        <f t="shared" si="69"/>
        <v>926.37528395215611</v>
      </c>
      <c r="BH73" s="2"/>
      <c r="BI73" s="2"/>
      <c r="BK73">
        <f t="shared" si="70"/>
        <v>289.20250110351873</v>
      </c>
      <c r="BL73">
        <f>VLOOKUP(A73,'[11]Daily coal vs energy req.2'!$C$2:$P$599,14,FALSE)</f>
        <v>0.72</v>
      </c>
      <c r="BM73">
        <f>VLOOKUP(A73,'[11]Daily coal vs energy req.2'!$C$2:$R$599,16,FALSE)</f>
        <v>0.74</v>
      </c>
      <c r="BN73">
        <f>BL73*H73</f>
        <v>432</v>
      </c>
      <c r="BO73">
        <f>BM73*H73</f>
        <v>444</v>
      </c>
      <c r="BP73" s="2" t="str">
        <f>VLOOKUP(A73,'[7]Table 2'!$J$2:$N$449,5,FALSE)</f>
        <v>Feasibility Study completed</v>
      </c>
      <c r="BR73">
        <f t="shared" si="76"/>
        <v>530.58366999263853</v>
      </c>
      <c r="BS73">
        <f t="shared" si="77"/>
        <v>894.0502777319208</v>
      </c>
      <c r="BT73">
        <f>(X73*I73*365*[5]Analysis!BK73)/10^4</f>
        <v>272.55926393770574</v>
      </c>
      <c r="BU73">
        <f>(W73*R73*365*[5]Analysis!BK73)/10^4</f>
        <v>459.27098665757023</v>
      </c>
      <c r="BV73">
        <f>(X73*I73*365*[5]Analysis!BL73)/10^4</f>
        <v>258.02440605493274</v>
      </c>
      <c r="BW73">
        <f>(W73*R73*365*[5]Analysis!BL73)/10^4</f>
        <v>434.77929107435045</v>
      </c>
      <c r="BX73">
        <f t="shared" si="78"/>
        <v>1945734.162559639</v>
      </c>
      <c r="BY73">
        <f t="shared" si="79"/>
        <v>3278623.6494105952</v>
      </c>
      <c r="BZ73">
        <f t="shared" si="80"/>
        <v>10049785.923616294</v>
      </c>
      <c r="CA73">
        <f t="shared" si="81"/>
        <v>17722498.25463888</v>
      </c>
      <c r="CB73">
        <f t="shared" si="82"/>
        <v>-360791.28712024522</v>
      </c>
      <c r="CC73">
        <f t="shared" si="83"/>
        <v>-1121998.5720000002</v>
      </c>
      <c r="CD73">
        <f t="shared" si="84"/>
        <v>-2561485.5239579375</v>
      </c>
      <c r="CE73">
        <f t="shared" si="85"/>
        <v>-4517103.4560000002</v>
      </c>
      <c r="CF73">
        <f t="shared" si="86"/>
        <v>4523660.4066710677</v>
      </c>
      <c r="CG73">
        <f t="shared" si="87"/>
        <v>7977340.4400000004</v>
      </c>
      <c r="CH73">
        <f t="shared" si="88"/>
        <v>214579.70445122157</v>
      </c>
      <c r="CI73">
        <f t="shared" si="89"/>
        <v>378404.91991786403</v>
      </c>
      <c r="CJ73">
        <f t="shared" si="90"/>
        <v>-2506622.1899645943</v>
      </c>
      <c r="CK73">
        <f t="shared" si="91"/>
        <v>-4420353.6000000006</v>
      </c>
      <c r="CL73">
        <f t="shared" si="92"/>
        <v>1287431.3284101079</v>
      </c>
      <c r="CM73">
        <f t="shared" si="93"/>
        <v>2270346.815756381</v>
      </c>
    </row>
    <row r="74" spans="1:91" x14ac:dyDescent="0.2">
      <c r="A74" s="2" t="s">
        <v>69</v>
      </c>
      <c r="B74" s="2" t="str">
        <f t="shared" ref="B74:B105" si="94">LEFT(A74,LEN(A74)-LEN(RIGHT(A74,1)))</f>
        <v>SINGARENI TPP</v>
      </c>
      <c r="C74" s="2" t="s">
        <v>610</v>
      </c>
      <c r="D74" s="2" t="str">
        <f>VLOOKUP(C74,'Target PLF'!$I$2:$J$19,2,FALSE)</f>
        <v>SR</v>
      </c>
      <c r="E74" s="2" t="str">
        <f>VLOOKUP(A74,[2]Ownership!$C$2:$D$666,2,FALSE)</f>
        <v>STATE SECTOR</v>
      </c>
      <c r="F74" s="2" t="s">
        <v>542</v>
      </c>
      <c r="G74" s="12">
        <v>4.1752224503764497</v>
      </c>
      <c r="H74" s="2">
        <v>600</v>
      </c>
      <c r="I74" s="2">
        <f>VLOOKUP(A74,'[3]Calculated coal req (reg.)'!$A$2:$I$599,9,FALSE)</f>
        <v>12.550124438088099</v>
      </c>
      <c r="J74" s="2"/>
      <c r="K74" s="11">
        <v>0.87153641931167358</v>
      </c>
      <c r="L74" s="3">
        <f>VLOOKUP(F74,'Target PLF'!$A$2:$B$11,2,FALSE)</f>
        <v>0.85</v>
      </c>
      <c r="M74" s="3">
        <f t="shared" si="71"/>
        <v>-2.1536419311673605E-2</v>
      </c>
      <c r="N74" s="2" t="str">
        <f t="shared" si="50"/>
        <v>0.15</v>
      </c>
      <c r="O74" s="2">
        <f t="shared" si="49"/>
        <v>12.583030283924781</v>
      </c>
      <c r="P74" s="2">
        <f t="shared" si="51"/>
        <v>2755683.6321795271</v>
      </c>
      <c r="Q74" s="2">
        <f t="shared" si="52"/>
        <v>12.283387621115674</v>
      </c>
      <c r="R74" s="2">
        <f t="shared" si="53"/>
        <v>12.24</v>
      </c>
      <c r="S74" s="2">
        <f t="shared" si="54"/>
        <v>2690061.8890243326</v>
      </c>
      <c r="T74" s="2" t="str">
        <f>VLOOKUP(A74,'[4]CEA vs MERIT comp. &amp; NPA marker'!$C$2:$K$735,9,FALSE)</f>
        <v>Contracted</v>
      </c>
      <c r="U74" s="3">
        <f>VLOOKUP(B74,'[8]Import-Domestic share'!$A$208:$F$406,6,FALSE)</f>
        <v>0</v>
      </c>
      <c r="V74" s="3">
        <f t="shared" si="55"/>
        <v>0</v>
      </c>
      <c r="W74" s="2">
        <f t="shared" si="56"/>
        <v>2613.2820416153318</v>
      </c>
      <c r="X74" s="2">
        <f t="shared" si="57"/>
        <v>2606.1627216397683</v>
      </c>
      <c r="Y74" s="6">
        <f t="shared" si="58"/>
        <v>0.32908809164295699</v>
      </c>
      <c r="Z74" s="2">
        <f t="shared" si="59"/>
        <v>2724008.1309194253</v>
      </c>
      <c r="AA74" s="2">
        <f t="shared" si="60"/>
        <v>2785417.2325728391</v>
      </c>
      <c r="AB74" s="2" t="s">
        <v>598</v>
      </c>
      <c r="AC74" s="12"/>
      <c r="AD74" s="12">
        <f t="shared" si="61"/>
        <v>0</v>
      </c>
      <c r="AE74" s="2"/>
      <c r="AF74" s="7"/>
      <c r="AG74" s="7"/>
      <c r="AH74" s="7"/>
      <c r="AI74" s="7"/>
      <c r="AJ74" s="7"/>
      <c r="AK74" s="7"/>
      <c r="AL74" s="7"/>
      <c r="AM74" s="7"/>
      <c r="AN74" s="15">
        <f t="shared" si="62"/>
        <v>0</v>
      </c>
      <c r="AO74" s="6">
        <v>5.8057563443709923E-2</v>
      </c>
      <c r="AP74" s="11">
        <f t="shared" si="63"/>
        <v>0.72862964579075418</v>
      </c>
      <c r="AQ74" s="11">
        <f t="shared" si="64"/>
        <v>0.71062457655100941</v>
      </c>
      <c r="AR74" s="3">
        <f>VLOOKUP(A74,[10]Sheet1!$A$2:$L$542,12,FALSE)</f>
        <v>2.3885855263157798</v>
      </c>
      <c r="AS74" s="3">
        <f t="shared" si="72"/>
        <v>1.9582231985871585</v>
      </c>
      <c r="AT74" s="3">
        <f t="shared" si="73"/>
        <v>1.9589529288846541</v>
      </c>
      <c r="AU74" s="3">
        <f t="shared" si="65"/>
        <v>-7.2973029749556773E-4</v>
      </c>
      <c r="AV74" s="88">
        <f t="shared" si="74"/>
        <v>-1.5782318799980651E-2</v>
      </c>
      <c r="AW74" s="32">
        <f t="shared" si="75"/>
        <v>7.6868604729764204E-3</v>
      </c>
      <c r="AX74" s="12">
        <f t="shared" si="66"/>
        <v>897.02198592342063</v>
      </c>
      <c r="AY74" s="12">
        <f t="shared" si="67"/>
        <v>875.18181050850819</v>
      </c>
      <c r="AZ74" s="3">
        <f>VLOOKUP(A74,[5]Analysis!$A$3:$BJ$543,62,FALSE)</f>
        <v>0.63753483267378941</v>
      </c>
      <c r="BA74" s="2"/>
      <c r="BB74" s="2"/>
      <c r="BC74" s="2" t="str">
        <f>VLOOKUP(A74,'[6]FGD status - Jun 2020'!$I$2:$M$449,5,FALSE)</f>
        <v>NIT issued</v>
      </c>
      <c r="BD74" s="2"/>
      <c r="BE74" s="2"/>
      <c r="BF74" s="2">
        <f t="shared" si="68"/>
        <v>862.08663348129369</v>
      </c>
      <c r="BG74" s="2">
        <f t="shared" si="69"/>
        <v>843.08051651956214</v>
      </c>
      <c r="BH74" s="2"/>
      <c r="BI74" s="2"/>
      <c r="BK74">
        <f t="shared" si="70"/>
        <v>522.9218515870042</v>
      </c>
      <c r="BL74">
        <f>VLOOKUP(A74,'[11]Daily coal vs energy req.2'!$C$2:$P$599,14,FALSE)</f>
        <v>0.78</v>
      </c>
      <c r="BM74">
        <f>VLOOKUP(A74,'[11]Daily coal vs energy req.2'!$C$2:$R$599,16,FALSE)</f>
        <v>0.84</v>
      </c>
      <c r="BN74">
        <f>BL74*H74</f>
        <v>468</v>
      </c>
      <c r="BO74">
        <f>BM74*H74</f>
        <v>504</v>
      </c>
      <c r="BP74" s="2" t="str">
        <f>VLOOKUP(A74,'[7]Table 2'!$J$2:$N$449,5,FALSE)</f>
        <v>NIT issued</v>
      </c>
      <c r="BR74">
        <f t="shared" si="76"/>
        <v>761.10809828384333</v>
      </c>
      <c r="BS74">
        <f t="shared" si="77"/>
        <v>744.32821912240888</v>
      </c>
      <c r="BT74">
        <f>(X74*I74*365*[5]Analysis!BK74)/10^4</f>
        <v>448.64097125161595</v>
      </c>
      <c r="BU74">
        <f>(W74*R74*365*[5]Analysis!BK74)/10^4</f>
        <v>438.74994354944693</v>
      </c>
      <c r="BV74">
        <f>(X74*I74*365*[5]Analysis!BL74)/10^4</f>
        <v>312.46712703222732</v>
      </c>
      <c r="BW74">
        <f>(W74*R74*365*[5]Analysis!BL74)/10^4</f>
        <v>305.57827557296196</v>
      </c>
      <c r="BX74">
        <f t="shared" si="78"/>
        <v>3352535.8124047588</v>
      </c>
      <c r="BY74">
        <f t="shared" si="79"/>
        <v>3278623.6494105952</v>
      </c>
      <c r="BZ74">
        <f t="shared" si="80"/>
        <v>15128438.300204253</v>
      </c>
      <c r="CA74">
        <f t="shared" si="81"/>
        <v>14754601.494828636</v>
      </c>
      <c r="CB74">
        <f t="shared" si="82"/>
        <v>-1179574.926775415</v>
      </c>
      <c r="CC74">
        <f t="shared" si="83"/>
        <v>-1121998.5720000002</v>
      </c>
      <c r="CD74">
        <f t="shared" si="84"/>
        <v>0</v>
      </c>
      <c r="CE74">
        <f t="shared" si="85"/>
        <v>0</v>
      </c>
      <c r="CF74">
        <f t="shared" si="86"/>
        <v>8179462.0267150719</v>
      </c>
      <c r="CG74">
        <f t="shared" si="87"/>
        <v>7977340.4400000004</v>
      </c>
      <c r="CH74">
        <f t="shared" si="88"/>
        <v>387992.55171192443</v>
      </c>
      <c r="CI74">
        <f t="shared" si="89"/>
        <v>378404.91991786403</v>
      </c>
      <c r="CJ74">
        <f t="shared" si="90"/>
        <v>-4532351.9395711366</v>
      </c>
      <c r="CK74">
        <f t="shared" si="91"/>
        <v>-4420353.6000000006</v>
      </c>
      <c r="CL74">
        <f t="shared" si="92"/>
        <v>2059868.0683548767</v>
      </c>
      <c r="CM74">
        <f t="shared" si="93"/>
        <v>2008966.9453910717</v>
      </c>
    </row>
    <row r="75" spans="1:91" x14ac:dyDescent="0.2">
      <c r="A75" s="2" t="s">
        <v>71</v>
      </c>
      <c r="B75" s="2" t="str">
        <f t="shared" si="94"/>
        <v>ANUPPUR TPP</v>
      </c>
      <c r="C75" s="2" t="str">
        <f>VLOOKUP($A75,'[1]daily coal, energy reqd'!$C$2:$T$599,17,FALSE)</f>
        <v>Madhya Pradesh</v>
      </c>
      <c r="D75" s="2" t="str">
        <f>VLOOKUP(C75,'Target PLF'!$I$2:$J$19,2,FALSE)</f>
        <v>WR</v>
      </c>
      <c r="E75" s="2" t="str">
        <f>VLOOKUP(A75,[2]Ownership!$C$2:$D$666,2,FALSE)</f>
        <v>PVT SECTOR</v>
      </c>
      <c r="F75" s="2" t="s">
        <v>542</v>
      </c>
      <c r="G75" s="12">
        <v>4.1752224503764497</v>
      </c>
      <c r="H75" s="2">
        <v>600</v>
      </c>
      <c r="I75" s="2">
        <f>VLOOKUP(A75,'[3]Calculated coal req (reg.)'!$A$2:$I$599,9,FALSE)</f>
        <v>9.1933028096474008</v>
      </c>
      <c r="J75" s="2"/>
      <c r="K75" s="11">
        <v>0.63842380622551398</v>
      </c>
      <c r="L75" s="3">
        <f>VLOOKUP(F75,'Target PLF'!$A$2:$B$11,2,FALSE)</f>
        <v>0.85</v>
      </c>
      <c r="M75" s="3">
        <f t="shared" si="71"/>
        <v>0.211576193774486</v>
      </c>
      <c r="N75" s="2" t="str">
        <f t="shared" si="50"/>
        <v>0.15</v>
      </c>
      <c r="O75" s="2">
        <f t="shared" ref="O75:O98" si="95">(13.9133*K75)+(-0.289097*N75)+(-0.0052079*H75)+(0.031675*G75)+3.492937+IF(E75="Pvt Sector",-0.8897511,0)</f>
        <v>8.4499134642731182</v>
      </c>
      <c r="P75" s="2">
        <f t="shared" si="51"/>
        <v>1850531.0486758128</v>
      </c>
      <c r="Q75" s="2">
        <f t="shared" si="52"/>
        <v>11.393636521115674</v>
      </c>
      <c r="R75" s="2">
        <f t="shared" si="53"/>
        <v>12.24</v>
      </c>
      <c r="S75" s="2">
        <f t="shared" si="54"/>
        <v>2495206.3981243325</v>
      </c>
      <c r="T75" s="2" t="str">
        <f>VLOOKUP(A75,'[4]CEA vs MERIT comp. &amp; NPA marker'!$C$2:$K$735,9,FALSE)</f>
        <v>Not contracted</v>
      </c>
      <c r="U75" s="3">
        <f>VLOOKUP(B75,'[8]Import-Domestic share'!$A$208:$F$406,6,FALSE)</f>
        <v>2.9234423533710946E-3</v>
      </c>
      <c r="V75" s="3">
        <f t="shared" si="55"/>
        <v>5409.9208439270978</v>
      </c>
      <c r="W75" s="2">
        <f t="shared" si="56"/>
        <v>2613.9411480651765</v>
      </c>
      <c r="X75" s="2">
        <f t="shared" si="57"/>
        <v>2683.8821443326406</v>
      </c>
      <c r="Y75" s="6">
        <f t="shared" si="58"/>
        <v>0.32900511193091198</v>
      </c>
      <c r="Z75" s="2">
        <f t="shared" si="59"/>
        <v>2764397.7592171403</v>
      </c>
      <c r="AA75" s="2">
        <f t="shared" si="60"/>
        <v>2131858.2045941115</v>
      </c>
      <c r="AB75" s="2" t="s">
        <v>598</v>
      </c>
      <c r="AC75" s="12">
        <f>VLOOKUP(B75,[9]Sheet1!$A$2:$B$137,2,FALSE)</f>
        <v>4224.4439803059058</v>
      </c>
      <c r="AD75" s="12">
        <f t="shared" si="61"/>
        <v>2534666.3881835435</v>
      </c>
      <c r="AE75" s="2"/>
      <c r="AF75" s="7">
        <f>VLOOKUP($B75,'[9]Subsidiary wise dispatch'!$A$3:$R$138,11,FALSE)*$H75*$O75*365</f>
        <v>0</v>
      </c>
      <c r="AG75" s="7">
        <f>VLOOKUP($B75,'[9]Subsidiary wise dispatch'!$A$3:$R$138,12,FALSE)*$H75*$O75*365</f>
        <v>20575.450741979366</v>
      </c>
      <c r="AH75" s="7">
        <f>VLOOKUP($B75,'[9]Subsidiary wise dispatch'!$A$3:$R$138,13,FALSE)*$H75*$O75*365</f>
        <v>0</v>
      </c>
      <c r="AI75" s="7">
        <f>VLOOKUP($B75,'[9]Subsidiary wise dispatch'!$A$3:$R$138,14,FALSE)*$H75*$O75*365</f>
        <v>0</v>
      </c>
      <c r="AJ75" s="7">
        <f>VLOOKUP($B75,'[9]Subsidiary wise dispatch'!$A$3:$R$138,15,FALSE)*$H75*$O75*365</f>
        <v>0</v>
      </c>
      <c r="AK75" s="7">
        <f>VLOOKUP($B75,'[9]Subsidiary wise dispatch'!$A$3:$R$138,16,FALSE)*$H75*$O75*365</f>
        <v>0</v>
      </c>
      <c r="AL75" s="7">
        <f>VLOOKUP($B75,'[9]Subsidiary wise dispatch'!$A$3:$R$138,17,FALSE)*$H75*$O75*365</f>
        <v>1829955.5979338335</v>
      </c>
      <c r="AM75" s="7">
        <f>VLOOKUP($B75,'[9]Subsidiary wise dispatch'!$A$3:$R$138,18,FALSE)*$H75*$O75*365</f>
        <v>0</v>
      </c>
      <c r="AN75" s="15">
        <f t="shared" si="62"/>
        <v>1850531.0486758128</v>
      </c>
      <c r="AO75" s="6">
        <v>6.7965223168433342E-2</v>
      </c>
      <c r="AP75" s="11">
        <f t="shared" si="63"/>
        <v>0.62482487711267087</v>
      </c>
      <c r="AQ75" s="11">
        <f t="shared" si="64"/>
        <v>0.83189433158162407</v>
      </c>
      <c r="AR75" s="3">
        <f>VLOOKUP(A75,[10]Sheet1!$A$2:$L$542,12,FALSE)</f>
        <v>2.1630853042415898</v>
      </c>
      <c r="AS75" s="3">
        <f t="shared" si="72"/>
        <v>1.8442009664712347</v>
      </c>
      <c r="AT75" s="3">
        <f t="shared" si="73"/>
        <v>1.8370320143538195</v>
      </c>
      <c r="AU75" s="3">
        <f t="shared" si="65"/>
        <v>7.1689521174151949E-3</v>
      </c>
      <c r="AV75" s="88">
        <f t="shared" si="74"/>
        <v>0.15504726632181884</v>
      </c>
      <c r="AW75" s="32">
        <f t="shared" si="75"/>
        <v>8.0185574616284755E-2</v>
      </c>
      <c r="AX75" s="12">
        <f t="shared" si="66"/>
        <v>618.83187432142756</v>
      </c>
      <c r="AY75" s="12">
        <f t="shared" si="67"/>
        <v>820.71242273271241</v>
      </c>
      <c r="AZ75" s="3">
        <f>VLOOKUP(A75,[5]Analysis!$A$3:$BJ$543,62,FALSE)</f>
        <v>0.55820383368619186</v>
      </c>
      <c r="BA75" s="2"/>
      <c r="BB75" s="2"/>
      <c r="BC75" s="2" t="str">
        <f>VLOOKUP(A75,'[6]FGD status - Jun 2020'!$I$2:$M$449,5,FALSE)</f>
        <v>Technical Bid under evaluation</v>
      </c>
      <c r="BD75" s="2"/>
      <c r="BE75" s="2"/>
      <c r="BF75" s="2">
        <f t="shared" si="68"/>
        <v>661.14134739332292</v>
      </c>
      <c r="BG75" s="2">
        <f t="shared" si="69"/>
        <v>857.30732715775241</v>
      </c>
      <c r="BH75" s="2"/>
      <c r="BI75" s="2"/>
      <c r="BK75">
        <f t="shared" si="70"/>
        <v>383.05428373530839</v>
      </c>
      <c r="BL75">
        <f>VLOOKUP(A75,'[11]Daily coal vs energy req.2'!$C$2:$P$599,14,FALSE)</f>
        <v>0.88</v>
      </c>
      <c r="BM75">
        <f>VLOOKUP(A75,'[11]Daily coal vs energy req.2'!$C$2:$R$599,16,FALSE)</f>
        <v>0.83</v>
      </c>
      <c r="BN75">
        <f>BL75*H75</f>
        <v>528</v>
      </c>
      <c r="BO75">
        <f>BM75*H75</f>
        <v>498</v>
      </c>
      <c r="BP75" s="2" t="str">
        <f>VLOOKUP(A75,'[7]Table 2'!$J$2:$N$449,5,FALSE)</f>
        <v>Bid opened</v>
      </c>
      <c r="BR75">
        <f t="shared" si="76"/>
        <v>502.71365910349266</v>
      </c>
      <c r="BS75">
        <f t="shared" si="77"/>
        <v>651.87286366361877</v>
      </c>
      <c r="BT75">
        <f>(X75*I75*365*[5]Analysis!BK75)/10^4</f>
        <v>345.07315612363465</v>
      </c>
      <c r="BU75">
        <f>(W75*R75*365*[5]Analysis!BK75)/10^4</f>
        <v>447.45914972134864</v>
      </c>
      <c r="BV75">
        <f>(X75*I75*365*[5]Analysis!BL75)/10^4</f>
        <v>157.64050297985804</v>
      </c>
      <c r="BW75">
        <f>(W75*R75*365*[5]Analysis!BL75)/10^4</f>
        <v>204.41371394227022</v>
      </c>
      <c r="BX75">
        <f t="shared" si="78"/>
        <v>2529058.478971215</v>
      </c>
      <c r="BY75">
        <f t="shared" si="79"/>
        <v>3279450.5643625702</v>
      </c>
      <c r="BZ75">
        <f t="shared" si="80"/>
        <v>9703011.1026272587</v>
      </c>
      <c r="CA75">
        <f t="shared" si="81"/>
        <v>12918627.652678477</v>
      </c>
      <c r="CB75">
        <f t="shared" si="82"/>
        <v>-632954.65605470259</v>
      </c>
      <c r="CC75">
        <f t="shared" si="83"/>
        <v>-1121998.5720000002</v>
      </c>
      <c r="CD75">
        <f t="shared" si="84"/>
        <v>-3392736.9194046394</v>
      </c>
      <c r="CE75">
        <f t="shared" si="85"/>
        <v>-4517103.4560000002</v>
      </c>
      <c r="CF75">
        <f t="shared" si="86"/>
        <v>5991675.3497194313</v>
      </c>
      <c r="CG75">
        <f t="shared" si="87"/>
        <v>7977340.4400000004</v>
      </c>
      <c r="CH75">
        <f t="shared" si="88"/>
        <v>284214.95208049827</v>
      </c>
      <c r="CI75">
        <f t="shared" si="89"/>
        <v>378404.91991786403</v>
      </c>
      <c r="CJ75">
        <f t="shared" si="90"/>
        <v>-3320069.3766760626</v>
      </c>
      <c r="CK75">
        <f t="shared" si="91"/>
        <v>-4420353.6000000006</v>
      </c>
      <c r="CL75">
        <f t="shared" si="92"/>
        <v>1766407.4198921134</v>
      </c>
      <c r="CM75">
        <f t="shared" si="93"/>
        <v>2351801.8787318408</v>
      </c>
    </row>
    <row r="76" spans="1:91" x14ac:dyDescent="0.2">
      <c r="A76" s="2" t="s">
        <v>74</v>
      </c>
      <c r="B76" s="2" t="str">
        <f t="shared" si="94"/>
        <v>RAGHUNATHPUR TPP</v>
      </c>
      <c r="C76" s="2" t="str">
        <f>VLOOKUP($A76,'[1]daily coal, energy reqd'!$C$2:$T$599,17,FALSE)</f>
        <v>West Bengal</v>
      </c>
      <c r="D76" s="2" t="str">
        <f>VLOOKUP(C76,'Target PLF'!$I$2:$J$19,2,FALSE)</f>
        <v>ER</v>
      </c>
      <c r="E76" s="2" t="str">
        <f>VLOOKUP(A76,[2]Ownership!$C$2:$D$666,2,FALSE)</f>
        <v>CENTRAL SECTOR</v>
      </c>
      <c r="F76" s="2" t="s">
        <v>542</v>
      </c>
      <c r="G76" s="12">
        <v>4.33949349760438</v>
      </c>
      <c r="H76" s="2">
        <v>600</v>
      </c>
      <c r="I76" s="2">
        <f>VLOOKUP(A76,'[3]Calculated coal req (reg.)'!$A$2:$I$599,9,FALSE)</f>
        <v>5.6703227005257597</v>
      </c>
      <c r="J76" s="2"/>
      <c r="K76" s="11">
        <v>0.39377240975873329</v>
      </c>
      <c r="L76" s="3">
        <f>VLOOKUP(F76,'Target PLF'!$A$2:$B$11,2,FALSE)</f>
        <v>0.85</v>
      </c>
      <c r="M76" s="3">
        <f t="shared" si="71"/>
        <v>0.45622759024126669</v>
      </c>
      <c r="N76" s="2" t="str">
        <f t="shared" si="50"/>
        <v>0.15</v>
      </c>
      <c r="O76" s="2">
        <f t="shared" si="95"/>
        <v>5.940959575232803</v>
      </c>
      <c r="P76" s="2">
        <f t="shared" si="51"/>
        <v>1301070.1469759839</v>
      </c>
      <c r="Q76" s="2">
        <f t="shared" si="52"/>
        <v>12.288590906536619</v>
      </c>
      <c r="R76" s="2">
        <f t="shared" si="53"/>
        <v>12.24</v>
      </c>
      <c r="S76" s="2">
        <f t="shared" si="54"/>
        <v>2691201.4085315196</v>
      </c>
      <c r="T76" s="2" t="str">
        <f>VLOOKUP(A76,'[4]CEA vs MERIT comp. &amp; NPA marker'!$C$2:$K$735,9,FALSE)</f>
        <v>Contracted</v>
      </c>
      <c r="U76" s="3">
        <f>VLOOKUP(B76,'[8]Import-Domestic share'!$A$208:$F$406,6,FALSE)</f>
        <v>0</v>
      </c>
      <c r="V76" s="3">
        <f t="shared" si="55"/>
        <v>0</v>
      </c>
      <c r="W76" s="2">
        <f t="shared" si="56"/>
        <v>2614.5371606297058</v>
      </c>
      <c r="X76" s="2">
        <f t="shared" si="57"/>
        <v>2765.3528626088691</v>
      </c>
      <c r="Y76" s="6">
        <f t="shared" si="58"/>
        <v>0.328930111589185</v>
      </c>
      <c r="Z76" s="2">
        <f t="shared" si="59"/>
        <v>2465736.6179354247</v>
      </c>
      <c r="AA76" s="2">
        <f t="shared" si="60"/>
        <v>1208172.0356029705</v>
      </c>
      <c r="AB76" s="2" t="s">
        <v>598</v>
      </c>
      <c r="AC76" s="12">
        <f>VLOOKUP(B76,[9]Sheet1!$A$2:$B$137,2,FALSE)</f>
        <v>4737.2075889474336</v>
      </c>
      <c r="AD76" s="12">
        <f t="shared" si="61"/>
        <v>2842324.5533684599</v>
      </c>
      <c r="AE76" s="2"/>
      <c r="AF76" s="7">
        <f>VLOOKUP($B76,'[9]Subsidiary wise dispatch'!$A$3:$R$138,11,FALSE)*$H76*$O76*365</f>
        <v>519228.22613096115</v>
      </c>
      <c r="AG76" s="7">
        <f>VLOOKUP($B76,'[9]Subsidiary wise dispatch'!$A$3:$R$138,12,FALSE)*$H76*$O76*365</f>
        <v>442837.2711581398</v>
      </c>
      <c r="AH76" s="7">
        <f>VLOOKUP($B76,'[9]Subsidiary wise dispatch'!$A$3:$R$138,13,FALSE)*$H76*$O76*365</f>
        <v>339004.6496868828</v>
      </c>
      <c r="AI76" s="7">
        <f>VLOOKUP($B76,'[9]Subsidiary wise dispatch'!$A$3:$R$138,14,FALSE)*$H76*$O76*365</f>
        <v>0</v>
      </c>
      <c r="AJ76" s="7">
        <f>VLOOKUP($B76,'[9]Subsidiary wise dispatch'!$A$3:$R$138,15,FALSE)*$H76*$O76*365</f>
        <v>0</v>
      </c>
      <c r="AK76" s="7">
        <f>VLOOKUP($B76,'[9]Subsidiary wise dispatch'!$A$3:$R$138,16,FALSE)*$H76*$O76*365</f>
        <v>0</v>
      </c>
      <c r="AL76" s="7">
        <f>VLOOKUP($B76,'[9]Subsidiary wise dispatch'!$A$3:$R$138,17,FALSE)*$H76*$O76*365</f>
        <v>0</v>
      </c>
      <c r="AM76" s="7">
        <f>VLOOKUP($B76,'[9]Subsidiary wise dispatch'!$A$3:$R$138,18,FALSE)*$H76*$O76*365</f>
        <v>0</v>
      </c>
      <c r="AN76" s="15">
        <f t="shared" si="62"/>
        <v>1301070.1469759836</v>
      </c>
      <c r="AO76" s="6">
        <v>7.8899454574965444E-2</v>
      </c>
      <c r="AP76" s="11">
        <f t="shared" si="63"/>
        <v>0.44738536833552756</v>
      </c>
      <c r="AQ76" s="11">
        <f t="shared" si="64"/>
        <v>0.96572932399757705</v>
      </c>
      <c r="AR76" s="3">
        <f>VLOOKUP(A76,[10]Sheet1!$A$2:$L$542,12,FALSE)</f>
        <v>2.2117206507948399</v>
      </c>
      <c r="AS76" s="3">
        <f t="shared" si="72"/>
        <v>1.962269587980265</v>
      </c>
      <c r="AT76" s="3">
        <f t="shared" si="73"/>
        <v>1.9468109785274006</v>
      </c>
      <c r="AU76" s="3">
        <f t="shared" si="65"/>
        <v>1.5458609452864369E-2</v>
      </c>
      <c r="AV76" s="88">
        <f t="shared" si="74"/>
        <v>0.33433270268060505</v>
      </c>
      <c r="AW76" s="32">
        <f t="shared" si="75"/>
        <v>0.16250269340205853</v>
      </c>
      <c r="AX76" s="12">
        <f t="shared" si="66"/>
        <v>406.12461530856763</v>
      </c>
      <c r="AY76" s="12">
        <f t="shared" si="67"/>
        <v>869.75727276690156</v>
      </c>
      <c r="AZ76" s="3">
        <f>VLOOKUP(A76,[5]Analysis!$A$3:$BJ$543,62,FALSE)</f>
        <v>0.59923968632098068</v>
      </c>
      <c r="BA76" s="2"/>
      <c r="BB76" s="2"/>
      <c r="BC76" s="2" t="str">
        <f>VLOOKUP(A76,'[6]FGD status - Jun 2020'!$I$2:$M$449,5,FALSE)</f>
        <v>Bid Awarded</v>
      </c>
      <c r="BD76" s="2"/>
      <c r="BE76" s="2"/>
      <c r="BF76" s="2">
        <f t="shared" si="68"/>
        <v>373.92924501911938</v>
      </c>
      <c r="BG76" s="2">
        <f t="shared" si="69"/>
        <v>763.14548325101396</v>
      </c>
      <c r="BH76" s="2"/>
      <c r="BI76" s="2"/>
      <c r="BK76">
        <f t="shared" si="70"/>
        <v>236.26344585523998</v>
      </c>
      <c r="BL76">
        <f>VLOOKUP(A76,'[11]Daily coal vs energy req.2'!$C$2:$P$599,14,FALSE)</f>
        <v>0.53</v>
      </c>
      <c r="BM76">
        <f>VLOOKUP(A76,'[11]Daily coal vs energy req.2'!$C$2:$R$599,16,FALSE)</f>
        <v>0.36</v>
      </c>
      <c r="BN76">
        <f>BL76*H76</f>
        <v>318</v>
      </c>
      <c r="BO76">
        <f>BM76*H76</f>
        <v>216</v>
      </c>
      <c r="BP76" s="2" t="str">
        <f>VLOOKUP(A76,'[7]Table 2'!$J$2:$N$449,5,FALSE)</f>
        <v>Bid Awarded</v>
      </c>
      <c r="BR76">
        <f t="shared" si="76"/>
        <v>342.96654912697625</v>
      </c>
      <c r="BS76">
        <f t="shared" si="77"/>
        <v>699.95427305787825</v>
      </c>
      <c r="BT76">
        <f>(X76*I76*365*[5]Analysis!BK76)/10^4</f>
        <v>277.89782091992959</v>
      </c>
      <c r="BU76">
        <f>(W76*R76*365*[5]Analysis!BK76)/10^4</f>
        <v>567.156673796669</v>
      </c>
      <c r="BV76">
        <f>(X76*I76*365*[5]Analysis!BL76)/10^4</f>
        <v>65.068728207046718</v>
      </c>
      <c r="BW76">
        <f>(W76*R76*365*[5]Analysis!BL76)/10^4</f>
        <v>132.79759926120929</v>
      </c>
      <c r="BX76">
        <f t="shared" si="78"/>
        <v>1607245.4189610337</v>
      </c>
      <c r="BY76">
        <f t="shared" si="79"/>
        <v>3280198.3217260293</v>
      </c>
      <c r="BZ76">
        <f t="shared" si="80"/>
        <v>6424665.0668805623</v>
      </c>
      <c r="CA76">
        <f t="shared" si="81"/>
        <v>13868328.942077085</v>
      </c>
      <c r="CB76">
        <f t="shared" si="82"/>
        <v>-240793.64424921144</v>
      </c>
      <c r="CC76">
        <f t="shared" si="83"/>
        <v>-1121998.5720000002</v>
      </c>
      <c r="CD76">
        <f t="shared" si="84"/>
        <v>0</v>
      </c>
      <c r="CE76">
        <f t="shared" si="85"/>
        <v>0</v>
      </c>
      <c r="CF76">
        <f t="shared" si="86"/>
        <v>3695595.9629701106</v>
      </c>
      <c r="CG76">
        <f t="shared" si="87"/>
        <v>7977340.4400000004</v>
      </c>
      <c r="CH76">
        <f t="shared" si="88"/>
        <v>182197.55929124742</v>
      </c>
      <c r="CI76">
        <f t="shared" si="89"/>
        <v>393292.98234086233</v>
      </c>
      <c r="CJ76">
        <f t="shared" si="90"/>
        <v>-2047780.340067873</v>
      </c>
      <c r="CK76">
        <f t="shared" si="91"/>
        <v>-4420353.6000000006</v>
      </c>
      <c r="CL76">
        <f t="shared" si="92"/>
        <v>1264778.1212407432</v>
      </c>
      <c r="CM76">
        <f t="shared" si="93"/>
        <v>2730159.2910314063</v>
      </c>
    </row>
    <row r="77" spans="1:91" x14ac:dyDescent="0.2">
      <c r="A77" s="2" t="s">
        <v>78</v>
      </c>
      <c r="B77" s="2" t="str">
        <f t="shared" si="94"/>
        <v>KAKATIYA TPS</v>
      </c>
      <c r="C77" s="2" t="s">
        <v>610</v>
      </c>
      <c r="D77" s="2" t="str">
        <f>VLOOKUP(C77,'Target PLF'!$I$2:$J$19,2,FALSE)</f>
        <v>SR</v>
      </c>
      <c r="E77" s="2" t="str">
        <f>VLOOKUP(A77,[2]Ownership!$C$2:$D$666,2,FALSE)</f>
        <v>STATE SECTOR</v>
      </c>
      <c r="F77" s="2" t="s">
        <v>542</v>
      </c>
      <c r="G77" s="12">
        <v>4.4243668720054696</v>
      </c>
      <c r="H77" s="2">
        <v>600</v>
      </c>
      <c r="I77" s="2">
        <f>VLOOKUP(A77,'[3]Calculated coal req (reg.)'!$A$2:$I$599,9,FALSE)</f>
        <v>11.204573528532199</v>
      </c>
      <c r="J77" s="2"/>
      <c r="K77" s="11">
        <v>0.77809538392584709</v>
      </c>
      <c r="L77" s="3">
        <f>VLOOKUP(F77,'Target PLF'!$A$2:$B$11,2,FALSE)</f>
        <v>0.85</v>
      </c>
      <c r="M77" s="3">
        <f t="shared" si="71"/>
        <v>7.1904616074152883E-2</v>
      </c>
      <c r="N77" s="2" t="str">
        <f t="shared" si="50"/>
        <v>0.15</v>
      </c>
      <c r="O77" s="2">
        <f t="shared" si="95"/>
        <v>11.290848775846262</v>
      </c>
      <c r="P77" s="2">
        <f t="shared" si="51"/>
        <v>2472695.8819103315</v>
      </c>
      <c r="Q77" s="2">
        <f t="shared" si="52"/>
        <v>12.291279270670774</v>
      </c>
      <c r="R77" s="2">
        <f t="shared" si="53"/>
        <v>12.24</v>
      </c>
      <c r="S77" s="2">
        <f t="shared" si="54"/>
        <v>2691790.1602768996</v>
      </c>
      <c r="T77" s="2" t="str">
        <f>VLOOKUP(A77,'[4]CEA vs MERIT comp. &amp; NPA marker'!$C$2:$K$735,9,FALSE)</f>
        <v>Contracted</v>
      </c>
      <c r="U77" s="3">
        <f>VLOOKUP(B77,'[8]Import-Domestic share'!$A$208:$F$406,6,FALSE)</f>
        <v>0</v>
      </c>
      <c r="V77" s="3">
        <f t="shared" si="55"/>
        <v>0</v>
      </c>
      <c r="W77" s="2">
        <f t="shared" si="56"/>
        <v>2615.1856387871321</v>
      </c>
      <c r="X77" s="2">
        <f t="shared" si="57"/>
        <v>2638.9552340083037</v>
      </c>
      <c r="Y77" s="6">
        <f t="shared" si="58"/>
        <v>0.32884854797491542</v>
      </c>
      <c r="Z77" s="2">
        <f t="shared" si="59"/>
        <v>2725992.384471627</v>
      </c>
      <c r="AA77" s="2">
        <f t="shared" si="60"/>
        <v>2518071.4663210665</v>
      </c>
      <c r="AB77" s="2" t="s">
        <v>598</v>
      </c>
      <c r="AC77" s="12"/>
      <c r="AD77" s="12">
        <f t="shared" si="61"/>
        <v>0</v>
      </c>
      <c r="AE77" s="2" t="s">
        <v>589</v>
      </c>
      <c r="AF77" s="7"/>
      <c r="AG77" s="7"/>
      <c r="AH77" s="7"/>
      <c r="AI77" s="7"/>
      <c r="AJ77" s="7"/>
      <c r="AK77" s="7"/>
      <c r="AL77" s="7"/>
      <c r="AM77" s="7"/>
      <c r="AN77" s="15">
        <f t="shared" si="62"/>
        <v>0</v>
      </c>
      <c r="AO77" s="6">
        <v>5.7626698395538668E-2</v>
      </c>
      <c r="AP77" s="11">
        <f t="shared" si="63"/>
        <v>0.64568257937936147</v>
      </c>
      <c r="AQ77" s="11">
        <f t="shared" si="64"/>
        <v>0.70535078836139331</v>
      </c>
      <c r="AR77" s="3">
        <f>VLOOKUP(A77,[10]Sheet1!$A$2:$L$542,12,FALSE)</f>
        <v>2.7681469298245598</v>
      </c>
      <c r="AS77" s="3">
        <f t="shared" si="72"/>
        <v>1.8986557937949329</v>
      </c>
      <c r="AT77" s="3">
        <f t="shared" si="73"/>
        <v>1.8962194102847623</v>
      </c>
      <c r="AU77" s="3">
        <f t="shared" si="65"/>
        <v>2.4363835101706144E-3</v>
      </c>
      <c r="AV77" s="88">
        <f t="shared" si="74"/>
        <v>5.2693140751460719E-2</v>
      </c>
      <c r="AW77" s="32">
        <f t="shared" si="75"/>
        <v>2.6469651532171377E-2</v>
      </c>
      <c r="AX77" s="12">
        <f t="shared" si="66"/>
        <v>776.48743831363822</v>
      </c>
      <c r="AY77" s="12">
        <f t="shared" si="67"/>
        <v>847.15498373882042</v>
      </c>
      <c r="AZ77" s="3">
        <f>VLOOKUP(A77,[5]Analysis!$A$3:$BJ$543,62,FALSE)</f>
        <v>0.60392162295892959</v>
      </c>
      <c r="BA77" s="2"/>
      <c r="BB77" s="2"/>
      <c r="BC77" s="2" t="str">
        <f>VLOOKUP(A77,'[6]FGD status - Jun 2020'!$I$2:$M$449,5,FALSE)</f>
        <v>Feasiblity Study completed</v>
      </c>
      <c r="BD77" s="2"/>
      <c r="BE77" s="2"/>
      <c r="BF77" s="2">
        <f t="shared" si="68"/>
        <v>779.34311882637007</v>
      </c>
      <c r="BG77" s="2">
        <f t="shared" si="69"/>
        <v>843.69464299396861</v>
      </c>
      <c r="BH77" s="2"/>
      <c r="BI77" s="2"/>
      <c r="BK77">
        <f t="shared" si="70"/>
        <v>466.85723035550825</v>
      </c>
      <c r="BL77">
        <f>VLOOKUP(A77,'[11]Daily coal vs energy req.2'!$C$2:$P$599,14,FALSE)</f>
        <v>0.74</v>
      </c>
      <c r="BM77">
        <f>VLOOKUP(A77,'[11]Daily coal vs energy req.2'!$C$2:$R$599,16,FALSE)</f>
        <v>0.74</v>
      </c>
      <c r="BN77">
        <f>BL77*H77</f>
        <v>444</v>
      </c>
      <c r="BO77">
        <f>BM77*H77</f>
        <v>444</v>
      </c>
      <c r="BP77" s="2" t="str">
        <f>VLOOKUP(A77,'[7]Table 2'!$J$2:$N$449,5,FALSE)</f>
        <v>Feasibility Study completed</v>
      </c>
      <c r="BR77">
        <f t="shared" si="76"/>
        <v>651.77965193755767</v>
      </c>
      <c r="BS77">
        <f t="shared" si="77"/>
        <v>705.59807030862316</v>
      </c>
      <c r="BT77">
        <f>(X77*I77*365*[5]Analysis!BK77)/10^4</f>
        <v>405.58018207124087</v>
      </c>
      <c r="BU77">
        <f>(W77*R77*365*[5]Analysis!BK77)/10^4</f>
        <v>439.06954286493158</v>
      </c>
      <c r="BV77">
        <f>(X77*I77*365*[5]Analysis!BL77)/10^4</f>
        <v>246.1994698663168</v>
      </c>
      <c r="BW77">
        <f>(W77*R77*365*[5]Analysis!BL77)/10^4</f>
        <v>266.52852744369164</v>
      </c>
      <c r="BX77">
        <f t="shared" si="78"/>
        <v>3030757.7156899706</v>
      </c>
      <c r="BY77">
        <f t="shared" si="79"/>
        <v>3281011.9024223359</v>
      </c>
      <c r="BZ77">
        <f t="shared" si="80"/>
        <v>12794345.041657614</v>
      </c>
      <c r="CA77">
        <f t="shared" si="81"/>
        <v>13976683.977404732</v>
      </c>
      <c r="CB77">
        <f t="shared" si="82"/>
        <v>-940199.74804233247</v>
      </c>
      <c r="CC77">
        <f t="shared" si="83"/>
        <v>-1121998.5720000002</v>
      </c>
      <c r="CD77">
        <f t="shared" si="84"/>
        <v>0</v>
      </c>
      <c r="CE77">
        <f t="shared" si="85"/>
        <v>0</v>
      </c>
      <c r="CF77">
        <f t="shared" si="86"/>
        <v>7302507.9674929259</v>
      </c>
      <c r="CG77">
        <f t="shared" si="87"/>
        <v>7977340.4400000004</v>
      </c>
      <c r="CH77">
        <f t="shared" si="88"/>
        <v>367064.34426365158</v>
      </c>
      <c r="CI77">
        <f t="shared" si="89"/>
        <v>400985.14792607754</v>
      </c>
      <c r="CJ77">
        <f t="shared" si="90"/>
        <v>-4046419.6840941184</v>
      </c>
      <c r="CK77">
        <f t="shared" si="91"/>
        <v>-4420353.6000000006</v>
      </c>
      <c r="CL77">
        <f t="shared" si="92"/>
        <v>1825373.0619389478</v>
      </c>
      <c r="CM77">
        <f t="shared" si="93"/>
        <v>1994057.7141323467</v>
      </c>
    </row>
    <row r="78" spans="1:91" x14ac:dyDescent="0.2">
      <c r="A78" s="2" t="s">
        <v>82</v>
      </c>
      <c r="B78" s="2" t="str">
        <f t="shared" si="94"/>
        <v>ANPARA TPS</v>
      </c>
      <c r="C78" s="2" t="str">
        <f>VLOOKUP($A78,'[1]daily coal, energy reqd'!$C$2:$T$599,17,FALSE)</f>
        <v>Uttar Pradesh</v>
      </c>
      <c r="D78" s="2" t="str">
        <f>VLOOKUP(C78,'Target PLF'!$I$2:$J$19,2,FALSE)</f>
        <v>NR</v>
      </c>
      <c r="E78" s="2" t="str">
        <f>VLOOKUP(A78,[2]Ownership!$C$2:$D$666,2,FALSE)</f>
        <v>STATE SECTOR</v>
      </c>
      <c r="F78" s="2" t="s">
        <v>542</v>
      </c>
      <c r="G78" s="12">
        <v>4.9253935660506496</v>
      </c>
      <c r="H78" s="2">
        <v>600</v>
      </c>
      <c r="I78" s="2">
        <f>VLOOKUP(A78,'[3]Calculated coal req (reg.)'!$A$2:$I$599,9,FALSE)</f>
        <v>9.5170520578420401</v>
      </c>
      <c r="J78" s="2"/>
      <c r="K78" s="11">
        <v>0.66090639290569719</v>
      </c>
      <c r="L78" s="3">
        <f>VLOOKUP(F78,'Target PLF'!$A$2:$B$11,2,FALSE)</f>
        <v>0.85</v>
      </c>
      <c r="M78" s="3">
        <f t="shared" si="71"/>
        <v>0.18909360709430278</v>
      </c>
      <c r="N78" s="2" t="str">
        <f t="shared" si="50"/>
        <v>0.15</v>
      </c>
      <c r="O78" s="2">
        <f t="shared" si="95"/>
        <v>9.676233207619493</v>
      </c>
      <c r="P78" s="2">
        <f t="shared" si="51"/>
        <v>2119095.0724686692</v>
      </c>
      <c r="Q78" s="2">
        <f t="shared" si="52"/>
        <v>12.307149291204654</v>
      </c>
      <c r="R78" s="2">
        <f t="shared" si="53"/>
        <v>12.24</v>
      </c>
      <c r="S78" s="2">
        <f t="shared" si="54"/>
        <v>2695265.6947738198</v>
      </c>
      <c r="T78" s="2" t="str">
        <f>VLOOKUP(A78,'[4]CEA vs MERIT comp. &amp; NPA marker'!$C$2:$K$735,9,FALSE)</f>
        <v>Contracted</v>
      </c>
      <c r="U78" s="3">
        <f>VLOOKUP(B78,'[8]Import-Domestic share'!$A$208:$F$406,6,FALSE)</f>
        <v>0</v>
      </c>
      <c r="V78" s="3">
        <f t="shared" si="55"/>
        <v>0</v>
      </c>
      <c r="W78" s="2">
        <f t="shared" si="56"/>
        <v>2619.0137517809717</v>
      </c>
      <c r="X78" s="2">
        <f t="shared" si="57"/>
        <v>2681.5226523904639</v>
      </c>
      <c r="Y78" s="6">
        <f t="shared" si="58"/>
        <v>0.32836788253409749</v>
      </c>
      <c r="Z78" s="2">
        <f t="shared" si="59"/>
        <v>2606452.7519400804</v>
      </c>
      <c r="AA78" s="2">
        <f t="shared" si="60"/>
        <v>2074983.1533832806</v>
      </c>
      <c r="AB78" s="2" t="s">
        <v>598</v>
      </c>
      <c r="AC78" s="12">
        <f>VLOOKUP(B78,[9]Sheet1!$A$2:$B$137,2,FALSE)</f>
        <v>4489.130228333277</v>
      </c>
      <c r="AD78" s="12">
        <f t="shared" si="61"/>
        <v>2693478.1369999661</v>
      </c>
      <c r="AE78" s="2" t="s">
        <v>589</v>
      </c>
      <c r="AF78" s="7">
        <f>VLOOKUP($B78,'[9]Subsidiary wise dispatch'!$A$3:$R$138,11,FALSE)*$H78*$O78*365</f>
        <v>0</v>
      </c>
      <c r="AG78" s="7">
        <f>VLOOKUP($B78,'[9]Subsidiary wise dispatch'!$A$3:$R$138,12,FALSE)*$H78*$O78*365</f>
        <v>0</v>
      </c>
      <c r="AH78" s="7">
        <f>VLOOKUP($B78,'[9]Subsidiary wise dispatch'!$A$3:$R$138,13,FALSE)*$H78*$O78*365</f>
        <v>0</v>
      </c>
      <c r="AI78" s="7">
        <f>VLOOKUP($B78,'[9]Subsidiary wise dispatch'!$A$3:$R$138,14,FALSE)*$H78*$O78*365</f>
        <v>0</v>
      </c>
      <c r="AJ78" s="7">
        <f>VLOOKUP($B78,'[9]Subsidiary wise dispatch'!$A$3:$R$138,15,FALSE)*$H78*$O78*365</f>
        <v>2119095.0724686692</v>
      </c>
      <c r="AK78" s="7">
        <f>VLOOKUP($B78,'[9]Subsidiary wise dispatch'!$A$3:$R$138,16,FALSE)*$H78*$O78*365</f>
        <v>0</v>
      </c>
      <c r="AL78" s="7">
        <f>VLOOKUP($B78,'[9]Subsidiary wise dispatch'!$A$3:$R$138,17,FALSE)*$H78*$O78*365</f>
        <v>0</v>
      </c>
      <c r="AM78" s="7">
        <f>VLOOKUP($B78,'[9]Subsidiary wise dispatch'!$A$3:$R$138,18,FALSE)*$H78*$O78*365</f>
        <v>0</v>
      </c>
      <c r="AN78" s="15">
        <f t="shared" si="62"/>
        <v>2119095.0724686692</v>
      </c>
      <c r="AO78" s="6">
        <v>9.3255770253987805E-2</v>
      </c>
      <c r="AP78" s="11">
        <f t="shared" si="63"/>
        <v>0.88752002020135912</v>
      </c>
      <c r="AQ78" s="11">
        <f t="shared" si="64"/>
        <v>1.1414506279088108</v>
      </c>
      <c r="AR78" s="3">
        <f>VLOOKUP(A78,[10]Sheet1!$A$2:$L$542,12,FALSE)</f>
        <v>1.39269736842105</v>
      </c>
      <c r="AS78" s="3">
        <f t="shared" si="72"/>
        <v>1.5870537294412761</v>
      </c>
      <c r="AT78" s="3">
        <f t="shared" si="73"/>
        <v>1.580646567128803</v>
      </c>
      <c r="AU78" s="3">
        <f t="shared" si="65"/>
        <v>6.4071623124730692E-3</v>
      </c>
      <c r="AV78" s="88">
        <f t="shared" si="74"/>
        <v>0.13857157715084698</v>
      </c>
      <c r="AW78" s="32">
        <f t="shared" si="75"/>
        <v>8.3276585024567834E-2</v>
      </c>
      <c r="AX78" s="12">
        <f t="shared" si="66"/>
        <v>551.2986631015018</v>
      </c>
      <c r="AY78" s="12">
        <f t="shared" si="67"/>
        <v>706.16966033046401</v>
      </c>
      <c r="AZ78" s="3">
        <f>VLOOKUP(A78,[5]Analysis!$A$3:$BJ$543,62,FALSE)</f>
        <v>0.38158009247456304</v>
      </c>
      <c r="BA78" s="2"/>
      <c r="BB78" s="2"/>
      <c r="BC78" s="2" t="str">
        <f>VLOOKUP(A78,'[6]FGD status - Jun 2020'!$I$2:$M$449,5,FALSE)</f>
        <v>Bid Awarded</v>
      </c>
      <c r="BD78" s="2"/>
      <c r="BE78" s="2"/>
      <c r="BF78" s="2">
        <f t="shared" si="68"/>
        <v>642.20728597212531</v>
      </c>
      <c r="BG78" s="2">
        <f t="shared" si="69"/>
        <v>806.69712672545495</v>
      </c>
      <c r="BH78" s="2"/>
      <c r="BI78" s="2"/>
      <c r="BK78">
        <f t="shared" si="70"/>
        <v>396.5438357434183</v>
      </c>
      <c r="BL78" t="str">
        <f>VLOOKUP(A78,'[11]Daily coal vs energy req.2'!$C$2:$P$599,14,FALSE)</f>
        <v/>
      </c>
      <c r="BM78" t="str">
        <f>VLOOKUP(A78,'[11]Daily coal vs energy req.2'!$C$2:$R$599,16,FALSE)</f>
        <v/>
      </c>
      <c r="BP78" s="2" t="str">
        <f>VLOOKUP(A78,'[7]Table 2'!$J$2:$N$449,5,FALSE)</f>
        <v>Bid Awarded</v>
      </c>
      <c r="BR78">
        <f t="shared" si="76"/>
        <v>355.43688022633415</v>
      </c>
      <c r="BS78">
        <f t="shared" si="77"/>
        <v>446.47564154743759</v>
      </c>
      <c r="BT78">
        <f>(X78*I78*365*[5]Analysis!BK78)/10^4</f>
        <v>351.48076555671531</v>
      </c>
      <c r="BU78">
        <f>(W78*R78*365*[5]Analysis!BK78)/10^4</f>
        <v>441.50623928949369</v>
      </c>
      <c r="BV78">
        <f>(X78*I78*365*[5]Analysis!BL78)/10^4</f>
        <v>3.9561146696187737</v>
      </c>
      <c r="BW78">
        <f>(W78*R78*365*[5]Analysis!BL78)/10^4</f>
        <v>4.969402257943873</v>
      </c>
      <c r="BX78">
        <f t="shared" si="78"/>
        <v>2615819.5444009779</v>
      </c>
      <c r="BY78">
        <f t="shared" si="79"/>
        <v>3285814.6529844073</v>
      </c>
      <c r="BZ78">
        <f t="shared" si="80"/>
        <v>6866419.0134777557</v>
      </c>
      <c r="CA78">
        <f t="shared" si="81"/>
        <v>8830987.6014300846</v>
      </c>
      <c r="CB78">
        <f t="shared" si="82"/>
        <v>-678319.58779174229</v>
      </c>
      <c r="CC78">
        <f t="shared" si="83"/>
        <v>-1121998.5720000002</v>
      </c>
      <c r="CD78">
        <f t="shared" si="84"/>
        <v>0</v>
      </c>
      <c r="CE78">
        <f t="shared" si="85"/>
        <v>0</v>
      </c>
      <c r="CF78">
        <f t="shared" si="86"/>
        <v>6202676.817860174</v>
      </c>
      <c r="CG78">
        <f t="shared" si="87"/>
        <v>7977340.4400000004</v>
      </c>
      <c r="CH78">
        <f t="shared" si="88"/>
        <v>347087.61812501622</v>
      </c>
      <c r="CI78">
        <f t="shared" si="89"/>
        <v>446393.73831622174</v>
      </c>
      <c r="CJ78">
        <f t="shared" si="90"/>
        <v>-3436988.1801690748</v>
      </c>
      <c r="CK78">
        <f t="shared" si="91"/>
        <v>-4420353.6000000006</v>
      </c>
      <c r="CL78">
        <f t="shared" si="92"/>
        <v>2509058.1479901308</v>
      </c>
      <c r="CM78">
        <f t="shared" si="93"/>
        <v>3226931.1489258357</v>
      </c>
    </row>
    <row r="79" spans="1:91" x14ac:dyDescent="0.2">
      <c r="A79" s="2" t="s">
        <v>81</v>
      </c>
      <c r="B79" s="2" t="str">
        <f t="shared" si="94"/>
        <v>KALISINDH TPS</v>
      </c>
      <c r="C79" s="2" t="str">
        <f>VLOOKUP($A79,'[1]daily coal, energy reqd'!$C$2:$T$599,17,FALSE)</f>
        <v>Rajasthan</v>
      </c>
      <c r="D79" s="2" t="str">
        <f>VLOOKUP(C79,'Target PLF'!$I$2:$J$19,2,FALSE)</f>
        <v>NR</v>
      </c>
      <c r="E79" s="2" t="str">
        <f>VLOOKUP(A79,[2]Ownership!$C$2:$D$666,2,FALSE)</f>
        <v>STATE SECTOR</v>
      </c>
      <c r="F79" s="2" t="s">
        <v>542</v>
      </c>
      <c r="G79" s="12">
        <v>4.9253935660506496</v>
      </c>
      <c r="H79" s="2">
        <v>600</v>
      </c>
      <c r="I79" s="2">
        <f>VLOOKUP(A79,'[3]Calculated coal req (reg.)'!$A$2:$I$599,9,FALSE)</f>
        <v>5.9284317880081803</v>
      </c>
      <c r="J79" s="2"/>
      <c r="K79" s="11">
        <v>0.41169665194501248</v>
      </c>
      <c r="L79" s="3">
        <f>VLOOKUP(F79,'Target PLF'!$A$2:$B$11,2,FALSE)</f>
        <v>0.85</v>
      </c>
      <c r="M79" s="3">
        <f t="shared" si="71"/>
        <v>0.4383033480549875</v>
      </c>
      <c r="N79" s="2" t="str">
        <f t="shared" si="50"/>
        <v>0.15</v>
      </c>
      <c r="O79" s="2">
        <f t="shared" si="95"/>
        <v>6.2089033187111973</v>
      </c>
      <c r="P79" s="2">
        <f t="shared" si="51"/>
        <v>1359749.8267977522</v>
      </c>
      <c r="Q79" s="2">
        <f t="shared" si="52"/>
        <v>12.307149291204654</v>
      </c>
      <c r="R79" s="2">
        <f t="shared" si="53"/>
        <v>12.24</v>
      </c>
      <c r="S79" s="2">
        <f t="shared" si="54"/>
        <v>2695265.6947738198</v>
      </c>
      <c r="T79" s="2" t="str">
        <f>VLOOKUP(A79,'[4]CEA vs MERIT comp. &amp; NPA marker'!$C$2:$K$735,9,FALSE)</f>
        <v>Contracted</v>
      </c>
      <c r="U79" s="3">
        <f>VLOOKUP(B79,'[8]Import-Domestic share'!$A$208:$F$406,6,FALSE)</f>
        <v>0</v>
      </c>
      <c r="V79" s="3">
        <f t="shared" si="55"/>
        <v>0</v>
      </c>
      <c r="W79" s="2">
        <f t="shared" si="56"/>
        <v>2619.0137517809717</v>
      </c>
      <c r="X79" s="2">
        <f t="shared" si="57"/>
        <v>2763.9042155115267</v>
      </c>
      <c r="Y79" s="6">
        <f t="shared" si="58"/>
        <v>0.32836788253409749</v>
      </c>
      <c r="Z79" s="2">
        <f t="shared" si="59"/>
        <v>2469428.5299037509</v>
      </c>
      <c r="AA79" s="2">
        <f t="shared" si="60"/>
        <v>1262234.5986357259</v>
      </c>
      <c r="AB79" s="2" t="s">
        <v>598</v>
      </c>
      <c r="AC79" s="12">
        <f>VLOOKUP(B79,[9]Sheet1!$A$2:$B$137,2,FALSE)</f>
        <v>4738.2241258517897</v>
      </c>
      <c r="AD79" s="12">
        <f t="shared" si="61"/>
        <v>2842934.4755110741</v>
      </c>
      <c r="AE79" s="2"/>
      <c r="AF79" s="7">
        <f>VLOOKUP($B79,'[9]Subsidiary wise dispatch'!$A$3:$R$138,11,FALSE)*$H79*$O79*365</f>
        <v>0</v>
      </c>
      <c r="AG79" s="7">
        <f>VLOOKUP($B79,'[9]Subsidiary wise dispatch'!$A$3:$R$138,12,FALSE)*$H79*$O79*365</f>
        <v>0</v>
      </c>
      <c r="AH79" s="7">
        <f>VLOOKUP($B79,'[9]Subsidiary wise dispatch'!$A$3:$R$138,13,FALSE)*$H79*$O79*365</f>
        <v>0</v>
      </c>
      <c r="AI79" s="7">
        <f>VLOOKUP($B79,'[9]Subsidiary wise dispatch'!$A$3:$R$138,14,FALSE)*$H79*$O79*365</f>
        <v>0</v>
      </c>
      <c r="AJ79" s="7">
        <f>VLOOKUP($B79,'[9]Subsidiary wise dispatch'!$A$3:$R$138,15,FALSE)*$H79*$O79*365</f>
        <v>0</v>
      </c>
      <c r="AK79" s="7">
        <f>VLOOKUP($B79,'[9]Subsidiary wise dispatch'!$A$3:$R$138,16,FALSE)*$H79*$O79*365</f>
        <v>0</v>
      </c>
      <c r="AL79" s="7">
        <f>VLOOKUP($B79,'[9]Subsidiary wise dispatch'!$A$3:$R$138,17,FALSE)*$H79*$O79*365</f>
        <v>1359749.8267977522</v>
      </c>
      <c r="AM79" s="7">
        <f>VLOOKUP($B79,'[9]Subsidiary wise dispatch'!$A$3:$R$138,18,FALSE)*$H79*$O79*365</f>
        <v>0</v>
      </c>
      <c r="AN79" s="15">
        <f t="shared" si="62"/>
        <v>1359749.8267977522</v>
      </c>
      <c r="AO79" s="6">
        <v>6.7338649205241949E-2</v>
      </c>
      <c r="AP79" s="11">
        <f t="shared" si="63"/>
        <v>0.39921258850988817</v>
      </c>
      <c r="AQ79" s="11">
        <f t="shared" si="64"/>
        <v>0.82422506627216152</v>
      </c>
      <c r="AR79" s="3">
        <f>VLOOKUP(A79,[10]Sheet1!$A$2:$L$542,12,FALSE)</f>
        <v>2.61</v>
      </c>
      <c r="AS79" s="3">
        <f t="shared" si="72"/>
        <v>2.4293995736949348</v>
      </c>
      <c r="AT79" s="3">
        <f t="shared" si="73"/>
        <v>2.4145483011625521</v>
      </c>
      <c r="AU79" s="3">
        <f t="shared" si="65"/>
        <v>1.4851272532382609E-2</v>
      </c>
      <c r="AV79" s="88">
        <f t="shared" si="74"/>
        <v>0.32119745952165596</v>
      </c>
      <c r="AW79" s="32">
        <f t="shared" si="75"/>
        <v>0.12609954752043681</v>
      </c>
      <c r="AX79" s="12">
        <f t="shared" si="66"/>
        <v>525.6923325340299</v>
      </c>
      <c r="AY79" s="12">
        <f t="shared" si="67"/>
        <v>1078.7235990273819</v>
      </c>
      <c r="AZ79" s="3">
        <f>VLOOKUP(A79,[5]Analysis!$A$3:$BJ$543,62,FALSE)</f>
        <v>0.86136524815957238</v>
      </c>
      <c r="BA79" s="2"/>
      <c r="BB79" s="2"/>
      <c r="BC79" s="2" t="str">
        <f>VLOOKUP(A79,'[6]FGD status - Jun 2020'!$I$2:$M$449,5,FALSE)</f>
        <v>NIT issued</v>
      </c>
      <c r="BD79" s="2"/>
      <c r="BE79" s="2"/>
      <c r="BF79" s="2">
        <f t="shared" si="68"/>
        <v>390.66160827775718</v>
      </c>
      <c r="BG79" s="2">
        <f t="shared" si="69"/>
        <v>764.28813000521086</v>
      </c>
      <c r="BH79" s="2"/>
      <c r="BI79" s="2"/>
      <c r="BK79">
        <f t="shared" si="70"/>
        <v>247.01799116700749</v>
      </c>
      <c r="BL79">
        <f>VLOOKUP(A79,'[11]Daily coal vs energy req.2'!$C$2:$P$599,14,FALSE)</f>
        <v>0.74</v>
      </c>
      <c r="BM79">
        <f>VLOOKUP(A79,'[11]Daily coal vs energy req.2'!$C$2:$R$599,16,FALSE)</f>
        <v>0.79</v>
      </c>
      <c r="BN79">
        <f>BL79*H79</f>
        <v>444</v>
      </c>
      <c r="BO79">
        <f>BM79*H79</f>
        <v>474</v>
      </c>
      <c r="BP79" s="2" t="str">
        <f>VLOOKUP(A79,'[7]Table 2'!$J$2:$N$449,5,FALSE)</f>
        <v>Bid opened</v>
      </c>
      <c r="BR79">
        <f t="shared" si="76"/>
        <v>515.16105763712903</v>
      </c>
      <c r="BS79">
        <f t="shared" si="77"/>
        <v>1007.8581387323022</v>
      </c>
      <c r="BT79">
        <f>(X79*I79*365*[5]Analysis!BK79)/10^4</f>
        <v>232.02467077259436</v>
      </c>
      <c r="BU79">
        <f>(W79*R79*365*[5]Analysis!BK79)/10^4</f>
        <v>453.93173524688427</v>
      </c>
      <c r="BV79">
        <f>(X79*I79*365*[5]Analysis!BL79)/10^4</f>
        <v>283.1363868645347</v>
      </c>
      <c r="BW79">
        <f>(W79*R79*365*[5]Analysis!BL79)/10^4</f>
        <v>553.92640348541795</v>
      </c>
      <c r="BX79">
        <f t="shared" si="78"/>
        <v>1679525.8050504557</v>
      </c>
      <c r="BY79">
        <f t="shared" si="79"/>
        <v>3285814.6529844073</v>
      </c>
      <c r="BZ79">
        <f t="shared" si="80"/>
        <v>9655378.9114571493</v>
      </c>
      <c r="CA79">
        <f t="shared" si="81"/>
        <v>19934755.446674701</v>
      </c>
      <c r="CB79">
        <f t="shared" si="82"/>
        <v>-263214.08365160401</v>
      </c>
      <c r="CC79">
        <f t="shared" si="83"/>
        <v>-1121998.5720000002</v>
      </c>
      <c r="CD79">
        <f t="shared" si="84"/>
        <v>0</v>
      </c>
      <c r="CE79">
        <f t="shared" si="85"/>
        <v>0</v>
      </c>
      <c r="CF79">
        <f t="shared" si="86"/>
        <v>3863816.8830277096</v>
      </c>
      <c r="CG79">
        <f t="shared" si="87"/>
        <v>7977340.4400000004</v>
      </c>
      <c r="CH79">
        <f t="shared" si="88"/>
        <v>216210.36178118415</v>
      </c>
      <c r="CI79">
        <f t="shared" si="89"/>
        <v>446393.73831622174</v>
      </c>
      <c r="CJ79">
        <f t="shared" si="90"/>
        <v>-2140993.8559212741</v>
      </c>
      <c r="CK79">
        <f t="shared" si="91"/>
        <v>-4420353.6000000006</v>
      </c>
      <c r="CL79">
        <f t="shared" si="92"/>
        <v>1128591.5530713482</v>
      </c>
      <c r="CM79">
        <f t="shared" si="93"/>
        <v>2330120.5282543167</v>
      </c>
    </row>
    <row r="80" spans="1:91" x14ac:dyDescent="0.2">
      <c r="A80" s="2" t="s">
        <v>86</v>
      </c>
      <c r="B80" s="2" t="str">
        <f t="shared" si="94"/>
        <v>BARADARHA TPS</v>
      </c>
      <c r="C80" s="2" t="str">
        <f>VLOOKUP($A80,'[1]daily coal, energy reqd'!$C$2:$T$599,17,FALSE)</f>
        <v>Chhatisgarh</v>
      </c>
      <c r="D80" s="2" t="str">
        <f>VLOOKUP(C80,'Target PLF'!$I$2:$J$19,2,FALSE)</f>
        <v>WR</v>
      </c>
      <c r="E80" s="2" t="str">
        <f>VLOOKUP(A80,[2]Ownership!$C$2:$D$666,2,FALSE)</f>
        <v>PVT SECTOR</v>
      </c>
      <c r="F80" s="2" t="s">
        <v>543</v>
      </c>
      <c r="G80" s="12">
        <v>5.1772758384667998</v>
      </c>
      <c r="H80" s="2">
        <v>600</v>
      </c>
      <c r="I80" s="2">
        <f>VLOOKUP(A80,'[3]Calculated coal req (reg.)'!$A$2:$I$599,9,FALSE)</f>
        <v>8.5363333148796503</v>
      </c>
      <c r="J80" s="2"/>
      <c r="K80" s="11">
        <v>0.59280092464442014</v>
      </c>
      <c r="L80" s="3">
        <f>VLOOKUP(F80,'Target PLF'!$A$2:$B$11,2,FALSE)</f>
        <v>0.85</v>
      </c>
      <c r="M80" s="3">
        <f t="shared" si="71"/>
        <v>0.25719907535557984</v>
      </c>
      <c r="N80" s="2" t="str">
        <f t="shared" si="50"/>
        <v>0.15</v>
      </c>
      <c r="O80" s="2">
        <f t="shared" si="95"/>
        <v>7.8468886670386482</v>
      </c>
      <c r="P80" s="2">
        <f t="shared" si="51"/>
        <v>1718468.6180814642</v>
      </c>
      <c r="Q80" s="2">
        <f t="shared" si="52"/>
        <v>11.425376562183436</v>
      </c>
      <c r="R80" s="2">
        <f t="shared" si="53"/>
        <v>12.24</v>
      </c>
      <c r="S80" s="2">
        <f t="shared" si="54"/>
        <v>2502157.4671181724</v>
      </c>
      <c r="T80" s="2" t="str">
        <f>VLOOKUP(A80,'[4]CEA vs MERIT comp. &amp; NPA marker'!$C$2:$K$735,9,FALSE)</f>
        <v>Contracted</v>
      </c>
      <c r="U80" s="3">
        <f>VLOOKUP(B80,'[8]Import-Domestic share'!$A$208:$F$406,6,FALSE)</f>
        <v>0</v>
      </c>
      <c r="V80" s="3">
        <f t="shared" si="55"/>
        <v>0</v>
      </c>
      <c r="W80" s="2">
        <f t="shared" si="56"/>
        <v>2620.9382676030118</v>
      </c>
      <c r="X80" s="2">
        <f t="shared" si="57"/>
        <v>2705.9608745821961</v>
      </c>
      <c r="Y80" s="6">
        <f t="shared" si="58"/>
        <v>0.32812676690264664</v>
      </c>
      <c r="Z80" s="2">
        <f t="shared" si="59"/>
        <v>2871005.7918500854</v>
      </c>
      <c r="AA80" s="2">
        <f t="shared" si="60"/>
        <v>2067229.7017245064</v>
      </c>
      <c r="AB80" s="2" t="s">
        <v>598</v>
      </c>
      <c r="AC80" s="12">
        <f>VLOOKUP(B80,[9]Sheet1!$A$2:$B$137,2,FALSE)</f>
        <v>4078.467496506757</v>
      </c>
      <c r="AD80" s="12">
        <f t="shared" si="61"/>
        <v>2447080.4979040544</v>
      </c>
      <c r="AE80" s="2"/>
      <c r="AF80" s="7">
        <f>VLOOKUP($B80,'[9]Subsidiary wise dispatch'!$A$3:$R$138,11,FALSE)*$H80*$O80*365</f>
        <v>26041.523872535647</v>
      </c>
      <c r="AG80" s="7">
        <f>VLOOKUP($B80,'[9]Subsidiary wise dispatch'!$A$3:$R$138,12,FALSE)*$H80*$O80*365</f>
        <v>79395.026746322212</v>
      </c>
      <c r="AH80" s="7">
        <f>VLOOKUP($B80,'[9]Subsidiary wise dispatch'!$A$3:$R$138,13,FALSE)*$H80*$O80*365</f>
        <v>9282.4104042029394</v>
      </c>
      <c r="AI80" s="7">
        <f>VLOOKUP($B80,'[9]Subsidiary wise dispatch'!$A$3:$R$138,14,FALSE)*$H80*$O80*365</f>
        <v>373945.36160770425</v>
      </c>
      <c r="AJ80" s="7">
        <f>VLOOKUP($B80,'[9]Subsidiary wise dispatch'!$A$3:$R$138,15,FALSE)*$H80*$O80*365</f>
        <v>0</v>
      </c>
      <c r="AK80" s="7">
        <f>VLOOKUP($B80,'[9]Subsidiary wise dispatch'!$A$3:$R$138,16,FALSE)*$H80*$O80*365</f>
        <v>0</v>
      </c>
      <c r="AL80" s="7">
        <f>VLOOKUP($B80,'[9]Subsidiary wise dispatch'!$A$3:$R$138,17,FALSE)*$H80*$O80*365</f>
        <v>1229804.2954506986</v>
      </c>
      <c r="AM80" s="7">
        <f>VLOOKUP($B80,'[9]Subsidiary wise dispatch'!$A$3:$R$138,18,FALSE)*$H80*$O80*365</f>
        <v>0</v>
      </c>
      <c r="AN80" s="15">
        <f t="shared" si="62"/>
        <v>1718468.6180814635</v>
      </c>
      <c r="AO80" s="6">
        <v>5.7818434756539937E-2</v>
      </c>
      <c r="AP80" s="11">
        <f t="shared" si="63"/>
        <v>0.49355743082644732</v>
      </c>
      <c r="AQ80" s="11">
        <f t="shared" si="64"/>
        <v>0.70769764142004887</v>
      </c>
      <c r="AR80" s="3">
        <f>VLOOKUP(A80,[10]Sheet1!$A$2:$L$542,12,FALSE)</f>
        <v>1.7560228523892201</v>
      </c>
      <c r="AS80" s="3">
        <f t="shared" si="72"/>
        <v>1.8565331639636917</v>
      </c>
      <c r="AT80" s="3">
        <f t="shared" si="73"/>
        <v>1.8478183467483253</v>
      </c>
      <c r="AU80" s="3">
        <f t="shared" si="65"/>
        <v>8.7148172153663772E-3</v>
      </c>
      <c r="AV80" s="88">
        <f t="shared" si="74"/>
        <v>0.18848062640207602</v>
      </c>
      <c r="AW80" s="32">
        <f t="shared" si="75"/>
        <v>9.6828762704626439E-2</v>
      </c>
      <c r="AX80" s="12">
        <f t="shared" si="66"/>
        <v>578.45148526685978</v>
      </c>
      <c r="AY80" s="12">
        <f t="shared" si="67"/>
        <v>825.53132459328185</v>
      </c>
      <c r="AZ80" s="3">
        <f>VLOOKUP(A80,[5]Analysis!$A$3:$BJ$543,62,FALSE)</f>
        <v>0.57477623119774146</v>
      </c>
      <c r="BA80" s="2"/>
      <c r="BB80" s="2"/>
      <c r="BC80" s="2" t="str">
        <f>VLOOKUP(A80,'[6]FGD status - Jun 2020'!$I$2:$M$449,5,FALSE)</f>
        <v>NIT issued</v>
      </c>
      <c r="BD80" s="2"/>
      <c r="BE80" s="2"/>
      <c r="BF80" s="2">
        <f t="shared" si="68"/>
        <v>639.8075926837347</v>
      </c>
      <c r="BG80" s="2">
        <f t="shared" si="69"/>
        <v>888.57629257760141</v>
      </c>
      <c r="BH80" s="2"/>
      <c r="BI80" s="2"/>
      <c r="BK80">
        <f t="shared" si="70"/>
        <v>355.68055478665207</v>
      </c>
      <c r="BL80" t="str">
        <f>VLOOKUP(A80,'[11]Daily coal vs energy req.2'!$C$2:$P$599,14,FALSE)</f>
        <v/>
      </c>
      <c r="BM80" t="str">
        <f>VLOOKUP(A80,'[11]Daily coal vs energy req.2'!$C$2:$R$599,16,FALSE)</f>
        <v/>
      </c>
      <c r="BP80" s="2" t="str">
        <f>VLOOKUP(A80,'[7]Table 2'!$J$2:$N$449,5,FALSE)</f>
        <v>Bid Awarded</v>
      </c>
      <c r="BR80">
        <f t="shared" si="76"/>
        <v>484.60126354498817</v>
      </c>
      <c r="BS80">
        <f t="shared" si="77"/>
        <v>673.02295106097699</v>
      </c>
      <c r="BT80">
        <f>(X80*I80*365*[5]Analysis!BK80)/10^4</f>
        <v>331.40198793652553</v>
      </c>
      <c r="BU80">
        <f>(W80*R80*365*[5]Analysis!BK80)/10^4</f>
        <v>460.25704158695117</v>
      </c>
      <c r="BV80">
        <f>(X80*I80*365*[5]Analysis!BL80)/10^4</f>
        <v>153.19927560846267</v>
      </c>
      <c r="BW80">
        <f>(W80*R80*365*[5]Analysis!BL80)/10^4</f>
        <v>212.76590947402585</v>
      </c>
      <c r="BX80">
        <f t="shared" si="78"/>
        <v>2367645.8561518295</v>
      </c>
      <c r="BY80">
        <f t="shared" si="79"/>
        <v>3288229.1505347388</v>
      </c>
      <c r="BZ80">
        <f t="shared" si="80"/>
        <v>9277101.6059117466</v>
      </c>
      <c r="CA80">
        <f t="shared" si="81"/>
        <v>13302166.101975914</v>
      </c>
      <c r="CB80">
        <f t="shared" si="82"/>
        <v>-545722.92410413653</v>
      </c>
      <c r="CC80">
        <f t="shared" si="83"/>
        <v>-1121998.5720000002</v>
      </c>
      <c r="CD80">
        <f t="shared" si="84"/>
        <v>-3150286.0063897716</v>
      </c>
      <c r="CE80">
        <f t="shared" si="85"/>
        <v>-4517103.4560000002</v>
      </c>
      <c r="CF80">
        <f t="shared" si="86"/>
        <v>5563499.7518062657</v>
      </c>
      <c r="CG80">
        <f t="shared" si="87"/>
        <v>7977340.4400000004</v>
      </c>
      <c r="CH80">
        <f t="shared" si="88"/>
        <v>327241.52371466055</v>
      </c>
      <c r="CI80">
        <f t="shared" si="89"/>
        <v>469222.10069815163</v>
      </c>
      <c r="CJ80">
        <f t="shared" si="90"/>
        <v>-3082811.4133356372</v>
      </c>
      <c r="CK80">
        <f t="shared" si="91"/>
        <v>-4420353.6000000006</v>
      </c>
      <c r="CL80">
        <f t="shared" si="92"/>
        <v>1395308.5734733229</v>
      </c>
      <c r="CM80">
        <f t="shared" si="93"/>
        <v>2000692.3709907003</v>
      </c>
    </row>
    <row r="81" spans="1:91" x14ac:dyDescent="0.2">
      <c r="A81" s="2" t="s">
        <v>84</v>
      </c>
      <c r="B81" s="2" t="str">
        <f t="shared" si="94"/>
        <v>ANUPPUR TPP</v>
      </c>
      <c r="C81" s="2" t="str">
        <f>VLOOKUP($A81,'[1]daily coal, energy reqd'!$C$2:$T$599,17,FALSE)</f>
        <v>Madhya Pradesh</v>
      </c>
      <c r="D81" s="2" t="str">
        <f>VLOOKUP(C81,'Target PLF'!$I$2:$J$19,2,FALSE)</f>
        <v>WR</v>
      </c>
      <c r="E81" s="2" t="str">
        <f>VLOOKUP(A81,[2]Ownership!$C$2:$D$666,2,FALSE)</f>
        <v>PVT SECTOR</v>
      </c>
      <c r="F81" s="2" t="s">
        <v>542</v>
      </c>
      <c r="G81" s="12">
        <v>5.0924024640657004</v>
      </c>
      <c r="H81" s="2">
        <v>600</v>
      </c>
      <c r="I81" s="2">
        <f>VLOOKUP(A81,'[3]Calculated coal req (reg.)'!$A$2:$I$599,9,FALSE)</f>
        <v>8.8103325777574995</v>
      </c>
      <c r="J81" s="2"/>
      <c r="K81" s="11">
        <v>0.61182865123315966</v>
      </c>
      <c r="L81" s="3">
        <f>VLOOKUP(F81,'Target PLF'!$A$2:$B$11,2,FALSE)</f>
        <v>0.85</v>
      </c>
      <c r="M81" s="3">
        <f t="shared" si="71"/>
        <v>0.23817134876684032</v>
      </c>
      <c r="N81" s="2" t="str">
        <f t="shared" si="50"/>
        <v>0.15</v>
      </c>
      <c r="O81" s="2">
        <f t="shared" si="95"/>
        <v>8.1089387712516032</v>
      </c>
      <c r="P81" s="2">
        <f t="shared" si="51"/>
        <v>1775857.5909041013</v>
      </c>
      <c r="Q81" s="2">
        <f t="shared" si="52"/>
        <v>11.422688198049281</v>
      </c>
      <c r="R81" s="2">
        <f t="shared" si="53"/>
        <v>12.24</v>
      </c>
      <c r="S81" s="2">
        <f t="shared" si="54"/>
        <v>2501568.7153727924</v>
      </c>
      <c r="T81" s="2" t="str">
        <f>VLOOKUP(A81,'[4]CEA vs MERIT comp. &amp; NPA marker'!$C$2:$K$735,9,FALSE)</f>
        <v>Contracted</v>
      </c>
      <c r="U81" s="3">
        <f>VLOOKUP(B81,'[8]Import-Domestic share'!$A$208:$F$406,6,FALSE)</f>
        <v>2.9234423533710946E-3</v>
      </c>
      <c r="V81" s="3">
        <f t="shared" si="55"/>
        <v>5191.6172948046078</v>
      </c>
      <c r="W81" s="2">
        <f t="shared" si="56"/>
        <v>2620.9488958954294</v>
      </c>
      <c r="X81" s="2">
        <f t="shared" si="57"/>
        <v>2699.6814844629025</v>
      </c>
      <c r="Y81" s="6">
        <f t="shared" si="58"/>
        <v>0.32812543630545948</v>
      </c>
      <c r="Z81" s="2">
        <f t="shared" si="59"/>
        <v>2771808.8680760558</v>
      </c>
      <c r="AA81" s="2">
        <f t="shared" si="60"/>
        <v>2055077.1942298561</v>
      </c>
      <c r="AB81" s="2" t="s">
        <v>598</v>
      </c>
      <c r="AC81" s="12">
        <f>VLOOKUP(B81,[9]Sheet1!$A$2:$B$137,2,FALSE)</f>
        <v>4224.4439803059058</v>
      </c>
      <c r="AD81" s="12">
        <f t="shared" si="61"/>
        <v>2534666.3881835435</v>
      </c>
      <c r="AE81" s="2"/>
      <c r="AF81" s="7">
        <f>VLOOKUP($B81,'[9]Subsidiary wise dispatch'!$A$3:$R$138,11,FALSE)*$H81*$O81*365</f>
        <v>0</v>
      </c>
      <c r="AG81" s="7">
        <f>VLOOKUP($B81,'[9]Subsidiary wise dispatch'!$A$3:$R$138,12,FALSE)*$H81*$O81*365</f>
        <v>19745.180937419987</v>
      </c>
      <c r="AH81" s="7">
        <f>VLOOKUP($B81,'[9]Subsidiary wise dispatch'!$A$3:$R$138,13,FALSE)*$H81*$O81*365</f>
        <v>0</v>
      </c>
      <c r="AI81" s="7">
        <f>VLOOKUP($B81,'[9]Subsidiary wise dispatch'!$A$3:$R$138,14,FALSE)*$H81*$O81*365</f>
        <v>0</v>
      </c>
      <c r="AJ81" s="7">
        <f>VLOOKUP($B81,'[9]Subsidiary wise dispatch'!$A$3:$R$138,15,FALSE)*$H81*$O81*365</f>
        <v>0</v>
      </c>
      <c r="AK81" s="7">
        <f>VLOOKUP($B81,'[9]Subsidiary wise dispatch'!$A$3:$R$138,16,FALSE)*$H81*$O81*365</f>
        <v>0</v>
      </c>
      <c r="AL81" s="7">
        <f>VLOOKUP($B81,'[9]Subsidiary wise dispatch'!$A$3:$R$138,17,FALSE)*$H81*$O81*365</f>
        <v>1756112.4099666812</v>
      </c>
      <c r="AM81" s="7">
        <f>VLOOKUP($B81,'[9]Subsidiary wise dispatch'!$A$3:$R$138,18,FALSE)*$H81*$O81*365</f>
        <v>0</v>
      </c>
      <c r="AN81" s="15">
        <f t="shared" si="62"/>
        <v>1775857.590904101</v>
      </c>
      <c r="AO81" s="6">
        <v>6.7965223168433342E-2</v>
      </c>
      <c r="AP81" s="11">
        <f t="shared" si="63"/>
        <v>0.5987962198354071</v>
      </c>
      <c r="AQ81" s="11">
        <f t="shared" si="64"/>
        <v>0.83189433158162407</v>
      </c>
      <c r="AR81" s="3">
        <f>VLOOKUP(A81,[10]Sheet1!$A$2:$L$542,12,FALSE)</f>
        <v>2.1630853042415898</v>
      </c>
      <c r="AS81" s="3">
        <f t="shared" si="72"/>
        <v>1.8526116582459486</v>
      </c>
      <c r="AT81" s="3">
        <f t="shared" si="73"/>
        <v>1.8445415679177828</v>
      </c>
      <c r="AU81" s="3">
        <f t="shared" si="65"/>
        <v>8.0700903281658576E-3</v>
      </c>
      <c r="AV81" s="88">
        <f t="shared" si="74"/>
        <v>0.17453672780331592</v>
      </c>
      <c r="AW81" s="32">
        <f t="shared" si="75"/>
        <v>8.9855117090626838E-2</v>
      </c>
      <c r="AX81" s="12">
        <f t="shared" si="66"/>
        <v>595.75755690008327</v>
      </c>
      <c r="AY81" s="12">
        <f t="shared" si="67"/>
        <v>824.06739088294876</v>
      </c>
      <c r="AZ81" s="3">
        <f>VLOOKUP(A81,[5]Analysis!$A$3:$BJ$543,62,FALSE)</f>
        <v>0.55820383368619186</v>
      </c>
      <c r="BA81" s="2"/>
      <c r="BB81" s="2"/>
      <c r="BC81" s="2" t="str">
        <f>VLOOKUP(A81,'[6]FGD status - Jun 2020'!$I$2:$M$449,5,FALSE)</f>
        <v>Technical Bid under evaluation</v>
      </c>
      <c r="BD81" s="2"/>
      <c r="BE81" s="2"/>
      <c r="BF81" s="2">
        <f t="shared" si="68"/>
        <v>637.32967899199548</v>
      </c>
      <c r="BG81" s="2">
        <f t="shared" si="69"/>
        <v>859.60569319640501</v>
      </c>
      <c r="BH81" s="2"/>
      <c r="BI81" s="2"/>
      <c r="BK81">
        <f t="shared" si="70"/>
        <v>367.09719073989578</v>
      </c>
      <c r="BL81">
        <f>VLOOKUP(A81,'[11]Daily coal vs energy req.2'!$C$2:$P$599,14,FALSE)</f>
        <v>0.91</v>
      </c>
      <c r="BM81">
        <f>VLOOKUP(A81,'[11]Daily coal vs energy req.2'!$C$2:$R$599,16,FALSE)</f>
        <v>1.1000000000000001</v>
      </c>
      <c r="BN81">
        <f>BL81*H81</f>
        <v>546</v>
      </c>
      <c r="BO81">
        <f>BM81*H81</f>
        <v>660</v>
      </c>
      <c r="BP81" s="2" t="str">
        <f>VLOOKUP(A81,'[7]Table 2'!$J$2:$N$449,5,FALSE)</f>
        <v>Bid opened</v>
      </c>
      <c r="BR81">
        <f t="shared" si="76"/>
        <v>484.60792271506955</v>
      </c>
      <c r="BS81">
        <f t="shared" si="77"/>
        <v>653.6204778550557</v>
      </c>
      <c r="BT81">
        <f>(X81*I81*365*[5]Analysis!BK81)/10^4</f>
        <v>332.64500048004697</v>
      </c>
      <c r="BU81">
        <f>(W81*R81*365*[5]Analysis!BK81)/10^4</f>
        <v>448.65874860593237</v>
      </c>
      <c r="BV81">
        <f>(X81*I81*365*[5]Analysis!BL81)/10^4</f>
        <v>151.96292223502263</v>
      </c>
      <c r="BW81">
        <f>(W81*R81*365*[5]Analysis!BL81)/10^4</f>
        <v>204.96172924912327</v>
      </c>
      <c r="BX81">
        <f t="shared" si="78"/>
        <v>2437971.9025435541</v>
      </c>
      <c r="BY81">
        <f t="shared" si="79"/>
        <v>3288242.4847904057</v>
      </c>
      <c r="BZ81">
        <f t="shared" si="80"/>
        <v>9298807.6853196137</v>
      </c>
      <c r="CA81">
        <f t="shared" si="81"/>
        <v>12918627.652678477</v>
      </c>
      <c r="CB81">
        <f t="shared" si="82"/>
        <v>-581318.40599823266</v>
      </c>
      <c r="CC81">
        <f t="shared" si="83"/>
        <v>-1121998.5720000002</v>
      </c>
      <c r="CD81">
        <f t="shared" si="84"/>
        <v>-3251403.89995897</v>
      </c>
      <c r="CE81">
        <f t="shared" si="85"/>
        <v>-4517103.4560000002</v>
      </c>
      <c r="CF81">
        <f t="shared" si="86"/>
        <v>5742076.9903916949</v>
      </c>
      <c r="CG81">
        <f t="shared" si="87"/>
        <v>7977340.4400000004</v>
      </c>
      <c r="CH81">
        <f t="shared" si="88"/>
        <v>332208.5149457354</v>
      </c>
      <c r="CI81">
        <f t="shared" si="89"/>
        <v>461529.93511293555</v>
      </c>
      <c r="CJ81">
        <f t="shared" si="90"/>
        <v>-3181763.5071313437</v>
      </c>
      <c r="CK81">
        <f t="shared" si="91"/>
        <v>-4420353.6000000006</v>
      </c>
      <c r="CL81">
        <f t="shared" si="92"/>
        <v>1692823.2605083685</v>
      </c>
      <c r="CM81">
        <f t="shared" si="93"/>
        <v>2351801.8787318408</v>
      </c>
    </row>
    <row r="82" spans="1:91" x14ac:dyDescent="0.2">
      <c r="A82" s="2" t="s">
        <v>89</v>
      </c>
      <c r="B82" s="2" t="str">
        <f t="shared" si="94"/>
        <v>DERANG TPP</v>
      </c>
      <c r="C82" s="2" t="str">
        <f>VLOOKUP($A82,'[1]daily coal, energy reqd'!$C$2:$T$599,17,FALSE)</f>
        <v>Odisha</v>
      </c>
      <c r="D82" s="2" t="str">
        <f>VLOOKUP(C82,'Target PLF'!$I$2:$J$19,2,FALSE)</f>
        <v>ER</v>
      </c>
      <c r="E82" s="2" t="str">
        <f>VLOOKUP(A82,[2]Ownership!$C$2:$D$666,2,FALSE)</f>
        <v>PVT SECTOR</v>
      </c>
      <c r="F82" s="2" t="s">
        <v>543</v>
      </c>
      <c r="G82" s="12">
        <v>5.3388090349075901</v>
      </c>
      <c r="H82" s="2">
        <v>600</v>
      </c>
      <c r="I82" s="2">
        <f>VLOOKUP(A82,'[3]Calculated coal req (reg.)'!$A$2:$I$599,9,FALSE)</f>
        <v>5.0220295252789802</v>
      </c>
      <c r="J82" s="2"/>
      <c r="K82" s="11">
        <v>0.34875205036659584</v>
      </c>
      <c r="L82" s="3">
        <f>VLOOKUP(F82,'Target PLF'!$A$2:$B$11,2,FALSE)</f>
        <v>0.85</v>
      </c>
      <c r="M82" s="3">
        <f t="shared" si="71"/>
        <v>0.50124794963340413</v>
      </c>
      <c r="N82" s="2" t="str">
        <f t="shared" si="50"/>
        <v>0.15</v>
      </c>
      <c r="O82" s="2">
        <f t="shared" si="95"/>
        <v>4.456480028546256</v>
      </c>
      <c r="P82" s="2">
        <f t="shared" si="51"/>
        <v>975969.12625163014</v>
      </c>
      <c r="Q82" s="2">
        <f t="shared" si="52"/>
        <v>11.430493126180698</v>
      </c>
      <c r="R82" s="2">
        <f t="shared" si="53"/>
        <v>12.24</v>
      </c>
      <c r="S82" s="2">
        <f t="shared" si="54"/>
        <v>2503277.9946335731</v>
      </c>
      <c r="T82" s="2" t="str">
        <f>VLOOKUP(A82,'[4]CEA vs MERIT comp. &amp; NPA marker'!$C$2:$K$735,9,FALSE)</f>
        <v>Contracted</v>
      </c>
      <c r="U82" s="3">
        <f>VLOOKUP(B82,'[8]Import-Domestic share'!$A$208:$F$406,6,FALSE)</f>
        <v>1.0423923581497694E-3</v>
      </c>
      <c r="V82" s="3">
        <f t="shared" si="55"/>
        <v>1017.3427589948067</v>
      </c>
      <c r="W82" s="2">
        <f t="shared" si="56"/>
        <v>2622.4074811616874</v>
      </c>
      <c r="X82" s="2">
        <f t="shared" si="57"/>
        <v>2788.1056173695415</v>
      </c>
      <c r="Y82" s="6">
        <f t="shared" si="58"/>
        <v>0.32794293265935653</v>
      </c>
      <c r="Z82" s="2">
        <f t="shared" si="59"/>
        <v>3321008.3511168407</v>
      </c>
      <c r="AA82" s="2">
        <f t="shared" si="60"/>
        <v>1448694.6550544894</v>
      </c>
      <c r="AB82" s="2" t="s">
        <v>598</v>
      </c>
      <c r="AC82" s="12">
        <f>VLOOKUP(B82,[9]Sheet1!$A$2:$B$137,2,FALSE)</f>
        <v>3527.8043365648145</v>
      </c>
      <c r="AD82" s="12">
        <f t="shared" si="61"/>
        <v>2116682.6019388889</v>
      </c>
      <c r="AE82" s="2"/>
      <c r="AF82" s="7">
        <f>VLOOKUP($B82,'[9]Subsidiary wise dispatch'!$A$3:$R$138,11,FALSE)*$H82*$O82*365</f>
        <v>0</v>
      </c>
      <c r="AG82" s="7">
        <f>VLOOKUP($B82,'[9]Subsidiary wise dispatch'!$A$3:$R$138,12,FALSE)*$H82*$O82*365</f>
        <v>0</v>
      </c>
      <c r="AH82" s="7">
        <f>VLOOKUP($B82,'[9]Subsidiary wise dispatch'!$A$3:$R$138,13,FALSE)*$H82*$O82*365</f>
        <v>0</v>
      </c>
      <c r="AI82" s="7">
        <f>VLOOKUP($B82,'[9]Subsidiary wise dispatch'!$A$3:$R$138,14,FALSE)*$H82*$O82*365</f>
        <v>975831.50184753304</v>
      </c>
      <c r="AJ82" s="7">
        <f>VLOOKUP($B82,'[9]Subsidiary wise dispatch'!$A$3:$R$138,15,FALSE)*$H82*$O82*365</f>
        <v>0</v>
      </c>
      <c r="AK82" s="7">
        <f>VLOOKUP($B82,'[9]Subsidiary wise dispatch'!$A$3:$R$138,16,FALSE)*$H82*$O82*365</f>
        <v>0</v>
      </c>
      <c r="AL82" s="7">
        <f>VLOOKUP($B82,'[9]Subsidiary wise dispatch'!$A$3:$R$138,17,FALSE)*$H82*$O82*365</f>
        <v>137.62440409709052</v>
      </c>
      <c r="AM82" s="7">
        <f>VLOOKUP($B82,'[9]Subsidiary wise dispatch'!$A$3:$R$138,18,FALSE)*$H82*$O82*365</f>
        <v>0</v>
      </c>
      <c r="AN82" s="15">
        <f t="shared" si="62"/>
        <v>975969.12625163014</v>
      </c>
      <c r="AO82" s="6">
        <v>5.9866711601157967E-2</v>
      </c>
      <c r="AP82" s="11">
        <f t="shared" si="63"/>
        <v>0.30065239324237697</v>
      </c>
      <c r="AQ82" s="11">
        <f t="shared" si="64"/>
        <v>0.73276854999817354</v>
      </c>
      <c r="AR82" s="3">
        <f>VLOOKUP(A82,[10]Sheet1!$A$2:$L$542,12,FALSE)</f>
        <v>0.995304347826095</v>
      </c>
      <c r="AS82" s="3">
        <f t="shared" si="72"/>
        <v>1.7647700223929832</v>
      </c>
      <c r="AT82" s="3">
        <f t="shared" si="73"/>
        <v>1.7477859634316781</v>
      </c>
      <c r="AU82" s="3">
        <f t="shared" si="65"/>
        <v>1.698405896130506E-2</v>
      </c>
      <c r="AV82" s="88">
        <f t="shared" si="74"/>
        <v>0.36732452245035124</v>
      </c>
      <c r="AW82" s="32">
        <f t="shared" si="75"/>
        <v>0.19851904726599642</v>
      </c>
      <c r="AX82" s="12">
        <f t="shared" si="66"/>
        <v>323.48954125914554</v>
      </c>
      <c r="AY82" s="12">
        <f t="shared" si="67"/>
        <v>780.84085702273649</v>
      </c>
      <c r="AZ82" s="3">
        <f>VLOOKUP(A82,[5]Analysis!$A$3:$BJ$543,62,FALSE)</f>
        <v>0.518096270745668</v>
      </c>
      <c r="BA82" s="2"/>
      <c r="BB82" s="2"/>
      <c r="BC82" s="2" t="str">
        <f>VLOOKUP(A82,'[6]FGD status - Jun 2020'!$I$2:$M$449,5,FALSE)</f>
        <v>Technical Bid evaluation un</v>
      </c>
      <c r="BD82" s="2"/>
      <c r="BE82" s="2"/>
      <c r="BF82" s="2">
        <f t="shared" si="68"/>
        <v>448.69355485894175</v>
      </c>
      <c r="BG82" s="2">
        <f t="shared" si="69"/>
        <v>1028.5915238106547</v>
      </c>
      <c r="BH82" s="2"/>
      <c r="BI82" s="2"/>
      <c r="BK82">
        <f t="shared" si="70"/>
        <v>209.25123021995751</v>
      </c>
      <c r="BL82">
        <f>VLOOKUP(A82,'[11]Daily coal vs energy req.2'!$C$2:$P$599,14,FALSE)</f>
        <v>0.64</v>
      </c>
      <c r="BM82">
        <f>VLOOKUP(A82,'[11]Daily coal vs energy req.2'!$C$2:$R$599,16,FALSE)</f>
        <v>0.63</v>
      </c>
      <c r="BN82">
        <f>BL82*H82</f>
        <v>384</v>
      </c>
      <c r="BO82">
        <f>BM82*H82</f>
        <v>378</v>
      </c>
      <c r="BP82" s="2" t="str">
        <f>VLOOKUP(A82,'[7]Table 2'!$J$2:$N$449,5,FALSE)</f>
        <v>Technical specification prep</v>
      </c>
      <c r="BR82">
        <f t="shared" si="76"/>
        <v>264.78404583724603</v>
      </c>
      <c r="BS82">
        <f t="shared" si="77"/>
        <v>606.99473446661091</v>
      </c>
      <c r="BT82">
        <f>(X82*I82*365*[5]Analysis!BK82)/10^4</f>
        <v>208.66423341978731</v>
      </c>
      <c r="BU82">
        <f>(W82*R82*365*[5]Analysis!BK82)/10^4</f>
        <v>478.34487367556596</v>
      </c>
      <c r="BV82">
        <f>(X82*I82*365*[5]Analysis!BL82)/10^4</f>
        <v>56.119812417458746</v>
      </c>
      <c r="BW82">
        <f>(W82*R82*365*[5]Analysis!BL82)/10^4</f>
        <v>128.649860791045</v>
      </c>
      <c r="BX82">
        <f t="shared" si="78"/>
        <v>1435199.7448276666</v>
      </c>
      <c r="BY82">
        <f t="shared" si="79"/>
        <v>3290072.4258654532</v>
      </c>
      <c r="BZ82">
        <f t="shared" si="80"/>
        <v>4919623.6000883374</v>
      </c>
      <c r="CA82">
        <f t="shared" si="81"/>
        <v>11990409.965129817</v>
      </c>
      <c r="CB82">
        <f t="shared" si="82"/>
        <v>-188880.87758005466</v>
      </c>
      <c r="CC82">
        <f t="shared" si="83"/>
        <v>-1121998.5720000002</v>
      </c>
      <c r="CD82">
        <f t="shared" si="84"/>
        <v>-1853351.872938866</v>
      </c>
      <c r="CE82">
        <f t="shared" si="85"/>
        <v>-4517103.4560000002</v>
      </c>
      <c r="CF82">
        <f t="shared" si="86"/>
        <v>3273075.0999086611</v>
      </c>
      <c r="CG82">
        <f t="shared" si="87"/>
        <v>7977340.4400000004</v>
      </c>
      <c r="CH82">
        <f t="shared" si="88"/>
        <v>198526.91131789159</v>
      </c>
      <c r="CI82">
        <f t="shared" si="89"/>
        <v>483862.02874743263</v>
      </c>
      <c r="CJ82">
        <f t="shared" si="90"/>
        <v>-1813655.742759251</v>
      </c>
      <c r="CK82">
        <f t="shared" si="91"/>
        <v>-4420353.6000000006</v>
      </c>
      <c r="CL82">
        <f t="shared" si="92"/>
        <v>849957.54440150224</v>
      </c>
      <c r="CM82">
        <f t="shared" si="93"/>
        <v>2071568.9326610365</v>
      </c>
    </row>
    <row r="83" spans="1:91" x14ac:dyDescent="0.2">
      <c r="A83" s="2" t="s">
        <v>87</v>
      </c>
      <c r="B83" s="2" t="str">
        <f t="shared" si="94"/>
        <v>OP JINDAL TPS2</v>
      </c>
      <c r="C83" s="2" t="str">
        <f>VLOOKUP($A83,'[1]daily coal, energy reqd'!$C$2:$T$599,17,FALSE)</f>
        <v>Chhatisgarh</v>
      </c>
      <c r="D83" s="2" t="str">
        <f>VLOOKUP(C83,'Target PLF'!$I$2:$J$19,2,FALSE)</f>
        <v>WR</v>
      </c>
      <c r="E83" s="2" t="str">
        <f>VLOOKUP(A83,[2]Ownership!$C$2:$D$666,2,FALSE)</f>
        <v>PVT SECTOR</v>
      </c>
      <c r="F83" s="2" t="s">
        <v>543</v>
      </c>
      <c r="G83" s="12">
        <v>5.1772758384667998</v>
      </c>
      <c r="H83" s="2">
        <v>600</v>
      </c>
      <c r="I83" s="2">
        <f>VLOOKUP(A83,'[3]Calculated coal req (reg.)'!$A$2:$I$599,9,FALSE)</f>
        <v>3.1952090494815</v>
      </c>
      <c r="J83" s="2"/>
      <c r="K83" s="11">
        <v>0.22188951732510417</v>
      </c>
      <c r="L83" s="3">
        <f>VLOOKUP(F83,'Target PLF'!$A$2:$B$11,2,FALSE)</f>
        <v>0.85</v>
      </c>
      <c r="M83" s="3">
        <f t="shared" si="71"/>
        <v>0.62811048267489578</v>
      </c>
      <c r="N83" s="2" t="str">
        <f t="shared" si="50"/>
        <v>0.15</v>
      </c>
      <c r="O83" s="2">
        <f t="shared" si="95"/>
        <v>2.686286983582808</v>
      </c>
      <c r="P83" s="2">
        <f t="shared" si="51"/>
        <v>588296.84940463491</v>
      </c>
      <c r="Q83" s="2">
        <f t="shared" si="52"/>
        <v>11.425376562183436</v>
      </c>
      <c r="R83" s="2">
        <f t="shared" si="53"/>
        <v>12.24</v>
      </c>
      <c r="S83" s="2">
        <f t="shared" si="54"/>
        <v>2502157.4671181724</v>
      </c>
      <c r="T83" s="2" t="str">
        <f>VLOOKUP(A83,'[4]CEA vs MERIT comp. &amp; NPA marker'!$C$2:$K$735,9,FALSE)</f>
        <v>Contracted</v>
      </c>
      <c r="U83" s="3">
        <f>VLOOKUP(B83,'[8]Import-Domestic share'!$A$208:$F$406,6,FALSE)</f>
        <v>8.5516716266012364E-3</v>
      </c>
      <c r="V83" s="3">
        <f t="shared" si="55"/>
        <v>5030.9214750725178</v>
      </c>
      <c r="W83" s="2">
        <f t="shared" si="56"/>
        <v>2622.8662898605903</v>
      </c>
      <c r="X83" s="2">
        <f t="shared" si="57"/>
        <v>2830.5015258510098</v>
      </c>
      <c r="Y83" s="6">
        <f t="shared" si="58"/>
        <v>0.32788556676509439</v>
      </c>
      <c r="Z83" s="2">
        <f t="shared" si="59"/>
        <v>2997418.2878278801</v>
      </c>
      <c r="AA83" s="2">
        <f t="shared" si="60"/>
        <v>844408.22387927922</v>
      </c>
      <c r="AB83" s="2" t="s">
        <v>598</v>
      </c>
      <c r="AC83" s="12">
        <f>VLOOKUP(B83,[9]Sheet1!$A$2:$B$137,2,FALSE)</f>
        <v>3909.3367396089129</v>
      </c>
      <c r="AD83" s="12">
        <f t="shared" si="61"/>
        <v>2345602.0437653479</v>
      </c>
      <c r="AE83" s="2"/>
      <c r="AF83" s="7">
        <f>VLOOKUP($B83,'[9]Subsidiary wise dispatch'!$A$3:$R$138,11,FALSE)*$H83*$O83*365</f>
        <v>0</v>
      </c>
      <c r="AG83" s="7">
        <f>VLOOKUP($B83,'[9]Subsidiary wise dispatch'!$A$3:$R$138,12,FALSE)*$H83*$O83*365</f>
        <v>0</v>
      </c>
      <c r="AH83" s="7">
        <f>VLOOKUP($B83,'[9]Subsidiary wise dispatch'!$A$3:$R$138,13,FALSE)*$H83*$O83*365</f>
        <v>0</v>
      </c>
      <c r="AI83" s="7">
        <f>VLOOKUP($B83,'[9]Subsidiary wise dispatch'!$A$3:$R$138,14,FALSE)*$H83*$O83*365</f>
        <v>290114.68680974544</v>
      </c>
      <c r="AJ83" s="7">
        <f>VLOOKUP($B83,'[9]Subsidiary wise dispatch'!$A$3:$R$138,15,FALSE)*$H83*$O83*365</f>
        <v>0</v>
      </c>
      <c r="AK83" s="7">
        <f>VLOOKUP($B83,'[9]Subsidiary wise dispatch'!$A$3:$R$138,16,FALSE)*$H83*$O83*365</f>
        <v>0</v>
      </c>
      <c r="AL83" s="7">
        <f>VLOOKUP($B83,'[9]Subsidiary wise dispatch'!$A$3:$R$138,17,FALSE)*$H83*$O83*365</f>
        <v>298182.16259488947</v>
      </c>
      <c r="AM83" s="7">
        <f>VLOOKUP($B83,'[9]Subsidiary wise dispatch'!$A$3:$R$138,18,FALSE)*$H83*$O83*365</f>
        <v>0</v>
      </c>
      <c r="AN83" s="15">
        <f t="shared" si="62"/>
        <v>588296.84940463491</v>
      </c>
      <c r="AO83" s="6">
        <v>5.7803709694753805E-2</v>
      </c>
      <c r="AP83" s="11">
        <f t="shared" si="63"/>
        <v>0.18469493631027886</v>
      </c>
      <c r="AQ83" s="11">
        <f t="shared" si="64"/>
        <v>0.7075174066637866</v>
      </c>
      <c r="AR83" s="3">
        <f>VLOOKUP(A83,[10]Sheet1!$A$2:$L$542,12,FALSE)</f>
        <v>1.5060451098035099</v>
      </c>
      <c r="AS83" s="3">
        <f t="shared" si="72"/>
        <v>1.9278504605172446</v>
      </c>
      <c r="AT83" s="3">
        <f t="shared" si="73"/>
        <v>1.9065678488282267</v>
      </c>
      <c r="AU83" s="3">
        <f t="shared" si="65"/>
        <v>2.1282611689017905E-2</v>
      </c>
      <c r="AV83" s="88">
        <f t="shared" si="74"/>
        <v>0.46029192391381712</v>
      </c>
      <c r="AW83" s="32">
        <f t="shared" si="75"/>
        <v>0.22771958780818119</v>
      </c>
      <c r="AX83" s="12">
        <f t="shared" si="66"/>
        <v>224.83581116844988</v>
      </c>
      <c r="AY83" s="12">
        <f t="shared" si="67"/>
        <v>851.77825214249856</v>
      </c>
      <c r="AZ83" s="3">
        <f>VLOOKUP(A83,[5]Analysis!$A$3:$BJ$543,62,FALSE)</f>
        <v>0.60576521629973445</v>
      </c>
      <c r="BA83" s="2"/>
      <c r="BB83" s="2"/>
      <c r="BC83" s="2" t="e">
        <f>VLOOKUP(A83,'[6]FGD status - Jun 2020'!$I$2:$M$449,5,FALSE)</f>
        <v>#N/A</v>
      </c>
      <c r="BD83" s="2"/>
      <c r="BE83" s="2"/>
      <c r="BF83" s="2">
        <f t="shared" si="68"/>
        <v>262.88677264567241</v>
      </c>
      <c r="BG83" s="2">
        <f t="shared" si="69"/>
        <v>933.17615540992472</v>
      </c>
      <c r="BH83" s="2"/>
      <c r="BI83" s="2"/>
      <c r="BK83">
        <f t="shared" si="70"/>
        <v>133.13371039506251</v>
      </c>
      <c r="BL83" t="str">
        <f>VLOOKUP(A83,'[11]Daily coal vs energy req.2'!$C$2:$P$599,14,FALSE)</f>
        <v/>
      </c>
      <c r="BM83" t="str">
        <f>VLOOKUP(A83,'[11]Daily coal vs energy req.2'!$C$2:$R$599,16,FALSE)</f>
        <v/>
      </c>
      <c r="BP83" s="2" t="str">
        <f>VLOOKUP(A83,'[7]Table 2'!$J$2:$N$449,5,FALSE)</f>
        <v>Bid opened</v>
      </c>
      <c r="BR83">
        <f t="shared" si="76"/>
        <v>199.96770734006049</v>
      </c>
      <c r="BS83">
        <f t="shared" si="77"/>
        <v>709.83067905530254</v>
      </c>
      <c r="BT83">
        <f>(X83*I83*365*[5]Analysis!BK83)/10^4</f>
        <v>131.31415742748138</v>
      </c>
      <c r="BU83">
        <f>(W83*R83*365*[5]Analysis!BK83)/10^4</f>
        <v>466.1293504646319</v>
      </c>
      <c r="BV83">
        <f>(X83*I83*365*[5]Analysis!BL83)/10^4</f>
        <v>68.653549912579109</v>
      </c>
      <c r="BW83">
        <f>(W83*R83*365*[5]Analysis!BL83)/10^4</f>
        <v>243.70132859067064</v>
      </c>
      <c r="BX83">
        <f t="shared" si="78"/>
        <v>927014.51922195987</v>
      </c>
      <c r="BY83">
        <f t="shared" si="79"/>
        <v>3290648.0472590965</v>
      </c>
      <c r="BZ83">
        <f t="shared" si="80"/>
        <v>3659702.2908593072</v>
      </c>
      <c r="CA83">
        <f t="shared" si="81"/>
        <v>14019350.642295832</v>
      </c>
      <c r="CB83">
        <f t="shared" si="82"/>
        <v>-76458.896131345988</v>
      </c>
      <c r="CC83">
        <f t="shared" si="83"/>
        <v>-1121998.5720000002</v>
      </c>
      <c r="CD83">
        <f t="shared" si="84"/>
        <v>-1179174.0065404705</v>
      </c>
      <c r="CE83">
        <f t="shared" si="85"/>
        <v>-4517103.4560000002</v>
      </c>
      <c r="CF83">
        <f t="shared" si="86"/>
        <v>2082456.7291407462</v>
      </c>
      <c r="CG83">
        <f t="shared" si="87"/>
        <v>7977340.4400000004</v>
      </c>
      <c r="CH83">
        <f t="shared" si="88"/>
        <v>122488.78287315796</v>
      </c>
      <c r="CI83">
        <f t="shared" si="89"/>
        <v>469222.10069815163</v>
      </c>
      <c r="CJ83">
        <f t="shared" si="90"/>
        <v>-1153917.7961297489</v>
      </c>
      <c r="CK83">
        <f t="shared" si="91"/>
        <v>-4420353.6000000006</v>
      </c>
      <c r="CL83">
        <f t="shared" si="92"/>
        <v>522140.711526356</v>
      </c>
      <c r="CM83">
        <f t="shared" si="93"/>
        <v>2000182.8394044177</v>
      </c>
    </row>
    <row r="84" spans="1:91" x14ac:dyDescent="0.2">
      <c r="A84" s="2" t="s">
        <v>88</v>
      </c>
      <c r="B84" s="2" t="str">
        <f t="shared" si="94"/>
        <v>OP JINDAL TPS2</v>
      </c>
      <c r="C84" s="2" t="str">
        <f>VLOOKUP($A84,'[1]daily coal, energy reqd'!$C$2:$T$599,17,FALSE)</f>
        <v>Chhatisgarh</v>
      </c>
      <c r="D84" s="2" t="str">
        <f>VLOOKUP(C84,'Target PLF'!$I$2:$J$19,2,FALSE)</f>
        <v>WR</v>
      </c>
      <c r="E84" s="2" t="str">
        <f>VLOOKUP(A84,[2]Ownership!$C$2:$D$666,2,FALSE)</f>
        <v>PVT SECTOR</v>
      </c>
      <c r="F84" s="2" t="s">
        <v>543</v>
      </c>
      <c r="G84" s="12">
        <v>5.3388090349075901</v>
      </c>
      <c r="H84" s="2">
        <v>600</v>
      </c>
      <c r="I84" s="2">
        <f>VLOOKUP(A84,'[3]Calculated coal req (reg.)'!$A$2:$I$599,9,FALSE)</f>
        <v>6.7899260150807503</v>
      </c>
      <c r="J84" s="2"/>
      <c r="K84" s="11">
        <v>0.47152263993616322</v>
      </c>
      <c r="L84" s="3">
        <f>VLOOKUP(F84,'Target PLF'!$A$2:$B$11,2,FALSE)</f>
        <v>0.85</v>
      </c>
      <c r="M84" s="3">
        <f t="shared" si="71"/>
        <v>0.37847736006383675</v>
      </c>
      <c r="N84" s="2" t="str">
        <f t="shared" si="50"/>
        <v>0.15</v>
      </c>
      <c r="O84" s="2">
        <f t="shared" si="95"/>
        <v>6.1646240724045178</v>
      </c>
      <c r="P84" s="2">
        <f t="shared" si="51"/>
        <v>1350052.6718565894</v>
      </c>
      <c r="Q84" s="2">
        <f t="shared" si="52"/>
        <v>11.430493126180698</v>
      </c>
      <c r="R84" s="2">
        <f t="shared" si="53"/>
        <v>12.24</v>
      </c>
      <c r="S84" s="2">
        <f t="shared" si="54"/>
        <v>2503277.9946335731</v>
      </c>
      <c r="T84" s="2" t="str">
        <f>VLOOKUP(A84,'[4]CEA vs MERIT comp. &amp; NPA marker'!$C$2:$K$735,9,FALSE)</f>
        <v>Contracted</v>
      </c>
      <c r="U84" s="3">
        <f>VLOOKUP(B84,'[8]Import-Domestic share'!$A$208:$F$406,6,FALSE)</f>
        <v>8.5516716266012364E-3</v>
      </c>
      <c r="V84" s="3">
        <f t="shared" si="55"/>
        <v>11545.207128333186</v>
      </c>
      <c r="W84" s="2">
        <f t="shared" si="56"/>
        <v>2624.1004902247237</v>
      </c>
      <c r="X84" s="2">
        <f t="shared" si="57"/>
        <v>2749.2142053138587</v>
      </c>
      <c r="Y84" s="6">
        <f t="shared" si="58"/>
        <v>0.32773135144925453</v>
      </c>
      <c r="Z84" s="2">
        <f t="shared" si="59"/>
        <v>2998828.7351528537</v>
      </c>
      <c r="AA84" s="2">
        <f t="shared" si="60"/>
        <v>1742863.6207170286</v>
      </c>
      <c r="AB84" s="2" t="s">
        <v>598</v>
      </c>
      <c r="AC84" s="12">
        <f>VLOOKUP(B84,[9]Sheet1!$A$2:$B$137,2,FALSE)</f>
        <v>3909.3367396089129</v>
      </c>
      <c r="AD84" s="12">
        <f t="shared" si="61"/>
        <v>2345602.0437653479</v>
      </c>
      <c r="AE84" s="2"/>
      <c r="AF84" s="7">
        <f>VLOOKUP($B84,'[9]Subsidiary wise dispatch'!$A$3:$R$138,11,FALSE)*$H84*$O84*365</f>
        <v>0</v>
      </c>
      <c r="AG84" s="7">
        <f>VLOOKUP($B84,'[9]Subsidiary wise dispatch'!$A$3:$R$138,12,FALSE)*$H84*$O84*365</f>
        <v>0</v>
      </c>
      <c r="AH84" s="7">
        <f>VLOOKUP($B84,'[9]Subsidiary wise dispatch'!$A$3:$R$138,13,FALSE)*$H84*$O84*365</f>
        <v>0</v>
      </c>
      <c r="AI84" s="7">
        <f>VLOOKUP($B84,'[9]Subsidiary wise dispatch'!$A$3:$R$138,14,FALSE)*$H84*$O84*365</f>
        <v>665769.51494591613</v>
      </c>
      <c r="AJ84" s="7">
        <f>VLOOKUP($B84,'[9]Subsidiary wise dispatch'!$A$3:$R$138,15,FALSE)*$H84*$O84*365</f>
        <v>0</v>
      </c>
      <c r="AK84" s="7">
        <f>VLOOKUP($B84,'[9]Subsidiary wise dispatch'!$A$3:$R$138,16,FALSE)*$H84*$O84*365</f>
        <v>0</v>
      </c>
      <c r="AL84" s="7">
        <f>VLOOKUP($B84,'[9]Subsidiary wise dispatch'!$A$3:$R$138,17,FALSE)*$H84*$O84*365</f>
        <v>684283.15691067325</v>
      </c>
      <c r="AM84" s="7">
        <f>VLOOKUP($B84,'[9]Subsidiary wise dispatch'!$A$3:$R$138,18,FALSE)*$H84*$O84*365</f>
        <v>0</v>
      </c>
      <c r="AN84" s="15">
        <f t="shared" si="62"/>
        <v>1350052.6718565894</v>
      </c>
      <c r="AO84" s="6">
        <v>5.7803709694753805E-2</v>
      </c>
      <c r="AP84" s="11">
        <f t="shared" si="63"/>
        <v>0.39248291222458426</v>
      </c>
      <c r="AQ84" s="11">
        <f t="shared" si="64"/>
        <v>0.7075174066637866</v>
      </c>
      <c r="AR84" s="3">
        <f>VLOOKUP(A84,[10]Sheet1!$A$2:$L$542,12,FALSE)</f>
        <v>1.5060451098035099</v>
      </c>
      <c r="AS84" s="3">
        <f t="shared" si="72"/>
        <v>1.9207145827152328</v>
      </c>
      <c r="AT84" s="3">
        <f t="shared" si="73"/>
        <v>1.9078904269185961</v>
      </c>
      <c r="AU84" s="3">
        <f t="shared" si="65"/>
        <v>1.2824155796636649E-2</v>
      </c>
      <c r="AV84" s="88">
        <f t="shared" si="74"/>
        <v>0.27735577900198088</v>
      </c>
      <c r="AW84" s="32">
        <f t="shared" si="75"/>
        <v>0.13772562856860654</v>
      </c>
      <c r="AX84" s="12">
        <f t="shared" si="66"/>
        <v>476.01511181439412</v>
      </c>
      <c r="AY84" s="12">
        <f t="shared" si="67"/>
        <v>852.36912713015204</v>
      </c>
      <c r="AZ84" s="3">
        <f>VLOOKUP(A84,[5]Analysis!$A$3:$BJ$543,62,FALSE)</f>
        <v>0.60576521629973445</v>
      </c>
      <c r="BA84" s="2"/>
      <c r="BB84" s="2"/>
      <c r="BC84" s="2" t="e">
        <f>VLOOKUP(A84,'[6]FGD status - Jun 2020'!$I$2:$M$449,5,FALSE)</f>
        <v>#N/A</v>
      </c>
      <c r="BD84" s="2"/>
      <c r="BE84" s="2"/>
      <c r="BF84" s="2">
        <f t="shared" si="68"/>
        <v>542.59986989107529</v>
      </c>
      <c r="BG84" s="2">
        <f t="shared" si="69"/>
        <v>933.61526523235796</v>
      </c>
      <c r="BH84" s="2"/>
      <c r="BI84" s="2"/>
      <c r="BK84">
        <f t="shared" si="70"/>
        <v>282.91358396169795</v>
      </c>
      <c r="BL84" t="str">
        <f>VLOOKUP(A84,'[11]Daily coal vs energy req.2'!$C$2:$P$599,14,FALSE)</f>
        <v/>
      </c>
      <c r="BM84" t="str">
        <f>VLOOKUP(A84,'[11]Daily coal vs energy req.2'!$C$2:$R$599,16,FALSE)</f>
        <v/>
      </c>
      <c r="BP84" s="2" t="str">
        <f>VLOOKUP(A84,'[7]Table 2'!$J$2:$N$449,5,FALSE)</f>
        <v>Bid opened</v>
      </c>
      <c r="BR84">
        <f t="shared" si="76"/>
        <v>412.73454306267701</v>
      </c>
      <c r="BS84">
        <f t="shared" si="77"/>
        <v>710.16469275853615</v>
      </c>
      <c r="BT84">
        <f>(X84*I84*365*[5]Analysis!BK84)/10^4</f>
        <v>271.03320573318507</v>
      </c>
      <c r="BU84">
        <f>(W84*R84*365*[5]Analysis!BK84)/10^4</f>
        <v>466.34868951988631</v>
      </c>
      <c r="BV84">
        <f>(X84*I84*365*[5]Analysis!BL84)/10^4</f>
        <v>141.70133732949193</v>
      </c>
      <c r="BW84">
        <f>(W84*R84*365*[5]Analysis!BL84)/10^4</f>
        <v>243.81600323864984</v>
      </c>
      <c r="BX84">
        <f t="shared" si="78"/>
        <v>1913363.5080032374</v>
      </c>
      <c r="BY84">
        <f t="shared" si="79"/>
        <v>3292196.4750359384</v>
      </c>
      <c r="BZ84">
        <f t="shared" si="80"/>
        <v>7776989.6765247947</v>
      </c>
      <c r="CA84">
        <f t="shared" si="81"/>
        <v>14019350.642295832</v>
      </c>
      <c r="CB84">
        <f t="shared" si="82"/>
        <v>-345270.56287421013</v>
      </c>
      <c r="CC84">
        <f t="shared" si="83"/>
        <v>-1121998.5720000002</v>
      </c>
      <c r="CD84">
        <f t="shared" si="84"/>
        <v>-2505784.1722798664</v>
      </c>
      <c r="CE84">
        <f t="shared" si="85"/>
        <v>-4517103.4560000002</v>
      </c>
      <c r="CF84">
        <f t="shared" si="86"/>
        <v>4425290.1458097817</v>
      </c>
      <c r="CG84">
        <f t="shared" si="87"/>
        <v>7977340.4400000004</v>
      </c>
      <c r="CH84">
        <f t="shared" si="88"/>
        <v>268414.00136453775</v>
      </c>
      <c r="CI84">
        <f t="shared" si="89"/>
        <v>483862.02874743263</v>
      </c>
      <c r="CJ84">
        <f t="shared" si="90"/>
        <v>-2452113.8810862624</v>
      </c>
      <c r="CK84">
        <f t="shared" si="91"/>
        <v>-4420353.6000000006</v>
      </c>
      <c r="CL84">
        <f t="shared" si="92"/>
        <v>1109566.4621070377</v>
      </c>
      <c r="CM84">
        <f t="shared" si="93"/>
        <v>2000182.8394044177</v>
      </c>
    </row>
    <row r="85" spans="1:91" x14ac:dyDescent="0.2">
      <c r="A85" s="2" t="s">
        <v>95</v>
      </c>
      <c r="B85" s="2" t="str">
        <f t="shared" si="94"/>
        <v>SHREE SINGAJI TPP</v>
      </c>
      <c r="C85" s="2" t="str">
        <f>VLOOKUP($A85,'[1]daily coal, energy reqd'!$C$2:$T$599,17,FALSE)</f>
        <v>Madhya Pradesh</v>
      </c>
      <c r="D85" s="2" t="str">
        <f>VLOOKUP(C85,'Target PLF'!$I$2:$J$19,2,FALSE)</f>
        <v>WR</v>
      </c>
      <c r="E85" s="2" t="str">
        <f>VLOOKUP(A85,[2]Ownership!$C$2:$D$666,2,FALSE)</f>
        <v>STATE SECTOR</v>
      </c>
      <c r="F85" s="2" t="s">
        <v>543</v>
      </c>
      <c r="G85" s="12">
        <v>5.5906913073237501</v>
      </c>
      <c r="H85" s="2">
        <v>600</v>
      </c>
      <c r="I85" s="2">
        <f>VLOOKUP(A85,'[3]Calculated coal req (reg.)'!$A$2:$I$599,9,FALSE)</f>
        <v>6.9641758935085702</v>
      </c>
      <c r="J85" s="2"/>
      <c r="K85" s="11">
        <v>0.48362332593809515</v>
      </c>
      <c r="L85" s="3">
        <f>VLOOKUP(F85,'Target PLF'!$A$2:$B$11,2,FALSE)</f>
        <v>0.85</v>
      </c>
      <c r="M85" s="3">
        <f t="shared" si="71"/>
        <v>0.36637667406190483</v>
      </c>
      <c r="N85" s="2" t="str">
        <f t="shared" si="50"/>
        <v>0.15</v>
      </c>
      <c r="O85" s="2">
        <f t="shared" si="95"/>
        <v>7.2307140179339786</v>
      </c>
      <c r="P85" s="2">
        <f t="shared" si="51"/>
        <v>1583526.3699275414</v>
      </c>
      <c r="Q85" s="2">
        <f t="shared" si="52"/>
        <v>12.328222597159479</v>
      </c>
      <c r="R85" s="2">
        <f t="shared" si="53"/>
        <v>12.24</v>
      </c>
      <c r="S85" s="2">
        <f t="shared" si="54"/>
        <v>2699880.7487779264</v>
      </c>
      <c r="T85" s="2" t="str">
        <f>VLOOKUP(A85,'[4]CEA vs MERIT comp. &amp; NPA marker'!$C$2:$K$735,9,FALSE)</f>
        <v>Contracted</v>
      </c>
      <c r="U85" s="3">
        <f>VLOOKUP(B85,'[8]Import-Domestic share'!$A$208:$F$406,6,FALSE)</f>
        <v>2.4167248138043805E-3</v>
      </c>
      <c r="V85" s="3">
        <f t="shared" si="55"/>
        <v>3826.9474715174633</v>
      </c>
      <c r="W85" s="2">
        <f t="shared" si="56"/>
        <v>2624.6418479321164</v>
      </c>
      <c r="X85" s="2">
        <f t="shared" si="57"/>
        <v>2745.7554247287694</v>
      </c>
      <c r="Y85" s="6">
        <f t="shared" si="58"/>
        <v>0.32766375369560252</v>
      </c>
      <c r="Z85" s="2">
        <f t="shared" si="59"/>
        <v>2726369.8137431587</v>
      </c>
      <c r="AA85" s="2">
        <f t="shared" si="60"/>
        <v>1622799.5536674699</v>
      </c>
      <c r="AB85" s="2" t="s">
        <v>598</v>
      </c>
      <c r="AC85" s="12">
        <f>VLOOKUP(B85,[9]Sheet1!$A$2:$B$137,2,FALSE)</f>
        <v>4300.9021962880979</v>
      </c>
      <c r="AD85" s="12">
        <f t="shared" si="61"/>
        <v>2580541.3177728588</v>
      </c>
      <c r="AE85" s="2"/>
      <c r="AF85" s="7">
        <f>VLOOKUP($B85,'[9]Subsidiary wise dispatch'!$A$3:$R$138,11,FALSE)*$H85*$O85*365</f>
        <v>0</v>
      </c>
      <c r="AG85" s="7">
        <f>VLOOKUP($B85,'[9]Subsidiary wise dispatch'!$A$3:$R$138,12,FALSE)*$H85*$O85*365</f>
        <v>0</v>
      </c>
      <c r="AH85" s="7">
        <f>VLOOKUP($B85,'[9]Subsidiary wise dispatch'!$A$3:$R$138,13,FALSE)*$H85*$O85*365</f>
        <v>0</v>
      </c>
      <c r="AI85" s="7">
        <f>VLOOKUP($B85,'[9]Subsidiary wise dispatch'!$A$3:$R$138,14,FALSE)*$H85*$O85*365</f>
        <v>0</v>
      </c>
      <c r="AJ85" s="7">
        <f>VLOOKUP($B85,'[9]Subsidiary wise dispatch'!$A$3:$R$138,15,FALSE)*$H85*$O85*365</f>
        <v>161727.37850070198</v>
      </c>
      <c r="AK85" s="7">
        <f>VLOOKUP($B85,'[9]Subsidiary wise dispatch'!$A$3:$R$138,16,FALSE)*$H85*$O85*365</f>
        <v>0</v>
      </c>
      <c r="AL85" s="7">
        <f>VLOOKUP($B85,'[9]Subsidiary wise dispatch'!$A$3:$R$138,17,FALSE)*$H85*$O85*365</f>
        <v>928998.69748925942</v>
      </c>
      <c r="AM85" s="7">
        <f>VLOOKUP($B85,'[9]Subsidiary wise dispatch'!$A$3:$R$138,18,FALSE)*$H85*$O85*365</f>
        <v>492800.29393757996</v>
      </c>
      <c r="AN85" s="15">
        <f t="shared" si="62"/>
        <v>1583526.3699275414</v>
      </c>
      <c r="AO85" s="6">
        <v>7.69954342817641E-2</v>
      </c>
      <c r="AP85" s="11">
        <f t="shared" si="63"/>
        <v>0.53620974733528493</v>
      </c>
      <c r="AQ85" s="11">
        <f t="shared" si="64"/>
        <v>0.94242411560879258</v>
      </c>
      <c r="AR85" s="3">
        <f>VLOOKUP(A85,[10]Sheet1!$A$2:$L$542,12,FALSE)</f>
        <v>2.6436184210526301</v>
      </c>
      <c r="AS85" s="3">
        <f t="shared" si="72"/>
        <v>2.3158460995635908</v>
      </c>
      <c r="AT85" s="3">
        <f t="shared" si="73"/>
        <v>2.3034319579419336</v>
      </c>
      <c r="AU85" s="3">
        <f t="shared" si="65"/>
        <v>1.2414141621657215E-2</v>
      </c>
      <c r="AV85" s="88">
        <f t="shared" si="74"/>
        <v>0.26848815428604511</v>
      </c>
      <c r="AW85" s="32">
        <f t="shared" si="75"/>
        <v>0.11057471077747512</v>
      </c>
      <c r="AX85" s="12">
        <f t="shared" si="66"/>
        <v>588.67052465746622</v>
      </c>
      <c r="AY85" s="12">
        <f t="shared" si="67"/>
        <v>1029.0812615301381</v>
      </c>
      <c r="AZ85" s="3">
        <f>VLOOKUP(A85,[5]Analysis!$A$3:$BJ$543,62,FALSE)</f>
        <v>0.78524893852561628</v>
      </c>
      <c r="BA85" s="2"/>
      <c r="BB85" s="2"/>
      <c r="BC85" s="2" t="str">
        <f>VLOOKUP(A85,'[6]FGD status - Jun 2020'!$I$2:$M$449,5,FALSE)</f>
        <v>Bid opened</v>
      </c>
      <c r="BD85" s="2"/>
      <c r="BE85" s="2"/>
      <c r="BF85" s="2">
        <f t="shared" si="68"/>
        <v>503.0941711452266</v>
      </c>
      <c r="BG85" s="2">
        <f t="shared" si="69"/>
        <v>845.21884331349816</v>
      </c>
      <c r="BH85" s="2"/>
      <c r="BI85" s="2"/>
      <c r="BK85">
        <f t="shared" si="70"/>
        <v>290.1739955628571</v>
      </c>
      <c r="BL85">
        <f>VLOOKUP(A85,'[11]Daily coal vs energy req.2'!$C$2:$P$599,14,FALSE)</f>
        <v>0.56999999999999995</v>
      </c>
      <c r="BM85">
        <f>VLOOKUP(A85,'[11]Daily coal vs energy req.2'!$C$2:$R$599,16,FALSE)</f>
        <v>0.42</v>
      </c>
      <c r="BN85">
        <f>BL85*H85</f>
        <v>341.99999999999994</v>
      </c>
      <c r="BO85">
        <f>BM85*H85</f>
        <v>252</v>
      </c>
      <c r="BP85" s="2" t="str">
        <f>VLOOKUP(A85,'[7]Table 2'!$J$2:$N$449,5,FALSE)</f>
        <v>Bid opened</v>
      </c>
      <c r="BR85">
        <f t="shared" si="76"/>
        <v>548.06466661138222</v>
      </c>
      <c r="BS85">
        <f t="shared" si="77"/>
        <v>920.77112028505337</v>
      </c>
      <c r="BT85">
        <f>(X85*I85*365*[5]Analysis!BK85)/10^4</f>
        <v>268.1202915657318</v>
      </c>
      <c r="BU85">
        <f>(W85*R85*365*[5]Analysis!BK85)/10^4</f>
        <v>450.45308752076158</v>
      </c>
      <c r="BV85">
        <f>(X85*I85*365*[5]Analysis!BL85)/10^4</f>
        <v>279.94437504565047</v>
      </c>
      <c r="BW85">
        <f>(W85*R85*365*[5]Analysis!BL85)/10^4</f>
        <v>470.31803276429179</v>
      </c>
      <c r="BX85">
        <f t="shared" si="78"/>
        <v>1959997.1831825643</v>
      </c>
      <c r="BY85">
        <f t="shared" si="79"/>
        <v>3292875.6624156334</v>
      </c>
      <c r="BZ85">
        <f t="shared" si="80"/>
        <v>10339969.026283963</v>
      </c>
      <c r="CA85">
        <f t="shared" si="81"/>
        <v>18173179.830177125</v>
      </c>
      <c r="CB85">
        <f t="shared" si="82"/>
        <v>-363219.31211638241</v>
      </c>
      <c r="CC85">
        <f t="shared" si="83"/>
        <v>-1121998.5720000002</v>
      </c>
      <c r="CD85">
        <f t="shared" si="84"/>
        <v>0</v>
      </c>
      <c r="CE85">
        <f t="shared" si="85"/>
        <v>0</v>
      </c>
      <c r="CF85">
        <f t="shared" si="86"/>
        <v>4538856.3714509029</v>
      </c>
      <c r="CG85">
        <f t="shared" si="87"/>
        <v>7977340.4400000004</v>
      </c>
      <c r="CH85">
        <f t="shared" si="88"/>
        <v>288290.93197512592</v>
      </c>
      <c r="CI85">
        <f t="shared" si="89"/>
        <v>506690.39112936344</v>
      </c>
      <c r="CJ85">
        <f t="shared" si="90"/>
        <v>-2515042.482181685</v>
      </c>
      <c r="CK85">
        <f t="shared" si="91"/>
        <v>-4420353.6000000006</v>
      </c>
      <c r="CL85">
        <f t="shared" si="92"/>
        <v>1515888.5489457331</v>
      </c>
      <c r="CM85">
        <f t="shared" si="93"/>
        <v>2664274.4414871437</v>
      </c>
    </row>
    <row r="86" spans="1:91" x14ac:dyDescent="0.2">
      <c r="A86" s="2" t="s">
        <v>97</v>
      </c>
      <c r="B86" s="2" t="str">
        <f t="shared" si="94"/>
        <v>RAGHUNATHPUR TPP</v>
      </c>
      <c r="C86" s="2" t="str">
        <f>VLOOKUP($A86,'[1]daily coal, energy reqd'!$C$2:$T$599,17,FALSE)</f>
        <v>West Bengal</v>
      </c>
      <c r="D86" s="2" t="str">
        <f>VLOOKUP(C86,'Target PLF'!$I$2:$J$19,2,FALSE)</f>
        <v>ER</v>
      </c>
      <c r="E86" s="2" t="str">
        <f>VLOOKUP(A86,[2]Ownership!$C$2:$D$666,2,FALSE)</f>
        <v>CENTRAL SECTOR</v>
      </c>
      <c r="F86" s="2" t="s">
        <v>543</v>
      </c>
      <c r="G86" s="12">
        <v>5.7577002053388</v>
      </c>
      <c r="H86" s="2">
        <v>600</v>
      </c>
      <c r="I86" s="2">
        <f>VLOOKUP(A86,'[3]Calculated coal req (reg.)'!$A$2:$I$599,9,FALSE)</f>
        <v>4.51371264557479</v>
      </c>
      <c r="J86" s="2"/>
      <c r="K86" s="11">
        <v>0.31345226705380486</v>
      </c>
      <c r="L86" s="3">
        <f>VLOOKUP(F86,'Target PLF'!$A$2:$B$11,2,FALSE)</f>
        <v>0.85</v>
      </c>
      <c r="M86" s="3">
        <f t="shared" si="71"/>
        <v>0.53654773294619518</v>
      </c>
      <c r="N86" s="2" t="str">
        <f t="shared" si="50"/>
        <v>0.15</v>
      </c>
      <c r="O86" s="2">
        <f t="shared" si="95"/>
        <v>4.8683630312038106</v>
      </c>
      <c r="P86" s="2">
        <f t="shared" si="51"/>
        <v>1066171.5038336345</v>
      </c>
      <c r="Q86" s="2">
        <f t="shared" si="52"/>
        <v>12.333512604004106</v>
      </c>
      <c r="R86" s="2">
        <f t="shared" si="53"/>
        <v>12.24</v>
      </c>
      <c r="S86" s="2">
        <f t="shared" si="54"/>
        <v>2701039.2602768992</v>
      </c>
      <c r="T86" s="2" t="str">
        <f>VLOOKUP(A86,'[4]CEA vs MERIT comp. &amp; NPA marker'!$C$2:$K$735,9,FALSE)</f>
        <v>Contracted</v>
      </c>
      <c r="U86" s="3">
        <f>VLOOKUP(B86,'[8]Import-Domestic share'!$A$208:$F$406,6,FALSE)</f>
        <v>0</v>
      </c>
      <c r="V86" s="3">
        <f t="shared" si="55"/>
        <v>0</v>
      </c>
      <c r="W86" s="2">
        <f t="shared" si="56"/>
        <v>2625.3730214537982</v>
      </c>
      <c r="X86" s="2">
        <f t="shared" si="57"/>
        <v>2802.7402493911018</v>
      </c>
      <c r="Y86" s="6">
        <f t="shared" si="58"/>
        <v>0.32757249844967773</v>
      </c>
      <c r="Z86" s="2">
        <f t="shared" si="59"/>
        <v>2475955.7799435803</v>
      </c>
      <c r="AA86" s="2">
        <f t="shared" si="60"/>
        <v>974736.44799538224</v>
      </c>
      <c r="AB86" s="2" t="s">
        <v>598</v>
      </c>
      <c r="AC86" s="12">
        <f>VLOOKUP(B86,[9]Sheet1!$A$2:$B$137,2,FALSE)</f>
        <v>4737.2075889474336</v>
      </c>
      <c r="AD86" s="12">
        <f t="shared" si="61"/>
        <v>2842324.5533684599</v>
      </c>
      <c r="AE86" s="2"/>
      <c r="AF86" s="7">
        <f>VLOOKUP($B86,'[9]Subsidiary wise dispatch'!$A$3:$R$138,11,FALSE)*$H86*$O86*365</f>
        <v>425485.38983358588</v>
      </c>
      <c r="AG86" s="7">
        <f>VLOOKUP($B86,'[9]Subsidiary wise dispatch'!$A$3:$R$138,12,FALSE)*$H86*$O86*365</f>
        <v>362886.25977748458</v>
      </c>
      <c r="AH86" s="7">
        <f>VLOOKUP($B86,'[9]Subsidiary wise dispatch'!$A$3:$R$138,13,FALSE)*$H86*$O86*365</f>
        <v>277799.85422256408</v>
      </c>
      <c r="AI86" s="7">
        <f>VLOOKUP($B86,'[9]Subsidiary wise dispatch'!$A$3:$R$138,14,FALSE)*$H86*$O86*365</f>
        <v>0</v>
      </c>
      <c r="AJ86" s="7">
        <f>VLOOKUP($B86,'[9]Subsidiary wise dispatch'!$A$3:$R$138,15,FALSE)*$H86*$O86*365</f>
        <v>0</v>
      </c>
      <c r="AK86" s="7">
        <f>VLOOKUP($B86,'[9]Subsidiary wise dispatch'!$A$3:$R$138,16,FALSE)*$H86*$O86*365</f>
        <v>0</v>
      </c>
      <c r="AL86" s="7">
        <f>VLOOKUP($B86,'[9]Subsidiary wise dispatch'!$A$3:$R$138,17,FALSE)*$H86*$O86*365</f>
        <v>0</v>
      </c>
      <c r="AM86" s="7">
        <f>VLOOKUP($B86,'[9]Subsidiary wise dispatch'!$A$3:$R$138,18,FALSE)*$H86*$O86*365</f>
        <v>0</v>
      </c>
      <c r="AN86" s="15">
        <f t="shared" si="62"/>
        <v>1066171.5038336345</v>
      </c>
      <c r="AO86" s="6">
        <v>7.8899454574965444E-2</v>
      </c>
      <c r="AP86" s="11">
        <f t="shared" si="63"/>
        <v>0.35612946584397526</v>
      </c>
      <c r="AQ86" s="11">
        <f t="shared" si="64"/>
        <v>0.96572932399757705</v>
      </c>
      <c r="AR86" s="3">
        <f>VLOOKUP(A86,[10]Sheet1!$A$2:$L$542,12,FALSE)</f>
        <v>2.2117206507948399</v>
      </c>
      <c r="AS86" s="3">
        <f t="shared" si="72"/>
        <v>1.9766029066928628</v>
      </c>
      <c r="AT86" s="3">
        <f t="shared" si="73"/>
        <v>1.9584227658292894</v>
      </c>
      <c r="AU86" s="3">
        <f t="shared" si="65"/>
        <v>1.8180140863573335E-2</v>
      </c>
      <c r="AV86" s="88">
        <f t="shared" si="74"/>
        <v>0.39319290965763076</v>
      </c>
      <c r="AW86" s="32">
        <f t="shared" si="75"/>
        <v>0.18972590170956846</v>
      </c>
      <c r="AX86" s="12">
        <f t="shared" si="66"/>
        <v>325.64634003551032</v>
      </c>
      <c r="AY86" s="12">
        <f t="shared" si="67"/>
        <v>874.94495486189339</v>
      </c>
      <c r="AZ86" s="3">
        <f>VLOOKUP(A86,[5]Analysis!$A$3:$BJ$543,62,FALSE)</f>
        <v>0.59923968632098068</v>
      </c>
      <c r="BA86" s="2"/>
      <c r="BB86" s="2"/>
      <c r="BC86" s="2" t="str">
        <f>VLOOKUP(A86,'[6]FGD status - Jun 2020'!$I$2:$M$449,5,FALSE)</f>
        <v>Bid Awarded</v>
      </c>
      <c r="BD86" s="2"/>
      <c r="BE86" s="2"/>
      <c r="BF86" s="2">
        <f t="shared" si="68"/>
        <v>301.68093065457083</v>
      </c>
      <c r="BG86" s="2">
        <f t="shared" si="69"/>
        <v>766.30831389253808</v>
      </c>
      <c r="BH86" s="2"/>
      <c r="BI86" s="2"/>
      <c r="BK86">
        <f t="shared" si="70"/>
        <v>188.07136023228293</v>
      </c>
      <c r="BL86">
        <f>VLOOKUP(A86,'[11]Daily coal vs energy req.2'!$C$2:$P$599,14,FALSE)</f>
        <v>0.63</v>
      </c>
      <c r="BM86">
        <f>VLOOKUP(A86,'[11]Daily coal vs energy req.2'!$C$2:$R$599,16,FALSE)</f>
        <v>0.38</v>
      </c>
      <c r="BN86">
        <f>BL86*H86</f>
        <v>378</v>
      </c>
      <c r="BO86">
        <f>BM86*H86</f>
        <v>228</v>
      </c>
      <c r="BP86" s="2" t="str">
        <f>VLOOKUP(A86,'[7]Table 2'!$J$2:$N$449,5,FALSE)</f>
        <v>Bid Awarded</v>
      </c>
      <c r="BR86">
        <f t="shared" si="76"/>
        <v>276.70065688155103</v>
      </c>
      <c r="BS86">
        <f t="shared" si="77"/>
        <v>702.85520986623374</v>
      </c>
      <c r="BT86">
        <f>(X86*I86*365*[5]Analysis!BK86)/10^4</f>
        <v>224.20410908944811</v>
      </c>
      <c r="BU86">
        <f>(W86*R86*365*[5]Analysis!BK86)/10^4</f>
        <v>569.50723544683729</v>
      </c>
      <c r="BV86">
        <f>(X86*I86*365*[5]Analysis!BL86)/10^4</f>
        <v>52.496547792102952</v>
      </c>
      <c r="BW86">
        <f>(W86*R86*365*[5]Analysis!BL86)/10^4</f>
        <v>133.34797441939654</v>
      </c>
      <c r="BX86">
        <f t="shared" si="78"/>
        <v>1296703.3208586508</v>
      </c>
      <c r="BY86">
        <f t="shared" si="79"/>
        <v>3293792.9927159352</v>
      </c>
      <c r="BZ86">
        <f t="shared" si="80"/>
        <v>5114187.2319317143</v>
      </c>
      <c r="CA86">
        <f t="shared" si="81"/>
        <v>13868328.942077085</v>
      </c>
      <c r="CB86">
        <f t="shared" si="82"/>
        <v>-152579.88499769446</v>
      </c>
      <c r="CC86">
        <f t="shared" si="83"/>
        <v>-1121998.5720000002</v>
      </c>
      <c r="CD86">
        <f t="shared" si="84"/>
        <v>0</v>
      </c>
      <c r="CE86">
        <f t="shared" si="85"/>
        <v>0</v>
      </c>
      <c r="CF86">
        <f t="shared" si="86"/>
        <v>2941782.8776211734</v>
      </c>
      <c r="CG86">
        <f t="shared" si="87"/>
        <v>7977340.4400000004</v>
      </c>
      <c r="CH86">
        <f t="shared" si="88"/>
        <v>192432.61999338886</v>
      </c>
      <c r="CI86">
        <f t="shared" si="89"/>
        <v>521826.58792607719</v>
      </c>
      <c r="CJ86">
        <f t="shared" si="90"/>
        <v>-1630082.1848228797</v>
      </c>
      <c r="CK86">
        <f t="shared" si="91"/>
        <v>-4420353.6000000006</v>
      </c>
      <c r="CL86">
        <f t="shared" si="92"/>
        <v>1006793.6696374151</v>
      </c>
      <c r="CM86">
        <f t="shared" si="93"/>
        <v>2730159.2910314063</v>
      </c>
    </row>
    <row r="87" spans="1:91" x14ac:dyDescent="0.2">
      <c r="A87" s="2" t="s">
        <v>101</v>
      </c>
      <c r="B87" s="2" t="str">
        <f t="shared" si="94"/>
        <v>KALISINDH TPS</v>
      </c>
      <c r="C87" s="2" t="str">
        <f>VLOOKUP($A87,'[1]daily coal, energy reqd'!$C$2:$T$599,17,FALSE)</f>
        <v>Rajasthan</v>
      </c>
      <c r="D87" s="2" t="str">
        <f>VLOOKUP(C87,'Target PLF'!$I$2:$J$19,2,FALSE)</f>
        <v>NR</v>
      </c>
      <c r="E87" s="2" t="str">
        <f>VLOOKUP(A87,[2]Ownership!$C$2:$D$666,2,FALSE)</f>
        <v>STATE SECTOR</v>
      </c>
      <c r="F87" s="2" t="s">
        <v>543</v>
      </c>
      <c r="G87" s="12">
        <v>6.00958247775496</v>
      </c>
      <c r="H87" s="2">
        <v>600</v>
      </c>
      <c r="I87" s="2">
        <f>VLOOKUP(A87,'[3]Calculated coal req (reg.)'!$A$2:$I$599,9,FALSE)</f>
        <v>10.728071916568799</v>
      </c>
      <c r="J87" s="2"/>
      <c r="K87" s="11">
        <v>0.74500499420616662</v>
      </c>
      <c r="L87" s="3">
        <f>VLOOKUP(F87,'Target PLF'!$A$2:$B$11,2,FALSE)</f>
        <v>0.85</v>
      </c>
      <c r="M87" s="3">
        <f t="shared" si="71"/>
        <v>0.10499500579383336</v>
      </c>
      <c r="N87" s="2" t="str">
        <f t="shared" si="50"/>
        <v>0.15</v>
      </c>
      <c r="O87" s="2">
        <f t="shared" si="95"/>
        <v>10.880663960871548</v>
      </c>
      <c r="P87" s="2">
        <f t="shared" si="51"/>
        <v>2382865.4074308691</v>
      </c>
      <c r="Q87" s="2">
        <f t="shared" si="52"/>
        <v>12.341490974982889</v>
      </c>
      <c r="R87" s="2">
        <f t="shared" si="53"/>
        <v>12.24</v>
      </c>
      <c r="S87" s="2">
        <f t="shared" si="54"/>
        <v>2702786.5235212529</v>
      </c>
      <c r="T87" s="2" t="str">
        <f>VLOOKUP(A87,'[4]CEA vs MERIT comp. &amp; NPA marker'!$C$2:$K$735,9,FALSE)</f>
        <v>Contracted</v>
      </c>
      <c r="U87" s="3">
        <f>VLOOKUP(B87,'[8]Import-Domestic share'!$A$208:$F$406,6,FALSE)</f>
        <v>0</v>
      </c>
      <c r="V87" s="3">
        <f t="shared" si="55"/>
        <v>0</v>
      </c>
      <c r="W87" s="2">
        <f t="shared" si="56"/>
        <v>2627.2975372758383</v>
      </c>
      <c r="X87" s="2">
        <f t="shared" si="57"/>
        <v>2662.0058623351124</v>
      </c>
      <c r="Y87" s="6">
        <f t="shared" si="58"/>
        <v>0.32733254905407738</v>
      </c>
      <c r="Z87" s="2">
        <f t="shared" si="59"/>
        <v>2477239.1861947747</v>
      </c>
      <c r="AA87" s="2">
        <f t="shared" si="60"/>
        <v>2199925.3717949865</v>
      </c>
      <c r="AB87" s="2" t="s">
        <v>598</v>
      </c>
      <c r="AC87" s="12">
        <f>VLOOKUP(B87,[9]Sheet1!$A$2:$B$137,2,FALSE)</f>
        <v>4738.2241258517897</v>
      </c>
      <c r="AD87" s="12">
        <f t="shared" si="61"/>
        <v>2842934.4755110741</v>
      </c>
      <c r="AE87" s="2"/>
      <c r="AF87" s="7">
        <f>VLOOKUP($B87,'[9]Subsidiary wise dispatch'!$A$3:$R$138,11,FALSE)*$H87*$O87*365</f>
        <v>0</v>
      </c>
      <c r="AG87" s="7">
        <f>VLOOKUP($B87,'[9]Subsidiary wise dispatch'!$A$3:$R$138,12,FALSE)*$H87*$O87*365</f>
        <v>0</v>
      </c>
      <c r="AH87" s="7">
        <f>VLOOKUP($B87,'[9]Subsidiary wise dispatch'!$A$3:$R$138,13,FALSE)*$H87*$O87*365</f>
        <v>0</v>
      </c>
      <c r="AI87" s="7">
        <f>VLOOKUP($B87,'[9]Subsidiary wise dispatch'!$A$3:$R$138,14,FALSE)*$H87*$O87*365</f>
        <v>0</v>
      </c>
      <c r="AJ87" s="7">
        <f>VLOOKUP($B87,'[9]Subsidiary wise dispatch'!$A$3:$R$138,15,FALSE)*$H87*$O87*365</f>
        <v>0</v>
      </c>
      <c r="AK87" s="7">
        <f>VLOOKUP($B87,'[9]Subsidiary wise dispatch'!$A$3:$R$138,16,FALSE)*$H87*$O87*365</f>
        <v>0</v>
      </c>
      <c r="AL87" s="7">
        <f>VLOOKUP($B87,'[9]Subsidiary wise dispatch'!$A$3:$R$138,17,FALSE)*$H87*$O87*365</f>
        <v>2382865.4074308691</v>
      </c>
      <c r="AM87" s="7">
        <f>VLOOKUP($B87,'[9]Subsidiary wise dispatch'!$A$3:$R$138,18,FALSE)*$H87*$O87*365</f>
        <v>0</v>
      </c>
      <c r="AN87" s="15">
        <f t="shared" si="62"/>
        <v>2382865.4074308691</v>
      </c>
      <c r="AO87" s="6">
        <v>6.7338649205241949E-2</v>
      </c>
      <c r="AP87" s="11">
        <f t="shared" si="63"/>
        <v>0.72241387143843405</v>
      </c>
      <c r="AQ87" s="11">
        <f t="shared" si="64"/>
        <v>0.82422506627216152</v>
      </c>
      <c r="AR87" s="3">
        <f>VLOOKUP(A87,[10]Sheet1!$A$2:$L$542,12,FALSE)</f>
        <v>2.61</v>
      </c>
      <c r="AS87" s="3">
        <f t="shared" si="72"/>
        <v>2.4269828692910669</v>
      </c>
      <c r="AT87" s="3">
        <f t="shared" si="73"/>
        <v>2.4234252659724906</v>
      </c>
      <c r="AU87" s="3">
        <f t="shared" si="65"/>
        <v>3.5576033185762412E-3</v>
      </c>
      <c r="AV87" s="88">
        <f t="shared" si="74"/>
        <v>7.6942440145836968E-2</v>
      </c>
      <c r="AW87" s="32">
        <f t="shared" si="75"/>
        <v>3.0237064198436959E-2</v>
      </c>
      <c r="AX87" s="12">
        <f t="shared" si="66"/>
        <v>950.34490681427974</v>
      </c>
      <c r="AY87" s="12">
        <f t="shared" si="67"/>
        <v>1082.68947182587</v>
      </c>
      <c r="AZ87" s="3">
        <f>VLOOKUP(A87,[5]Analysis!$A$3:$BJ$543,62,FALSE)</f>
        <v>0.86136524815957238</v>
      </c>
      <c r="BA87" s="2"/>
      <c r="BB87" s="2"/>
      <c r="BC87" s="2" t="str">
        <f>VLOOKUP(A87,'[6]FGD status - Jun 2020'!$I$2:$M$449,5,FALSE)</f>
        <v>NIT issued</v>
      </c>
      <c r="BD87" s="2"/>
      <c r="BE87" s="2"/>
      <c r="BF87" s="2">
        <f t="shared" si="68"/>
        <v>680.8769025705484</v>
      </c>
      <c r="BG87" s="2">
        <f t="shared" si="69"/>
        <v>766.70552812728283</v>
      </c>
      <c r="BH87" s="2"/>
      <c r="BI87" s="2"/>
      <c r="BK87">
        <f t="shared" si="70"/>
        <v>447.00299652369995</v>
      </c>
      <c r="BL87">
        <f>VLOOKUP(A87,'[11]Daily coal vs energy req.2'!$C$2:$P$599,14,FALSE)</f>
        <v>0.78</v>
      </c>
      <c r="BM87">
        <f>VLOOKUP(A87,'[11]Daily coal vs energy req.2'!$C$2:$R$599,16,FALSE)</f>
        <v>0.82</v>
      </c>
      <c r="BN87">
        <f>BL87*H87</f>
        <v>468</v>
      </c>
      <c r="BO87">
        <f>BM87*H87</f>
        <v>491.99999999999994</v>
      </c>
      <c r="BP87" s="2" t="str">
        <f>VLOOKUP(A87,'[7]Table 2'!$J$2:$N$449,5,FALSE)</f>
        <v>Bid opened</v>
      </c>
      <c r="BR87">
        <f t="shared" si="76"/>
        <v>897.86469368023427</v>
      </c>
      <c r="BS87">
        <f t="shared" si="77"/>
        <v>1011.0459343766879</v>
      </c>
      <c r="BT87">
        <f>(X87*I87*365*[5]Analysis!BK87)/10^4</f>
        <v>404.39151380156261</v>
      </c>
      <c r="BU87">
        <f>(W87*R87*365*[5]Analysis!BK87)/10^4</f>
        <v>455.36749446026784</v>
      </c>
      <c r="BV87">
        <f>(X87*I87*365*[5]Analysis!BL87)/10^4</f>
        <v>493.47317987867183</v>
      </c>
      <c r="BW87">
        <f>(W87*R87*365*[5]Analysis!BL87)/10^4</f>
        <v>555.6784399164203</v>
      </c>
      <c r="BX87">
        <f t="shared" si="78"/>
        <v>2927214.5091795297</v>
      </c>
      <c r="BY87">
        <f t="shared" si="79"/>
        <v>3296207.4902662667</v>
      </c>
      <c r="BZ87">
        <f t="shared" si="80"/>
        <v>17472343.960060276</v>
      </c>
      <c r="CA87">
        <f t="shared" si="81"/>
        <v>19934755.446674701</v>
      </c>
      <c r="CB87">
        <f t="shared" si="82"/>
        <v>-861931.63550954172</v>
      </c>
      <c r="CC87">
        <f t="shared" si="83"/>
        <v>-1121998.5720000002</v>
      </c>
      <c r="CD87">
        <f t="shared" si="84"/>
        <v>0</v>
      </c>
      <c r="CE87">
        <f t="shared" si="85"/>
        <v>0</v>
      </c>
      <c r="CF87">
        <f t="shared" si="86"/>
        <v>6991951.1391562577</v>
      </c>
      <c r="CG87">
        <f t="shared" si="87"/>
        <v>7977340.4400000004</v>
      </c>
      <c r="CH87">
        <f t="shared" si="88"/>
        <v>477377.2448218558</v>
      </c>
      <c r="CI87">
        <f t="shared" si="89"/>
        <v>544654.950308008</v>
      </c>
      <c r="CJ87">
        <f t="shared" si="90"/>
        <v>-3874335.8919496564</v>
      </c>
      <c r="CK87">
        <f t="shared" si="91"/>
        <v>-4420353.6000000006</v>
      </c>
      <c r="CL87">
        <f t="shared" si="92"/>
        <v>2042295.8007667966</v>
      </c>
      <c r="CM87">
        <f t="shared" si="93"/>
        <v>2330120.5282543167</v>
      </c>
    </row>
    <row r="88" spans="1:91" x14ac:dyDescent="0.2">
      <c r="A88" s="2" t="s">
        <v>102</v>
      </c>
      <c r="B88" s="2" t="str">
        <f t="shared" si="94"/>
        <v>DERANG TPP</v>
      </c>
      <c r="C88" s="2" t="str">
        <f>VLOOKUP($A88,'[1]daily coal, energy reqd'!$C$2:$T$599,17,FALSE)</f>
        <v>Odisha</v>
      </c>
      <c r="D88" s="2" t="str">
        <f>VLOOKUP(C88,'Target PLF'!$I$2:$J$19,2,FALSE)</f>
        <v>ER</v>
      </c>
      <c r="E88" s="2" t="str">
        <f>VLOOKUP(A88,[2]Ownership!$C$2:$D$666,2,FALSE)</f>
        <v>PVT SECTOR</v>
      </c>
      <c r="F88" s="2" t="s">
        <v>543</v>
      </c>
      <c r="G88" s="12">
        <v>6.0917180013689203</v>
      </c>
      <c r="H88" s="2">
        <v>600</v>
      </c>
      <c r="I88" s="2">
        <f>VLOOKUP(A88,'[3]Calculated coal req (reg.)'!$A$2:$I$599,9,FALSE)</f>
        <v>7.01813035918045</v>
      </c>
      <c r="J88" s="2"/>
      <c r="K88" s="11">
        <v>0.48737016383197568</v>
      </c>
      <c r="L88" s="3">
        <f>VLOOKUP(F88,'Target PLF'!$A$2:$B$11,2,FALSE)</f>
        <v>0.85</v>
      </c>
      <c r="M88" s="3">
        <f t="shared" si="71"/>
        <v>0.3626298361680243</v>
      </c>
      <c r="N88" s="2" t="str">
        <f t="shared" si="50"/>
        <v>0.15</v>
      </c>
      <c r="O88" s="2">
        <f t="shared" si="95"/>
        <v>6.4089638181367885</v>
      </c>
      <c r="P88" s="2">
        <f t="shared" si="51"/>
        <v>1403563.0761719567</v>
      </c>
      <c r="Q88" s="2">
        <f t="shared" si="52"/>
        <v>11.454341517693361</v>
      </c>
      <c r="R88" s="2">
        <f t="shared" si="53"/>
        <v>12.24</v>
      </c>
      <c r="S88" s="2">
        <f t="shared" si="54"/>
        <v>2508500.7923748465</v>
      </c>
      <c r="T88" s="2" t="str">
        <f>VLOOKUP(A88,'[4]CEA vs MERIT comp. &amp; NPA marker'!$C$2:$K$735,9,FALSE)</f>
        <v>Contracted</v>
      </c>
      <c r="U88" s="3">
        <f>VLOOKUP(B88,'[8]Import-Domestic share'!$A$208:$F$406,6,FALSE)</f>
        <v>1.0423923581497694E-3</v>
      </c>
      <c r="V88" s="3">
        <f t="shared" si="55"/>
        <v>1463.0634247828305</v>
      </c>
      <c r="W88" s="2">
        <f t="shared" si="56"/>
        <v>2628.1601099775671</v>
      </c>
      <c r="X88" s="2">
        <f t="shared" si="57"/>
        <v>2748.0350900754347</v>
      </c>
      <c r="Y88" s="6">
        <f t="shared" si="58"/>
        <v>0.32722511719704195</v>
      </c>
      <c r="Z88" s="2">
        <f t="shared" si="59"/>
        <v>3328293.4616405293</v>
      </c>
      <c r="AA88" s="2">
        <f t="shared" si="60"/>
        <v>1995409.7020794335</v>
      </c>
      <c r="AB88" s="2" t="s">
        <v>598</v>
      </c>
      <c r="AC88" s="12">
        <f>VLOOKUP(B88,[9]Sheet1!$A$2:$B$137,2,FALSE)</f>
        <v>3527.8043365648145</v>
      </c>
      <c r="AD88" s="12">
        <f t="shared" si="61"/>
        <v>2116682.6019388889</v>
      </c>
      <c r="AE88" s="2"/>
      <c r="AF88" s="7">
        <f>VLOOKUP($B88,'[9]Subsidiary wise dispatch'!$A$3:$R$138,11,FALSE)*$H88*$O88*365</f>
        <v>0</v>
      </c>
      <c r="AG88" s="7">
        <f>VLOOKUP($B88,'[9]Subsidiary wise dispatch'!$A$3:$R$138,12,FALSE)*$H88*$O88*365</f>
        <v>0</v>
      </c>
      <c r="AH88" s="7">
        <f>VLOOKUP($B88,'[9]Subsidiary wise dispatch'!$A$3:$R$138,13,FALSE)*$H88*$O88*365</f>
        <v>0</v>
      </c>
      <c r="AI88" s="7">
        <f>VLOOKUP($B88,'[9]Subsidiary wise dispatch'!$A$3:$R$138,14,FALSE)*$H88*$O88*365</f>
        <v>1403365.1554316639</v>
      </c>
      <c r="AJ88" s="7">
        <f>VLOOKUP($B88,'[9]Subsidiary wise dispatch'!$A$3:$R$138,15,FALSE)*$H88*$O88*365</f>
        <v>0</v>
      </c>
      <c r="AK88" s="7">
        <f>VLOOKUP($B88,'[9]Subsidiary wise dispatch'!$A$3:$R$138,16,FALSE)*$H88*$O88*365</f>
        <v>0</v>
      </c>
      <c r="AL88" s="7">
        <f>VLOOKUP($B88,'[9]Subsidiary wise dispatch'!$A$3:$R$138,17,FALSE)*$H88*$O88*365</f>
        <v>197.92074029301008</v>
      </c>
      <c r="AM88" s="7">
        <f>VLOOKUP($B88,'[9]Subsidiary wise dispatch'!$A$3:$R$138,18,FALSE)*$H88*$O88*365</f>
        <v>0</v>
      </c>
      <c r="AN88" s="15">
        <f t="shared" si="62"/>
        <v>1403563.076171957</v>
      </c>
      <c r="AO88" s="6">
        <v>5.9866711601157967E-2</v>
      </c>
      <c r="AP88" s="11">
        <f t="shared" si="63"/>
        <v>0.42015238619238715</v>
      </c>
      <c r="AQ88" s="11">
        <f t="shared" si="64"/>
        <v>0.73276854999817354</v>
      </c>
      <c r="AR88" s="3">
        <f>VLOOKUP(A88,[10]Sheet1!$A$2:$L$542,12,FALSE)</f>
        <v>0.995304347826095</v>
      </c>
      <c r="AS88" s="3">
        <f t="shared" si="72"/>
        <v>1.7662377077875002</v>
      </c>
      <c r="AT88" s="3">
        <f t="shared" si="73"/>
        <v>1.7539505223274687</v>
      </c>
      <c r="AU88" s="3">
        <f t="shared" si="65"/>
        <v>1.2287185460031491E-2</v>
      </c>
      <c r="AV88" s="88">
        <f t="shared" si="74"/>
        <v>0.26574239654065157</v>
      </c>
      <c r="AW88" s="32">
        <f t="shared" si="75"/>
        <v>0.14350005662494542</v>
      </c>
      <c r="AX88" s="12">
        <f t="shared" si="66"/>
        <v>452.44255646717511</v>
      </c>
      <c r="AY88" s="12">
        <f t="shared" si="67"/>
        <v>783.59493535501986</v>
      </c>
      <c r="AZ88" s="3">
        <f>VLOOKUP(A88,[5]Analysis!$A$3:$BJ$543,62,FALSE)</f>
        <v>0.518096270745668</v>
      </c>
      <c r="BA88" s="2"/>
      <c r="BB88" s="2"/>
      <c r="BC88" s="2" t="str">
        <f>VLOOKUP(A88,'[6]FGD status - Jun 2020'!$I$2:$M$449,5,FALSE)</f>
        <v>Technical Bid evaluation un</v>
      </c>
      <c r="BD88" s="2"/>
      <c r="BE88" s="2"/>
      <c r="BF88" s="2">
        <f t="shared" si="68"/>
        <v>618.02359075616744</v>
      </c>
      <c r="BG88" s="2">
        <f t="shared" si="69"/>
        <v>1030.847887584076</v>
      </c>
      <c r="BH88" s="2"/>
      <c r="BI88" s="2"/>
      <c r="BK88">
        <f t="shared" si="70"/>
        <v>292.42209829918539</v>
      </c>
      <c r="BL88">
        <f>VLOOKUP(A88,'[11]Daily coal vs energy req.2'!$C$2:$P$599,14,FALSE)</f>
        <v>0.61</v>
      </c>
      <c r="BM88">
        <f>VLOOKUP(A88,'[11]Daily coal vs energy req.2'!$C$2:$R$599,16,FALSE)</f>
        <v>0.52</v>
      </c>
      <c r="BN88">
        <f>BL88*H88</f>
        <v>366</v>
      </c>
      <c r="BO88">
        <f>BM88*H88</f>
        <v>312</v>
      </c>
      <c r="BP88" s="2" t="str">
        <f>VLOOKUP(A88,'[7]Table 2'!$J$2:$N$449,5,FALSE)</f>
        <v>Technical specification prep</v>
      </c>
      <c r="BR88">
        <f t="shared" si="76"/>
        <v>364.70946598447506</v>
      </c>
      <c r="BS88">
        <f t="shared" si="77"/>
        <v>608.32626491169378</v>
      </c>
      <c r="BT88">
        <f>(X88*I88*365*[5]Analysis!BK88)/10^4</f>
        <v>287.41090083413769</v>
      </c>
      <c r="BU88">
        <f>(W88*R88*365*[5]Analysis!BK88)/10^4</f>
        <v>479.39419210681729</v>
      </c>
      <c r="BV88">
        <f>(X88*I88*365*[5]Analysis!BL88)/10^4</f>
        <v>77.29856515033741</v>
      </c>
      <c r="BW88">
        <f>(W88*R88*365*[5]Analysis!BL88)/10^4</f>
        <v>128.93207280487653</v>
      </c>
      <c r="BX88">
        <f t="shared" si="78"/>
        <v>1976822.0206095381</v>
      </c>
      <c r="BY88">
        <f t="shared" si="79"/>
        <v>3297289.6739778556</v>
      </c>
      <c r="BZ88">
        <f t="shared" si="80"/>
        <v>6875021.2577857338</v>
      </c>
      <c r="CA88">
        <f t="shared" si="81"/>
        <v>11990409.965129817</v>
      </c>
      <c r="CB88">
        <f t="shared" si="82"/>
        <v>-368869.14594553452</v>
      </c>
      <c r="CC88">
        <f t="shared" si="83"/>
        <v>-1121998.5720000002</v>
      </c>
      <c r="CD88">
        <f t="shared" si="84"/>
        <v>-2590001.7075255336</v>
      </c>
      <c r="CE88">
        <f t="shared" si="85"/>
        <v>-4517103.4560000002</v>
      </c>
      <c r="CF88">
        <f t="shared" si="86"/>
        <v>4574020.8437485239</v>
      </c>
      <c r="CG88">
        <f t="shared" si="87"/>
        <v>7977340.4400000004</v>
      </c>
      <c r="CH88">
        <f t="shared" si="88"/>
        <v>316560.6718525046</v>
      </c>
      <c r="CI88">
        <f t="shared" si="89"/>
        <v>552098.98151950666</v>
      </c>
      <c r="CJ88">
        <f t="shared" si="90"/>
        <v>-2534527.597914428</v>
      </c>
      <c r="CK88">
        <f t="shared" si="91"/>
        <v>-4420353.6000000006</v>
      </c>
      <c r="CL88">
        <f t="shared" si="92"/>
        <v>1187789.282470871</v>
      </c>
      <c r="CM88">
        <f t="shared" si="93"/>
        <v>2071568.9326610365</v>
      </c>
    </row>
    <row r="89" spans="1:91" x14ac:dyDescent="0.2">
      <c r="A89" s="2" t="s">
        <v>107</v>
      </c>
      <c r="B89" s="2" t="str">
        <f t="shared" si="94"/>
        <v>BARADARHA TPS</v>
      </c>
      <c r="C89" s="2" t="str">
        <f>VLOOKUP($A89,'[1]daily coal, energy reqd'!$C$2:$T$599,17,FALSE)</f>
        <v>Chhatisgarh</v>
      </c>
      <c r="D89" s="2" t="str">
        <f>VLOOKUP(C89,'Target PLF'!$I$2:$J$19,2,FALSE)</f>
        <v>WR</v>
      </c>
      <c r="E89" s="2" t="str">
        <f>VLOOKUP(A89,[2]Ownership!$C$2:$D$666,2,FALSE)</f>
        <v>PVT SECTOR</v>
      </c>
      <c r="F89" s="2" t="s">
        <v>543</v>
      </c>
      <c r="G89" s="12">
        <v>6.2532511978097096</v>
      </c>
      <c r="H89" s="2">
        <v>600</v>
      </c>
      <c r="I89" s="2">
        <f>VLOOKUP(A89,'[3]Calculated coal req (reg.)'!$A$2:$I$599,9,FALSE)</f>
        <v>8.9538869974432505</v>
      </c>
      <c r="J89" s="2"/>
      <c r="K89" s="11">
        <v>0.62179770815578128</v>
      </c>
      <c r="L89" s="3">
        <f>VLOOKUP(F89,'Target PLF'!$A$2:$B$11,2,FALSE)</f>
        <v>0.85</v>
      </c>
      <c r="M89" s="3">
        <f t="shared" si="71"/>
        <v>0.2282022918442187</v>
      </c>
      <c r="N89" s="2" t="str">
        <f t="shared" si="50"/>
        <v>0.15</v>
      </c>
      <c r="O89" s="2">
        <f t="shared" si="95"/>
        <v>8.2844111345744551</v>
      </c>
      <c r="P89" s="2">
        <f t="shared" si="51"/>
        <v>1814286.0384718056</v>
      </c>
      <c r="Q89" s="2">
        <f t="shared" si="52"/>
        <v>11.459458081690624</v>
      </c>
      <c r="R89" s="2">
        <f t="shared" si="53"/>
        <v>12.24</v>
      </c>
      <c r="S89" s="2">
        <f t="shared" si="54"/>
        <v>2509621.3198902463</v>
      </c>
      <c r="T89" s="2" t="str">
        <f>VLOOKUP(A89,'[4]CEA vs MERIT comp. &amp; NPA marker'!$C$2:$K$735,9,FALSE)</f>
        <v>Contracted</v>
      </c>
      <c r="U89" s="3">
        <f>VLOOKUP(B89,'[8]Import-Domestic share'!$A$208:$F$406,6,FALSE)</f>
        <v>0</v>
      </c>
      <c r="V89" s="3">
        <f t="shared" si="55"/>
        <v>0</v>
      </c>
      <c r="W89" s="2">
        <f t="shared" si="56"/>
        <v>2629.1592971471591</v>
      </c>
      <c r="X89" s="2">
        <f t="shared" si="57"/>
        <v>2704.5964026048528</v>
      </c>
      <c r="Y89" s="6">
        <f t="shared" si="58"/>
        <v>0.32710075838050834</v>
      </c>
      <c r="Z89" s="2">
        <f t="shared" si="59"/>
        <v>2880011.2017553719</v>
      </c>
      <c r="AA89" s="2">
        <f t="shared" si="60"/>
        <v>2167254.6030893615</v>
      </c>
      <c r="AB89" s="2" t="s">
        <v>598</v>
      </c>
      <c r="AC89" s="12">
        <f>VLOOKUP(B89,[9]Sheet1!$A$2:$B$137,2,FALSE)</f>
        <v>4078.467496506757</v>
      </c>
      <c r="AD89" s="12">
        <f t="shared" si="61"/>
        <v>2447080.4979040544</v>
      </c>
      <c r="AE89" s="2"/>
      <c r="AF89" s="7">
        <f>VLOOKUP($B89,'[9]Subsidiary wise dispatch'!$A$3:$R$138,11,FALSE)*$H89*$O89*365</f>
        <v>27493.532721719985</v>
      </c>
      <c r="AG89" s="7">
        <f>VLOOKUP($B89,'[9]Subsidiary wise dispatch'!$A$3:$R$138,12,FALSE)*$H89*$O89*365</f>
        <v>83821.890626529625</v>
      </c>
      <c r="AH89" s="7">
        <f>VLOOKUP($B89,'[9]Subsidiary wise dispatch'!$A$3:$R$138,13,FALSE)*$H89*$O89*365</f>
        <v>9799.9738968247366</v>
      </c>
      <c r="AI89" s="7">
        <f>VLOOKUP($B89,'[9]Subsidiary wise dispatch'!$A$3:$R$138,14,FALSE)*$H89*$O89*365</f>
        <v>394795.59974367078</v>
      </c>
      <c r="AJ89" s="7">
        <f>VLOOKUP($B89,'[9]Subsidiary wise dispatch'!$A$3:$R$138,15,FALSE)*$H89*$O89*365</f>
        <v>0</v>
      </c>
      <c r="AK89" s="7">
        <f>VLOOKUP($B89,'[9]Subsidiary wise dispatch'!$A$3:$R$138,16,FALSE)*$H89*$O89*365</f>
        <v>0</v>
      </c>
      <c r="AL89" s="7">
        <f>VLOOKUP($B89,'[9]Subsidiary wise dispatch'!$A$3:$R$138,17,FALSE)*$H89*$O89*365</f>
        <v>1298375.0414830602</v>
      </c>
      <c r="AM89" s="7">
        <f>VLOOKUP($B89,'[9]Subsidiary wise dispatch'!$A$3:$R$138,18,FALSE)*$H89*$O89*365</f>
        <v>0</v>
      </c>
      <c r="AN89" s="15">
        <f t="shared" si="62"/>
        <v>1814286.0384718054</v>
      </c>
      <c r="AO89" s="6">
        <v>5.7818434756539937E-2</v>
      </c>
      <c r="AP89" s="11">
        <f t="shared" si="63"/>
        <v>0.51769973117910384</v>
      </c>
      <c r="AQ89" s="11">
        <f t="shared" si="64"/>
        <v>0.70769764142004887</v>
      </c>
      <c r="AR89" s="3">
        <f>VLOOKUP(A89,[10]Sheet1!$A$2:$L$542,12,FALSE)</f>
        <v>1.7560228523892201</v>
      </c>
      <c r="AS89" s="3">
        <f t="shared" si="72"/>
        <v>1.8643603651342686</v>
      </c>
      <c r="AT89" s="3">
        <f t="shared" si="73"/>
        <v>1.8566280618248552</v>
      </c>
      <c r="AU89" s="3">
        <f t="shared" si="65"/>
        <v>7.7323033094134352E-3</v>
      </c>
      <c r="AV89" s="88">
        <f t="shared" si="74"/>
        <v>0.16723120350928036</v>
      </c>
      <c r="AW89" s="32">
        <f t="shared" si="75"/>
        <v>8.5551539918292591E-2</v>
      </c>
      <c r="AX89" s="12">
        <f t="shared" si="66"/>
        <v>609.30442916523612</v>
      </c>
      <c r="AY89" s="12">
        <f t="shared" si="67"/>
        <v>829.46715290087229</v>
      </c>
      <c r="AZ89" s="3">
        <f>VLOOKUP(A89,[5]Analysis!$A$3:$BJ$543,62,FALSE)</f>
        <v>0.57477623119774146</v>
      </c>
      <c r="BA89" s="2"/>
      <c r="BB89" s="2"/>
      <c r="BC89" s="2" t="str">
        <f>VLOOKUP(A89,'[6]FGD status - Jun 2020'!$I$2:$M$449,5,FALSE)</f>
        <v>NIT issued</v>
      </c>
      <c r="BD89" s="2"/>
      <c r="BE89" s="2"/>
      <c r="BF89" s="2">
        <f t="shared" si="68"/>
        <v>670.76529965615737</v>
      </c>
      <c r="BG89" s="2">
        <f t="shared" si="69"/>
        <v>891.36346694328768</v>
      </c>
      <c r="BH89" s="2"/>
      <c r="BI89" s="2"/>
      <c r="BK89">
        <f t="shared" si="70"/>
        <v>373.07862489346877</v>
      </c>
      <c r="BL89" t="str">
        <f>VLOOKUP(A89,'[11]Daily coal vs energy req.2'!$C$2:$P$599,14,FALSE)</f>
        <v/>
      </c>
      <c r="BM89" t="str">
        <f>VLOOKUP(A89,'[11]Daily coal vs energy req.2'!$C$2:$R$599,16,FALSE)</f>
        <v/>
      </c>
      <c r="BP89" s="2" t="str">
        <f>VLOOKUP(A89,'[7]Table 2'!$J$2:$N$449,5,FALSE)</f>
        <v>Bid Awarded</v>
      </c>
      <c r="BR89">
        <f t="shared" si="76"/>
        <v>508.04916270536484</v>
      </c>
      <c r="BS89">
        <f t="shared" si="77"/>
        <v>675.13400481335009</v>
      </c>
      <c r="BT89">
        <f>(X89*I89*365*[5]Analysis!BK89)/10^4</f>
        <v>347.43719250417229</v>
      </c>
      <c r="BU89">
        <f>(W89*R89*365*[5]Analysis!BK89)/10^4</f>
        <v>461.70071799229004</v>
      </c>
      <c r="BV89">
        <f>(X89*I89*365*[5]Analysis!BL89)/10^4</f>
        <v>160.61197020119249</v>
      </c>
      <c r="BW89">
        <f>(W89*R89*365*[5]Analysis!BL89)/10^4</f>
        <v>213.43328682106008</v>
      </c>
      <c r="BX89">
        <f t="shared" si="78"/>
        <v>2482206.6826680764</v>
      </c>
      <c r="BY89">
        <f t="shared" si="79"/>
        <v>3298543.2542008259</v>
      </c>
      <c r="BZ89">
        <f t="shared" si="80"/>
        <v>9730889.8773131128</v>
      </c>
      <c r="CA89">
        <f t="shared" si="81"/>
        <v>13302166.101975914</v>
      </c>
      <c r="CB89">
        <f t="shared" si="82"/>
        <v>-600416.59421536163</v>
      </c>
      <c r="CC89">
        <f t="shared" si="83"/>
        <v>-1121998.5720000002</v>
      </c>
      <c r="CD89">
        <f t="shared" si="84"/>
        <v>-3304381.8546392457</v>
      </c>
      <c r="CE89">
        <f t="shared" si="85"/>
        <v>-4517103.4560000002</v>
      </c>
      <c r="CF89">
        <f t="shared" si="86"/>
        <v>5835637.6503181551</v>
      </c>
      <c r="CG89">
        <f t="shared" si="87"/>
        <v>7977340.4400000004</v>
      </c>
      <c r="CH89">
        <f t="shared" si="88"/>
        <v>414584.65305009257</v>
      </c>
      <c r="CI89">
        <f t="shared" si="89"/>
        <v>566738.90956878767</v>
      </c>
      <c r="CJ89">
        <f t="shared" si="90"/>
        <v>-3233606.7502566553</v>
      </c>
      <c r="CK89">
        <f t="shared" si="91"/>
        <v>-4420353.6000000006</v>
      </c>
      <c r="CL89">
        <f t="shared" si="92"/>
        <v>1463559.9188314984</v>
      </c>
      <c r="CM89">
        <f t="shared" si="93"/>
        <v>2000692.3709907003</v>
      </c>
    </row>
    <row r="90" spans="1:91" x14ac:dyDescent="0.2">
      <c r="A90" s="2" t="s">
        <v>105</v>
      </c>
      <c r="B90" s="2" t="str">
        <f t="shared" si="94"/>
        <v>OP JINDAL TPS2</v>
      </c>
      <c r="C90" s="2" t="str">
        <f>VLOOKUP($A90,'[1]daily coal, energy reqd'!$C$2:$T$599,17,FALSE)</f>
        <v>Chhatisgarh</v>
      </c>
      <c r="D90" s="2" t="str">
        <f>VLOOKUP(C90,'Target PLF'!$I$2:$J$19,2,FALSE)</f>
        <v>WR</v>
      </c>
      <c r="E90" s="2" t="str">
        <f>VLOOKUP(A90,[2]Ownership!$C$2:$D$666,2,FALSE)</f>
        <v>PVT SECTOR</v>
      </c>
      <c r="F90" s="2" t="s">
        <v>543</v>
      </c>
      <c r="G90" s="12">
        <v>6.1765913757700197</v>
      </c>
      <c r="H90" s="2">
        <v>600</v>
      </c>
      <c r="I90" s="2">
        <f>VLOOKUP(A90,'[3]Calculated coal req (reg.)'!$A$2:$I$599,9,FALSE)</f>
        <v>1.8180433328378101</v>
      </c>
      <c r="J90" s="2"/>
      <c r="K90" s="11">
        <v>0.12625300922484792</v>
      </c>
      <c r="L90" s="3">
        <f>VLOOKUP(F90,'Target PLF'!$A$2:$B$11,2,FALSE)</f>
        <v>0.85</v>
      </c>
      <c r="M90" s="3">
        <f t="shared" si="71"/>
        <v>0.72374699077515203</v>
      </c>
      <c r="N90" s="2" t="str">
        <f t="shared" si="50"/>
        <v>0.15</v>
      </c>
      <c r="O90" s="2">
        <f t="shared" si="95"/>
        <v>1.3873208750755921</v>
      </c>
      <c r="P90" s="2">
        <f t="shared" si="51"/>
        <v>303823.27164155466</v>
      </c>
      <c r="Q90" s="2">
        <f t="shared" si="52"/>
        <v>11.457029881827516</v>
      </c>
      <c r="R90" s="2">
        <f t="shared" si="53"/>
        <v>12.24</v>
      </c>
      <c r="S90" s="2">
        <f t="shared" si="54"/>
        <v>2509089.5441202261</v>
      </c>
      <c r="T90" s="2" t="str">
        <f>VLOOKUP(A90,'[4]CEA vs MERIT comp. &amp; NPA marker'!$C$2:$K$735,9,FALSE)</f>
        <v>Contracted</v>
      </c>
      <c r="U90" s="3">
        <f>VLOOKUP(B90,'[8]Import-Domestic share'!$A$208:$F$406,6,FALSE)</f>
        <v>8.5516716266012364E-3</v>
      </c>
      <c r="V90" s="3">
        <f t="shared" si="55"/>
        <v>2598.196851598243</v>
      </c>
      <c r="W90" s="2">
        <f t="shared" si="56"/>
        <v>2630.5015971980297</v>
      </c>
      <c r="X90" s="2">
        <f t="shared" si="57"/>
        <v>2869.7515084349607</v>
      </c>
      <c r="Y90" s="6">
        <f t="shared" si="58"/>
        <v>0.32693384444854889</v>
      </c>
      <c r="Z90" s="2">
        <f t="shared" si="59"/>
        <v>3006143.9365332294</v>
      </c>
      <c r="AA90" s="2">
        <f t="shared" si="60"/>
        <v>487122.63094191242</v>
      </c>
      <c r="AB90" s="2" t="s">
        <v>598</v>
      </c>
      <c r="AC90" s="12">
        <f>VLOOKUP(B90,[9]Sheet1!$A$2:$B$137,2,FALSE)</f>
        <v>3909.3367396089129</v>
      </c>
      <c r="AD90" s="12">
        <f t="shared" si="61"/>
        <v>2345602.0437653479</v>
      </c>
      <c r="AE90" s="2"/>
      <c r="AF90" s="7">
        <f>VLOOKUP($B90,'[9]Subsidiary wise dispatch'!$A$3:$R$138,11,FALSE)*$H90*$O90*365</f>
        <v>0</v>
      </c>
      <c r="AG90" s="7">
        <f>VLOOKUP($B90,'[9]Subsidiary wise dispatch'!$A$3:$R$138,12,FALSE)*$H90*$O90*365</f>
        <v>0</v>
      </c>
      <c r="AH90" s="7">
        <f>VLOOKUP($B90,'[9]Subsidiary wise dispatch'!$A$3:$R$138,13,FALSE)*$H90*$O90*365</f>
        <v>0</v>
      </c>
      <c r="AI90" s="7">
        <f>VLOOKUP($B90,'[9]Subsidiary wise dispatch'!$A$3:$R$138,14,FALSE)*$H90*$O90*365</f>
        <v>149828.42996185421</v>
      </c>
      <c r="AJ90" s="7">
        <f>VLOOKUP($B90,'[9]Subsidiary wise dispatch'!$A$3:$R$138,15,FALSE)*$H90*$O90*365</f>
        <v>0</v>
      </c>
      <c r="AK90" s="7">
        <f>VLOOKUP($B90,'[9]Subsidiary wise dispatch'!$A$3:$R$138,16,FALSE)*$H90*$O90*365</f>
        <v>0</v>
      </c>
      <c r="AL90" s="7">
        <f>VLOOKUP($B90,'[9]Subsidiary wise dispatch'!$A$3:$R$138,17,FALSE)*$H90*$O90*365</f>
        <v>153994.84167970045</v>
      </c>
      <c r="AM90" s="7">
        <f>VLOOKUP($B90,'[9]Subsidiary wise dispatch'!$A$3:$R$138,18,FALSE)*$H90*$O90*365</f>
        <v>0</v>
      </c>
      <c r="AN90" s="15">
        <f t="shared" si="62"/>
        <v>303823.27164155466</v>
      </c>
      <c r="AO90" s="6">
        <v>5.7803709694753805E-2</v>
      </c>
      <c r="AP90" s="11">
        <f t="shared" si="63"/>
        <v>0.10508964902383944</v>
      </c>
      <c r="AQ90" s="11">
        <f t="shared" si="64"/>
        <v>0.7075174066637866</v>
      </c>
      <c r="AR90" s="3">
        <f>VLOOKUP(A90,[10]Sheet1!$A$2:$L$542,12,FALSE)</f>
        <v>1.5060451098035099</v>
      </c>
      <c r="AS90" s="3">
        <f t="shared" si="72"/>
        <v>1.9392730156280615</v>
      </c>
      <c r="AT90" s="3">
        <f t="shared" si="73"/>
        <v>1.9147498997262762</v>
      </c>
      <c r="AU90" s="3">
        <f t="shared" si="65"/>
        <v>2.4523115901785353E-2</v>
      </c>
      <c r="AV90" s="88">
        <f t="shared" si="74"/>
        <v>0.53037626977984698</v>
      </c>
      <c r="AW90" s="32">
        <f t="shared" si="75"/>
        <v>0.26084679660962218</v>
      </c>
      <c r="AX90" s="12">
        <f t="shared" si="66"/>
        <v>128.68740674644283</v>
      </c>
      <c r="AY90" s="12">
        <f t="shared" si="67"/>
        <v>855.43366520171116</v>
      </c>
      <c r="AZ90" s="3">
        <f>VLOOKUP(A90,[5]Analysis!$A$3:$BJ$543,62,FALSE)</f>
        <v>0.60576521629973445</v>
      </c>
      <c r="BA90" s="2"/>
      <c r="BB90" s="2"/>
      <c r="BC90" s="2" t="e">
        <f>VLOOKUP(A90,'[6]FGD status - Jun 2020'!$I$2:$M$449,5,FALSE)</f>
        <v>#N/A</v>
      </c>
      <c r="BD90" s="2"/>
      <c r="BE90" s="2"/>
      <c r="BF90" s="2">
        <f t="shared" si="68"/>
        <v>151.65425052669329</v>
      </c>
      <c r="BG90" s="2">
        <f t="shared" si="69"/>
        <v>935.89268227752302</v>
      </c>
      <c r="BH90" s="2"/>
      <c r="BI90" s="2"/>
      <c r="BK90">
        <f t="shared" si="70"/>
        <v>75.751805534908755</v>
      </c>
      <c r="BL90">
        <f>VLOOKUP(A90,'[11]Daily coal vs energy req.2'!$C$2:$P$599,14,FALSE)</f>
        <v>0.46</v>
      </c>
      <c r="BM90">
        <f>VLOOKUP(A90,'[11]Daily coal vs energy req.2'!$C$2:$R$599,16,FALSE)</f>
        <v>0.36</v>
      </c>
      <c r="BN90">
        <f>BL90*H90</f>
        <v>276</v>
      </c>
      <c r="BO90">
        <f>BM90*H90</f>
        <v>216</v>
      </c>
      <c r="BP90" s="2" t="str">
        <f>VLOOKUP(A90,'[7]Table 2'!$J$2:$N$449,5,FALSE)</f>
        <v>Bid opened</v>
      </c>
      <c r="BR90">
        <f t="shared" si="76"/>
        <v>115.35746922905226</v>
      </c>
      <c r="BS90">
        <f t="shared" si="77"/>
        <v>711.89703501598649</v>
      </c>
      <c r="BT90">
        <f>(X90*I90*365*[5]Analysis!BK90)/10^4</f>
        <v>75.752575634720614</v>
      </c>
      <c r="BU90">
        <f>(W90*R90*365*[5]Analysis!BK90)/10^4</f>
        <v>467.48627851832526</v>
      </c>
      <c r="BV90">
        <f>(X90*I90*365*[5]Analysis!BL90)/10^4</f>
        <v>39.604893594331664</v>
      </c>
      <c r="BW90">
        <f>(W90*R90*365*[5]Analysis!BL90)/10^4</f>
        <v>244.41075649766125</v>
      </c>
      <c r="BX90">
        <f t="shared" si="78"/>
        <v>534776.59117317141</v>
      </c>
      <c r="BY90">
        <f t="shared" si="79"/>
        <v>3300227.3038446479</v>
      </c>
      <c r="BZ90">
        <f t="shared" si="80"/>
        <v>2082335.5364331214</v>
      </c>
      <c r="CA90">
        <f t="shared" si="81"/>
        <v>14019350.642295832</v>
      </c>
      <c r="CB90">
        <f t="shared" si="82"/>
        <v>-24753.574950227594</v>
      </c>
      <c r="CC90">
        <f t="shared" si="83"/>
        <v>-1121998.5720000002</v>
      </c>
      <c r="CD90">
        <f t="shared" si="84"/>
        <v>-670938.71094112995</v>
      </c>
      <c r="CE90">
        <f t="shared" si="85"/>
        <v>-4517103.4560000002</v>
      </c>
      <c r="CF90">
        <f t="shared" si="86"/>
        <v>1184897.9248953792</v>
      </c>
      <c r="CG90">
        <f t="shared" si="87"/>
        <v>7977340.4400000004</v>
      </c>
      <c r="CH90">
        <f t="shared" si="88"/>
        <v>83147.431599295</v>
      </c>
      <c r="CI90">
        <f t="shared" si="89"/>
        <v>559791.14710472268</v>
      </c>
      <c r="CJ90">
        <f t="shared" si="90"/>
        <v>-656568.16922104673</v>
      </c>
      <c r="CK90">
        <f t="shared" si="91"/>
        <v>-4420353.6000000006</v>
      </c>
      <c r="CL90">
        <f t="shared" si="92"/>
        <v>297093.06173495116</v>
      </c>
      <c r="CM90">
        <f t="shared" si="93"/>
        <v>2000182.8394044177</v>
      </c>
    </row>
    <row r="91" spans="1:91" x14ac:dyDescent="0.2">
      <c r="A91" s="2" t="s">
        <v>104</v>
      </c>
      <c r="B91" s="2" t="str">
        <f t="shared" si="94"/>
        <v>OP JINDAL TPS2</v>
      </c>
      <c r="C91" s="2" t="str">
        <f>VLOOKUP($A91,'[1]daily coal, energy reqd'!$C$2:$T$599,17,FALSE)</f>
        <v>Chhatisgarh</v>
      </c>
      <c r="D91" s="2" t="str">
        <f>VLOOKUP(C91,'Target PLF'!$I$2:$J$19,2,FALSE)</f>
        <v>WR</v>
      </c>
      <c r="E91" s="2" t="str">
        <f>VLOOKUP(A91,[2]Ownership!$C$2:$D$666,2,FALSE)</f>
        <v>PVT SECTOR</v>
      </c>
      <c r="F91" s="2" t="s">
        <v>543</v>
      </c>
      <c r="G91" s="12">
        <v>6.1765913757700197</v>
      </c>
      <c r="H91" s="2">
        <v>600</v>
      </c>
      <c r="I91" s="2">
        <f>VLOOKUP(A91,'[3]Calculated coal req (reg.)'!$A$2:$I$599,9,FALSE)</f>
        <v>7.6945931914449996</v>
      </c>
      <c r="J91" s="2"/>
      <c r="K91" s="11">
        <v>0.53434674940590277</v>
      </c>
      <c r="L91" s="3">
        <f>VLOOKUP(F91,'Target PLF'!$A$2:$B$11,2,FALSE)</f>
        <v>0.85</v>
      </c>
      <c r="M91" s="3">
        <f t="shared" si="71"/>
        <v>0.31565325059409721</v>
      </c>
      <c r="N91" s="2" t="str">
        <f t="shared" si="50"/>
        <v>0.15</v>
      </c>
      <c r="O91" s="2">
        <f t="shared" si="95"/>
        <v>7.0652515103366635</v>
      </c>
      <c r="P91" s="2">
        <f t="shared" si="51"/>
        <v>1547290.0807637291</v>
      </c>
      <c r="Q91" s="2">
        <f t="shared" si="52"/>
        <v>11.457029881827516</v>
      </c>
      <c r="R91" s="2">
        <f t="shared" si="53"/>
        <v>12.24</v>
      </c>
      <c r="S91" s="2">
        <f t="shared" si="54"/>
        <v>2509089.5441202261</v>
      </c>
      <c r="T91" s="2" t="str">
        <f>VLOOKUP(A91,'[4]CEA vs MERIT comp. &amp; NPA marker'!$C$2:$K$735,9,FALSE)</f>
        <v>Contracted</v>
      </c>
      <c r="U91" s="3">
        <f>VLOOKUP(B91,'[8]Import-Domestic share'!$A$208:$F$406,6,FALSE)</f>
        <v>8.5516716266012364E-3</v>
      </c>
      <c r="V91" s="3">
        <f t="shared" si="55"/>
        <v>13231.91668178872</v>
      </c>
      <c r="W91" s="2">
        <f t="shared" si="56"/>
        <v>2630.5015971980297</v>
      </c>
      <c r="X91" s="2">
        <f t="shared" si="57"/>
        <v>2734.8474710308215</v>
      </c>
      <c r="Y91" s="6">
        <f t="shared" si="58"/>
        <v>0.32693384444854889</v>
      </c>
      <c r="Z91" s="2">
        <f t="shared" si="59"/>
        <v>3006143.9365332294</v>
      </c>
      <c r="AA91" s="2">
        <f t="shared" si="60"/>
        <v>1964755.6985085718</v>
      </c>
      <c r="AB91" s="2" t="s">
        <v>598</v>
      </c>
      <c r="AC91" s="12">
        <f>VLOOKUP(B91,[9]Sheet1!$A$2:$B$137,2,FALSE)</f>
        <v>3909.3367396089129</v>
      </c>
      <c r="AD91" s="12">
        <f t="shared" si="61"/>
        <v>2345602.0437653479</v>
      </c>
      <c r="AE91" s="2"/>
      <c r="AF91" s="7">
        <f>VLOOKUP($B91,'[9]Subsidiary wise dispatch'!$A$3:$R$138,11,FALSE)*$H91*$O91*365</f>
        <v>0</v>
      </c>
      <c r="AG91" s="7">
        <f>VLOOKUP($B91,'[9]Subsidiary wise dispatch'!$A$3:$R$138,12,FALSE)*$H91*$O91*365</f>
        <v>0</v>
      </c>
      <c r="AH91" s="7">
        <f>VLOOKUP($B91,'[9]Subsidiary wise dispatch'!$A$3:$R$138,13,FALSE)*$H91*$O91*365</f>
        <v>0</v>
      </c>
      <c r="AI91" s="7">
        <f>VLOOKUP($B91,'[9]Subsidiary wise dispatch'!$A$3:$R$138,14,FALSE)*$H91*$O91*365</f>
        <v>763035.83410123631</v>
      </c>
      <c r="AJ91" s="7">
        <f>VLOOKUP($B91,'[9]Subsidiary wise dispatch'!$A$3:$R$138,15,FALSE)*$H91*$O91*365</f>
        <v>0</v>
      </c>
      <c r="AK91" s="7">
        <f>VLOOKUP($B91,'[9]Subsidiary wise dispatch'!$A$3:$R$138,16,FALSE)*$H91*$O91*365</f>
        <v>0</v>
      </c>
      <c r="AL91" s="7">
        <f>VLOOKUP($B91,'[9]Subsidiary wise dispatch'!$A$3:$R$138,17,FALSE)*$H91*$O91*365</f>
        <v>784254.24666249298</v>
      </c>
      <c r="AM91" s="7">
        <f>VLOOKUP($B91,'[9]Subsidiary wise dispatch'!$A$3:$R$138,18,FALSE)*$H91*$O91*365</f>
        <v>0</v>
      </c>
      <c r="AN91" s="15">
        <f t="shared" si="62"/>
        <v>1547290.0807637293</v>
      </c>
      <c r="AO91" s="6">
        <v>5.7803709694753805E-2</v>
      </c>
      <c r="AP91" s="11">
        <f t="shared" si="63"/>
        <v>0.44477603105751595</v>
      </c>
      <c r="AQ91" s="11">
        <f t="shared" si="64"/>
        <v>0.7075174066637866</v>
      </c>
      <c r="AR91" s="3">
        <f>VLOOKUP(A91,[10]Sheet1!$A$2:$L$542,12,FALSE)</f>
        <v>1.5060451098035099</v>
      </c>
      <c r="AS91" s="3">
        <f t="shared" si="72"/>
        <v>1.9254453517941377</v>
      </c>
      <c r="AT91" s="3">
        <f t="shared" si="73"/>
        <v>1.9147498997262762</v>
      </c>
      <c r="AU91" s="3">
        <f t="shared" si="65"/>
        <v>1.0695452067861488E-2</v>
      </c>
      <c r="AV91" s="88">
        <f t="shared" si="74"/>
        <v>0.23131701510036634</v>
      </c>
      <c r="AW91" s="32">
        <f t="shared" si="75"/>
        <v>0.11458209542375679</v>
      </c>
      <c r="AX91" s="12">
        <f t="shared" si="66"/>
        <v>540.76643234613266</v>
      </c>
      <c r="AY91" s="12">
        <f t="shared" si="67"/>
        <v>855.43366520171116</v>
      </c>
      <c r="AZ91" s="3">
        <f>VLOOKUP(A91,[5]Analysis!$A$3:$BJ$543,62,FALSE)</f>
        <v>0.60576521629973445</v>
      </c>
      <c r="BA91" s="2"/>
      <c r="BB91" s="2"/>
      <c r="BC91" s="2" t="e">
        <f>VLOOKUP(A91,'[6]FGD status - Jun 2020'!$I$2:$M$449,5,FALSE)</f>
        <v>#N/A</v>
      </c>
      <c r="BD91" s="2"/>
      <c r="BE91" s="2"/>
      <c r="BF91" s="2">
        <f t="shared" si="68"/>
        <v>611.68078426004865</v>
      </c>
      <c r="BG91" s="2">
        <f t="shared" si="69"/>
        <v>935.89268227752302</v>
      </c>
      <c r="BH91" s="2"/>
      <c r="BI91" s="2"/>
      <c r="BK91">
        <f t="shared" si="70"/>
        <v>320.60804964354168</v>
      </c>
      <c r="BL91">
        <f>VLOOKUP(A91,'[11]Daily coal vs energy req.2'!$C$2:$P$599,14,FALSE)</f>
        <v>0.39</v>
      </c>
      <c r="BM91">
        <f>VLOOKUP(A91,'[11]Daily coal vs energy req.2'!$C$2:$R$599,16,FALSE)</f>
        <v>0.44</v>
      </c>
      <c r="BN91">
        <f>BL91*H91</f>
        <v>234</v>
      </c>
      <c r="BO91">
        <f>BM91*H91</f>
        <v>264</v>
      </c>
      <c r="BP91" s="2" t="str">
        <f>VLOOKUP(A91,'[7]Table 2'!$J$2:$N$449,5,FALSE)</f>
        <v>Bid opened</v>
      </c>
      <c r="BR91">
        <f t="shared" si="76"/>
        <v>465.28169835807682</v>
      </c>
      <c r="BS91">
        <f t="shared" si="77"/>
        <v>711.89703501598649</v>
      </c>
      <c r="BT91">
        <f>(X91*I91*365*[5]Analysis!BK91)/10^4</f>
        <v>305.5397043804499</v>
      </c>
      <c r="BU91">
        <f>(W91*R91*365*[5]Analysis!BK91)/10^4</f>
        <v>467.48627851832526</v>
      </c>
      <c r="BV91">
        <f>(X91*I91*365*[5]Analysis!BL91)/10^4</f>
        <v>159.74199397762692</v>
      </c>
      <c r="BW91">
        <f>(W91*R91*365*[5]Analysis!BL91)/10^4</f>
        <v>244.41075649766125</v>
      </c>
      <c r="BX91">
        <f t="shared" si="78"/>
        <v>2156962.7198490193</v>
      </c>
      <c r="BY91">
        <f t="shared" si="79"/>
        <v>3300227.3038446479</v>
      </c>
      <c r="BZ91">
        <f t="shared" si="80"/>
        <v>8813169.9346968625</v>
      </c>
      <c r="CA91">
        <f t="shared" si="81"/>
        <v>14019350.642295832</v>
      </c>
      <c r="CB91">
        <f t="shared" si="82"/>
        <v>-443405.21466874174</v>
      </c>
      <c r="CC91">
        <f t="shared" si="83"/>
        <v>-1121998.5720000002</v>
      </c>
      <c r="CD91">
        <f t="shared" si="84"/>
        <v>-2839646.5275809048</v>
      </c>
      <c r="CE91">
        <f t="shared" si="85"/>
        <v>-4517103.4560000002</v>
      </c>
      <c r="CF91">
        <f t="shared" si="86"/>
        <v>5014901.0976685351</v>
      </c>
      <c r="CG91">
        <f t="shared" si="87"/>
        <v>7977340.4400000004</v>
      </c>
      <c r="CH91">
        <f t="shared" si="88"/>
        <v>351908.91741365893</v>
      </c>
      <c r="CI91">
        <f t="shared" si="89"/>
        <v>559791.14710472268</v>
      </c>
      <c r="CJ91">
        <f t="shared" si="90"/>
        <v>-2778825.3851584471</v>
      </c>
      <c r="CK91">
        <f t="shared" si="91"/>
        <v>-4420353.6000000006</v>
      </c>
      <c r="CL91">
        <f t="shared" si="92"/>
        <v>1257401.4099449641</v>
      </c>
      <c r="CM91">
        <f t="shared" si="93"/>
        <v>2000182.8394044177</v>
      </c>
    </row>
    <row r="92" spans="1:91" x14ac:dyDescent="0.2">
      <c r="A92" s="2" t="s">
        <v>108</v>
      </c>
      <c r="B92" s="2" t="str">
        <f t="shared" si="94"/>
        <v>SHREE SINGAJI TPP</v>
      </c>
      <c r="C92" s="2" t="str">
        <f>VLOOKUP($A92,'[1]daily coal, energy reqd'!$C$2:$T$599,17,FALSE)</f>
        <v>Madhya Pradesh</v>
      </c>
      <c r="D92" s="2" t="str">
        <f>VLOOKUP(C92,'Target PLF'!$I$2:$J$19,2,FALSE)</f>
        <v>WR</v>
      </c>
      <c r="E92" s="2" t="str">
        <f>VLOOKUP(A92,[2]Ownership!$C$2:$D$666,2,FALSE)</f>
        <v>STATE SECTOR</v>
      </c>
      <c r="F92" s="2" t="s">
        <v>543</v>
      </c>
      <c r="G92" s="12">
        <v>6.5051334702258696</v>
      </c>
      <c r="H92" s="2">
        <v>600</v>
      </c>
      <c r="I92" s="2">
        <f>VLOOKUP(A92,'[3]Calculated coal req (reg.)'!$A$2:$I$599,9,FALSE)</f>
        <v>7.3845738899169397</v>
      </c>
      <c r="J92" s="2"/>
      <c r="K92" s="11">
        <v>0.51281763124423196</v>
      </c>
      <c r="L92" s="3">
        <f>VLOOKUP(F92,'Target PLF'!$A$2:$B$11,2,FALSE)</f>
        <v>0.85</v>
      </c>
      <c r="M92" s="3">
        <f t="shared" si="71"/>
        <v>0.33718236875576801</v>
      </c>
      <c r="N92" s="2" t="str">
        <f t="shared" si="50"/>
        <v>0.15</v>
      </c>
      <c r="O92" s="2">
        <f t="shared" si="95"/>
        <v>7.6658681014597772</v>
      </c>
      <c r="P92" s="2">
        <f t="shared" si="51"/>
        <v>1678825.1142196914</v>
      </c>
      <c r="Q92" s="2">
        <f t="shared" si="52"/>
        <v>12.357187552669405</v>
      </c>
      <c r="R92" s="2">
        <f t="shared" si="53"/>
        <v>12.24</v>
      </c>
      <c r="S92" s="2">
        <f t="shared" si="54"/>
        <v>2706224.0740345996</v>
      </c>
      <c r="T92" s="2" t="str">
        <f>VLOOKUP(A92,'[4]CEA vs MERIT comp. &amp; NPA marker'!$C$2:$K$735,9,FALSE)</f>
        <v>Contracted</v>
      </c>
      <c r="U92" s="3">
        <f>VLOOKUP(B92,'[8]Import-Domestic share'!$A$208:$F$406,6,FALSE)</f>
        <v>2.4167248138043805E-3</v>
      </c>
      <c r="V92" s="3">
        <f t="shared" si="55"/>
        <v>4057.2583115727007</v>
      </c>
      <c r="W92" s="2">
        <f t="shared" si="56"/>
        <v>2631.6286771121304</v>
      </c>
      <c r="X92" s="2">
        <f t="shared" si="57"/>
        <v>2743.0914573705668</v>
      </c>
      <c r="Y92" s="6">
        <f t="shared" si="58"/>
        <v>0.32679382447820793</v>
      </c>
      <c r="Z92" s="2">
        <f t="shared" si="59"/>
        <v>2733627.4440309554</v>
      </c>
      <c r="AA92" s="2">
        <f t="shared" si="60"/>
        <v>1719091.630007515</v>
      </c>
      <c r="AB92" s="2" t="s">
        <v>598</v>
      </c>
      <c r="AC92" s="12">
        <f>VLOOKUP(B92,[9]Sheet1!$A$2:$B$137,2,FALSE)</f>
        <v>4300.9021962880979</v>
      </c>
      <c r="AD92" s="12">
        <f t="shared" si="61"/>
        <v>2580541.3177728588</v>
      </c>
      <c r="AE92" s="2"/>
      <c r="AF92" s="7">
        <f>VLOOKUP($B92,'[9]Subsidiary wise dispatch'!$A$3:$R$138,11,FALSE)*$H92*$O92*365</f>
        <v>0</v>
      </c>
      <c r="AG92" s="7">
        <f>VLOOKUP($B92,'[9]Subsidiary wise dispatch'!$A$3:$R$138,12,FALSE)*$H92*$O92*365</f>
        <v>0</v>
      </c>
      <c r="AH92" s="7">
        <f>VLOOKUP($B92,'[9]Subsidiary wise dispatch'!$A$3:$R$138,13,FALSE)*$H92*$O92*365</f>
        <v>0</v>
      </c>
      <c r="AI92" s="7">
        <f>VLOOKUP($B92,'[9]Subsidiary wise dispatch'!$A$3:$R$138,14,FALSE)*$H92*$O92*365</f>
        <v>0</v>
      </c>
      <c r="AJ92" s="7">
        <f>VLOOKUP($B92,'[9]Subsidiary wise dispatch'!$A$3:$R$138,15,FALSE)*$H92*$O92*365</f>
        <v>171460.34940757952</v>
      </c>
      <c r="AK92" s="7">
        <f>VLOOKUP($B92,'[9]Subsidiary wise dispatch'!$A$3:$R$138,16,FALSE)*$H92*$O92*365</f>
        <v>0</v>
      </c>
      <c r="AL92" s="7">
        <f>VLOOKUP($B92,'[9]Subsidiary wise dispatch'!$A$3:$R$138,17,FALSE)*$H92*$O92*365</f>
        <v>984907.08714482305</v>
      </c>
      <c r="AM92" s="7">
        <f>VLOOKUP($B92,'[9]Subsidiary wise dispatch'!$A$3:$R$138,18,FALSE)*$H92*$O92*365</f>
        <v>522457.67766728863</v>
      </c>
      <c r="AN92" s="15">
        <f t="shared" si="62"/>
        <v>1678825.1142196911</v>
      </c>
      <c r="AO92" s="6">
        <v>7.69954342817641E-2</v>
      </c>
      <c r="AP92" s="11">
        <f t="shared" si="63"/>
        <v>0.56857847363993086</v>
      </c>
      <c r="AQ92" s="11">
        <f t="shared" si="64"/>
        <v>0.94242411560879258</v>
      </c>
      <c r="AR92" s="3">
        <f>VLOOKUP(A92,[10]Sheet1!$A$2:$L$542,12,FALSE)</f>
        <v>2.6436184210526301</v>
      </c>
      <c r="AS92" s="3">
        <f t="shared" si="72"/>
        <v>2.3223440299045839</v>
      </c>
      <c r="AT92" s="3">
        <f t="shared" si="73"/>
        <v>2.310919094928094</v>
      </c>
      <c r="AU92" s="3">
        <f t="shared" si="65"/>
        <v>1.1424934976489887E-2</v>
      </c>
      <c r="AV92" s="88">
        <f t="shared" si="74"/>
        <v>0.24709398347160191</v>
      </c>
      <c r="AW92" s="32">
        <f t="shared" si="75"/>
        <v>0.10147895637357172</v>
      </c>
      <c r="AX92" s="12">
        <f t="shared" si="66"/>
        <v>625.95751966228249</v>
      </c>
      <c r="AY92" s="12">
        <f t="shared" si="67"/>
        <v>1032.4262148500752</v>
      </c>
      <c r="AZ92" s="3">
        <f>VLOOKUP(A92,[5]Analysis!$A$3:$BJ$543,62,FALSE)</f>
        <v>0.78524893852561628</v>
      </c>
      <c r="BA92" s="2"/>
      <c r="BB92" s="2"/>
      <c r="BC92" s="2" t="str">
        <f>VLOOKUP(A92,'[6]FGD status - Jun 2020'!$I$2:$M$449,5,FALSE)</f>
        <v>Bid opened</v>
      </c>
      <c r="BD92" s="2"/>
      <c r="BE92" s="2"/>
      <c r="BF92" s="2">
        <f t="shared" si="68"/>
        <v>532.9462759382468</v>
      </c>
      <c r="BG92" s="2">
        <f t="shared" si="69"/>
        <v>847.46882636646728</v>
      </c>
      <c r="BH92" s="2"/>
      <c r="BI92" s="2"/>
      <c r="BK92">
        <f t="shared" si="70"/>
        <v>307.69057874653919</v>
      </c>
      <c r="BL92">
        <f>VLOOKUP(A92,'[11]Daily coal vs energy req.2'!$C$2:$P$599,14,FALSE)</f>
        <v>0.86</v>
      </c>
      <c r="BM92">
        <f>VLOOKUP(A92,'[11]Daily coal vs energy req.2'!$C$2:$R$599,16,FALSE)</f>
        <v>0.86</v>
      </c>
      <c r="BN92">
        <f>BL92*H92</f>
        <v>516</v>
      </c>
      <c r="BO92">
        <f>BM92*H92</f>
        <v>516</v>
      </c>
      <c r="BP92" s="2" t="str">
        <f>VLOOKUP(A92,'[7]Table 2'!$J$2:$N$449,5,FALSE)</f>
        <v>Bid opened</v>
      </c>
      <c r="BR92">
        <f t="shared" si="76"/>
        <v>580.58518622660938</v>
      </c>
      <c r="BS92">
        <f t="shared" si="77"/>
        <v>923.22222443718385</v>
      </c>
      <c r="BT92">
        <f>(X92*I92*365*[5]Analysis!BK92)/10^4</f>
        <v>284.02974848258589</v>
      </c>
      <c r="BU92">
        <f>(W92*R92*365*[5]Analysis!BK92)/10^4</f>
        <v>451.65219923141171</v>
      </c>
      <c r="BV92">
        <f>(X92*I92*365*[5]Analysis!BL92)/10^4</f>
        <v>296.55543774402344</v>
      </c>
      <c r="BW92">
        <f>(W92*R92*365*[5]Analysis!BL92)/10^4</f>
        <v>471.57002520577225</v>
      </c>
      <c r="BX92">
        <f t="shared" si="78"/>
        <v>2076297.5592596717</v>
      </c>
      <c r="BY92">
        <f t="shared" si="79"/>
        <v>3301641.3383048791</v>
      </c>
      <c r="BZ92">
        <f t="shared" si="80"/>
        <v>10964149.450219868</v>
      </c>
      <c r="CA92">
        <f t="shared" si="81"/>
        <v>18173179.830177125</v>
      </c>
      <c r="CB92">
        <f t="shared" si="82"/>
        <v>-408394.93698599644</v>
      </c>
      <c r="CC92">
        <f t="shared" si="83"/>
        <v>-1121998.5720000002</v>
      </c>
      <c r="CD92">
        <f t="shared" si="84"/>
        <v>0</v>
      </c>
      <c r="CE92">
        <f t="shared" si="85"/>
        <v>0</v>
      </c>
      <c r="CF92">
        <f t="shared" si="86"/>
        <v>4812848.0330230808</v>
      </c>
      <c r="CG92">
        <f t="shared" si="87"/>
        <v>7977340.4400000004</v>
      </c>
      <c r="CH92">
        <f t="shared" si="88"/>
        <v>355694.69630693091</v>
      </c>
      <c r="CI92">
        <f t="shared" si="89"/>
        <v>589567.27195071836</v>
      </c>
      <c r="CJ92">
        <f t="shared" si="90"/>
        <v>-2666865.0146046039</v>
      </c>
      <c r="CK92">
        <f t="shared" si="91"/>
        <v>-4420353.6000000006</v>
      </c>
      <c r="CL92">
        <f t="shared" si="92"/>
        <v>1607396.3624329246</v>
      </c>
      <c r="CM92">
        <f t="shared" si="93"/>
        <v>2664274.4414871437</v>
      </c>
    </row>
    <row r="93" spans="1:91" x14ac:dyDescent="0.2">
      <c r="A93" s="2" t="s">
        <v>98</v>
      </c>
      <c r="B93" s="2" t="str">
        <f t="shared" si="94"/>
        <v>AKALTARA TPS</v>
      </c>
      <c r="C93" s="2" t="str">
        <f>VLOOKUP($A93,'[1]daily coal, energy reqd'!$C$2:$T$599,17,FALSE)</f>
        <v>Chhatisgarh</v>
      </c>
      <c r="D93" s="2" t="str">
        <f>VLOOKUP(C93,'Target PLF'!$I$2:$J$19,2,FALSE)</f>
        <v>WR</v>
      </c>
      <c r="E93" s="2" t="str">
        <f>VLOOKUP(A93,[2]Ownership!$C$2:$D$666,2,FALSE)</f>
        <v>PVT SECTOR</v>
      </c>
      <c r="F93" s="2" t="s">
        <v>543</v>
      </c>
      <c r="G93" s="12">
        <v>5.7577002053388</v>
      </c>
      <c r="H93" s="2">
        <v>600</v>
      </c>
      <c r="I93" s="2">
        <f>VLOOKUP(A93,'[3]Calculated coal req (reg.)'!$A$2:$I$599,9,FALSE)</f>
        <v>10.038133741877299</v>
      </c>
      <c r="J93" s="2"/>
      <c r="K93" s="11">
        <v>0.69709262096370139</v>
      </c>
      <c r="L93" s="3">
        <f>VLOOKUP(F93,'Target PLF'!$A$2:$B$11,2,FALSE)</f>
        <v>0.85</v>
      </c>
      <c r="M93" s="3">
        <f t="shared" si="71"/>
        <v>0.15290737903629859</v>
      </c>
      <c r="N93" s="2" t="str">
        <f t="shared" si="50"/>
        <v>0.15</v>
      </c>
      <c r="O93" s="2">
        <f t="shared" si="95"/>
        <v>9.3163152672583749</v>
      </c>
      <c r="P93" s="2">
        <f t="shared" si="51"/>
        <v>2040273.0435295841</v>
      </c>
      <c r="Q93" s="2">
        <f t="shared" si="52"/>
        <v>11.443761504004106</v>
      </c>
      <c r="R93" s="2">
        <f t="shared" si="53"/>
        <v>12.24</v>
      </c>
      <c r="S93" s="2">
        <f t="shared" si="54"/>
        <v>2506183.7693768991</v>
      </c>
      <c r="T93" s="2" t="str">
        <f>VLOOKUP(A93,'[4]CEA vs MERIT comp. &amp; NPA marker'!$C$2:$K$735,9,FALSE)</f>
        <v>Not contracted</v>
      </c>
      <c r="U93" s="3">
        <f>VLOOKUP(B93,'[8]Import-Domestic share'!$A$208:$F$406,6,FALSE)</f>
        <v>4.3831710939856224E-2</v>
      </c>
      <c r="V93" s="3">
        <f t="shared" si="55"/>
        <v>89428.658282369419</v>
      </c>
      <c r="W93" s="2">
        <f t="shared" si="56"/>
        <v>2635.2551261427702</v>
      </c>
      <c r="X93" s="2">
        <f t="shared" si="57"/>
        <v>2685.8019019196545</v>
      </c>
      <c r="Y93" s="6">
        <f t="shared" si="58"/>
        <v>0.32634411426372378</v>
      </c>
      <c r="Z93" s="2">
        <f t="shared" si="59"/>
        <v>2751574.9088294976</v>
      </c>
      <c r="AA93" s="2">
        <f t="shared" si="60"/>
        <v>2299874.8845214779</v>
      </c>
      <c r="AB93" s="2" t="s">
        <v>598</v>
      </c>
      <c r="AC93" s="12">
        <f>VLOOKUP(B93,[9]Sheet1!$A$2:$B$137,2,FALSE)</f>
        <v>4278.737156592154</v>
      </c>
      <c r="AD93" s="12">
        <f t="shared" si="61"/>
        <v>2567242.2939552926</v>
      </c>
      <c r="AE93" s="2"/>
      <c r="AF93" s="7">
        <f>VLOOKUP($B93,'[9]Subsidiary wise dispatch'!$A$3:$R$138,11,FALSE)*$H93*$O93*365</f>
        <v>1163.1775217006389</v>
      </c>
      <c r="AG93" s="7">
        <f>VLOOKUP($B93,'[9]Subsidiary wise dispatch'!$A$3:$R$138,12,FALSE)*$H93*$O93*365</f>
        <v>0</v>
      </c>
      <c r="AH93" s="7">
        <f>VLOOKUP($B93,'[9]Subsidiary wise dispatch'!$A$3:$R$138,13,FALSE)*$H93*$O93*365</f>
        <v>0</v>
      </c>
      <c r="AI93" s="7">
        <f>VLOOKUP($B93,'[9]Subsidiary wise dispatch'!$A$3:$R$138,14,FALSE)*$H93*$O93*365</f>
        <v>336313.97065171285</v>
      </c>
      <c r="AJ93" s="7">
        <f>VLOOKUP($B93,'[9]Subsidiary wise dispatch'!$A$3:$R$138,15,FALSE)*$H93*$O93*365</f>
        <v>0</v>
      </c>
      <c r="AK93" s="7">
        <f>VLOOKUP($B93,'[9]Subsidiary wise dispatch'!$A$3:$R$138,16,FALSE)*$H93*$O93*365</f>
        <v>0</v>
      </c>
      <c r="AL93" s="7">
        <f>VLOOKUP($B93,'[9]Subsidiary wise dispatch'!$A$3:$R$138,17,FALSE)*$H93*$O93*365</f>
        <v>1702795.8953561704</v>
      </c>
      <c r="AM93" s="7">
        <f>VLOOKUP($B93,'[9]Subsidiary wise dispatch'!$A$3:$R$138,18,FALSE)*$H93*$O93*365</f>
        <v>0</v>
      </c>
      <c r="AN93" s="15">
        <f t="shared" si="62"/>
        <v>2040273.0435295838</v>
      </c>
      <c r="AO93" s="6">
        <v>8.0030636155213206E-2</v>
      </c>
      <c r="AP93" s="11">
        <f t="shared" si="63"/>
        <v>0.80335822917355104</v>
      </c>
      <c r="AQ93" s="11">
        <f t="shared" si="64"/>
        <v>0.97957498653980968</v>
      </c>
      <c r="AR93" s="3">
        <f>VLOOKUP(A93,[10]Sheet1!$A$2:$L$542,12,FALSE)</f>
        <v>2.4868647268903099</v>
      </c>
      <c r="AS93" s="3">
        <f t="shared" si="72"/>
        <v>1.843027054727957</v>
      </c>
      <c r="AT93" s="3">
        <f t="shared" si="73"/>
        <v>1.8378460102108263</v>
      </c>
      <c r="AU93" s="3">
        <f t="shared" si="65"/>
        <v>5.1810445171307506E-3</v>
      </c>
      <c r="AV93" s="88">
        <f t="shared" si="74"/>
        <v>0.11205358550538033</v>
      </c>
      <c r="AW93" s="32">
        <f t="shared" si="75"/>
        <v>5.7987505237151647E-2</v>
      </c>
      <c r="AX93" s="12">
        <f t="shared" si="66"/>
        <v>675.27015038189677</v>
      </c>
      <c r="AY93" s="12">
        <f t="shared" si="67"/>
        <v>821.07608352178863</v>
      </c>
      <c r="AZ93" s="3">
        <f>VLOOKUP(A93,[5]Analysis!$A$3:$BJ$543,62,FALSE)</f>
        <v>0.53324192800978565</v>
      </c>
      <c r="BA93" s="2"/>
      <c r="BB93" s="2"/>
      <c r="BC93" s="2" t="e">
        <f>VLOOKUP(A93,'[6]FGD status - Jun 2020'!$I$2:$M$449,5,FALSE)</f>
        <v>#N/A</v>
      </c>
      <c r="BD93" s="2"/>
      <c r="BE93" s="2"/>
      <c r="BF93" s="2">
        <f t="shared" si="68"/>
        <v>733.34374832208562</v>
      </c>
      <c r="BG93" s="2">
        <f t="shared" si="69"/>
        <v>877.37392629941576</v>
      </c>
      <c r="BH93" s="2"/>
      <c r="BI93" s="2"/>
      <c r="BK93">
        <f t="shared" si="70"/>
        <v>418.25557257822084</v>
      </c>
      <c r="BP93" s="2" t="e">
        <f>VLOOKUP(A93,'[7]Table 2'!$J$2:$N$449,5,FALSE)</f>
        <v>#N/A</v>
      </c>
      <c r="BR93">
        <f t="shared" si="76"/>
        <v>524.73992531727231</v>
      </c>
      <c r="BS93">
        <f t="shared" si="77"/>
        <v>627.79989549930974</v>
      </c>
      <c r="BT93">
        <f>(X93*I93*365*[5]Analysis!BK93)/10^4</f>
        <v>412.78548969659272</v>
      </c>
      <c r="BU93">
        <f>(W93*R93*365*[5]Analysis!BK93)/10^4</f>
        <v>493.85738494829621</v>
      </c>
      <c r="BV93">
        <f>(X93*I93*365*[5]Analysis!BL93)/10^4</f>
        <v>111.95443562067945</v>
      </c>
      <c r="BW93">
        <f>(W93*R93*365*[5]Analysis!BL93)/10^4</f>
        <v>133.94251055101344</v>
      </c>
      <c r="BX93">
        <f t="shared" si="78"/>
        <v>2763444.966304935</v>
      </c>
      <c r="BY93">
        <f t="shared" si="79"/>
        <v>3306191.0812587198</v>
      </c>
      <c r="BZ93">
        <f t="shared" si="80"/>
        <v>10120906.575087469</v>
      </c>
      <c r="CA93">
        <f t="shared" si="81"/>
        <v>12340929.067548266</v>
      </c>
      <c r="CB93">
        <f t="shared" si="82"/>
        <v>-754632.35874194221</v>
      </c>
      <c r="CC93">
        <f t="shared" si="83"/>
        <v>-1121998.5720000002</v>
      </c>
      <c r="CD93">
        <f t="shared" si="84"/>
        <v>-3704517.0438908627</v>
      </c>
      <c r="CE93">
        <f t="shared" si="85"/>
        <v>-4517103.4560000002</v>
      </c>
      <c r="CF93">
        <f t="shared" si="86"/>
        <v>6542288.4183992082</v>
      </c>
      <c r="CG93">
        <f t="shared" si="87"/>
        <v>7977340.4400000004</v>
      </c>
      <c r="CH93">
        <f t="shared" si="88"/>
        <v>427954.66337168764</v>
      </c>
      <c r="CI93">
        <f t="shared" si="89"/>
        <v>521826.58792607719</v>
      </c>
      <c r="CJ93">
        <f t="shared" si="90"/>
        <v>-3625171.6195415682</v>
      </c>
      <c r="CK93">
        <f t="shared" si="91"/>
        <v>-4420353.6000000006</v>
      </c>
      <c r="CL93">
        <f t="shared" si="92"/>
        <v>2271129.0616357122</v>
      </c>
      <c r="CM93">
        <f t="shared" si="93"/>
        <v>2769301.5882474496</v>
      </c>
    </row>
    <row r="94" spans="1:91" x14ac:dyDescent="0.2">
      <c r="A94" s="2" t="s">
        <v>113</v>
      </c>
      <c r="B94" s="2" t="str">
        <f t="shared" si="94"/>
        <v>MAHAN TPP</v>
      </c>
      <c r="C94" s="2" t="str">
        <f>VLOOKUP($A94,'[1]daily coal, energy reqd'!$C$2:$T$599,17,FALSE)</f>
        <v>Madhya Pradesh</v>
      </c>
      <c r="D94" s="2" t="str">
        <f>VLOOKUP(C94,'Target PLF'!$I$2:$J$19,2,FALSE)</f>
        <v>WR</v>
      </c>
      <c r="E94" s="2" t="str">
        <f>VLOOKUP(A94,[2]Ownership!$C$2:$D$666,2,FALSE)</f>
        <v>PVT SECTOR</v>
      </c>
      <c r="F94" s="2" t="s">
        <v>543</v>
      </c>
      <c r="G94" s="12">
        <v>7.2525667351129304</v>
      </c>
      <c r="H94" s="2">
        <v>600</v>
      </c>
      <c r="I94" s="2">
        <f>VLOOKUP(A94,'[3]Calculated coal req (reg.)'!$A$2:$I$599,9,FALSE)</f>
        <v>5.7350018274272898</v>
      </c>
      <c r="J94" s="2"/>
      <c r="K94" s="11">
        <v>0.3982640157935618</v>
      </c>
      <c r="L94" s="3">
        <f>VLOOKUP(F94,'Target PLF'!$A$2:$B$11,2,FALSE)</f>
        <v>0.85</v>
      </c>
      <c r="M94" s="3">
        <f t="shared" si="71"/>
        <v>0.45173598420643818</v>
      </c>
      <c r="N94" s="2" t="str">
        <f t="shared" si="50"/>
        <v>0.15</v>
      </c>
      <c r="O94" s="2">
        <f t="shared" si="95"/>
        <v>5.2059731322752656</v>
      </c>
      <c r="P94" s="2">
        <f t="shared" si="51"/>
        <v>1140108.115968283</v>
      </c>
      <c r="Q94" s="2">
        <f t="shared" si="52"/>
        <v>11.491111401334702</v>
      </c>
      <c r="R94" s="2">
        <f t="shared" si="53"/>
        <v>12.24</v>
      </c>
      <c r="S94" s="2">
        <f t="shared" si="54"/>
        <v>2516553.3968922999</v>
      </c>
      <c r="T94" s="2" t="str">
        <f>VLOOKUP(A94,'[4]CEA vs MERIT comp. &amp; NPA marker'!$C$2:$K$735,9,FALSE)</f>
        <v>Not contracted</v>
      </c>
      <c r="U94" s="3">
        <f>VLOOKUP(B94,'[8]Import-Domestic share'!$A$208:$F$406,6,FALSE)</f>
        <v>0</v>
      </c>
      <c r="V94" s="3">
        <f t="shared" si="55"/>
        <v>0</v>
      </c>
      <c r="W94" s="2">
        <f t="shared" si="56"/>
        <v>2636.7946044845994</v>
      </c>
      <c r="X94" s="2">
        <f t="shared" si="57"/>
        <v>2786.1255108669025</v>
      </c>
      <c r="Y94" s="6">
        <f t="shared" si="58"/>
        <v>0.32615358000859523</v>
      </c>
      <c r="Z94" s="2">
        <f t="shared" si="59"/>
        <v>2344170.1691490631</v>
      </c>
      <c r="AA94" s="2">
        <f t="shared" si="60"/>
        <v>1160554.8031902444</v>
      </c>
      <c r="AB94" s="2" t="s">
        <v>598</v>
      </c>
      <c r="AC94" s="12">
        <f>VLOOKUP(B94,[9]Sheet1!$A$2:$B$137,2,FALSE)</f>
        <v>5025.2936966908019</v>
      </c>
      <c r="AD94" s="12">
        <f t="shared" si="61"/>
        <v>3015176.218014481</v>
      </c>
      <c r="AE94" s="2"/>
      <c r="AF94" s="7">
        <f>VLOOKUP($B94,'[9]Subsidiary wise dispatch'!$A$3:$R$138,11,FALSE)*$H94*$O94*365</f>
        <v>0</v>
      </c>
      <c r="AG94" s="7">
        <f>VLOOKUP($B94,'[9]Subsidiary wise dispatch'!$A$3:$R$138,12,FALSE)*$H94*$O94*365</f>
        <v>17462.173839097381</v>
      </c>
      <c r="AH94" s="7">
        <f>VLOOKUP($B94,'[9]Subsidiary wise dispatch'!$A$3:$R$138,13,FALSE)*$H94*$O94*365</f>
        <v>0</v>
      </c>
      <c r="AI94" s="7">
        <f>VLOOKUP($B94,'[9]Subsidiary wise dispatch'!$A$3:$R$138,14,FALSE)*$H94*$O94*365</f>
        <v>0</v>
      </c>
      <c r="AJ94" s="7">
        <f>VLOOKUP($B94,'[9]Subsidiary wise dispatch'!$A$3:$R$138,15,FALSE)*$H94*$O94*365</f>
        <v>1122645.9421291859</v>
      </c>
      <c r="AK94" s="7">
        <f>VLOOKUP($B94,'[9]Subsidiary wise dispatch'!$A$3:$R$138,16,FALSE)*$H94*$O94*365</f>
        <v>0</v>
      </c>
      <c r="AL94" s="7">
        <f>VLOOKUP($B94,'[9]Subsidiary wise dispatch'!$A$3:$R$138,17,FALSE)*$H94*$O94*365</f>
        <v>0</v>
      </c>
      <c r="AM94" s="7">
        <f>VLOOKUP($B94,'[9]Subsidiary wise dispatch'!$A$3:$R$138,18,FALSE)*$H94*$O94*365</f>
        <v>0</v>
      </c>
      <c r="AN94" s="15">
        <f t="shared" si="62"/>
        <v>1140108.1159682833</v>
      </c>
      <c r="AO94" s="6">
        <v>9.2920955405355318E-2</v>
      </c>
      <c r="AP94" s="11">
        <f t="shared" si="63"/>
        <v>0.53290184905600246</v>
      </c>
      <c r="AQ94" s="11">
        <f t="shared" si="64"/>
        <v>1.1373524941615492</v>
      </c>
      <c r="AR94" s="3"/>
      <c r="AS94" s="3">
        <f t="shared" si="72"/>
        <v>1.8851171803911562</v>
      </c>
      <c r="AT94" s="3">
        <f t="shared" si="73"/>
        <v>1.8698107624869702</v>
      </c>
      <c r="AU94" s="3">
        <f t="shared" si="65"/>
        <v>1.5306417904185965E-2</v>
      </c>
      <c r="AV94" s="88">
        <f t="shared" si="74"/>
        <v>0.33104116394616206</v>
      </c>
      <c r="AW94" s="32">
        <f t="shared" si="75"/>
        <v>0.16748812717120434</v>
      </c>
      <c r="AX94" s="12">
        <f t="shared" si="66"/>
        <v>394.6069923177119</v>
      </c>
      <c r="AY94" s="12">
        <f t="shared" si="67"/>
        <v>835.35665624867886</v>
      </c>
      <c r="AZ94" s="3">
        <f>VLOOKUP(A94,[5]Analysis!$A$3:$BJ$543,62,FALSE)</f>
        <v>0.52493676207722073</v>
      </c>
      <c r="BA94" s="2"/>
      <c r="BB94" s="2"/>
      <c r="BC94" s="2" t="str">
        <f>VLOOKUP(A94,'[6]FGD status - Jun 2020'!$I$2:$M$449,5,FALSE)</f>
        <v>Feasibility study under process</v>
      </c>
      <c r="BD94" s="2"/>
      <c r="BE94" s="2"/>
      <c r="BF94" s="2">
        <f t="shared" si="68"/>
        <v>359.19171158738067</v>
      </c>
      <c r="BG94" s="2">
        <f t="shared" si="69"/>
        <v>725.52066735163498</v>
      </c>
      <c r="BH94" s="2"/>
      <c r="BI94" s="2"/>
      <c r="BK94">
        <f t="shared" si="70"/>
        <v>238.95840947613709</v>
      </c>
      <c r="BL94">
        <f>VLOOKUP(A94,'[11]Daily coal vs energy req.2'!$C$2:$P$599,14,FALSE)</f>
        <v>0.9</v>
      </c>
      <c r="BM94">
        <f>VLOOKUP(A94,'[11]Daily coal vs energy req.2'!$C$2:$R$599,16,FALSE)</f>
        <v>0.81</v>
      </c>
      <c r="BN94">
        <f>BL94*H94</f>
        <v>540</v>
      </c>
      <c r="BO94">
        <f>BM94*H94</f>
        <v>486.00000000000006</v>
      </c>
      <c r="BP94" s="2" t="str">
        <f>VLOOKUP(A94,'[7]Table 2'!$J$2:$N$449,5,FALSE)</f>
        <v>Feasibility study under proc</v>
      </c>
      <c r="BR94">
        <f t="shared" si="76"/>
        <v>306.14987752897713</v>
      </c>
      <c r="BS94">
        <f t="shared" si="77"/>
        <v>618.38304250628596</v>
      </c>
      <c r="BT94">
        <f>(X94*I94*365*[5]Analysis!BK94)/10^4</f>
        <v>259.2813796134709</v>
      </c>
      <c r="BU94">
        <f>(W94*R94*365*[5]Analysis!BK94)/10^4</f>
        <v>523.7147559382239</v>
      </c>
      <c r="BV94">
        <f>(X94*I94*365*[5]Analysis!BL94)/10^4</f>
        <v>46.868497915506246</v>
      </c>
      <c r="BW94">
        <f>(W94*R94*365*[5]Analysis!BL94)/10^4</f>
        <v>94.668286568061944</v>
      </c>
      <c r="BX94">
        <f t="shared" si="78"/>
        <v>1637789.5768670065</v>
      </c>
      <c r="BY94">
        <f t="shared" si="79"/>
        <v>3308122.5107863783</v>
      </c>
      <c r="BZ94">
        <f t="shared" si="80"/>
        <v>5692233.3706481121</v>
      </c>
      <c r="CA94">
        <f t="shared" si="81"/>
        <v>12148720.881574336</v>
      </c>
      <c r="CB94">
        <f t="shared" si="82"/>
        <v>-246318.24966169285</v>
      </c>
      <c r="CC94">
        <f t="shared" si="83"/>
        <v>-1121998.5720000002</v>
      </c>
      <c r="CD94">
        <f t="shared" si="84"/>
        <v>-2116470.3084018077</v>
      </c>
      <c r="CE94">
        <f t="shared" si="85"/>
        <v>-4517103.4560000002</v>
      </c>
      <c r="CF94">
        <f t="shared" si="86"/>
        <v>3737750.1635138583</v>
      </c>
      <c r="CG94">
        <f t="shared" si="87"/>
        <v>7977340.4400000004</v>
      </c>
      <c r="CH94">
        <f t="shared" si="88"/>
        <v>307978.94842329895</v>
      </c>
      <c r="CI94">
        <f t="shared" si="89"/>
        <v>657307.95597535872</v>
      </c>
      <c r="CJ94">
        <f t="shared" si="90"/>
        <v>-2071138.5599570917</v>
      </c>
      <c r="CK94">
        <f t="shared" si="91"/>
        <v>-4420353.6000000006</v>
      </c>
      <c r="CL94">
        <f t="shared" si="92"/>
        <v>1506536.9749626773</v>
      </c>
      <c r="CM94">
        <f t="shared" si="93"/>
        <v>3215345.5445044423</v>
      </c>
    </row>
    <row r="95" spans="1:91" x14ac:dyDescent="0.2">
      <c r="A95" s="2" t="s">
        <v>110</v>
      </c>
      <c r="B95" s="2" t="str">
        <f t="shared" si="94"/>
        <v>AKALTARA TPS</v>
      </c>
      <c r="C95" s="2" t="str">
        <f>VLOOKUP($A95,'[1]daily coal, energy reqd'!$C$2:$T$599,17,FALSE)</f>
        <v>Chhatisgarh</v>
      </c>
      <c r="D95" s="2" t="str">
        <f>VLOOKUP(C95,'Target PLF'!$I$2:$J$19,2,FALSE)</f>
        <v>WR</v>
      </c>
      <c r="E95" s="2" t="str">
        <f>VLOOKUP(A95,[2]Ownership!$C$2:$D$666,2,FALSE)</f>
        <v>PVT SECTOR</v>
      </c>
      <c r="F95" s="2" t="s">
        <v>543</v>
      </c>
      <c r="G95" s="12">
        <v>6.7570157426420199</v>
      </c>
      <c r="H95" s="2">
        <v>600</v>
      </c>
      <c r="I95" s="2">
        <f>VLOOKUP(A95,'[3]Calculated coal req (reg.)'!$A$2:$I$599,9,FALSE)</f>
        <v>3.90044744004802</v>
      </c>
      <c r="J95" s="2"/>
      <c r="K95" s="11">
        <v>0.27086440555889024</v>
      </c>
      <c r="L95" s="3">
        <f>VLOOKUP(F95,'Target PLF'!$A$2:$B$11,2,FALSE)</f>
        <v>0.85</v>
      </c>
      <c r="M95" s="3">
        <f t="shared" si="71"/>
        <v>0.57913559444110974</v>
      </c>
      <c r="N95" s="2" t="str">
        <f t="shared" si="50"/>
        <v>0.15</v>
      </c>
      <c r="O95" s="2">
        <f t="shared" si="95"/>
        <v>3.4177275575106938</v>
      </c>
      <c r="P95" s="2">
        <f t="shared" si="51"/>
        <v>748482.33509484201</v>
      </c>
      <c r="Q95" s="2">
        <f t="shared" si="52"/>
        <v>11.475414823648187</v>
      </c>
      <c r="R95" s="2">
        <f t="shared" si="53"/>
        <v>12.24</v>
      </c>
      <c r="S95" s="2">
        <f t="shared" si="54"/>
        <v>2513115.8463789527</v>
      </c>
      <c r="T95" s="2" t="str">
        <f>VLOOKUP(A95,'[4]CEA vs MERIT comp. &amp; NPA marker'!$C$2:$K$735,9,FALSE)</f>
        <v>Not contracted</v>
      </c>
      <c r="U95" s="3">
        <f>VLOOKUP(B95,'[8]Import-Domestic share'!$A$208:$F$406,6,FALSE)</f>
        <v>4.3831710939856224E-2</v>
      </c>
      <c r="V95" s="3">
        <f t="shared" si="55"/>
        <v>32807.261355465715</v>
      </c>
      <c r="W95" s="2">
        <f t="shared" si="56"/>
        <v>2642.8904334802105</v>
      </c>
      <c r="X95" s="2">
        <f t="shared" si="57"/>
        <v>2834.3359818973217</v>
      </c>
      <c r="Y95" s="6">
        <f t="shared" si="58"/>
        <v>0.32540130650347654</v>
      </c>
      <c r="Z95" s="2">
        <f t="shared" si="59"/>
        <v>2759547.2375359228</v>
      </c>
      <c r="AA95" s="2">
        <f t="shared" si="60"/>
        <v>943068.01607225428</v>
      </c>
      <c r="AB95" s="2" t="s">
        <v>598</v>
      </c>
      <c r="AC95" s="12">
        <f>VLOOKUP(B95,[9]Sheet1!$A$2:$B$137,2,FALSE)</f>
        <v>4278.737156592154</v>
      </c>
      <c r="AD95" s="12">
        <f t="shared" si="61"/>
        <v>2567242.2939552926</v>
      </c>
      <c r="AE95" s="2"/>
      <c r="AF95" s="7">
        <f>VLOOKUP($B95,'[9]Subsidiary wise dispatch'!$A$3:$R$138,11,FALSE)*$H95*$O95*365</f>
        <v>426.71633109762325</v>
      </c>
      <c r="AG95" s="7">
        <f>VLOOKUP($B95,'[9]Subsidiary wise dispatch'!$A$3:$R$138,12,FALSE)*$H95*$O95*365</f>
        <v>0</v>
      </c>
      <c r="AH95" s="7">
        <f>VLOOKUP($B95,'[9]Subsidiary wise dispatch'!$A$3:$R$138,13,FALSE)*$H95*$O95*365</f>
        <v>0</v>
      </c>
      <c r="AI95" s="7">
        <f>VLOOKUP($B95,'[9]Subsidiary wise dispatch'!$A$3:$R$138,14,FALSE)*$H95*$O95*365</f>
        <v>123378.12670550149</v>
      </c>
      <c r="AJ95" s="7">
        <f>VLOOKUP($B95,'[9]Subsidiary wise dispatch'!$A$3:$R$138,15,FALSE)*$H95*$O95*365</f>
        <v>0</v>
      </c>
      <c r="AK95" s="7">
        <f>VLOOKUP($B95,'[9]Subsidiary wise dispatch'!$A$3:$R$138,16,FALSE)*$H95*$O95*365</f>
        <v>0</v>
      </c>
      <c r="AL95" s="7">
        <f>VLOOKUP($B95,'[9]Subsidiary wise dispatch'!$A$3:$R$138,17,FALSE)*$H95*$O95*365</f>
        <v>624677.49205824279</v>
      </c>
      <c r="AM95" s="7">
        <f>VLOOKUP($B95,'[9]Subsidiary wise dispatch'!$A$3:$R$138,18,FALSE)*$H95*$O95*365</f>
        <v>0</v>
      </c>
      <c r="AN95" s="15">
        <f t="shared" si="62"/>
        <v>748482.3350948419</v>
      </c>
      <c r="AO95" s="6">
        <v>8.0030636155213206E-2</v>
      </c>
      <c r="AP95" s="11">
        <f t="shared" si="63"/>
        <v>0.31215528991701585</v>
      </c>
      <c r="AQ95" s="11">
        <f t="shared" si="64"/>
        <v>0.97957498653980968</v>
      </c>
      <c r="AR95" s="3">
        <f>VLOOKUP(A95,[10]Sheet1!$A$2:$L$542,12,FALSE)</f>
        <v>2.4868647268903099</v>
      </c>
      <c r="AS95" s="3">
        <f t="shared" si="72"/>
        <v>1.8656512298216295</v>
      </c>
      <c r="AT95" s="3">
        <f t="shared" si="73"/>
        <v>1.8460280611088757</v>
      </c>
      <c r="AU95" s="3">
        <f t="shared" si="65"/>
        <v>1.9623168712753714E-2</v>
      </c>
      <c r="AV95" s="88">
        <f t="shared" si="74"/>
        <v>0.42440214631833406</v>
      </c>
      <c r="AW95" s="32">
        <f t="shared" si="75"/>
        <v>0.21696390575867727</v>
      </c>
      <c r="AX95" s="12">
        <f t="shared" si="66"/>
        <v>265.60592156337782</v>
      </c>
      <c r="AY95" s="12">
        <f t="shared" si="67"/>
        <v>824.73149658100135</v>
      </c>
      <c r="AZ95" s="3">
        <f>VLOOKUP(A95,[5]Analysis!$A$3:$BJ$543,62,FALSE)</f>
        <v>0.53324192800978565</v>
      </c>
      <c r="BA95" s="2"/>
      <c r="BB95" s="2"/>
      <c r="BC95" s="2" t="str">
        <f>VLOOKUP(A95,'[6]FGD status - Jun 2020'!$I$2:$M$449,5,FALSE)</f>
        <v>Feasiblity Study Completed</v>
      </c>
      <c r="BD95" s="2"/>
      <c r="BE95" s="2"/>
      <c r="BF95" s="2">
        <f t="shared" si="68"/>
        <v>300.70898138139188</v>
      </c>
      <c r="BG95" s="2">
        <f t="shared" si="69"/>
        <v>879.91600259051017</v>
      </c>
      <c r="BH95" s="2"/>
      <c r="BI95" s="2"/>
      <c r="BK95">
        <f t="shared" si="70"/>
        <v>162.51864333533413</v>
      </c>
      <c r="BP95" s="2" t="str">
        <f>VLOOKUP(A95,'[7]Table 2'!$J$2:$N$449,5,FALSE)</f>
        <v>NIT issued</v>
      </c>
      <c r="BR95">
        <f t="shared" si="76"/>
        <v>215.17059195410394</v>
      </c>
      <c r="BS95">
        <f t="shared" si="77"/>
        <v>629.61886365195539</v>
      </c>
      <c r="BT95">
        <f>(X95*I95*365*[5]Analysis!BK95)/10^4</f>
        <v>169.26346535262766</v>
      </c>
      <c r="BU95">
        <f>(W95*R95*365*[5]Analysis!BK95)/10^4</f>
        <v>495.28827218101134</v>
      </c>
      <c r="BV95">
        <f>(X95*I95*365*[5]Analysis!BL95)/10^4</f>
        <v>45.907126601476264</v>
      </c>
      <c r="BW95">
        <f>(W95*R95*365*[5]Analysis!BL95)/10^4</f>
        <v>134.33059147094406</v>
      </c>
      <c r="BX95">
        <f t="shared" si="78"/>
        <v>1133155.7987948083</v>
      </c>
      <c r="BY95">
        <f t="shared" si="79"/>
        <v>3315770.3378442717</v>
      </c>
      <c r="BZ95">
        <f t="shared" si="80"/>
        <v>3932609.9010892841</v>
      </c>
      <c r="CA95">
        <f t="shared" si="81"/>
        <v>12340929.067548266</v>
      </c>
      <c r="CB95">
        <f t="shared" si="82"/>
        <v>-113935.30744109846</v>
      </c>
      <c r="CC95">
        <f t="shared" si="83"/>
        <v>-1121998.5720000002</v>
      </c>
      <c r="CD95">
        <f t="shared" si="84"/>
        <v>-1439438.2852440574</v>
      </c>
      <c r="CE95">
        <f t="shared" si="85"/>
        <v>-4517103.4560000002</v>
      </c>
      <c r="CF95">
        <f t="shared" si="86"/>
        <v>2542091.2661429369</v>
      </c>
      <c r="CG95">
        <f t="shared" si="87"/>
        <v>7977340.4400000004</v>
      </c>
      <c r="CH95">
        <f t="shared" si="88"/>
        <v>195148.44642396743</v>
      </c>
      <c r="CI95">
        <f t="shared" si="89"/>
        <v>612395.63433264836</v>
      </c>
      <c r="CJ95">
        <f t="shared" si="90"/>
        <v>-1408607.5884989419</v>
      </c>
      <c r="CK95">
        <f t="shared" si="91"/>
        <v>-4420353.6000000006</v>
      </c>
      <c r="CL95">
        <f t="shared" si="92"/>
        <v>882476.73942816013</v>
      </c>
      <c r="CM95">
        <f t="shared" si="93"/>
        <v>2769301.5882474496</v>
      </c>
    </row>
    <row r="96" spans="1:91" x14ac:dyDescent="0.2">
      <c r="A96" s="2" t="s">
        <v>124</v>
      </c>
      <c r="B96" s="2" t="str">
        <f t="shared" si="94"/>
        <v>ANPARA C TPS</v>
      </c>
      <c r="C96" s="2" t="str">
        <f>VLOOKUP($A96,'[1]daily coal, energy reqd'!$C$2:$T$599,17,FALSE)</f>
        <v>Uttar Pradesh</v>
      </c>
      <c r="D96" s="2" t="str">
        <f>VLOOKUP(C96,'Target PLF'!$I$2:$J$19,2,FALSE)</f>
        <v>NR</v>
      </c>
      <c r="E96" s="2" t="str">
        <f>VLOOKUP(A96,[2]Ownership!$C$2:$D$666,2,FALSE)</f>
        <v>PVT SECTOR</v>
      </c>
      <c r="F96" s="2" t="s">
        <v>543</v>
      </c>
      <c r="G96" s="12">
        <v>8.33949349760438</v>
      </c>
      <c r="H96" s="2">
        <v>600</v>
      </c>
      <c r="I96" s="2">
        <f>VLOOKUP(A96,'[3]Calculated coal req (reg.)'!$A$2:$I$599,9,FALSE)</f>
        <v>11.2935648233486</v>
      </c>
      <c r="J96" s="2"/>
      <c r="K96" s="11">
        <v>0.78427533495476387</v>
      </c>
      <c r="L96" s="3">
        <f>VLOOKUP(F96,'Target PLF'!$A$2:$B$11,2,FALSE)</f>
        <v>0.85</v>
      </c>
      <c r="M96" s="3">
        <f t="shared" si="71"/>
        <v>6.5724665045236108E-2</v>
      </c>
      <c r="N96" s="2" t="str">
        <f t="shared" si="50"/>
        <v>0.15</v>
      </c>
      <c r="O96" s="2">
        <f t="shared" si="95"/>
        <v>10.611092824362736</v>
      </c>
      <c r="P96" s="2">
        <f t="shared" si="51"/>
        <v>2323829.328535439</v>
      </c>
      <c r="Q96" s="2">
        <f t="shared" si="52"/>
        <v>11.525539806536619</v>
      </c>
      <c r="R96" s="2">
        <f t="shared" si="53"/>
        <v>12.24</v>
      </c>
      <c r="S96" s="2">
        <f t="shared" si="54"/>
        <v>2524093.2176315198</v>
      </c>
      <c r="T96" s="2" t="str">
        <f>VLOOKUP(A96,'[4]CEA vs MERIT comp. &amp; NPA marker'!$C$2:$K$735,9,FALSE)</f>
        <v>Contracted</v>
      </c>
      <c r="U96" s="3">
        <f>VLOOKUP(B96,'[8]Import-Domestic share'!$A$208:$F$406,6,FALSE)</f>
        <v>0</v>
      </c>
      <c r="V96" s="3">
        <f t="shared" si="55"/>
        <v>0</v>
      </c>
      <c r="W96" s="2">
        <f t="shared" si="56"/>
        <v>2645.0993086297058</v>
      </c>
      <c r="X96" s="2">
        <f t="shared" si="57"/>
        <v>2666.8259900233074</v>
      </c>
      <c r="Y96" s="6">
        <f t="shared" si="58"/>
        <v>0.32512956968920881</v>
      </c>
      <c r="Z96" s="2">
        <f t="shared" si="59"/>
        <v>2408397.396715044</v>
      </c>
      <c r="AA96" s="2">
        <f t="shared" si="60"/>
        <v>2240425.3461839263</v>
      </c>
      <c r="AB96" s="2" t="s">
        <v>598</v>
      </c>
      <c r="AC96" s="12">
        <f>VLOOKUP(B96,[9]Sheet1!$A$2:$B$137,2,FALSE)</f>
        <v>4906.6842902887674</v>
      </c>
      <c r="AD96" s="12">
        <f t="shared" si="61"/>
        <v>2944010.5741732605</v>
      </c>
      <c r="AE96" s="2" t="s">
        <v>589</v>
      </c>
      <c r="AF96" s="7">
        <f>VLOOKUP($B96,'[9]Subsidiary wise dispatch'!$A$3:$R$138,11,FALSE)*$H96*$O96*365</f>
        <v>0</v>
      </c>
      <c r="AG96" s="7">
        <f>VLOOKUP($B96,'[9]Subsidiary wise dispatch'!$A$3:$R$138,12,FALSE)*$H96*$O96*365</f>
        <v>0</v>
      </c>
      <c r="AH96" s="7">
        <f>VLOOKUP($B96,'[9]Subsidiary wise dispatch'!$A$3:$R$138,13,FALSE)*$H96*$O96*365</f>
        <v>0</v>
      </c>
      <c r="AI96" s="7">
        <f>VLOOKUP($B96,'[9]Subsidiary wise dispatch'!$A$3:$R$138,14,FALSE)*$H96*$O96*365</f>
        <v>0</v>
      </c>
      <c r="AJ96" s="7">
        <f>VLOOKUP($B96,'[9]Subsidiary wise dispatch'!$A$3:$R$138,15,FALSE)*$H96*$O96*365</f>
        <v>2323829.328535439</v>
      </c>
      <c r="AK96" s="7">
        <f>VLOOKUP($B96,'[9]Subsidiary wise dispatch'!$A$3:$R$138,16,FALSE)*$H96*$O96*365</f>
        <v>0</v>
      </c>
      <c r="AL96" s="7">
        <f>VLOOKUP($B96,'[9]Subsidiary wise dispatch'!$A$3:$R$138,17,FALSE)*$H96*$O96*365</f>
        <v>0</v>
      </c>
      <c r="AM96" s="7">
        <f>VLOOKUP($B96,'[9]Subsidiary wise dispatch'!$A$3:$R$138,18,FALSE)*$H96*$O96*365</f>
        <v>0</v>
      </c>
      <c r="AN96" s="15">
        <f t="shared" si="62"/>
        <v>2323829.328535439</v>
      </c>
      <c r="AO96" s="6">
        <v>6.2540016954501773E-2</v>
      </c>
      <c r="AP96" s="11">
        <f t="shared" si="63"/>
        <v>0.70629973552898628</v>
      </c>
      <c r="AQ96" s="11">
        <f t="shared" si="64"/>
        <v>0.7654898075231017</v>
      </c>
      <c r="AR96" s="3">
        <f>VLOOKUP(A96,[10]Sheet1!$A$2:$L$542,12,FALSE)</f>
        <v>1.88077850877192</v>
      </c>
      <c r="AS96" s="3">
        <f t="shared" si="72"/>
        <v>1.6740051900449815</v>
      </c>
      <c r="AT96" s="3">
        <f t="shared" si="73"/>
        <v>1.6717782052021373</v>
      </c>
      <c r="AU96" s="3">
        <f t="shared" si="65"/>
        <v>2.2269848428442263E-3</v>
      </c>
      <c r="AV96" s="88">
        <f t="shared" si="74"/>
        <v>4.8164349038449926E-2</v>
      </c>
      <c r="AW96" s="32">
        <f t="shared" si="75"/>
        <v>2.7441590067215582E-2</v>
      </c>
      <c r="AX96" s="12">
        <f t="shared" si="66"/>
        <v>690.05024368641716</v>
      </c>
      <c r="AY96" s="12">
        <f t="shared" si="67"/>
        <v>746.88363095610691</v>
      </c>
      <c r="AZ96" s="3">
        <f>VLOOKUP(A96,[5]Analysis!$A$3:$BJ$543,62,FALSE)</f>
        <v>0.4609190715884981</v>
      </c>
      <c r="BA96" s="2"/>
      <c r="BB96" s="2"/>
      <c r="BC96" s="2" t="str">
        <f>VLOOKUP(A96,'[6]FGD status - Jun 2020'!$I$2:$M$449,5,FALSE)</f>
        <v>Tender specification made</v>
      </c>
      <c r="BD96" s="2"/>
      <c r="BE96" s="2"/>
      <c r="BF96" s="2">
        <f t="shared" si="68"/>
        <v>693.41164464392523</v>
      </c>
      <c r="BG96" s="2">
        <f t="shared" si="69"/>
        <v>745.39899428330614</v>
      </c>
      <c r="BH96" s="2"/>
      <c r="BI96" s="2"/>
      <c r="BK96">
        <f t="shared" si="70"/>
        <v>470.56520097285835</v>
      </c>
      <c r="BP96" s="2" t="str">
        <f>VLOOKUP(A96,'[7]Table 2'!$J$2:$N$449,5,FALSE)</f>
        <v>Tender specification made</v>
      </c>
      <c r="BR96">
        <f t="shared" si="76"/>
        <v>506.69109398338094</v>
      </c>
      <c r="BS96">
        <f t="shared" si="77"/>
        <v>544.67939035184065</v>
      </c>
      <c r="BT96">
        <f>(X96*I96*365*[5]Analysis!BK96)/10^4</f>
        <v>502.41955107288936</v>
      </c>
      <c r="BU96">
        <f>(W96*R96*365*[5]Analysis!BK96)/10^4</f>
        <v>540.08759583250662</v>
      </c>
      <c r="BV96">
        <f>(X96*I96*365*[5]Analysis!BL96)/10^4</f>
        <v>4.2715429104916449</v>
      </c>
      <c r="BW96">
        <f>(W96*R96*365*[5]Analysis!BL96)/10^4</f>
        <v>4.5917945193341563</v>
      </c>
      <c r="BX96">
        <f t="shared" si="78"/>
        <v>3087092.1495692004</v>
      </c>
      <c r="BY96">
        <f t="shared" si="79"/>
        <v>3318541.5926068285</v>
      </c>
      <c r="BZ96">
        <f t="shared" si="80"/>
        <v>9842328.9453808982</v>
      </c>
      <c r="CA96">
        <f t="shared" si="81"/>
        <v>10667146.12930713</v>
      </c>
      <c r="CB96">
        <f t="shared" si="82"/>
        <v>-955193.95764328423</v>
      </c>
      <c r="CC96">
        <f t="shared" si="83"/>
        <v>-1121998.5720000002</v>
      </c>
      <c r="CD96">
        <f t="shared" si="84"/>
        <v>-4167826.8540937901</v>
      </c>
      <c r="CE96">
        <f t="shared" si="85"/>
        <v>-4517103.4560000002</v>
      </c>
      <c r="CF96">
        <f t="shared" si="86"/>
        <v>7360507.4654460987</v>
      </c>
      <c r="CG96">
        <f t="shared" si="87"/>
        <v>7977340.4400000004</v>
      </c>
      <c r="CH96">
        <f t="shared" si="88"/>
        <v>697375.13877410104</v>
      </c>
      <c r="CI96">
        <f t="shared" si="89"/>
        <v>755817.30234086234</v>
      </c>
      <c r="CJ96">
        <f t="shared" si="90"/>
        <v>-4078558.0003041131</v>
      </c>
      <c r="CK96">
        <f t="shared" si="91"/>
        <v>-4420353.6000000006</v>
      </c>
      <c r="CL96">
        <f t="shared" si="92"/>
        <v>1996740.4295288073</v>
      </c>
      <c r="CM96">
        <f t="shared" si="93"/>
        <v>2164073.3674193397</v>
      </c>
    </row>
    <row r="97" spans="1:91" x14ac:dyDescent="0.2">
      <c r="A97" s="2" t="s">
        <v>127</v>
      </c>
      <c r="B97" s="2" t="str">
        <f t="shared" si="94"/>
        <v>ANPARA C TPS</v>
      </c>
      <c r="C97" s="2" t="str">
        <f>VLOOKUP($A97,'[1]daily coal, energy reqd'!$C$2:$T$599,17,FALSE)</f>
        <v>Uttar Pradesh</v>
      </c>
      <c r="D97" s="2" t="str">
        <f>VLOOKUP(C97,'Target PLF'!$I$2:$J$19,2,FALSE)</f>
        <v>NR</v>
      </c>
      <c r="E97" s="2" t="str">
        <f>VLOOKUP(A97,[2]Ownership!$C$2:$D$666,2,FALSE)</f>
        <v>PVT SECTOR</v>
      </c>
      <c r="F97" s="2" t="s">
        <v>543</v>
      </c>
      <c r="G97" s="12">
        <v>8.5913757700205302</v>
      </c>
      <c r="H97" s="2">
        <v>600</v>
      </c>
      <c r="I97" s="2">
        <f>VLOOKUP(A97,'[3]Calculated coal req (reg.)'!$A$2:$I$599,9,FALSE)</f>
        <v>11.178778378092</v>
      </c>
      <c r="J97" s="2"/>
      <c r="K97" s="11">
        <v>0.77630405403416669</v>
      </c>
      <c r="L97" s="3">
        <f>VLOOKUP(F97,'Target PLF'!$A$2:$B$11,2,FALSE)</f>
        <v>0.85</v>
      </c>
      <c r="M97" s="3">
        <f t="shared" si="71"/>
        <v>7.3695945965833287E-2</v>
      </c>
      <c r="N97" s="2" t="str">
        <f t="shared" si="50"/>
        <v>0.15</v>
      </c>
      <c r="O97" s="2">
        <f t="shared" si="95"/>
        <v>10.508164372508972</v>
      </c>
      <c r="P97" s="2">
        <f t="shared" si="51"/>
        <v>2301287.9975794652</v>
      </c>
      <c r="Q97" s="2">
        <f t="shared" si="52"/>
        <v>11.533518177515401</v>
      </c>
      <c r="R97" s="2">
        <f t="shared" si="53"/>
        <v>12.24</v>
      </c>
      <c r="S97" s="2">
        <f t="shared" si="54"/>
        <v>2525840.4808758725</v>
      </c>
      <c r="T97" s="2" t="str">
        <f>VLOOKUP(A97,'[4]CEA vs MERIT comp. &amp; NPA marker'!$C$2:$K$735,9,FALSE)</f>
        <v>Contracted</v>
      </c>
      <c r="U97" s="3">
        <f>VLOOKUP(B97,'[8]Import-Domestic share'!$A$208:$F$406,6,FALSE)</f>
        <v>0</v>
      </c>
      <c r="V97" s="3">
        <f t="shared" si="55"/>
        <v>0</v>
      </c>
      <c r="W97" s="2">
        <f t="shared" si="56"/>
        <v>2647.023824451745</v>
      </c>
      <c r="X97" s="2">
        <f t="shared" si="57"/>
        <v>2671.3855817448057</v>
      </c>
      <c r="Y97" s="6">
        <f t="shared" si="58"/>
        <v>0.32489318458556915</v>
      </c>
      <c r="Z97" s="2">
        <f t="shared" si="59"/>
        <v>2410149.6934551382</v>
      </c>
      <c r="AA97" s="2">
        <f t="shared" si="60"/>
        <v>2221445.5524576446</v>
      </c>
      <c r="AB97" s="2" t="s">
        <v>598</v>
      </c>
      <c r="AC97" s="12">
        <f>VLOOKUP(B97,[9]Sheet1!$A$2:$B$137,2,FALSE)</f>
        <v>4906.6842902887674</v>
      </c>
      <c r="AD97" s="12">
        <f t="shared" si="61"/>
        <v>2944010.5741732605</v>
      </c>
      <c r="AE97" s="2" t="s">
        <v>589</v>
      </c>
      <c r="AF97" s="7">
        <f>VLOOKUP($B97,'[9]Subsidiary wise dispatch'!$A$3:$R$138,11,FALSE)*$H97*$O97*365</f>
        <v>0</v>
      </c>
      <c r="AG97" s="7">
        <f>VLOOKUP($B97,'[9]Subsidiary wise dispatch'!$A$3:$R$138,12,FALSE)*$H97*$O97*365</f>
        <v>0</v>
      </c>
      <c r="AH97" s="7">
        <f>VLOOKUP($B97,'[9]Subsidiary wise dispatch'!$A$3:$R$138,13,FALSE)*$H97*$O97*365</f>
        <v>0</v>
      </c>
      <c r="AI97" s="7">
        <f>VLOOKUP($B97,'[9]Subsidiary wise dispatch'!$A$3:$R$138,14,FALSE)*$H97*$O97*365</f>
        <v>0</v>
      </c>
      <c r="AJ97" s="7">
        <f>VLOOKUP($B97,'[9]Subsidiary wise dispatch'!$A$3:$R$138,15,FALSE)*$H97*$O97*365</f>
        <v>2301287.9975794652</v>
      </c>
      <c r="AK97" s="7">
        <f>VLOOKUP($B97,'[9]Subsidiary wise dispatch'!$A$3:$R$138,16,FALSE)*$H97*$O97*365</f>
        <v>0</v>
      </c>
      <c r="AL97" s="7">
        <f>VLOOKUP($B97,'[9]Subsidiary wise dispatch'!$A$3:$R$138,17,FALSE)*$H97*$O97*365</f>
        <v>0</v>
      </c>
      <c r="AM97" s="7">
        <f>VLOOKUP($B97,'[9]Subsidiary wise dispatch'!$A$3:$R$138,18,FALSE)*$H97*$O97*365</f>
        <v>0</v>
      </c>
      <c r="AN97" s="15">
        <f t="shared" si="62"/>
        <v>2301287.9975794652</v>
      </c>
      <c r="AO97" s="6">
        <v>6.2540016954501773E-2</v>
      </c>
      <c r="AP97" s="11">
        <f t="shared" si="63"/>
        <v>0.69912098929649147</v>
      </c>
      <c r="AQ97" s="11">
        <f t="shared" si="64"/>
        <v>0.7654898075231017</v>
      </c>
      <c r="AR97" s="3">
        <f>VLOOKUP(A97,[10]Sheet1!$A$2:$L$542,12,FALSE)</f>
        <v>1.88077850877192</v>
      </c>
      <c r="AS97" s="3">
        <f t="shared" si="72"/>
        <v>1.6763376104825405</v>
      </c>
      <c r="AT97" s="3">
        <f t="shared" si="73"/>
        <v>1.6738405303600017</v>
      </c>
      <c r="AU97" s="3">
        <f t="shared" si="65"/>
        <v>2.4970801225387973E-3</v>
      </c>
      <c r="AV97" s="88">
        <f t="shared" si="74"/>
        <v>5.4005863122681949E-2</v>
      </c>
      <c r="AW97" s="32">
        <f t="shared" si="75"/>
        <v>3.0726974493709619E-2</v>
      </c>
      <c r="AX97" s="12">
        <f t="shared" si="66"/>
        <v>683.988342157229</v>
      </c>
      <c r="AY97" s="12">
        <f t="shared" si="67"/>
        <v>747.80499534363435</v>
      </c>
      <c r="AZ97" s="3">
        <f>VLOOKUP(A97,[5]Analysis!$A$3:$BJ$543,62,FALSE)</f>
        <v>0.4609190715884981</v>
      </c>
      <c r="BA97" s="2"/>
      <c r="BB97" s="2"/>
      <c r="BC97" s="2" t="str">
        <f>VLOOKUP(A97,'[6]FGD status - Jun 2020'!$I$2:$M$449,5,FALSE)</f>
        <v>Tender specification made</v>
      </c>
      <c r="BD97" s="2"/>
      <c r="BE97" s="2"/>
      <c r="BF97" s="2">
        <f t="shared" si="68"/>
        <v>687.53739848564101</v>
      </c>
      <c r="BG97" s="2">
        <f t="shared" si="69"/>
        <v>745.94133012436532</v>
      </c>
      <c r="BH97" s="2"/>
      <c r="BI97" s="2"/>
      <c r="BK97">
        <f t="shared" si="70"/>
        <v>465.78243242050002</v>
      </c>
      <c r="BP97" s="2" t="str">
        <f>VLOOKUP(A97,'[7]Table 2'!$J$2:$N$449,5,FALSE)</f>
        <v>Tender specification made</v>
      </c>
      <c r="BR97">
        <f t="shared" si="76"/>
        <v>502.39865350410815</v>
      </c>
      <c r="BS97">
        <f t="shared" si="77"/>
        <v>545.07568704333005</v>
      </c>
      <c r="BT97">
        <f>(X97*I97*365*[5]Analysis!BK97)/10^4</f>
        <v>498.16329702735442</v>
      </c>
      <c r="BU97">
        <f>(W97*R97*365*[5]Analysis!BK97)/10^4</f>
        <v>540.48055163574463</v>
      </c>
      <c r="BV97">
        <f>(X97*I97*365*[5]Analysis!BL97)/10^4</f>
        <v>4.2353564767538812</v>
      </c>
      <c r="BW97">
        <f>(W97*R97*365*[5]Analysis!BL97)/10^4</f>
        <v>4.5951354075855653</v>
      </c>
      <c r="BX97">
        <f t="shared" si="78"/>
        <v>3060939.8065274442</v>
      </c>
      <c r="BY97">
        <f t="shared" si="79"/>
        <v>3320956.0901571591</v>
      </c>
      <c r="BZ97">
        <f t="shared" si="80"/>
        <v>9742292.6884188168</v>
      </c>
      <c r="CA97">
        <f t="shared" si="81"/>
        <v>10667146.12930713</v>
      </c>
      <c r="CB97">
        <f t="shared" si="82"/>
        <v>-935875.67863580107</v>
      </c>
      <c r="CC97">
        <f t="shared" si="83"/>
        <v>-1121998.5720000002</v>
      </c>
      <c r="CD97">
        <f t="shared" si="84"/>
        <v>-4125465.5592759349</v>
      </c>
      <c r="CE97">
        <f t="shared" si="85"/>
        <v>-4517103.4560000002</v>
      </c>
      <c r="CF97">
        <f t="shared" si="86"/>
        <v>7285696.1458620038</v>
      </c>
      <c r="CG97">
        <f t="shared" si="87"/>
        <v>7977340.4400000004</v>
      </c>
      <c r="CH97">
        <f t="shared" si="88"/>
        <v>711136.21903580241</v>
      </c>
      <c r="CI97">
        <f t="shared" si="89"/>
        <v>778645.66472279234</v>
      </c>
      <c r="CJ97">
        <f t="shared" si="90"/>
        <v>-4037104.0234641447</v>
      </c>
      <c r="CK97">
        <f t="shared" si="91"/>
        <v>-4420353.6000000006</v>
      </c>
      <c r="CL97">
        <f t="shared" si="92"/>
        <v>1976445.7980647103</v>
      </c>
      <c r="CM97">
        <f t="shared" si="93"/>
        <v>2164073.3674193397</v>
      </c>
    </row>
    <row r="98" spans="1:91" x14ac:dyDescent="0.2">
      <c r="A98" s="2" t="s">
        <v>134</v>
      </c>
      <c r="B98" s="2" t="str">
        <f t="shared" si="94"/>
        <v>RAJIV GANDHI TPS</v>
      </c>
      <c r="C98" s="2" t="str">
        <f>VLOOKUP($A98,'[1]daily coal, energy reqd'!$C$2:$T$599,17,FALSE)</f>
        <v>Haryana</v>
      </c>
      <c r="D98" s="2" t="str">
        <f>VLOOKUP(C98,'Target PLF'!$I$2:$J$19,2,FALSE)</f>
        <v>NR</v>
      </c>
      <c r="E98" s="2" t="str">
        <f>VLOOKUP(A98,[2]Ownership!$C$2:$D$666,2,FALSE)</f>
        <v>STATE SECTOR</v>
      </c>
      <c r="F98" s="2" t="s">
        <v>543</v>
      </c>
      <c r="G98" s="12">
        <v>9.5906913073237501</v>
      </c>
      <c r="H98" s="2">
        <v>600</v>
      </c>
      <c r="I98" s="2">
        <f>VLOOKUP(A98,'[3]Calculated coal req (reg.)'!$A$2:$I$599,9,FALSE)</f>
        <v>5.2190776910340704</v>
      </c>
      <c r="J98" s="2"/>
      <c r="K98" s="11">
        <v>0.36243595076625484</v>
      </c>
      <c r="L98" s="3">
        <f>VLOOKUP(F98,'Target PLF'!$A$2:$B$11,2,FALSE)</f>
        <v>0.85</v>
      </c>
      <c r="M98" s="3">
        <f t="shared" si="71"/>
        <v>0.48756404923374513</v>
      </c>
      <c r="N98" s="2" t="str">
        <f t="shared" si="50"/>
        <v>0.15</v>
      </c>
      <c r="O98" s="2">
        <f t="shared" si="95"/>
        <v>5.6712977109556135</v>
      </c>
      <c r="P98" s="2">
        <f t="shared" si="51"/>
        <v>1242014.1986992792</v>
      </c>
      <c r="Q98" s="2">
        <f t="shared" si="52"/>
        <v>12.454922597159481</v>
      </c>
      <c r="R98" s="2">
        <f t="shared" si="53"/>
        <v>12.24</v>
      </c>
      <c r="S98" s="2">
        <f t="shared" si="54"/>
        <v>2727628.0487779267</v>
      </c>
      <c r="T98" s="2" t="str">
        <f>VLOOKUP(A98,'[4]CEA vs MERIT comp. &amp; NPA marker'!$C$2:$K$735,9,FALSE)</f>
        <v>Contracted</v>
      </c>
      <c r="U98" s="3">
        <f>VLOOKUP(B98,'[8]Import-Domestic share'!$A$208:$F$406,6,FALSE)</f>
        <v>0</v>
      </c>
      <c r="V98" s="3">
        <f t="shared" si="55"/>
        <v>0</v>
      </c>
      <c r="W98" s="2">
        <f t="shared" si="56"/>
        <v>2654.6591317891853</v>
      </c>
      <c r="X98" s="2">
        <f t="shared" si="57"/>
        <v>2815.8337646212435</v>
      </c>
      <c r="Y98" s="6">
        <f t="shared" si="58"/>
        <v>0.32395872965444639</v>
      </c>
      <c r="Z98" s="2">
        <f t="shared" si="59"/>
        <v>2703331.9537634901</v>
      </c>
      <c r="AA98" s="2">
        <f t="shared" si="60"/>
        <v>1222672.0097248529</v>
      </c>
      <c r="AB98" s="2" t="s">
        <v>598</v>
      </c>
      <c r="AC98" s="12">
        <f>VLOOKUP(B98,[9]Sheet1!$A$2:$B$137,2,FALSE)</f>
        <v>4387.1619690176503</v>
      </c>
      <c r="AD98" s="12">
        <f t="shared" si="61"/>
        <v>2632297.1814105902</v>
      </c>
      <c r="AE98" s="2"/>
      <c r="AF98" s="7">
        <f>VLOOKUP($B98,'[9]Subsidiary wise dispatch'!$A$3:$R$138,11,FALSE)*$H98*$O98*365</f>
        <v>124494.97227985889</v>
      </c>
      <c r="AG98" s="7">
        <f>VLOOKUP($B98,'[9]Subsidiary wise dispatch'!$A$3:$R$138,12,FALSE)*$H98*$O98*365</f>
        <v>271791.88406234898</v>
      </c>
      <c r="AH98" s="7">
        <f>VLOOKUP($B98,'[9]Subsidiary wise dispatch'!$A$3:$R$138,13,FALSE)*$H98*$O98*365</f>
        <v>120702.97440711643</v>
      </c>
      <c r="AI98" s="7">
        <f>VLOOKUP($B98,'[9]Subsidiary wise dispatch'!$A$3:$R$138,14,FALSE)*$H98*$O98*365</f>
        <v>256821.23980749876</v>
      </c>
      <c r="AJ98" s="7">
        <f>VLOOKUP($B98,'[9]Subsidiary wise dispatch'!$A$3:$R$138,15,FALSE)*$H98*$O98*365</f>
        <v>468203.12814245629</v>
      </c>
      <c r="AK98" s="7">
        <f>VLOOKUP($B98,'[9]Subsidiary wise dispatch'!$A$3:$R$138,16,FALSE)*$H98*$O98*365</f>
        <v>0</v>
      </c>
      <c r="AL98" s="7">
        <f>VLOOKUP($B98,'[9]Subsidiary wise dispatch'!$A$3:$R$138,17,FALSE)*$H98*$O98*365</f>
        <v>0</v>
      </c>
      <c r="AM98" s="7">
        <f>VLOOKUP($B98,'[9]Subsidiary wise dispatch'!$A$3:$R$138,18,FALSE)*$H98*$O98*365</f>
        <v>0</v>
      </c>
      <c r="AN98" s="15">
        <f t="shared" si="62"/>
        <v>1242014.1986992792</v>
      </c>
      <c r="AO98" s="6">
        <v>6.0133050822696911E-2</v>
      </c>
      <c r="AP98" s="11">
        <f t="shared" si="63"/>
        <v>0.3138390640425554</v>
      </c>
      <c r="AQ98" s="11">
        <f t="shared" si="64"/>
        <v>0.73602854206981017</v>
      </c>
      <c r="AR98" s="3">
        <f>VLOOKUP(A98,[10]Sheet1!$A$2:$L$542,12,FALSE)</f>
        <v>3.5368923418423899</v>
      </c>
      <c r="AS98" s="3">
        <f t="shared" si="72"/>
        <v>2.9308618452597122</v>
      </c>
      <c r="AT98" s="3">
        <f t="shared" si="73"/>
        <v>2.9143414453944265</v>
      </c>
      <c r="AU98" s="3">
        <f t="shared" si="65"/>
        <v>1.652039986528564E-2</v>
      </c>
      <c r="AV98" s="88">
        <f t="shared" si="74"/>
        <v>0.35729668655947311</v>
      </c>
      <c r="AW98" s="32">
        <f t="shared" si="75"/>
        <v>0.11627169914042479</v>
      </c>
      <c r="AX98" s="12">
        <f t="shared" si="66"/>
        <v>558.31844203157391</v>
      </c>
      <c r="AY98" s="12">
        <f t="shared" si="67"/>
        <v>1302.0111841444141</v>
      </c>
      <c r="AZ98" s="3">
        <f>VLOOKUP(A98,[5]Analysis!$A$3:$BJ$543,62,FALSE)</f>
        <v>1.1162677565513563</v>
      </c>
      <c r="BA98" s="2"/>
      <c r="BB98" s="2"/>
      <c r="BC98" s="2" t="str">
        <f>VLOOKUP(A98,'[6]FGD status - Jun 2020'!$I$2:$M$449,5,FALSE)</f>
        <v>Retendering to be done</v>
      </c>
      <c r="BD98" s="2"/>
      <c r="BE98" s="2"/>
      <c r="BF98" s="2">
        <f t="shared" si="68"/>
        <v>378.41698700984199</v>
      </c>
      <c r="BG98" s="2">
        <f t="shared" si="69"/>
        <v>836.68123968980012</v>
      </c>
      <c r="BH98" s="2"/>
      <c r="BI98" s="2"/>
      <c r="BK98">
        <f t="shared" si="70"/>
        <v>217.46157045975292</v>
      </c>
      <c r="BL98">
        <f>VLOOKUP(A98,'[11]Daily coal vs energy req.2'!$C$2:$P$599,14,FALSE)</f>
        <v>0.77</v>
      </c>
      <c r="BM98">
        <f>VLOOKUP(A98,'[11]Daily coal vs energy req.2'!$C$2:$R$599,16,FALSE)</f>
        <v>0.78</v>
      </c>
      <c r="BN98">
        <f>BL98*H98</f>
        <v>462</v>
      </c>
      <c r="BO98">
        <f>BM98*H98</f>
        <v>468</v>
      </c>
      <c r="BP98" s="2" t="str">
        <f>VLOOKUP(A98,'[7]Table 2'!$J$2:$N$449,5,FALSE)</f>
        <v>NIT issued</v>
      </c>
      <c r="BR98">
        <f t="shared" si="76"/>
        <v>598.77273803231299</v>
      </c>
      <c r="BS98">
        <f t="shared" si="77"/>
        <v>1323.8885513781174</v>
      </c>
      <c r="BT98">
        <f>(X98*I98*365*[5]Analysis!BK98)/10^4</f>
        <v>227.05164473362836</v>
      </c>
      <c r="BU98">
        <f>(W98*R98*365*[5]Analysis!BK98)/10^4</f>
        <v>502.01195535759462</v>
      </c>
      <c r="BV98">
        <f>(X98*I98*365*[5]Analysis!BL98)/10^4</f>
        <v>371.72109329868471</v>
      </c>
      <c r="BW98">
        <f>(W98*R98*365*[5]Analysis!BL98)/10^4</f>
        <v>821.87659602052304</v>
      </c>
      <c r="BX98">
        <f t="shared" si="78"/>
        <v>1506345.6562160093</v>
      </c>
      <c r="BY98">
        <f t="shared" si="79"/>
        <v>3330535.346742712</v>
      </c>
      <c r="BZ98">
        <f t="shared" si="80"/>
        <v>11015501.917071676</v>
      </c>
      <c r="CA98">
        <f t="shared" si="81"/>
        <v>25834017.320068505</v>
      </c>
      <c r="CB98">
        <f t="shared" si="82"/>
        <v>-203993.81131041495</v>
      </c>
      <c r="CC98">
        <f t="shared" si="83"/>
        <v>-1121998.5720000002</v>
      </c>
      <c r="CD98">
        <f t="shared" si="84"/>
        <v>0</v>
      </c>
      <c r="CE98">
        <f t="shared" si="85"/>
        <v>0</v>
      </c>
      <c r="CF98">
        <f t="shared" si="86"/>
        <v>3401499.961126464</v>
      </c>
      <c r="CG98">
        <f t="shared" si="87"/>
        <v>7977340.4400000004</v>
      </c>
      <c r="CH98">
        <f t="shared" si="88"/>
        <v>370629.01205668988</v>
      </c>
      <c r="CI98">
        <f t="shared" si="89"/>
        <v>869214.71112936328</v>
      </c>
      <c r="CJ98">
        <f t="shared" si="90"/>
        <v>-1884817.7173400442</v>
      </c>
      <c r="CK98">
        <f t="shared" si="91"/>
        <v>-4420353.6000000006</v>
      </c>
      <c r="CL98">
        <f t="shared" si="92"/>
        <v>887236.84296712198</v>
      </c>
      <c r="CM98">
        <f t="shared" si="93"/>
        <v>2080785.0736872044</v>
      </c>
    </row>
    <row r="99" spans="1:91" x14ac:dyDescent="0.2">
      <c r="A99" s="2" t="s">
        <v>131</v>
      </c>
      <c r="B99" s="2" t="str">
        <f t="shared" si="94"/>
        <v>STERLITE TPP</v>
      </c>
      <c r="C99" s="2" t="str">
        <f>VLOOKUP($A99,'[1]daily coal, energy reqd'!$C$2:$T$599,17,FALSE)</f>
        <v>Odisha</v>
      </c>
      <c r="D99" s="2" t="str">
        <f>VLOOKUP(C99,'Target PLF'!$I$2:$J$19,2,FALSE)</f>
        <v>ER</v>
      </c>
      <c r="E99" s="2" t="str">
        <f>VLOOKUP(A99,[2]Ownership!$C$2:$D$666,2,FALSE)</f>
        <v>PVT SECTOR</v>
      </c>
      <c r="F99" s="2" t="s">
        <v>543</v>
      </c>
      <c r="G99" s="12">
        <v>9.4236824093086895</v>
      </c>
      <c r="H99" s="2">
        <v>600</v>
      </c>
      <c r="I99" s="2">
        <f>VLOOKUP(A99,'[3]Calculated coal req (reg.)'!$A$2:$I$599,9,FALSE)</f>
        <v>1.36523654376171</v>
      </c>
      <c r="J99" s="2"/>
      <c r="K99" s="11">
        <v>9.4808093316785413E-2</v>
      </c>
      <c r="L99" s="3">
        <f>VLOOKUP(F99,'Target PLF'!$A$2:$B$11,2,FALSE)</f>
        <v>0.85</v>
      </c>
      <c r="M99" s="3">
        <f t="shared" si="71"/>
        <v>0.75519190668321456</v>
      </c>
      <c r="N99" s="2" t="str">
        <f t="shared" si="50"/>
        <v>0.15</v>
      </c>
      <c r="O99" s="2">
        <v>2.1198999999999999</v>
      </c>
      <c r="P99" s="2">
        <f t="shared" si="51"/>
        <v>464258.09999999992</v>
      </c>
      <c r="Q99" s="2">
        <f t="shared" si="52"/>
        <v>11.559881490314853</v>
      </c>
      <c r="R99" s="2">
        <f t="shared" si="53"/>
        <v>12.24</v>
      </c>
      <c r="S99" s="2">
        <f t="shared" si="54"/>
        <v>2531614.0463789529</v>
      </c>
      <c r="T99" s="2" t="str">
        <f>VLOOKUP(A99,'[4]CEA vs MERIT comp. &amp; NPA marker'!$C$2:$K$735,9,FALSE)</f>
        <v>Not contracted</v>
      </c>
      <c r="U99" s="3">
        <f>VLOOKUP(B99,'[8]Import-Domestic share'!$A$208:$F$406,6,FALSE)</f>
        <v>6.9427017984107053E-2</v>
      </c>
      <c r="V99" s="3">
        <f t="shared" si="55"/>
        <v>32232.055457967366</v>
      </c>
      <c r="W99" s="2">
        <f t="shared" si="56"/>
        <v>2669.0358041203899</v>
      </c>
      <c r="X99" s="2">
        <f t="shared" si="57"/>
        <v>2918.6804989429479</v>
      </c>
      <c r="Y99" s="6">
        <f t="shared" si="58"/>
        <v>0.32221373676304893</v>
      </c>
      <c r="Z99" s="2">
        <f t="shared" si="59"/>
        <v>3380839.2706011459</v>
      </c>
      <c r="AA99" s="2">
        <f t="shared" si="60"/>
        <v>412366.30177369184</v>
      </c>
      <c r="AB99" s="2" t="s">
        <v>598</v>
      </c>
      <c r="AC99" s="12">
        <f>VLOOKUP(B99,[9]Sheet1!$A$2:$B$137,2,FALSE)</f>
        <v>3526.9894260214323</v>
      </c>
      <c r="AD99" s="12">
        <f t="shared" si="61"/>
        <v>2116193.6556128594</v>
      </c>
      <c r="AE99" s="2"/>
      <c r="AF99" s="7">
        <f>VLOOKUP($B99,'[9]Subsidiary wise dispatch'!$A$3:$R$138,11,FALSE)*$H99*$O99*365</f>
        <v>0</v>
      </c>
      <c r="AG99" s="7">
        <f>VLOOKUP($B99,'[9]Subsidiary wise dispatch'!$A$3:$R$138,12,FALSE)*$H99*$O99*365</f>
        <v>0</v>
      </c>
      <c r="AH99" s="7">
        <f>VLOOKUP($B99,'[9]Subsidiary wise dispatch'!$A$3:$R$138,13,FALSE)*$H99*$O99*365</f>
        <v>0</v>
      </c>
      <c r="AI99" s="7">
        <f>VLOOKUP($B99,'[9]Subsidiary wise dispatch'!$A$3:$R$138,14,FALSE)*$H99*$O99*365</f>
        <v>464258.09999999992</v>
      </c>
      <c r="AJ99" s="7">
        <f>VLOOKUP($B99,'[9]Subsidiary wise dispatch'!$A$3:$R$138,15,FALSE)*$H99*$O99*365</f>
        <v>0</v>
      </c>
      <c r="AK99" s="7">
        <f>VLOOKUP($B99,'[9]Subsidiary wise dispatch'!$A$3:$R$138,16,FALSE)*$H99*$O99*365</f>
        <v>0</v>
      </c>
      <c r="AL99" s="7">
        <f>VLOOKUP($B99,'[9]Subsidiary wise dispatch'!$A$3:$R$138,17,FALSE)*$H99*$O99*365</f>
        <v>0</v>
      </c>
      <c r="AM99" s="7">
        <f>VLOOKUP($B99,'[9]Subsidiary wise dispatch'!$A$3:$R$138,18,FALSE)*$H99*$O99*365</f>
        <v>0</v>
      </c>
      <c r="AN99" s="15">
        <f t="shared" si="62"/>
        <v>464258.09999999992</v>
      </c>
      <c r="AO99" s="6">
        <v>0.05</v>
      </c>
      <c r="AP99" s="11">
        <f t="shared" si="63"/>
        <v>6.8261827188085503E-2</v>
      </c>
      <c r="AQ99" s="11">
        <f t="shared" si="64"/>
        <v>0.6120000000000001</v>
      </c>
      <c r="AR99" s="3">
        <f>VLOOKUP(A99,[10]Sheet1!$A$2:$L$542,12,FALSE)</f>
        <v>1.6054299754299699</v>
      </c>
      <c r="AS99" s="3">
        <f t="shared" si="72"/>
        <v>2.0519486095554278</v>
      </c>
      <c r="AT99" s="3">
        <f t="shared" si="73"/>
        <v>2.0263600283361156</v>
      </c>
      <c r="AU99" s="3">
        <f t="shared" si="65"/>
        <v>2.5588581219312179E-2</v>
      </c>
      <c r="AV99" s="88">
        <f t="shared" si="74"/>
        <v>0.55341973305559333</v>
      </c>
      <c r="AW99" s="32">
        <f t="shared" si="75"/>
        <v>0.25723409903069661</v>
      </c>
      <c r="AX99" s="12">
        <f t="shared" si="66"/>
        <v>102.25092581054261</v>
      </c>
      <c r="AY99" s="12">
        <f t="shared" si="67"/>
        <v>905.29660625944302</v>
      </c>
      <c r="AZ99" s="3">
        <f>VLOOKUP(A99,[5]Analysis!$A$3:$BJ$543,62,FALSE)</f>
        <v>0.66165666747623308</v>
      </c>
      <c r="BA99" s="2"/>
      <c r="BB99" s="2"/>
      <c r="BC99" s="2" t="str">
        <f>VLOOKUP(A99,'[6]FGD status - Jun 2020'!$I$2:$M$449,5,FALSE)</f>
        <v>Feasibility Study started</v>
      </c>
      <c r="BD99" s="2"/>
      <c r="BE99" s="2"/>
      <c r="BF99" s="2">
        <f t="shared" si="68"/>
        <v>133.74260226084422</v>
      </c>
      <c r="BG99" s="2">
        <f t="shared" si="69"/>
        <v>1096.5062856275779</v>
      </c>
      <c r="BH99" s="2"/>
      <c r="BI99" s="2"/>
      <c r="BK99">
        <f t="shared" si="70"/>
        <v>56.884855990071244</v>
      </c>
      <c r="BL99" t="str">
        <f>VLOOKUP(A99,'[11]Daily coal vs energy req.2'!$C$2:$P$599,14,FALSE)</f>
        <v/>
      </c>
      <c r="BM99" t="str">
        <f>VLOOKUP(A99,'[11]Daily coal vs energy req.2'!$C$2:$R$599,16,FALSE)</f>
        <v/>
      </c>
      <c r="BP99" s="2" t="str">
        <f>VLOOKUP(A99,'[7]Table 2'!$J$2:$N$449,5,FALSE)</f>
        <v>Feasibility Study started</v>
      </c>
      <c r="BR99">
        <f t="shared" si="76"/>
        <v>96.232112313381535</v>
      </c>
      <c r="BS99">
        <f t="shared" si="77"/>
        <v>788.97160850095622</v>
      </c>
      <c r="BT99">
        <f>(X99*I99*365*[5]Analysis!BK99)/10^4</f>
        <v>70.095252157903204</v>
      </c>
      <c r="BU99">
        <f>(W99*R99*365*[5]Analysis!BK99)/10^4</f>
        <v>574.68512863154569</v>
      </c>
      <c r="BV99">
        <f>(X99*I99*365*[5]Analysis!BL99)/10^4</f>
        <v>26.136860155478345</v>
      </c>
      <c r="BW99">
        <f>(W99*R99*365*[5]Analysis!BL99)/10^4</f>
        <v>214.28647986941073</v>
      </c>
      <c r="BX99">
        <f t="shared" si="78"/>
        <v>408430.65086396132</v>
      </c>
      <c r="BY99">
        <f t="shared" si="79"/>
        <v>3348572.3198494408</v>
      </c>
      <c r="BZ99">
        <f t="shared" si="80"/>
        <v>1707979.863441013</v>
      </c>
      <c r="CA99">
        <f t="shared" si="81"/>
        <v>15312858.144651966</v>
      </c>
      <c r="CB99">
        <f t="shared" si="82"/>
        <v>-13958.709783806595</v>
      </c>
      <c r="CC99">
        <f t="shared" si="83"/>
        <v>-1121998.5720000002</v>
      </c>
      <c r="CD99">
        <f t="shared" si="84"/>
        <v>-503832.90115061397</v>
      </c>
      <c r="CE99">
        <f t="shared" si="85"/>
        <v>-4517103.4560000002</v>
      </c>
      <c r="CF99">
        <f t="shared" si="86"/>
        <v>889784.04335916007</v>
      </c>
      <c r="CG99">
        <f t="shared" si="87"/>
        <v>7977340.4400000004</v>
      </c>
      <c r="CH99">
        <f t="shared" si="88"/>
        <v>95263.006454954346</v>
      </c>
      <c r="CI99">
        <f t="shared" si="89"/>
        <v>854078.5143326486</v>
      </c>
      <c r="CJ99">
        <f t="shared" si="90"/>
        <v>-493041.52541410393</v>
      </c>
      <c r="CK99">
        <f t="shared" si="91"/>
        <v>-4420353.6000000006</v>
      </c>
      <c r="CL99">
        <f t="shared" si="92"/>
        <v>192979.18898111398</v>
      </c>
      <c r="CM99">
        <f t="shared" si="93"/>
        <v>1730150.9280000003</v>
      </c>
    </row>
    <row r="100" spans="1:91" x14ac:dyDescent="0.2">
      <c r="A100" s="2" t="s">
        <v>109</v>
      </c>
      <c r="B100" s="2" t="str">
        <f t="shared" si="94"/>
        <v>NORTH CHENNAI TPS</v>
      </c>
      <c r="C100" s="2" t="str">
        <f>VLOOKUP($A100,'[1]daily coal, energy reqd'!$C$2:$T$599,17,FALSE)</f>
        <v>Tamil Nadu</v>
      </c>
      <c r="D100" s="2" t="str">
        <f>VLOOKUP(C100,'Target PLF'!$I$2:$J$19,2,FALSE)</f>
        <v>SR</v>
      </c>
      <c r="E100" s="2" t="str">
        <f>VLOOKUP(A100,[2]Ownership!$C$2:$D$666,2,FALSE)</f>
        <v>STATE SECTOR</v>
      </c>
      <c r="F100" s="2" t="s">
        <v>543</v>
      </c>
      <c r="G100" s="12">
        <v>6.6009582477754902</v>
      </c>
      <c r="H100" s="2">
        <v>600</v>
      </c>
      <c r="I100" s="2">
        <f>VLOOKUP(A100,'[3]Calculated coal req (reg.)'!$A$2:$I$599,9,FALSE)</f>
        <v>8.3027348638879399</v>
      </c>
      <c r="J100" s="2"/>
      <c r="K100" s="11">
        <v>0.576578809992218</v>
      </c>
      <c r="L100" s="3">
        <f>VLOOKUP(F100,'Target PLF'!$A$2:$B$11,2,FALSE)</f>
        <v>0.85</v>
      </c>
      <c r="M100" s="3">
        <f t="shared" si="71"/>
        <v>0.27342119000778198</v>
      </c>
      <c r="N100" s="2" t="str">
        <f t="shared" si="50"/>
        <v>0.15</v>
      </c>
      <c r="O100" s="2">
        <f t="shared" ref="O100:O109" si="96">(13.9133*K100)+(-0.289097*N100)+(-0.0052079*H100)+(0.031675*G100)+3.492937+IF(E100="Pvt Sector",-0.8897511,0)</f>
        <v>8.556031759563016</v>
      </c>
      <c r="P100" s="2">
        <f t="shared" si="51"/>
        <v>1873770.9553443005</v>
      </c>
      <c r="Q100" s="2">
        <f t="shared" si="52"/>
        <v>12.360222802498289</v>
      </c>
      <c r="R100" s="2">
        <f t="shared" si="53"/>
        <v>12.24</v>
      </c>
      <c r="S100" s="2">
        <f t="shared" si="54"/>
        <v>2706888.7937471247</v>
      </c>
      <c r="T100" s="2" t="str">
        <f>VLOOKUP(A100,'[4]CEA vs MERIT comp. &amp; NPA marker'!$C$2:$K$735,9,FALSE)</f>
        <v>Contracted</v>
      </c>
      <c r="U100" s="3">
        <f>VLOOKUP(B100,'[8]Import-Domestic share'!$A$208:$F$406,6,FALSE)</f>
        <v>0.17717116061028612</v>
      </c>
      <c r="V100" s="3">
        <f t="shared" si="55"/>
        <v>331978.17487619433</v>
      </c>
      <c r="W100" s="2">
        <f t="shared" si="56"/>
        <v>2671.7601960456723</v>
      </c>
      <c r="X100" s="2">
        <f t="shared" si="57"/>
        <v>2762.1453669319726</v>
      </c>
      <c r="Y100" s="6">
        <f t="shared" si="58"/>
        <v>0.32188517565043429</v>
      </c>
      <c r="Z100" s="2">
        <f t="shared" si="59"/>
        <v>3189771.8208173197</v>
      </c>
      <c r="AA100" s="2">
        <f t="shared" si="60"/>
        <v>2236909.5538961953</v>
      </c>
      <c r="AB100" s="2" t="s">
        <v>598</v>
      </c>
      <c r="AC100" s="12">
        <f>VLOOKUP(B100,[9]Sheet1!$A$2:$B$137,2,FALSE)</f>
        <v>3742.0720109048975</v>
      </c>
      <c r="AD100" s="12">
        <f t="shared" si="61"/>
        <v>2245243.2065429385</v>
      </c>
      <c r="AE100" s="2"/>
      <c r="AF100" s="7">
        <f>VLOOKUP($B100,'[9]Subsidiary wise dispatch'!$A$3:$R$138,11,FALSE)*$H100*$O100*365</f>
        <v>0</v>
      </c>
      <c r="AG100" s="7">
        <f>VLOOKUP($B100,'[9]Subsidiary wise dispatch'!$A$3:$R$138,12,FALSE)*$H100*$O100*365</f>
        <v>0</v>
      </c>
      <c r="AH100" s="7">
        <f>VLOOKUP($B100,'[9]Subsidiary wise dispatch'!$A$3:$R$138,13,FALSE)*$H100*$O100*365</f>
        <v>0</v>
      </c>
      <c r="AI100" s="7">
        <f>VLOOKUP($B100,'[9]Subsidiary wise dispatch'!$A$3:$R$138,14,FALSE)*$H100*$O100*365</f>
        <v>1873770.9553443005</v>
      </c>
      <c r="AJ100" s="7">
        <f>VLOOKUP($B100,'[9]Subsidiary wise dispatch'!$A$3:$R$138,15,FALSE)*$H100*$O100*365</f>
        <v>0</v>
      </c>
      <c r="AK100" s="7">
        <f>VLOOKUP($B100,'[9]Subsidiary wise dispatch'!$A$3:$R$138,16,FALSE)*$H100*$O100*365</f>
        <v>0</v>
      </c>
      <c r="AL100" s="7">
        <f>VLOOKUP($B100,'[9]Subsidiary wise dispatch'!$A$3:$R$138,17,FALSE)*$H100*$O100*365</f>
        <v>0</v>
      </c>
      <c r="AM100" s="7">
        <f>VLOOKUP($B100,'[9]Subsidiary wise dispatch'!$A$3:$R$138,18,FALSE)*$H100*$O100*365</f>
        <v>0</v>
      </c>
      <c r="AN100" s="15">
        <f t="shared" si="62"/>
        <v>1873770.9553443005</v>
      </c>
      <c r="AO100" s="6">
        <v>7.8776329249988286E-2</v>
      </c>
      <c r="AP100" s="11">
        <f t="shared" si="63"/>
        <v>0.65405897531299306</v>
      </c>
      <c r="AQ100" s="11">
        <f t="shared" si="64"/>
        <v>0.96422227001985661</v>
      </c>
      <c r="AR100" s="3">
        <f>VLOOKUP(A100,[10]Sheet1!$A$2:$L$542,12,FALSE)</f>
        <v>3.1766666666666601</v>
      </c>
      <c r="AS100" s="3">
        <f t="shared" si="72"/>
        <v>3.2515193518233327</v>
      </c>
      <c r="AT100" s="3">
        <f t="shared" si="73"/>
        <v>3.2422548718074871</v>
      </c>
      <c r="AU100" s="3">
        <f t="shared" si="65"/>
        <v>9.2644800158456775E-3</v>
      </c>
      <c r="AV100" s="88">
        <f t="shared" si="74"/>
        <v>0.2003685164615028</v>
      </c>
      <c r="AW100" s="32">
        <f t="shared" si="75"/>
        <v>5.8773765666962123E-2</v>
      </c>
      <c r="AX100" s="12">
        <f t="shared" si="66"/>
        <v>985.37236252913135</v>
      </c>
      <c r="AY100" s="12">
        <f t="shared" si="67"/>
        <v>1448.509786528713</v>
      </c>
      <c r="AZ100" s="3">
        <f>VLOOKUP(A100,[5]Analysis!$A$3:$BJ$543,62,FALSE)</f>
        <v>1.2726010664453911</v>
      </c>
      <c r="BA100" s="2"/>
      <c r="BB100" s="2"/>
      <c r="BC100" s="2" t="str">
        <f>VLOOKUP(A100,'[6]FGD status - Jun 2020'!$I$2:$M$449,5,FALSE)</f>
        <v>Requsted for FGD implementation</v>
      </c>
      <c r="BD100" s="2"/>
      <c r="BE100" s="2"/>
      <c r="BF100" s="2">
        <f t="shared" si="68"/>
        <v>776.97657502075651</v>
      </c>
      <c r="BG100" s="2">
        <f t="shared" si="69"/>
        <v>1107.9473374860345</v>
      </c>
      <c r="BH100" s="2"/>
      <c r="BI100" s="2"/>
      <c r="BK100">
        <f t="shared" si="70"/>
        <v>345.94728599533079</v>
      </c>
      <c r="BP100" s="2" t="str">
        <f>VLOOKUP(A100,'[7]Table 2'!$J$2:$N$449,5,FALSE)</f>
        <v>Requsted for FGD impleme</v>
      </c>
      <c r="BR100">
        <f t="shared" si="76"/>
        <v>1065.2532009466277</v>
      </c>
      <c r="BS100">
        <f t="shared" si="77"/>
        <v>1519.0219186540633</v>
      </c>
      <c r="BT100">
        <f>(X100*I100*365*[5]Analysis!BK100)/10^4</f>
        <v>487.49157724892871</v>
      </c>
      <c r="BU100">
        <f>(W100*R100*365*[5]Analysis!BK100)/10^4</f>
        <v>695.14965112737059</v>
      </c>
      <c r="BV100">
        <f>(X100*I100*365*[5]Analysis!BL100)/10^4</f>
        <v>577.76162369769895</v>
      </c>
      <c r="BW100">
        <f>(W100*R100*365*[5]Analysis!BL100)/10^4</f>
        <v>823.87226752669244</v>
      </c>
      <c r="BX100">
        <f t="shared" si="78"/>
        <v>2350669.4653081452</v>
      </c>
      <c r="BY100">
        <f t="shared" si="79"/>
        <v>3351990.3419589004</v>
      </c>
      <c r="BZ100">
        <f t="shared" si="80"/>
        <v>19978165.23210768</v>
      </c>
      <c r="CA100">
        <f t="shared" si="81"/>
        <v>29452071.690807931</v>
      </c>
      <c r="CB100">
        <f t="shared" si="82"/>
        <v>-516263.95923511439</v>
      </c>
      <c r="CC100">
        <f t="shared" si="83"/>
        <v>-1121998.5720000002</v>
      </c>
      <c r="CD100">
        <f t="shared" si="84"/>
        <v>0</v>
      </c>
      <c r="CE100">
        <f t="shared" si="85"/>
        <v>0</v>
      </c>
      <c r="CF100">
        <f t="shared" si="86"/>
        <v>5411253.4797623502</v>
      </c>
      <c r="CG100">
        <f t="shared" si="87"/>
        <v>7977340.4400000004</v>
      </c>
      <c r="CH100">
        <f t="shared" si="88"/>
        <v>405811.07275147404</v>
      </c>
      <c r="CI100">
        <f t="shared" si="89"/>
        <v>598251.97503080021</v>
      </c>
      <c r="CJ100">
        <f t="shared" si="90"/>
        <v>-2998449.6687444909</v>
      </c>
      <c r="CK100">
        <f t="shared" si="91"/>
        <v>-4420353.6000000006</v>
      </c>
      <c r="CL100">
        <f t="shared" si="92"/>
        <v>1849053.5018047448</v>
      </c>
      <c r="CM100">
        <f t="shared" si="93"/>
        <v>2725898.7831260157</v>
      </c>
    </row>
    <row r="101" spans="1:91" x14ac:dyDescent="0.2">
      <c r="A101" s="2" t="s">
        <v>135</v>
      </c>
      <c r="B101" s="2" t="str">
        <f t="shared" si="94"/>
        <v>RAJIV GANDHI TPS</v>
      </c>
      <c r="C101" s="2" t="str">
        <f>VLOOKUP($A101,'[1]daily coal, energy reqd'!$C$2:$T$599,17,FALSE)</f>
        <v>Haryana</v>
      </c>
      <c r="D101" s="2" t="str">
        <f>VLOOKUP(C101,'Target PLF'!$I$2:$J$19,2,FALSE)</f>
        <v>NR</v>
      </c>
      <c r="E101" s="2" t="str">
        <f>VLOOKUP(A101,[2]Ownership!$C$2:$D$666,2,FALSE)</f>
        <v>STATE SECTOR</v>
      </c>
      <c r="F101" s="2" t="s">
        <v>544</v>
      </c>
      <c r="G101" s="12">
        <v>10.17659137577</v>
      </c>
      <c r="H101" s="2">
        <v>600</v>
      </c>
      <c r="I101" s="2">
        <f>VLOOKUP(A101,'[3]Calculated coal req (reg.)'!$A$2:$I$599,9,FALSE)</f>
        <v>4.0337931576132497</v>
      </c>
      <c r="J101" s="2"/>
      <c r="K101" s="11">
        <v>0.28012452483425343</v>
      </c>
      <c r="L101" s="3">
        <f>VLOOKUP(F101,'Target PLF'!$A$2:$B$11,2,FALSE)</f>
        <v>0.8</v>
      </c>
      <c r="M101" s="3">
        <f t="shared" si="71"/>
        <v>0.51987547516574661</v>
      </c>
      <c r="N101" s="2" t="str">
        <f t="shared" si="50"/>
        <v>0.15</v>
      </c>
      <c r="O101" s="2">
        <f t="shared" si="96"/>
        <v>4.5446325332039335</v>
      </c>
      <c r="P101" s="2">
        <f t="shared" si="51"/>
        <v>995274.5247716615</v>
      </c>
      <c r="Q101" s="2">
        <f t="shared" si="52"/>
        <v>12.473480981827516</v>
      </c>
      <c r="R101" s="2">
        <f t="shared" si="53"/>
        <v>11.52</v>
      </c>
      <c r="S101" s="2">
        <f t="shared" si="54"/>
        <v>2571004.5506072715</v>
      </c>
      <c r="T101" s="2" t="str">
        <f>VLOOKUP(A101,'[4]CEA vs MERIT comp. &amp; NPA marker'!$C$2:$K$735,9,FALSE)</f>
        <v>Contracted</v>
      </c>
      <c r="U101" s="3">
        <f>VLOOKUP(B101,'[8]Import-Domestic share'!$A$208:$F$406,6,FALSE)</f>
        <v>0</v>
      </c>
      <c r="V101" s="3">
        <f t="shared" si="55"/>
        <v>0</v>
      </c>
      <c r="W101" s="2">
        <f t="shared" si="56"/>
        <v>2675.6642829404514</v>
      </c>
      <c r="X101" s="2">
        <f t="shared" si="57"/>
        <v>2847.5201426165622</v>
      </c>
      <c r="Y101" s="6">
        <f t="shared" si="58"/>
        <v>0.32141550996633006</v>
      </c>
      <c r="Z101" s="2">
        <f t="shared" si="59"/>
        <v>2564444.4532389101</v>
      </c>
      <c r="AA101" s="2">
        <f t="shared" si="60"/>
        <v>955629.67180784524</v>
      </c>
      <c r="AB101" s="2" t="s">
        <v>598</v>
      </c>
      <c r="AC101" s="12">
        <f>VLOOKUP(B101,[9]Sheet1!$A$2:$B$137,2,FALSE)</f>
        <v>4387.1619690176503</v>
      </c>
      <c r="AD101" s="12">
        <f t="shared" si="61"/>
        <v>2632297.1814105902</v>
      </c>
      <c r="AE101" s="2"/>
      <c r="AF101" s="7">
        <f>VLOOKUP($B101,'[9]Subsidiary wise dispatch'!$A$3:$R$138,11,FALSE)*$H101*$O101*365</f>
        <v>99762.68749750292</v>
      </c>
      <c r="AG101" s="7">
        <f>VLOOKUP($B101,'[9]Subsidiary wise dispatch'!$A$3:$R$138,12,FALSE)*$H101*$O101*365</f>
        <v>217797.46039154989</v>
      </c>
      <c r="AH101" s="7">
        <f>VLOOKUP($B101,'[9]Subsidiary wise dispatch'!$A$3:$R$138,13,FALSE)*$H101*$O101*365</f>
        <v>96724.011381979159</v>
      </c>
      <c r="AI101" s="7">
        <f>VLOOKUP($B101,'[9]Subsidiary wise dispatch'!$A$3:$R$138,14,FALSE)*$H101*$O101*365</f>
        <v>205800.89798358726</v>
      </c>
      <c r="AJ101" s="7">
        <f>VLOOKUP($B101,'[9]Subsidiary wise dispatch'!$A$3:$R$138,15,FALSE)*$H101*$O101*365</f>
        <v>375189.46751704224</v>
      </c>
      <c r="AK101" s="7">
        <f>VLOOKUP($B101,'[9]Subsidiary wise dispatch'!$A$3:$R$138,16,FALSE)*$H101*$O101*365</f>
        <v>0</v>
      </c>
      <c r="AL101" s="7">
        <f>VLOOKUP($B101,'[9]Subsidiary wise dispatch'!$A$3:$R$138,17,FALSE)*$H101*$O101*365</f>
        <v>0</v>
      </c>
      <c r="AM101" s="7">
        <f>VLOOKUP($B101,'[9]Subsidiary wise dispatch'!$A$3:$R$138,18,FALSE)*$H101*$O101*365</f>
        <v>0</v>
      </c>
      <c r="AN101" s="15">
        <f t="shared" si="62"/>
        <v>995274.5247716615</v>
      </c>
      <c r="AO101" s="6">
        <v>6.0133050822696911E-2</v>
      </c>
      <c r="AP101" s="11">
        <f t="shared" si="63"/>
        <v>0.24256428895500459</v>
      </c>
      <c r="AQ101" s="11">
        <f t="shared" si="64"/>
        <v>0.69273274547746844</v>
      </c>
      <c r="AR101" s="3">
        <f>VLOOKUP(A101,[10]Sheet1!$A$2:$L$542,12,FALSE)</f>
        <v>3.5368923418423899</v>
      </c>
      <c r="AS101" s="3">
        <f t="shared" si="72"/>
        <v>2.9384479960610435</v>
      </c>
      <c r="AT101" s="3">
        <f t="shared" si="73"/>
        <v>2.9208327704442416</v>
      </c>
      <c r="AU101" s="3">
        <f t="shared" si="65"/>
        <v>1.7615225616801844E-2</v>
      </c>
      <c r="AV101" s="88">
        <f t="shared" si="74"/>
        <v>0.38097514571096247</v>
      </c>
      <c r="AW101" s="32">
        <f t="shared" si="75"/>
        <v>0.12365708720427944</v>
      </c>
      <c r="AX101" s="12">
        <f t="shared" si="66"/>
        <v>432.63783684873925</v>
      </c>
      <c r="AY101" s="12">
        <f t="shared" si="67"/>
        <v>1228.1517633163946</v>
      </c>
      <c r="AZ101" s="3">
        <f>VLOOKUP(A101,[5]Analysis!$A$3:$BJ$543,62,FALSE)</f>
        <v>1.1162677565513563</v>
      </c>
      <c r="BA101" s="2"/>
      <c r="BB101" s="2"/>
      <c r="BC101" s="2" t="str">
        <f>VLOOKUP(A101,'[6]FGD status - Jun 2020'!$I$2:$M$449,5,FALSE)</f>
        <v>Retendering to be done</v>
      </c>
      <c r="BD101" s="2"/>
      <c r="BE101" s="2"/>
      <c r="BF101" s="2">
        <f t="shared" si="68"/>
        <v>295.76738342452813</v>
      </c>
      <c r="BG101" s="2">
        <f t="shared" si="69"/>
        <v>793.69555827744261</v>
      </c>
      <c r="BH101" s="2"/>
      <c r="BI101" s="2"/>
      <c r="BK101">
        <f t="shared" si="70"/>
        <v>168.07471490055207</v>
      </c>
      <c r="BL101">
        <f>VLOOKUP(A101,'[11]Daily coal vs energy req.2'!$C$2:$P$599,14,FALSE)</f>
        <v>0.82</v>
      </c>
      <c r="BM101">
        <f>VLOOKUP(A101,'[11]Daily coal vs energy req.2'!$C$2:$R$599,16,FALSE)</f>
        <v>0.74</v>
      </c>
      <c r="BN101">
        <f>BL101*H101</f>
        <v>491.99999999999994</v>
      </c>
      <c r="BO101">
        <f>BM101*H101</f>
        <v>444</v>
      </c>
      <c r="BP101" s="2" t="str">
        <f>VLOOKUP(A101,'[7]Table 2'!$J$2:$N$449,5,FALSE)</f>
        <v>NIT issued</v>
      </c>
      <c r="BR101">
        <f t="shared" si="76"/>
        <v>467.99549722420795</v>
      </c>
      <c r="BS101">
        <f t="shared" si="77"/>
        <v>1255.8719056169364</v>
      </c>
      <c r="BT101">
        <f>(X101*I101*365*[5]Analysis!BK101)/10^4</f>
        <v>177.46156533758941</v>
      </c>
      <c r="BU101">
        <f>(W101*R101*365*[5]Analysis!BK101)/10^4</f>
        <v>476.22038151258204</v>
      </c>
      <c r="BV101">
        <f>(X101*I101*365*[5]Analysis!BL101)/10^4</f>
        <v>290.53393188661857</v>
      </c>
      <c r="BW101">
        <f>(W101*R101*365*[5]Analysis!BL101)/10^4</f>
        <v>779.65152410435428</v>
      </c>
      <c r="BX101">
        <f t="shared" si="78"/>
        <v>1177346.494913891</v>
      </c>
      <c r="BY101">
        <f t="shared" si="79"/>
        <v>3159424.3852960849</v>
      </c>
      <c r="BZ101">
        <f t="shared" si="80"/>
        <v>8513813.9133459553</v>
      </c>
      <c r="CA101">
        <f t="shared" si="81"/>
        <v>24314369.242417414</v>
      </c>
      <c r="CB101">
        <f t="shared" si="82"/>
        <v>-121858.74987858172</v>
      </c>
      <c r="CC101">
        <f t="shared" si="83"/>
        <v>-993881.08799999987</v>
      </c>
      <c r="CD101">
        <f t="shared" si="84"/>
        <v>0</v>
      </c>
      <c r="CE101">
        <f t="shared" si="85"/>
        <v>0</v>
      </c>
      <c r="CF101">
        <f t="shared" si="86"/>
        <v>2628998.4708189112</v>
      </c>
      <c r="CG101">
        <f t="shared" si="87"/>
        <v>7508085.1200000001</v>
      </c>
      <c r="CH101">
        <f t="shared" si="88"/>
        <v>303956.68467057939</v>
      </c>
      <c r="CI101">
        <f t="shared" si="89"/>
        <v>868061.61609856074</v>
      </c>
      <c r="CJ101">
        <f t="shared" si="90"/>
        <v>-1456764.0609404491</v>
      </c>
      <c r="CK101">
        <f t="shared" si="91"/>
        <v>-4160332.8</v>
      </c>
      <c r="CL101">
        <f t="shared" si="92"/>
        <v>685739.91770451202</v>
      </c>
      <c r="CM101">
        <f t="shared" si="93"/>
        <v>1958385.9517056041</v>
      </c>
    </row>
    <row r="102" spans="1:91" x14ac:dyDescent="0.2">
      <c r="A102" s="2" t="s">
        <v>112</v>
      </c>
      <c r="B102" s="2" t="str">
        <f t="shared" si="94"/>
        <v>NORTH CHENNAI TPS</v>
      </c>
      <c r="C102" s="2" t="str">
        <f>VLOOKUP($A102,'[1]daily coal, energy reqd'!$C$2:$T$599,17,FALSE)</f>
        <v>Tamil Nadu</v>
      </c>
      <c r="D102" s="2" t="str">
        <f>VLOOKUP(C102,'Target PLF'!$I$2:$J$19,2,FALSE)</f>
        <v>SR</v>
      </c>
      <c r="E102" s="2" t="str">
        <f>VLOOKUP(A102,[2]Ownership!$C$2:$D$666,2,FALSE)</f>
        <v>STATE SECTOR</v>
      </c>
      <c r="F102" s="2" t="s">
        <v>543</v>
      </c>
      <c r="G102" s="12">
        <v>7.1348391512662497</v>
      </c>
      <c r="H102" s="2">
        <v>600</v>
      </c>
      <c r="I102" s="2">
        <f>VLOOKUP(A102,'[3]Calculated coal req (reg.)'!$A$2:$I$599,9,FALSE)</f>
        <v>8.1824428753288494</v>
      </c>
      <c r="J102" s="2"/>
      <c r="K102" s="11">
        <v>0.56822519967561458</v>
      </c>
      <c r="L102" s="3">
        <f>VLOOKUP(F102,'Target PLF'!$A$2:$B$11,2,FALSE)</f>
        <v>0.85</v>
      </c>
      <c r="M102" s="3">
        <f t="shared" si="71"/>
        <v>0.2817748003243854</v>
      </c>
      <c r="N102" s="2" t="str">
        <f t="shared" si="50"/>
        <v>0.15</v>
      </c>
      <c r="O102" s="2">
        <f t="shared" si="96"/>
        <v>8.4567161507630875</v>
      </c>
      <c r="P102" s="2">
        <f t="shared" si="51"/>
        <v>1852020.8370171161</v>
      </c>
      <c r="Q102" s="2">
        <f t="shared" si="52"/>
        <v>12.377133480116358</v>
      </c>
      <c r="R102" s="2">
        <f t="shared" si="53"/>
        <v>12.24</v>
      </c>
      <c r="S102" s="2">
        <f t="shared" si="54"/>
        <v>2710592.2321454827</v>
      </c>
      <c r="T102" s="2" t="str">
        <f>VLOOKUP(A102,'[4]CEA vs MERIT comp. &amp; NPA marker'!$C$2:$K$735,9,FALSE)</f>
        <v>Contracted</v>
      </c>
      <c r="U102" s="3">
        <f>VLOOKUP(B102,'[8]Import-Domestic share'!$A$208:$F$406,6,FALSE)</f>
        <v>0.17717116061028612</v>
      </c>
      <c r="V102" s="3">
        <f t="shared" si="55"/>
        <v>328124.68116875604</v>
      </c>
      <c r="W102" s="2">
        <f t="shared" si="56"/>
        <v>2675.8393328423872</v>
      </c>
      <c r="X102" s="2">
        <f t="shared" si="57"/>
        <v>2768.9859667153796</v>
      </c>
      <c r="Y102" s="6">
        <f t="shared" si="58"/>
        <v>0.32139448338494692</v>
      </c>
      <c r="Z102" s="2">
        <f t="shared" si="59"/>
        <v>3194641.83708101</v>
      </c>
      <c r="AA102" s="2">
        <f t="shared" si="60"/>
        <v>2209960.2417221493</v>
      </c>
      <c r="AB102" s="2" t="s">
        <v>598</v>
      </c>
      <c r="AC102" s="12">
        <f>VLOOKUP(B102,[9]Sheet1!$A$2:$B$137,2,FALSE)</f>
        <v>3742.0720109048975</v>
      </c>
      <c r="AD102" s="12">
        <f t="shared" si="61"/>
        <v>2245243.2065429385</v>
      </c>
      <c r="AE102" s="2"/>
      <c r="AF102" s="7">
        <f>VLOOKUP($B102,'[9]Subsidiary wise dispatch'!$A$3:$R$138,11,FALSE)*$H102*$O102*365</f>
        <v>0</v>
      </c>
      <c r="AG102" s="7">
        <f>VLOOKUP($B102,'[9]Subsidiary wise dispatch'!$A$3:$R$138,12,FALSE)*$H102*$O102*365</f>
        <v>0</v>
      </c>
      <c r="AH102" s="7">
        <f>VLOOKUP($B102,'[9]Subsidiary wise dispatch'!$A$3:$R$138,13,FALSE)*$H102*$O102*365</f>
        <v>0</v>
      </c>
      <c r="AI102" s="7">
        <f>VLOOKUP($B102,'[9]Subsidiary wise dispatch'!$A$3:$R$138,14,FALSE)*$H102*$O102*365</f>
        <v>1852020.8370171161</v>
      </c>
      <c r="AJ102" s="7">
        <f>VLOOKUP($B102,'[9]Subsidiary wise dispatch'!$A$3:$R$138,15,FALSE)*$H102*$O102*365</f>
        <v>0</v>
      </c>
      <c r="AK102" s="7">
        <f>VLOOKUP($B102,'[9]Subsidiary wise dispatch'!$A$3:$R$138,16,FALSE)*$H102*$O102*365</f>
        <v>0</v>
      </c>
      <c r="AL102" s="7">
        <f>VLOOKUP($B102,'[9]Subsidiary wise dispatch'!$A$3:$R$138,17,FALSE)*$H102*$O102*365</f>
        <v>0</v>
      </c>
      <c r="AM102" s="7">
        <f>VLOOKUP($B102,'[9]Subsidiary wise dispatch'!$A$3:$R$138,18,FALSE)*$H102*$O102*365</f>
        <v>0</v>
      </c>
      <c r="AN102" s="15">
        <f t="shared" si="62"/>
        <v>1852020.8370171161</v>
      </c>
      <c r="AO102" s="6">
        <v>7.8776329249988286E-2</v>
      </c>
      <c r="AP102" s="11">
        <f t="shared" si="63"/>
        <v>0.64458281401612627</v>
      </c>
      <c r="AQ102" s="11">
        <f t="shared" si="64"/>
        <v>0.96422227001985661</v>
      </c>
      <c r="AR102" s="3">
        <f>VLOOKUP(A102,[10]Sheet1!$A$2:$L$542,12,FALSE)</f>
        <v>3.1766666666666601</v>
      </c>
      <c r="AS102" s="3">
        <f t="shared" si="72"/>
        <v>3.2561736344510295</v>
      </c>
      <c r="AT102" s="3">
        <f t="shared" si="73"/>
        <v>3.2466261044790481</v>
      </c>
      <c r="AU102" s="3">
        <f t="shared" si="65"/>
        <v>9.5475299719813833E-3</v>
      </c>
      <c r="AV102" s="88">
        <f t="shared" si="74"/>
        <v>0.2064902091737161</v>
      </c>
      <c r="AW102" s="32">
        <f t="shared" si="75"/>
        <v>6.0482855434377973E-2</v>
      </c>
      <c r="AX102" s="12">
        <f t="shared" si="66"/>
        <v>972.48609859573276</v>
      </c>
      <c r="AY102" s="12">
        <f t="shared" si="67"/>
        <v>1450.4626784370596</v>
      </c>
      <c r="AZ102" s="3">
        <f>VLOOKUP(A102,[5]Analysis!$A$3:$BJ$543,62,FALSE)</f>
        <v>1.2726010664453911</v>
      </c>
      <c r="BA102" s="2"/>
      <c r="BB102" s="2"/>
      <c r="BC102" s="2" t="str">
        <f>VLOOKUP(A102,'[6]FGD status - Jun 2020'!$I$2:$M$449,5,FALSE)</f>
        <v>Requsted for FGD implementation</v>
      </c>
      <c r="BD102" s="2"/>
      <c r="BE102" s="2"/>
      <c r="BF102" s="2">
        <f t="shared" si="68"/>
        <v>767.61589960333311</v>
      </c>
      <c r="BG102" s="2">
        <f t="shared" si="69"/>
        <v>1109.6389072458701</v>
      </c>
      <c r="BH102" s="2"/>
      <c r="BI102" s="2"/>
      <c r="BK102">
        <f t="shared" si="70"/>
        <v>340.93511980536874</v>
      </c>
      <c r="BP102" s="2" t="str">
        <f>VLOOKUP(A102,'[7]Table 2'!$J$2:$N$449,5,FALSE)</f>
        <v>Requsted for FGD impleme</v>
      </c>
      <c r="BR102">
        <f t="shared" si="76"/>
        <v>1052.4194942790025</v>
      </c>
      <c r="BS102">
        <f t="shared" si="77"/>
        <v>1521.3411006721835</v>
      </c>
      <c r="BT102">
        <f>(X102*I102*365*[5]Analysis!BK102)/10^4</f>
        <v>481.61849101948468</v>
      </c>
      <c r="BU102">
        <f>(W102*R102*365*[5]Analysis!BK102)/10^4</f>
        <v>696.21097786071084</v>
      </c>
      <c r="BV102">
        <f>(X102*I102*365*[5]Analysis!BL102)/10^4</f>
        <v>570.80100325951764</v>
      </c>
      <c r="BW102">
        <f>(W102*R102*365*[5]Analysis!BL102)/10^4</f>
        <v>825.13012281147269</v>
      </c>
      <c r="BX102">
        <f t="shared" si="78"/>
        <v>2322349.623261672</v>
      </c>
      <c r="BY102">
        <f t="shared" si="79"/>
        <v>3357108.0269840593</v>
      </c>
      <c r="BZ102">
        <f t="shared" si="80"/>
        <v>19688716.843964532</v>
      </c>
      <c r="CA102">
        <f t="shared" si="81"/>
        <v>29452071.690807931</v>
      </c>
      <c r="CB102">
        <f t="shared" si="82"/>
        <v>-501412.81873299205</v>
      </c>
      <c r="CC102">
        <f t="shared" si="83"/>
        <v>-1121998.5720000002</v>
      </c>
      <c r="CD102">
        <f t="shared" si="84"/>
        <v>0</v>
      </c>
      <c r="CE102">
        <f t="shared" si="85"/>
        <v>0</v>
      </c>
      <c r="CF102">
        <f t="shared" si="86"/>
        <v>5332853.9581168881</v>
      </c>
      <c r="CG102">
        <f t="shared" si="87"/>
        <v>7977340.4400000004</v>
      </c>
      <c r="CH102">
        <f t="shared" si="88"/>
        <v>432277.77383323887</v>
      </c>
      <c r="CI102">
        <f t="shared" si="89"/>
        <v>646638.17790554359</v>
      </c>
      <c r="CJ102">
        <f t="shared" si="90"/>
        <v>-2955007.4199962607</v>
      </c>
      <c r="CK102">
        <f t="shared" si="91"/>
        <v>-4420353.6000000006</v>
      </c>
      <c r="CL102">
        <f t="shared" si="92"/>
        <v>1822263.9768674057</v>
      </c>
      <c r="CM102">
        <f t="shared" si="93"/>
        <v>2725898.7831260157</v>
      </c>
    </row>
    <row r="103" spans="1:91" x14ac:dyDescent="0.2">
      <c r="A103" s="2" t="s">
        <v>17</v>
      </c>
      <c r="B103" s="2" t="str">
        <f t="shared" si="94"/>
        <v>MUNDRA UMTPP</v>
      </c>
      <c r="C103" s="2" t="str">
        <f>VLOOKUP($A103,'[1]daily coal, energy reqd'!$C$2:$T$599,17,FALSE)</f>
        <v>Gujarat</v>
      </c>
      <c r="D103" s="2" t="str">
        <f>VLOOKUP(C103,'Target PLF'!$I$2:$J$19,2,FALSE)</f>
        <v>WR</v>
      </c>
      <c r="E103" s="2" t="str">
        <f>VLOOKUP(A103,[2]Ownership!$C$2:$D$666,2,FALSE)</f>
        <v>PVT SECTOR</v>
      </c>
      <c r="F103" s="2" t="s">
        <v>543</v>
      </c>
      <c r="G103" s="12">
        <v>7.1759069130732298</v>
      </c>
      <c r="H103" s="2">
        <v>800</v>
      </c>
      <c r="I103" s="2">
        <f>VLOOKUP(A103,'[3]Calculated coal req (reg.)'!$A$2:$I$599,9,FALSE)</f>
        <v>11.7740050320461</v>
      </c>
      <c r="J103" s="2"/>
      <c r="K103" s="11">
        <v>0.61322942875240105</v>
      </c>
      <c r="L103" s="3">
        <f>VLOOKUP(F103,'Target PLF'!$A$2:$B$11,2,FALSE)</f>
        <v>0.85</v>
      </c>
      <c r="M103" s="3">
        <f t="shared" si="71"/>
        <v>0.23677057124759893</v>
      </c>
      <c r="N103" s="2" t="str">
        <f t="shared" si="50"/>
        <v>0.15</v>
      </c>
      <c r="O103" s="2">
        <f t="shared" si="96"/>
        <v>7.1528432125323764</v>
      </c>
      <c r="P103" s="2">
        <f t="shared" si="51"/>
        <v>2088630.2180594539</v>
      </c>
      <c r="Q103" s="2">
        <f t="shared" si="52"/>
        <v>10.447103201471595</v>
      </c>
      <c r="R103" s="2">
        <f t="shared" si="53"/>
        <v>16.32</v>
      </c>
      <c r="S103" s="2">
        <f t="shared" si="54"/>
        <v>3050554.1348297056</v>
      </c>
      <c r="T103" s="2" t="str">
        <f>VLOOKUP(A103,'[4]CEA vs MERIT comp. &amp; NPA marker'!$C$2:$K$735,9,FALSE)</f>
        <v>Contracted</v>
      </c>
      <c r="U103" s="3">
        <f>VLOOKUP(B103,'[8]Import-Domestic share'!$A$208:$F$406,6,FALSE)</f>
        <v>1</v>
      </c>
      <c r="V103" s="3">
        <f t="shared" si="55"/>
        <v>2088630.2180594539</v>
      </c>
      <c r="W103" s="2">
        <f t="shared" si="56"/>
        <v>2676.5160222778923</v>
      </c>
      <c r="X103" s="2">
        <f t="shared" si="57"/>
        <v>2754.7855541398958</v>
      </c>
      <c r="Y103" s="6">
        <f t="shared" si="58"/>
        <v>0.32131322691208219</v>
      </c>
      <c r="Z103" s="2">
        <f t="shared" si="59"/>
        <v>3719895.1566740437</v>
      </c>
      <c r="AA103" s="2">
        <f t="shared" si="60"/>
        <v>2762184.6771996333</v>
      </c>
      <c r="AB103" s="2" t="s">
        <v>598</v>
      </c>
      <c r="AC103" s="12"/>
      <c r="AD103" s="12">
        <f t="shared" si="61"/>
        <v>0</v>
      </c>
      <c r="AE103" s="2"/>
      <c r="AF103" s="7"/>
      <c r="AG103" s="7"/>
      <c r="AH103" s="7"/>
      <c r="AI103" s="7"/>
      <c r="AJ103" s="7"/>
      <c r="AK103" s="7"/>
      <c r="AL103" s="7"/>
      <c r="AM103" s="7"/>
      <c r="AN103" s="15">
        <f t="shared" si="62"/>
        <v>0</v>
      </c>
      <c r="AO103" s="6">
        <v>7.7721035120439194E-2</v>
      </c>
      <c r="AP103" s="11">
        <f t="shared" si="63"/>
        <v>0.91508785860388275</v>
      </c>
      <c r="AQ103" s="11">
        <f t="shared" si="64"/>
        <v>1.2684072931655677</v>
      </c>
      <c r="AR103" s="3">
        <f>VLOOKUP(A103,[10]Sheet1!$A$2:$L$542,12,FALSE)</f>
        <v>1.7424751657907001</v>
      </c>
      <c r="AS103" s="3">
        <f t="shared" si="72"/>
        <v>3.0368784222843375</v>
      </c>
      <c r="AT103" s="3">
        <f t="shared" si="73"/>
        <v>3.0288557952684823</v>
      </c>
      <c r="AU103" s="3">
        <f t="shared" si="65"/>
        <v>8.0226270158552104E-3</v>
      </c>
      <c r="AV103" s="88">
        <f t="shared" si="74"/>
        <v>0.17351021002166545</v>
      </c>
      <c r="AW103" s="32">
        <f t="shared" si="75"/>
        <v>5.4492659894277429E-2</v>
      </c>
      <c r="AX103" s="12">
        <f t="shared" si="66"/>
        <v>1305.1020966376122</v>
      </c>
      <c r="AY103" s="12">
        <f t="shared" si="67"/>
        <v>1804.2288201255294</v>
      </c>
      <c r="AZ103" s="3">
        <f>VLOOKUP(A103,[5]Analysis!$A$3:$BJ$543,62,FALSE)</f>
        <v>1.2224735304310752</v>
      </c>
      <c r="BA103" s="2"/>
      <c r="BB103" s="2"/>
      <c r="BC103" s="2" t="str">
        <f>VLOOKUP(A103,'[6]FGD status - Jun 2020'!$I$2:$M$449,5,FALSE)</f>
        <v>Bid opened</v>
      </c>
      <c r="BD103" s="2"/>
      <c r="BE103" s="2"/>
      <c r="BF103" s="2">
        <f t="shared" si="68"/>
        <v>1444.8988046431282</v>
      </c>
      <c r="BG103" s="2">
        <f t="shared" si="69"/>
        <v>1945.8771564561923</v>
      </c>
      <c r="BH103" s="2"/>
      <c r="BI103" s="2"/>
      <c r="BK103">
        <f t="shared" si="70"/>
        <v>490.58354300192082</v>
      </c>
      <c r="BL103">
        <f>VLOOKUP(A103,'[11]Daily coal vs energy req.2'!$C$2:$P$599,14,FALSE)</f>
        <v>0.5</v>
      </c>
      <c r="BM103">
        <f>VLOOKUP(A103,'[11]Daily coal vs energy req.2'!$C$2:$R$599,16,FALSE)</f>
        <v>0.51</v>
      </c>
      <c r="BN103">
        <f>BL103*H103</f>
        <v>400</v>
      </c>
      <c r="BO103">
        <f>BM103*H103</f>
        <v>408</v>
      </c>
      <c r="BP103" s="2" t="str">
        <f>VLOOKUP(A103,'[7]Table 2'!$J$2:$N$449,5,FALSE)</f>
        <v>Bid Awarded</v>
      </c>
      <c r="BR103">
        <f t="shared" si="76"/>
        <v>1447.2526145210536</v>
      </c>
      <c r="BS103">
        <f t="shared" si="77"/>
        <v>1949.0470842444756</v>
      </c>
      <c r="BT103">
        <f>(X103*I103*365*[5]Analysis!BK103)/10^4</f>
        <v>1447.2526145210536</v>
      </c>
      <c r="BU103">
        <f>(W103*R103*365*[5]Analysis!BK103)/10^4</f>
        <v>1949.0470842444756</v>
      </c>
      <c r="BV103">
        <f>(X103*I103*365*[5]Analysis!BL103)/10^4</f>
        <v>0</v>
      </c>
      <c r="BW103">
        <f>(W103*R103*365*[5]Analysis!BL103)/10^4</f>
        <v>0</v>
      </c>
      <c r="BX103">
        <f t="shared" si="78"/>
        <v>3324573.0451067314</v>
      </c>
      <c r="BY103">
        <f t="shared" si="79"/>
        <v>4477276.0020664586</v>
      </c>
      <c r="BZ103">
        <f t="shared" si="80"/>
        <v>27214842.779261615</v>
      </c>
      <c r="CA103">
        <f t="shared" si="81"/>
        <v>37722612.904333487</v>
      </c>
      <c r="CB103">
        <f t="shared" si="82"/>
        <v>-778644.40291073977</v>
      </c>
      <c r="CC103">
        <f t="shared" si="83"/>
        <v>-1495998.0959999999</v>
      </c>
      <c r="CD103">
        <f t="shared" si="84"/>
        <v>-4345130.6226484338</v>
      </c>
      <c r="CE103">
        <f t="shared" si="85"/>
        <v>-6022804.608</v>
      </c>
      <c r="CF103">
        <f t="shared" si="86"/>
        <v>7673631.2486033374</v>
      </c>
      <c r="CG103">
        <f t="shared" si="87"/>
        <v>10636453.920000002</v>
      </c>
      <c r="CH103">
        <f t="shared" si="88"/>
        <v>625600.01560820569</v>
      </c>
      <c r="CI103">
        <f t="shared" si="89"/>
        <v>867146.92468172393</v>
      </c>
      <c r="CJ103">
        <f t="shared" si="90"/>
        <v>-5669418.9030308388</v>
      </c>
      <c r="CK103">
        <f t="shared" si="91"/>
        <v>-7858406.4000000004</v>
      </c>
      <c r="CL103">
        <f t="shared" si="92"/>
        <v>2586993.6401389549</v>
      </c>
      <c r="CM103">
        <f t="shared" si="93"/>
        <v>3585843.2276999592</v>
      </c>
    </row>
    <row r="104" spans="1:91" x14ac:dyDescent="0.2">
      <c r="A104" s="2" t="s">
        <v>21</v>
      </c>
      <c r="B104" s="2" t="str">
        <f t="shared" si="94"/>
        <v>MUNDRA UMTPP</v>
      </c>
      <c r="C104" s="2" t="str">
        <f>VLOOKUP($A104,'[1]daily coal, energy reqd'!$C$2:$T$599,17,FALSE)</f>
        <v>Gujarat</v>
      </c>
      <c r="D104" s="2" t="str">
        <f>VLOOKUP(C104,'Target PLF'!$I$2:$J$19,2,FALSE)</f>
        <v>WR</v>
      </c>
      <c r="E104" s="2" t="str">
        <f>VLOOKUP(A104,[2]Ownership!$C$2:$D$666,2,FALSE)</f>
        <v>PVT SECTOR</v>
      </c>
      <c r="F104" s="2" t="s">
        <v>543</v>
      </c>
      <c r="G104" s="12">
        <v>7.3374401095140298</v>
      </c>
      <c r="H104" s="2">
        <v>800</v>
      </c>
      <c r="I104" s="2">
        <f>VLOOKUP(A104,'[3]Calculated coal req (reg.)'!$A$2:$I$599,9,FALSE)</f>
        <v>14.915336574147601</v>
      </c>
      <c r="J104" s="2"/>
      <c r="K104" s="11">
        <v>0.77684044657018758</v>
      </c>
      <c r="L104" s="3">
        <f>VLOOKUP(F104,'Target PLF'!$A$2:$B$11,2,FALSE)</f>
        <v>0.85</v>
      </c>
      <c r="M104" s="3">
        <f t="shared" si="71"/>
        <v>7.3159553429812396E-2</v>
      </c>
      <c r="N104" s="2" t="str">
        <f t="shared" si="50"/>
        <v>0.15</v>
      </c>
      <c r="O104" s="2">
        <f t="shared" si="96"/>
        <v>9.4343289507338479</v>
      </c>
      <c r="P104" s="2">
        <f t="shared" si="51"/>
        <v>2754824.0536142834</v>
      </c>
      <c r="Q104" s="2">
        <f t="shared" si="52"/>
        <v>10.452219765468858</v>
      </c>
      <c r="R104" s="2">
        <f t="shared" si="53"/>
        <v>16.32</v>
      </c>
      <c r="S104" s="2">
        <f t="shared" si="54"/>
        <v>3052048.171516906</v>
      </c>
      <c r="T104" s="2" t="str">
        <f>VLOOKUP(A104,'[4]CEA vs MERIT comp. &amp; NPA marker'!$C$2:$K$735,9,FALSE)</f>
        <v>Contracted</v>
      </c>
      <c r="U104" s="3">
        <f>VLOOKUP(B104,'[8]Import-Domestic share'!$A$208:$F$406,6,FALSE)</f>
        <v>1</v>
      </c>
      <c r="V104" s="3">
        <f t="shared" si="55"/>
        <v>2754824.0536142834</v>
      </c>
      <c r="W104" s="2">
        <f t="shared" si="56"/>
        <v>2677.7502226420265</v>
      </c>
      <c r="X104" s="2">
        <f t="shared" si="57"/>
        <v>2701.9346640107833</v>
      </c>
      <c r="Y104" s="6">
        <f t="shared" si="58"/>
        <v>0.32116513061157481</v>
      </c>
      <c r="Z104" s="2">
        <f t="shared" si="59"/>
        <v>3721610.482089133</v>
      </c>
      <c r="AA104" s="2">
        <f t="shared" si="60"/>
        <v>3432010.4279055516</v>
      </c>
      <c r="AB104" s="2" t="s">
        <v>598</v>
      </c>
      <c r="AC104" s="12"/>
      <c r="AD104" s="12">
        <f t="shared" si="61"/>
        <v>0</v>
      </c>
      <c r="AE104" s="2"/>
      <c r="AF104" s="7"/>
      <c r="AG104" s="7"/>
      <c r="AH104" s="7"/>
      <c r="AI104" s="7"/>
      <c r="AJ104" s="7"/>
      <c r="AK104" s="7"/>
      <c r="AL104" s="7"/>
      <c r="AM104" s="7"/>
      <c r="AN104" s="15">
        <f t="shared" si="62"/>
        <v>0</v>
      </c>
      <c r="AO104" s="6">
        <v>7.7721035120439194E-2</v>
      </c>
      <c r="AP104" s="11">
        <f t="shared" si="63"/>
        <v>1.159235397712497</v>
      </c>
      <c r="AQ104" s="11">
        <f t="shared" si="64"/>
        <v>1.2684072931655677</v>
      </c>
      <c r="AR104" s="3">
        <f>VLOOKUP(A104,[10]Sheet1!$A$2:$L$542,12,FALSE)</f>
        <v>1.7424751657907001</v>
      </c>
      <c r="AS104" s="3">
        <f t="shared" si="72"/>
        <v>3.0326572785991495</v>
      </c>
      <c r="AT104" s="3">
        <f t="shared" si="73"/>
        <v>3.0301783733588521</v>
      </c>
      <c r="AU104" s="3">
        <f t="shared" si="65"/>
        <v>2.4789052402973688E-3</v>
      </c>
      <c r="AV104" s="88">
        <f t="shared" si="74"/>
        <v>5.3612783944435125E-2</v>
      </c>
      <c r="AW104" s="32">
        <f t="shared" si="75"/>
        <v>1.6861080566201534E-2</v>
      </c>
      <c r="AX104" s="12">
        <f t="shared" si="66"/>
        <v>1651.0082968885861</v>
      </c>
      <c r="AY104" s="12">
        <f t="shared" si="67"/>
        <v>1805.0166534424011</v>
      </c>
      <c r="AZ104" s="3">
        <f>VLOOKUP(A104,[5]Analysis!$A$3:$BJ$543,62,FALSE)</f>
        <v>1.2224735304310752</v>
      </c>
      <c r="BA104" s="2"/>
      <c r="BB104" s="2"/>
      <c r="BC104" s="2" t="str">
        <f>VLOOKUP(A104,'[6]FGD status - Jun 2020'!$I$2:$M$449,5,FALSE)</f>
        <v>Bid opened</v>
      </c>
      <c r="BD104" s="2"/>
      <c r="BE104" s="2"/>
      <c r="BF104" s="2">
        <f t="shared" si="68"/>
        <v>1795.2846548373939</v>
      </c>
      <c r="BG104" s="2">
        <f t="shared" si="69"/>
        <v>1946.7744431808255</v>
      </c>
      <c r="BH104" s="2"/>
      <c r="BI104" s="2"/>
      <c r="BK104">
        <f t="shared" si="70"/>
        <v>621.47235725615008</v>
      </c>
      <c r="BL104">
        <f>VLOOKUP(A104,'[11]Daily coal vs energy req.2'!$C$2:$P$599,14,FALSE)</f>
        <v>0.53</v>
      </c>
      <c r="BM104">
        <f>VLOOKUP(A104,'[11]Daily coal vs energy req.2'!$C$2:$R$599,16,FALSE)</f>
        <v>0.55000000000000004</v>
      </c>
      <c r="BN104">
        <f>BL104*H104</f>
        <v>424</v>
      </c>
      <c r="BO104">
        <f>BM104*H104</f>
        <v>440.00000000000006</v>
      </c>
      <c r="BP104" s="2" t="str">
        <f>VLOOKUP(A104,'[7]Table 2'!$J$2:$N$449,5,FALSE)</f>
        <v>Bid Awarded</v>
      </c>
      <c r="BR104">
        <f t="shared" si="76"/>
        <v>1798.2092601735353</v>
      </c>
      <c r="BS104">
        <f t="shared" si="77"/>
        <v>1949.9458326924828</v>
      </c>
      <c r="BT104">
        <f>(X104*I104*365*[5]Analysis!BK104)/10^4</f>
        <v>1798.2092601735353</v>
      </c>
      <c r="BU104">
        <f>(W104*R104*365*[5]Analysis!BK104)/10^4</f>
        <v>1949.9458326924828</v>
      </c>
      <c r="BV104">
        <f>(X104*I104*365*[5]Analysis!BL104)/10^4</f>
        <v>0</v>
      </c>
      <c r="BW104">
        <f>(W104*R104*365*[5]Analysis!BL104)/10^4</f>
        <v>0</v>
      </c>
      <c r="BX104">
        <f t="shared" si="78"/>
        <v>4130777.1537954169</v>
      </c>
      <c r="BY104">
        <f t="shared" si="79"/>
        <v>4479340.5724355811</v>
      </c>
      <c r="BZ104">
        <f t="shared" si="80"/>
        <v>34475825.240466751</v>
      </c>
      <c r="CA104">
        <f t="shared" si="81"/>
        <v>37722612.904333487</v>
      </c>
      <c r="CB104">
        <f t="shared" si="82"/>
        <v>-1249559.2329347653</v>
      </c>
      <c r="CC104">
        <f t="shared" si="83"/>
        <v>-1495998.0959999999</v>
      </c>
      <c r="CD104">
        <f t="shared" si="84"/>
        <v>-5504421.436804357</v>
      </c>
      <c r="CE104">
        <f t="shared" si="85"/>
        <v>-6022804.608</v>
      </c>
      <c r="CF104">
        <f t="shared" si="86"/>
        <v>9720973.6625129674</v>
      </c>
      <c r="CG104">
        <f t="shared" si="87"/>
        <v>10636453.920000002</v>
      </c>
      <c r="CH104">
        <f t="shared" si="88"/>
        <v>810351.35906250344</v>
      </c>
      <c r="CI104">
        <f t="shared" si="89"/>
        <v>886666.82874743314</v>
      </c>
      <c r="CJ104">
        <f t="shared" si="90"/>
        <v>-7182032.867183554</v>
      </c>
      <c r="CK104">
        <f t="shared" si="91"/>
        <v>-7858406.4000000004</v>
      </c>
      <c r="CL104">
        <f t="shared" si="92"/>
        <v>3277209.4756907281</v>
      </c>
      <c r="CM104">
        <f t="shared" si="93"/>
        <v>3585843.2276999592</v>
      </c>
    </row>
    <row r="105" spans="1:91" x14ac:dyDescent="0.2">
      <c r="A105" s="2" t="s">
        <v>48</v>
      </c>
      <c r="B105" s="2" t="str">
        <f t="shared" si="94"/>
        <v>PAINAMPURAM TPP</v>
      </c>
      <c r="C105" s="2" t="str">
        <f>VLOOKUP($A105,'[1]daily coal, energy reqd'!$C$2:$T$599,17,FALSE)</f>
        <v>Andhra Pradesh</v>
      </c>
      <c r="D105" s="2" t="str">
        <f>VLOOKUP(C105,'Target PLF'!$I$2:$J$19,2,FALSE)</f>
        <v>SR</v>
      </c>
      <c r="E105" s="2" t="str">
        <f>VLOOKUP(A105,[2]Ownership!$C$2:$D$666,2,FALSE)</f>
        <v>PVT SECTOR</v>
      </c>
      <c r="F105" s="2" t="s">
        <v>542</v>
      </c>
      <c r="G105" s="12">
        <v>4.6735112936344896</v>
      </c>
      <c r="H105" s="2">
        <v>660</v>
      </c>
      <c r="I105" s="2">
        <f>VLOOKUP(A105,'[3]Calculated coal req (reg.)'!$A$2:$I$599,9,FALSE)</f>
        <v>13.611962717578299</v>
      </c>
      <c r="J105" s="2"/>
      <c r="K105" s="11">
        <v>0.85934108065519565</v>
      </c>
      <c r="L105" s="3">
        <f>VLOOKUP(F105,'Target PLF'!$A$2:$B$11,2,FALSE)</f>
        <v>0.85</v>
      </c>
      <c r="M105" s="3">
        <f t="shared" si="71"/>
        <v>-9.3410806551956771E-3</v>
      </c>
      <c r="N105" s="2" t="str">
        <f t="shared" si="50"/>
        <v>0.15</v>
      </c>
      <c r="O105" s="2">
        <f t="shared" si="96"/>
        <v>11.226911077705804</v>
      </c>
      <c r="P105" s="2">
        <f t="shared" si="51"/>
        <v>2704562.8786193281</v>
      </c>
      <c r="Q105" s="2">
        <f t="shared" si="52"/>
        <v>11.096945820225873</v>
      </c>
      <c r="R105" s="2">
        <f t="shared" si="53"/>
        <v>13.464</v>
      </c>
      <c r="S105" s="2">
        <f t="shared" si="54"/>
        <v>2673254.2480924129</v>
      </c>
      <c r="T105" s="2" t="str">
        <f>VLOOKUP(A105,'[4]CEA vs MERIT comp. &amp; NPA marker'!$C$2:$K$735,9,FALSE)</f>
        <v>Contracted</v>
      </c>
      <c r="U105" s="3">
        <f>VLOOKUP(B105,'[8]Import-Domestic share'!$A$208:$F$406,6,FALSE)</f>
        <v>0.51543963834409801</v>
      </c>
      <c r="V105" s="3">
        <f t="shared" si="55"/>
        <v>1394038.9120344191</v>
      </c>
      <c r="W105" s="2">
        <f t="shared" si="56"/>
        <v>2677.7534508855829</v>
      </c>
      <c r="X105" s="2">
        <f t="shared" si="57"/>
        <v>2674.6655586440984</v>
      </c>
      <c r="Y105" s="6">
        <f t="shared" si="58"/>
        <v>0.32116474342161039</v>
      </c>
      <c r="Z105" s="2">
        <f t="shared" si="59"/>
        <v>3515112.1264091302</v>
      </c>
      <c r="AA105" s="2">
        <f t="shared" si="60"/>
        <v>3549643.423314671</v>
      </c>
      <c r="AB105" s="2" t="s">
        <v>598</v>
      </c>
      <c r="AC105" s="12">
        <f>VLOOKUP(B105,[9]Sheet1!$A$2:$B$137,2,FALSE)</f>
        <v>3743.6770082031862</v>
      </c>
      <c r="AD105" s="12">
        <f t="shared" si="61"/>
        <v>2470826.825414103</v>
      </c>
      <c r="AE105" s="2"/>
      <c r="AF105" s="7">
        <f>VLOOKUP($B105,'[9]Subsidiary wise dispatch'!$A$3:$R$138,11,FALSE)*$H105*$O105*365</f>
        <v>0</v>
      </c>
      <c r="AG105" s="7">
        <f>VLOOKUP($B105,'[9]Subsidiary wise dispatch'!$A$3:$R$138,12,FALSE)*$H105*$O105*365</f>
        <v>0</v>
      </c>
      <c r="AH105" s="7">
        <f>VLOOKUP($B105,'[9]Subsidiary wise dispatch'!$A$3:$R$138,13,FALSE)*$H105*$O105*365</f>
        <v>0</v>
      </c>
      <c r="AI105" s="7">
        <f>VLOOKUP($B105,'[9]Subsidiary wise dispatch'!$A$3:$R$138,14,FALSE)*$H105*$O105*365</f>
        <v>2704562.8786193281</v>
      </c>
      <c r="AJ105" s="7">
        <f>VLOOKUP($B105,'[9]Subsidiary wise dispatch'!$A$3:$R$138,15,FALSE)*$H105*$O105*365</f>
        <v>0</v>
      </c>
      <c r="AK105" s="7">
        <f>VLOOKUP($B105,'[9]Subsidiary wise dispatch'!$A$3:$R$138,16,FALSE)*$H105*$O105*365</f>
        <v>0</v>
      </c>
      <c r="AL105" s="7">
        <f>VLOOKUP($B105,'[9]Subsidiary wise dispatch'!$A$3:$R$138,17,FALSE)*$H105*$O105*365</f>
        <v>0</v>
      </c>
      <c r="AM105" s="7">
        <f>VLOOKUP($B105,'[9]Subsidiary wise dispatch'!$A$3:$R$138,18,FALSE)*$H105*$O105*365</f>
        <v>0</v>
      </c>
      <c r="AN105" s="15">
        <f t="shared" si="62"/>
        <v>2704562.8786193281</v>
      </c>
      <c r="AO105" s="6">
        <v>5.9223285155824042E-2</v>
      </c>
      <c r="AP105" s="11">
        <f t="shared" si="63"/>
        <v>0.80614514955358518</v>
      </c>
      <c r="AQ105" s="11">
        <f t="shared" si="64"/>
        <v>0.79738231133801496</v>
      </c>
      <c r="AR105" s="3">
        <f>VLOOKUP(A105,[10]Sheet1!$A$2:$L$542,12,FALSE)</f>
        <v>2.2044338211181902</v>
      </c>
      <c r="AS105" s="3">
        <f t="shared" si="72"/>
        <v>3.1702974557088983</v>
      </c>
      <c r="AT105" s="3">
        <f t="shared" si="73"/>
        <v>3.1706139646636502</v>
      </c>
      <c r="AU105" s="3">
        <f t="shared" si="65"/>
        <v>-3.1650895475188179E-4</v>
      </c>
      <c r="AV105" s="88">
        <f t="shared" si="74"/>
        <v>-6.8453307257404965E-3</v>
      </c>
      <c r="AW105" s="32">
        <f t="shared" si="75"/>
        <v>2.0593719870770706E-3</v>
      </c>
      <c r="AX105" s="12">
        <f t="shared" si="66"/>
        <v>1575.1199331321145</v>
      </c>
      <c r="AY105" s="12">
        <f t="shared" si="67"/>
        <v>1558.1538443384457</v>
      </c>
      <c r="AZ105" s="3">
        <f>VLOOKUP(A105,[5]Analysis!$A$3:$BJ$543,62,FALSE)</f>
        <v>1.290269855437874</v>
      </c>
      <c r="BA105" s="2"/>
      <c r="BB105" s="2"/>
      <c r="BC105" s="2" t="str">
        <f>VLOOKUP(A105,'[6]FGD status - Jun 2020'!$I$2:$M$449,5,FALSE)</f>
        <v>Bid Opened</v>
      </c>
      <c r="BD105" s="2"/>
      <c r="BE105" s="2"/>
      <c r="BF105" s="2">
        <f t="shared" si="68"/>
        <v>1489.4229501328025</v>
      </c>
      <c r="BG105" s="2">
        <f t="shared" si="69"/>
        <v>1474.9336902338646</v>
      </c>
      <c r="BH105" s="2"/>
      <c r="BI105" s="2"/>
      <c r="BK105">
        <f t="shared" si="70"/>
        <v>567.16511323242912</v>
      </c>
      <c r="BL105" t="str">
        <f>VLOOKUP(A105,'[11]Daily coal vs energy req.2'!$C$2:$P$599,14,FALSE)</f>
        <v/>
      </c>
      <c r="BM105" t="str">
        <f>VLOOKUP(A105,'[11]Daily coal vs energy req.2'!$C$2:$R$599,16,FALSE)</f>
        <v/>
      </c>
      <c r="BP105" s="2" t="str">
        <f>VLOOKUP(A105,'[7]Table 2'!$J$2:$N$449,5,FALSE)</f>
        <v>Bid Opened</v>
      </c>
      <c r="BR105">
        <f t="shared" si="76"/>
        <v>1714.6032860767618</v>
      </c>
      <c r="BS105">
        <f t="shared" si="77"/>
        <v>1697.9234486717287</v>
      </c>
      <c r="BT105">
        <f>(X105*I105*365*[5]Analysis!BK105)/10^4</f>
        <v>1218.9020985753307</v>
      </c>
      <c r="BU105">
        <f>(W105*R105*365*[5]Analysis!BK105)/10^4</f>
        <v>1207.0444933893461</v>
      </c>
      <c r="BV105">
        <f>(X105*I105*365*[5]Analysis!BL105)/10^4</f>
        <v>495.70118750143109</v>
      </c>
      <c r="BW105">
        <f>(W105*R105*365*[5]Analysis!BL105)/10^4</f>
        <v>490.87895528238278</v>
      </c>
      <c r="BX105">
        <f t="shared" si="78"/>
        <v>3731763.406291056</v>
      </c>
      <c r="BY105">
        <f t="shared" si="79"/>
        <v>3695460.4274291573</v>
      </c>
      <c r="BZ105">
        <f t="shared" si="80"/>
        <v>33208055.804765813</v>
      </c>
      <c r="CA105">
        <f t="shared" si="81"/>
        <v>32847082.572300252</v>
      </c>
      <c r="CB105">
        <f t="shared" si="82"/>
        <v>-1261473.9461246973</v>
      </c>
      <c r="CC105">
        <f t="shared" si="83"/>
        <v>-1234198.4292000001</v>
      </c>
      <c r="CD105">
        <f t="shared" si="84"/>
        <v>-5023418.6139310533</v>
      </c>
      <c r="CE105">
        <f t="shared" si="85"/>
        <v>-4968813.8016000008</v>
      </c>
      <c r="CF105">
        <f t="shared" si="86"/>
        <v>8871508.2234239932</v>
      </c>
      <c r="CG105">
        <f t="shared" si="87"/>
        <v>8775074.4840000011</v>
      </c>
      <c r="CH105">
        <f t="shared" si="88"/>
        <v>471042.16549629119</v>
      </c>
      <c r="CI105">
        <f t="shared" si="89"/>
        <v>465921.91352771997</v>
      </c>
      <c r="CJ105">
        <f t="shared" si="90"/>
        <v>-5407406.6374088498</v>
      </c>
      <c r="CK105">
        <f t="shared" si="91"/>
        <v>-5348627.8560000015</v>
      </c>
      <c r="CL105">
        <f t="shared" si="92"/>
        <v>2279007.8081745654</v>
      </c>
      <c r="CM105">
        <f t="shared" si="93"/>
        <v>2254234.8789742668</v>
      </c>
    </row>
    <row r="106" spans="1:91" x14ac:dyDescent="0.2">
      <c r="A106" s="2" t="s">
        <v>22</v>
      </c>
      <c r="B106" s="2" t="str">
        <f t="shared" ref="B106:B119" si="97">LEFT(A106,LEN(A106)-LEN(RIGHT(A106,1)))</f>
        <v>MUNDRA UMTPP</v>
      </c>
      <c r="C106" s="2" t="str">
        <f>VLOOKUP($A106,'[1]daily coal, energy reqd'!$C$2:$T$599,17,FALSE)</f>
        <v>Gujarat</v>
      </c>
      <c r="D106" s="2" t="str">
        <f>VLOOKUP(C106,'Target PLF'!$I$2:$J$19,2,FALSE)</f>
        <v>WR</v>
      </c>
      <c r="E106" s="2" t="str">
        <f>VLOOKUP(A106,[2]Ownership!$C$2:$D$666,2,FALSE)</f>
        <v>PVT SECTOR</v>
      </c>
      <c r="F106" s="2" t="s">
        <v>543</v>
      </c>
      <c r="G106" s="12">
        <v>7.5893223819301801</v>
      </c>
      <c r="H106" s="2">
        <v>800</v>
      </c>
      <c r="I106" s="2">
        <f>VLOOKUP(A106,'[3]Calculated coal req (reg.)'!$A$2:$I$599,9,FALSE)</f>
        <v>16.703360893938498</v>
      </c>
      <c r="J106" s="2"/>
      <c r="K106" s="11">
        <v>0.86996671322596342</v>
      </c>
      <c r="L106" s="3">
        <f>VLOOKUP(F106,'Target PLF'!$A$2:$B$11,2,FALSE)</f>
        <v>0.85</v>
      </c>
      <c r="M106" s="3">
        <f t="shared" si="71"/>
        <v>-1.9966713225963439E-2</v>
      </c>
      <c r="N106" s="2" t="str">
        <f t="shared" si="50"/>
        <v>0.15</v>
      </c>
      <c r="O106" s="2">
        <f t="shared" si="96"/>
        <v>10.738001007574436</v>
      </c>
      <c r="P106" s="2">
        <f t="shared" si="51"/>
        <v>3135496.294211735</v>
      </c>
      <c r="Q106" s="2">
        <f t="shared" si="52"/>
        <v>10.460198136447639</v>
      </c>
      <c r="R106" s="2">
        <f t="shared" si="53"/>
        <v>16.32</v>
      </c>
      <c r="S106" s="2">
        <f t="shared" si="54"/>
        <v>3054377.8558427109</v>
      </c>
      <c r="T106" s="2" t="str">
        <f>VLOOKUP(A106,'[4]CEA vs MERIT comp. &amp; NPA marker'!$C$2:$K$735,9,FALSE)</f>
        <v>Contracted</v>
      </c>
      <c r="U106" s="3">
        <f>VLOOKUP(B106,'[8]Import-Domestic share'!$A$208:$F$406,6,FALSE)</f>
        <v>1</v>
      </c>
      <c r="V106" s="3">
        <f t="shared" si="55"/>
        <v>3135496.294211735</v>
      </c>
      <c r="W106" s="2">
        <f t="shared" si="56"/>
        <v>2679.6747384640657</v>
      </c>
      <c r="X106" s="2">
        <f t="shared" si="57"/>
        <v>2673.0743181129028</v>
      </c>
      <c r="Y106" s="6">
        <f t="shared" si="58"/>
        <v>0.320934472999859</v>
      </c>
      <c r="Z106" s="2">
        <f t="shared" si="59"/>
        <v>3724285.2268041871</v>
      </c>
      <c r="AA106" s="2">
        <f t="shared" si="60"/>
        <v>3802380.6898254338</v>
      </c>
      <c r="AB106" s="2" t="s">
        <v>598</v>
      </c>
      <c r="AC106" s="12"/>
      <c r="AD106" s="12">
        <f t="shared" si="61"/>
        <v>0</v>
      </c>
      <c r="AE106" s="2"/>
      <c r="AF106" s="7"/>
      <c r="AG106" s="7"/>
      <c r="AH106" s="7"/>
      <c r="AI106" s="7"/>
      <c r="AJ106" s="7"/>
      <c r="AK106" s="7"/>
      <c r="AL106" s="7"/>
      <c r="AM106" s="7"/>
      <c r="AN106" s="15">
        <f t="shared" si="62"/>
        <v>0</v>
      </c>
      <c r="AO106" s="6">
        <v>7.7721035120439194E-2</v>
      </c>
      <c r="AP106" s="11">
        <f t="shared" si="63"/>
        <v>1.2982024986671648</v>
      </c>
      <c r="AQ106" s="11">
        <f t="shared" si="64"/>
        <v>1.2684072931655677</v>
      </c>
      <c r="AR106" s="3">
        <f>VLOOKUP(A106,[10]Sheet1!$A$2:$L$542,12,FALSE)</f>
        <v>1.7424751657907001</v>
      </c>
      <c r="AS106" s="3">
        <f t="shared" si="72"/>
        <v>3.031564155430722</v>
      </c>
      <c r="AT106" s="3">
        <f t="shared" si="73"/>
        <v>3.0322406985167163</v>
      </c>
      <c r="AU106" s="3">
        <f t="shared" si="65"/>
        <v>-6.7654308599429669E-4</v>
      </c>
      <c r="AV106" s="88">
        <f t="shared" si="74"/>
        <v>-1.4632006786250528E-2</v>
      </c>
      <c r="AW106" s="32">
        <f t="shared" si="75"/>
        <v>4.6033872234755493E-3</v>
      </c>
      <c r="AX106" s="12">
        <f t="shared" si="66"/>
        <v>1848.2618208869833</v>
      </c>
      <c r="AY106" s="12">
        <f t="shared" si="67"/>
        <v>1806.2451392924372</v>
      </c>
      <c r="AZ106" s="3">
        <f>VLOOKUP(A106,[5]Analysis!$A$3:$BJ$543,62,FALSE)</f>
        <v>1.2224735304310752</v>
      </c>
      <c r="BA106" s="2"/>
      <c r="BB106" s="2"/>
      <c r="BC106" s="2" t="str">
        <f>VLOOKUP(A106,'[6]FGD status - Jun 2020'!$I$2:$M$449,5,FALSE)</f>
        <v>Bid opened</v>
      </c>
      <c r="BD106" s="2"/>
      <c r="BE106" s="2"/>
      <c r="BF106" s="2">
        <f t="shared" si="68"/>
        <v>1989.0253388476845</v>
      </c>
      <c r="BG106" s="2">
        <f t="shared" si="69"/>
        <v>1948.1736021412701</v>
      </c>
      <c r="BH106" s="2"/>
      <c r="BI106" s="2"/>
      <c r="BK106">
        <f t="shared" si="70"/>
        <v>695.97337058077073</v>
      </c>
      <c r="BL106">
        <f>VLOOKUP(A106,'[11]Daily coal vs energy req.2'!$C$2:$P$599,14,FALSE)</f>
        <v>0.5</v>
      </c>
      <c r="BM106">
        <f>VLOOKUP(A106,'[11]Daily coal vs energy req.2'!$C$2:$R$599,16,FALSE)</f>
        <v>0.55000000000000004</v>
      </c>
      <c r="BN106">
        <f>BL106*H106</f>
        <v>400</v>
      </c>
      <c r="BO106">
        <f>BM106*H106</f>
        <v>440.00000000000006</v>
      </c>
      <c r="BP106" s="2" t="str">
        <f>VLOOKUP(A106,'[7]Table 2'!$J$2:$N$449,5,FALSE)</f>
        <v>Bid Awarded</v>
      </c>
      <c r="BR106">
        <f t="shared" si="76"/>
        <v>1992.265557107246</v>
      </c>
      <c r="BS106">
        <f t="shared" si="77"/>
        <v>1951.3472709503922</v>
      </c>
      <c r="BT106">
        <f>(X106*I106*365*[5]Analysis!BK106)/10^4</f>
        <v>1992.265557107246</v>
      </c>
      <c r="BU106">
        <f>(W106*R106*365*[5]Analysis!BK106)/10^4</f>
        <v>1951.3472709503922</v>
      </c>
      <c r="BV106">
        <f>(X106*I106*365*[5]Analysis!BL106)/10^4</f>
        <v>0</v>
      </c>
      <c r="BW106">
        <f>(W106*R106*365*[5]Analysis!BL106)/10^4</f>
        <v>0</v>
      </c>
      <c r="BX106">
        <f t="shared" si="78"/>
        <v>4576555.8157552332</v>
      </c>
      <c r="BY106">
        <f t="shared" si="79"/>
        <v>4482559.9025026886</v>
      </c>
      <c r="BZ106">
        <f t="shared" si="80"/>
        <v>38608726.54432743</v>
      </c>
      <c r="CA106">
        <f t="shared" si="81"/>
        <v>37722612.904333487</v>
      </c>
      <c r="CB106">
        <f t="shared" si="82"/>
        <v>-1567106.3167141445</v>
      </c>
      <c r="CC106">
        <f t="shared" si="83"/>
        <v>-1495998.0959999999</v>
      </c>
      <c r="CD106">
        <f t="shared" si="84"/>
        <v>-6164281.7990869964</v>
      </c>
      <c r="CE106">
        <f t="shared" si="85"/>
        <v>-6022804.608</v>
      </c>
      <c r="CF106">
        <f t="shared" si="86"/>
        <v>10886306.890778605</v>
      </c>
      <c r="CG106">
        <f t="shared" si="87"/>
        <v>10636453.920000002</v>
      </c>
      <c r="CH106">
        <f t="shared" si="88"/>
        <v>938647.66343318927</v>
      </c>
      <c r="CI106">
        <f t="shared" si="89"/>
        <v>917104.64525667287</v>
      </c>
      <c r="CJ106">
        <f t="shared" si="90"/>
        <v>-8043002.3376492662</v>
      </c>
      <c r="CK106">
        <f t="shared" si="91"/>
        <v>-7858406.4000000004</v>
      </c>
      <c r="CL106">
        <f t="shared" si="92"/>
        <v>3670075.5846420159</v>
      </c>
      <c r="CM106">
        <f t="shared" si="93"/>
        <v>3585843.2276999592</v>
      </c>
    </row>
    <row r="107" spans="1:91" x14ac:dyDescent="0.2">
      <c r="A107" s="2" t="s">
        <v>24</v>
      </c>
      <c r="B107" s="2" t="str">
        <f t="shared" si="97"/>
        <v>MUNDRA UMTPP</v>
      </c>
      <c r="C107" s="2" t="str">
        <f>VLOOKUP($A107,'[1]daily coal, energy reqd'!$C$2:$T$599,17,FALSE)</f>
        <v>Gujarat</v>
      </c>
      <c r="D107" s="2" t="str">
        <f>VLOOKUP(C107,'Target PLF'!$I$2:$J$19,2,FALSE)</f>
        <v>WR</v>
      </c>
      <c r="E107" s="2" t="str">
        <f>VLOOKUP(A107,[2]Ownership!$C$2:$D$666,2,FALSE)</f>
        <v>PVT SECTOR</v>
      </c>
      <c r="F107" s="2" t="s">
        <v>543</v>
      </c>
      <c r="G107" s="12">
        <v>7.8412046543463303</v>
      </c>
      <c r="H107" s="2">
        <v>800</v>
      </c>
      <c r="I107" s="2">
        <f>VLOOKUP(A107,'[3]Calculated coal req (reg.)'!$A$2:$I$599,9,FALSE)</f>
        <v>16.119518168335102</v>
      </c>
      <c r="J107" s="2"/>
      <c r="K107" s="11">
        <v>0.83955823793411988</v>
      </c>
      <c r="L107" s="3">
        <f>VLOOKUP(F107,'Target PLF'!$A$2:$B$11,2,FALSE)</f>
        <v>0.85</v>
      </c>
      <c r="M107" s="3">
        <f t="shared" si="71"/>
        <v>1.04417620658801E-2</v>
      </c>
      <c r="N107" s="2" t="str">
        <f t="shared" si="50"/>
        <v>0.15</v>
      </c>
      <c r="O107" s="2">
        <f t="shared" si="96"/>
        <v>10.322897139275211</v>
      </c>
      <c r="P107" s="2">
        <f t="shared" si="51"/>
        <v>3014285.9646683615</v>
      </c>
      <c r="Q107" s="2">
        <f t="shared" si="52"/>
        <v>10.468176507426421</v>
      </c>
      <c r="R107" s="2">
        <f t="shared" si="53"/>
        <v>16.32</v>
      </c>
      <c r="S107" s="2">
        <f t="shared" si="54"/>
        <v>3056707.5401685145</v>
      </c>
      <c r="T107" s="2" t="str">
        <f>VLOOKUP(A107,'[4]CEA vs MERIT comp. &amp; NPA marker'!$C$2:$K$735,9,FALSE)</f>
        <v>Contracted</v>
      </c>
      <c r="U107" s="3">
        <f>VLOOKUP(B107,'[8]Import-Domestic share'!$A$208:$F$406,6,FALSE)</f>
        <v>1</v>
      </c>
      <c r="V107" s="3">
        <f t="shared" si="55"/>
        <v>3014285.9646683615</v>
      </c>
      <c r="W107" s="2">
        <f t="shared" si="56"/>
        <v>2681.5992542861059</v>
      </c>
      <c r="X107" s="2">
        <f t="shared" si="57"/>
        <v>2685.0510001023376</v>
      </c>
      <c r="Y107" s="6">
        <f t="shared" si="58"/>
        <v>0.32070414646238737</v>
      </c>
      <c r="Z107" s="2">
        <f t="shared" si="59"/>
        <v>3726959.9715192434</v>
      </c>
      <c r="AA107" s="2">
        <f t="shared" si="60"/>
        <v>3685914.8059625356</v>
      </c>
      <c r="AB107" s="2" t="s">
        <v>598</v>
      </c>
      <c r="AC107" s="12"/>
      <c r="AD107" s="12">
        <f t="shared" si="61"/>
        <v>0</v>
      </c>
      <c r="AE107" s="2"/>
      <c r="AF107" s="7"/>
      <c r="AG107" s="7"/>
      <c r="AH107" s="7"/>
      <c r="AI107" s="7"/>
      <c r="AJ107" s="7"/>
      <c r="AK107" s="7"/>
      <c r="AL107" s="7"/>
      <c r="AM107" s="7"/>
      <c r="AN107" s="15">
        <f t="shared" si="62"/>
        <v>0</v>
      </c>
      <c r="AO107" s="6">
        <v>7.7721035120439194E-2</v>
      </c>
      <c r="AP107" s="11">
        <f t="shared" si="63"/>
        <v>1.2528256376857301</v>
      </c>
      <c r="AQ107" s="11">
        <f t="shared" si="64"/>
        <v>1.2684072931655677</v>
      </c>
      <c r="AR107" s="3">
        <f>VLOOKUP(A107,[10]Sheet1!$A$2:$L$542,12,FALSE)</f>
        <v>1.7424751657907001</v>
      </c>
      <c r="AS107" s="3">
        <f t="shared" si="72"/>
        <v>3.0346568276207444</v>
      </c>
      <c r="AT107" s="3">
        <f t="shared" si="73"/>
        <v>3.0343030236745809</v>
      </c>
      <c r="AU107" s="3">
        <f t="shared" si="65"/>
        <v>3.5380394616346678E-4</v>
      </c>
      <c r="AV107" s="88">
        <f t="shared" si="74"/>
        <v>7.6519320771182555E-3</v>
      </c>
      <c r="AW107" s="32">
        <f t="shared" si="75"/>
        <v>2.4049269968613634E-3</v>
      </c>
      <c r="AX107" s="12">
        <f t="shared" si="66"/>
        <v>1785.4780141635583</v>
      </c>
      <c r="AY107" s="12">
        <f t="shared" si="67"/>
        <v>1807.4736251424742</v>
      </c>
      <c r="AZ107" s="3">
        <f>VLOOKUP(A107,[5]Analysis!$A$3:$BJ$543,62,FALSE)</f>
        <v>1.2224735304310752</v>
      </c>
      <c r="BA107" s="2"/>
      <c r="BB107" s="2"/>
      <c r="BC107" s="2" t="str">
        <f>VLOOKUP(A107,'[6]FGD status - Jun 2020'!$I$2:$M$449,5,FALSE)</f>
        <v>Bid opened</v>
      </c>
      <c r="BD107" s="2"/>
      <c r="BE107" s="2"/>
      <c r="BF107" s="2">
        <f t="shared" si="68"/>
        <v>1928.1020349990024</v>
      </c>
      <c r="BG107" s="2">
        <f t="shared" si="69"/>
        <v>1949.5727611017162</v>
      </c>
      <c r="BH107" s="2"/>
      <c r="BI107" s="2"/>
      <c r="BK107">
        <f t="shared" si="70"/>
        <v>671.64659034729596</v>
      </c>
      <c r="BL107">
        <f>VLOOKUP(A107,'[11]Daily coal vs energy req.2'!$C$2:$P$599,14,FALSE)</f>
        <v>0.62</v>
      </c>
      <c r="BM107">
        <f>VLOOKUP(A107,'[11]Daily coal vs energy req.2'!$C$2:$R$599,16,FALSE)</f>
        <v>0.66</v>
      </c>
      <c r="BN107">
        <f>BL107*H107</f>
        <v>496</v>
      </c>
      <c r="BO107">
        <f>BM107*H107</f>
        <v>528</v>
      </c>
      <c r="BP107" s="2" t="str">
        <f>VLOOKUP(A107,'[7]Table 2'!$J$2:$N$449,5,FALSE)</f>
        <v>Bid Awarded</v>
      </c>
      <c r="BR107">
        <f t="shared" si="76"/>
        <v>1931.2430062566743</v>
      </c>
      <c r="BS107">
        <f t="shared" si="77"/>
        <v>1952.7487092083027</v>
      </c>
      <c r="BT107">
        <f>(X107*I107*365*[5]Analysis!BK107)/10^4</f>
        <v>1931.2430062566743</v>
      </c>
      <c r="BU107">
        <f>(W107*R107*365*[5]Analysis!BK107)/10^4</f>
        <v>1952.7487092083027</v>
      </c>
      <c r="BV107">
        <f>(X107*I107*365*[5]Analysis!BL107)/10^4</f>
        <v>0</v>
      </c>
      <c r="BW107">
        <f>(W107*R107*365*[5]Analysis!BL107)/10^4</f>
        <v>0</v>
      </c>
      <c r="BX107">
        <f t="shared" si="78"/>
        <v>4436377.1588532366</v>
      </c>
      <c r="BY107">
        <f t="shared" si="79"/>
        <v>4485779.2325697979</v>
      </c>
      <c r="BZ107">
        <f t="shared" si="80"/>
        <v>37259212.259097777</v>
      </c>
      <c r="CA107">
        <f t="shared" si="81"/>
        <v>37722612.904333487</v>
      </c>
      <c r="CB107">
        <f t="shared" si="82"/>
        <v>-1459468.897073129</v>
      </c>
      <c r="CC107">
        <f t="shared" si="83"/>
        <v>-1495998.0959999999</v>
      </c>
      <c r="CD107">
        <f t="shared" si="84"/>
        <v>-5948817.9107223265</v>
      </c>
      <c r="CE107">
        <f t="shared" si="85"/>
        <v>-6022804.608</v>
      </c>
      <c r="CF107">
        <f t="shared" si="86"/>
        <v>10505791.189344309</v>
      </c>
      <c r="CG107">
        <f t="shared" si="87"/>
        <v>10636453.920000002</v>
      </c>
      <c r="CH107">
        <f t="shared" si="88"/>
        <v>935902.44655052701</v>
      </c>
      <c r="CI107">
        <f t="shared" si="89"/>
        <v>947542.46176591283</v>
      </c>
      <c r="CJ107">
        <f t="shared" si="90"/>
        <v>-7761870.3884167196</v>
      </c>
      <c r="CK107">
        <f t="shared" si="91"/>
        <v>-7858406.4000000004</v>
      </c>
      <c r="CL107">
        <f t="shared" si="92"/>
        <v>3541793.2020656173</v>
      </c>
      <c r="CM107">
        <f t="shared" si="93"/>
        <v>3585843.2276999592</v>
      </c>
    </row>
    <row r="108" spans="1:91" x14ac:dyDescent="0.2">
      <c r="A108" s="2" t="s">
        <v>55</v>
      </c>
      <c r="B108" s="2" t="str">
        <f t="shared" si="97"/>
        <v>PAINAMPURAM TPP</v>
      </c>
      <c r="C108" s="2" t="str">
        <f>VLOOKUP($A108,'[1]daily coal, energy reqd'!$C$2:$T$599,17,FALSE)</f>
        <v>Andhra Pradesh</v>
      </c>
      <c r="D108" s="2" t="str">
        <f>VLOOKUP(C108,'Target PLF'!$I$2:$J$19,2,FALSE)</f>
        <v>SR</v>
      </c>
      <c r="E108" s="2" t="str">
        <f>VLOOKUP(A108,[2]Ownership!$C$2:$D$666,2,FALSE)</f>
        <v>PVT SECTOR</v>
      </c>
      <c r="F108" s="2" t="s">
        <v>543</v>
      </c>
      <c r="G108" s="12">
        <v>5.2539356605065004</v>
      </c>
      <c r="H108" s="2">
        <v>660</v>
      </c>
      <c r="I108" s="2">
        <f>VLOOKUP(A108,'[3]Calculated coal req (reg.)'!$A$2:$I$599,9,FALSE)</f>
        <v>11.253573890106701</v>
      </c>
      <c r="J108" s="2"/>
      <c r="K108" s="11">
        <v>0.71045289710269566</v>
      </c>
      <c r="L108" s="3">
        <f>VLOOKUP(F108,'Target PLF'!$A$2:$B$11,2,FALSE)</f>
        <v>0.85</v>
      </c>
      <c r="M108" s="3">
        <f t="shared" si="71"/>
        <v>0.13954710289730432</v>
      </c>
      <c r="N108" s="2" t="str">
        <f t="shared" si="50"/>
        <v>0.15</v>
      </c>
      <c r="O108" s="2">
        <f t="shared" si="96"/>
        <v>9.1737700553054786</v>
      </c>
      <c r="P108" s="2">
        <f t="shared" si="51"/>
        <v>2209961.20632309</v>
      </c>
      <c r="Q108" s="2">
        <f t="shared" si="52"/>
        <v>11.115330762046543</v>
      </c>
      <c r="R108" s="2">
        <f t="shared" si="53"/>
        <v>13.464</v>
      </c>
      <c r="S108" s="2">
        <f t="shared" si="54"/>
        <v>2677683.1805770127</v>
      </c>
      <c r="T108" s="2" t="str">
        <f>VLOOKUP(A108,'[4]CEA vs MERIT comp. &amp; NPA marker'!$C$2:$K$735,9,FALSE)</f>
        <v>Contracted</v>
      </c>
      <c r="U108" s="3">
        <f>VLOOKUP(B108,'[8]Import-Domestic share'!$A$208:$F$406,6,FALSE)</f>
        <v>0.51543963834409801</v>
      </c>
      <c r="V108" s="3">
        <f t="shared" si="55"/>
        <v>1139101.6049416601</v>
      </c>
      <c r="W108" s="2">
        <f t="shared" si="56"/>
        <v>2682.1882047363702</v>
      </c>
      <c r="X108" s="2">
        <f t="shared" si="57"/>
        <v>2728.3184579976555</v>
      </c>
      <c r="Y108" s="6">
        <f t="shared" si="58"/>
        <v>0.32063372677627916</v>
      </c>
      <c r="Z108" s="2">
        <f t="shared" si="59"/>
        <v>3520933.6694766548</v>
      </c>
      <c r="AA108" s="2">
        <f t="shared" si="60"/>
        <v>2993505.2230394087</v>
      </c>
      <c r="AB108" s="2" t="s">
        <v>598</v>
      </c>
      <c r="AC108" s="12">
        <f>VLOOKUP(B108,[9]Sheet1!$A$2:$B$137,2,FALSE)</f>
        <v>3743.6770082031862</v>
      </c>
      <c r="AD108" s="12">
        <f t="shared" si="61"/>
        <v>2470826.825414103</v>
      </c>
      <c r="AE108" s="2"/>
      <c r="AF108" s="7">
        <f>VLOOKUP($B108,'[9]Subsidiary wise dispatch'!$A$3:$R$138,11,FALSE)*$H108*$O108*365</f>
        <v>0</v>
      </c>
      <c r="AG108" s="7">
        <f>VLOOKUP($B108,'[9]Subsidiary wise dispatch'!$A$3:$R$138,12,FALSE)*$H108*$O108*365</f>
        <v>0</v>
      </c>
      <c r="AH108" s="7">
        <f>VLOOKUP($B108,'[9]Subsidiary wise dispatch'!$A$3:$R$138,13,FALSE)*$H108*$O108*365</f>
        <v>0</v>
      </c>
      <c r="AI108" s="7">
        <f>VLOOKUP($B108,'[9]Subsidiary wise dispatch'!$A$3:$R$138,14,FALSE)*$H108*$O108*365</f>
        <v>2209961.20632309</v>
      </c>
      <c r="AJ108" s="7">
        <f>VLOOKUP($B108,'[9]Subsidiary wise dispatch'!$A$3:$R$138,15,FALSE)*$H108*$O108*365</f>
        <v>0</v>
      </c>
      <c r="AK108" s="7">
        <f>VLOOKUP($B108,'[9]Subsidiary wise dispatch'!$A$3:$R$138,16,FALSE)*$H108*$O108*365</f>
        <v>0</v>
      </c>
      <c r="AL108" s="7">
        <f>VLOOKUP($B108,'[9]Subsidiary wise dispatch'!$A$3:$R$138,17,FALSE)*$H108*$O108*365</f>
        <v>0</v>
      </c>
      <c r="AM108" s="7">
        <f>VLOOKUP($B108,'[9]Subsidiary wise dispatch'!$A$3:$R$138,18,FALSE)*$H108*$O108*365</f>
        <v>0</v>
      </c>
      <c r="AN108" s="15">
        <f t="shared" si="62"/>
        <v>2209961.20632309</v>
      </c>
      <c r="AO108" s="6">
        <v>5.9223285155824042E-2</v>
      </c>
      <c r="AP108" s="11">
        <f t="shared" si="63"/>
        <v>0.66647361551592521</v>
      </c>
      <c r="AQ108" s="11">
        <f t="shared" si="64"/>
        <v>0.79738231133801496</v>
      </c>
      <c r="AR108" s="3">
        <f>VLOOKUP(A108,[10]Sheet1!$A$2:$L$542,12,FALSE)</f>
        <v>2.2044338211181902</v>
      </c>
      <c r="AS108" s="3">
        <f t="shared" si="72"/>
        <v>3.1800946301171416</v>
      </c>
      <c r="AT108" s="3">
        <f t="shared" si="73"/>
        <v>3.1753662791578599</v>
      </c>
      <c r="AU108" s="3">
        <f t="shared" si="65"/>
        <v>4.7283509592817019E-3</v>
      </c>
      <c r="AV108" s="88">
        <f t="shared" si="74"/>
        <v>0.10226290794520256</v>
      </c>
      <c r="AW108" s="32">
        <f t="shared" si="75"/>
        <v>3.067033165057987E-2</v>
      </c>
      <c r="AX108" s="12">
        <f t="shared" si="66"/>
        <v>1306.2411912607497</v>
      </c>
      <c r="AY108" s="12">
        <f t="shared" si="67"/>
        <v>1560.489302764222</v>
      </c>
      <c r="AZ108" s="3">
        <f>VLOOKUP(A108,[5]Analysis!$A$3:$BJ$543,62,FALSE)</f>
        <v>1.290269855437874</v>
      </c>
      <c r="BA108" s="2"/>
      <c r="BB108" s="2"/>
      <c r="BC108" s="2" t="str">
        <f>VLOOKUP(A108,'[6]FGD status - Jun 2020'!$I$2:$M$449,5,FALSE)</f>
        <v>Bid Opened</v>
      </c>
      <c r="BD108" s="2"/>
      <c r="BE108" s="2"/>
      <c r="BF108" s="2">
        <f t="shared" si="68"/>
        <v>1256.0685254334237</v>
      </c>
      <c r="BG108" s="2">
        <f t="shared" si="69"/>
        <v>1477.3763975190545</v>
      </c>
      <c r="BH108" s="2"/>
      <c r="BI108" s="2"/>
      <c r="BK108">
        <f t="shared" si="70"/>
        <v>468.89891208777914</v>
      </c>
      <c r="BL108" t="str">
        <f>VLOOKUP(A108,'[11]Daily coal vs energy req.2'!$C$2:$P$599,14,FALSE)</f>
        <v/>
      </c>
      <c r="BM108" t="str">
        <f>VLOOKUP(A108,'[11]Daily coal vs energy req.2'!$C$2:$R$599,16,FALSE)</f>
        <v/>
      </c>
      <c r="BP108" s="2" t="str">
        <f>VLOOKUP(A108,'[7]Table 2'!$J$2:$N$449,5,FALSE)</f>
        <v>Bid Opened</v>
      </c>
      <c r="BR108">
        <f t="shared" si="76"/>
        <v>1445.9688707319251</v>
      </c>
      <c r="BS108">
        <f t="shared" si="77"/>
        <v>1700.7354598185536</v>
      </c>
      <c r="BT108">
        <f>(X108*I108*365*[5]Analysis!BK108)/10^4</f>
        <v>1027.9313619202048</v>
      </c>
      <c r="BU108">
        <f>(W108*R108*365*[5]Analysis!BK108)/10^4</f>
        <v>1209.0435367341918</v>
      </c>
      <c r="BV108">
        <f>(X108*I108*365*[5]Analysis!BL108)/10^4</f>
        <v>418.03750881172016</v>
      </c>
      <c r="BW108">
        <f>(W108*R108*365*[5]Analysis!BL108)/10^4</f>
        <v>491.69192308436203</v>
      </c>
      <c r="BX108">
        <f t="shared" si="78"/>
        <v>3147091.6696889051</v>
      </c>
      <c r="BY108">
        <f t="shared" si="79"/>
        <v>3701580.6538284752</v>
      </c>
      <c r="BZ108">
        <f t="shared" si="80"/>
        <v>27454476.441014327</v>
      </c>
      <c r="CA108">
        <f t="shared" si="81"/>
        <v>32847082.572300252</v>
      </c>
      <c r="CB108">
        <f t="shared" si="82"/>
        <v>-862219.25461728161</v>
      </c>
      <c r="CC108">
        <f t="shared" si="83"/>
        <v>-1234198.4292000001</v>
      </c>
      <c r="CD108">
        <f t="shared" si="84"/>
        <v>-4153068.4241300928</v>
      </c>
      <c r="CE108">
        <f t="shared" si="85"/>
        <v>-4968813.8016000008</v>
      </c>
      <c r="CF108">
        <f t="shared" si="86"/>
        <v>7334443.6346467566</v>
      </c>
      <c r="CG108">
        <f t="shared" si="87"/>
        <v>8775074.4840000011</v>
      </c>
      <c r="CH108">
        <f t="shared" si="88"/>
        <v>437795.15844264795</v>
      </c>
      <c r="CI108">
        <f t="shared" si="89"/>
        <v>523786.84947843925</v>
      </c>
      <c r="CJ108">
        <f t="shared" si="90"/>
        <v>-4470527.2421404477</v>
      </c>
      <c r="CK108">
        <f t="shared" si="91"/>
        <v>-5348627.8560000015</v>
      </c>
      <c r="CL108">
        <f t="shared" si="92"/>
        <v>1884150.2359026032</v>
      </c>
      <c r="CM108">
        <f t="shared" si="93"/>
        <v>2254234.8789742668</v>
      </c>
    </row>
    <row r="109" spans="1:91" x14ac:dyDescent="0.2">
      <c r="A109" s="2" t="s">
        <v>25</v>
      </c>
      <c r="B109" s="2" t="str">
        <f t="shared" si="97"/>
        <v>MUNDRA UMTPP</v>
      </c>
      <c r="C109" s="2" t="str">
        <f>VLOOKUP($A109,'[1]daily coal, energy reqd'!$C$2:$T$599,17,FALSE)</f>
        <v>Gujarat</v>
      </c>
      <c r="D109" s="2" t="str">
        <f>VLOOKUP(C109,'Target PLF'!$I$2:$J$19,2,FALSE)</f>
        <v>WR</v>
      </c>
      <c r="E109" s="2" t="str">
        <f>VLOOKUP(A109,[2]Ownership!$C$2:$D$666,2,FALSE)</f>
        <v>PVT SECTOR</v>
      </c>
      <c r="F109" s="2" t="s">
        <v>543</v>
      </c>
      <c r="G109" s="12">
        <v>8.1752224503764506</v>
      </c>
      <c r="H109" s="2">
        <v>800</v>
      </c>
      <c r="I109" s="2">
        <f>VLOOKUP(A109,'[3]Calculated coal req (reg.)'!$A$2:$I$599,9,FALSE)</f>
        <v>15.0466075992725</v>
      </c>
      <c r="J109" s="2"/>
      <c r="K109" s="11">
        <v>0.78367747912877606</v>
      </c>
      <c r="L109" s="3">
        <f>VLOOKUP(F109,'Target PLF'!$A$2:$B$11,2,FALSE)</f>
        <v>0.85</v>
      </c>
      <c r="M109" s="3">
        <f t="shared" si="71"/>
        <v>6.6322520871223922E-2</v>
      </c>
      <c r="N109" s="2" t="str">
        <f t="shared" si="50"/>
        <v>0.15</v>
      </c>
      <c r="O109" s="2">
        <f t="shared" si="96"/>
        <v>9.5559913914780736</v>
      </c>
      <c r="P109" s="2">
        <f t="shared" si="51"/>
        <v>2790349.4863115973</v>
      </c>
      <c r="Q109" s="2">
        <f t="shared" si="52"/>
        <v>10.478756521115674</v>
      </c>
      <c r="R109" s="2">
        <f t="shared" si="53"/>
        <v>16.32</v>
      </c>
      <c r="S109" s="2">
        <f t="shared" si="54"/>
        <v>3059796.9041657764</v>
      </c>
      <c r="T109" s="2" t="str">
        <f>VLOOKUP(A109,'[4]CEA vs MERIT comp. &amp; NPA marker'!$C$2:$K$735,9,FALSE)</f>
        <v>Contracted</v>
      </c>
      <c r="U109" s="3">
        <f>VLOOKUP(B109,'[8]Import-Domestic share'!$A$208:$F$406,6,FALSE)</f>
        <v>1</v>
      </c>
      <c r="V109" s="3">
        <f t="shared" si="55"/>
        <v>2790349.4863115973</v>
      </c>
      <c r="W109" s="2">
        <f t="shared" si="56"/>
        <v>2684.1513296153325</v>
      </c>
      <c r="X109" s="2">
        <f t="shared" si="57"/>
        <v>2706.0756449267574</v>
      </c>
      <c r="Y109" s="6">
        <f t="shared" si="58"/>
        <v>0.32039922284234518</v>
      </c>
      <c r="Z109" s="2">
        <f t="shared" si="59"/>
        <v>3730506.9155979035</v>
      </c>
      <c r="AA109" s="2">
        <f t="shared" si="60"/>
        <v>3467522.0024623964</v>
      </c>
      <c r="AB109" s="2" t="s">
        <v>598</v>
      </c>
      <c r="AC109" s="12"/>
      <c r="AD109" s="12">
        <f t="shared" si="61"/>
        <v>0</v>
      </c>
      <c r="AE109" s="2"/>
      <c r="AF109" s="7"/>
      <c r="AG109" s="7"/>
      <c r="AH109" s="7"/>
      <c r="AI109" s="7"/>
      <c r="AJ109" s="7"/>
      <c r="AK109" s="7"/>
      <c r="AL109" s="7"/>
      <c r="AM109" s="7"/>
      <c r="AN109" s="15">
        <f t="shared" si="62"/>
        <v>0</v>
      </c>
      <c r="AO109" s="6">
        <v>7.7721035120439194E-2</v>
      </c>
      <c r="AP109" s="11">
        <f t="shared" si="63"/>
        <v>1.1694379176665253</v>
      </c>
      <c r="AQ109" s="11">
        <f t="shared" si="64"/>
        <v>1.2684072931655677</v>
      </c>
      <c r="AR109" s="3">
        <f>VLOOKUP(A109,[10]Sheet1!$A$2:$L$542,12,FALSE)</f>
        <v>1.7424751657907001</v>
      </c>
      <c r="AS109" s="3">
        <f t="shared" si="72"/>
        <v>3.0392850884859524</v>
      </c>
      <c r="AT109" s="3">
        <f t="shared" si="73"/>
        <v>3.0370378461665313</v>
      </c>
      <c r="AU109" s="3">
        <f t="shared" si="65"/>
        <v>2.2472423194210833E-3</v>
      </c>
      <c r="AV109" s="88">
        <f t="shared" si="74"/>
        <v>4.8602469744850316E-2</v>
      </c>
      <c r="AW109" s="32">
        <f t="shared" si="75"/>
        <v>1.5252016864440155E-2</v>
      </c>
      <c r="AX109" s="12">
        <f t="shared" si="66"/>
        <v>1669.1789489700436</v>
      </c>
      <c r="AY109" s="12">
        <f t="shared" si="67"/>
        <v>1809.1027042044793</v>
      </c>
      <c r="AZ109" s="3">
        <f>VLOOKUP(A109,[5]Analysis!$A$3:$BJ$543,62,FALSE)</f>
        <v>1.2224735304310752</v>
      </c>
      <c r="BA109" s="2"/>
      <c r="BB109" s="2"/>
      <c r="BC109" s="2" t="str">
        <f>VLOOKUP(A109,'[6]FGD status - Jun 2020'!$I$2:$M$449,5,FALSE)</f>
        <v>Bid opened</v>
      </c>
      <c r="BD109" s="2"/>
      <c r="BE109" s="2"/>
      <c r="BF109" s="2">
        <f t="shared" si="68"/>
        <v>1813.8607594880796</v>
      </c>
      <c r="BG109" s="2">
        <f t="shared" si="69"/>
        <v>1951.4281675492634</v>
      </c>
      <c r="BH109" s="2"/>
      <c r="BI109" s="2"/>
      <c r="BK109">
        <f t="shared" si="70"/>
        <v>626.94198330302083</v>
      </c>
      <c r="BL109">
        <f>VLOOKUP(A109,'[11]Daily coal vs energy req.2'!$C$2:$P$599,14,FALSE)</f>
        <v>0.52</v>
      </c>
      <c r="BM109">
        <f>VLOOKUP(A109,'[11]Daily coal vs energy req.2'!$C$2:$R$599,16,FALSE)</f>
        <v>0.63</v>
      </c>
      <c r="BN109">
        <f>BL109*H109</f>
        <v>416</v>
      </c>
      <c r="BO109">
        <f>BM109*H109</f>
        <v>504</v>
      </c>
      <c r="BP109" s="2" t="str">
        <f>VLOOKUP(A109,'[7]Table 2'!$J$2:$N$449,5,FALSE)</f>
        <v>Bid Awarded</v>
      </c>
      <c r="BR109">
        <f t="shared" si="76"/>
        <v>1816.8156261951074</v>
      </c>
      <c r="BS109">
        <f t="shared" si="77"/>
        <v>1954.6071382024872</v>
      </c>
      <c r="BT109">
        <f>(X109*I109*365*[5]Analysis!BK109)/10^4</f>
        <v>1816.8156261951074</v>
      </c>
      <c r="BU109">
        <f>(W109*R109*365*[5]Analysis!BK109)/10^4</f>
        <v>1954.6071382024872</v>
      </c>
      <c r="BV109">
        <f>(X109*I109*365*[5]Analysis!BL109)/10^4</f>
        <v>0</v>
      </c>
      <c r="BW109">
        <f>(W109*R109*365*[5]Analysis!BL109)/10^4</f>
        <v>0</v>
      </c>
      <c r="BX109">
        <f t="shared" si="78"/>
        <v>4173518.9822240206</v>
      </c>
      <c r="BY109">
        <f t="shared" si="79"/>
        <v>4490048.3441805281</v>
      </c>
      <c r="BZ109">
        <f t="shared" si="80"/>
        <v>34779249.631786712</v>
      </c>
      <c r="CA109">
        <f t="shared" si="81"/>
        <v>37722612.904333487</v>
      </c>
      <c r="CB109">
        <f t="shared" si="82"/>
        <v>-1271650.9564469622</v>
      </c>
      <c r="CC109">
        <f t="shared" si="83"/>
        <v>-1495998.0959999999</v>
      </c>
      <c r="CD109">
        <f t="shared" si="84"/>
        <v>-5552866.2735089604</v>
      </c>
      <c r="CE109">
        <f t="shared" si="85"/>
        <v>-6022804.608</v>
      </c>
      <c r="CF109">
        <f t="shared" si="86"/>
        <v>9806528.6998764575</v>
      </c>
      <c r="CG109">
        <f t="shared" si="87"/>
        <v>10636453.920000002</v>
      </c>
      <c r="CH109">
        <f t="shared" si="88"/>
        <v>910822.83757118729</v>
      </c>
      <c r="CI109">
        <f t="shared" si="89"/>
        <v>987905.65322381887</v>
      </c>
      <c r="CJ109">
        <f t="shared" si="90"/>
        <v>-7245242.4912016951</v>
      </c>
      <c r="CK109">
        <f t="shared" si="91"/>
        <v>-7858406.4000000004</v>
      </c>
      <c r="CL109">
        <f t="shared" si="92"/>
        <v>3306052.4485116443</v>
      </c>
      <c r="CM109">
        <f t="shared" si="93"/>
        <v>3585843.2276999592</v>
      </c>
    </row>
    <row r="110" spans="1:91" x14ac:dyDescent="0.2">
      <c r="A110" s="2" t="s">
        <v>136</v>
      </c>
      <c r="B110" s="2" t="str">
        <f t="shared" si="97"/>
        <v>STERLITE TPP</v>
      </c>
      <c r="C110" s="2" t="str">
        <f>VLOOKUP($A110,'[1]daily coal, energy reqd'!$C$2:$T$599,17,FALSE)</f>
        <v>Odisha</v>
      </c>
      <c r="D110" s="2" t="str">
        <f>VLOOKUP(C110,'Target PLF'!$I$2:$J$19,2,FALSE)</f>
        <v>ER</v>
      </c>
      <c r="E110" s="2" t="str">
        <f>VLOOKUP(A110,[2]Ownership!$C$2:$D$666,2,FALSE)</f>
        <v>PVT SECTOR</v>
      </c>
      <c r="F110" s="2" t="s">
        <v>544</v>
      </c>
      <c r="G110" s="12">
        <v>10.17659137577</v>
      </c>
      <c r="H110" s="2">
        <v>600</v>
      </c>
      <c r="I110" s="2">
        <f>VLOOKUP(A110,'[3]Calculated coal req (reg.)'!$A$2:$I$599,9,FALSE)</f>
        <v>0.112268817204301</v>
      </c>
      <c r="J110" s="2"/>
      <c r="K110" s="11">
        <v>7.7964456391875691E-3</v>
      </c>
      <c r="L110" s="3">
        <f>VLOOKUP(F110,'Target PLF'!$A$2:$B$11,2,FALSE)</f>
        <v>0.8</v>
      </c>
      <c r="M110" s="3">
        <f t="shared" si="71"/>
        <v>0.79220355436081247</v>
      </c>
      <c r="N110" s="2" t="str">
        <f t="shared" si="50"/>
        <v>0.15</v>
      </c>
      <c r="O110" s="2">
        <v>0.17430000000000001</v>
      </c>
      <c r="P110" s="2">
        <f t="shared" si="51"/>
        <v>38171.700000000004</v>
      </c>
      <c r="Q110" s="2">
        <f t="shared" si="52"/>
        <v>11.583729881827516</v>
      </c>
      <c r="R110" s="2">
        <f t="shared" si="53"/>
        <v>11.52</v>
      </c>
      <c r="S110" s="2">
        <f t="shared" si="54"/>
        <v>2387611.1474072719</v>
      </c>
      <c r="T110" s="2" t="str">
        <f>VLOOKUP(A110,'[4]CEA vs MERIT comp. &amp; NPA marker'!$C$2:$K$735,9,FALSE)</f>
        <v>Contracted</v>
      </c>
      <c r="U110" s="3">
        <f>VLOOKUP(B110,'[8]Import-Domestic share'!$A$208:$F$406,6,FALSE)</f>
        <v>6.9427017984107053E-2</v>
      </c>
      <c r="V110" s="3">
        <f t="shared" si="55"/>
        <v>2650.1473023839394</v>
      </c>
      <c r="W110" s="2">
        <f t="shared" si="56"/>
        <v>2691.3169929362689</v>
      </c>
      <c r="X110" s="2">
        <f t="shared" si="57"/>
        <v>2953.1966725455877</v>
      </c>
      <c r="Y110" s="6">
        <f t="shared" si="58"/>
        <v>0.31954615612251852</v>
      </c>
      <c r="Z110" s="2">
        <f t="shared" si="59"/>
        <v>3208529.5205049063</v>
      </c>
      <c r="AA110" s="2">
        <f t="shared" si="60"/>
        <v>34311.541071705462</v>
      </c>
      <c r="AB110" s="2" t="s">
        <v>598</v>
      </c>
      <c r="AC110" s="12">
        <f>VLOOKUP(B110,[9]Sheet1!$A$2:$B$137,2,FALSE)</f>
        <v>3526.9894260214323</v>
      </c>
      <c r="AD110" s="12">
        <f t="shared" si="61"/>
        <v>2116193.6556128594</v>
      </c>
      <c r="AE110" s="2"/>
      <c r="AF110" s="7">
        <f>VLOOKUP($B110,'[9]Subsidiary wise dispatch'!$A$3:$R$138,11,FALSE)*$H110*$O110*365</f>
        <v>0</v>
      </c>
      <c r="AG110" s="7">
        <f>VLOOKUP($B110,'[9]Subsidiary wise dispatch'!$A$3:$R$138,12,FALSE)*$H110*$O110*365</f>
        <v>0</v>
      </c>
      <c r="AH110" s="7">
        <f>VLOOKUP($B110,'[9]Subsidiary wise dispatch'!$A$3:$R$138,13,FALSE)*$H110*$O110*365</f>
        <v>0</v>
      </c>
      <c r="AI110" s="7">
        <f>VLOOKUP($B110,'[9]Subsidiary wise dispatch'!$A$3:$R$138,14,FALSE)*$H110*$O110*365</f>
        <v>38171.700000000004</v>
      </c>
      <c r="AJ110" s="7">
        <f>VLOOKUP($B110,'[9]Subsidiary wise dispatch'!$A$3:$R$138,15,FALSE)*$H110*$O110*365</f>
        <v>0</v>
      </c>
      <c r="AK110" s="7">
        <f>VLOOKUP($B110,'[9]Subsidiary wise dispatch'!$A$3:$R$138,16,FALSE)*$H110*$O110*365</f>
        <v>0</v>
      </c>
      <c r="AL110" s="7">
        <f>VLOOKUP($B110,'[9]Subsidiary wise dispatch'!$A$3:$R$138,17,FALSE)*$H110*$O110*365</f>
        <v>0</v>
      </c>
      <c r="AM110" s="7">
        <f>VLOOKUP($B110,'[9]Subsidiary wise dispatch'!$A$3:$R$138,18,FALSE)*$H110*$O110*365</f>
        <v>0</v>
      </c>
      <c r="AN110" s="15">
        <f t="shared" si="62"/>
        <v>38171.700000000004</v>
      </c>
      <c r="AO110" s="6">
        <v>0.05</v>
      </c>
      <c r="AP110" s="11">
        <f t="shared" si="63"/>
        <v>5.6134408602150502E-3</v>
      </c>
      <c r="AQ110" s="11">
        <f t="shared" si="64"/>
        <v>0.57599999999999996</v>
      </c>
      <c r="AR110" s="3">
        <f>VLOOKUP(A110,[10]Sheet1!$A$2:$L$542,12,FALSE)</f>
        <v>1.6054299754299699</v>
      </c>
      <c r="AS110" s="3">
        <f t="shared" si="72"/>
        <v>2.061061431791861</v>
      </c>
      <c r="AT110" s="3">
        <f t="shared" si="73"/>
        <v>2.0342187646319059</v>
      </c>
      <c r="AU110" s="3">
        <f t="shared" si="65"/>
        <v>2.6842667159955091E-2</v>
      </c>
      <c r="AV110" s="88">
        <f t="shared" si="74"/>
        <v>0.58054260870669061</v>
      </c>
      <c r="AW110" s="32">
        <f t="shared" si="75"/>
        <v>0.26864795634225991</v>
      </c>
      <c r="AX110" s="12">
        <f t="shared" si="66"/>
        <v>8.445841913342651</v>
      </c>
      <c r="AY110" s="12">
        <f t="shared" si="67"/>
        <v>855.34830615242367</v>
      </c>
      <c r="AZ110" s="3">
        <f>VLOOKUP(A110,[5]Analysis!$A$3:$BJ$543,62,FALSE)</f>
        <v>0.66165666747623308</v>
      </c>
      <c r="BA110" s="2"/>
      <c r="BB110" s="2"/>
      <c r="BC110" s="2" t="e">
        <f>VLOOKUP(A110,'[6]FGD status - Jun 2020'!$I$2:$M$449,5,FALSE)</f>
        <v>#N/A</v>
      </c>
      <c r="BD110" s="2"/>
      <c r="BE110" s="2"/>
      <c r="BF110" s="2">
        <f t="shared" si="68"/>
        <v>11.128248770017436</v>
      </c>
      <c r="BG110" s="2">
        <f t="shared" si="69"/>
        <v>1040.621131400223</v>
      </c>
      <c r="BH110" s="2"/>
      <c r="BI110" s="2"/>
      <c r="BK110">
        <f t="shared" si="70"/>
        <v>4.6778673835125417</v>
      </c>
      <c r="BL110" t="str">
        <f>VLOOKUP(A110,'[11]Daily coal vs energy req.2'!$C$2:$P$599,14,FALSE)</f>
        <v/>
      </c>
      <c r="BM110" t="str">
        <f>VLOOKUP(A110,'[11]Daily coal vs energy req.2'!$C$2:$R$599,16,FALSE)</f>
        <v/>
      </c>
      <c r="BP110" s="2" t="e">
        <f>VLOOKUP(A110,'[7]Table 2'!$J$2:$N$449,5,FALSE)</f>
        <v>#N/A</v>
      </c>
      <c r="BR110">
        <f t="shared" si="76"/>
        <v>8.0071336087730138</v>
      </c>
      <c r="BS110">
        <f t="shared" si="77"/>
        <v>748.76043908039549</v>
      </c>
      <c r="BT110">
        <f>(X110*I110*365*[5]Analysis!BK110)/10^4</f>
        <v>5.8323779440817676</v>
      </c>
      <c r="BU110">
        <f>(W110*R110*365*[5]Analysis!BK110)/10^4</f>
        <v>545.39540410674749</v>
      </c>
      <c r="BV110">
        <f>(X110*I110*365*[5]Analysis!BL110)/10^4</f>
        <v>2.1747556646912485</v>
      </c>
      <c r="BW110">
        <f>(W110*R110*365*[5]Analysis!BL110)/10^4</f>
        <v>203.36503497364802</v>
      </c>
      <c r="BX110">
        <f t="shared" si="78"/>
        <v>33984.069483332984</v>
      </c>
      <c r="BY110">
        <f t="shared" si="79"/>
        <v>3177907.1052591461</v>
      </c>
      <c r="BZ110">
        <f t="shared" si="80"/>
        <v>140453.96012396432</v>
      </c>
      <c r="CA110">
        <f t="shared" si="81"/>
        <v>14412101.783201847</v>
      </c>
      <c r="CB110">
        <f t="shared" si="82"/>
        <v>-94.394733129737091</v>
      </c>
      <c r="CC110">
        <f t="shared" si="83"/>
        <v>-993881.08799999987</v>
      </c>
      <c r="CD110">
        <f t="shared" si="84"/>
        <v>-41432.178283870941</v>
      </c>
      <c r="CE110">
        <f t="shared" si="85"/>
        <v>-4251391.4879999999</v>
      </c>
      <c r="CF110">
        <f t="shared" si="86"/>
        <v>73170.471865591346</v>
      </c>
      <c r="CG110">
        <f t="shared" si="87"/>
        <v>7508085.1200000001</v>
      </c>
      <c r="CH110">
        <f t="shared" si="88"/>
        <v>8459.7440017221743</v>
      </c>
      <c r="CI110">
        <f t="shared" si="89"/>
        <v>868061.61609856074</v>
      </c>
      <c r="CJ110">
        <f t="shared" si="90"/>
        <v>-40544.760645161266</v>
      </c>
      <c r="CK110">
        <f t="shared" si="91"/>
        <v>-4160332.8</v>
      </c>
      <c r="CL110">
        <f t="shared" si="92"/>
        <v>15869.444303225799</v>
      </c>
      <c r="CM110">
        <f t="shared" si="93"/>
        <v>1628377.344</v>
      </c>
    </row>
    <row r="111" spans="1:91" x14ac:dyDescent="0.2">
      <c r="A111" s="2" t="s">
        <v>103</v>
      </c>
      <c r="B111" s="2" t="str">
        <f t="shared" si="97"/>
        <v>AVANTHA BHANDAR</v>
      </c>
      <c r="C111" s="2" t="str">
        <f>VLOOKUP($A111,'[1]daily coal, energy reqd'!$C$2:$T$599,17,FALSE)</f>
        <v>Chhatisgarh</v>
      </c>
      <c r="D111" s="2" t="str">
        <f>VLOOKUP(C111,'Target PLF'!$I$2:$J$19,2,FALSE)</f>
        <v>WR</v>
      </c>
      <c r="E111" s="2" t="str">
        <f>VLOOKUP(A111,[2]Ownership!$C$2:$D$666,2,FALSE)</f>
        <v>PVT SECTOR</v>
      </c>
      <c r="F111" s="2" t="s">
        <v>543</v>
      </c>
      <c r="G111" s="12">
        <v>6.1765913757700197</v>
      </c>
      <c r="H111" s="2">
        <v>600</v>
      </c>
      <c r="I111" s="2">
        <f>VLOOKUP(A111,'[3]Calculated coal req (reg.)'!$A$2:$I$599,9,FALSE)</f>
        <v>0.14995622376116799</v>
      </c>
      <c r="J111" s="2"/>
      <c r="K111" s="11">
        <v>1.0413626650081111E-2</v>
      </c>
      <c r="L111" s="3">
        <f>VLOOKUP(F111,'Target PLF'!$A$2:$B$11,2,FALSE)</f>
        <v>0.85</v>
      </c>
      <c r="M111" s="3">
        <f t="shared" si="71"/>
        <v>0.83958637334991881</v>
      </c>
      <c r="N111" s="2" t="str">
        <f t="shared" si="50"/>
        <v>0.15</v>
      </c>
      <c r="O111" s="2">
        <v>0.1497</v>
      </c>
      <c r="P111" s="2">
        <f t="shared" si="51"/>
        <v>32784.299999999996</v>
      </c>
      <c r="Q111" s="2">
        <f t="shared" si="52"/>
        <v>11.457029881827516</v>
      </c>
      <c r="R111" s="2">
        <f t="shared" si="53"/>
        <v>12.24</v>
      </c>
      <c r="S111" s="2">
        <f t="shared" si="54"/>
        <v>2509089.5441202261</v>
      </c>
      <c r="T111" s="2" t="str">
        <f>VLOOKUP(A111,'[4]CEA vs MERIT comp. &amp; NPA marker'!$C$2:$K$735,9,FALSE)</f>
        <v>Contracted</v>
      </c>
      <c r="U111" s="3">
        <v>0.28000000000000003</v>
      </c>
      <c r="V111" s="3">
        <f t="shared" si="55"/>
        <v>9179.6039999999994</v>
      </c>
      <c r="W111" s="2">
        <f t="shared" si="56"/>
        <v>2691.7011429404511</v>
      </c>
      <c r="X111" s="2">
        <f t="shared" si="57"/>
        <v>2969.2442178823821</v>
      </c>
      <c r="Y111" s="6">
        <f t="shared" si="58"/>
        <v>0.31950055163275826</v>
      </c>
      <c r="Z111" s="2">
        <f t="shared" si="59"/>
        <v>2805749.8894542134</v>
      </c>
      <c r="AA111" s="2">
        <f t="shared" si="60"/>
        <v>37918.496820692613</v>
      </c>
      <c r="AB111" s="2" t="s">
        <v>598</v>
      </c>
      <c r="AC111" s="12"/>
      <c r="AD111" s="12">
        <f t="shared" si="61"/>
        <v>0</v>
      </c>
      <c r="AE111" s="2"/>
      <c r="AF111" s="7"/>
      <c r="AG111" s="7"/>
      <c r="AH111" s="7"/>
      <c r="AI111" s="7"/>
      <c r="AJ111" s="7"/>
      <c r="AK111" s="7"/>
      <c r="AL111" s="7"/>
      <c r="AM111" s="7"/>
      <c r="AN111" s="15">
        <f t="shared" si="62"/>
        <v>0</v>
      </c>
      <c r="AO111" s="6">
        <v>5.5651687553528041E-2</v>
      </c>
      <c r="AP111" s="11">
        <f t="shared" si="63"/>
        <v>8.3453169114634587E-3</v>
      </c>
      <c r="AQ111" s="11">
        <f t="shared" si="64"/>
        <v>0.68117665565518326</v>
      </c>
      <c r="AR111" s="3">
        <f>VLOOKUP(A111,[10]Sheet1!$A$2:$L$542,12,FALSE)</f>
        <v>1.72394366197184</v>
      </c>
      <c r="AS111" s="3">
        <f t="shared" si="72"/>
        <v>2.1738706839418636</v>
      </c>
      <c r="AT111" s="3">
        <f t="shared" si="73"/>
        <v>2.1454225187603151</v>
      </c>
      <c r="AU111" s="3">
        <f t="shared" si="65"/>
        <v>2.8448165181548468E-2</v>
      </c>
      <c r="AV111" s="88">
        <f t="shared" si="74"/>
        <v>0.61526568611828758</v>
      </c>
      <c r="AW111" s="32">
        <f t="shared" si="75"/>
        <v>0.26994131954190914</v>
      </c>
      <c r="AX111" s="12">
        <f t="shared" si="66"/>
        <v>11.898468512879573</v>
      </c>
      <c r="AY111" s="12">
        <f t="shared" si="67"/>
        <v>958.48896448135838</v>
      </c>
      <c r="AZ111" s="3">
        <f>VLOOKUP(A111,[5]Analysis!$A$3:$BJ$543,62,FALSE)</f>
        <v>0.72766354259154464</v>
      </c>
      <c r="BA111" s="2"/>
      <c r="BB111" s="2"/>
      <c r="BC111" s="2" t="str">
        <f>VLOOKUP(A111,'[6]FGD status - Jun 2020'!$I$2:$M$449,5,FALSE)</f>
        <v>Tender specification made</v>
      </c>
      <c r="BD111" s="2"/>
      <c r="BE111" s="2"/>
      <c r="BF111" s="2">
        <f t="shared" si="68"/>
        <v>14.003604223856348</v>
      </c>
      <c r="BG111" s="2">
        <f t="shared" si="69"/>
        <v>1036.1858801745568</v>
      </c>
      <c r="BH111" s="2"/>
      <c r="BI111" s="2"/>
      <c r="BK111">
        <f t="shared" si="70"/>
        <v>6.2481759900486669</v>
      </c>
      <c r="BL111" t="str">
        <f>VLOOKUP(A111,'[11]Daily coal vs energy req.2'!$C$2:$P$599,14,FALSE)</f>
        <v/>
      </c>
      <c r="BM111" t="str">
        <f>VLOOKUP(A111,'[11]Daily coal vs energy req.2'!$C$2:$R$599,16,FALSE)</f>
        <v/>
      </c>
      <c r="BP111" s="2" t="str">
        <f>VLOOKUP(A111,'[7]Table 2'!$J$2:$N$449,5,FALSE)</f>
        <v>Tender specification made</v>
      </c>
      <c r="BR111">
        <f t="shared" si="76"/>
        <v>11.825891651488497</v>
      </c>
      <c r="BS111">
        <f t="shared" si="77"/>
        <v>875.04772013415732</v>
      </c>
      <c r="BT111">
        <f>(X111*I111*365*[5]Analysis!BK111)/10^4</f>
        <v>9.9628469978639789</v>
      </c>
      <c r="BU111">
        <f>(W111*R111*365*[5]Analysis!BK111)/10^4</f>
        <v>737.19316973693037</v>
      </c>
      <c r="BV111">
        <f>(X111*I111*365*[5]Analysis!BL111)/10^4</f>
        <v>1.8630446536245195</v>
      </c>
      <c r="BW111">
        <f>(W111*R111*365*[5]Analysis!BL111)/10^4</f>
        <v>137.85455039722697</v>
      </c>
      <c r="BX111">
        <f t="shared" si="78"/>
        <v>45638.806659678281</v>
      </c>
      <c r="BY111">
        <f t="shared" si="79"/>
        <v>3377008.2539330898</v>
      </c>
      <c r="BZ111">
        <f t="shared" si="80"/>
        <v>206318.06693613387</v>
      </c>
      <c r="CA111">
        <f t="shared" si="81"/>
        <v>16840469.011278395</v>
      </c>
      <c r="CB111">
        <f t="shared" si="82"/>
        <v>-168.40634849920863</v>
      </c>
      <c r="CC111">
        <f t="shared" si="83"/>
        <v>-1121998.5720000002</v>
      </c>
      <c r="CD111">
        <f t="shared" si="84"/>
        <v>-55340.504624205983</v>
      </c>
      <c r="CE111">
        <f t="shared" si="85"/>
        <v>-4517103.4560000002</v>
      </c>
      <c r="CF111">
        <f t="shared" si="86"/>
        <v>97732.994120886797</v>
      </c>
      <c r="CG111">
        <f t="shared" si="87"/>
        <v>7977340.4400000004</v>
      </c>
      <c r="CH111">
        <f t="shared" si="88"/>
        <v>6858.1835387873125</v>
      </c>
      <c r="CI111">
        <f t="shared" si="89"/>
        <v>559791.14710472268</v>
      </c>
      <c r="CJ111">
        <f t="shared" si="90"/>
        <v>-54155.190649108212</v>
      </c>
      <c r="CK111">
        <f t="shared" si="91"/>
        <v>-4420353.6000000006</v>
      </c>
      <c r="CL111">
        <f t="shared" si="92"/>
        <v>23592.578102651303</v>
      </c>
      <c r="CM111">
        <f t="shared" si="93"/>
        <v>1925716.3773100518</v>
      </c>
    </row>
    <row r="112" spans="1:91" x14ac:dyDescent="0.2">
      <c r="A112" s="2" t="s">
        <v>116</v>
      </c>
      <c r="B112" s="2" t="str">
        <f t="shared" si="97"/>
        <v>VIZAG TPS</v>
      </c>
      <c r="C112" s="2" t="str">
        <f>VLOOKUP($A112,'[1]daily coal, energy reqd'!$C$2:$T$599,17,FALSE)</f>
        <v>Andhra Pradesh</v>
      </c>
      <c r="D112" s="2" t="str">
        <f>VLOOKUP(C112,'Target PLF'!$I$2:$J$19,2,FALSE)</f>
        <v>SR</v>
      </c>
      <c r="E112" s="2" t="str">
        <f>VLOOKUP(A112,[2]Ownership!$C$2:$D$666,2,FALSE)</f>
        <v>PVT SECTOR</v>
      </c>
      <c r="F112" s="2" t="s">
        <v>542</v>
      </c>
      <c r="G112" s="12">
        <v>4.1752224503764497</v>
      </c>
      <c r="H112" s="2">
        <v>520</v>
      </c>
      <c r="I112" s="2">
        <f>VLOOKUP(A112,'[3]Calculated coal req (reg.)'!$A$2:$I$599,9,FALSE)</f>
        <v>3.2796099313169802</v>
      </c>
      <c r="J112" s="2"/>
      <c r="K112" s="11">
        <v>0.26278925731706571</v>
      </c>
      <c r="L112" s="3">
        <f>VLOOKUP(F112,'Target PLF'!$A$2:$B$11,2,FALSE)</f>
        <v>0.85</v>
      </c>
      <c r="M112" s="3">
        <f t="shared" si="71"/>
        <v>0.58721074268293427</v>
      </c>
      <c r="N112" s="2" t="str">
        <f t="shared" si="50"/>
        <v>0.15</v>
      </c>
      <c r="O112" s="2">
        <f t="shared" ref="O112:O175" si="98">(13.9133*K112)+(-0.289097*N112)+(-0.0052079*H112)+(0.031675*G112)+3.492937+IF(E112="Pvt Sector",-0.8897511,0)</f>
        <v>3.640229294945204</v>
      </c>
      <c r="P112" s="2">
        <f t="shared" si="51"/>
        <v>690915.52018059976</v>
      </c>
      <c r="Q112" s="2">
        <f t="shared" si="52"/>
        <v>11.810268521115674</v>
      </c>
      <c r="R112" s="2">
        <f t="shared" si="53"/>
        <v>10.608000000000001</v>
      </c>
      <c r="S112" s="2">
        <f t="shared" si="54"/>
        <v>2241588.9653077549</v>
      </c>
      <c r="T112" s="2" t="str">
        <f>VLOOKUP(A112,'[4]CEA vs MERIT comp. &amp; NPA marker'!$C$2:$K$735,9,FALSE)</f>
        <v>Contracted</v>
      </c>
      <c r="U112" s="3">
        <f>VLOOKUP(B112,'[8]Import-Domestic share'!$A$208:$F$406,6,FALSE)</f>
        <v>4.9013357007384684E-2</v>
      </c>
      <c r="V112" s="3">
        <f t="shared" si="55"/>
        <v>33864.089052554635</v>
      </c>
      <c r="W112" s="2">
        <f t="shared" si="56"/>
        <v>2698.391761427446</v>
      </c>
      <c r="X112" s="2">
        <f t="shared" si="57"/>
        <v>2892.5067212890344</v>
      </c>
      <c r="Y112" s="6">
        <f t="shared" si="58"/>
        <v>0.31870835521120217</v>
      </c>
      <c r="Z112" s="2">
        <f t="shared" si="59"/>
        <v>2840471.1035635858</v>
      </c>
      <c r="AA112" s="2">
        <f t="shared" si="60"/>
        <v>941344.15839165472</v>
      </c>
      <c r="AB112" s="2" t="s">
        <v>598</v>
      </c>
      <c r="AC112" s="12">
        <f>VLOOKUP(B112,[9]Sheet1!$A$2:$B$137,2,FALSE)</f>
        <v>3678.2479553474091</v>
      </c>
      <c r="AD112" s="12">
        <f t="shared" si="61"/>
        <v>1912688.9367806527</v>
      </c>
      <c r="AE112" s="2"/>
      <c r="AF112" s="7">
        <f>VLOOKUP($B112,'[9]Subsidiary wise dispatch'!$A$3:$R$138,11,FALSE)*$H112*$O112*365</f>
        <v>0</v>
      </c>
      <c r="AG112" s="7">
        <f>VLOOKUP($B112,'[9]Subsidiary wise dispatch'!$A$3:$R$138,12,FALSE)*$H112*$O112*365</f>
        <v>0</v>
      </c>
      <c r="AH112" s="7">
        <f>VLOOKUP($B112,'[9]Subsidiary wise dispatch'!$A$3:$R$138,13,FALSE)*$H112*$O112*365</f>
        <v>0</v>
      </c>
      <c r="AI112" s="7">
        <f>VLOOKUP($B112,'[9]Subsidiary wise dispatch'!$A$3:$R$138,14,FALSE)*$H112*$O112*365</f>
        <v>690915.52018059976</v>
      </c>
      <c r="AJ112" s="7">
        <f>VLOOKUP($B112,'[9]Subsidiary wise dispatch'!$A$3:$R$138,15,FALSE)*$H112*$O112*365</f>
        <v>0</v>
      </c>
      <c r="AK112" s="7">
        <f>VLOOKUP($B112,'[9]Subsidiary wise dispatch'!$A$3:$R$138,16,FALSE)*$H112*$O112*365</f>
        <v>0</v>
      </c>
      <c r="AL112" s="7">
        <f>VLOOKUP($B112,'[9]Subsidiary wise dispatch'!$A$3:$R$138,17,FALSE)*$H112*$O112*365</f>
        <v>0</v>
      </c>
      <c r="AM112" s="7">
        <f>VLOOKUP($B112,'[9]Subsidiary wise dispatch'!$A$3:$R$138,18,FALSE)*$H112*$O112*365</f>
        <v>0</v>
      </c>
      <c r="AN112" s="15">
        <f t="shared" si="62"/>
        <v>690915.52018059976</v>
      </c>
      <c r="AO112" s="6">
        <v>2.064213334024792E-2</v>
      </c>
      <c r="AP112" s="11">
        <f t="shared" si="63"/>
        <v>6.7698145506246435E-2</v>
      </c>
      <c r="AQ112" s="11">
        <f t="shared" si="64"/>
        <v>0.21897175047334994</v>
      </c>
      <c r="AR112" s="3">
        <f>VLOOKUP(A112,[10]Sheet1!$A$2:$L$542,12,FALSE)</f>
        <v>3.1644736842104799</v>
      </c>
      <c r="AS112" s="3">
        <f t="shared" si="72"/>
        <v>2.4764718357836095</v>
      </c>
      <c r="AT112" s="3">
        <f t="shared" si="73"/>
        <v>2.4565750523977963</v>
      </c>
      <c r="AU112" s="3">
        <f t="shared" si="65"/>
        <v>1.9896783385813244E-2</v>
      </c>
      <c r="AV112" s="88">
        <f t="shared" si="74"/>
        <v>0.43031977645290792</v>
      </c>
      <c r="AW112" s="32">
        <f t="shared" si="75"/>
        <v>0.16572891608808785</v>
      </c>
      <c r="AX112" s="12">
        <f t="shared" si="66"/>
        <v>296.44794939508927</v>
      </c>
      <c r="AY112" s="12">
        <f t="shared" si="67"/>
        <v>951.16620768800772</v>
      </c>
      <c r="AZ112" s="3">
        <f>VLOOKUP(A112,[5]Analysis!$A$3:$BJ$543,62,FALSE)</f>
        <v>0.92657956510704453</v>
      </c>
      <c r="BA112" s="2"/>
      <c r="BB112" s="2"/>
      <c r="BC112" s="2" t="str">
        <f>VLOOKUP(A112,'[6]FGD status - Jun 2020'!$I$2:$M$449,5,FALSE)</f>
        <v>Feasibility Study completed</v>
      </c>
      <c r="BD112" s="2"/>
      <c r="BE112" s="2"/>
      <c r="BF112" s="2">
        <f t="shared" si="68"/>
        <v>301.20118722993851</v>
      </c>
      <c r="BG112" s="2">
        <f t="shared" si="69"/>
        <v>908.86341733660072</v>
      </c>
      <c r="BH112" s="2"/>
      <c r="BI112" s="2"/>
      <c r="BK112">
        <f t="shared" si="70"/>
        <v>136.65041380487418</v>
      </c>
      <c r="BL112">
        <f>VLOOKUP(A112,'[11]Daily coal vs energy req.2'!$C$2:$P$599,14,FALSE)</f>
        <v>0.62</v>
      </c>
      <c r="BM112">
        <f>VLOOKUP(A112,'[11]Daily coal vs energy req.2'!$C$2:$R$599,16,FALSE)</f>
        <v>0.62</v>
      </c>
      <c r="BN112">
        <f>BL112*H112</f>
        <v>322.39999999999998</v>
      </c>
      <c r="BO112">
        <f>BM112*H112</f>
        <v>322.39999999999998</v>
      </c>
      <c r="BP112" s="2" t="str">
        <f>VLOOKUP(A112,'[7]Table 2'!$J$2:$N$449,5,FALSE)</f>
        <v>Feasibility Study completed</v>
      </c>
      <c r="BR112">
        <f t="shared" si="76"/>
        <v>320.82791737423986</v>
      </c>
      <c r="BS112">
        <f t="shared" si="77"/>
        <v>968.08634801009555</v>
      </c>
      <c r="BT112">
        <f>(X112*I112*365*[5]Analysis!BK112)/10^4</f>
        <v>152.72063679256621</v>
      </c>
      <c r="BU112">
        <f>(W112*R112*365*[5]Analysis!BK112)/10^4</f>
        <v>460.82886036950191</v>
      </c>
      <c r="BV112">
        <f>(X112*I112*365*[5]Analysis!BL112)/10^4</f>
        <v>168.10728058167365</v>
      </c>
      <c r="BW112">
        <f>(W112*R112*365*[5]Analysis!BL112)/10^4</f>
        <v>507.25748764059375</v>
      </c>
      <c r="BX112">
        <f t="shared" si="78"/>
        <v>972345.11137791502</v>
      </c>
      <c r="BY112">
        <f t="shared" si="79"/>
        <v>2934015.3300352911</v>
      </c>
      <c r="BZ112">
        <f t="shared" si="80"/>
        <v>5745754.4112759624</v>
      </c>
      <c r="CA112">
        <f t="shared" si="81"/>
        <v>18584820.777859874</v>
      </c>
      <c r="CB112">
        <f t="shared" si="82"/>
        <v>-92944.086016641857</v>
      </c>
      <c r="CC112">
        <f t="shared" si="83"/>
        <v>-972398.76240000001</v>
      </c>
      <c r="CD112">
        <f t="shared" si="84"/>
        <v>-1210321.6793369162</v>
      </c>
      <c r="CE112">
        <f t="shared" si="85"/>
        <v>-3914822.9952000002</v>
      </c>
      <c r="CF112">
        <f t="shared" si="86"/>
        <v>2137464.4552712883</v>
      </c>
      <c r="CG112">
        <f t="shared" si="87"/>
        <v>6913695.0480000013</v>
      </c>
      <c r="CH112">
        <f t="shared" si="88"/>
        <v>101390.56645603215</v>
      </c>
      <c r="CI112">
        <f t="shared" si="89"/>
        <v>327950.93059548218</v>
      </c>
      <c r="CJ112">
        <f t="shared" si="90"/>
        <v>-1026478.5531830392</v>
      </c>
      <c r="CK112">
        <f t="shared" si="91"/>
        <v>-3320176.7040000004</v>
      </c>
      <c r="CL112">
        <f t="shared" si="92"/>
        <v>191385.63606456094</v>
      </c>
      <c r="CM112">
        <f t="shared" si="93"/>
        <v>619042.77334518114</v>
      </c>
    </row>
    <row r="113" spans="1:91" x14ac:dyDescent="0.2">
      <c r="A113" s="2" t="s">
        <v>117</v>
      </c>
      <c r="B113" s="2" t="str">
        <f t="shared" si="97"/>
        <v>SAGARDIGHI TPS</v>
      </c>
      <c r="C113" s="2" t="str">
        <f>VLOOKUP($A113,'[1]daily coal, energy reqd'!$C$2:$T$599,17,FALSE)</f>
        <v>West Bengal</v>
      </c>
      <c r="D113" s="2" t="str">
        <f>VLOOKUP(C113,'Target PLF'!$I$2:$J$19,2,FALSE)</f>
        <v>ER</v>
      </c>
      <c r="E113" s="2" t="str">
        <f>VLOOKUP(A113,[2]Ownership!$C$2:$D$666,2,FALSE)</f>
        <v>STATE SECTOR</v>
      </c>
      <c r="F113" s="2" t="s">
        <v>542</v>
      </c>
      <c r="G113" s="12">
        <v>3.4223134839151199</v>
      </c>
      <c r="H113" s="2">
        <v>500</v>
      </c>
      <c r="I113" s="2">
        <f>VLOOKUP(A113,'[3]Calculated coal req (reg.)'!$A$2:$I$599,9,FALSE)</f>
        <v>4.6693541995515302</v>
      </c>
      <c r="J113" s="2"/>
      <c r="K113" s="11">
        <v>0.38911284996262746</v>
      </c>
      <c r="L113" s="3">
        <f>VLOOKUP(F113,'Target PLF'!$A$2:$B$11,2,FALSE)</f>
        <v>0.85</v>
      </c>
      <c r="M113" s="3">
        <f t="shared" si="71"/>
        <v>0.46088715003737252</v>
      </c>
      <c r="N113" s="2" t="str">
        <f t="shared" si="50"/>
        <v>0.15</v>
      </c>
      <c r="O113" s="2">
        <f t="shared" si="98"/>
        <v>6.367868044988036</v>
      </c>
      <c r="P113" s="2">
        <f t="shared" si="51"/>
        <v>1162135.9182103164</v>
      </c>
      <c r="Q113" s="2">
        <f t="shared" si="52"/>
        <v>12.780329229603012</v>
      </c>
      <c r="R113" s="2">
        <f t="shared" si="53"/>
        <v>10.199999999999999</v>
      </c>
      <c r="S113" s="2">
        <f t="shared" si="54"/>
        <v>2332410.0844025495</v>
      </c>
      <c r="T113" s="2" t="str">
        <f>VLOOKUP(A113,'[4]CEA vs MERIT comp. &amp; NPA marker'!$C$2:$K$735,9,FALSE)</f>
        <v>Contracted</v>
      </c>
      <c r="U113" s="3">
        <f>VLOOKUP(B113,'[8]Import-Domestic share'!$A$208:$F$406,6,FALSE)</f>
        <v>6.5371616889120401E-4</v>
      </c>
      <c r="V113" s="3">
        <f t="shared" si="55"/>
        <v>759.7070401833098</v>
      </c>
      <c r="W113" s="2">
        <f t="shared" si="56"/>
        <v>2700.2510267705393</v>
      </c>
      <c r="X113" s="2">
        <f t="shared" si="57"/>
        <v>2852.6070450229736</v>
      </c>
      <c r="Y113" s="6">
        <f t="shared" si="58"/>
        <v>0.31848890768816684</v>
      </c>
      <c r="Z113" s="2">
        <f t="shared" si="59"/>
        <v>1719665.5888322038</v>
      </c>
      <c r="AA113" s="2">
        <f t="shared" si="60"/>
        <v>831645.91543334827</v>
      </c>
      <c r="AB113" s="2" t="s">
        <v>598</v>
      </c>
      <c r="AC113" s="12">
        <f>VLOOKUP(B113,[9]Sheet1!$A$2:$B$137,2,FALSE)</f>
        <v>5845.9241366186579</v>
      </c>
      <c r="AD113" s="12">
        <f t="shared" si="61"/>
        <v>2922962.068309329</v>
      </c>
      <c r="AE113" s="2"/>
      <c r="AF113" s="7">
        <f>VLOOKUP($B113,'[9]Subsidiary wise dispatch'!$A$3:$R$138,11,FALSE)*$H113*$O113*365</f>
        <v>139089.64809830999</v>
      </c>
      <c r="AG113" s="7">
        <f>VLOOKUP($B113,'[9]Subsidiary wise dispatch'!$A$3:$R$138,12,FALSE)*$H113*$O113*365</f>
        <v>31395.972584654504</v>
      </c>
      <c r="AH113" s="7">
        <f>VLOOKUP($B113,'[9]Subsidiary wise dispatch'!$A$3:$R$138,13,FALSE)*$H113*$O113*365</f>
        <v>991650.29752735188</v>
      </c>
      <c r="AI113" s="7">
        <f>VLOOKUP($B113,'[9]Subsidiary wise dispatch'!$A$3:$R$138,14,FALSE)*$H113*$O113*365</f>
        <v>0</v>
      </c>
      <c r="AJ113" s="7">
        <f>VLOOKUP($B113,'[9]Subsidiary wise dispatch'!$A$3:$R$138,15,FALSE)*$H113*$O113*365</f>
        <v>0</v>
      </c>
      <c r="AK113" s="7">
        <f>VLOOKUP($B113,'[9]Subsidiary wise dispatch'!$A$3:$R$138,16,FALSE)*$H113*$O113*365</f>
        <v>0</v>
      </c>
      <c r="AL113" s="7">
        <f>VLOOKUP($B113,'[9]Subsidiary wise dispatch'!$A$3:$R$138,17,FALSE)*$H113*$O113*365</f>
        <v>0</v>
      </c>
      <c r="AM113" s="7">
        <f>VLOOKUP($B113,'[9]Subsidiary wise dispatch'!$A$3:$R$138,18,FALSE)*$H113*$O113*365</f>
        <v>0</v>
      </c>
      <c r="AN113" s="15">
        <f t="shared" si="62"/>
        <v>1162135.9182103164</v>
      </c>
      <c r="AO113" s="6">
        <v>9.5849721553511083E-2</v>
      </c>
      <c r="AP113" s="11">
        <f t="shared" si="63"/>
        <v>0.44755629986173179</v>
      </c>
      <c r="AQ113" s="11">
        <f t="shared" si="64"/>
        <v>0.97766715984581298</v>
      </c>
      <c r="AR113" s="3">
        <f>VLOOKUP(A113,[10]Sheet1!$A$2:$L$542,12,FALSE)</f>
        <v>2.9959402654867202</v>
      </c>
      <c r="AS113" s="3">
        <f t="shared" si="72"/>
        <v>2.3770664466001583</v>
      </c>
      <c r="AT113" s="3">
        <f t="shared" si="73"/>
        <v>2.361449954729284</v>
      </c>
      <c r="AU113" s="3">
        <f t="shared" si="65"/>
        <v>1.5616491870874327E-2</v>
      </c>
      <c r="AV113" s="88">
        <f t="shared" si="74"/>
        <v>0.33774732129038731</v>
      </c>
      <c r="AW113" s="32">
        <f t="shared" si="75"/>
        <v>0.13551612319472447</v>
      </c>
      <c r="AX113" s="12">
        <f t="shared" si="66"/>
        <v>405.12682961916011</v>
      </c>
      <c r="AY113" s="12">
        <f t="shared" si="67"/>
        <v>879.16781814571243</v>
      </c>
      <c r="AZ113" s="3">
        <f>VLOOKUP(A113,[5]Analysis!$A$3:$BJ$543,62,FALSE)</f>
        <v>0.76030263836138412</v>
      </c>
      <c r="BA113" s="2"/>
      <c r="BB113" s="2"/>
      <c r="BC113" s="2" t="str">
        <f>VLOOKUP(A113,'[6]FGD status - Jun 2020'!$I$2:$M$449,5,FALSE)</f>
        <v>BID opened</v>
      </c>
      <c r="BD113" s="2"/>
      <c r="BE113" s="2"/>
      <c r="BF113" s="2">
        <f t="shared" si="68"/>
        <v>257.51053668415477</v>
      </c>
      <c r="BG113" s="2">
        <f t="shared" si="69"/>
        <v>532.47662313919511</v>
      </c>
      <c r="BH113" s="2"/>
      <c r="BI113" s="2"/>
      <c r="BK113">
        <f t="shared" si="70"/>
        <v>194.55642498131374</v>
      </c>
      <c r="BL113">
        <f>VLOOKUP(A113,'[11]Daily coal vs energy req.2'!$C$2:$P$599,14,FALSE)</f>
        <v>0.8</v>
      </c>
      <c r="BM113">
        <f>VLOOKUP(A113,'[11]Daily coal vs energy req.2'!$C$2:$R$599,16,FALSE)</f>
        <v>0.93</v>
      </c>
      <c r="BN113">
        <f>BL113*H113</f>
        <v>400</v>
      </c>
      <c r="BO113">
        <f>BM113*H113</f>
        <v>465</v>
      </c>
      <c r="BP113" s="2" t="str">
        <f>VLOOKUP(A113,'[7]Table 2'!$J$2:$N$449,5,FALSE)</f>
        <v>Bid opened</v>
      </c>
      <c r="BR113">
        <f t="shared" si="76"/>
        <v>369.63929356189175</v>
      </c>
      <c r="BS113">
        <f t="shared" si="77"/>
        <v>764.33487091367147</v>
      </c>
      <c r="BT113">
        <f>(X113*I113*365*[5]Analysis!BK113)/10^4</f>
        <v>314.54281096933403</v>
      </c>
      <c r="BU113">
        <f>(W113*R113*365*[5]Analysis!BK113)/10^4</f>
        <v>650.40714828336968</v>
      </c>
      <c r="BV113">
        <f>(X113*I113*365*[5]Analysis!BL113)/10^4</f>
        <v>55.096482592557628</v>
      </c>
      <c r="BW113">
        <f>(W113*R113*365*[5]Analysis!BL113)/10^4</f>
        <v>113.92772263030174</v>
      </c>
      <c r="BX113">
        <f t="shared" si="78"/>
        <v>1365282.8502482011</v>
      </c>
      <c r="BY113">
        <f t="shared" si="79"/>
        <v>2823112.4484885987</v>
      </c>
      <c r="BZ113">
        <f t="shared" si="80"/>
        <v>6712518.0258348919</v>
      </c>
      <c r="CA113">
        <f t="shared" si="81"/>
        <v>14663202.005556121</v>
      </c>
      <c r="CB113">
        <f t="shared" si="82"/>
        <v>-195940.56356977421</v>
      </c>
      <c r="CC113">
        <f t="shared" si="83"/>
        <v>-934998.80999999994</v>
      </c>
      <c r="CD113">
        <f t="shared" si="84"/>
        <v>0</v>
      </c>
      <c r="CE113">
        <f t="shared" si="85"/>
        <v>0</v>
      </c>
      <c r="CF113">
        <f t="shared" si="86"/>
        <v>3043221.2487554126</v>
      </c>
      <c r="CG113">
        <f t="shared" si="87"/>
        <v>6647783.7000000002</v>
      </c>
      <c r="CH113">
        <f t="shared" si="88"/>
        <v>118323.86437569896</v>
      </c>
      <c r="CI113">
        <f t="shared" si="89"/>
        <v>258473.30595482496</v>
      </c>
      <c r="CJ113">
        <f t="shared" si="90"/>
        <v>-1405242.1463550334</v>
      </c>
      <c r="CK113">
        <f t="shared" si="91"/>
        <v>-3069690.0000000005</v>
      </c>
      <c r="CL113">
        <f t="shared" si="92"/>
        <v>1265261.3521863096</v>
      </c>
      <c r="CM113">
        <f t="shared" si="93"/>
        <v>2763908.0782391462</v>
      </c>
    </row>
    <row r="114" spans="1:91" x14ac:dyDescent="0.2">
      <c r="A114" s="2" t="s">
        <v>119</v>
      </c>
      <c r="B114" s="2" t="str">
        <f t="shared" si="97"/>
        <v>VIZAG TPS</v>
      </c>
      <c r="C114" s="2" t="str">
        <f>VLOOKUP($A114,'[1]daily coal, energy reqd'!$C$2:$T$599,17,FALSE)</f>
        <v>Andhra Pradesh</v>
      </c>
      <c r="D114" s="2" t="str">
        <f>VLOOKUP(C114,'Target PLF'!$I$2:$J$19,2,FALSE)</f>
        <v>SR</v>
      </c>
      <c r="E114" s="2" t="str">
        <f>VLOOKUP(A114,[2]Ownership!$C$2:$D$666,2,FALSE)</f>
        <v>PVT SECTOR</v>
      </c>
      <c r="F114" s="2" t="s">
        <v>542</v>
      </c>
      <c r="G114" s="12">
        <v>4.4243668720054696</v>
      </c>
      <c r="H114" s="2">
        <v>520</v>
      </c>
      <c r="I114" s="2">
        <f>VLOOKUP(A114,'[3]Calculated coal req (reg.)'!$A$2:$I$599,9,FALSE)</f>
        <v>3.2181551472962702</v>
      </c>
      <c r="J114" s="2"/>
      <c r="K114" s="11">
        <v>0.25786499577694472</v>
      </c>
      <c r="L114" s="3">
        <f>VLOOKUP(F114,'Target PLF'!$A$2:$B$11,2,FALSE)</f>
        <v>0.85</v>
      </c>
      <c r="M114" s="3">
        <f t="shared" si="71"/>
        <v>0.59213500422305532</v>
      </c>
      <c r="N114" s="2" t="str">
        <f t="shared" si="50"/>
        <v>0.15</v>
      </c>
      <c r="O114" s="2">
        <f t="shared" si="98"/>
        <v>3.5796082164141385</v>
      </c>
      <c r="P114" s="2">
        <f t="shared" si="51"/>
        <v>679409.63947540347</v>
      </c>
      <c r="Q114" s="2">
        <f t="shared" si="52"/>
        <v>11.818160170670774</v>
      </c>
      <c r="R114" s="2">
        <f t="shared" si="53"/>
        <v>10.608000000000001</v>
      </c>
      <c r="S114" s="2">
        <f t="shared" si="54"/>
        <v>2243086.8003933132</v>
      </c>
      <c r="T114" s="2" t="str">
        <f>VLOOKUP(A114,'[4]CEA vs MERIT comp. &amp; NPA marker'!$C$2:$K$735,9,FALSE)</f>
        <v>Contracted</v>
      </c>
      <c r="U114" s="3">
        <f>VLOOKUP(B114,'[8]Import-Domestic share'!$A$208:$F$406,6,FALSE)</f>
        <v>4.9013357007384684E-2</v>
      </c>
      <c r="V114" s="3">
        <f t="shared" si="55"/>
        <v>33300.147213866469</v>
      </c>
      <c r="W114" s="2">
        <f t="shared" si="56"/>
        <v>2700.2953585992464</v>
      </c>
      <c r="X114" s="2">
        <f t="shared" si="57"/>
        <v>2896.0381375072666</v>
      </c>
      <c r="Y114" s="6">
        <f t="shared" si="58"/>
        <v>0.31848367892841067</v>
      </c>
      <c r="Z114" s="2">
        <f t="shared" si="59"/>
        <v>2842474.9314868012</v>
      </c>
      <c r="AA114" s="2">
        <f t="shared" si="60"/>
        <v>924832.57124745531</v>
      </c>
      <c r="AB114" s="2" t="s">
        <v>598</v>
      </c>
      <c r="AC114" s="12">
        <f>VLOOKUP(B114,[9]Sheet1!$A$2:$B$137,2,FALSE)</f>
        <v>3678.2479553474091</v>
      </c>
      <c r="AD114" s="12">
        <f t="shared" si="61"/>
        <v>1912688.9367806527</v>
      </c>
      <c r="AE114" s="2"/>
      <c r="AF114" s="7">
        <f>VLOOKUP($B114,'[9]Subsidiary wise dispatch'!$A$3:$R$138,11,FALSE)*$H114*$O114*365</f>
        <v>0</v>
      </c>
      <c r="AG114" s="7">
        <f>VLOOKUP($B114,'[9]Subsidiary wise dispatch'!$A$3:$R$138,12,FALSE)*$H114*$O114*365</f>
        <v>0</v>
      </c>
      <c r="AH114" s="7">
        <f>VLOOKUP($B114,'[9]Subsidiary wise dispatch'!$A$3:$R$138,13,FALSE)*$H114*$O114*365</f>
        <v>0</v>
      </c>
      <c r="AI114" s="7">
        <f>VLOOKUP($B114,'[9]Subsidiary wise dispatch'!$A$3:$R$138,14,FALSE)*$H114*$O114*365</f>
        <v>679409.63947540347</v>
      </c>
      <c r="AJ114" s="7">
        <f>VLOOKUP($B114,'[9]Subsidiary wise dispatch'!$A$3:$R$138,15,FALSE)*$H114*$O114*365</f>
        <v>0</v>
      </c>
      <c r="AK114" s="7">
        <f>VLOOKUP($B114,'[9]Subsidiary wise dispatch'!$A$3:$R$138,16,FALSE)*$H114*$O114*365</f>
        <v>0</v>
      </c>
      <c r="AL114" s="7">
        <f>VLOOKUP($B114,'[9]Subsidiary wise dispatch'!$A$3:$R$138,17,FALSE)*$H114*$O114*365</f>
        <v>0</v>
      </c>
      <c r="AM114" s="7">
        <f>VLOOKUP($B114,'[9]Subsidiary wise dispatch'!$A$3:$R$138,18,FALSE)*$H114*$O114*365</f>
        <v>0</v>
      </c>
      <c r="AN114" s="15">
        <f t="shared" si="62"/>
        <v>679409.63947540347</v>
      </c>
      <c r="AO114" s="6">
        <v>2.064213334024792E-2</v>
      </c>
      <c r="AP114" s="11">
        <f t="shared" si="63"/>
        <v>6.6429587660094797E-2</v>
      </c>
      <c r="AQ114" s="11">
        <f t="shared" si="64"/>
        <v>0.21897175047334994</v>
      </c>
      <c r="AR114" s="3">
        <f>VLOOKUP(A114,[10]Sheet1!$A$2:$L$542,12,FALSE)</f>
        <v>3.1644736842104799</v>
      </c>
      <c r="AS114" s="3">
        <f t="shared" si="72"/>
        <v>2.4786785958159303</v>
      </c>
      <c r="AT114" s="3">
        <f t="shared" si="73"/>
        <v>2.458614960977858</v>
      </c>
      <c r="AU114" s="3">
        <f t="shared" si="65"/>
        <v>2.0063634838072275E-2</v>
      </c>
      <c r="AV114" s="88">
        <f t="shared" si="74"/>
        <v>0.43392837379473942</v>
      </c>
      <c r="AW114" s="32">
        <f t="shared" si="75"/>
        <v>0.16696990874705614</v>
      </c>
      <c r="AX114" s="12">
        <f t="shared" si="66"/>
        <v>291.15218827906165</v>
      </c>
      <c r="AY114" s="12">
        <f t="shared" si="67"/>
        <v>951.95604397093882</v>
      </c>
      <c r="AZ114" s="3">
        <f>VLOOKUP(A114,[5]Analysis!$A$3:$BJ$543,62,FALSE)</f>
        <v>0.92657956510704453</v>
      </c>
      <c r="BA114" s="2"/>
      <c r="BB114" s="2"/>
      <c r="BC114" s="2" t="str">
        <f>VLOOKUP(A114,'[6]FGD status - Jun 2020'!$I$2:$M$449,5,FALSE)</f>
        <v>Feasibility Study completed</v>
      </c>
      <c r="BD114" s="2"/>
      <c r="BE114" s="2"/>
      <c r="BF114" s="2">
        <f t="shared" si="68"/>
        <v>295.91798702462711</v>
      </c>
      <c r="BG114" s="2">
        <f t="shared" si="69"/>
        <v>909.50458066044621</v>
      </c>
      <c r="BH114" s="2"/>
      <c r="BI114" s="2"/>
      <c r="BK114">
        <f t="shared" si="70"/>
        <v>134.08979780401125</v>
      </c>
      <c r="BL114">
        <f>VLOOKUP(A114,'[11]Daily coal vs energy req.2'!$C$2:$P$599,14,FALSE)</f>
        <v>0.79</v>
      </c>
      <c r="BM114">
        <f>VLOOKUP(A114,'[11]Daily coal vs energy req.2'!$C$2:$R$599,16,FALSE)</f>
        <v>0.7</v>
      </c>
      <c r="BN114">
        <f>BL114*H114</f>
        <v>410.8</v>
      </c>
      <c r="BO114">
        <f>BM114*H114</f>
        <v>364</v>
      </c>
      <c r="BP114" s="2" t="str">
        <f>VLOOKUP(A114,'[7]Table 2'!$J$2:$N$449,5,FALSE)</f>
        <v>Feasibility Study completed</v>
      </c>
      <c r="BR114">
        <f t="shared" si="76"/>
        <v>315.20045576119105</v>
      </c>
      <c r="BS114">
        <f t="shared" si="77"/>
        <v>968.76929051698926</v>
      </c>
      <c r="BT114">
        <f>(X114*I114*365*[5]Analysis!BK114)/10^4</f>
        <v>150.04185020783137</v>
      </c>
      <c r="BU114">
        <f>(W114*R114*365*[5]Analysis!BK114)/10^4</f>
        <v>461.15395494169229</v>
      </c>
      <c r="BV114">
        <f>(X114*I114*365*[5]Analysis!BL114)/10^4</f>
        <v>165.15860555335973</v>
      </c>
      <c r="BW114">
        <f>(W114*R114*365*[5]Analysis!BL114)/10^4</f>
        <v>507.61533557529702</v>
      </c>
      <c r="BX114">
        <f t="shared" si="78"/>
        <v>955289.75399599457</v>
      </c>
      <c r="BY114">
        <f t="shared" si="79"/>
        <v>2936085.1493121325</v>
      </c>
      <c r="BZ114">
        <f t="shared" si="80"/>
        <v>5638087.9192918958</v>
      </c>
      <c r="CA114">
        <f t="shared" si="81"/>
        <v>18584820.777859874</v>
      </c>
      <c r="CB114">
        <f t="shared" si="82"/>
        <v>-89493.466472983069</v>
      </c>
      <c r="CC114">
        <f t="shared" si="83"/>
        <v>-972398.76240000001</v>
      </c>
      <c r="CD114">
        <f t="shared" si="84"/>
        <v>-1187642.1354408637</v>
      </c>
      <c r="CE114">
        <f t="shared" si="85"/>
        <v>-3914822.9952000002</v>
      </c>
      <c r="CF114">
        <f t="shared" si="86"/>
        <v>2097411.6992418868</v>
      </c>
      <c r="CG114">
        <f t="shared" si="87"/>
        <v>6913695.0480000013</v>
      </c>
      <c r="CH114">
        <f t="shared" si="88"/>
        <v>105427.48511337112</v>
      </c>
      <c r="CI114">
        <f t="shared" si="89"/>
        <v>347520.46153593383</v>
      </c>
      <c r="CJ114">
        <f t="shared" si="90"/>
        <v>-1007243.9432419651</v>
      </c>
      <c r="CK114">
        <f t="shared" si="91"/>
        <v>-3320176.7040000004</v>
      </c>
      <c r="CL114">
        <f t="shared" si="92"/>
        <v>187799.36721694504</v>
      </c>
      <c r="CM114">
        <f t="shared" si="93"/>
        <v>619042.77334518114</v>
      </c>
    </row>
    <row r="115" spans="1:91" x14ac:dyDescent="0.2">
      <c r="A115" s="2" t="s">
        <v>114</v>
      </c>
      <c r="B115" s="2" t="str">
        <f t="shared" si="97"/>
        <v>UNCHAHAR STPS</v>
      </c>
      <c r="C115" s="2" t="str">
        <f>VLOOKUP($A115,'[1]daily coal, energy reqd'!$C$2:$T$599,17,FALSE)</f>
        <v>Uttar Pradesh</v>
      </c>
      <c r="D115" s="2" t="str">
        <f>VLOOKUP(C115,'Target PLF'!$I$2:$J$19,2,FALSE)</f>
        <v>NR</v>
      </c>
      <c r="E115" s="2" t="str">
        <f>VLOOKUP(A115,[2]Ownership!$C$2:$D$666,2,FALSE)</f>
        <v>CENTRAL SECTOR</v>
      </c>
      <c r="F115" s="2" t="s">
        <v>542</v>
      </c>
      <c r="G115" s="12">
        <v>3.1759069130732298</v>
      </c>
      <c r="H115" s="2">
        <v>500</v>
      </c>
      <c r="I115" s="2">
        <f>VLOOKUP(A115,'[3]Calculated coal req (reg.)'!$A$2:$I$599,9,FALSE)</f>
        <v>3.89785620354185</v>
      </c>
      <c r="J115" s="2"/>
      <c r="K115" s="11">
        <v>0.32482135029515419</v>
      </c>
      <c r="L115" s="3">
        <f>VLOOKUP(F115,'Target PLF'!$A$2:$B$11,2,FALSE)</f>
        <v>0.85</v>
      </c>
      <c r="M115" s="3">
        <f t="shared" si="71"/>
        <v>0.52517864970484585</v>
      </c>
      <c r="N115" s="2" t="str">
        <f t="shared" si="50"/>
        <v>0.15</v>
      </c>
      <c r="O115" s="2">
        <f t="shared" si="98"/>
        <v>5.4655561945331641</v>
      </c>
      <c r="P115" s="2">
        <f t="shared" si="51"/>
        <v>997464.00550230243</v>
      </c>
      <c r="Q115" s="2">
        <f t="shared" si="52"/>
        <v>12.772524301471595</v>
      </c>
      <c r="R115" s="2">
        <f t="shared" si="53"/>
        <v>10.199999999999999</v>
      </c>
      <c r="S115" s="2">
        <f t="shared" si="54"/>
        <v>2330985.6850185664</v>
      </c>
      <c r="T115" s="2" t="str">
        <f>VLOOKUP(A115,'[4]CEA vs MERIT comp. &amp; NPA marker'!$C$2:$K$735,9,FALSE)</f>
        <v>Contracted</v>
      </c>
      <c r="U115" s="3">
        <f>VLOOKUP(B115,'[8]Import-Domestic share'!$A$208:$F$406,6,FALSE)</f>
        <v>1.1361835485414404E-2</v>
      </c>
      <c r="V115" s="3">
        <f t="shared" si="55"/>
        <v>11333.021933139647</v>
      </c>
      <c r="W115" s="2">
        <f t="shared" si="56"/>
        <v>2700.7825537143572</v>
      </c>
      <c r="X115" s="2">
        <f t="shared" si="57"/>
        <v>2874.3914901616677</v>
      </c>
      <c r="Y115" s="6">
        <f t="shared" si="58"/>
        <v>0.31842622754551314</v>
      </c>
      <c r="Z115" s="2">
        <f t="shared" si="59"/>
        <v>2329192.6124893883</v>
      </c>
      <c r="AA115" s="2">
        <f t="shared" si="60"/>
        <v>947299.57960541453</v>
      </c>
      <c r="AB115" s="2" t="s">
        <v>598</v>
      </c>
      <c r="AC115" s="12">
        <f>VLOOKUP(B115,[9]Sheet1!$A$2:$B$137,2,FALSE)</f>
        <v>4316.9523179673752</v>
      </c>
      <c r="AD115" s="12">
        <f t="shared" si="61"/>
        <v>2158476.1589836874</v>
      </c>
      <c r="AE115" s="2"/>
      <c r="AF115" s="7">
        <f>VLOOKUP($B115,'[9]Subsidiary wise dispatch'!$A$3:$R$138,11,FALSE)*$H115*$O115*365</f>
        <v>424266.93318035739</v>
      </c>
      <c r="AG115" s="7">
        <f>VLOOKUP($B115,'[9]Subsidiary wise dispatch'!$A$3:$R$138,12,FALSE)*$H115*$O115*365</f>
        <v>524309.13117930223</v>
      </c>
      <c r="AH115" s="7">
        <f>VLOOKUP($B115,'[9]Subsidiary wise dispatch'!$A$3:$R$138,13,FALSE)*$H115*$O115*365</f>
        <v>34129.95821215913</v>
      </c>
      <c r="AI115" s="7">
        <f>VLOOKUP($B115,'[9]Subsidiary wise dispatch'!$A$3:$R$138,14,FALSE)*$H115*$O115*365</f>
        <v>0</v>
      </c>
      <c r="AJ115" s="7">
        <f>VLOOKUP($B115,'[9]Subsidiary wise dispatch'!$A$3:$R$138,15,FALSE)*$H115*$O115*365</f>
        <v>14757.982930483966</v>
      </c>
      <c r="AK115" s="7">
        <f>VLOOKUP($B115,'[9]Subsidiary wise dispatch'!$A$3:$R$138,16,FALSE)*$H115*$O115*365</f>
        <v>0</v>
      </c>
      <c r="AL115" s="7">
        <f>VLOOKUP($B115,'[9]Subsidiary wise dispatch'!$A$3:$R$138,17,FALSE)*$H115*$O115*365</f>
        <v>0</v>
      </c>
      <c r="AM115" s="7">
        <f>VLOOKUP($B115,'[9]Subsidiary wise dispatch'!$A$3:$R$138,18,FALSE)*$H115*$O115*365</f>
        <v>0</v>
      </c>
      <c r="AN115" s="15">
        <f t="shared" si="62"/>
        <v>997464.00550230267</v>
      </c>
      <c r="AO115" s="6">
        <v>0.10083552828968442</v>
      </c>
      <c r="AP115" s="11">
        <f t="shared" si="63"/>
        <v>0.39304238948136616</v>
      </c>
      <c r="AQ115" s="11">
        <f t="shared" si="64"/>
        <v>1.028522388554781</v>
      </c>
      <c r="AR115" s="3">
        <f>VLOOKUP(A115,[10]Sheet1!$A$2:$L$542,12,FALSE)</f>
        <v>3.0758627207431002</v>
      </c>
      <c r="AS115" s="3">
        <f t="shared" si="72"/>
        <v>2.4690714166404772</v>
      </c>
      <c r="AT115" s="3">
        <f t="shared" si="73"/>
        <v>2.4512765006546271</v>
      </c>
      <c r="AU115" s="3">
        <f t="shared" si="65"/>
        <v>1.7794915985850146E-2</v>
      </c>
      <c r="AV115" s="88">
        <f t="shared" si="74"/>
        <v>0.38486141807670515</v>
      </c>
      <c r="AW115" s="32">
        <f t="shared" si="75"/>
        <v>0.14866580999520101</v>
      </c>
      <c r="AX115" s="12">
        <f t="shared" si="66"/>
        <v>351.27911484940813</v>
      </c>
      <c r="AY115" s="12">
        <f t="shared" si="67"/>
        <v>912.61024119371757</v>
      </c>
      <c r="AZ115" s="3">
        <f>VLOOKUP(A115,[5]Analysis!$A$3:$BJ$543,62,FALSE)</f>
        <v>0.80129169150531276</v>
      </c>
      <c r="BA115" s="2"/>
      <c r="BB115" s="2"/>
      <c r="BC115" s="2" t="str">
        <f>VLOOKUP(A115,'[6]FGD status - Jun 2020'!$I$2:$M$449,5,FALSE)</f>
        <v>Bid Awarded</v>
      </c>
      <c r="BD115" s="2"/>
      <c r="BE115" s="2"/>
      <c r="BF115" s="2">
        <f t="shared" si="68"/>
        <v>295.48820992656437</v>
      </c>
      <c r="BG115" s="2">
        <f t="shared" si="69"/>
        <v>726.53780330542168</v>
      </c>
      <c r="BH115" s="2"/>
      <c r="BI115" s="2"/>
      <c r="BK115">
        <f t="shared" si="70"/>
        <v>162.41067514757708</v>
      </c>
      <c r="BL115" t="str">
        <f>VLOOKUP(A115,'[11]Daily coal vs energy req.2'!$C$2:$P$599,14,FALSE)</f>
        <v/>
      </c>
      <c r="BM115" t="str">
        <f>VLOOKUP(A115,'[11]Daily coal vs energy req.2'!$C$2:$R$599,16,FALSE)</f>
        <v/>
      </c>
      <c r="BP115" s="2" t="str">
        <f>VLOOKUP(A115,'[7]Table 2'!$J$2:$N$449,5,FALSE)</f>
        <v>Bid Awarded</v>
      </c>
      <c r="BR115">
        <f t="shared" si="76"/>
        <v>327.68399968908375</v>
      </c>
      <c r="BS115">
        <f t="shared" si="77"/>
        <v>805.69987334387542</v>
      </c>
      <c r="BT115">
        <f>(X115*I115*365*[5]Analysis!BK115)/10^4</f>
        <v>163.45366127147673</v>
      </c>
      <c r="BU115">
        <f>(W115*R115*365*[5]Analysis!BK115)/10^4</f>
        <v>401.89510110038105</v>
      </c>
      <c r="BV115">
        <f>(X115*I115*365*[5]Analysis!BL115)/10^4</f>
        <v>164.23033841760696</v>
      </c>
      <c r="BW115">
        <f>(W115*R115*365*[5]Analysis!BL115)/10^4</f>
        <v>403.80477224349437</v>
      </c>
      <c r="BX115">
        <f t="shared" si="78"/>
        <v>1148406.3818867921</v>
      </c>
      <c r="BY115">
        <f t="shared" si="79"/>
        <v>2823668.1599083599</v>
      </c>
      <c r="BZ115">
        <f t="shared" si="80"/>
        <v>5905526.2102327989</v>
      </c>
      <c r="CA115">
        <f t="shared" si="81"/>
        <v>15453717.171413301</v>
      </c>
      <c r="CB115">
        <f t="shared" si="82"/>
        <v>-136540.76806570651</v>
      </c>
      <c r="CC115">
        <f t="shared" si="83"/>
        <v>-934998.80999999994</v>
      </c>
      <c r="CD115">
        <f t="shared" si="84"/>
        <v>0</v>
      </c>
      <c r="CE115">
        <f t="shared" si="85"/>
        <v>0</v>
      </c>
      <c r="CF115">
        <f t="shared" si="86"/>
        <v>2540402.4445930775</v>
      </c>
      <c r="CG115">
        <f t="shared" si="87"/>
        <v>6647783.7000000002</v>
      </c>
      <c r="CH115">
        <f t="shared" si="88"/>
        <v>91661.997154238605</v>
      </c>
      <c r="CI115">
        <f t="shared" si="89"/>
        <v>239863.22792607741</v>
      </c>
      <c r="CJ115">
        <f t="shared" si="90"/>
        <v>-1173059.8244559201</v>
      </c>
      <c r="CK115">
        <f t="shared" si="91"/>
        <v>-3069690.0000000005</v>
      </c>
      <c r="CL115">
        <f t="shared" si="92"/>
        <v>1111148.1289289594</v>
      </c>
      <c r="CM115">
        <f t="shared" si="93"/>
        <v>2907678.0474294629</v>
      </c>
    </row>
    <row r="116" spans="1:91" x14ac:dyDescent="0.2">
      <c r="A116" s="2" t="s">
        <v>122</v>
      </c>
      <c r="B116" s="2" t="str">
        <f t="shared" si="97"/>
        <v>MARWA TPS</v>
      </c>
      <c r="C116" s="2" t="str">
        <f>VLOOKUP($A116,'[1]daily coal, energy reqd'!$C$2:$T$599,17,FALSE)</f>
        <v>Chhatisgarh</v>
      </c>
      <c r="D116" s="2" t="str">
        <f>VLOOKUP(C116,'Target PLF'!$I$2:$J$19,2,FALSE)</f>
        <v>WR</v>
      </c>
      <c r="E116" s="2" t="str">
        <f>VLOOKUP(A116,[2]Ownership!$C$2:$D$666,2,FALSE)</f>
        <v>STATE SECTOR</v>
      </c>
      <c r="F116" s="2" t="s">
        <v>542</v>
      </c>
      <c r="G116" s="12">
        <v>3.8412046543463298</v>
      </c>
      <c r="H116" s="2">
        <v>500</v>
      </c>
      <c r="I116" s="2">
        <f>VLOOKUP(A116,'[3]Calculated coal req (reg.)'!$A$2:$I$599,9,FALSE)</f>
        <v>7.6545173418436701</v>
      </c>
      <c r="J116" s="2"/>
      <c r="K116" s="11">
        <v>0.63787644515363917</v>
      </c>
      <c r="L116" s="3">
        <f>VLOOKUP(F116,'Target PLF'!$A$2:$B$11,2,FALSE)</f>
        <v>0.85</v>
      </c>
      <c r="M116" s="3">
        <f t="shared" si="71"/>
        <v>0.21212355484636081</v>
      </c>
      <c r="N116" s="2" t="str">
        <f t="shared" si="50"/>
        <v>0.15</v>
      </c>
      <c r="O116" s="2">
        <f t="shared" si="98"/>
        <v>9.8422589517825489</v>
      </c>
      <c r="P116" s="2">
        <f t="shared" si="51"/>
        <v>1796212.2587003151</v>
      </c>
      <c r="Q116" s="2">
        <f t="shared" si="52"/>
        <v>12.79359760742642</v>
      </c>
      <c r="R116" s="2">
        <f t="shared" si="53"/>
        <v>10.199999999999999</v>
      </c>
      <c r="S116" s="2">
        <f t="shared" si="54"/>
        <v>2334831.563355322</v>
      </c>
      <c r="T116" s="2" t="str">
        <f>VLOOKUP(A116,'[4]CEA vs MERIT comp. &amp; NPA marker'!$C$2:$K$735,9,FALSE)</f>
        <v>Contracted</v>
      </c>
      <c r="U116" s="3">
        <f>VLOOKUP(B116,'[8]Import-Domestic share'!$A$208:$F$406,6,FALSE)</f>
        <v>0</v>
      </c>
      <c r="V116" s="3">
        <f t="shared" si="55"/>
        <v>0</v>
      </c>
      <c r="W116" s="2">
        <f t="shared" si="56"/>
        <v>2703.3041962861053</v>
      </c>
      <c r="X116" s="2">
        <f t="shared" si="57"/>
        <v>2773.4261343599328</v>
      </c>
      <c r="Y116" s="6">
        <f t="shared" si="58"/>
        <v>0.31812919951128638</v>
      </c>
      <c r="Z116" s="2">
        <f t="shared" si="59"/>
        <v>2395125.7804843658</v>
      </c>
      <c r="AA116" s="2">
        <f t="shared" si="60"/>
        <v>1844028.5897348619</v>
      </c>
      <c r="AB116" s="2" t="s">
        <v>598</v>
      </c>
      <c r="AC116" s="12">
        <f>VLOOKUP(B116,[9]Sheet1!$A$2:$B$137,2,FALSE)</f>
        <v>4202.034650864076</v>
      </c>
      <c r="AD116" s="12">
        <f t="shared" si="61"/>
        <v>2101017.3254320379</v>
      </c>
      <c r="AE116" s="2"/>
      <c r="AF116" s="7">
        <f>VLOOKUP($B116,'[9]Subsidiary wise dispatch'!$A$3:$R$138,11,FALSE)*$H116*$O116*365</f>
        <v>0</v>
      </c>
      <c r="AG116" s="7">
        <f>VLOOKUP($B116,'[9]Subsidiary wise dispatch'!$A$3:$R$138,12,FALSE)*$H116*$O116*365</f>
        <v>0</v>
      </c>
      <c r="AH116" s="7">
        <f>VLOOKUP($B116,'[9]Subsidiary wise dispatch'!$A$3:$R$138,13,FALSE)*$H116*$O116*365</f>
        <v>0</v>
      </c>
      <c r="AI116" s="7">
        <f>VLOOKUP($B116,'[9]Subsidiary wise dispatch'!$A$3:$R$138,14,FALSE)*$H116*$O116*365</f>
        <v>0</v>
      </c>
      <c r="AJ116" s="7">
        <f>VLOOKUP($B116,'[9]Subsidiary wise dispatch'!$A$3:$R$138,15,FALSE)*$H116*$O116*365</f>
        <v>0</v>
      </c>
      <c r="AK116" s="7">
        <f>VLOOKUP($B116,'[9]Subsidiary wise dispatch'!$A$3:$R$138,16,FALSE)*$H116*$O116*365</f>
        <v>0</v>
      </c>
      <c r="AL116" s="7">
        <f>VLOOKUP($B116,'[9]Subsidiary wise dispatch'!$A$3:$R$138,17,FALSE)*$H116*$O116*365</f>
        <v>1796212.2587003151</v>
      </c>
      <c r="AM116" s="7">
        <f>VLOOKUP($B116,'[9]Subsidiary wise dispatch'!$A$3:$R$138,18,FALSE)*$H116*$O116*365</f>
        <v>0</v>
      </c>
      <c r="AN116" s="15">
        <f t="shared" si="62"/>
        <v>1796212.2587003151</v>
      </c>
      <c r="AO116" s="6">
        <v>6.1306523812621402E-2</v>
      </c>
      <c r="AP116" s="11">
        <f t="shared" si="63"/>
        <v>0.46927184969186242</v>
      </c>
      <c r="AQ116" s="11">
        <f t="shared" si="64"/>
        <v>0.62532654288873823</v>
      </c>
      <c r="AR116" s="3">
        <f>VLOOKUP(A116,[10]Sheet1!$A$2:$L$542,12,FALSE)</f>
        <v>1.29468430034129</v>
      </c>
      <c r="AS116" s="3">
        <f t="shared" si="72"/>
        <v>1.7348392850336527</v>
      </c>
      <c r="AT116" s="3">
        <f t="shared" si="73"/>
        <v>1.7276517863810854</v>
      </c>
      <c r="AU116" s="3">
        <f t="shared" si="65"/>
        <v>7.1874986525672924E-3</v>
      </c>
      <c r="AV116" s="88">
        <f t="shared" si="74"/>
        <v>0.15544838346251014</v>
      </c>
      <c r="AW116" s="32">
        <f t="shared" si="75"/>
        <v>8.5460875879961901E-2</v>
      </c>
      <c r="AX116" s="12">
        <f t="shared" si="66"/>
        <v>484.69654482996458</v>
      </c>
      <c r="AY116" s="12">
        <f t="shared" si="67"/>
        <v>643.20476006967806</v>
      </c>
      <c r="AZ116" s="3">
        <f>VLOOKUP(A116,[5]Analysis!$A$3:$BJ$543,62,FALSE)</f>
        <v>0.47494091929718268</v>
      </c>
      <c r="BA116" s="2"/>
      <c r="BB116" s="2"/>
      <c r="BC116" s="2" t="str">
        <f>VLOOKUP(A116,'[6]FGD status - Jun 2020'!$I$2:$M$449,5,FALSE)</f>
        <v>NIT issued</v>
      </c>
      <c r="BD116" s="2"/>
      <c r="BE116" s="2"/>
      <c r="BF116" s="2">
        <f t="shared" si="68"/>
        <v>570.7268485229398</v>
      </c>
      <c r="BG116" s="2">
        <f t="shared" si="69"/>
        <v>741.29142905991125</v>
      </c>
      <c r="BH116" s="2"/>
      <c r="BI116" s="2"/>
      <c r="BK116">
        <f t="shared" si="70"/>
        <v>318.93822257681961</v>
      </c>
      <c r="BL116">
        <f>VLOOKUP(A116,'[11]Daily coal vs energy req.2'!$C$2:$P$599,14,FALSE)</f>
        <v>0.75</v>
      </c>
      <c r="BM116">
        <f>VLOOKUP(A116,'[11]Daily coal vs energy req.2'!$C$2:$R$599,16,FALSE)</f>
        <v>0.64</v>
      </c>
      <c r="BN116">
        <f>BL116*H116</f>
        <v>375</v>
      </c>
      <c r="BO116">
        <f>BM116*H116</f>
        <v>320</v>
      </c>
      <c r="BP116" s="2" t="str">
        <f>VLOOKUP(A116,'[7]Table 2'!$J$2:$N$449,5,FALSE)</f>
        <v>NIT issued</v>
      </c>
      <c r="BR116">
        <f t="shared" si="76"/>
        <v>368.01614178541973</v>
      </c>
      <c r="BS116">
        <f t="shared" si="77"/>
        <v>477.99961114018544</v>
      </c>
      <c r="BT116">
        <f>(X116*I116*365*[5]Analysis!BK116)/10^4</f>
        <v>296.5305294757581</v>
      </c>
      <c r="BU116">
        <f>(W116*R116*365*[5]Analysis!BK116)/10^4</f>
        <v>385.15016513392845</v>
      </c>
      <c r="BV116">
        <f>(X116*I116*365*[5]Analysis!BL116)/10^4</f>
        <v>71.485612309661647</v>
      </c>
      <c r="BW116">
        <f>(W116*R116*365*[5]Analysis!BL116)/10^4</f>
        <v>92.849446006256926</v>
      </c>
      <c r="BX116">
        <f t="shared" si="78"/>
        <v>2175996.9402825073</v>
      </c>
      <c r="BY116">
        <f t="shared" si="79"/>
        <v>2826304.5372171225</v>
      </c>
      <c r="BZ116">
        <f t="shared" si="80"/>
        <v>6873842.0440306012</v>
      </c>
      <c r="CA116">
        <f t="shared" si="81"/>
        <v>9159713.8941519</v>
      </c>
      <c r="CB116">
        <f t="shared" si="82"/>
        <v>-526558.14772838238</v>
      </c>
      <c r="CC116">
        <f t="shared" si="83"/>
        <v>-934998.80999999994</v>
      </c>
      <c r="CD116">
        <f t="shared" si="84"/>
        <v>0</v>
      </c>
      <c r="CE116">
        <f t="shared" si="85"/>
        <v>0</v>
      </c>
      <c r="CF116">
        <f t="shared" si="86"/>
        <v>4988781.923183891</v>
      </c>
      <c r="CG116">
        <f t="shared" si="87"/>
        <v>6647783.7000000002</v>
      </c>
      <c r="CH116">
        <f t="shared" si="88"/>
        <v>217711.31209233924</v>
      </c>
      <c r="CI116">
        <f t="shared" si="89"/>
        <v>290110.43860369542</v>
      </c>
      <c r="CJ116">
        <f t="shared" si="90"/>
        <v>-2303626.994027853</v>
      </c>
      <c r="CK116">
        <f t="shared" si="91"/>
        <v>-3069690.0000000005</v>
      </c>
      <c r="CL116">
        <f t="shared" si="92"/>
        <v>1326652.1670402812</v>
      </c>
      <c r="CM116">
        <f t="shared" si="93"/>
        <v>1767825.65111435</v>
      </c>
    </row>
    <row r="117" spans="1:91" x14ac:dyDescent="0.2">
      <c r="A117" s="2" t="s">
        <v>126</v>
      </c>
      <c r="B117" s="2" t="str">
        <f t="shared" si="97"/>
        <v>BOKARO A TPS</v>
      </c>
      <c r="C117" s="2" t="str">
        <f>VLOOKUP($A117,'[1]daily coal, energy reqd'!$C$2:$T$599,17,FALSE)</f>
        <v>Jharkhand</v>
      </c>
      <c r="D117" s="2" t="str">
        <f>VLOOKUP(C117,'Target PLF'!$I$2:$J$19,2,FALSE)</f>
        <v>ER</v>
      </c>
      <c r="E117" s="2" t="str">
        <f>VLOOKUP(A117,[2]Ownership!$C$2:$D$666,2,FALSE)</f>
        <v>CENTRAL SECTOR</v>
      </c>
      <c r="F117" s="2" t="s">
        <v>542</v>
      </c>
      <c r="G117" s="12">
        <v>4.1752224503764497</v>
      </c>
      <c r="H117" s="2">
        <v>500</v>
      </c>
      <c r="I117" s="2">
        <f>VLOOKUP(A117,'[3]Calculated coal req (reg.)'!$A$2:$I$599,9,FALSE)</f>
        <v>8.0243895406359709</v>
      </c>
      <c r="J117" s="2"/>
      <c r="K117" s="11">
        <v>0.66869912838633094</v>
      </c>
      <c r="L117" s="3">
        <f>VLOOKUP(F117,'Target PLF'!$A$2:$B$11,2,FALSE)</f>
        <v>0.85</v>
      </c>
      <c r="M117" s="3">
        <f t="shared" si="71"/>
        <v>0.18130087161366903</v>
      </c>
      <c r="N117" s="2" t="str">
        <f t="shared" si="50"/>
        <v>0.15</v>
      </c>
      <c r="O117" s="2">
        <f t="shared" si="98"/>
        <v>10.281684204093212</v>
      </c>
      <c r="P117" s="2">
        <f t="shared" si="51"/>
        <v>1876407.367247011</v>
      </c>
      <c r="Q117" s="2">
        <f t="shared" si="52"/>
        <v>12.804177621115674</v>
      </c>
      <c r="R117" s="2">
        <f t="shared" si="53"/>
        <v>10.199999999999999</v>
      </c>
      <c r="S117" s="2">
        <f t="shared" si="54"/>
        <v>2336762.4158536103</v>
      </c>
      <c r="T117" s="2" t="str">
        <f>VLOOKUP(A117,'[4]CEA vs MERIT comp. &amp; NPA marker'!$C$2:$K$735,9,FALSE)</f>
        <v>Not contracted</v>
      </c>
      <c r="U117" s="3">
        <f>VLOOKUP(B117,'[8]Import-Domestic share'!$A$208:$F$406,6,FALSE)</f>
        <v>0</v>
      </c>
      <c r="V117" s="3">
        <f t="shared" si="55"/>
        <v>0</v>
      </c>
      <c r="W117" s="2">
        <f t="shared" si="56"/>
        <v>2705.8562716153319</v>
      </c>
      <c r="X117" s="2">
        <f t="shared" si="57"/>
        <v>2765.7891183057081</v>
      </c>
      <c r="Y117" s="6">
        <f t="shared" si="58"/>
        <v>0.31782915043251742</v>
      </c>
      <c r="Z117" s="2">
        <f t="shared" si="59"/>
        <v>2350420.6484423429</v>
      </c>
      <c r="AA117" s="2">
        <f t="shared" si="60"/>
        <v>1890043.346821289</v>
      </c>
      <c r="AB117" s="2" t="s">
        <v>598</v>
      </c>
      <c r="AC117" s="12"/>
      <c r="AD117" s="12">
        <f t="shared" si="61"/>
        <v>0</v>
      </c>
      <c r="AE117" s="2"/>
      <c r="AF117" s="7"/>
      <c r="AG117" s="7"/>
      <c r="AH117" s="7"/>
      <c r="AI117" s="7"/>
      <c r="AJ117" s="7"/>
      <c r="AK117" s="7"/>
      <c r="AL117" s="7"/>
      <c r="AM117" s="7"/>
      <c r="AN117" s="15">
        <f t="shared" si="62"/>
        <v>0</v>
      </c>
      <c r="AO117" s="6">
        <v>6.4777032841771623E-2</v>
      </c>
      <c r="AP117" s="11">
        <f t="shared" si="63"/>
        <v>0.51979614480894498</v>
      </c>
      <c r="AQ117" s="11">
        <f t="shared" si="64"/>
        <v>0.66072573498607046</v>
      </c>
      <c r="AR117" s="3"/>
      <c r="AS117" s="3">
        <f t="shared" si="72"/>
        <v>1.7625915124048988</v>
      </c>
      <c r="AT117" s="3">
        <f t="shared" si="73"/>
        <v>1.7564483956191352</v>
      </c>
      <c r="AU117" s="3">
        <f t="shared" si="65"/>
        <v>6.1431167857635138E-3</v>
      </c>
      <c r="AV117" s="88">
        <f t="shared" si="74"/>
        <v>0.13286090473592896</v>
      </c>
      <c r="AW117" s="32">
        <f t="shared" si="75"/>
        <v>7.189288445924169E-2</v>
      </c>
      <c r="AX117" s="12">
        <f t="shared" si="66"/>
        <v>516.24581272427963</v>
      </c>
      <c r="AY117" s="12">
        <f t="shared" si="67"/>
        <v>653.925737689004</v>
      </c>
      <c r="AZ117" s="3">
        <f>VLOOKUP(A117,[5]Analysis!$A$3:$BJ$543,62,FALSE)</f>
        <v>0.4835355003935497</v>
      </c>
      <c r="BA117" s="2"/>
      <c r="BB117" s="2"/>
      <c r="BC117" s="2" t="str">
        <f>VLOOKUP(A117,'[6]FGD status - Jun 2020'!$I$2:$M$449,5,FALSE)</f>
        <v>Bid Awarded</v>
      </c>
      <c r="BD117" s="2"/>
      <c r="BE117" s="2"/>
      <c r="BF117" s="2">
        <f t="shared" si="68"/>
        <v>584.96841584118897</v>
      </c>
      <c r="BG117" s="2">
        <f t="shared" si="69"/>
        <v>727.45519069290515</v>
      </c>
      <c r="BH117" s="2"/>
      <c r="BI117" s="2"/>
      <c r="BK117">
        <f t="shared" si="70"/>
        <v>334.34956419316546</v>
      </c>
      <c r="BL117" t="str">
        <f>VLOOKUP(A117,'[11]Daily coal vs energy req.2'!$C$2:$P$599,14,FALSE)</f>
        <v/>
      </c>
      <c r="BM117" t="str">
        <f>VLOOKUP(A117,'[11]Daily coal vs energy req.2'!$C$2:$R$599,16,FALSE)</f>
        <v/>
      </c>
      <c r="BP117" s="2" t="str">
        <f>VLOOKUP(A117,'[7]Table 2'!$J$2:$N$449,5,FALSE)</f>
        <v>Bid Awarded</v>
      </c>
      <c r="BR117">
        <f t="shared" si="76"/>
        <v>391.69884957475546</v>
      </c>
      <c r="BS117">
        <f t="shared" si="77"/>
        <v>487.10896792922506</v>
      </c>
      <c r="BT117">
        <f>(X117*I117*365*[5]Analysis!BK117)/10^4</f>
        <v>318.7505810699389</v>
      </c>
      <c r="BU117">
        <f>(W117*R117*365*[5]Analysis!BK117)/10^4</f>
        <v>396.39193921652361</v>
      </c>
      <c r="BV117">
        <f>(X117*I117*365*[5]Analysis!BL117)/10^4</f>
        <v>72.948268504816554</v>
      </c>
      <c r="BW117">
        <f>(W117*R117*365*[5]Analysis!BL117)/10^4</f>
        <v>90.717028712701349</v>
      </c>
      <c r="BX117">
        <f t="shared" si="78"/>
        <v>2274861.3504350535</v>
      </c>
      <c r="BY117">
        <f t="shared" si="79"/>
        <v>2828972.7319738292</v>
      </c>
      <c r="BZ117">
        <f t="shared" si="80"/>
        <v>7336391.7910724301</v>
      </c>
      <c r="CA117">
        <f t="shared" si="81"/>
        <v>9325469.0453385003</v>
      </c>
      <c r="CB117">
        <f t="shared" si="82"/>
        <v>-578675.00083902176</v>
      </c>
      <c r="CC117">
        <f t="shared" si="83"/>
        <v>-934998.80999999994</v>
      </c>
      <c r="CD117">
        <f t="shared" si="84"/>
        <v>0</v>
      </c>
      <c r="CE117">
        <f t="shared" si="85"/>
        <v>0</v>
      </c>
      <c r="CF117">
        <f t="shared" si="86"/>
        <v>5229843.7245774809</v>
      </c>
      <c r="CG117">
        <f t="shared" si="87"/>
        <v>6647783.7000000002</v>
      </c>
      <c r="CH117">
        <f t="shared" si="88"/>
        <v>248077.49031977943</v>
      </c>
      <c r="CI117">
        <f t="shared" si="89"/>
        <v>315337.43326488667</v>
      </c>
      <c r="CJ117">
        <f t="shared" si="90"/>
        <v>-2414940.0322543955</v>
      </c>
      <c r="CK117">
        <f t="shared" si="91"/>
        <v>-3069690.0000000005</v>
      </c>
      <c r="CL117">
        <f t="shared" si="92"/>
        <v>1469486.5724052591</v>
      </c>
      <c r="CM117">
        <f t="shared" si="93"/>
        <v>1867900.7247379606</v>
      </c>
    </row>
    <row r="118" spans="1:91" x14ac:dyDescent="0.2">
      <c r="A118" s="2" t="s">
        <v>115</v>
      </c>
      <c r="B118" s="2" t="str">
        <f t="shared" si="97"/>
        <v>METTUR TPS EXT</v>
      </c>
      <c r="C118" s="2" t="str">
        <f>VLOOKUP($A118,'[1]daily coal, energy reqd'!$C$2:$T$599,17,FALSE)</f>
        <v>Tamil Nadu</v>
      </c>
      <c r="D118" s="2" t="str">
        <f>VLOOKUP(C118,'Target PLF'!$I$2:$J$19,2,FALSE)</f>
        <v>SR</v>
      </c>
      <c r="E118" s="2" t="str">
        <f>VLOOKUP(A118,[2]Ownership!$C$2:$D$666,2,FALSE)</f>
        <v>STATE SECTOR</v>
      </c>
      <c r="F118" s="2" t="s">
        <v>543</v>
      </c>
      <c r="G118" s="12">
        <v>7.5893223819301801</v>
      </c>
      <c r="H118" s="2">
        <v>600</v>
      </c>
      <c r="I118" s="2">
        <f>VLOOKUP(A118,'[3]Calculated coal req (reg.)'!$A$2:$I$599,9,FALSE)</f>
        <v>7.8208142283313</v>
      </c>
      <c r="J118" s="2"/>
      <c r="K118" s="11">
        <v>0.54311209918967362</v>
      </c>
      <c r="L118" s="3">
        <f>VLOOKUP(F118,'Target PLF'!$A$2:$B$11,2,FALSE)</f>
        <v>0.85</v>
      </c>
      <c r="M118" s="3">
        <f t="shared" si="71"/>
        <v>0.30688790081032635</v>
      </c>
      <c r="N118" s="2" t="str">
        <f t="shared" si="50"/>
        <v>0.15</v>
      </c>
      <c r="O118" s="2">
        <f t="shared" si="98"/>
        <v>8.1217058061033249</v>
      </c>
      <c r="P118" s="2">
        <f t="shared" si="51"/>
        <v>1778653.5715366281</v>
      </c>
      <c r="Q118" s="2">
        <f t="shared" si="52"/>
        <v>12.391529236447639</v>
      </c>
      <c r="R118" s="2">
        <f t="shared" si="53"/>
        <v>12.24</v>
      </c>
      <c r="S118" s="2">
        <f t="shared" si="54"/>
        <v>2713744.9027820327</v>
      </c>
      <c r="T118" s="2" t="str">
        <f>VLOOKUP(A118,'[4]CEA vs MERIT comp. &amp; NPA marker'!$C$2:$K$735,9,FALSE)</f>
        <v>Contracted</v>
      </c>
      <c r="U118" s="3">
        <f>VLOOKUP(B118,'[8]Import-Domestic share'!$A$208:$F$406,6,FALSE)</f>
        <v>0.29531465817618852</v>
      </c>
      <c r="V118" s="3">
        <f t="shared" si="55"/>
        <v>525262.4714921962</v>
      </c>
      <c r="W118" s="2">
        <f t="shared" si="56"/>
        <v>2705.9479419119734</v>
      </c>
      <c r="X118" s="2">
        <f t="shared" si="57"/>
        <v>2807.3962435483236</v>
      </c>
      <c r="Y118" s="6">
        <f t="shared" si="58"/>
        <v>0.31781838322888789</v>
      </c>
      <c r="Z118" s="2">
        <f t="shared" si="59"/>
        <v>2820600.332544548</v>
      </c>
      <c r="AA118" s="2">
        <f t="shared" si="60"/>
        <v>1869805.2817146287</v>
      </c>
      <c r="AB118" s="2" t="s">
        <v>598</v>
      </c>
      <c r="AC118" s="12"/>
      <c r="AD118" s="12">
        <f t="shared" si="61"/>
        <v>0</v>
      </c>
      <c r="AE118" s="2"/>
      <c r="AF118" s="7"/>
      <c r="AG118" s="7"/>
      <c r="AH118" s="7"/>
      <c r="AI118" s="7"/>
      <c r="AJ118" s="7"/>
      <c r="AK118" s="7"/>
      <c r="AL118" s="7"/>
      <c r="AM118" s="7"/>
      <c r="AN118" s="15">
        <f t="shared" si="62"/>
        <v>0</v>
      </c>
      <c r="AO118" s="6">
        <v>0.08</v>
      </c>
      <c r="AP118" s="11">
        <f t="shared" si="63"/>
        <v>0.62566513826650405</v>
      </c>
      <c r="AQ118" s="11">
        <f t="shared" si="64"/>
        <v>0.97920000000000007</v>
      </c>
      <c r="AR118" s="3">
        <f>VLOOKUP(A118,[10]Sheet1!$A$2:$L$542,12,FALSE)</f>
        <v>3.6438735632183898</v>
      </c>
      <c r="AS118" s="3">
        <f t="shared" si="72"/>
        <v>2.9551971128056858</v>
      </c>
      <c r="AT118" s="3">
        <f t="shared" si="73"/>
        <v>2.94479866188796</v>
      </c>
      <c r="AU118" s="3">
        <f t="shared" si="65"/>
        <v>1.0398450917725732E-2</v>
      </c>
      <c r="AV118" s="88">
        <f t="shared" si="74"/>
        <v>0.22489359147182336</v>
      </c>
      <c r="AW118" s="32">
        <f t="shared" si="75"/>
        <v>7.2582346410880988E-2</v>
      </c>
      <c r="AX118" s="12">
        <f t="shared" si="66"/>
        <v>843.58973839843145</v>
      </c>
      <c r="AY118" s="12">
        <f t="shared" si="67"/>
        <v>1315.6182501850649</v>
      </c>
      <c r="AZ118" s="3">
        <f>VLOOKUP(A118,[5]Analysis!$A$3:$BJ$543,62,FALSE)</f>
        <v>1.107728715990967</v>
      </c>
      <c r="BA118" s="2"/>
      <c r="BB118" s="2"/>
      <c r="BC118" s="2" t="e">
        <f>VLOOKUP(A118,'[6]FGD status - Jun 2020'!$I$2:$M$449,5,FALSE)</f>
        <v>#N/A</v>
      </c>
      <c r="BD118" s="2"/>
      <c r="BE118" s="2"/>
      <c r="BF118" s="2">
        <f t="shared" si="68"/>
        <v>696.65057655950295</v>
      </c>
      <c r="BG118" s="2">
        <f t="shared" si="69"/>
        <v>1050.8970464075207</v>
      </c>
      <c r="BH118" s="2"/>
      <c r="BI118" s="2"/>
      <c r="BK118">
        <f t="shared" si="70"/>
        <v>325.86725951380419</v>
      </c>
      <c r="BL118" t="str">
        <f>VLOOKUP(A118,'[11]Daily coal vs energy req.2'!$C$2:$P$599,14,FALSE)</f>
        <v/>
      </c>
      <c r="BM118" t="str">
        <f>VLOOKUP(A118,'[11]Daily coal vs energy req.2'!$C$2:$R$599,16,FALSE)</f>
        <v/>
      </c>
      <c r="BP118" s="2" t="e">
        <f>VLOOKUP(A118,'[7]Table 2'!$J$2:$N$449,5,FALSE)</f>
        <v>#N/A</v>
      </c>
      <c r="BR118">
        <f t="shared" si="76"/>
        <v>887.73217985734209</v>
      </c>
      <c r="BS118">
        <f t="shared" si="77"/>
        <v>1339.1435494395341</v>
      </c>
      <c r="BT118">
        <f>(X118*I118*365*[5]Analysis!BK118)/10^4</f>
        <v>501.54320996812004</v>
      </c>
      <c r="BU118">
        <f>(W118*R118*365*[5]Analysis!BK118)/10^4</f>
        <v>756.57768146011972</v>
      </c>
      <c r="BV118">
        <f>(X118*I118*365*[5]Analysis!BL118)/10^4</f>
        <v>386.18896988922205</v>
      </c>
      <c r="BW118">
        <f>(W118*R118*365*[5]Analysis!BL118)/10^4</f>
        <v>582.56586797941452</v>
      </c>
      <c r="BX118">
        <f t="shared" si="78"/>
        <v>2250502.7598259235</v>
      </c>
      <c r="BY118">
        <f t="shared" si="79"/>
        <v>3394882.2879227619</v>
      </c>
      <c r="BZ118">
        <f t="shared" si="80"/>
        <v>16380514.273254743</v>
      </c>
      <c r="CA118">
        <f t="shared" si="81"/>
        <v>25636396.524843361</v>
      </c>
      <c r="CB118">
        <f t="shared" si="82"/>
        <v>-458071.64407875109</v>
      </c>
      <c r="CC118">
        <f t="shared" si="83"/>
        <v>-1121998.5720000002</v>
      </c>
      <c r="CD118">
        <f t="shared" si="84"/>
        <v>0</v>
      </c>
      <c r="CE118">
        <f t="shared" si="85"/>
        <v>0</v>
      </c>
      <c r="CF118">
        <f t="shared" si="86"/>
        <v>5097164.8380224407</v>
      </c>
      <c r="CG118">
        <f t="shared" si="87"/>
        <v>7977340.4400000004</v>
      </c>
      <c r="CH118">
        <f t="shared" si="88"/>
        <v>439491.73152525228</v>
      </c>
      <c r="CI118">
        <f t="shared" si="89"/>
        <v>687828.48394250462</v>
      </c>
      <c r="CJ118">
        <f t="shared" si="90"/>
        <v>-2824408.850419566</v>
      </c>
      <c r="CK118">
        <f t="shared" si="91"/>
        <v>-4420353.6000000006</v>
      </c>
      <c r="CL118">
        <f t="shared" si="92"/>
        <v>1768782.8751454905</v>
      </c>
      <c r="CM118">
        <f t="shared" si="93"/>
        <v>2768241.4848000002</v>
      </c>
    </row>
    <row r="119" spans="1:91" x14ac:dyDescent="0.2">
      <c r="A119" s="2" t="s">
        <v>128</v>
      </c>
      <c r="B119" s="2" t="str">
        <f t="shared" si="97"/>
        <v>SAGARDIGHI TPS</v>
      </c>
      <c r="C119" s="2" t="str">
        <f>VLOOKUP($A119,'[1]daily coal, energy reqd'!$C$2:$T$599,17,FALSE)</f>
        <v>West Bengal</v>
      </c>
      <c r="D119" s="2" t="str">
        <f>VLOOKUP(C119,'Target PLF'!$I$2:$J$19,2,FALSE)</f>
        <v>ER</v>
      </c>
      <c r="E119" s="2" t="str">
        <f>VLOOKUP(A119,[2]Ownership!$C$2:$D$666,2,FALSE)</f>
        <v>STATE SECTOR</v>
      </c>
      <c r="F119" s="2" t="s">
        <v>542</v>
      </c>
      <c r="G119" s="12">
        <v>4.4243668720054696</v>
      </c>
      <c r="H119" s="2">
        <v>500</v>
      </c>
      <c r="I119" s="2">
        <f>VLOOKUP(A119,'[3]Calculated coal req (reg.)'!$A$2:$I$599,9,FALSE)</f>
        <v>5.4267830369637498</v>
      </c>
      <c r="J119" s="2"/>
      <c r="K119" s="11">
        <v>0.45223191974697913</v>
      </c>
      <c r="L119" s="3">
        <f>VLOOKUP(F119,'Target PLF'!$A$2:$B$11,2,FALSE)</f>
        <v>0.85</v>
      </c>
      <c r="M119" s="3">
        <f t="shared" si="71"/>
        <v>0.39776808025302085</v>
      </c>
      <c r="N119" s="2" t="str">
        <f t="shared" si="50"/>
        <v>0.15</v>
      </c>
      <c r="O119" s="2">
        <f t="shared" si="98"/>
        <v>7.2778026396864188</v>
      </c>
      <c r="P119" s="2">
        <f t="shared" si="51"/>
        <v>1328198.9817427713</v>
      </c>
      <c r="Q119" s="2">
        <f t="shared" si="52"/>
        <v>12.812069270670774</v>
      </c>
      <c r="R119" s="2">
        <f t="shared" si="53"/>
        <v>10.199999999999999</v>
      </c>
      <c r="S119" s="2">
        <f t="shared" si="54"/>
        <v>2338202.6418974162</v>
      </c>
      <c r="T119" s="2" t="str">
        <f>VLOOKUP(A119,'[4]CEA vs MERIT comp. &amp; NPA marker'!$C$2:$K$735,9,FALSE)</f>
        <v>Contracted</v>
      </c>
      <c r="U119" s="3">
        <f>VLOOKUP(B119,'[8]Import-Domestic share'!$A$208:$F$406,6,FALSE)</f>
        <v>6.5371616889120401E-4</v>
      </c>
      <c r="V119" s="3">
        <f t="shared" si="55"/>
        <v>868.26514987008272</v>
      </c>
      <c r="W119" s="2">
        <f t="shared" si="56"/>
        <v>2707.9072527582193</v>
      </c>
      <c r="X119" s="2">
        <f t="shared" si="57"/>
        <v>2839.3979243691565</v>
      </c>
      <c r="Y119" s="6">
        <f t="shared" si="58"/>
        <v>0.31758842520327146</v>
      </c>
      <c r="Z119" s="2">
        <f t="shared" si="59"/>
        <v>1724541.4867545841</v>
      </c>
      <c r="AA119" s="2">
        <f t="shared" si="60"/>
        <v>962073.84629614209</v>
      </c>
      <c r="AB119" s="2" t="s">
        <v>598</v>
      </c>
      <c r="AC119" s="12">
        <f>VLOOKUP(B119,[9]Sheet1!$A$2:$B$137,2,FALSE)</f>
        <v>5845.9241366186579</v>
      </c>
      <c r="AD119" s="12">
        <f t="shared" si="61"/>
        <v>2922962.068309329</v>
      </c>
      <c r="AE119" s="2"/>
      <c r="AF119" s="7">
        <f>VLOOKUP($B119,'[9]Subsidiary wise dispatch'!$A$3:$R$138,11,FALSE)*$H119*$O119*365</f>
        <v>158964.82165324729</v>
      </c>
      <c r="AG119" s="7">
        <f>VLOOKUP($B119,'[9]Subsidiary wise dispatch'!$A$3:$R$138,12,FALSE)*$H119*$O119*365</f>
        <v>35882.29067214446</v>
      </c>
      <c r="AH119" s="7">
        <f>VLOOKUP($B119,'[9]Subsidiary wise dispatch'!$A$3:$R$138,13,FALSE)*$H119*$O119*365</f>
        <v>1133351.8694173796</v>
      </c>
      <c r="AI119" s="7">
        <f>VLOOKUP($B119,'[9]Subsidiary wise dispatch'!$A$3:$R$138,14,FALSE)*$H119*$O119*365</f>
        <v>0</v>
      </c>
      <c r="AJ119" s="7">
        <f>VLOOKUP($B119,'[9]Subsidiary wise dispatch'!$A$3:$R$138,15,FALSE)*$H119*$O119*365</f>
        <v>0</v>
      </c>
      <c r="AK119" s="7">
        <f>VLOOKUP($B119,'[9]Subsidiary wise dispatch'!$A$3:$R$138,16,FALSE)*$H119*$O119*365</f>
        <v>0</v>
      </c>
      <c r="AL119" s="7">
        <f>VLOOKUP($B119,'[9]Subsidiary wise dispatch'!$A$3:$R$138,17,FALSE)*$H119*$O119*365</f>
        <v>0</v>
      </c>
      <c r="AM119" s="7">
        <f>VLOOKUP($B119,'[9]Subsidiary wise dispatch'!$A$3:$R$138,18,FALSE)*$H119*$O119*365</f>
        <v>0</v>
      </c>
      <c r="AN119" s="15">
        <f t="shared" si="62"/>
        <v>1328198.9817427713</v>
      </c>
      <c r="AO119" s="6">
        <v>9.5849721553511083E-2</v>
      </c>
      <c r="AP119" s="11">
        <f t="shared" si="63"/>
        <v>0.52015564302429262</v>
      </c>
      <c r="AQ119" s="11">
        <f t="shared" si="64"/>
        <v>0.97766715984581298</v>
      </c>
      <c r="AR119" s="3">
        <f>VLOOKUP(A119,[10]Sheet1!$A$2:$L$542,12,FALSE)</f>
        <v>2.9959402654867202</v>
      </c>
      <c r="AS119" s="3">
        <f t="shared" si="72"/>
        <v>2.3831322160452566</v>
      </c>
      <c r="AT119" s="3">
        <f t="shared" si="73"/>
        <v>2.3696544222051359</v>
      </c>
      <c r="AU119" s="3">
        <f t="shared" si="65"/>
        <v>1.3477793840120711E-2</v>
      </c>
      <c r="AV119" s="88">
        <f t="shared" si="74"/>
        <v>0.29149240457101877</v>
      </c>
      <c r="AW119" s="32">
        <f t="shared" si="75"/>
        <v>0.11665933130317703</v>
      </c>
      <c r="AX119" s="12">
        <f t="shared" si="66"/>
        <v>472.04506419798236</v>
      </c>
      <c r="AY119" s="12">
        <f t="shared" si="67"/>
        <v>882.22234138697206</v>
      </c>
      <c r="AZ119" s="3">
        <f>VLOOKUP(A119,[5]Analysis!$A$3:$BJ$543,62,FALSE)</f>
        <v>0.76030263836138412</v>
      </c>
      <c r="BA119" s="2"/>
      <c r="BB119" s="2"/>
      <c r="BC119" s="2" t="str">
        <f>VLOOKUP(A119,'[6]FGD status - Jun 2020'!$I$2:$M$449,5,FALSE)</f>
        <v>BID opened</v>
      </c>
      <c r="BD119" s="2"/>
      <c r="BE119" s="2"/>
      <c r="BF119" s="2">
        <f t="shared" si="68"/>
        <v>297.8961934303685</v>
      </c>
      <c r="BG119" s="2">
        <f t="shared" si="69"/>
        <v>533.98639438619875</v>
      </c>
      <c r="BH119" s="2"/>
      <c r="BI119" s="2"/>
      <c r="BK119">
        <f t="shared" si="70"/>
        <v>226.11595987348957</v>
      </c>
      <c r="BL119">
        <f>VLOOKUP(A119,'[11]Daily coal vs energy req.2'!$C$2:$P$599,14,FALSE)</f>
        <v>0.79</v>
      </c>
      <c r="BM119">
        <f>VLOOKUP(A119,'[11]Daily coal vs energy req.2'!$C$2:$R$599,16,FALSE)</f>
        <v>0.73</v>
      </c>
      <c r="BN119">
        <f>BL119*H119</f>
        <v>395</v>
      </c>
      <c r="BO119">
        <f>BM119*H119</f>
        <v>365</v>
      </c>
      <c r="BP119" s="2" t="str">
        <f>VLOOKUP(A119,'[7]Table 2'!$J$2:$N$449,5,FALSE)</f>
        <v>Bid opened</v>
      </c>
      <c r="BR119">
        <f t="shared" si="76"/>
        <v>427.61022485630053</v>
      </c>
      <c r="BS119">
        <f t="shared" si="77"/>
        <v>766.50204738873356</v>
      </c>
      <c r="BT119">
        <f>(X119*I119*365*[5]Analysis!BK119)/10^4</f>
        <v>363.87290114493476</v>
      </c>
      <c r="BU119">
        <f>(W119*R119*365*[5]Analysis!BK119)/10^4</f>
        <v>652.25129686877563</v>
      </c>
      <c r="BV119">
        <f>(X119*I119*365*[5]Analysis!BL119)/10^4</f>
        <v>63.737323711365661</v>
      </c>
      <c r="BW119">
        <f>(W119*R119*365*[5]Analysis!BL119)/10^4</f>
        <v>114.25075051995782</v>
      </c>
      <c r="BX119">
        <f t="shared" si="78"/>
        <v>1579401.6403435534</v>
      </c>
      <c r="BY119">
        <f t="shared" si="79"/>
        <v>2831117.0327587179</v>
      </c>
      <c r="BZ119">
        <f t="shared" si="80"/>
        <v>7801374.1089534117</v>
      </c>
      <c r="CA119">
        <f t="shared" si="81"/>
        <v>14663202.005556121</v>
      </c>
      <c r="CB119">
        <f t="shared" si="82"/>
        <v>-264664.46334429301</v>
      </c>
      <c r="CC119">
        <f t="shared" si="83"/>
        <v>-934998.80999999994</v>
      </c>
      <c r="CD119">
        <f t="shared" si="84"/>
        <v>0</v>
      </c>
      <c r="CE119">
        <f t="shared" si="85"/>
        <v>0</v>
      </c>
      <c r="CF119">
        <f t="shared" si="86"/>
        <v>3536870.5702513838</v>
      </c>
      <c r="CG119">
        <f t="shared" si="87"/>
        <v>6647783.7000000002</v>
      </c>
      <c r="CH119">
        <f t="shared" si="88"/>
        <v>177782.63062415336</v>
      </c>
      <c r="CI119">
        <f t="shared" si="89"/>
        <v>334154.28993839782</v>
      </c>
      <c r="CJ119">
        <f t="shared" si="90"/>
        <v>-1633190.3549742408</v>
      </c>
      <c r="CK119">
        <f t="shared" si="91"/>
        <v>-3069690.0000000005</v>
      </c>
      <c r="CL119">
        <f t="shared" si="92"/>
        <v>1470502.8896779681</v>
      </c>
      <c r="CM119">
        <f t="shared" si="93"/>
        <v>2763908.0782391462</v>
      </c>
    </row>
    <row r="120" spans="1:91" x14ac:dyDescent="0.2">
      <c r="A120" s="2" t="s">
        <v>129</v>
      </c>
      <c r="B120" s="2" t="s">
        <v>584</v>
      </c>
      <c r="C120" s="2" t="str">
        <f>VLOOKUP($A120,'[1]daily coal, energy reqd'!$C$2:$T$599,17,FALSE)</f>
        <v>Madhya Pradesh</v>
      </c>
      <c r="D120" s="2" t="str">
        <f>VLOOKUP(C120,'Target PLF'!$I$2:$J$19,2,FALSE)</f>
        <v>WR</v>
      </c>
      <c r="E120" s="2" t="str">
        <f>VLOOKUP(A120,[2]Ownership!$C$2:$D$666,2,FALSE)</f>
        <v>CENTRAL SECTOR</v>
      </c>
      <c r="F120" s="2" t="s">
        <v>542</v>
      </c>
      <c r="G120" s="12">
        <v>4.7583846680355899</v>
      </c>
      <c r="H120" s="2">
        <v>500</v>
      </c>
      <c r="I120" s="2">
        <f>VLOOKUP(A120,'[3]Calculated coal req (reg.)'!$A$2:$I$599,9,FALSE)</f>
        <v>10.984117364910301</v>
      </c>
      <c r="J120" s="2"/>
      <c r="K120" s="11">
        <v>0.91534311374252497</v>
      </c>
      <c r="L120" s="3">
        <f>VLOOKUP(F120,'Target PLF'!$A$2:$B$11,2,FALSE)</f>
        <v>0.85</v>
      </c>
      <c r="M120" s="3">
        <f t="shared" si="71"/>
        <v>-6.5343113742524994E-2</v>
      </c>
      <c r="N120" s="2" t="str">
        <f t="shared" si="50"/>
        <v>0.15</v>
      </c>
      <c r="O120" s="2">
        <f t="shared" si="98"/>
        <v>13.731787628793899</v>
      </c>
      <c r="P120" s="2">
        <f t="shared" si="51"/>
        <v>2506051.2422548868</v>
      </c>
      <c r="Q120" s="2">
        <f t="shared" si="52"/>
        <v>12.822649284360027</v>
      </c>
      <c r="R120" s="2">
        <f t="shared" si="53"/>
        <v>10.199999999999999</v>
      </c>
      <c r="S120" s="2">
        <f t="shared" si="54"/>
        <v>2340133.4943957049</v>
      </c>
      <c r="T120" s="2" t="str">
        <f>VLOOKUP(A120,'[4]CEA vs MERIT comp. &amp; NPA marker'!$C$2:$K$735,9,FALSE)</f>
        <v>Contracted</v>
      </c>
      <c r="U120" s="3">
        <f>VLOOKUP(B120,'[8]Import-Domestic share'!$A$208:$F$406,6,FALSE)</f>
        <v>0</v>
      </c>
      <c r="V120" s="3">
        <f t="shared" si="55"/>
        <v>0</v>
      </c>
      <c r="W120" s="2">
        <f t="shared" si="56"/>
        <v>2710.311944116359</v>
      </c>
      <c r="X120" s="2">
        <f t="shared" si="57"/>
        <v>2688.7113925947556</v>
      </c>
      <c r="Y120" s="6">
        <f t="shared" si="58"/>
        <v>0.31730664872983289</v>
      </c>
      <c r="Z120" s="2">
        <f t="shared" si="59"/>
        <v>2267229.2426833636</v>
      </c>
      <c r="AA120" s="2">
        <f t="shared" si="60"/>
        <v>2422062.4446121445</v>
      </c>
      <c r="AB120" s="2" t="s">
        <v>598</v>
      </c>
      <c r="AC120" s="12">
        <f>VLOOKUP(B120,[9]Sheet1!$A$2:$B$137,2,FALSE)</f>
        <v>4450.5827544825906</v>
      </c>
      <c r="AD120" s="12">
        <f t="shared" si="61"/>
        <v>2225291.3772412953</v>
      </c>
      <c r="AE120" s="2" t="s">
        <v>589</v>
      </c>
      <c r="AF120" s="7">
        <f>VLOOKUP($B120,'[9]Subsidiary wise dispatch'!$A$3:$R$138,11,FALSE)*$H120*$O120*365</f>
        <v>0</v>
      </c>
      <c r="AG120" s="7">
        <f>VLOOKUP($B120,'[9]Subsidiary wise dispatch'!$A$3:$R$138,12,FALSE)*$H120*$O120*365</f>
        <v>0</v>
      </c>
      <c r="AH120" s="7">
        <f>VLOOKUP($B120,'[9]Subsidiary wise dispatch'!$A$3:$R$138,13,FALSE)*$H120*$O120*365</f>
        <v>0</v>
      </c>
      <c r="AI120" s="7">
        <f>VLOOKUP($B120,'[9]Subsidiary wise dispatch'!$A$3:$R$138,14,FALSE)*$H120*$O120*365</f>
        <v>0</v>
      </c>
      <c r="AJ120" s="7">
        <f>VLOOKUP($B120,'[9]Subsidiary wise dispatch'!$A$3:$R$138,15,FALSE)*$H120*$O120*365</f>
        <v>2506051.2422548868</v>
      </c>
      <c r="AK120" s="7">
        <f>VLOOKUP($B120,'[9]Subsidiary wise dispatch'!$A$3:$R$138,16,FALSE)*$H120*$O120*365</f>
        <v>0</v>
      </c>
      <c r="AL120" s="7">
        <f>VLOOKUP($B120,'[9]Subsidiary wise dispatch'!$A$3:$R$138,17,FALSE)*$H120*$O120*365</f>
        <v>0</v>
      </c>
      <c r="AM120" s="7">
        <f>VLOOKUP($B120,'[9]Subsidiary wise dispatch'!$A$3:$R$138,18,FALSE)*$H120*$O120*365</f>
        <v>0</v>
      </c>
      <c r="AN120" s="15">
        <f t="shared" si="62"/>
        <v>2506051.2422548868</v>
      </c>
      <c r="AO120" s="6">
        <v>6.5179373950034494E-2</v>
      </c>
      <c r="AP120" s="11">
        <f t="shared" si="63"/>
        <v>0.71593789323855594</v>
      </c>
      <c r="AQ120" s="11">
        <f t="shared" si="64"/>
        <v>0.66482961429035181</v>
      </c>
      <c r="AR120" s="3">
        <f>VLOOKUP(A120,[10]Sheet1!$A$2:$L$542,12,FALSE)</f>
        <v>1.57598885099557</v>
      </c>
      <c r="AS120" s="3">
        <f t="shared" si="72"/>
        <v>1.6136102909085279</v>
      </c>
      <c r="AT120" s="3">
        <f t="shared" si="73"/>
        <v>1.6158243474394922</v>
      </c>
      <c r="AU120" s="3">
        <f t="shared" si="65"/>
        <v>-2.2140565309642923E-3</v>
      </c>
      <c r="AV120" s="88">
        <f t="shared" si="74"/>
        <v>-4.7884740612797169E-2</v>
      </c>
      <c r="AW120" s="32">
        <f t="shared" si="75"/>
        <v>2.8303416468742543E-2</v>
      </c>
      <c r="AX120" s="12">
        <f t="shared" si="66"/>
        <v>646.92909580467074</v>
      </c>
      <c r="AY120" s="12">
        <f t="shared" si="67"/>
        <v>601.57140455172294</v>
      </c>
      <c r="AZ120" s="3">
        <f>VLOOKUP(A120,[5]Analysis!$A$3:$BJ$543,62,FALSE)</f>
        <v>0.40603530059943072</v>
      </c>
      <c r="BA120" s="2"/>
      <c r="BB120" s="2"/>
      <c r="BC120" s="2" t="e">
        <f>VLOOKUP(A120,'[6]FGD status - Jun 2020'!$I$2:$M$449,5,FALSE)</f>
        <v>#N/A</v>
      </c>
      <c r="BD120" s="2"/>
      <c r="BE120" s="2"/>
      <c r="BF120" s="2">
        <f t="shared" si="68"/>
        <v>749.62832660745869</v>
      </c>
      <c r="BG120" s="2">
        <f t="shared" si="69"/>
        <v>701.70745061050104</v>
      </c>
      <c r="BH120" s="2"/>
      <c r="BI120" s="2"/>
      <c r="BK120">
        <f t="shared" si="70"/>
        <v>457.67155687126251</v>
      </c>
      <c r="BL120" t="str">
        <f>VLOOKUP(A120,'[11]Daily coal vs energy req.2'!$C$2:$P$599,14,FALSE)</f>
        <v/>
      </c>
      <c r="BM120" t="str">
        <f>VLOOKUP(A120,'[11]Daily coal vs energy req.2'!$C$2:$R$599,16,FALSE)</f>
        <v/>
      </c>
      <c r="BP120" s="2" t="e">
        <f>VLOOKUP(A120,'[7]Table 2'!$J$2:$N$449,5,FALSE)</f>
        <v>#N/A</v>
      </c>
      <c r="BR120">
        <f t="shared" si="76"/>
        <v>437.68938005514678</v>
      </c>
      <c r="BS120">
        <f t="shared" si="77"/>
        <v>409.7095695779592</v>
      </c>
      <c r="BT120">
        <f>(X120*I120*365*[5]Analysis!BK120)/10^4</f>
        <v>410.27242118586815</v>
      </c>
      <c r="BU120">
        <f>(W120*R120*365*[5]Analysis!BK120)/10^4</f>
        <v>384.04527218044529</v>
      </c>
      <c r="BV120">
        <f>(X120*I120*365*[5]Analysis!BL120)/10^4</f>
        <v>27.416958869278631</v>
      </c>
      <c r="BW120">
        <f>(W120*R120*365*[5]Analysis!BL120)/10^4</f>
        <v>25.664297397513856</v>
      </c>
      <c r="BX120">
        <f t="shared" si="78"/>
        <v>3027144.9534048014</v>
      </c>
      <c r="BY120">
        <f t="shared" si="79"/>
        <v>2833631.1375736534</v>
      </c>
      <c r="BZ120">
        <f t="shared" si="80"/>
        <v>8432786.5110185985</v>
      </c>
      <c r="CA120">
        <f t="shared" si="81"/>
        <v>7830799.6496077245</v>
      </c>
      <c r="CB120">
        <f t="shared" si="82"/>
        <v>-1084278.9934932059</v>
      </c>
      <c r="CC120">
        <f t="shared" si="83"/>
        <v>-934998.80999999994</v>
      </c>
      <c r="CD120">
        <f t="shared" si="84"/>
        <v>0</v>
      </c>
      <c r="CE120">
        <f t="shared" si="85"/>
        <v>0</v>
      </c>
      <c r="CF120">
        <f t="shared" si="86"/>
        <v>7158827.0958174169</v>
      </c>
      <c r="CG120">
        <f t="shared" si="87"/>
        <v>6647783.7000000002</v>
      </c>
      <c r="CH120">
        <f t="shared" si="88"/>
        <v>387008.45184256055</v>
      </c>
      <c r="CI120">
        <f t="shared" si="89"/>
        <v>359381.28459958913</v>
      </c>
      <c r="CJ120">
        <f t="shared" si="90"/>
        <v>-3305670.1209697556</v>
      </c>
      <c r="CK120">
        <f t="shared" si="91"/>
        <v>-3069690.0000000005</v>
      </c>
      <c r="CL120">
        <f t="shared" si="92"/>
        <v>2023987.9254527001</v>
      </c>
      <c r="CM120">
        <f t="shared" si="93"/>
        <v>1879502.5721018533</v>
      </c>
    </row>
    <row r="121" spans="1:91" x14ac:dyDescent="0.2">
      <c r="A121" s="2" t="s">
        <v>125</v>
      </c>
      <c r="B121" s="2" t="str">
        <f t="shared" ref="B121:B128" si="99">LEFT(A121,LEN(A121)-LEN(RIGHT(A121,1)))</f>
        <v>CHANDRAPUR STPS</v>
      </c>
      <c r="C121" s="2" t="str">
        <f>VLOOKUP($A121,'[1]daily coal, energy reqd'!$C$2:$T$599,17,FALSE)</f>
        <v>Maharashtra</v>
      </c>
      <c r="D121" s="2" t="str">
        <f>VLOOKUP(C121,'Target PLF'!$I$2:$J$19,2,FALSE)</f>
        <v>WR</v>
      </c>
      <c r="E121" s="2" t="str">
        <f>VLOOKUP(A121,[2]Ownership!$C$2:$D$666,2,FALSE)</f>
        <v>STATE SECTOR</v>
      </c>
      <c r="F121" s="2" t="s">
        <v>542</v>
      </c>
      <c r="G121" s="12">
        <v>4.1752224503764497</v>
      </c>
      <c r="H121" s="2">
        <v>500</v>
      </c>
      <c r="I121" s="2">
        <f>VLOOKUP(A121,'[3]Calculated coal req (reg.)'!$A$2:$I$599,9,FALSE)</f>
        <v>8.8910286667726002</v>
      </c>
      <c r="J121" s="2"/>
      <c r="K121" s="11">
        <v>0.74091905556438331</v>
      </c>
      <c r="L121" s="3">
        <f>VLOOKUP(F121,'Target PLF'!$A$2:$B$11,2,FALSE)</f>
        <v>0.85</v>
      </c>
      <c r="M121" s="3">
        <f t="shared" si="71"/>
        <v>0.10908094443561667</v>
      </c>
      <c r="N121" s="2" t="str">
        <f t="shared" si="50"/>
        <v>0.15</v>
      </c>
      <c r="O121" s="2">
        <f t="shared" si="98"/>
        <v>11.286501716899608</v>
      </c>
      <c r="P121" s="2">
        <f t="shared" si="51"/>
        <v>2059786.5633341784</v>
      </c>
      <c r="Q121" s="2">
        <f t="shared" si="52"/>
        <v>12.804177621115674</v>
      </c>
      <c r="R121" s="2">
        <f t="shared" si="53"/>
        <v>10.199999999999999</v>
      </c>
      <c r="S121" s="2">
        <f t="shared" si="54"/>
        <v>2336762.4158536103</v>
      </c>
      <c r="T121" s="2" t="str">
        <f>VLOOKUP(A121,'[4]CEA vs MERIT comp. &amp; NPA marker'!$C$2:$K$735,9,FALSE)</f>
        <v>Contracted</v>
      </c>
      <c r="U121" s="3">
        <f>VLOOKUP(B121,'[8]Import-Domestic share'!$A$208:$F$406,6,FALSE)</f>
        <v>3.3278847509413102E-2</v>
      </c>
      <c r="V121" s="3">
        <f t="shared" si="55"/>
        <v>68547.322943136198</v>
      </c>
      <c r="W121" s="2">
        <f t="shared" si="56"/>
        <v>2713.3591741478754</v>
      </c>
      <c r="X121" s="2">
        <f t="shared" si="57"/>
        <v>2749.4181928470903</v>
      </c>
      <c r="Y121" s="6">
        <f t="shared" si="58"/>
        <v>0.31695029843223066</v>
      </c>
      <c r="Z121" s="2">
        <f t="shared" si="59"/>
        <v>2415679.9381039753</v>
      </c>
      <c r="AA121" s="2">
        <f t="shared" si="60"/>
        <v>2133657.6990115647</v>
      </c>
      <c r="AB121" s="2" t="s">
        <v>598</v>
      </c>
      <c r="AC121" s="12">
        <f>VLOOKUP(B121,[9]Sheet1!$A$2:$B$137,2,FALSE)</f>
        <v>4181.7775798896982</v>
      </c>
      <c r="AD121" s="12">
        <f t="shared" si="61"/>
        <v>2090888.7899448492</v>
      </c>
      <c r="AE121" s="2"/>
      <c r="AF121" s="7">
        <f>VLOOKUP($B121,'[9]Subsidiary wise dispatch'!$A$3:$R$138,11,FALSE)*$H121*$O121*365</f>
        <v>0</v>
      </c>
      <c r="AG121" s="7">
        <f>VLOOKUP($B121,'[9]Subsidiary wise dispatch'!$A$3:$R$138,12,FALSE)*$H121*$O121*365</f>
        <v>0</v>
      </c>
      <c r="AH121" s="7">
        <f>VLOOKUP($B121,'[9]Subsidiary wise dispatch'!$A$3:$R$138,13,FALSE)*$H121*$O121*365</f>
        <v>0</v>
      </c>
      <c r="AI121" s="7">
        <f>VLOOKUP($B121,'[9]Subsidiary wise dispatch'!$A$3:$R$138,14,FALSE)*$H121*$O121*365</f>
        <v>366.7728954045395</v>
      </c>
      <c r="AJ121" s="7">
        <f>VLOOKUP($B121,'[9]Subsidiary wise dispatch'!$A$3:$R$138,15,FALSE)*$H121*$O121*365</f>
        <v>0</v>
      </c>
      <c r="AK121" s="7">
        <f>VLOOKUP($B121,'[9]Subsidiary wise dispatch'!$A$3:$R$138,16,FALSE)*$H121*$O121*365</f>
        <v>0</v>
      </c>
      <c r="AL121" s="7">
        <f>VLOOKUP($B121,'[9]Subsidiary wise dispatch'!$A$3:$R$138,17,FALSE)*$H121*$O121*365</f>
        <v>20341.743913347658</v>
      </c>
      <c r="AM121" s="7">
        <f>VLOOKUP($B121,'[9]Subsidiary wise dispatch'!$A$3:$R$138,18,FALSE)*$H121*$O121*365</f>
        <v>2039078.0465254262</v>
      </c>
      <c r="AN121" s="15">
        <f t="shared" si="62"/>
        <v>2059786.5633341784</v>
      </c>
      <c r="AO121" s="6">
        <v>7.096074531932961E-2</v>
      </c>
      <c r="AP121" s="11">
        <f t="shared" si="63"/>
        <v>0.63091402084970916</v>
      </c>
      <c r="AQ121" s="11">
        <f t="shared" si="64"/>
        <v>0.723799602257162</v>
      </c>
      <c r="AR121" s="3">
        <f>VLOOKUP(A121,[10]Sheet1!$A$2:$L$542,12,FALSE)</f>
        <v>2.23661538461538</v>
      </c>
      <c r="AS121" s="3">
        <f t="shared" si="72"/>
        <v>1.9698324024784508</v>
      </c>
      <c r="AT121" s="3">
        <f t="shared" si="73"/>
        <v>1.9661363530617813</v>
      </c>
      <c r="AU121" s="3">
        <f t="shared" si="65"/>
        <v>3.6960494166695668E-3</v>
      </c>
      <c r="AV121" s="88">
        <f t="shared" si="74"/>
        <v>7.9936697701308609E-2</v>
      </c>
      <c r="AW121" s="32">
        <f t="shared" si="75"/>
        <v>3.8704129442034135E-2</v>
      </c>
      <c r="AX121" s="12">
        <f t="shared" si="66"/>
        <v>639.25502710983096</v>
      </c>
      <c r="AY121" s="12">
        <f t="shared" si="67"/>
        <v>731.99256424490102</v>
      </c>
      <c r="AZ121" s="3">
        <f>VLOOKUP(A121,[5]Analysis!$A$3:$BJ$543,62,FALSE)</f>
        <v>0.58478301540750166</v>
      </c>
      <c r="BA121" s="2"/>
      <c r="BB121" s="2"/>
      <c r="BC121" s="2" t="str">
        <f>VLOOKUP(A121,'[6]FGD status - Jun 2020'!$I$2:$M$449,5,FALSE)</f>
        <v>Feasiblity Study Carried Out</v>
      </c>
      <c r="BD121" s="2"/>
      <c r="BE121" s="2"/>
      <c r="BF121" s="2">
        <f t="shared" si="68"/>
        <v>675.53386878577419</v>
      </c>
      <c r="BG121" s="2">
        <f t="shared" si="69"/>
        <v>764.82446790388963</v>
      </c>
      <c r="BH121" s="2"/>
      <c r="BI121" s="2"/>
      <c r="BK121">
        <f t="shared" si="70"/>
        <v>370.45952778219163</v>
      </c>
      <c r="BL121">
        <f>VLOOKUP(A121,'[11]Daily coal vs energy req.2'!$C$2:$P$599,14,FALSE)</f>
        <v>1.0900000000000001</v>
      </c>
      <c r="BM121">
        <f>VLOOKUP(A121,'[11]Daily coal vs energy req.2'!$C$2:$R$599,16,FALSE)</f>
        <v>1.1499999999999999</v>
      </c>
      <c r="BN121">
        <f t="shared" ref="BN121:BN127" si="100">BL121*H121</f>
        <v>545</v>
      </c>
      <c r="BO121">
        <f t="shared" ref="BO121:BO127" si="101">BM121*H121</f>
        <v>575</v>
      </c>
      <c r="BP121" s="2" t="str">
        <f>VLOOKUP(A121,'[7]Table 2'!$J$2:$N$449,5,FALSE)</f>
        <v>Bid opened</v>
      </c>
      <c r="BR121">
        <f t="shared" si="76"/>
        <v>521.77158872926645</v>
      </c>
      <c r="BS121">
        <f t="shared" si="77"/>
        <v>590.73822373187318</v>
      </c>
      <c r="BT121">
        <f>(X121*I121*365*[5]Analysis!BK121)/10^4</f>
        <v>368.99806507931339</v>
      </c>
      <c r="BU121">
        <f>(W121*R121*365*[5]Analysis!BK121)/10^4</f>
        <v>417.77142764006732</v>
      </c>
      <c r="BV121">
        <f>(X121*I121*365*[5]Analysis!BL121)/10^4</f>
        <v>152.77352364995306</v>
      </c>
      <c r="BW121">
        <f>(W121*R121*365*[5]Analysis!BL121)/10^4</f>
        <v>172.9667960918058</v>
      </c>
      <c r="BX121">
        <f t="shared" si="78"/>
        <v>2505628.4868788333</v>
      </c>
      <c r="BY121">
        <f t="shared" si="79"/>
        <v>2836817.0165716032</v>
      </c>
      <c r="BZ121">
        <f t="shared" si="80"/>
        <v>9830801.0949431174</v>
      </c>
      <c r="CA121">
        <f t="shared" si="81"/>
        <v>11278129.328630185</v>
      </c>
      <c r="CB121">
        <f t="shared" si="82"/>
        <v>-710419.27416799276</v>
      </c>
      <c r="CC121">
        <f t="shared" si="83"/>
        <v>-934998.80999999994</v>
      </c>
      <c r="CD121">
        <f t="shared" si="84"/>
        <v>0</v>
      </c>
      <c r="CE121">
        <f t="shared" si="85"/>
        <v>0</v>
      </c>
      <c r="CF121">
        <f t="shared" si="86"/>
        <v>5794670.1418827083</v>
      </c>
      <c r="CG121">
        <f t="shared" si="87"/>
        <v>6647783.7000000002</v>
      </c>
      <c r="CH121">
        <f t="shared" si="88"/>
        <v>274870.01557496068</v>
      </c>
      <c r="CI121">
        <f t="shared" si="89"/>
        <v>315337.43326488667</v>
      </c>
      <c r="CJ121">
        <f t="shared" si="90"/>
        <v>-2675755.0772652142</v>
      </c>
      <c r="CK121">
        <f t="shared" si="91"/>
        <v>-3069690.0000000005</v>
      </c>
      <c r="CL121">
        <f t="shared" si="92"/>
        <v>1783621.6971590454</v>
      </c>
      <c r="CM121">
        <f t="shared" si="93"/>
        <v>2046213.3227634963</v>
      </c>
    </row>
    <row r="122" spans="1:91" x14ac:dyDescent="0.2">
      <c r="A122" s="2" t="s">
        <v>140</v>
      </c>
      <c r="B122" s="2" t="str">
        <f t="shared" si="99"/>
        <v>MAITHON RB TPP</v>
      </c>
      <c r="C122" s="2" t="str">
        <f>VLOOKUP($A122,'[1]daily coal, energy reqd'!$C$2:$T$599,17,FALSE)</f>
        <v>Jharkhand</v>
      </c>
      <c r="D122" s="2" t="str">
        <f>VLOOKUP(C122,'Target PLF'!$I$2:$J$19,2,FALSE)</f>
        <v>ER</v>
      </c>
      <c r="E122" s="2" t="str">
        <f>VLOOKUP(A122,[2]Ownership!$C$2:$D$666,2,FALSE)</f>
        <v>PVT SECTOR</v>
      </c>
      <c r="F122" s="2" t="s">
        <v>543</v>
      </c>
      <c r="G122" s="12">
        <v>7.8412046543463303</v>
      </c>
      <c r="H122" s="2">
        <v>525</v>
      </c>
      <c r="I122" s="2">
        <f>VLOOKUP(A122,'[3]Calculated coal req (reg.)'!$A$2:$I$599,9,FALSE)</f>
        <v>9.7644689134311502</v>
      </c>
      <c r="J122" s="2"/>
      <c r="K122" s="11">
        <v>0.77495785027231356</v>
      </c>
      <c r="L122" s="3">
        <f>VLOOKUP(F122,'Target PLF'!$A$2:$B$11,2,FALSE)</f>
        <v>0.85</v>
      </c>
      <c r="M122" s="3">
        <f t="shared" si="71"/>
        <v>7.5042149727686414E-2</v>
      </c>
      <c r="N122" s="2" t="str">
        <f t="shared" si="50"/>
        <v>0.15</v>
      </c>
      <c r="O122" s="2">
        <f t="shared" si="98"/>
        <v>10.856265065620201</v>
      </c>
      <c r="P122" s="2">
        <f t="shared" si="51"/>
        <v>2080331.793199471</v>
      </c>
      <c r="Q122" s="2">
        <f t="shared" si="52"/>
        <v>11.900349007426419</v>
      </c>
      <c r="R122" s="2">
        <f t="shared" si="53"/>
        <v>10.71</v>
      </c>
      <c r="S122" s="2">
        <f t="shared" si="54"/>
        <v>2280404.3785480876</v>
      </c>
      <c r="T122" s="2" t="str">
        <f>VLOOKUP(A122,'[4]CEA vs MERIT comp. &amp; NPA marker'!$C$2:$K$735,9,FALSE)</f>
        <v>Contracted</v>
      </c>
      <c r="U122" s="3">
        <f>VLOOKUP(B122,'[8]Import-Domestic share'!$A$208:$F$406,6,FALSE)</f>
        <v>1.7995376705771868E-2</v>
      </c>
      <c r="V122" s="3">
        <f t="shared" si="55"/>
        <v>37436.35429161838</v>
      </c>
      <c r="W122" s="2">
        <f t="shared" si="56"/>
        <v>2714.7799452385316</v>
      </c>
      <c r="X122" s="2">
        <f t="shared" si="57"/>
        <v>2739.5867187245922</v>
      </c>
      <c r="Y122" s="6">
        <f t="shared" si="58"/>
        <v>0.31678442354355796</v>
      </c>
      <c r="Z122" s="2">
        <f t="shared" si="59"/>
        <v>2392834.9246695158</v>
      </c>
      <c r="AA122" s="2">
        <f t="shared" si="60"/>
        <v>2201518.3764564702</v>
      </c>
      <c r="AB122" s="2" t="s">
        <v>598</v>
      </c>
      <c r="AC122" s="12">
        <f>VLOOKUP(B122,[9]Sheet1!$A$2:$B$137,2,FALSE)</f>
        <v>4435.1082949840093</v>
      </c>
      <c r="AD122" s="12">
        <f t="shared" si="61"/>
        <v>2328431.8548666048</v>
      </c>
      <c r="AE122" s="2"/>
      <c r="AF122" s="7">
        <f>VLOOKUP($B122,'[9]Subsidiary wise dispatch'!$A$3:$R$138,11,FALSE)*$H122*$O122*365</f>
        <v>1209891.9456672128</v>
      </c>
      <c r="AG122" s="7">
        <f>VLOOKUP($B122,'[9]Subsidiary wise dispatch'!$A$3:$R$138,12,FALSE)*$H122*$O122*365</f>
        <v>866131.9338145128</v>
      </c>
      <c r="AH122" s="7">
        <f>VLOOKUP($B122,'[9]Subsidiary wise dispatch'!$A$3:$R$138,13,FALSE)*$H122*$O122*365</f>
        <v>4307.9137177455732</v>
      </c>
      <c r="AI122" s="7">
        <f>VLOOKUP($B122,'[9]Subsidiary wise dispatch'!$A$3:$R$138,14,FALSE)*$H122*$O122*365</f>
        <v>0</v>
      </c>
      <c r="AJ122" s="7">
        <f>VLOOKUP($B122,'[9]Subsidiary wise dispatch'!$A$3:$R$138,15,FALSE)*$H122*$O122*365</f>
        <v>0</v>
      </c>
      <c r="AK122" s="7">
        <f>VLOOKUP($B122,'[9]Subsidiary wise dispatch'!$A$3:$R$138,16,FALSE)*$H122*$O122*365</f>
        <v>0</v>
      </c>
      <c r="AL122" s="7">
        <f>VLOOKUP($B122,'[9]Subsidiary wise dispatch'!$A$3:$R$138,17,FALSE)*$H122*$O122*365</f>
        <v>0</v>
      </c>
      <c r="AM122" s="7">
        <f>VLOOKUP($B122,'[9]Subsidiary wise dispatch'!$A$3:$R$138,18,FALSE)*$H122*$O122*365</f>
        <v>0</v>
      </c>
      <c r="AN122" s="15">
        <f t="shared" si="62"/>
        <v>2080331.7931994712</v>
      </c>
      <c r="AO122" s="6">
        <v>5.5111041599405448E-2</v>
      </c>
      <c r="AP122" s="11">
        <f t="shared" si="63"/>
        <v>0.53813005248420542</v>
      </c>
      <c r="AQ122" s="11">
        <f t="shared" si="64"/>
        <v>0.59023925552963241</v>
      </c>
      <c r="AR122" s="3">
        <f>VLOOKUP(A122,[10]Sheet1!$A$2:$L$542,12,FALSE)</f>
        <v>2.4571169686985201</v>
      </c>
      <c r="AS122" s="3">
        <f t="shared" si="72"/>
        <v>1.7824379615021853</v>
      </c>
      <c r="AT122" s="3">
        <f t="shared" si="73"/>
        <v>1.7798952672198642</v>
      </c>
      <c r="AU122" s="3">
        <f t="shared" si="65"/>
        <v>2.5426942823210119E-3</v>
      </c>
      <c r="AV122" s="88">
        <f t="shared" si="74"/>
        <v>5.4992388163443158E-2</v>
      </c>
      <c r="AW122" s="32">
        <f t="shared" si="75"/>
        <v>2.9425817343409315E-2</v>
      </c>
      <c r="AX122" s="12">
        <f t="shared" si="66"/>
        <v>635.26644238008021</v>
      </c>
      <c r="AY122" s="12">
        <f t="shared" si="67"/>
        <v>695.78775838525337</v>
      </c>
      <c r="AZ122" s="3">
        <f>VLOOKUP(A122,[5]Analysis!$A$3:$BJ$543,62,FALSE)</f>
        <v>0.503506630041204</v>
      </c>
      <c r="BA122" s="2"/>
      <c r="BB122" s="2"/>
      <c r="BC122" s="2" t="str">
        <f>VLOOKUP(A122,'[6]FGD status - Jun 2020'!$I$2:$M$449,5,FALSE)</f>
        <v>Bid Awarded</v>
      </c>
      <c r="BD122" s="2"/>
      <c r="BE122" s="2"/>
      <c r="BF122" s="2">
        <f t="shared" si="68"/>
        <v>689.83216128920276</v>
      </c>
      <c r="BG122" s="2">
        <f t="shared" si="69"/>
        <v>749.78001789379869</v>
      </c>
      <c r="BH122" s="2"/>
      <c r="BI122" s="2"/>
      <c r="BK122">
        <f t="shared" si="70"/>
        <v>406.85287139296463</v>
      </c>
      <c r="BL122">
        <f>VLOOKUP(A122,'[11]Daily coal vs energy req.2'!$C$2:$P$599,14,FALSE)</f>
        <v>0.62</v>
      </c>
      <c r="BM122">
        <f>VLOOKUP(A122,'[11]Daily coal vs energy req.2'!$C$2:$R$599,16,FALSE)</f>
        <v>0.6</v>
      </c>
      <c r="BN122">
        <f t="shared" si="100"/>
        <v>325.5</v>
      </c>
      <c r="BO122">
        <f t="shared" si="101"/>
        <v>315</v>
      </c>
      <c r="BP122" s="2" t="str">
        <f>VLOOKUP(A122,'[7]Table 2'!$J$2:$N$449,5,FALSE)</f>
        <v>Bid Awarded</v>
      </c>
      <c r="BR122">
        <f t="shared" si="76"/>
        <v>491.62248454757594</v>
      </c>
      <c r="BS122">
        <f t="shared" si="77"/>
        <v>534.34550597379439</v>
      </c>
      <c r="BT122">
        <f>(X122*I122*365*[5]Analysis!BK122)/10^4</f>
        <v>388.02802732243731</v>
      </c>
      <c r="BU122">
        <f>(W122*R122*365*[5]Analysis!BK122)/10^4</f>
        <v>421.74847389746674</v>
      </c>
      <c r="BV122">
        <f>(X122*I122*365*[5]Analysis!BL122)/10^4</f>
        <v>103.59445722513864</v>
      </c>
      <c r="BW122">
        <f>(W122*R122*365*[5]Analysis!BL122)/10^4</f>
        <v>112.59703207632764</v>
      </c>
      <c r="BX122">
        <f t="shared" si="78"/>
        <v>2741937.4584401008</v>
      </c>
      <c r="BY122">
        <f t="shared" si="79"/>
        <v>2980217.5543842292</v>
      </c>
      <c r="BZ122">
        <f t="shared" si="80"/>
        <v>9295996.8741926551</v>
      </c>
      <c r="CA122">
        <f t="shared" si="81"/>
        <v>10196164.011097124</v>
      </c>
      <c r="CB122">
        <f t="shared" si="82"/>
        <v>-816053.57138737326</v>
      </c>
      <c r="CC122">
        <f t="shared" si="83"/>
        <v>-981748.75049999997</v>
      </c>
      <c r="CD122">
        <f t="shared" si="84"/>
        <v>-3603522.5714758504</v>
      </c>
      <c r="CE122">
        <f t="shared" si="85"/>
        <v>-3952465.5240000002</v>
      </c>
      <c r="CF122">
        <f t="shared" si="86"/>
        <v>6363929.1452808157</v>
      </c>
      <c r="CG122">
        <f t="shared" si="87"/>
        <v>6980172.8850000007</v>
      </c>
      <c r="CH122">
        <f t="shared" si="88"/>
        <v>566927.01667091169</v>
      </c>
      <c r="CI122">
        <f t="shared" si="89"/>
        <v>621824.74053388031</v>
      </c>
      <c r="CJ122">
        <f t="shared" si="90"/>
        <v>-3085547.76547196</v>
      </c>
      <c r="CK122">
        <f t="shared" si="91"/>
        <v>-3384333.2250000006</v>
      </c>
      <c r="CL122">
        <f t="shared" si="92"/>
        <v>1521317.336095158</v>
      </c>
      <c r="CM122">
        <f t="shared" si="93"/>
        <v>1668632.345909514</v>
      </c>
    </row>
    <row r="123" spans="1:91" x14ac:dyDescent="0.2">
      <c r="A123" s="2" t="s">
        <v>133</v>
      </c>
      <c r="B123" s="2" t="str">
        <f t="shared" si="99"/>
        <v>CHANDRAPUR STPS</v>
      </c>
      <c r="C123" s="2" t="str">
        <f>VLOOKUP($A123,'[1]daily coal, energy reqd'!$C$2:$T$599,17,FALSE)</f>
        <v>Maharashtra</v>
      </c>
      <c r="D123" s="2" t="str">
        <f>VLOOKUP(C123,'Target PLF'!$I$2:$J$19,2,FALSE)</f>
        <v>WR</v>
      </c>
      <c r="E123" s="2" t="str">
        <f>VLOOKUP(A123,[2]Ownership!$C$2:$D$666,2,FALSE)</f>
        <v>STATE SECTOR</v>
      </c>
      <c r="F123" s="2" t="s">
        <v>543</v>
      </c>
      <c r="G123" s="12">
        <v>5.1772758384667998</v>
      </c>
      <c r="H123" s="2">
        <v>500</v>
      </c>
      <c r="I123" s="2">
        <f>VLOOKUP(A123,'[3]Calculated coal req (reg.)'!$A$2:$I$599,9,FALSE)</f>
        <v>8.5564452096458101</v>
      </c>
      <c r="J123" s="2"/>
      <c r="K123" s="11">
        <v>0.71303710080381744</v>
      </c>
      <c r="L123" s="3">
        <f>VLOOKUP(F123,'Target PLF'!$A$2:$B$11,2,FALSE)</f>
        <v>0.85</v>
      </c>
      <c r="M123" s="3">
        <f t="shared" si="71"/>
        <v>0.13696289919618254</v>
      </c>
      <c r="N123" s="2" t="str">
        <f t="shared" si="50"/>
        <v>0.15</v>
      </c>
      <c r="O123" s="2">
        <f t="shared" si="98"/>
        <v>10.93031175679719</v>
      </c>
      <c r="P123" s="2">
        <f t="shared" si="51"/>
        <v>1994781.8956154871</v>
      </c>
      <c r="Q123" s="2">
        <f t="shared" si="52"/>
        <v>12.835917662183435</v>
      </c>
      <c r="R123" s="2">
        <f t="shared" si="53"/>
        <v>10.199999999999999</v>
      </c>
      <c r="S123" s="2">
        <f t="shared" si="54"/>
        <v>2342554.9733484769</v>
      </c>
      <c r="T123" s="2" t="str">
        <f>VLOOKUP(A123,'[4]CEA vs MERIT comp. &amp; NPA marker'!$C$2:$K$735,9,FALSE)</f>
        <v>Contracted</v>
      </c>
      <c r="U123" s="3">
        <f>VLOOKUP(B123,'[8]Import-Domestic share'!$A$208:$F$406,6,FALSE)</f>
        <v>3.3278847509413102E-2</v>
      </c>
      <c r="V123" s="3">
        <f t="shared" si="55"/>
        <v>66384.042518725808</v>
      </c>
      <c r="W123" s="2">
        <f t="shared" si="56"/>
        <v>2721.0154001355554</v>
      </c>
      <c r="X123" s="2">
        <f t="shared" si="57"/>
        <v>2766.2913900783165</v>
      </c>
      <c r="Y123" s="6">
        <f t="shared" si="58"/>
        <v>0.3160584831519721</v>
      </c>
      <c r="Z123" s="2">
        <f t="shared" si="59"/>
        <v>2422496.2091292948</v>
      </c>
      <c r="AA123" s="2">
        <f t="shared" si="60"/>
        <v>2065966.3014685495</v>
      </c>
      <c r="AB123" s="2" t="s">
        <v>598</v>
      </c>
      <c r="AC123" s="12">
        <f>VLOOKUP(B123,[9]Sheet1!$A$2:$B$137,2,FALSE)</f>
        <v>4181.7775798896982</v>
      </c>
      <c r="AD123" s="12">
        <f t="shared" si="61"/>
        <v>2090888.7899448492</v>
      </c>
      <c r="AE123" s="2"/>
      <c r="AF123" s="7">
        <f>VLOOKUP($B123,'[9]Subsidiary wise dispatch'!$A$3:$R$138,11,FALSE)*$H123*$O123*365</f>
        <v>0</v>
      </c>
      <c r="AG123" s="7">
        <f>VLOOKUP($B123,'[9]Subsidiary wise dispatch'!$A$3:$R$138,12,FALSE)*$H123*$O123*365</f>
        <v>0</v>
      </c>
      <c r="AH123" s="7">
        <f>VLOOKUP($B123,'[9]Subsidiary wise dispatch'!$A$3:$R$138,13,FALSE)*$H123*$O123*365</f>
        <v>0</v>
      </c>
      <c r="AI123" s="7">
        <f>VLOOKUP($B123,'[9]Subsidiary wise dispatch'!$A$3:$R$138,14,FALSE)*$H123*$O123*365</f>
        <v>355.19793389231302</v>
      </c>
      <c r="AJ123" s="7">
        <f>VLOOKUP($B123,'[9]Subsidiary wise dispatch'!$A$3:$R$138,15,FALSE)*$H123*$O123*365</f>
        <v>0</v>
      </c>
      <c r="AK123" s="7">
        <f>VLOOKUP($B123,'[9]Subsidiary wise dispatch'!$A$3:$R$138,16,FALSE)*$H123*$O123*365</f>
        <v>0</v>
      </c>
      <c r="AL123" s="7">
        <f>VLOOKUP($B123,'[9]Subsidiary wise dispatch'!$A$3:$R$138,17,FALSE)*$H123*$O123*365</f>
        <v>19699.780164557367</v>
      </c>
      <c r="AM123" s="7">
        <f>VLOOKUP($B123,'[9]Subsidiary wise dispatch'!$A$3:$R$138,18,FALSE)*$H123*$O123*365</f>
        <v>1974726.9175170376</v>
      </c>
      <c r="AN123" s="15">
        <f t="shared" si="62"/>
        <v>1994781.8956154874</v>
      </c>
      <c r="AO123" s="6">
        <v>7.096074531932961E-2</v>
      </c>
      <c r="AP123" s="11">
        <f t="shared" si="63"/>
        <v>0.60717172936047414</v>
      </c>
      <c r="AQ123" s="11">
        <f t="shared" si="64"/>
        <v>0.723799602257162</v>
      </c>
      <c r="AR123" s="3">
        <f>VLOOKUP(A123,[10]Sheet1!$A$2:$L$542,12,FALSE)</f>
        <v>2.23661538461538</v>
      </c>
      <c r="AS123" s="3">
        <f t="shared" si="72"/>
        <v>1.9789816095067665</v>
      </c>
      <c r="AT123" s="3">
        <f t="shared" si="73"/>
        <v>1.9743408205376336</v>
      </c>
      <c r="AU123" s="3">
        <f t="shared" si="65"/>
        <v>4.6407889691328919E-3</v>
      </c>
      <c r="AV123" s="88">
        <f t="shared" si="74"/>
        <v>0.1003691517889465</v>
      </c>
      <c r="AW123" s="32">
        <f t="shared" si="75"/>
        <v>4.8372537854797226E-2</v>
      </c>
      <c r="AX123" s="12">
        <f t="shared" si="66"/>
        <v>618.05624151140842</v>
      </c>
      <c r="AY123" s="12">
        <f t="shared" si="67"/>
        <v>735.04708748616099</v>
      </c>
      <c r="AZ123" s="3">
        <f>VLOOKUP(A123,[5]Analysis!$A$3:$BJ$543,62,FALSE)</f>
        <v>0.58478301540750166</v>
      </c>
      <c r="BA123" s="2"/>
      <c r="BB123" s="2"/>
      <c r="BC123" s="2" t="str">
        <f>VLOOKUP(A123,'[6]FGD status - Jun 2020'!$I$2:$M$449,5,FALSE)</f>
        <v>Feasiblity Study Carried Out</v>
      </c>
      <c r="BD123" s="2"/>
      <c r="BE123" s="2"/>
      <c r="BF123" s="2">
        <f t="shared" si="68"/>
        <v>654.10220629983144</v>
      </c>
      <c r="BG123" s="2">
        <f t="shared" si="69"/>
        <v>766.98255630699191</v>
      </c>
      <c r="BH123" s="2"/>
      <c r="BI123" s="2"/>
      <c r="BK123">
        <f t="shared" si="70"/>
        <v>356.51855040190873</v>
      </c>
      <c r="BL123">
        <f>VLOOKUP(A123,'[11]Daily coal vs energy req.2'!$C$2:$P$599,14,FALSE)</f>
        <v>0.95</v>
      </c>
      <c r="BM123">
        <f>VLOOKUP(A123,'[11]Daily coal vs energy req.2'!$C$2:$R$599,16,FALSE)</f>
        <v>0.97</v>
      </c>
      <c r="BN123">
        <f t="shared" si="100"/>
        <v>475</v>
      </c>
      <c r="BO123">
        <f t="shared" si="101"/>
        <v>485</v>
      </c>
      <c r="BP123" s="2" t="str">
        <f>VLOOKUP(A123,'[7]Table 2'!$J$2:$N$449,5,FALSE)</f>
        <v>Bid opened</v>
      </c>
      <c r="BR123">
        <f t="shared" si="76"/>
        <v>505.21811435721264</v>
      </c>
      <c r="BS123">
        <f t="shared" si="77"/>
        <v>592.40509680328364</v>
      </c>
      <c r="BT123">
        <f>(X123*I123*365*[5]Analysis!BK123)/10^4</f>
        <v>357.29141001113703</v>
      </c>
      <c r="BU123">
        <f>(W123*R123*365*[5]Analysis!BK123)/10^4</f>
        <v>418.95024410184755</v>
      </c>
      <c r="BV123">
        <f>(X123*I123*365*[5]Analysis!BL123)/10^4</f>
        <v>147.92670434607552</v>
      </c>
      <c r="BW123">
        <f>(W123*R123*365*[5]Analysis!BL123)/10^4</f>
        <v>173.4548527014361</v>
      </c>
      <c r="BX123">
        <f t="shared" si="78"/>
        <v>2426136.123094806</v>
      </c>
      <c r="BY123">
        <f t="shared" si="79"/>
        <v>2844821.6008417229</v>
      </c>
      <c r="BZ123">
        <f t="shared" si="80"/>
        <v>9460852.5164434966</v>
      </c>
      <c r="CA123">
        <f t="shared" si="81"/>
        <v>11278129.328630185</v>
      </c>
      <c r="CB123">
        <f t="shared" si="82"/>
        <v>-657956.9247580173</v>
      </c>
      <c r="CC123">
        <f t="shared" si="83"/>
        <v>-934998.80999999994</v>
      </c>
      <c r="CD123">
        <f t="shared" si="84"/>
        <v>0</v>
      </c>
      <c r="CE123">
        <f t="shared" si="85"/>
        <v>0</v>
      </c>
      <c r="CF123">
        <f t="shared" si="86"/>
        <v>5576607.5484927939</v>
      </c>
      <c r="CG123">
        <f t="shared" si="87"/>
        <v>6647783.7000000002</v>
      </c>
      <c r="CH123">
        <f t="shared" si="88"/>
        <v>328012.51599498716</v>
      </c>
      <c r="CI123">
        <f t="shared" si="89"/>
        <v>391018.41724845965</v>
      </c>
      <c r="CJ123">
        <f t="shared" si="90"/>
        <v>-2575062.1858429066</v>
      </c>
      <c r="CK123">
        <f t="shared" si="91"/>
        <v>-3069690.0000000005</v>
      </c>
      <c r="CL123">
        <f t="shared" si="92"/>
        <v>1716501.1944581524</v>
      </c>
      <c r="CM123">
        <f t="shared" si="93"/>
        <v>2046213.3227634963</v>
      </c>
    </row>
    <row r="124" spans="1:91" x14ac:dyDescent="0.2">
      <c r="A124" s="2" t="s">
        <v>148</v>
      </c>
      <c r="B124" s="2" t="str">
        <f t="shared" si="99"/>
        <v>MAITHON RB TPP</v>
      </c>
      <c r="C124" s="2" t="str">
        <f>VLOOKUP($A124,'[1]daily coal, energy reqd'!$C$2:$T$599,17,FALSE)</f>
        <v>Jharkhand</v>
      </c>
      <c r="D124" s="2" t="str">
        <f>VLOOKUP(C124,'Target PLF'!$I$2:$J$19,2,FALSE)</f>
        <v>ER</v>
      </c>
      <c r="E124" s="2" t="str">
        <f>VLOOKUP(A124,[2]Ownership!$C$2:$D$666,2,FALSE)</f>
        <v>PVT SECTOR</v>
      </c>
      <c r="F124" s="2" t="s">
        <v>543</v>
      </c>
      <c r="G124" s="12">
        <v>8.6735112936344905</v>
      </c>
      <c r="H124" s="2">
        <v>525</v>
      </c>
      <c r="I124" s="2">
        <f>VLOOKUP(A124,'[3]Calculated coal req (reg.)'!$A$2:$I$599,9,FALSE)</f>
        <v>9.1142842113812499</v>
      </c>
      <c r="J124" s="2"/>
      <c r="K124" s="11">
        <v>0.7233558897921627</v>
      </c>
      <c r="L124" s="3">
        <f>VLOOKUP(F124,'Target PLF'!$A$2:$B$11,2,FALSE)</f>
        <v>0.85</v>
      </c>
      <c r="M124" s="3">
        <f t="shared" si="71"/>
        <v>0.12664411020783728</v>
      </c>
      <c r="N124" s="2" t="str">
        <f t="shared" si="50"/>
        <v>0.15</v>
      </c>
      <c r="O124" s="2">
        <f t="shared" si="98"/>
        <v>10.16467482167117</v>
      </c>
      <c r="P124" s="2">
        <f t="shared" si="51"/>
        <v>1947805.812702738</v>
      </c>
      <c r="Q124" s="2">
        <f t="shared" si="52"/>
        <v>11.926712320225871</v>
      </c>
      <c r="R124" s="2">
        <f t="shared" si="53"/>
        <v>10.71</v>
      </c>
      <c r="S124" s="2">
        <f t="shared" si="54"/>
        <v>2285456.2483632825</v>
      </c>
      <c r="T124" s="2" t="str">
        <f>VLOOKUP(A124,'[4]CEA vs MERIT comp. &amp; NPA marker'!$C$2:$K$735,9,FALSE)</f>
        <v>Contracted</v>
      </c>
      <c r="U124" s="3">
        <f>VLOOKUP(B124,'[8]Import-Domestic share'!$A$208:$F$406,6,FALSE)</f>
        <v>1.7995376705771868E-2</v>
      </c>
      <c r="V124" s="3">
        <f t="shared" si="55"/>
        <v>35051.499349277896</v>
      </c>
      <c r="W124" s="2">
        <f t="shared" si="56"/>
        <v>2721.1392149113581</v>
      </c>
      <c r="X124" s="2">
        <f t="shared" si="57"/>
        <v>2763.0041103956951</v>
      </c>
      <c r="Y124" s="6">
        <f t="shared" si="58"/>
        <v>0.3160441021493326</v>
      </c>
      <c r="Z124" s="2">
        <f t="shared" si="59"/>
        <v>2398440.0502691874</v>
      </c>
      <c r="AA124" s="2">
        <f t="shared" si="60"/>
        <v>2072491.3843168961</v>
      </c>
      <c r="AB124" s="2" t="s">
        <v>598</v>
      </c>
      <c r="AC124" s="12">
        <f>VLOOKUP(B124,[9]Sheet1!$A$2:$B$137,2,FALSE)</f>
        <v>4435.1082949840093</v>
      </c>
      <c r="AD124" s="12">
        <f t="shared" si="61"/>
        <v>2328431.8548666048</v>
      </c>
      <c r="AE124" s="2"/>
      <c r="AF124" s="7">
        <f>VLOOKUP($B124,'[9]Subsidiary wise dispatch'!$A$3:$R$138,11,FALSE)*$H124*$O124*365</f>
        <v>1132816.6844426331</v>
      </c>
      <c r="AG124" s="7">
        <f>VLOOKUP($B124,'[9]Subsidiary wise dispatch'!$A$3:$R$138,12,FALSE)*$H124*$O124*365</f>
        <v>810955.64696280588</v>
      </c>
      <c r="AH124" s="7">
        <f>VLOOKUP($B124,'[9]Subsidiary wise dispatch'!$A$3:$R$138,13,FALSE)*$H124*$O124*365</f>
        <v>4033.481297299063</v>
      </c>
      <c r="AI124" s="7">
        <f>VLOOKUP($B124,'[9]Subsidiary wise dispatch'!$A$3:$R$138,14,FALSE)*$H124*$O124*365</f>
        <v>0</v>
      </c>
      <c r="AJ124" s="7">
        <f>VLOOKUP($B124,'[9]Subsidiary wise dispatch'!$A$3:$R$138,15,FALSE)*$H124*$O124*365</f>
        <v>0</v>
      </c>
      <c r="AK124" s="7">
        <f>VLOOKUP($B124,'[9]Subsidiary wise dispatch'!$A$3:$R$138,16,FALSE)*$H124*$O124*365</f>
        <v>0</v>
      </c>
      <c r="AL124" s="7">
        <f>VLOOKUP($B124,'[9]Subsidiary wise dispatch'!$A$3:$R$138,17,FALSE)*$H124*$O124*365</f>
        <v>0</v>
      </c>
      <c r="AM124" s="7">
        <f>VLOOKUP($B124,'[9]Subsidiary wise dispatch'!$A$3:$R$138,18,FALSE)*$H124*$O124*365</f>
        <v>0</v>
      </c>
      <c r="AN124" s="15">
        <f t="shared" si="62"/>
        <v>1947805.812702738</v>
      </c>
      <c r="AO124" s="6">
        <v>5.5111041599405448E-2</v>
      </c>
      <c r="AP124" s="11">
        <f t="shared" si="63"/>
        <v>0.50229769632223631</v>
      </c>
      <c r="AQ124" s="11">
        <f t="shared" si="64"/>
        <v>0.59023925552963241</v>
      </c>
      <c r="AR124" s="3">
        <f>VLOOKUP(A124,[10]Sheet1!$A$2:$L$542,12,FALSE)</f>
        <v>2.4571169686985201</v>
      </c>
      <c r="AS124" s="3">
        <f t="shared" si="72"/>
        <v>1.791001058659083</v>
      </c>
      <c r="AT124" s="3">
        <f t="shared" si="73"/>
        <v>1.7867099068719385</v>
      </c>
      <c r="AU124" s="3">
        <f t="shared" si="65"/>
        <v>4.2911517871444538E-3</v>
      </c>
      <c r="AV124" s="88">
        <f t="shared" si="74"/>
        <v>9.2807336842507318E-2</v>
      </c>
      <c r="AW124" s="32">
        <f t="shared" si="75"/>
        <v>4.9422743011461233E-2</v>
      </c>
      <c r="AX124" s="12">
        <f t="shared" si="66"/>
        <v>595.81478250988073</v>
      </c>
      <c r="AY124" s="12">
        <f t="shared" si="67"/>
        <v>698.451703244844</v>
      </c>
      <c r="AZ124" s="3">
        <f>VLOOKUP(A124,[5]Analysis!$A$3:$BJ$543,62,FALSE)</f>
        <v>0.503506630041204</v>
      </c>
      <c r="BA124" s="2"/>
      <c r="BB124" s="2"/>
      <c r="BC124" s="2" t="str">
        <f>VLOOKUP(A124,'[6]FGD status - Jun 2020'!$I$2:$M$449,5,FALSE)</f>
        <v>Bid Awarded</v>
      </c>
      <c r="BD124" s="2"/>
      <c r="BE124" s="2"/>
      <c r="BF124" s="2">
        <f t="shared" si="68"/>
        <v>649.40235166138052</v>
      </c>
      <c r="BG124" s="2">
        <f t="shared" si="69"/>
        <v>751.53634931854128</v>
      </c>
      <c r="BH124" s="2"/>
      <c r="BI124" s="2"/>
      <c r="BK124">
        <f t="shared" si="70"/>
        <v>379.76184214088539</v>
      </c>
      <c r="BL124">
        <f>VLOOKUP(A124,'[11]Daily coal vs energy req.2'!$C$2:$P$599,14,FALSE)</f>
        <v>0.57999999999999996</v>
      </c>
      <c r="BM124">
        <f>VLOOKUP(A124,'[11]Daily coal vs energy req.2'!$C$2:$R$599,16,FALSE)</f>
        <v>0.61</v>
      </c>
      <c r="BN124">
        <f t="shared" si="100"/>
        <v>304.5</v>
      </c>
      <c r="BO124">
        <f t="shared" si="101"/>
        <v>320.25</v>
      </c>
      <c r="BP124" s="2" t="str">
        <f>VLOOKUP(A124,'[7]Table 2'!$J$2:$N$449,5,FALSE)</f>
        <v>Bid Awarded</v>
      </c>
      <c r="BR124">
        <f t="shared" si="76"/>
        <v>462.80938394949771</v>
      </c>
      <c r="BS124">
        <f t="shared" si="77"/>
        <v>535.59719017637963</v>
      </c>
      <c r="BT124">
        <f>(X124*I124*365*[5]Analysis!BK124)/10^4</f>
        <v>365.28640964316435</v>
      </c>
      <c r="BU124">
        <f>(W124*R124*365*[5]Analysis!BK124)/10^4</f>
        <v>422.73640379739135</v>
      </c>
      <c r="BV124">
        <f>(X124*I124*365*[5]Analysis!BL124)/10^4</f>
        <v>97.522974306333339</v>
      </c>
      <c r="BW124">
        <f>(W124*R124*365*[5]Analysis!BL124)/10^4</f>
        <v>112.86078637898821</v>
      </c>
      <c r="BX124">
        <f t="shared" si="78"/>
        <v>2581237.4857845004</v>
      </c>
      <c r="BY124">
        <f t="shared" si="79"/>
        <v>2987198.6016493165</v>
      </c>
      <c r="BZ124">
        <f t="shared" si="80"/>
        <v>8677006.2243693955</v>
      </c>
      <c r="CA124">
        <f t="shared" si="81"/>
        <v>10196164.011097124</v>
      </c>
      <c r="CB124">
        <f t="shared" si="82"/>
        <v>-710995.005105583</v>
      </c>
      <c r="CC124">
        <f t="shared" si="83"/>
        <v>-981748.75049999997</v>
      </c>
      <c r="CD124">
        <f t="shared" si="84"/>
        <v>-3363575.5482186666</v>
      </c>
      <c r="CE124">
        <f t="shared" si="85"/>
        <v>-3952465.5240000002</v>
      </c>
      <c r="CF124">
        <f t="shared" si="86"/>
        <v>5940175.4919203557</v>
      </c>
      <c r="CG124">
        <f t="shared" si="87"/>
        <v>6980172.8850000007</v>
      </c>
      <c r="CH124">
        <f t="shared" si="88"/>
        <v>585346.80591367604</v>
      </c>
      <c r="CI124">
        <f t="shared" si="89"/>
        <v>687828.48394250451</v>
      </c>
      <c r="CJ124">
        <f t="shared" si="90"/>
        <v>-2880091.025085947</v>
      </c>
      <c r="CK124">
        <f t="shared" si="91"/>
        <v>-3384333.2250000006</v>
      </c>
      <c r="CL124">
        <f t="shared" si="92"/>
        <v>1420017.6886016002</v>
      </c>
      <c r="CM124">
        <f t="shared" si="93"/>
        <v>1668632.345909514</v>
      </c>
    </row>
    <row r="125" spans="1:91" x14ac:dyDescent="0.2">
      <c r="A125" s="2" t="s">
        <v>137</v>
      </c>
      <c r="B125" s="2" t="str">
        <f t="shared" si="99"/>
        <v>MARWA TPS</v>
      </c>
      <c r="C125" s="2" t="str">
        <f>VLOOKUP($A125,'[1]daily coal, energy reqd'!$C$2:$T$599,17,FALSE)</f>
        <v>Chhatisgarh</v>
      </c>
      <c r="D125" s="2" t="str">
        <f>VLOOKUP(C125,'Target PLF'!$I$2:$J$19,2,FALSE)</f>
        <v>WR</v>
      </c>
      <c r="E125" s="2" t="str">
        <f>VLOOKUP(A125,[2]Ownership!$C$2:$D$666,2,FALSE)</f>
        <v>STATE SECTOR</v>
      </c>
      <c r="F125" s="2" t="s">
        <v>543</v>
      </c>
      <c r="G125" s="12">
        <v>6.1765913757700197</v>
      </c>
      <c r="H125" s="2">
        <v>500</v>
      </c>
      <c r="I125" s="2">
        <f>VLOOKUP(A125,'[3]Calculated coal req (reg.)'!$A$2:$I$599,9,FALSE)</f>
        <v>7.7785229502314301</v>
      </c>
      <c r="J125" s="2"/>
      <c r="K125" s="11">
        <v>0.64821024585261922</v>
      </c>
      <c r="L125" s="3">
        <f>VLOOKUP(F125,'Target PLF'!$A$2:$B$11,2,FALSE)</f>
        <v>0.85</v>
      </c>
      <c r="M125" s="3">
        <f t="shared" si="71"/>
        <v>0.20178975414738076</v>
      </c>
      <c r="N125" s="2" t="str">
        <f t="shared" si="50"/>
        <v>0.15</v>
      </c>
      <c r="O125" s="2">
        <f t="shared" si="98"/>
        <v>10.060009595448763</v>
      </c>
      <c r="P125" s="2">
        <f t="shared" si="51"/>
        <v>1835951.7511693991</v>
      </c>
      <c r="Q125" s="2">
        <f t="shared" si="52"/>
        <v>12.867570981827516</v>
      </c>
      <c r="R125" s="2">
        <f t="shared" si="53"/>
        <v>10.199999999999999</v>
      </c>
      <c r="S125" s="2">
        <f t="shared" si="54"/>
        <v>2348331.7041835221</v>
      </c>
      <c r="T125" s="2" t="str">
        <f>VLOOKUP(A125,'[4]CEA vs MERIT comp. &amp; NPA marker'!$C$2:$K$735,9,FALSE)</f>
        <v>Contracted</v>
      </c>
      <c r="U125" s="3">
        <f>VLOOKUP(B125,'[8]Import-Domestic share'!$A$208:$F$406,6,FALSE)</f>
        <v>0</v>
      </c>
      <c r="V125" s="3">
        <f t="shared" si="55"/>
        <v>0</v>
      </c>
      <c r="W125" s="2">
        <f t="shared" si="56"/>
        <v>2721.1478049404514</v>
      </c>
      <c r="X125" s="2">
        <f t="shared" si="57"/>
        <v>2787.8536861166563</v>
      </c>
      <c r="Y125" s="6">
        <f t="shared" si="58"/>
        <v>0.3160431044717984</v>
      </c>
      <c r="Z125" s="2">
        <f t="shared" si="59"/>
        <v>2410935.206283953</v>
      </c>
      <c r="AA125" s="2">
        <f t="shared" si="60"/>
        <v>1883650.6058638908</v>
      </c>
      <c r="AB125" s="2" t="s">
        <v>598</v>
      </c>
      <c r="AC125" s="12">
        <f>VLOOKUP(B125,[9]Sheet1!$A$2:$B$137,2,FALSE)</f>
        <v>4202.034650864076</v>
      </c>
      <c r="AD125" s="12">
        <f t="shared" si="61"/>
        <v>2101017.3254320379</v>
      </c>
      <c r="AE125" s="2"/>
      <c r="AF125" s="7">
        <f>VLOOKUP($B125,'[9]Subsidiary wise dispatch'!$A$3:$R$138,11,FALSE)*$H125*$O125*365</f>
        <v>0</v>
      </c>
      <c r="AG125" s="7">
        <f>VLOOKUP($B125,'[9]Subsidiary wise dispatch'!$A$3:$R$138,12,FALSE)*$H125*$O125*365</f>
        <v>0</v>
      </c>
      <c r="AH125" s="7">
        <f>VLOOKUP($B125,'[9]Subsidiary wise dispatch'!$A$3:$R$138,13,FALSE)*$H125*$O125*365</f>
        <v>0</v>
      </c>
      <c r="AI125" s="7">
        <f>VLOOKUP($B125,'[9]Subsidiary wise dispatch'!$A$3:$R$138,14,FALSE)*$H125*$O125*365</f>
        <v>0</v>
      </c>
      <c r="AJ125" s="7">
        <f>VLOOKUP($B125,'[9]Subsidiary wise dispatch'!$A$3:$R$138,15,FALSE)*$H125*$O125*365</f>
        <v>0</v>
      </c>
      <c r="AK125" s="7">
        <f>VLOOKUP($B125,'[9]Subsidiary wise dispatch'!$A$3:$R$138,16,FALSE)*$H125*$O125*365</f>
        <v>0</v>
      </c>
      <c r="AL125" s="7">
        <f>VLOOKUP($B125,'[9]Subsidiary wise dispatch'!$A$3:$R$138,17,FALSE)*$H125*$O125*365</f>
        <v>1835951.7511693991</v>
      </c>
      <c r="AM125" s="7">
        <f>VLOOKUP($B125,'[9]Subsidiary wise dispatch'!$A$3:$R$138,18,FALSE)*$H125*$O125*365</f>
        <v>0</v>
      </c>
      <c r="AN125" s="15">
        <f t="shared" si="62"/>
        <v>1835951.7511693991</v>
      </c>
      <c r="AO125" s="6">
        <v>6.1306523812621402E-2</v>
      </c>
      <c r="AP125" s="11">
        <f t="shared" si="63"/>
        <v>0.47687420247538526</v>
      </c>
      <c r="AQ125" s="11">
        <f t="shared" si="64"/>
        <v>0.62532654288873823</v>
      </c>
      <c r="AR125" s="3">
        <f>VLOOKUP(A125,[10]Sheet1!$A$2:$L$542,12,FALSE)</f>
        <v>1.29468430034129</v>
      </c>
      <c r="AS125" s="3">
        <f t="shared" si="72"/>
        <v>1.7536104800674983</v>
      </c>
      <c r="AT125" s="3">
        <f t="shared" si="73"/>
        <v>1.7467731272469371</v>
      </c>
      <c r="AU125" s="3">
        <f t="shared" si="65"/>
        <v>6.8373528205611933E-3</v>
      </c>
      <c r="AV125" s="88">
        <f t="shared" si="74"/>
        <v>0.14787556763428358</v>
      </c>
      <c r="AW125" s="32">
        <f t="shared" si="75"/>
        <v>8.0427333445391866E-2</v>
      </c>
      <c r="AX125" s="12">
        <f t="shared" si="66"/>
        <v>497.87822682145577</v>
      </c>
      <c r="AY125" s="12">
        <f t="shared" si="67"/>
        <v>650.3236352740347</v>
      </c>
      <c r="AZ125" s="3">
        <f>VLOOKUP(A125,[5]Analysis!$A$3:$BJ$543,62,FALSE)</f>
        <v>0.47494091929718268</v>
      </c>
      <c r="BA125" s="2"/>
      <c r="BB125" s="2"/>
      <c r="BC125" s="2" t="str">
        <f>VLOOKUP(A125,'[6]FGD status - Jun 2020'!$I$2:$M$449,5,FALSE)</f>
        <v>NIT issued</v>
      </c>
      <c r="BD125" s="2"/>
      <c r="BE125" s="2"/>
      <c r="BF125" s="2">
        <f t="shared" si="68"/>
        <v>582.98986251487418</v>
      </c>
      <c r="BG125" s="2">
        <f t="shared" si="69"/>
        <v>746.18444634488344</v>
      </c>
      <c r="BH125" s="2"/>
      <c r="BI125" s="2"/>
      <c r="BK125">
        <f t="shared" si="70"/>
        <v>324.1051229263096</v>
      </c>
      <c r="BL125">
        <f>VLOOKUP(A125,'[11]Daily coal vs energy req.2'!$C$2:$P$599,14,FALSE)</f>
        <v>0.53</v>
      </c>
      <c r="BM125">
        <f>VLOOKUP(A125,'[11]Daily coal vs energy req.2'!$C$2:$R$599,16,FALSE)</f>
        <v>0.73</v>
      </c>
      <c r="BN125">
        <f t="shared" si="100"/>
        <v>265</v>
      </c>
      <c r="BO125">
        <f t="shared" si="101"/>
        <v>365</v>
      </c>
      <c r="BP125" s="2" t="str">
        <f>VLOOKUP(A125,'[7]Table 2'!$J$2:$N$449,5,FALSE)</f>
        <v>NIT issued</v>
      </c>
      <c r="BR125">
        <f t="shared" si="76"/>
        <v>375.92357965635944</v>
      </c>
      <c r="BS125">
        <f t="shared" si="77"/>
        <v>481.15472702016405</v>
      </c>
      <c r="BT125">
        <f>(X125*I125*365*[5]Analysis!BK125)/10^4</f>
        <v>302.90198026943983</v>
      </c>
      <c r="BU125">
        <f>(W125*R125*365*[5]Analysis!BK125)/10^4</f>
        <v>387.69241281336031</v>
      </c>
      <c r="BV125">
        <f>(X125*I125*365*[5]Analysis!BL125)/10^4</f>
        <v>73.02159938691959</v>
      </c>
      <c r="BW125">
        <f>(W125*R125*365*[5]Analysis!BL125)/10^4</f>
        <v>93.462314206803711</v>
      </c>
      <c r="BX125">
        <f t="shared" si="78"/>
        <v>2222751.8476329343</v>
      </c>
      <c r="BY125">
        <f t="shared" si="79"/>
        <v>2844960.0300652417</v>
      </c>
      <c r="BZ125">
        <f t="shared" si="80"/>
        <v>6985200.4650210058</v>
      </c>
      <c r="CA125">
        <f t="shared" si="81"/>
        <v>9159713.8941519</v>
      </c>
      <c r="CB125">
        <f t="shared" si="82"/>
        <v>-543757.16101648507</v>
      </c>
      <c r="CC125">
        <f t="shared" si="83"/>
        <v>-934998.80999999994</v>
      </c>
      <c r="CD125">
        <f t="shared" si="84"/>
        <v>0</v>
      </c>
      <c r="CE125">
        <f t="shared" si="85"/>
        <v>0</v>
      </c>
      <c r="CF125">
        <f t="shared" si="86"/>
        <v>5069601.7724141581</v>
      </c>
      <c r="CG125">
        <f t="shared" si="87"/>
        <v>6647783.7000000002</v>
      </c>
      <c r="CH125">
        <f t="shared" si="88"/>
        <v>355747.40891261963</v>
      </c>
      <c r="CI125">
        <f t="shared" si="89"/>
        <v>466492.62258726888</v>
      </c>
      <c r="CJ125">
        <f t="shared" si="90"/>
        <v>-2340946.4818721493</v>
      </c>
      <c r="CK125">
        <f t="shared" si="91"/>
        <v>-3069690.0000000005</v>
      </c>
      <c r="CL125">
        <f t="shared" si="92"/>
        <v>1348144.3528628231</v>
      </c>
      <c r="CM125">
        <f t="shared" si="93"/>
        <v>1767825.65111435</v>
      </c>
    </row>
    <row r="126" spans="1:91" x14ac:dyDescent="0.2">
      <c r="A126" s="2" t="s">
        <v>138</v>
      </c>
      <c r="B126" s="2" t="str">
        <f t="shared" si="99"/>
        <v>VALLUR TPP</v>
      </c>
      <c r="C126" s="2" t="str">
        <f>VLOOKUP($A126,'[1]daily coal, energy reqd'!$C$2:$T$599,17,FALSE)</f>
        <v>Tamil Nadu</v>
      </c>
      <c r="D126" s="2" t="str">
        <f>VLOOKUP(C126,'Target PLF'!$I$2:$J$19,2,FALSE)</f>
        <v>SR</v>
      </c>
      <c r="E126" s="2" t="str">
        <f>VLOOKUP(A126,[2]Ownership!$C$2:$D$666,2,FALSE)</f>
        <v>CENTRAL SECTOR</v>
      </c>
      <c r="F126" s="2" t="s">
        <v>543</v>
      </c>
      <c r="G126" s="12">
        <v>6.2532511978097096</v>
      </c>
      <c r="H126" s="2">
        <v>500</v>
      </c>
      <c r="I126" s="2">
        <f>VLOOKUP(A126,'[3]Calculated coal req (reg.)'!$A$2:$I$599,9,FALSE)</f>
        <v>5.1219638935260399</v>
      </c>
      <c r="J126" s="2"/>
      <c r="K126" s="11">
        <v>0.42683032446050334</v>
      </c>
      <c r="L126" s="3">
        <f>VLOOKUP(F126,'Target PLF'!$A$2:$B$11,2,FALSE)</f>
        <v>0.85</v>
      </c>
      <c r="M126" s="3">
        <f t="shared" si="71"/>
        <v>0.42316967553949664</v>
      </c>
      <c r="N126" s="2" t="str">
        <f t="shared" si="50"/>
        <v>0.15</v>
      </c>
      <c r="O126" s="2">
        <f t="shared" si="98"/>
        <v>6.9823125350069439</v>
      </c>
      <c r="P126" s="2">
        <f t="shared" si="51"/>
        <v>1274272.0376387674</v>
      </c>
      <c r="Q126" s="2">
        <f t="shared" si="52"/>
        <v>12.869999181690623</v>
      </c>
      <c r="R126" s="2">
        <f t="shared" si="53"/>
        <v>10.199999999999999</v>
      </c>
      <c r="S126" s="2">
        <f t="shared" si="54"/>
        <v>2348774.8506585388</v>
      </c>
      <c r="T126" s="2" t="str">
        <f>VLOOKUP(A126,'[4]CEA vs MERIT comp. &amp; NPA marker'!$C$2:$K$735,9,FALSE)</f>
        <v>Contracted</v>
      </c>
      <c r="U126" s="3">
        <f>VLOOKUP(B126,'[8]Import-Domestic share'!$A$208:$F$406,6,FALSE)</f>
        <v>0</v>
      </c>
      <c r="V126" s="3">
        <f t="shared" si="55"/>
        <v>0</v>
      </c>
      <c r="W126" s="2">
        <f t="shared" si="56"/>
        <v>2721.7335271471593</v>
      </c>
      <c r="X126" s="2">
        <f t="shared" si="57"/>
        <v>2861.6212345938616</v>
      </c>
      <c r="Y126" s="6">
        <f t="shared" si="58"/>
        <v>0.31597509139751334</v>
      </c>
      <c r="Z126" s="2">
        <f t="shared" si="59"/>
        <v>2410384.4211993683</v>
      </c>
      <c r="AA126" s="2">
        <f t="shared" si="60"/>
        <v>1272592.0310226907</v>
      </c>
      <c r="AB126" s="2" t="s">
        <v>598</v>
      </c>
      <c r="AC126" s="12">
        <f>VLOOKUP(B126,[9]Sheet1!$A$2:$B$137,2,FALSE)</f>
        <v>4203.8995242621295</v>
      </c>
      <c r="AD126" s="12">
        <f t="shared" si="61"/>
        <v>2101949.7621310647</v>
      </c>
      <c r="AE126" s="2"/>
      <c r="AF126" s="7">
        <f>VLOOKUP($B126,'[9]Subsidiary wise dispatch'!$A$3:$R$138,11,FALSE)*$H126*$O126*365</f>
        <v>0</v>
      </c>
      <c r="AG126" s="7">
        <f>VLOOKUP($B126,'[9]Subsidiary wise dispatch'!$A$3:$R$138,12,FALSE)*$H126*$O126*365</f>
        <v>49127.651067981824</v>
      </c>
      <c r="AH126" s="7">
        <f>VLOOKUP($B126,'[9]Subsidiary wise dispatch'!$A$3:$R$138,13,FALSE)*$H126*$O126*365</f>
        <v>249403.99607504785</v>
      </c>
      <c r="AI126" s="7">
        <f>VLOOKUP($B126,'[9]Subsidiary wise dispatch'!$A$3:$R$138,14,FALSE)*$H126*$O126*365</f>
        <v>975740.39049573778</v>
      </c>
      <c r="AJ126" s="7">
        <f>VLOOKUP($B126,'[9]Subsidiary wise dispatch'!$A$3:$R$138,15,FALSE)*$H126*$O126*365</f>
        <v>0</v>
      </c>
      <c r="AK126" s="7">
        <f>VLOOKUP($B126,'[9]Subsidiary wise dispatch'!$A$3:$R$138,16,FALSE)*$H126*$O126*365</f>
        <v>0</v>
      </c>
      <c r="AL126" s="7">
        <f>VLOOKUP($B126,'[9]Subsidiary wise dispatch'!$A$3:$R$138,17,FALSE)*$H126*$O126*365</f>
        <v>0</v>
      </c>
      <c r="AM126" s="7">
        <f>VLOOKUP($B126,'[9]Subsidiary wise dispatch'!$A$3:$R$138,18,FALSE)*$H126*$O126*365</f>
        <v>0</v>
      </c>
      <c r="AN126" s="15">
        <f t="shared" si="62"/>
        <v>1274272.0376387674</v>
      </c>
      <c r="AO126" s="6">
        <v>7.9840284877193357E-2</v>
      </c>
      <c r="AP126" s="11">
        <f t="shared" si="63"/>
        <v>0.40893905638981748</v>
      </c>
      <c r="AQ126" s="11">
        <f t="shared" si="64"/>
        <v>0.81437090574737214</v>
      </c>
      <c r="AR126" s="3">
        <f>VLOOKUP(A126,[10]Sheet1!$A$2:$L$542,12,FALSE)</f>
        <v>3.3957030663158698</v>
      </c>
      <c r="AS126" s="3">
        <f t="shared" si="72"/>
        <v>3.3057611704826293</v>
      </c>
      <c r="AT126" s="3">
        <f t="shared" si="73"/>
        <v>3.2914226804693421</v>
      </c>
      <c r="AU126" s="3">
        <f t="shared" si="65"/>
        <v>1.4338490013287242E-2</v>
      </c>
      <c r="AV126" s="88">
        <f t="shared" si="74"/>
        <v>0.31010720162885391</v>
      </c>
      <c r="AW126" s="32">
        <f t="shared" si="75"/>
        <v>8.9470683561929998E-2</v>
      </c>
      <c r="AX126" s="12">
        <f t="shared" si="66"/>
        <v>618.01761148788285</v>
      </c>
      <c r="AY126" s="12">
        <f t="shared" si="67"/>
        <v>1225.3966639387359</v>
      </c>
      <c r="AZ126" s="3">
        <f>VLOOKUP(A126,[5]Analysis!$A$3:$BJ$543,62,FALSE)</f>
        <v>1.2638334327394265</v>
      </c>
      <c r="BA126" s="2"/>
      <c r="BB126" s="2"/>
      <c r="BC126" s="2" t="str">
        <f>VLOOKUP(A126,'[6]FGD status - Jun 2020'!$I$2:$M$449,5,FALSE)</f>
        <v>Bid Awarded</v>
      </c>
      <c r="BD126" s="2"/>
      <c r="BE126" s="2"/>
      <c r="BF126" s="2">
        <f t="shared" si="68"/>
        <v>393.8672336015228</v>
      </c>
      <c r="BG126" s="2">
        <f t="shared" si="69"/>
        <v>746.01397836120452</v>
      </c>
      <c r="BH126" s="2"/>
      <c r="BI126" s="2"/>
      <c r="BK126">
        <f t="shared" si="70"/>
        <v>213.41516223025167</v>
      </c>
      <c r="BL126">
        <f>VLOOKUP(A126,'[11]Daily coal vs energy req.2'!$C$2:$P$599,14,FALSE)</f>
        <v>0.71</v>
      </c>
      <c r="BM126">
        <f>VLOOKUP(A126,'[11]Daily coal vs energy req.2'!$C$2:$R$599,16,FALSE)</f>
        <v>0.72</v>
      </c>
      <c r="BN126">
        <f t="shared" si="100"/>
        <v>355</v>
      </c>
      <c r="BO126">
        <f t="shared" si="101"/>
        <v>360</v>
      </c>
      <c r="BP126" s="2" t="str">
        <f>VLOOKUP(A126,'[7]Table 2'!$J$2:$N$449,5,FALSE)</f>
        <v>Bid Awarded</v>
      </c>
      <c r="BR126">
        <f t="shared" si="76"/>
        <v>676.13180690201864</v>
      </c>
      <c r="BS126">
        <f t="shared" si="77"/>
        <v>1280.6441768492787</v>
      </c>
      <c r="BT126">
        <f>(X126*I126*365*[5]Analysis!BK126)/10^4</f>
        <v>259.6418782618664</v>
      </c>
      <c r="BU126">
        <f>(W126*R126*365*[5]Analysis!BK126)/10^4</f>
        <v>491.78112324843465</v>
      </c>
      <c r="BV126">
        <f>(X126*I126*365*[5]Analysis!BL126)/10^4</f>
        <v>416.48992864015224</v>
      </c>
      <c r="BW126">
        <f>(W126*R126*365*[5]Analysis!BL126)/10^4</f>
        <v>788.86305360084384</v>
      </c>
      <c r="BX126">
        <f t="shared" si="78"/>
        <v>1502354.8656550597</v>
      </c>
      <c r="BY126">
        <f t="shared" si="79"/>
        <v>2845572.4026323543</v>
      </c>
      <c r="BZ126">
        <f t="shared" si="80"/>
        <v>12239635.95448315</v>
      </c>
      <c r="CA126">
        <f t="shared" si="81"/>
        <v>24374300.430646606</v>
      </c>
      <c r="CB126">
        <f t="shared" si="82"/>
        <v>-235767.39224610373</v>
      </c>
      <c r="CC126">
        <f t="shared" si="83"/>
        <v>-934998.80999999994</v>
      </c>
      <c r="CD126">
        <f t="shared" si="84"/>
        <v>0</v>
      </c>
      <c r="CE126">
        <f t="shared" si="85"/>
        <v>0</v>
      </c>
      <c r="CF126">
        <f t="shared" si="86"/>
        <v>3338206.6748402887</v>
      </c>
      <c r="CG126">
        <f t="shared" si="87"/>
        <v>6647783.7000000002</v>
      </c>
      <c r="CH126">
        <f t="shared" si="88"/>
        <v>237158.18887807598</v>
      </c>
      <c r="CI126">
        <f t="shared" si="89"/>
        <v>472282.42464065627</v>
      </c>
      <c r="CJ126">
        <f t="shared" si="90"/>
        <v>-1541455.0337566619</v>
      </c>
      <c r="CK126">
        <f t="shared" si="91"/>
        <v>-3069690.0000000005</v>
      </c>
      <c r="CL126">
        <f t="shared" si="92"/>
        <v>1156088.7057324951</v>
      </c>
      <c r="CM126">
        <f t="shared" si="93"/>
        <v>2302262.3828676739</v>
      </c>
    </row>
    <row r="127" spans="1:91" x14ac:dyDescent="0.2">
      <c r="A127" s="2" t="s">
        <v>139</v>
      </c>
      <c r="B127" s="2" t="str">
        <f t="shared" si="99"/>
        <v>RIHAND STPS</v>
      </c>
      <c r="C127" s="2" t="str">
        <f>VLOOKUP($A127,'[1]daily coal, energy reqd'!$C$2:$T$599,17,FALSE)</f>
        <v>Uttar Pradesh</v>
      </c>
      <c r="D127" s="2" t="str">
        <f>VLOOKUP(C127,'Target PLF'!$I$2:$J$19,2,FALSE)</f>
        <v>NR</v>
      </c>
      <c r="E127" s="2" t="str">
        <f>VLOOKUP(A127,[2]Ownership!$C$2:$D$666,2,FALSE)</f>
        <v>CENTRAL SECTOR</v>
      </c>
      <c r="F127" s="2" t="s">
        <v>543</v>
      </c>
      <c r="G127" s="12">
        <v>6.5900068446269602</v>
      </c>
      <c r="H127" s="2">
        <v>500</v>
      </c>
      <c r="I127" s="2">
        <f>VLOOKUP(A127,'[3]Calculated coal req (reg.)'!$A$2:$I$599,9,FALSE)</f>
        <v>11.457591315747599</v>
      </c>
      <c r="J127" s="2"/>
      <c r="K127" s="11">
        <v>0.95479927631229988</v>
      </c>
      <c r="L127" s="3">
        <f>VLOOKUP(F127,'Target PLF'!$A$2:$B$11,2,FALSE)</f>
        <v>0.85</v>
      </c>
      <c r="M127" s="3">
        <f t="shared" si="71"/>
        <v>-0.1047992763122999</v>
      </c>
      <c r="N127" s="2" t="str">
        <f t="shared" si="50"/>
        <v>0.15</v>
      </c>
      <c r="O127" s="2">
        <f t="shared" si="98"/>
        <v>14.338769687919482</v>
      </c>
      <c r="P127" s="2">
        <f t="shared" si="51"/>
        <v>2616825.4680453055</v>
      </c>
      <c r="Q127" s="2">
        <f t="shared" si="52"/>
        <v>12.88066591680356</v>
      </c>
      <c r="R127" s="2">
        <f t="shared" si="53"/>
        <v>10.199999999999999</v>
      </c>
      <c r="S127" s="2">
        <f t="shared" si="54"/>
        <v>2350721.5298166499</v>
      </c>
      <c r="T127" s="2" t="str">
        <f>VLOOKUP(A127,'[4]CEA vs MERIT comp. &amp; NPA marker'!$C$2:$K$735,9,FALSE)</f>
        <v>Contracted</v>
      </c>
      <c r="U127" s="3">
        <f>VLOOKUP(B127,'[8]Import-Domestic share'!$A$208:$F$406,6,FALSE)</f>
        <v>0</v>
      </c>
      <c r="V127" s="3">
        <f t="shared" si="55"/>
        <v>0</v>
      </c>
      <c r="W127" s="2">
        <f t="shared" si="56"/>
        <v>2724.3065211266257</v>
      </c>
      <c r="X127" s="2">
        <f t="shared" si="57"/>
        <v>2689.6628985969369</v>
      </c>
      <c r="Y127" s="6">
        <f t="shared" si="58"/>
        <v>0.31567666609128497</v>
      </c>
      <c r="Z127" s="2">
        <f t="shared" si="59"/>
        <v>2278216.3334095469</v>
      </c>
      <c r="AA127" s="2">
        <f t="shared" si="60"/>
        <v>2526562.226854349</v>
      </c>
      <c r="AB127" s="2" t="s">
        <v>598</v>
      </c>
      <c r="AC127" s="12">
        <f>VLOOKUP(B127,[9]Sheet1!$A$2:$B$137,2,FALSE)</f>
        <v>4451.988614696289</v>
      </c>
      <c r="AD127" s="12">
        <f t="shared" si="61"/>
        <v>2225994.3073481447</v>
      </c>
      <c r="AE127" s="2" t="s">
        <v>589</v>
      </c>
      <c r="AF127" s="7">
        <f>VLOOKUP($B127,'[9]Subsidiary wise dispatch'!$A$3:$R$138,11,FALSE)*$H127*$O127*365</f>
        <v>0</v>
      </c>
      <c r="AG127" s="7">
        <f>VLOOKUP($B127,'[9]Subsidiary wise dispatch'!$A$3:$R$138,12,FALSE)*$H127*$O127*365</f>
        <v>0</v>
      </c>
      <c r="AH127" s="7">
        <f>VLOOKUP($B127,'[9]Subsidiary wise dispatch'!$A$3:$R$138,13,FALSE)*$H127*$O127*365</f>
        <v>0</v>
      </c>
      <c r="AI127" s="7">
        <f>VLOOKUP($B127,'[9]Subsidiary wise dispatch'!$A$3:$R$138,14,FALSE)*$H127*$O127*365</f>
        <v>0</v>
      </c>
      <c r="AJ127" s="7">
        <f>VLOOKUP($B127,'[9]Subsidiary wise dispatch'!$A$3:$R$138,15,FALSE)*$H127*$O127*365</f>
        <v>2616825.4680453055</v>
      </c>
      <c r="AK127" s="7">
        <f>VLOOKUP($B127,'[9]Subsidiary wise dispatch'!$A$3:$R$138,16,FALSE)*$H127*$O127*365</f>
        <v>0</v>
      </c>
      <c r="AL127" s="7">
        <f>VLOOKUP($B127,'[9]Subsidiary wise dispatch'!$A$3:$R$138,17,FALSE)*$H127*$O127*365</f>
        <v>0</v>
      </c>
      <c r="AM127" s="7">
        <f>VLOOKUP($B127,'[9]Subsidiary wise dispatch'!$A$3:$R$138,18,FALSE)*$H127*$O127*365</f>
        <v>0</v>
      </c>
      <c r="AN127" s="15">
        <f t="shared" si="62"/>
        <v>2616825.4680453055</v>
      </c>
      <c r="AO127" s="6">
        <v>6.6356788102148762E-2</v>
      </c>
      <c r="AP127" s="11">
        <f t="shared" si="63"/>
        <v>0.76028895910008332</v>
      </c>
      <c r="AQ127" s="11">
        <f t="shared" si="64"/>
        <v>0.67683923864191731</v>
      </c>
      <c r="AR127" s="3">
        <f>VLOOKUP(A127,[10]Sheet1!$A$2:$L$542,12,FALSE)</f>
        <v>1.3694070648985099</v>
      </c>
      <c r="AS127" s="3">
        <f t="shared" si="72"/>
        <v>1.7060195291478091</v>
      </c>
      <c r="AT127" s="3">
        <f t="shared" si="73"/>
        <v>1.709570500457102</v>
      </c>
      <c r="AU127" s="3">
        <f t="shared" si="65"/>
        <v>-3.5509713092929385E-3</v>
      </c>
      <c r="AV127" s="88">
        <f t="shared" si="74"/>
        <v>-7.6799005667179621E-2</v>
      </c>
      <c r="AW127" s="32">
        <f t="shared" si="75"/>
        <v>4.2935050335839671E-2</v>
      </c>
      <c r="AX127" s="12">
        <f t="shared" si="66"/>
        <v>713.46092077058074</v>
      </c>
      <c r="AY127" s="12">
        <f t="shared" si="67"/>
        <v>636.47309732017902</v>
      </c>
      <c r="AZ127" s="3">
        <f>VLOOKUP(A127,[5]Analysis!$A$3:$BJ$543,62,FALSE)</f>
        <v>0.44592395047407901</v>
      </c>
      <c r="BA127" s="2"/>
      <c r="BB127" s="2"/>
      <c r="BC127" s="2" t="str">
        <f>VLOOKUP(A127,'[6]FGD status - Jun 2020'!$I$2:$M$449,5,FALSE)</f>
        <v>Bid Awarded</v>
      </c>
      <c r="BD127" s="2"/>
      <c r="BE127" s="2"/>
      <c r="BF127" s="2">
        <f t="shared" si="68"/>
        <v>781.97100921142101</v>
      </c>
      <c r="BG127" s="2">
        <f t="shared" si="69"/>
        <v>705.10795519025476</v>
      </c>
      <c r="BH127" s="2"/>
      <c r="BI127" s="2"/>
      <c r="BK127">
        <f t="shared" si="70"/>
        <v>477.39963815614993</v>
      </c>
      <c r="BL127">
        <f>VLOOKUP(A127,'[11]Daily coal vs energy req.2'!$C$2:$P$599,14,FALSE)</f>
        <v>0.92</v>
      </c>
      <c r="BM127">
        <f>VLOOKUP(A127,'[11]Daily coal vs energy req.2'!$C$2:$R$599,16,FALSE)</f>
        <v>0.83</v>
      </c>
      <c r="BN127">
        <f t="shared" si="100"/>
        <v>460</v>
      </c>
      <c r="BO127">
        <f t="shared" si="101"/>
        <v>415</v>
      </c>
      <c r="BP127" s="2" t="str">
        <f>VLOOKUP(A127,'[7]Table 2'!$J$2:$N$449,5,FALSE)</f>
        <v>Bid Awarded</v>
      </c>
      <c r="BR127">
        <f t="shared" si="76"/>
        <v>501.58534933765054</v>
      </c>
      <c r="BS127">
        <f t="shared" si="77"/>
        <v>452.28252180540665</v>
      </c>
      <c r="BT127">
        <f>(X127*I127*365*[5]Analysis!BK127)/10^4</f>
        <v>427.9736075319413</v>
      </c>
      <c r="BU127">
        <f>(W127*R127*365*[5]Analysis!BK127)/10^4</f>
        <v>385.90637213847788</v>
      </c>
      <c r="BV127">
        <f>(X127*I127*365*[5]Analysis!BL127)/10^4</f>
        <v>73.611741805709272</v>
      </c>
      <c r="BW127">
        <f>(W127*R127*365*[5]Analysis!BL127)/10^4</f>
        <v>66.376149666928811</v>
      </c>
      <c r="BX127">
        <f t="shared" si="78"/>
        <v>3158748.4725984097</v>
      </c>
      <c r="BY127">
        <f t="shared" si="79"/>
        <v>2848262.4678378869</v>
      </c>
      <c r="BZ127">
        <f t="shared" si="80"/>
        <v>9660425.9160936289</v>
      </c>
      <c r="CA127">
        <f t="shared" si="81"/>
        <v>8600092.4303107392</v>
      </c>
      <c r="CB127">
        <f t="shared" si="82"/>
        <v>-1179770.0559444935</v>
      </c>
      <c r="CC127">
        <f t="shared" si="83"/>
        <v>-934998.80999999994</v>
      </c>
      <c r="CD127">
        <f t="shared" si="84"/>
        <v>0</v>
      </c>
      <c r="CE127">
        <f t="shared" si="85"/>
        <v>0</v>
      </c>
      <c r="CF127">
        <f t="shared" si="86"/>
        <v>7467410.6656949464</v>
      </c>
      <c r="CG127">
        <f t="shared" si="87"/>
        <v>6647783.7000000002</v>
      </c>
      <c r="CH127">
        <f t="shared" si="88"/>
        <v>559081.25365686335</v>
      </c>
      <c r="CI127">
        <f t="shared" si="89"/>
        <v>497716.19794661133</v>
      </c>
      <c r="CJ127">
        <f t="shared" si="90"/>
        <v>-3448162.1064742403</v>
      </c>
      <c r="CK127">
        <f t="shared" si="91"/>
        <v>-3069690.0000000005</v>
      </c>
      <c r="CL127">
        <f t="shared" si="92"/>
        <v>2149370.340090136</v>
      </c>
      <c r="CM127">
        <f t="shared" si="93"/>
        <v>1913454.3085672006</v>
      </c>
    </row>
    <row r="128" spans="1:91" x14ac:dyDescent="0.2">
      <c r="A128" s="2" t="s">
        <v>141</v>
      </c>
      <c r="B128" s="2" t="str">
        <f t="shared" si="99"/>
        <v>KORBA-WEST TPS</v>
      </c>
      <c r="C128" s="2" t="str">
        <f>VLOOKUP($A128,'[1]daily coal, energy reqd'!$C$2:$T$599,17,FALSE)</f>
        <v>Chhatisgarh</v>
      </c>
      <c r="D128" s="2" t="str">
        <f>VLOOKUP(C128,'Target PLF'!$I$2:$J$19,2,FALSE)</f>
        <v>WR</v>
      </c>
      <c r="E128" s="2" t="str">
        <f>VLOOKUP(A128,[2]Ownership!$C$2:$D$666,2,FALSE)</f>
        <v>STATE SECTOR</v>
      </c>
      <c r="F128" s="2" t="s">
        <v>543</v>
      </c>
      <c r="G128" s="12">
        <v>6.8418891170431202</v>
      </c>
      <c r="H128" s="2">
        <v>500</v>
      </c>
      <c r="I128" s="2">
        <f>VLOOKUP(A128,'[3]Calculated coal req (reg.)'!$A$2:$I$599,9,FALSE)</f>
        <v>10.4309758682486</v>
      </c>
      <c r="J128" s="2"/>
      <c r="K128" s="11">
        <v>0.86924798902071676</v>
      </c>
      <c r="L128" s="3">
        <f>VLOOKUP(F128,'Target PLF'!$A$2:$B$11,2,FALSE)</f>
        <v>0.85</v>
      </c>
      <c r="M128" s="3">
        <f t="shared" si="71"/>
        <v>-1.9247989020716783E-2</v>
      </c>
      <c r="N128" s="2" t="str">
        <f t="shared" si="50"/>
        <v>0.15</v>
      </c>
      <c r="O128" s="2">
        <f t="shared" si="98"/>
        <v>13.15644733342428</v>
      </c>
      <c r="P128" s="2">
        <f t="shared" si="51"/>
        <v>2401051.6383499308</v>
      </c>
      <c r="Q128" s="2">
        <f t="shared" si="52"/>
        <v>12.888644287782341</v>
      </c>
      <c r="R128" s="2">
        <f t="shared" si="53"/>
        <v>10.199999999999999</v>
      </c>
      <c r="S128" s="2">
        <f t="shared" si="54"/>
        <v>2352177.5825202777</v>
      </c>
      <c r="T128" s="2" t="str">
        <f>VLOOKUP(A128,'[4]CEA vs MERIT comp. &amp; NPA marker'!$C$2:$K$735,9,FALSE)</f>
        <v>Contracted</v>
      </c>
      <c r="U128" s="3">
        <f>VLOOKUP(B128,'[8]Import-Domestic share'!$A$208:$F$406,6,FALSE)</f>
        <v>0</v>
      </c>
      <c r="V128" s="3">
        <f t="shared" si="55"/>
        <v>0</v>
      </c>
      <c r="W128" s="2">
        <f t="shared" si="56"/>
        <v>2726.231036948665</v>
      </c>
      <c r="X128" s="2">
        <f t="shared" si="57"/>
        <v>2719.8682061205</v>
      </c>
      <c r="Y128" s="6">
        <f t="shared" si="58"/>
        <v>0.31545382190445431</v>
      </c>
      <c r="Z128" s="2">
        <f t="shared" si="59"/>
        <v>2445080.5354060805</v>
      </c>
      <c r="AA128" s="2">
        <f t="shared" si="60"/>
        <v>2494612.762772812</v>
      </c>
      <c r="AB128" s="2" t="s">
        <v>598</v>
      </c>
      <c r="AC128" s="12">
        <f>VLOOKUP(B128,[9]Sheet1!$A$2:$B$137,2,FALSE)</f>
        <v>4151.0935953175876</v>
      </c>
      <c r="AD128" s="12">
        <f t="shared" si="61"/>
        <v>2075546.7976587939</v>
      </c>
      <c r="AE128" s="2" t="s">
        <v>589</v>
      </c>
      <c r="AF128" s="7">
        <f>VLOOKUP($B128,'[9]Subsidiary wise dispatch'!$A$3:$R$138,11,FALSE)*$H128*$O128*365</f>
        <v>0</v>
      </c>
      <c r="AG128" s="7">
        <f>VLOOKUP($B128,'[9]Subsidiary wise dispatch'!$A$3:$R$138,12,FALSE)*$H128*$O128*365</f>
        <v>0</v>
      </c>
      <c r="AH128" s="7">
        <f>VLOOKUP($B128,'[9]Subsidiary wise dispatch'!$A$3:$R$138,13,FALSE)*$H128*$O128*365</f>
        <v>0</v>
      </c>
      <c r="AI128" s="7">
        <f>VLOOKUP($B128,'[9]Subsidiary wise dispatch'!$A$3:$R$138,14,FALSE)*$H128*$O128*365</f>
        <v>0</v>
      </c>
      <c r="AJ128" s="7">
        <f>VLOOKUP($B128,'[9]Subsidiary wise dispatch'!$A$3:$R$138,15,FALSE)*$H128*$O128*365</f>
        <v>0</v>
      </c>
      <c r="AK128" s="7">
        <f>VLOOKUP($B128,'[9]Subsidiary wise dispatch'!$A$3:$R$138,16,FALSE)*$H128*$O128*365</f>
        <v>0</v>
      </c>
      <c r="AL128" s="7">
        <f>VLOOKUP($B128,'[9]Subsidiary wise dispatch'!$A$3:$R$138,17,FALSE)*$H128*$O128*365</f>
        <v>2401051.6383499308</v>
      </c>
      <c r="AM128" s="7">
        <f>VLOOKUP($B128,'[9]Subsidiary wise dispatch'!$A$3:$R$138,18,FALSE)*$H128*$O128*365</f>
        <v>0</v>
      </c>
      <c r="AN128" s="15">
        <f t="shared" si="62"/>
        <v>2401051.6383499308</v>
      </c>
      <c r="AO128" s="6">
        <v>6.0941992912102581E-2</v>
      </c>
      <c r="AP128" s="11">
        <f t="shared" si="63"/>
        <v>0.63568445742911928</v>
      </c>
      <c r="AQ128" s="11">
        <f t="shared" si="64"/>
        <v>0.62160832770344632</v>
      </c>
      <c r="AR128" s="3">
        <f>VLOOKUP(A128,[10]Sheet1!$A$2:$L$542,12,FALSE)</f>
        <v>1.2940899122806999</v>
      </c>
      <c r="AS128" s="3">
        <f t="shared" si="72"/>
        <v>1.5998052537904133</v>
      </c>
      <c r="AT128" s="3">
        <f t="shared" si="73"/>
        <v>1.6004574439503001</v>
      </c>
      <c r="AU128" s="3">
        <f t="shared" si="65"/>
        <v>-6.5219015988682294E-4</v>
      </c>
      <c r="AV128" s="88">
        <f t="shared" si="74"/>
        <v>-1.4105311314161673E-2</v>
      </c>
      <c r="AW128" s="32">
        <f t="shared" si="75"/>
        <v>8.409224261765871E-3</v>
      </c>
      <c r="AX128" s="12">
        <f t="shared" si="66"/>
        <v>609.09484486075712</v>
      </c>
      <c r="AY128" s="12">
        <f t="shared" si="67"/>
        <v>595.85030638269677</v>
      </c>
      <c r="AZ128" s="3">
        <f>VLOOKUP(A128,[5]Analysis!$A$3:$BJ$543,62,FALSE)</f>
        <v>0.39522145526102337</v>
      </c>
      <c r="BA128" s="2"/>
      <c r="BB128" s="2"/>
      <c r="BC128" s="2" t="str">
        <f>VLOOKUP(A128,'[6]FGD status - Jun 2020'!$I$2:$M$449,5,FALSE)</f>
        <v>Feasiblity Study Completed</v>
      </c>
      <c r="BD128" s="2"/>
      <c r="BE128" s="2"/>
      <c r="BF128" s="2">
        <f t="shared" si="68"/>
        <v>772.08265007818534</v>
      </c>
      <c r="BG128" s="2">
        <f t="shared" si="69"/>
        <v>756.75242570818193</v>
      </c>
      <c r="BH128" s="2"/>
      <c r="BI128" s="2"/>
      <c r="BK128">
        <f t="shared" si="70"/>
        <v>434.62399451035839</v>
      </c>
      <c r="BP128" s="2" t="str">
        <f>VLOOKUP(A128,'[7]Table 2'!$J$2:$N$449,5,FALSE)</f>
        <v>NIT issued</v>
      </c>
      <c r="BR128">
        <f t="shared" si="76"/>
        <v>409.266482102738</v>
      </c>
      <c r="BS128">
        <f t="shared" si="77"/>
        <v>401.14021868117089</v>
      </c>
      <c r="BT128">
        <f>(X128*I128*365*[5]Analysis!BK128)/10^4</f>
        <v>401.14825090014756</v>
      </c>
      <c r="BU128">
        <f>(W128*R128*365*[5]Analysis!BK128)/10^4</f>
        <v>393.18318046201387</v>
      </c>
      <c r="BV128">
        <f>(X128*I128*365*[5]Analysis!BL128)/10^4</f>
        <v>8.1182312025903993</v>
      </c>
      <c r="BW128">
        <f>(W128*R128*365*[5]Analysis!BL128)/10^4</f>
        <v>7.9570382191569919</v>
      </c>
      <c r="BX128">
        <f t="shared" si="78"/>
        <v>2908015.1613431033</v>
      </c>
      <c r="BY128">
        <f t="shared" si="79"/>
        <v>2850274.5491298288</v>
      </c>
      <c r="BZ128">
        <f t="shared" si="80"/>
        <v>7794847.1222030725</v>
      </c>
      <c r="CA128">
        <f t="shared" si="81"/>
        <v>7622243.7527142828</v>
      </c>
      <c r="CB128">
        <f t="shared" si="82"/>
        <v>-977823.78262273292</v>
      </c>
      <c r="CC128">
        <f t="shared" si="83"/>
        <v>-934998.80999999994</v>
      </c>
      <c r="CD128">
        <f t="shared" si="84"/>
        <v>0</v>
      </c>
      <c r="CE128">
        <f t="shared" si="85"/>
        <v>0</v>
      </c>
      <c r="CF128">
        <f t="shared" si="86"/>
        <v>6798320.7207878819</v>
      </c>
      <c r="CG128">
        <f t="shared" si="87"/>
        <v>6647783.7000000002</v>
      </c>
      <c r="CH128">
        <f t="shared" si="88"/>
        <v>528441.24813223933</v>
      </c>
      <c r="CI128">
        <f t="shared" si="89"/>
        <v>516739.83326488687</v>
      </c>
      <c r="CJ128">
        <f t="shared" si="90"/>
        <v>-3139202.1875494169</v>
      </c>
      <c r="CK128">
        <f t="shared" si="91"/>
        <v>-3069690.0000000005</v>
      </c>
      <c r="CL128">
        <f t="shared" si="92"/>
        <v>1797107.9312682468</v>
      </c>
      <c r="CM128">
        <f t="shared" si="93"/>
        <v>1757314.0931840613</v>
      </c>
    </row>
    <row r="129" spans="1:91" x14ac:dyDescent="0.2">
      <c r="A129" s="2" t="s">
        <v>143</v>
      </c>
      <c r="B129" s="2" t="s">
        <v>584</v>
      </c>
      <c r="C129" s="2" t="str">
        <f>VLOOKUP($A129,'[1]daily coal, energy reqd'!$C$2:$T$599,17,FALSE)</f>
        <v>Madhya Pradesh</v>
      </c>
      <c r="D129" s="2" t="str">
        <f>VLOOKUP(C129,'Target PLF'!$I$2:$J$19,2,FALSE)</f>
        <v>WR</v>
      </c>
      <c r="E129" s="2" t="str">
        <f>VLOOKUP(A129,[2]Ownership!$C$2:$D$666,2,FALSE)</f>
        <v>CENTRAL SECTOR</v>
      </c>
      <c r="F129" s="2" t="s">
        <v>543</v>
      </c>
      <c r="G129" s="12">
        <v>7.1759069130732298</v>
      </c>
      <c r="H129" s="2">
        <v>500</v>
      </c>
      <c r="I129" s="2">
        <f>VLOOKUP(A129,'[3]Calculated coal req (reg.)'!$A$2:$I$599,9,FALSE)</f>
        <v>11.273447071702201</v>
      </c>
      <c r="J129" s="2"/>
      <c r="K129" s="11">
        <v>0.93945392264185013</v>
      </c>
      <c r="L129" s="3">
        <f>VLOOKUP(F129,'Target PLF'!$A$2:$B$11,2,FALSE)</f>
        <v>0.85</v>
      </c>
      <c r="M129" s="3">
        <f t="shared" si="71"/>
        <v>-8.9453922641850148E-2</v>
      </c>
      <c r="N129" s="2" t="str">
        <f t="shared" si="50"/>
        <v>0.15</v>
      </c>
      <c r="O129" s="2">
        <f t="shared" si="98"/>
        <v>14.143823563364448</v>
      </c>
      <c r="P129" s="2">
        <f t="shared" si="51"/>
        <v>2581247.8003140115</v>
      </c>
      <c r="Q129" s="2">
        <f t="shared" si="52"/>
        <v>12.899224301471595</v>
      </c>
      <c r="R129" s="2">
        <f t="shared" si="53"/>
        <v>10.199999999999999</v>
      </c>
      <c r="S129" s="2">
        <f t="shared" si="54"/>
        <v>2354108.435018566</v>
      </c>
      <c r="T129" s="2" t="str">
        <f>VLOOKUP(A129,'[4]CEA vs MERIT comp. &amp; NPA marker'!$C$2:$K$735,9,FALSE)</f>
        <v>Contracted</v>
      </c>
      <c r="U129" s="3">
        <f>VLOOKUP(B129,'[8]Import-Domestic share'!$A$208:$F$406,6,FALSE)</f>
        <v>0</v>
      </c>
      <c r="V129" s="3">
        <f t="shared" si="55"/>
        <v>0</v>
      </c>
      <c r="W129" s="2">
        <f t="shared" si="56"/>
        <v>2728.7831122778916</v>
      </c>
      <c r="X129" s="2">
        <f t="shared" si="57"/>
        <v>2699.2122217254682</v>
      </c>
      <c r="Y129" s="6">
        <f t="shared" si="58"/>
        <v>0.3151587959228106</v>
      </c>
      <c r="Z129" s="2">
        <f t="shared" si="59"/>
        <v>2282680.7381074461</v>
      </c>
      <c r="AA129" s="2">
        <f t="shared" si="60"/>
        <v>2495569.9389000032</v>
      </c>
      <c r="AB129" s="2" t="s">
        <v>598</v>
      </c>
      <c r="AC129" s="12">
        <f>VLOOKUP(B129,[9]Sheet1!$A$2:$B$137,2,FALSE)</f>
        <v>4450.5827544825906</v>
      </c>
      <c r="AD129" s="12">
        <f t="shared" si="61"/>
        <v>2225291.3772412953</v>
      </c>
      <c r="AE129" s="2" t="s">
        <v>589</v>
      </c>
      <c r="AF129" s="7">
        <f>VLOOKUP($B129,'[9]Subsidiary wise dispatch'!$A$3:$R$138,11,FALSE)*$H129*$O129*365</f>
        <v>0</v>
      </c>
      <c r="AG129" s="7">
        <f>VLOOKUP($B129,'[9]Subsidiary wise dispatch'!$A$3:$R$138,12,FALSE)*$H129*$O129*365</f>
        <v>0</v>
      </c>
      <c r="AH129" s="7">
        <f>VLOOKUP($B129,'[9]Subsidiary wise dispatch'!$A$3:$R$138,13,FALSE)*$H129*$O129*365</f>
        <v>0</v>
      </c>
      <c r="AI129" s="7">
        <f>VLOOKUP($B129,'[9]Subsidiary wise dispatch'!$A$3:$R$138,14,FALSE)*$H129*$O129*365</f>
        <v>0</v>
      </c>
      <c r="AJ129" s="7">
        <f>VLOOKUP($B129,'[9]Subsidiary wise dispatch'!$A$3:$R$138,15,FALSE)*$H129*$O129*365</f>
        <v>2581247.8003140115</v>
      </c>
      <c r="AK129" s="7">
        <f>VLOOKUP($B129,'[9]Subsidiary wise dispatch'!$A$3:$R$138,16,FALSE)*$H129*$O129*365</f>
        <v>0</v>
      </c>
      <c r="AL129" s="7">
        <f>VLOOKUP($B129,'[9]Subsidiary wise dispatch'!$A$3:$R$138,17,FALSE)*$H129*$O129*365</f>
        <v>0</v>
      </c>
      <c r="AM129" s="7">
        <f>VLOOKUP($B129,'[9]Subsidiary wise dispatch'!$A$3:$R$138,18,FALSE)*$H129*$O129*365</f>
        <v>0</v>
      </c>
      <c r="AN129" s="15">
        <f t="shared" si="62"/>
        <v>2581247.8003140115</v>
      </c>
      <c r="AO129" s="6">
        <v>6.5179373950034494E-2</v>
      </c>
      <c r="AP129" s="11">
        <f t="shared" si="63"/>
        <v>0.73479622239239906</v>
      </c>
      <c r="AQ129" s="11">
        <f t="shared" si="64"/>
        <v>0.66482961429035181</v>
      </c>
      <c r="AR129" s="3">
        <f>VLOOKUP(A129,[10]Sheet1!$A$2:$L$542,12,FALSE)</f>
        <v>1.5355901083017101</v>
      </c>
      <c r="AS129" s="3">
        <f t="shared" si="72"/>
        <v>1.6325871693578071</v>
      </c>
      <c r="AT129" s="3">
        <f t="shared" si="73"/>
        <v>1.6356181856394303</v>
      </c>
      <c r="AU129" s="3">
        <f t="shared" si="65"/>
        <v>-3.0310162816231667E-3</v>
      </c>
      <c r="AV129" s="88">
        <f t="shared" si="74"/>
        <v>-6.5553623590400623E-2</v>
      </c>
      <c r="AW129" s="32">
        <f t="shared" si="75"/>
        <v>3.8296642581952478E-2</v>
      </c>
      <c r="AX129" s="12">
        <f t="shared" si="66"/>
        <v>671.77830409488047</v>
      </c>
      <c r="AY129" s="12">
        <f t="shared" si="67"/>
        <v>608.94065051355983</v>
      </c>
      <c r="AZ129" s="3">
        <f>VLOOKUP(A129,[5]Analysis!$A$3:$BJ$543,62,FALSE)</f>
        <v>0.40603530059943072</v>
      </c>
      <c r="BA129" s="2"/>
      <c r="BB129" s="2"/>
      <c r="BC129" s="2" t="str">
        <f>VLOOKUP(A129,'[6]FGD status - Jun 2020'!$I$2:$M$449,5,FALSE)</f>
        <v>Bid Awarded</v>
      </c>
      <c r="BD129" s="2"/>
      <c r="BE129" s="2"/>
      <c r="BF129" s="2">
        <f t="shared" si="68"/>
        <v>772.37889608955095</v>
      </c>
      <c r="BG129" s="2">
        <f t="shared" si="69"/>
        <v>706.48968844425463</v>
      </c>
      <c r="BH129" s="2"/>
      <c r="BI129" s="2"/>
      <c r="BK129">
        <f t="shared" si="70"/>
        <v>469.72696132092506</v>
      </c>
      <c r="BL129" t="str">
        <f>VLOOKUP(A129,'[11]Daily coal vs energy req.2'!$C$2:$P$599,14,FALSE)</f>
        <v/>
      </c>
      <c r="BM129" t="str">
        <f>VLOOKUP(A129,'[11]Daily coal vs energy req.2'!$C$2:$R$599,16,FALSE)</f>
        <v/>
      </c>
      <c r="BP129" s="2" t="str">
        <f>VLOOKUP(A129,'[7]Table 2'!$J$2:$N$449,5,FALSE)</f>
        <v>Bid Awarded</v>
      </c>
      <c r="BR129">
        <f t="shared" si="76"/>
        <v>450.97287308639761</v>
      </c>
      <c r="BS129">
        <f t="shared" si="77"/>
        <v>412.50179959173749</v>
      </c>
      <c r="BT129">
        <f>(X129*I129*365*[5]Analysis!BK129)/10^4</f>
        <v>422.72383329701023</v>
      </c>
      <c r="BU129">
        <f>(W129*R129*365*[5]Analysis!BK129)/10^4</f>
        <v>386.66259629307592</v>
      </c>
      <c r="BV129">
        <f>(X129*I129*365*[5]Analysis!BL129)/10^4</f>
        <v>28.249039789387467</v>
      </c>
      <c r="BW129">
        <f>(W129*R129*365*[5]Analysis!BL129)/10^4</f>
        <v>25.839203298661563</v>
      </c>
      <c r="BX129">
        <f t="shared" si="78"/>
        <v>3119016.1769836615</v>
      </c>
      <c r="BY129">
        <f t="shared" si="79"/>
        <v>2852942.7438865355</v>
      </c>
      <c r="BZ129">
        <f t="shared" si="80"/>
        <v>8654912.2920545917</v>
      </c>
      <c r="CA129">
        <f t="shared" si="81"/>
        <v>7830799.6496077245</v>
      </c>
      <c r="CB129">
        <f t="shared" si="82"/>
        <v>-1142152.7111067448</v>
      </c>
      <c r="CC129">
        <f t="shared" si="83"/>
        <v>-934998.80999999994</v>
      </c>
      <c r="CD129">
        <f t="shared" si="84"/>
        <v>0</v>
      </c>
      <c r="CE129">
        <f t="shared" si="85"/>
        <v>0</v>
      </c>
      <c r="CF129">
        <f t="shared" si="86"/>
        <v>7347395.8515759436</v>
      </c>
      <c r="CG129">
        <f t="shared" si="87"/>
        <v>6647783.7000000002</v>
      </c>
      <c r="CH129">
        <f t="shared" si="88"/>
        <v>599003.36757284007</v>
      </c>
      <c r="CI129">
        <f t="shared" si="89"/>
        <v>541966.82792607741</v>
      </c>
      <c r="CJ129">
        <f t="shared" si="90"/>
        <v>-3392743.8962287777</v>
      </c>
      <c r="CK129">
        <f t="shared" si="91"/>
        <v>-3069690.0000000005</v>
      </c>
      <c r="CL129">
        <f t="shared" si="92"/>
        <v>2077301.2517370973</v>
      </c>
      <c r="CM129">
        <f t="shared" si="93"/>
        <v>1879502.5721018533</v>
      </c>
    </row>
    <row r="130" spans="1:91" x14ac:dyDescent="0.2">
      <c r="A130" s="2" t="s">
        <v>145</v>
      </c>
      <c r="B130" s="2" t="str">
        <f>LEFT(A130,LEN(A130)-LEN(RIGHT(A130,1)))</f>
        <v>KODARMA TPS</v>
      </c>
      <c r="C130" s="2" t="str">
        <f>VLOOKUP($A130,'[1]daily coal, energy reqd'!$C$2:$T$599,17,FALSE)</f>
        <v>Jharkhand</v>
      </c>
      <c r="D130" s="2" t="str">
        <f>VLOOKUP(C130,'Target PLF'!$I$2:$J$19,2,FALSE)</f>
        <v>ER</v>
      </c>
      <c r="E130" s="2" t="str">
        <f>VLOOKUP(A130,[2]Ownership!$C$2:$D$666,2,FALSE)</f>
        <v>CENTRAL SECTOR</v>
      </c>
      <c r="F130" s="2" t="s">
        <v>543</v>
      </c>
      <c r="G130" s="12">
        <v>7.2525667351129304</v>
      </c>
      <c r="H130" s="2">
        <v>500</v>
      </c>
      <c r="I130" s="2">
        <f>VLOOKUP(A130,'[3]Calculated coal req (reg.)'!$A$2:$I$599,9,FALSE)</f>
        <v>8.0772158135141296</v>
      </c>
      <c r="J130" s="2"/>
      <c r="K130" s="11">
        <v>0.67310131779284421</v>
      </c>
      <c r="L130" s="3">
        <f>VLOOKUP(F130,'Target PLF'!$A$2:$B$11,2,FALSE)</f>
        <v>0.85</v>
      </c>
      <c r="M130" s="3">
        <f t="shared" si="71"/>
        <v>0.17689868220715577</v>
      </c>
      <c r="N130" s="2" t="str">
        <f t="shared" si="50"/>
        <v>0.15</v>
      </c>
      <c r="O130" s="2">
        <f t="shared" si="98"/>
        <v>10.440408066181881</v>
      </c>
      <c r="P130" s="2">
        <f t="shared" si="51"/>
        <v>1905374.4720781932</v>
      </c>
      <c r="Q130" s="2">
        <f t="shared" si="52"/>
        <v>12.901652501334702</v>
      </c>
      <c r="R130" s="2">
        <f t="shared" si="53"/>
        <v>10.199999999999999</v>
      </c>
      <c r="S130" s="2">
        <f t="shared" si="54"/>
        <v>2354551.5814935835</v>
      </c>
      <c r="T130" s="2" t="str">
        <f>VLOOKUP(A130,'[4]CEA vs MERIT comp. &amp; NPA marker'!$C$2:$K$735,9,FALSE)</f>
        <v>Contracted</v>
      </c>
      <c r="U130" s="3">
        <f>VLOOKUP(B130,'[8]Import-Domestic share'!$A$208:$F$406,6,FALSE)</f>
        <v>0</v>
      </c>
      <c r="V130" s="3">
        <f t="shared" si="55"/>
        <v>0</v>
      </c>
      <c r="W130" s="2">
        <f t="shared" si="56"/>
        <v>2729.3688344845996</v>
      </c>
      <c r="X130" s="2">
        <f t="shared" si="57"/>
        <v>2787.8464441402375</v>
      </c>
      <c r="Y130" s="6">
        <f t="shared" si="58"/>
        <v>0.31509116288506245</v>
      </c>
      <c r="Z130" s="2">
        <f t="shared" si="59"/>
        <v>2363226.8145728828</v>
      </c>
      <c r="AA130" s="2">
        <f t="shared" si="60"/>
        <v>1911496.6515794497</v>
      </c>
      <c r="AB130" s="2" t="s">
        <v>598</v>
      </c>
      <c r="AC130" s="12">
        <f>VLOOKUP(B130,[9]Sheet1!$A$2:$B$137,2,FALSE)</f>
        <v>4299.8158738405682</v>
      </c>
      <c r="AD130" s="12">
        <f t="shared" si="61"/>
        <v>2149907.9369202843</v>
      </c>
      <c r="AE130" s="2"/>
      <c r="AF130" s="7">
        <f>VLOOKUP($B130,'[9]Subsidiary wise dispatch'!$A$3:$R$138,11,FALSE)*$H130*$O130*365</f>
        <v>586718.73041160463</v>
      </c>
      <c r="AG130" s="7">
        <f>VLOOKUP($B130,'[9]Subsidiary wise dispatch'!$A$3:$R$138,12,FALSE)*$H130*$O130*365</f>
        <v>1312932.0553014467</v>
      </c>
      <c r="AH130" s="7">
        <f>VLOOKUP($B130,'[9]Subsidiary wise dispatch'!$A$3:$R$138,13,FALSE)*$H130*$O130*365</f>
        <v>5723.6863651418716</v>
      </c>
      <c r="AI130" s="7">
        <f>VLOOKUP($B130,'[9]Subsidiary wise dispatch'!$A$3:$R$138,14,FALSE)*$H130*$O130*365</f>
        <v>0</v>
      </c>
      <c r="AJ130" s="7">
        <f>VLOOKUP($B130,'[9]Subsidiary wise dispatch'!$A$3:$R$138,15,FALSE)*$H130*$O130*365</f>
        <v>0</v>
      </c>
      <c r="AK130" s="7">
        <f>VLOOKUP($B130,'[9]Subsidiary wise dispatch'!$A$3:$R$138,16,FALSE)*$H130*$O130*365</f>
        <v>0</v>
      </c>
      <c r="AL130" s="7">
        <f>VLOOKUP($B130,'[9]Subsidiary wise dispatch'!$A$3:$R$138,17,FALSE)*$H130*$O130*365</f>
        <v>0</v>
      </c>
      <c r="AM130" s="7">
        <f>VLOOKUP($B130,'[9]Subsidiary wise dispatch'!$A$3:$R$138,18,FALSE)*$H130*$O130*365</f>
        <v>0</v>
      </c>
      <c r="AN130" s="15">
        <f t="shared" si="62"/>
        <v>1905374.4720781932</v>
      </c>
      <c r="AO130" s="6">
        <v>8.5199811693282709E-2</v>
      </c>
      <c r="AP130" s="11">
        <f t="shared" si="63"/>
        <v>0.68817726631740916</v>
      </c>
      <c r="AQ130" s="11">
        <f t="shared" si="64"/>
        <v>0.86903807927148358</v>
      </c>
      <c r="AR130" s="3">
        <f>VLOOKUP(A130,[10]Sheet1!$A$2:$L$542,12,FALSE)</f>
        <v>2.2301631812420699</v>
      </c>
      <c r="AS130" s="3">
        <f t="shared" si="72"/>
        <v>1.9556053578987129</v>
      </c>
      <c r="AT130" s="3">
        <f t="shared" si="73"/>
        <v>1.9496114029090104</v>
      </c>
      <c r="AU130" s="3">
        <f t="shared" si="65"/>
        <v>5.9939549897025657E-3</v>
      </c>
      <c r="AV130" s="88">
        <f t="shared" si="74"/>
        <v>0.1296348922950479</v>
      </c>
      <c r="AW130" s="32">
        <f t="shared" si="75"/>
        <v>6.3223869174809808E-2</v>
      </c>
      <c r="AX130" s="12">
        <f t="shared" si="66"/>
        <v>576.54839804615426</v>
      </c>
      <c r="AY130" s="12">
        <f t="shared" si="67"/>
        <v>725.84032530302454</v>
      </c>
      <c r="AZ130" s="3">
        <f>VLOOKUP(A130,[5]Analysis!$A$3:$BJ$543,62,FALSE)</f>
        <v>0.54183439710785219</v>
      </c>
      <c r="BA130" s="2"/>
      <c r="BB130" s="2"/>
      <c r="BC130" s="2" t="str">
        <f>VLOOKUP(A130,'[6]FGD status - Jun 2020'!$I$2:$M$449,5,FALSE)</f>
        <v>Bid Awarded</v>
      </c>
      <c r="BD130" s="2"/>
      <c r="BE130" s="2"/>
      <c r="BF130" s="2">
        <f t="shared" si="68"/>
        <v>591.60821366383959</v>
      </c>
      <c r="BG130" s="2">
        <f t="shared" si="69"/>
        <v>731.41869911030722</v>
      </c>
      <c r="BH130" s="2"/>
      <c r="BI130" s="2"/>
      <c r="BK130">
        <f t="shared" si="70"/>
        <v>336.55065889642208</v>
      </c>
      <c r="BL130">
        <f>VLOOKUP(A130,'[11]Daily coal vs energy req.2'!$C$2:$P$599,14,FALSE)</f>
        <v>0.75</v>
      </c>
      <c r="BM130">
        <f>VLOOKUP(A130,'[11]Daily coal vs energy req.2'!$C$2:$R$599,16,FALSE)</f>
        <v>0.59</v>
      </c>
      <c r="BN130">
        <f>BL130*H130</f>
        <v>375</v>
      </c>
      <c r="BO130">
        <f>BM130*H130</f>
        <v>295</v>
      </c>
      <c r="BP130" s="2" t="str">
        <f>VLOOKUP(A130,'[7]Table 2'!$J$2:$N$449,5,FALSE)</f>
        <v>Bid Awarded</v>
      </c>
      <c r="BR130">
        <f t="shared" si="76"/>
        <v>445.3382231705433</v>
      </c>
      <c r="BS130">
        <f t="shared" si="77"/>
        <v>550.58178086854321</v>
      </c>
      <c r="BT130">
        <f>(X130*I130*365*[5]Analysis!BK130)/10^4</f>
        <v>319.37966593994577</v>
      </c>
      <c r="BU130">
        <f>(W130*R130*365*[5]Analysis!BK130)/10^4</f>
        <v>394.85634984238862</v>
      </c>
      <c r="BV130">
        <f>(X130*I130*365*[5]Analysis!BL130)/10^4</f>
        <v>125.95855723059745</v>
      </c>
      <c r="BW130">
        <f>(W130*R130*365*[5]Analysis!BL130)/10^4</f>
        <v>155.72543102615458</v>
      </c>
      <c r="BX130">
        <f t="shared" si="78"/>
        <v>2308098.8318865132</v>
      </c>
      <c r="BY130">
        <f t="shared" si="79"/>
        <v>2853555.116453649</v>
      </c>
      <c r="BZ130">
        <f t="shared" si="80"/>
        <v>8275045.8145701699</v>
      </c>
      <c r="CA130">
        <f t="shared" si="81"/>
        <v>10449821.975462817</v>
      </c>
      <c r="CB130">
        <f t="shared" si="82"/>
        <v>-586319.16249926132</v>
      </c>
      <c r="CC130">
        <f t="shared" si="83"/>
        <v>-934998.80999999994</v>
      </c>
      <c r="CD130">
        <f t="shared" si="84"/>
        <v>0</v>
      </c>
      <c r="CE130">
        <f t="shared" si="85"/>
        <v>0</v>
      </c>
      <c r="CF130">
        <f t="shared" si="86"/>
        <v>5264272.904555046</v>
      </c>
      <c r="CG130">
        <f t="shared" si="87"/>
        <v>6647783.7000000002</v>
      </c>
      <c r="CH130">
        <f t="shared" si="88"/>
        <v>433759.6581987596</v>
      </c>
      <c r="CI130">
        <f t="shared" si="89"/>
        <v>547756.62997946551</v>
      </c>
      <c r="CJ130">
        <f t="shared" si="90"/>
        <v>-2430838.0990770776</v>
      </c>
      <c r="CK130">
        <f t="shared" si="91"/>
        <v>-3069690.0000000005</v>
      </c>
      <c r="CL130">
        <f t="shared" si="92"/>
        <v>1945507.4116790337</v>
      </c>
      <c r="CM130">
        <f t="shared" si="93"/>
        <v>2456808.887775972</v>
      </c>
    </row>
    <row r="131" spans="1:91" x14ac:dyDescent="0.2">
      <c r="A131" s="2" t="s">
        <v>146</v>
      </c>
      <c r="B131" s="2" t="str">
        <f>LEFT(A131,LEN(A131)-LEN(RIGHT(A131,1)))</f>
        <v>VALLUR TPP</v>
      </c>
      <c r="C131" s="2" t="str">
        <f>VLOOKUP($A131,'[1]daily coal, energy reqd'!$C$2:$T$599,17,FALSE)</f>
        <v>Tamil Nadu</v>
      </c>
      <c r="D131" s="2" t="str">
        <f>VLOOKUP(C131,'Target PLF'!$I$2:$J$19,2,FALSE)</f>
        <v>SR</v>
      </c>
      <c r="E131" s="2" t="str">
        <f>VLOOKUP(A131,[2]Ownership!$C$2:$D$666,2,FALSE)</f>
        <v>CENTRAL SECTOR</v>
      </c>
      <c r="F131" s="2" t="s">
        <v>543</v>
      </c>
      <c r="G131" s="12">
        <v>7.2525667351129304</v>
      </c>
      <c r="H131" s="2">
        <v>500</v>
      </c>
      <c r="I131" s="2">
        <f>VLOOKUP(A131,'[3]Calculated coal req (reg.)'!$A$2:$I$599,9,FALSE)</f>
        <v>6.2411626781079503</v>
      </c>
      <c r="J131" s="2"/>
      <c r="K131" s="11">
        <v>0.52009688984232916</v>
      </c>
      <c r="L131" s="3">
        <f>VLOOKUP(F131,'Target PLF'!$A$2:$B$11,2,FALSE)</f>
        <v>0.85</v>
      </c>
      <c r="M131" s="3">
        <f t="shared" si="71"/>
        <v>0.32990311015767082</v>
      </c>
      <c r="N131" s="2" t="str">
        <f t="shared" ref="N131:N194" si="102">IF(L131&gt;0.75,"0.15","0.25")</f>
        <v>0.15</v>
      </c>
      <c r="O131" s="2">
        <f t="shared" si="98"/>
        <v>8.3116115587779795</v>
      </c>
      <c r="P131" s="2">
        <f t="shared" ref="P131:P194" si="103">(O131*H131*365)</f>
        <v>1516869.1094769812</v>
      </c>
      <c r="Q131" s="2">
        <f t="shared" ref="Q131:Q194" si="104">(13.9133*0.85)+(-0.289097*N131)+(-0.0052079*H131)+(0.031675*G131)+3.492937+IF(E131="Pvt Sector",-0.8897511,0)</f>
        <v>12.901652501334702</v>
      </c>
      <c r="R131" s="2">
        <f t="shared" ref="R131:R194" si="105">(H131*24*L131)/1000</f>
        <v>10.199999999999999</v>
      </c>
      <c r="S131" s="2">
        <f t="shared" ref="S131:S194" si="106">(H131*L131*Q131*365)/0.85</f>
        <v>2354551.5814935835</v>
      </c>
      <c r="T131" s="2" t="str">
        <f>VLOOKUP(A131,'[4]CEA vs MERIT comp. &amp; NPA marker'!$C$2:$K$735,9,FALSE)</f>
        <v>Contracted</v>
      </c>
      <c r="U131" s="3">
        <f>VLOOKUP(B131,'[8]Import-Domestic share'!$A$208:$F$406,6,FALSE)</f>
        <v>0</v>
      </c>
      <c r="V131" s="3">
        <f t="shared" ref="V131:V194" si="107">(U131*O131*H131*365)</f>
        <v>0</v>
      </c>
      <c r="W131" s="2">
        <f t="shared" ref="W131:W194" si="108">3417.812+(7.640537*G131)+(-0.9257423*H131)+(-330.5712*L131)+(225.4556*U131)</f>
        <v>2729.3688344845996</v>
      </c>
      <c r="X131" s="2">
        <f t="shared" ref="X131:X194" si="109">3417.812+(7.640537*G131)+(-0.9257423*H131)+(-330.5712*K131)+(225.4556*U131)</f>
        <v>2838.4253014931528</v>
      </c>
      <c r="Y131" s="6">
        <f t="shared" ref="Y131:Y194" si="110">860/W131</f>
        <v>0.31509116288506245</v>
      </c>
      <c r="Z131" s="2">
        <f t="shared" ref="Z131:Z194" si="111">(W131*R131*365*10^6)/((IF(AC131,AC131,4286)*1000))</f>
        <v>2417146.2976555573</v>
      </c>
      <c r="AA131" s="2">
        <f t="shared" ref="AA131:AA194" si="112">(X131*I131*365*10^6)/((IF(AC131,AC131,4286))*1000)</f>
        <v>1538096.2349892964</v>
      </c>
      <c r="AB131" s="2" t="s">
        <v>598</v>
      </c>
      <c r="AC131" s="12">
        <f>VLOOKUP(B131,[9]Sheet1!$A$2:$B$137,2,FALSE)</f>
        <v>4203.8995242621295</v>
      </c>
      <c r="AD131" s="12">
        <f t="shared" ref="AD131:AD194" si="113">AC131*H131</f>
        <v>2101949.7621310647</v>
      </c>
      <c r="AE131" s="2"/>
      <c r="AF131" s="7">
        <f>VLOOKUP($B131,'[9]Subsidiary wise dispatch'!$A$3:$R$138,11,FALSE)*$H131*$O131*365</f>
        <v>0</v>
      </c>
      <c r="AG131" s="7">
        <f>VLOOKUP($B131,'[9]Subsidiary wise dispatch'!$A$3:$R$138,12,FALSE)*$H131*$O131*365</f>
        <v>58480.618050971134</v>
      </c>
      <c r="AH131" s="7">
        <f>VLOOKUP($B131,'[9]Subsidiary wise dispatch'!$A$3:$R$138,13,FALSE)*$H131*$O131*365</f>
        <v>296885.75614307186</v>
      </c>
      <c r="AI131" s="7">
        <f>VLOOKUP($B131,'[9]Subsidiary wise dispatch'!$A$3:$R$138,14,FALSE)*$H131*$O131*365</f>
        <v>1161502.7352829385</v>
      </c>
      <c r="AJ131" s="7">
        <f>VLOOKUP($B131,'[9]Subsidiary wise dispatch'!$A$3:$R$138,15,FALSE)*$H131*$O131*365</f>
        <v>0</v>
      </c>
      <c r="AK131" s="7">
        <f>VLOOKUP($B131,'[9]Subsidiary wise dispatch'!$A$3:$R$138,16,FALSE)*$H131*$O131*365</f>
        <v>0</v>
      </c>
      <c r="AL131" s="7">
        <f>VLOOKUP($B131,'[9]Subsidiary wise dispatch'!$A$3:$R$138,17,FALSE)*$H131*$O131*365</f>
        <v>0</v>
      </c>
      <c r="AM131" s="7">
        <f>VLOOKUP($B131,'[9]Subsidiary wise dispatch'!$A$3:$R$138,18,FALSE)*$H131*$O131*365</f>
        <v>0</v>
      </c>
      <c r="AN131" s="15">
        <f t="shared" ref="AN131:AN194" si="114">SUM(AF131:AM131)</f>
        <v>1516869.1094769815</v>
      </c>
      <c r="AO131" s="6">
        <v>7.9840284877193357E-2</v>
      </c>
      <c r="AP131" s="11">
        <f t="shared" ref="AP131:AP194" si="115">AO131*I131</f>
        <v>0.49829620618504578</v>
      </c>
      <c r="AQ131" s="11">
        <f t="shared" ref="AQ131:AQ194" si="116">AO131*R131</f>
        <v>0.81437090574737214</v>
      </c>
      <c r="AR131" s="3">
        <f>VLOOKUP(A131,[10]Sheet1!$A$2:$L$542,12,FALSE)</f>
        <v>3.3957030663158698</v>
      </c>
      <c r="AS131" s="3">
        <f t="shared" si="72"/>
        <v>3.3107830192357683</v>
      </c>
      <c r="AT131" s="3">
        <f t="shared" si="73"/>
        <v>3.299604731367392</v>
      </c>
      <c r="AU131" s="3">
        <f t="shared" ref="AU131:AU194" si="117">AS131-AT131</f>
        <v>1.117828786837638E-2</v>
      </c>
      <c r="AV131" s="88">
        <f t="shared" si="74"/>
        <v>0.24175959718574433</v>
      </c>
      <c r="AW131" s="32">
        <f t="shared" si="75"/>
        <v>6.9645551513851031E-2</v>
      </c>
      <c r="AX131" s="12">
        <f t="shared" ref="AX131:AX194" si="118">(AS131*I131*365)/10</f>
        <v>754.2044426463259</v>
      </c>
      <c r="AY131" s="12">
        <f t="shared" ref="AY131:AY194" si="119">(AT131*R131*365)/10</f>
        <v>1228.4428414880799</v>
      </c>
      <c r="AZ131" s="3">
        <f>VLOOKUP(A131,[5]Analysis!$A$3:$BJ$543,62,FALSE)</f>
        <v>1.2638334327394265</v>
      </c>
      <c r="BA131" s="2"/>
      <c r="BB131" s="2"/>
      <c r="BC131" s="2" t="str">
        <f>VLOOKUP(A131,'[6]FGD status - Jun 2020'!$I$2:$M$449,5,FALSE)</f>
        <v>Bid Awarded</v>
      </c>
      <c r="BD131" s="2"/>
      <c r="BE131" s="2"/>
      <c r="BF131" s="2">
        <f t="shared" ref="BF131:BF194" si="120">((AA131*(1-U131)*3095)+(AA131*U131*5231))/10^7</f>
        <v>476.04078472918718</v>
      </c>
      <c r="BG131" s="2">
        <f t="shared" ref="BG131:BG194" si="121">((Z131*(1-U131)*3095)+(Z131*U131*5231))/10^7</f>
        <v>748.10677912439496</v>
      </c>
      <c r="BH131" s="2"/>
      <c r="BI131" s="2"/>
      <c r="BK131">
        <f t="shared" ref="BK131:BK194" si="122">K131*H131</f>
        <v>260.04844492116456</v>
      </c>
      <c r="BL131">
        <f>VLOOKUP(A131,'[11]Daily coal vs energy req.2'!$C$2:$P$599,14,FALSE)</f>
        <v>0.8</v>
      </c>
      <c r="BM131">
        <f>VLOOKUP(A131,'[11]Daily coal vs energy req.2'!$C$2:$R$599,16,FALSE)</f>
        <v>0.85</v>
      </c>
      <c r="BN131">
        <f>BL131*H131</f>
        <v>400</v>
      </c>
      <c r="BO131">
        <f>BM131*H131</f>
        <v>425</v>
      </c>
      <c r="BP131" s="2" t="str">
        <f>VLOOKUP(A131,'[7]Table 2'!$J$2:$N$449,5,FALSE)</f>
        <v>Bid Awarded</v>
      </c>
      <c r="BR131">
        <f t="shared" si="76"/>
        <v>817.19495423585761</v>
      </c>
      <c r="BS131">
        <f t="shared" si="77"/>
        <v>1284.2367812620982</v>
      </c>
      <c r="BT131">
        <f>(X131*I131*365*[5]Analysis!BK131)/10^4</f>
        <v>313.81164243123038</v>
      </c>
      <c r="BU131">
        <f>(W131*R131*365*[5]Analysis!BK131)/10^4</f>
        <v>493.16072194217213</v>
      </c>
      <c r="BV131">
        <f>(X131*I131*365*[5]Analysis!BL131)/10^4</f>
        <v>503.38331180462717</v>
      </c>
      <c r="BW131">
        <f>(W131*R131*365*[5]Analysis!BL131)/10^4</f>
        <v>791.076059319926</v>
      </c>
      <c r="BX131">
        <f t="shared" si="78"/>
        <v>1815795.0907683279</v>
      </c>
      <c r="BY131">
        <f t="shared" si="79"/>
        <v>2853555.116453649</v>
      </c>
      <c r="BZ131">
        <f t="shared" si="80"/>
        <v>14914115.113013936</v>
      </c>
      <c r="CA131">
        <f t="shared" si="81"/>
        <v>24374300.430646606</v>
      </c>
      <c r="CB131">
        <f t="shared" si="82"/>
        <v>-350059.38071170053</v>
      </c>
      <c r="CC131">
        <f t="shared" si="83"/>
        <v>-934998.80999999994</v>
      </c>
      <c r="CD131">
        <f t="shared" si="84"/>
        <v>0</v>
      </c>
      <c r="CE131">
        <f t="shared" si="85"/>
        <v>0</v>
      </c>
      <c r="CF131">
        <f t="shared" si="86"/>
        <v>4067637.2078994489</v>
      </c>
      <c r="CG131">
        <f t="shared" si="87"/>
        <v>6647783.7000000002</v>
      </c>
      <c r="CH131">
        <f t="shared" si="88"/>
        <v>335160.61134451249</v>
      </c>
      <c r="CI131">
        <f t="shared" si="89"/>
        <v>547756.62997946551</v>
      </c>
      <c r="CJ131">
        <f t="shared" si="90"/>
        <v>-1878277.907976588</v>
      </c>
      <c r="CK131">
        <f t="shared" si="91"/>
        <v>-3069690.0000000005</v>
      </c>
      <c r="CL131">
        <f t="shared" si="92"/>
        <v>1408705.2999181966</v>
      </c>
      <c r="CM131">
        <f t="shared" si="93"/>
        <v>2302262.3828676739</v>
      </c>
    </row>
    <row r="132" spans="1:91" x14ac:dyDescent="0.2">
      <c r="A132" s="2" t="s">
        <v>149</v>
      </c>
      <c r="B132" s="2" t="s">
        <v>584</v>
      </c>
      <c r="C132" s="2" t="str">
        <f>VLOOKUP($A132,'[1]daily coal, energy reqd'!$C$2:$T$599,17,FALSE)</f>
        <v>Madhya Pradesh</v>
      </c>
      <c r="D132" s="2" t="str">
        <f>VLOOKUP(C132,'Target PLF'!$I$2:$J$19,2,FALSE)</f>
        <v>WR</v>
      </c>
      <c r="E132" s="2" t="str">
        <f>VLOOKUP(A132,[2]Ownership!$C$2:$D$666,2,FALSE)</f>
        <v>CENTRAL SECTOR</v>
      </c>
      <c r="F132" s="2" t="s">
        <v>543</v>
      </c>
      <c r="G132" s="12">
        <v>7.9233401779603003</v>
      </c>
      <c r="H132" s="2">
        <v>500</v>
      </c>
      <c r="I132" s="2">
        <f>VLOOKUP(A132,'[3]Calculated coal req (reg.)'!$A$2:$I$599,9,FALSE)</f>
        <v>10.983951617317301</v>
      </c>
      <c r="J132" s="2"/>
      <c r="K132" s="11">
        <v>0.91532930144310842</v>
      </c>
      <c r="L132" s="3">
        <f>VLOOKUP(F132,'Target PLF'!$A$2:$B$11,2,FALSE)</f>
        <v>0.85</v>
      </c>
      <c r="M132" s="3">
        <f t="shared" ref="M132:M195" si="123">L132-K132</f>
        <v>-6.5329301443108445E-2</v>
      </c>
      <c r="N132" s="2" t="str">
        <f t="shared" si="102"/>
        <v>0.15</v>
      </c>
      <c r="O132" s="2">
        <f t="shared" si="98"/>
        <v>13.831845419905292</v>
      </c>
      <c r="P132" s="2">
        <f t="shared" si="103"/>
        <v>2524311.7891327157</v>
      </c>
      <c r="Q132" s="2">
        <f t="shared" si="104"/>
        <v>12.922899250136892</v>
      </c>
      <c r="R132" s="2">
        <f t="shared" si="105"/>
        <v>10.199999999999999</v>
      </c>
      <c r="S132" s="2">
        <f t="shared" si="106"/>
        <v>2358429.1131499829</v>
      </c>
      <c r="T132" s="2" t="str">
        <f>VLOOKUP(A132,'[4]CEA vs MERIT comp. &amp; NPA marker'!$C$2:$K$735,9,FALSE)</f>
        <v>Contracted</v>
      </c>
      <c r="U132" s="3">
        <f>VLOOKUP(B132,'[8]Import-Domestic share'!$A$208:$F$406,6,FALSE)</f>
        <v>0</v>
      </c>
      <c r="V132" s="3">
        <f t="shared" si="107"/>
        <v>0</v>
      </c>
      <c r="W132" s="2">
        <f t="shared" si="108"/>
        <v>2734.4939037932927</v>
      </c>
      <c r="X132" s="2">
        <f t="shared" si="109"/>
        <v>2712.8979182200824</v>
      </c>
      <c r="Y132" s="6">
        <f t="shared" si="110"/>
        <v>0.31450060971319305</v>
      </c>
      <c r="Z132" s="2">
        <f t="shared" si="111"/>
        <v>2287457.927519422</v>
      </c>
      <c r="AA132" s="2">
        <f t="shared" si="112"/>
        <v>2443813.4304883359</v>
      </c>
      <c r="AB132" s="2" t="s">
        <v>598</v>
      </c>
      <c r="AC132" s="12">
        <f>VLOOKUP(B132,[9]Sheet1!$A$2:$B$137,2,FALSE)</f>
        <v>4450.5827544825906</v>
      </c>
      <c r="AD132" s="12">
        <f t="shared" si="113"/>
        <v>2225291.3772412953</v>
      </c>
      <c r="AE132" s="2" t="s">
        <v>589</v>
      </c>
      <c r="AF132" s="7">
        <f>VLOOKUP($B132,'[9]Subsidiary wise dispatch'!$A$3:$R$138,11,FALSE)*$H132*$O132*365</f>
        <v>0</v>
      </c>
      <c r="AG132" s="7">
        <f>VLOOKUP($B132,'[9]Subsidiary wise dispatch'!$A$3:$R$138,12,FALSE)*$H132*$O132*365</f>
        <v>0</v>
      </c>
      <c r="AH132" s="7">
        <f>VLOOKUP($B132,'[9]Subsidiary wise dispatch'!$A$3:$R$138,13,FALSE)*$H132*$O132*365</f>
        <v>0</v>
      </c>
      <c r="AI132" s="7">
        <f>VLOOKUP($B132,'[9]Subsidiary wise dispatch'!$A$3:$R$138,14,FALSE)*$H132*$O132*365</f>
        <v>0</v>
      </c>
      <c r="AJ132" s="7">
        <f>VLOOKUP($B132,'[9]Subsidiary wise dispatch'!$A$3:$R$138,15,FALSE)*$H132*$O132*365</f>
        <v>2524311.7891327157</v>
      </c>
      <c r="AK132" s="7">
        <f>VLOOKUP($B132,'[9]Subsidiary wise dispatch'!$A$3:$R$138,16,FALSE)*$H132*$O132*365</f>
        <v>0</v>
      </c>
      <c r="AL132" s="7">
        <f>VLOOKUP($B132,'[9]Subsidiary wise dispatch'!$A$3:$R$138,17,FALSE)*$H132*$O132*365</f>
        <v>0</v>
      </c>
      <c r="AM132" s="7">
        <f>VLOOKUP($B132,'[9]Subsidiary wise dispatch'!$A$3:$R$138,18,FALSE)*$H132*$O132*365</f>
        <v>0</v>
      </c>
      <c r="AN132" s="15">
        <f t="shared" si="114"/>
        <v>2524311.7891327157</v>
      </c>
      <c r="AO132" s="6">
        <v>6.5179373950034494E-2</v>
      </c>
      <c r="AP132" s="11">
        <f t="shared" si="115"/>
        <v>0.7159270899142105</v>
      </c>
      <c r="AQ132" s="11">
        <f t="shared" si="116"/>
        <v>0.66482961429035181</v>
      </c>
      <c r="AR132" s="3">
        <f>VLOOKUP(A132,[10]Sheet1!$A$2:$L$542,12,FALSE)</f>
        <v>1.5355901083017101</v>
      </c>
      <c r="AS132" s="3">
        <f t="shared" ref="AS132:AS195" si="124">0.6517435+(0.0001025*X132)+(1.890785*AZ132)+(0.0074045*G132 )+(-0.0006019*H132)+(2.827044*AO132)</f>
        <v>1.6395243228583614</v>
      </c>
      <c r="AT132" s="3">
        <f t="shared" ref="AT132:AT195" si="125">0.6517435+(0.0001025*W132)+(1.890785*AZ132)+(0.0074045*G132)+(-0.0006019*H132)+(2.827044*AO132)</f>
        <v>1.6417379113796156</v>
      </c>
      <c r="AU132" s="3">
        <f t="shared" si="117"/>
        <v>-2.213588521254195E-3</v>
      </c>
      <c r="AV132" s="88">
        <f t="shared" ref="AV132:AV195" si="126">0.73282*M132</f>
        <v>-4.7874618683538733E-2</v>
      </c>
      <c r="AW132" s="32">
        <f t="shared" ref="AW132:AW195" si="127">ABS(AU132-AV132)/AS132</f>
        <v>2.7850169421505557E-2</v>
      </c>
      <c r="AX132" s="12">
        <f t="shared" si="118"/>
        <v>657.308638075727</v>
      </c>
      <c r="AY132" s="12">
        <f t="shared" si="119"/>
        <v>611.21902440663075</v>
      </c>
      <c r="AZ132" s="3">
        <f>VLOOKUP(A132,[5]Analysis!$A$3:$BJ$543,62,FALSE)</f>
        <v>0.40603530059943072</v>
      </c>
      <c r="BA132" s="2"/>
      <c r="BB132" s="2"/>
      <c r="BC132" s="2" t="str">
        <f>VLOOKUP(A132,'[6]FGD status - Jun 2020'!$I$2:$M$449,5,FALSE)</f>
        <v>Bid Awarded</v>
      </c>
      <c r="BD132" s="2"/>
      <c r="BE132" s="2"/>
      <c r="BF132" s="2">
        <f t="shared" si="120"/>
        <v>756.36025673613995</v>
      </c>
      <c r="BG132" s="2">
        <f t="shared" si="121"/>
        <v>707.96822856726112</v>
      </c>
      <c r="BH132" s="2"/>
      <c r="BI132" s="2"/>
      <c r="BK132">
        <f t="shared" si="122"/>
        <v>457.66465072155421</v>
      </c>
      <c r="BL132" t="str">
        <f>VLOOKUP(A132,'[11]Daily coal vs energy req.2'!$C$2:$P$599,14,FALSE)</f>
        <v/>
      </c>
      <c r="BM132" t="str">
        <f>VLOOKUP(A132,'[11]Daily coal vs energy req.2'!$C$2:$R$599,16,FALSE)</f>
        <v/>
      </c>
      <c r="BP132" s="2" t="str">
        <f>VLOOKUP(A132,'[7]Table 2'!$J$2:$N$449,5,FALSE)</f>
        <v>Bid Awarded</v>
      </c>
      <c r="BR132">
        <f t="shared" ref="BR132:BR195" si="128">(X132*I132*365*AZ132)/10^4</f>
        <v>441.61998702397858</v>
      </c>
      <c r="BS132">
        <f t="shared" ref="BS132:BS195" si="129">(W132*R132*365*AZ132)/10^4</f>
        <v>413.36508248387975</v>
      </c>
      <c r="BT132">
        <f>(X132*I132*365*[5]Analysis!BK132)/10^4</f>
        <v>413.95681407113642</v>
      </c>
      <c r="BU132">
        <f>(W132*R132*365*[5]Analysis!BK132)/10^4</f>
        <v>387.47180295530501</v>
      </c>
      <c r="BV132">
        <f>(X132*I132*365*[5]Analysis!BL132)/10^4</f>
        <v>27.663172952842142</v>
      </c>
      <c r="BW132">
        <f>(W132*R132*365*[5]Analysis!BL132)/10^4</f>
        <v>25.893279528574734</v>
      </c>
      <c r="BX132">
        <f t="shared" ref="BX132:BX195" si="130">0.0001025*((X132*I132*10^6))</f>
        <v>3054329.7963361465</v>
      </c>
      <c r="BY132">
        <f t="shared" ref="BY132:BY195" si="131">0.0001025*((W132*R132*10^6))</f>
        <v>2858913.3764158869</v>
      </c>
      <c r="BZ132">
        <f t="shared" ref="BZ132:BZ195" si="132">(1.890785*AZ132*I132*10^6)</f>
        <v>8432659.2623722088</v>
      </c>
      <c r="CA132">
        <f t="shared" ref="CA132:CA195" si="133">(1.890785*AZ132*R132*10^6)</f>
        <v>7830799.6496077245</v>
      </c>
      <c r="CB132">
        <f t="shared" ref="CB132:CB195" si="134">(-0.107843*I132*K132*10^6)</f>
        <v>-1084246.2707406345</v>
      </c>
      <c r="CC132">
        <f t="shared" ref="CC132:CC195" si="135">(-0.107843*R132*L132*10^6)</f>
        <v>-934998.80999999994</v>
      </c>
      <c r="CD132">
        <f t="shared" ref="CD132:CD195" si="136">IF(E132="PVT SECTOR",-0.3690444,0)*I132*10^6</f>
        <v>0</v>
      </c>
      <c r="CE132">
        <f t="shared" ref="CE132:CE195" si="137">IF(E132="PVT SECTOR",-0.3690444,0)*R132*10^6</f>
        <v>0</v>
      </c>
      <c r="CF132">
        <f t="shared" ref="CF132:CF195" si="138" xml:space="preserve"> 0.6517435*I132*10^6</f>
        <v>7158719.0709010381</v>
      </c>
      <c r="CG132">
        <f t="shared" ref="CG132:CG195" si="139" xml:space="preserve"> 0.6517435*R132*10^6</f>
        <v>6647783.7000000002</v>
      </c>
      <c r="CH132">
        <f t="shared" ref="CH132:CH195" si="140">0.0074045*(G132*I132*10^6)</f>
        <v>644410.56333397049</v>
      </c>
      <c r="CI132">
        <f t="shared" ref="CI132:CI195" si="141">0.0074045*(G132*R132*10^6)</f>
        <v>598417.39794661175</v>
      </c>
      <c r="CJ132">
        <f t="shared" ref="CJ132:CJ195" si="142">-0.0006019*H132*I132*10^6</f>
        <v>-3305620.2392316423</v>
      </c>
      <c r="CK132">
        <f t="shared" ref="CK132:CK195" si="143">-0.0006019*H132*R132*10^6</f>
        <v>-3069690.0000000005</v>
      </c>
      <c r="CL132">
        <f t="shared" ref="CL132:CL195" si="144">2.827044*AO132*I132*10^6</f>
        <v>2023957.3839794293</v>
      </c>
      <c r="CM132">
        <f t="shared" ref="CM132:CM195" si="145">2.827044*AO132*R132*10^6</f>
        <v>1879502.5721018533</v>
      </c>
    </row>
    <row r="133" spans="1:91" x14ac:dyDescent="0.2">
      <c r="A133" s="2" t="s">
        <v>150</v>
      </c>
      <c r="B133" s="2" t="str">
        <f t="shared" ref="B133:B141" si="146">LEFT(A133,LEN(A133)-LEN(RIGHT(A133,1)))</f>
        <v>RIHAND STPS</v>
      </c>
      <c r="C133" s="2" t="str">
        <f>VLOOKUP($A133,'[1]daily coal, energy reqd'!$C$2:$T$599,17,FALSE)</f>
        <v>Uttar Pradesh</v>
      </c>
      <c r="D133" s="2" t="str">
        <f>VLOOKUP(C133,'Target PLF'!$I$2:$J$19,2,FALSE)</f>
        <v>NR</v>
      </c>
      <c r="E133" s="2" t="str">
        <f>VLOOKUP(A133,[2]Ownership!$C$2:$D$666,2,FALSE)</f>
        <v>CENTRAL SECTOR</v>
      </c>
      <c r="F133" s="2" t="s">
        <v>543</v>
      </c>
      <c r="G133" s="12">
        <v>8.00821355236139</v>
      </c>
      <c r="H133" s="2">
        <v>500</v>
      </c>
      <c r="I133" s="2">
        <f>VLOOKUP(A133,'[3]Calculated coal req (reg.)'!$A$2:$I$599,9,FALSE)</f>
        <v>10.8166125236153</v>
      </c>
      <c r="J133" s="2"/>
      <c r="K133" s="11">
        <v>0.90138437696794171</v>
      </c>
      <c r="L133" s="3">
        <f>VLOOKUP(F133,'Target PLF'!$A$2:$B$11,2,FALSE)</f>
        <v>0.85</v>
      </c>
      <c r="M133" s="3">
        <f t="shared" si="123"/>
        <v>-5.1384376967941736E-2</v>
      </c>
      <c r="N133" s="2" t="str">
        <f t="shared" si="102"/>
        <v>0.15</v>
      </c>
      <c r="O133" s="2">
        <f t="shared" si="98"/>
        <v>13.640513866339109</v>
      </c>
      <c r="P133" s="2">
        <f t="shared" si="103"/>
        <v>2489393.7806068878</v>
      </c>
      <c r="Q133" s="2">
        <f t="shared" si="104"/>
        <v>12.925587614271047</v>
      </c>
      <c r="R133" s="2">
        <f t="shared" si="105"/>
        <v>10.199999999999999</v>
      </c>
      <c r="S133" s="2">
        <f t="shared" si="106"/>
        <v>2358919.7396044661</v>
      </c>
      <c r="T133" s="2" t="str">
        <f>VLOOKUP(A133,'[4]CEA vs MERIT comp. &amp; NPA marker'!$C$2:$K$735,9,FALSE)</f>
        <v>Contracted</v>
      </c>
      <c r="U133" s="3">
        <f>VLOOKUP(B133,'[8]Import-Domestic share'!$A$208:$F$406,6,FALSE)</f>
        <v>0</v>
      </c>
      <c r="V133" s="3">
        <f t="shared" si="107"/>
        <v>0</v>
      </c>
      <c r="W133" s="2">
        <f t="shared" si="108"/>
        <v>2735.142381950719</v>
      </c>
      <c r="X133" s="2">
        <f t="shared" si="109"/>
        <v>2718.1561867951741</v>
      </c>
      <c r="Y133" s="6">
        <f t="shared" si="110"/>
        <v>0.31442604438992428</v>
      </c>
      <c r="Z133" s="2">
        <f t="shared" si="111"/>
        <v>2287277.8817061726</v>
      </c>
      <c r="AA133" s="2">
        <f t="shared" si="112"/>
        <v>2410485.3696782058</v>
      </c>
      <c r="AB133" s="2" t="s">
        <v>598</v>
      </c>
      <c r="AC133" s="12">
        <f>VLOOKUP(B133,[9]Sheet1!$A$2:$B$137,2,FALSE)</f>
        <v>4451.988614696289</v>
      </c>
      <c r="AD133" s="12">
        <f t="shared" si="113"/>
        <v>2225994.3073481447</v>
      </c>
      <c r="AE133" s="2" t="s">
        <v>589</v>
      </c>
      <c r="AF133" s="7">
        <f>VLOOKUP($B133,'[9]Subsidiary wise dispatch'!$A$3:$R$138,11,FALSE)*$H133*$O133*365</f>
        <v>0</v>
      </c>
      <c r="AG133" s="7">
        <f>VLOOKUP($B133,'[9]Subsidiary wise dispatch'!$A$3:$R$138,12,FALSE)*$H133*$O133*365</f>
        <v>0</v>
      </c>
      <c r="AH133" s="7">
        <f>VLOOKUP($B133,'[9]Subsidiary wise dispatch'!$A$3:$R$138,13,FALSE)*$H133*$O133*365</f>
        <v>0</v>
      </c>
      <c r="AI133" s="7">
        <f>VLOOKUP($B133,'[9]Subsidiary wise dispatch'!$A$3:$R$138,14,FALSE)*$H133*$O133*365</f>
        <v>0</v>
      </c>
      <c r="AJ133" s="7">
        <f>VLOOKUP($B133,'[9]Subsidiary wise dispatch'!$A$3:$R$138,15,FALSE)*$H133*$O133*365</f>
        <v>2489393.7806068878</v>
      </c>
      <c r="AK133" s="7">
        <f>VLOOKUP($B133,'[9]Subsidiary wise dispatch'!$A$3:$R$138,16,FALSE)*$H133*$O133*365</f>
        <v>0</v>
      </c>
      <c r="AL133" s="7">
        <f>VLOOKUP($B133,'[9]Subsidiary wise dispatch'!$A$3:$R$138,17,FALSE)*$H133*$O133*365</f>
        <v>0</v>
      </c>
      <c r="AM133" s="7">
        <f>VLOOKUP($B133,'[9]Subsidiary wise dispatch'!$A$3:$R$138,18,FALSE)*$H133*$O133*365</f>
        <v>0</v>
      </c>
      <c r="AN133" s="15">
        <f t="shared" si="114"/>
        <v>2489393.7806068878</v>
      </c>
      <c r="AO133" s="6">
        <v>6.6356788102148762E-2</v>
      </c>
      <c r="AP133" s="11">
        <f t="shared" si="115"/>
        <v>0.71775566521258904</v>
      </c>
      <c r="AQ133" s="11">
        <f t="shared" si="116"/>
        <v>0.67683923864191731</v>
      </c>
      <c r="AR133" s="3">
        <f>VLOOKUP(A133,[10]Sheet1!$A$2:$L$542,12,FALSE)</f>
        <v>1.3694070648985099</v>
      </c>
      <c r="AS133" s="3">
        <f t="shared" si="124"/>
        <v>1.7194412027555477</v>
      </c>
      <c r="AT133" s="3">
        <f t="shared" si="125"/>
        <v>1.7211822877589911</v>
      </c>
      <c r="AU133" s="3">
        <f t="shared" si="117"/>
        <v>-1.7410850034433878E-3</v>
      </c>
      <c r="AV133" s="88">
        <f t="shared" si="126"/>
        <v>-3.7655499129647066E-2</v>
      </c>
      <c r="AW133" s="32">
        <f t="shared" si="127"/>
        <v>2.0887259226222938E-2</v>
      </c>
      <c r="AX133" s="12">
        <f t="shared" si="118"/>
        <v>678.84631752812209</v>
      </c>
      <c r="AY133" s="12">
        <f t="shared" si="119"/>
        <v>640.79616573267231</v>
      </c>
      <c r="AZ133" s="3">
        <f>VLOOKUP(A133,[5]Analysis!$A$3:$BJ$543,62,FALSE)</f>
        <v>0.44592395047407901</v>
      </c>
      <c r="BA133" s="2"/>
      <c r="BB133" s="2"/>
      <c r="BC133" s="2" t="str">
        <f>VLOOKUP(A133,'[6]FGD status - Jun 2020'!$I$2:$M$449,5,FALSE)</f>
        <v>Bid Awarded</v>
      </c>
      <c r="BD133" s="2"/>
      <c r="BE133" s="2"/>
      <c r="BF133" s="2">
        <f t="shared" si="120"/>
        <v>746.04522191540468</v>
      </c>
      <c r="BG133" s="2">
        <f t="shared" si="121"/>
        <v>707.91250438806037</v>
      </c>
      <c r="BH133" s="2"/>
      <c r="BI133" s="2"/>
      <c r="BK133">
        <f t="shared" si="122"/>
        <v>450.69218848397088</v>
      </c>
      <c r="BL133">
        <f>VLOOKUP(A133,'[11]Daily coal vs energy req.2'!$C$2:$P$599,14,FALSE)</f>
        <v>1.1100000000000001</v>
      </c>
      <c r="BM133">
        <f>VLOOKUP(A133,'[11]Daily coal vs energy req.2'!$C$2:$R$599,16,FALSE)</f>
        <v>0.91</v>
      </c>
      <c r="BN133">
        <f t="shared" ref="BN133:BN141" si="147">BL133*H133</f>
        <v>555</v>
      </c>
      <c r="BO133">
        <f t="shared" ref="BO133:BO141" si="148">BM133*H133</f>
        <v>455</v>
      </c>
      <c r="BP133" s="2" t="str">
        <f>VLOOKUP(A133,'[7]Table 2'!$J$2:$N$449,5,FALSE)</f>
        <v>Bid Awarded</v>
      </c>
      <c r="BR133">
        <f t="shared" si="128"/>
        <v>478.54121041327454</v>
      </c>
      <c r="BS133">
        <f t="shared" si="129"/>
        <v>454.08146418631998</v>
      </c>
      <c r="BT133">
        <f>(X133*I133*365*[5]Analysis!BK133)/10^4</f>
        <v>408.31138398223897</v>
      </c>
      <c r="BU133">
        <f>(W133*R133*365*[5]Analysis!BK133)/10^4</f>
        <v>387.44130504973265</v>
      </c>
      <c r="BV133">
        <f>(X133*I133*365*[5]Analysis!BL133)/10^4</f>
        <v>70.229826431035605</v>
      </c>
      <c r="BW133">
        <f>(W133*R133*365*[5]Analysis!BL133)/10^4</f>
        <v>66.6401591365874</v>
      </c>
      <c r="BX133">
        <f t="shared" si="130"/>
        <v>3013627.3307511862</v>
      </c>
      <c r="BY133">
        <f t="shared" si="131"/>
        <v>2859591.3603294762</v>
      </c>
      <c r="BZ133">
        <f t="shared" si="132"/>
        <v>9119987.008426303</v>
      </c>
      <c r="CA133">
        <f t="shared" si="133"/>
        <v>8600092.4303107392</v>
      </c>
      <c r="CB133">
        <f t="shared" si="134"/>
        <v>-1051461.220064423</v>
      </c>
      <c r="CC133">
        <f t="shared" si="135"/>
        <v>-934998.80999999994</v>
      </c>
      <c r="CD133">
        <f t="shared" si="136"/>
        <v>0</v>
      </c>
      <c r="CE133">
        <f t="shared" si="137"/>
        <v>0</v>
      </c>
      <c r="CF133">
        <f t="shared" si="138"/>
        <v>7049656.9042848684</v>
      </c>
      <c r="CG133">
        <f t="shared" si="139"/>
        <v>6647783.7000000002</v>
      </c>
      <c r="CH133">
        <f t="shared" si="140"/>
        <v>641390.69606021908</v>
      </c>
      <c r="CI133">
        <f t="shared" si="141"/>
        <v>604827.53593429097</v>
      </c>
      <c r="CJ133">
        <f t="shared" si="142"/>
        <v>-3255259.5389820249</v>
      </c>
      <c r="CK133">
        <f t="shared" si="143"/>
        <v>-3069690.0000000005</v>
      </c>
      <c r="CL133">
        <f t="shared" si="144"/>
        <v>2029126.8468052587</v>
      </c>
      <c r="CM133">
        <f t="shared" si="145"/>
        <v>1913454.3085672006</v>
      </c>
    </row>
    <row r="134" spans="1:91" x14ac:dyDescent="0.2">
      <c r="A134" s="2" t="s">
        <v>144</v>
      </c>
      <c r="B134" s="2" t="str">
        <f t="shared" si="146"/>
        <v>MAUDA TPS</v>
      </c>
      <c r="C134" s="2" t="str">
        <f>VLOOKUP($A134,'[1]daily coal, energy reqd'!$C$2:$T$599,17,FALSE)</f>
        <v>Maharashtra</v>
      </c>
      <c r="D134" s="2" t="str">
        <f>VLOOKUP(C134,'Target PLF'!$I$2:$J$19,2,FALSE)</f>
        <v>WR</v>
      </c>
      <c r="E134" s="2" t="str">
        <f>VLOOKUP(A134,[2]Ownership!$C$2:$D$666,2,FALSE)</f>
        <v>CENTRAL SECTOR</v>
      </c>
      <c r="F134" s="2" t="s">
        <v>543</v>
      </c>
      <c r="G134" s="12">
        <v>7.1759069130732298</v>
      </c>
      <c r="H134" s="2">
        <v>500</v>
      </c>
      <c r="I134" s="2">
        <f>VLOOKUP(A134,'[3]Calculated coal req (reg.)'!$A$2:$I$599,9,FALSE)</f>
        <v>6.3853825493935004</v>
      </c>
      <c r="J134" s="2"/>
      <c r="K134" s="11">
        <v>0.53211521244945836</v>
      </c>
      <c r="L134" s="3">
        <f>VLOOKUP(F134,'Target PLF'!$A$2:$B$11,2,FALSE)</f>
        <v>0.85</v>
      </c>
      <c r="M134" s="3">
        <f t="shared" si="123"/>
        <v>0.31788478755054161</v>
      </c>
      <c r="N134" s="2" t="str">
        <f t="shared" si="102"/>
        <v>0.15</v>
      </c>
      <c r="O134" s="2">
        <f t="shared" si="98"/>
        <v>8.4763978868446426</v>
      </c>
      <c r="P134" s="2">
        <f t="shared" si="103"/>
        <v>1546942.6143491473</v>
      </c>
      <c r="Q134" s="2">
        <f t="shared" si="104"/>
        <v>12.899224301471595</v>
      </c>
      <c r="R134" s="2">
        <f t="shared" si="105"/>
        <v>10.199999999999999</v>
      </c>
      <c r="S134" s="2">
        <f t="shared" si="106"/>
        <v>2354108.435018566</v>
      </c>
      <c r="T134" s="2" t="str">
        <f>VLOOKUP(A134,'[4]CEA vs MERIT comp. &amp; NPA marker'!$C$2:$K$735,9,FALSE)</f>
        <v>Contracted</v>
      </c>
      <c r="U134" s="3">
        <f>VLOOKUP(B134,'[8]Import-Domestic share'!$A$208:$F$406,6,FALSE)</f>
        <v>2.9640974451316578E-2</v>
      </c>
      <c r="V134" s="3">
        <f t="shared" si="107"/>
        <v>45852.886509575954</v>
      </c>
      <c r="W134" s="2">
        <f t="shared" si="108"/>
        <v>2735.4658359573978</v>
      </c>
      <c r="X134" s="2">
        <f t="shared" si="109"/>
        <v>2840.5493916397254</v>
      </c>
      <c r="Y134" s="6">
        <f t="shared" si="110"/>
        <v>0.31438886521461701</v>
      </c>
      <c r="Z134" s="2">
        <f t="shared" si="111"/>
        <v>2432888.9774169247</v>
      </c>
      <c r="AA134" s="2">
        <f t="shared" si="112"/>
        <v>1581539.671022319</v>
      </c>
      <c r="AB134" s="2" t="s">
        <v>598</v>
      </c>
      <c r="AC134" s="12">
        <f>VLOOKUP(B134,[9]Sheet1!$A$2:$B$137,2,FALSE)</f>
        <v>4186.0271478899185</v>
      </c>
      <c r="AD134" s="12">
        <f t="shared" si="113"/>
        <v>2093013.5739449593</v>
      </c>
      <c r="AE134" s="2"/>
      <c r="AF134" s="7">
        <f>VLOOKUP($B134,'[9]Subsidiary wise dispatch'!$A$3:$R$138,11,FALSE)*$H134*$O134*365</f>
        <v>113025.22818238763</v>
      </c>
      <c r="AG134" s="7">
        <f>VLOOKUP($B134,'[9]Subsidiary wise dispatch'!$A$3:$R$138,12,FALSE)*$H134*$O134*365</f>
        <v>6999.5420648257077</v>
      </c>
      <c r="AH134" s="7">
        <f>VLOOKUP($B134,'[9]Subsidiary wise dispatch'!$A$3:$R$138,13,FALSE)*$H134*$O134*365</f>
        <v>15937.208217153786</v>
      </c>
      <c r="AI134" s="7">
        <f>VLOOKUP($B134,'[9]Subsidiary wise dispatch'!$A$3:$R$138,14,FALSE)*$H134*$O134*365</f>
        <v>364172.38657022303</v>
      </c>
      <c r="AJ134" s="7">
        <f>VLOOKUP($B134,'[9]Subsidiary wise dispatch'!$A$3:$R$138,15,FALSE)*$H134*$O134*365</f>
        <v>221887.30233625241</v>
      </c>
      <c r="AK134" s="7">
        <f>VLOOKUP($B134,'[9]Subsidiary wise dispatch'!$A$3:$R$138,16,FALSE)*$H134*$O134*365</f>
        <v>0</v>
      </c>
      <c r="AL134" s="7">
        <f>VLOOKUP($B134,'[9]Subsidiary wise dispatch'!$A$3:$R$138,17,FALSE)*$H134*$O134*365</f>
        <v>149498.99330516765</v>
      </c>
      <c r="AM134" s="7">
        <f>VLOOKUP($B134,'[9]Subsidiary wise dispatch'!$A$3:$R$138,18,FALSE)*$H134*$O134*365</f>
        <v>675421.95367313712</v>
      </c>
      <c r="AN134" s="15">
        <f t="shared" si="114"/>
        <v>1546942.6143491473</v>
      </c>
      <c r="AO134" s="6">
        <v>7.3009693702312639E-2</v>
      </c>
      <c r="AP134" s="11">
        <f t="shared" si="115"/>
        <v>0.46619482410331164</v>
      </c>
      <c r="AQ134" s="11">
        <f t="shared" si="116"/>
        <v>0.74469887576358884</v>
      </c>
      <c r="AR134" s="3">
        <f>VLOOKUP(A134,[10]Sheet1!$A$2:$L$542,12,FALSE)</f>
        <v>2.9910847885541001</v>
      </c>
      <c r="AS134" s="3">
        <f t="shared" si="124"/>
        <v>2.230948136722207</v>
      </c>
      <c r="AT134" s="3">
        <f t="shared" si="125"/>
        <v>2.2201770722647685</v>
      </c>
      <c r="AU134" s="3">
        <f t="shared" si="117"/>
        <v>1.0771064457438584E-2</v>
      </c>
      <c r="AV134" s="88">
        <f t="shared" si="126"/>
        <v>0.23295233001278792</v>
      </c>
      <c r="AW134" s="32">
        <f t="shared" si="127"/>
        <v>9.959051127104479E-2</v>
      </c>
      <c r="AX134" s="12">
        <f t="shared" si="118"/>
        <v>519.95919148021926</v>
      </c>
      <c r="AY134" s="12">
        <f t="shared" si="119"/>
        <v>826.57192400417318</v>
      </c>
      <c r="AZ134" s="3">
        <f>VLOOKUP(A134,[5]Analysis!$A$3:$BJ$543,62,FALSE)</f>
        <v>0.70312738085944382</v>
      </c>
      <c r="BA134" s="2"/>
      <c r="BB134" s="2"/>
      <c r="BC134" s="2" t="str">
        <f>VLOOKUP(A134,'[6]FGD status - Jun 2020'!$I$2:$M$449,5,FALSE)</f>
        <v>Bid Awarded</v>
      </c>
      <c r="BD134" s="2"/>
      <c r="BE134" s="2"/>
      <c r="BF134" s="2">
        <f t="shared" si="120"/>
        <v>499.49974950487325</v>
      </c>
      <c r="BG134" s="2">
        <f t="shared" si="121"/>
        <v>768.38251803534524</v>
      </c>
      <c r="BH134" s="2"/>
      <c r="BI134" s="2"/>
      <c r="BK134">
        <f t="shared" si="122"/>
        <v>266.05760622472917</v>
      </c>
      <c r="BL134">
        <f>VLOOKUP(A134,'[11]Daily coal vs energy req.2'!$C$2:$P$599,14,FALSE)</f>
        <v>0.47</v>
      </c>
      <c r="BM134">
        <f>VLOOKUP(A134,'[11]Daily coal vs energy req.2'!$C$2:$R$599,16,FALSE)</f>
        <v>0.59</v>
      </c>
      <c r="BN134">
        <f t="shared" si="147"/>
        <v>235</v>
      </c>
      <c r="BO134">
        <f t="shared" si="148"/>
        <v>295</v>
      </c>
      <c r="BP134" s="2" t="str">
        <f>VLOOKUP(A134,'[7]Table 2'!$J$2:$N$449,5,FALSE)</f>
        <v>Bid Awarded</v>
      </c>
      <c r="BR134">
        <f t="shared" si="128"/>
        <v>465.4962011015582</v>
      </c>
      <c r="BS134">
        <f t="shared" si="129"/>
        <v>716.07471974280372</v>
      </c>
      <c r="BT134">
        <f>(X134*I134*365*[5]Analysis!BK134)/10^4</f>
        <v>276.69542922268272</v>
      </c>
      <c r="BU134">
        <f>(W134*R134*365*[5]Analysis!BK134)/10^4</f>
        <v>425.64171622857117</v>
      </c>
      <c r="BV134">
        <f>(X134*I134*365*[5]Analysis!BL134)/10^4</f>
        <v>188.80077187887539</v>
      </c>
      <c r="BW134">
        <f>(W134*R134*365*[5]Analysis!BL134)/10^4</f>
        <v>290.4330035142325</v>
      </c>
      <c r="BX134">
        <f t="shared" si="130"/>
        <v>1859144.4378968289</v>
      </c>
      <c r="BY134">
        <f t="shared" si="131"/>
        <v>2859929.5314934594</v>
      </c>
      <c r="BZ134">
        <f t="shared" si="132"/>
        <v>8489127.9554164056</v>
      </c>
      <c r="CA134">
        <f t="shared" si="133"/>
        <v>13560519.589146897</v>
      </c>
      <c r="CB134">
        <f t="shared" si="134"/>
        <v>-366424.54452577216</v>
      </c>
      <c r="CC134">
        <f t="shared" si="135"/>
        <v>-934998.80999999994</v>
      </c>
      <c r="CD134">
        <f t="shared" si="136"/>
        <v>0</v>
      </c>
      <c r="CE134">
        <f t="shared" si="137"/>
        <v>0</v>
      </c>
      <c r="CF134">
        <f t="shared" si="138"/>
        <v>4161631.5715806433</v>
      </c>
      <c r="CG134">
        <f t="shared" si="139"/>
        <v>6647783.7000000002</v>
      </c>
      <c r="CH134">
        <f t="shared" si="140"/>
        <v>339280.93386169849</v>
      </c>
      <c r="CI134">
        <f t="shared" si="141"/>
        <v>541966.82792607741</v>
      </c>
      <c r="CJ134">
        <f t="shared" si="142"/>
        <v>-1921680.8782399744</v>
      </c>
      <c r="CK134">
        <f t="shared" si="143"/>
        <v>-3069690.0000000005</v>
      </c>
      <c r="CL134">
        <f t="shared" si="144"/>
        <v>1317953.2803123223</v>
      </c>
      <c r="CM134">
        <f t="shared" si="145"/>
        <v>2105296.4885341991</v>
      </c>
    </row>
    <row r="135" spans="1:91" x14ac:dyDescent="0.2">
      <c r="A135" s="2" t="s">
        <v>156</v>
      </c>
      <c r="B135" s="2" t="str">
        <f t="shared" si="146"/>
        <v>BELLARY TPS</v>
      </c>
      <c r="C135" s="2" t="str">
        <f>VLOOKUP($A135,'[1]daily coal, energy reqd'!$C$2:$T$599,17,FALSE)</f>
        <v>Karnataka</v>
      </c>
      <c r="D135" s="2" t="str">
        <f>VLOOKUP(C135,'Target PLF'!$I$2:$J$19,2,FALSE)</f>
        <v>SR</v>
      </c>
      <c r="E135" s="2" t="str">
        <f>VLOOKUP(A135,[2]Ownership!$C$2:$D$666,2,FALSE)</f>
        <v>STATE SECTOR</v>
      </c>
      <c r="F135" s="2" t="s">
        <v>543</v>
      </c>
      <c r="G135" s="12">
        <v>8.1752224503764506</v>
      </c>
      <c r="H135" s="2">
        <v>500</v>
      </c>
      <c r="I135" s="2">
        <f>VLOOKUP(A135,'[3]Calculated coal req (reg.)'!$A$2:$I$599,9,FALSE)</f>
        <v>5.2037938662005301</v>
      </c>
      <c r="J135" s="2"/>
      <c r="K135" s="11">
        <v>0.43364948885004417</v>
      </c>
      <c r="L135" s="3">
        <f>VLOOKUP(F135,'Target PLF'!$A$2:$B$11,2,FALSE)</f>
        <v>0.85</v>
      </c>
      <c r="M135" s="3">
        <f t="shared" si="123"/>
        <v>0.4163505111499558</v>
      </c>
      <c r="N135" s="2" t="str">
        <f t="shared" si="102"/>
        <v>0.15</v>
      </c>
      <c r="O135" s="2">
        <f t="shared" si="98"/>
        <v>7.1380680543329937</v>
      </c>
      <c r="P135" s="2">
        <f t="shared" si="103"/>
        <v>1302697.4199157713</v>
      </c>
      <c r="Q135" s="2">
        <f t="shared" si="104"/>
        <v>12.930877621115675</v>
      </c>
      <c r="R135" s="2">
        <f t="shared" si="105"/>
        <v>10.199999999999999</v>
      </c>
      <c r="S135" s="2">
        <f t="shared" si="106"/>
        <v>2359885.1658536107</v>
      </c>
      <c r="T135" s="2" t="str">
        <f>VLOOKUP(A135,'[4]CEA vs MERIT comp. &amp; NPA marker'!$C$2:$K$735,9,FALSE)</f>
        <v>Contracted</v>
      </c>
      <c r="U135" s="3">
        <f>VLOOKUP(B135,'[8]Import-Domestic share'!$A$208:$F$406,6,FALSE)</f>
        <v>0</v>
      </c>
      <c r="V135" s="3">
        <f t="shared" si="107"/>
        <v>0</v>
      </c>
      <c r="W135" s="2">
        <f t="shared" si="108"/>
        <v>2736.4184196153319</v>
      </c>
      <c r="X135" s="2">
        <f t="shared" si="109"/>
        <v>2874.0519077067866</v>
      </c>
      <c r="Y135" s="6">
        <f t="shared" si="110"/>
        <v>0.31427942226791955</v>
      </c>
      <c r="Z135" s="2">
        <f t="shared" si="111"/>
        <v>2957849.5252530957</v>
      </c>
      <c r="AA135" s="2">
        <f t="shared" si="112"/>
        <v>1584922.7229538092</v>
      </c>
      <c r="AB135" s="2" t="s">
        <v>598</v>
      </c>
      <c r="AC135" s="12">
        <f>VLOOKUP(B135,[9]Sheet1!$A$2:$B$137,2,FALSE)</f>
        <v>3444.2880509129841</v>
      </c>
      <c r="AD135" s="12">
        <f t="shared" si="113"/>
        <v>1722144.0254564921</v>
      </c>
      <c r="AE135" s="2"/>
      <c r="AF135" s="7">
        <f>VLOOKUP($B135,'[9]Subsidiary wise dispatch'!$A$3:$R$138,11,FALSE)*$H135*$O135*365</f>
        <v>0</v>
      </c>
      <c r="AG135" s="7">
        <f>VLOOKUP($B135,'[9]Subsidiary wise dispatch'!$A$3:$R$138,12,FALSE)*$H135*$O135*365</f>
        <v>0</v>
      </c>
      <c r="AH135" s="7">
        <f>VLOOKUP($B135,'[9]Subsidiary wise dispatch'!$A$3:$R$138,13,FALSE)*$H135*$O135*365</f>
        <v>0</v>
      </c>
      <c r="AI135" s="7">
        <f>VLOOKUP($B135,'[9]Subsidiary wise dispatch'!$A$3:$R$138,14,FALSE)*$H135*$O135*365</f>
        <v>1302697.4199157713</v>
      </c>
      <c r="AJ135" s="7">
        <f>VLOOKUP($B135,'[9]Subsidiary wise dispatch'!$A$3:$R$138,15,FALSE)*$H135*$O135*365</f>
        <v>0</v>
      </c>
      <c r="AK135" s="7">
        <f>VLOOKUP($B135,'[9]Subsidiary wise dispatch'!$A$3:$R$138,16,FALSE)*$H135*$O135*365</f>
        <v>0</v>
      </c>
      <c r="AL135" s="7">
        <f>VLOOKUP($B135,'[9]Subsidiary wise dispatch'!$A$3:$R$138,17,FALSE)*$H135*$O135*365</f>
        <v>0</v>
      </c>
      <c r="AM135" s="7">
        <f>VLOOKUP($B135,'[9]Subsidiary wise dispatch'!$A$3:$R$138,18,FALSE)*$H135*$O135*365</f>
        <v>0</v>
      </c>
      <c r="AN135" s="15">
        <f t="shared" si="114"/>
        <v>1302697.4199157713</v>
      </c>
      <c r="AO135" s="6">
        <v>6.6702414133670743E-2</v>
      </c>
      <c r="AP135" s="11">
        <f t="shared" si="115"/>
        <v>0.34710561352956337</v>
      </c>
      <c r="AQ135" s="11">
        <f t="shared" si="116"/>
        <v>0.68036462416344157</v>
      </c>
      <c r="AR135" s="3">
        <f>VLOOKUP(A135,[10]Sheet1!$A$2:$L$542,12,FALSE)</f>
        <v>3.5768181818181799</v>
      </c>
      <c r="AS135" s="3">
        <f t="shared" si="124"/>
        <v>3.4981932999927965</v>
      </c>
      <c r="AT135" s="3">
        <f t="shared" si="125"/>
        <v>3.4840858674634223</v>
      </c>
      <c r="AU135" s="3">
        <f t="shared" si="117"/>
        <v>1.4107432529374186E-2</v>
      </c>
      <c r="AV135" s="88">
        <f t="shared" si="126"/>
        <v>0.30510998158091063</v>
      </c>
      <c r="AW135" s="32">
        <f t="shared" si="127"/>
        <v>8.3186526328358032E-2</v>
      </c>
      <c r="AX135" s="12">
        <f t="shared" si="118"/>
        <v>664.44150456095008</v>
      </c>
      <c r="AY135" s="12">
        <f t="shared" si="119"/>
        <v>1297.1251684566319</v>
      </c>
      <c r="AZ135" s="3">
        <f>VLOOKUP(A135,[5]Analysis!$A$3:$BJ$543,62,FALSE)</f>
        <v>1.3770499475915714</v>
      </c>
      <c r="BA135" s="2"/>
      <c r="BB135" s="2"/>
      <c r="BC135" s="2" t="str">
        <f>VLOOKUP(A135,'[6]FGD status - Jun 2020'!$I$2:$M$449,5,FALSE)</f>
        <v>BID Opened</v>
      </c>
      <c r="BD135" s="2"/>
      <c r="BE135" s="2"/>
      <c r="BF135" s="2">
        <f t="shared" si="120"/>
        <v>490.53358275420396</v>
      </c>
      <c r="BG135" s="2">
        <f t="shared" si="121"/>
        <v>915.4544280658331</v>
      </c>
      <c r="BH135" s="2"/>
      <c r="BI135" s="2"/>
      <c r="BK135">
        <f t="shared" si="122"/>
        <v>216.82474442502209</v>
      </c>
      <c r="BL135">
        <f>VLOOKUP(A135,'[11]Daily coal vs energy req.2'!$C$2:$P$599,14,FALSE)</f>
        <v>0.81</v>
      </c>
      <c r="BM135">
        <f>VLOOKUP(A135,'[11]Daily coal vs energy req.2'!$C$2:$R$599,16,FALSE)</f>
        <v>1</v>
      </c>
      <c r="BN135">
        <f t="shared" si="147"/>
        <v>405</v>
      </c>
      <c r="BO135">
        <f t="shared" si="148"/>
        <v>500</v>
      </c>
      <c r="BP135" s="2" t="str">
        <f>VLOOKUP(A135,'[7]Table 2'!$J$2:$N$449,5,FALSE)</f>
        <v>NIT issued</v>
      </c>
      <c r="BR135">
        <f t="shared" si="128"/>
        <v>751.72198161175595</v>
      </c>
      <c r="BS135">
        <f t="shared" si="129"/>
        <v>1402.8952164233999</v>
      </c>
      <c r="BT135">
        <f>(X135*I135*365*[5]Analysis!BK135)/10^4</f>
        <v>227.65523785438444</v>
      </c>
      <c r="BU135">
        <f>(W135*R135*365*[5]Analysis!BK135)/10^4</f>
        <v>424.85979124207188</v>
      </c>
      <c r="BV135">
        <f>(X135*I135*365*[5]Analysis!BL135)/10^4</f>
        <v>524.06674375737146</v>
      </c>
      <c r="BW135">
        <f>(W135*R135*365*[5]Analysis!BL135)/10^4</f>
        <v>978.03542518132792</v>
      </c>
      <c r="BX135">
        <f t="shared" si="130"/>
        <v>1532987.3030678169</v>
      </c>
      <c r="BY135">
        <f t="shared" si="131"/>
        <v>2860925.4577078288</v>
      </c>
      <c r="BZ135">
        <f t="shared" si="132"/>
        <v>13549146.112672918</v>
      </c>
      <c r="CA135">
        <f t="shared" si="133"/>
        <v>26557794.928600676</v>
      </c>
      <c r="CB135">
        <f t="shared" si="134"/>
        <v>-243360.94567678141</v>
      </c>
      <c r="CC135">
        <f t="shared" si="135"/>
        <v>-934998.80999999994</v>
      </c>
      <c r="CD135">
        <f t="shared" si="136"/>
        <v>0</v>
      </c>
      <c r="CE135">
        <f t="shared" si="137"/>
        <v>0</v>
      </c>
      <c r="CF135">
        <f t="shared" si="138"/>
        <v>3391538.827636065</v>
      </c>
      <c r="CG135">
        <f t="shared" si="139"/>
        <v>6647783.7000000002</v>
      </c>
      <c r="CH135">
        <f t="shared" si="140"/>
        <v>315003.51584748382</v>
      </c>
      <c r="CI135">
        <f t="shared" si="141"/>
        <v>617441.03326488682</v>
      </c>
      <c r="CJ135">
        <f t="shared" si="142"/>
        <v>-1566081.7640330498</v>
      </c>
      <c r="CK135">
        <f t="shared" si="143"/>
        <v>-3069690.0000000005</v>
      </c>
      <c r="CL135">
        <f t="shared" si="144"/>
        <v>981282.84209507087</v>
      </c>
      <c r="CM135">
        <f t="shared" si="145"/>
        <v>1923420.7285535124</v>
      </c>
    </row>
    <row r="136" spans="1:91" x14ac:dyDescent="0.2">
      <c r="A136" s="2" t="s">
        <v>152</v>
      </c>
      <c r="B136" s="2" t="str">
        <f t="shared" si="146"/>
        <v>DURGAPUR STEEL TPS</v>
      </c>
      <c r="C136" s="2" t="str">
        <f>VLOOKUP($A136,'[1]daily coal, energy reqd'!$C$2:$T$599,17,FALSE)</f>
        <v>West Bengal</v>
      </c>
      <c r="D136" s="2" t="str">
        <f>VLOOKUP(C136,'Target PLF'!$I$2:$J$19,2,FALSE)</f>
        <v>ER</v>
      </c>
      <c r="E136" s="2" t="str">
        <f>VLOOKUP(A136,[2]Ownership!$C$2:$D$666,2,FALSE)</f>
        <v>CENTRAL SECTOR</v>
      </c>
      <c r="F136" s="2" t="s">
        <v>543</v>
      </c>
      <c r="G136" s="12">
        <v>8.1752224503764506</v>
      </c>
      <c r="H136" s="2">
        <v>500</v>
      </c>
      <c r="I136" s="2">
        <f>VLOOKUP(A136,'[3]Calculated coal req (reg.)'!$A$2:$I$599,9,FALSE)</f>
        <v>9.2190227651535199</v>
      </c>
      <c r="J136" s="2"/>
      <c r="K136" s="11">
        <v>0.76825189709612673</v>
      </c>
      <c r="L136" s="3">
        <f>VLOOKUP(F136,'Target PLF'!$A$2:$B$11,2,FALSE)</f>
        <v>0.85</v>
      </c>
      <c r="M136" s="3">
        <f t="shared" si="123"/>
        <v>8.1748102903873243E-2</v>
      </c>
      <c r="N136" s="2" t="str">
        <f t="shared" si="102"/>
        <v>0.15</v>
      </c>
      <c r="O136" s="2">
        <f t="shared" si="98"/>
        <v>11.793491740983216</v>
      </c>
      <c r="P136" s="2">
        <f t="shared" si="103"/>
        <v>2152312.2427294371</v>
      </c>
      <c r="Q136" s="2">
        <f t="shared" si="104"/>
        <v>12.930877621115675</v>
      </c>
      <c r="R136" s="2">
        <f t="shared" si="105"/>
        <v>10.199999999999999</v>
      </c>
      <c r="S136" s="2">
        <f t="shared" si="106"/>
        <v>2359885.1658536107</v>
      </c>
      <c r="T136" s="2" t="str">
        <f>VLOOKUP(A136,'[4]CEA vs MERIT comp. &amp; NPA marker'!$C$2:$K$735,9,FALSE)</f>
        <v>Contracted</v>
      </c>
      <c r="U136" s="3">
        <f>VLOOKUP(B136,'[8]Import-Domestic share'!$A$208:$F$406,6,FALSE)</f>
        <v>0</v>
      </c>
      <c r="V136" s="3">
        <f t="shared" si="107"/>
        <v>0</v>
      </c>
      <c r="W136" s="2">
        <f t="shared" si="108"/>
        <v>2736.4184196153319</v>
      </c>
      <c r="X136" s="2">
        <f t="shared" si="109"/>
        <v>2763.4419880899891</v>
      </c>
      <c r="Y136" s="6">
        <f t="shared" si="110"/>
        <v>0.31427942226791955</v>
      </c>
      <c r="Z136" s="2">
        <f t="shared" si="111"/>
        <v>1934292.6722524913</v>
      </c>
      <c r="AA136" s="2">
        <f t="shared" si="112"/>
        <v>1765528.567396227</v>
      </c>
      <c r="AB136" s="2" t="s">
        <v>598</v>
      </c>
      <c r="AC136" s="12">
        <f>VLOOKUP(B136,[9]Sheet1!$A$2:$B$137,2,FALSE)</f>
        <v>5266.8791658938981</v>
      </c>
      <c r="AD136" s="12">
        <f t="shared" si="113"/>
        <v>2633439.5829469492</v>
      </c>
      <c r="AE136" s="2"/>
      <c r="AF136" s="7">
        <f>VLOOKUP($B136,'[9]Subsidiary wise dispatch'!$A$3:$R$138,11,FALSE)*$H136*$O136*365</f>
        <v>618850.9263993483</v>
      </c>
      <c r="AG136" s="7">
        <f>VLOOKUP($B136,'[9]Subsidiary wise dispatch'!$A$3:$R$138,12,FALSE)*$H136*$O136*365</f>
        <v>0</v>
      </c>
      <c r="AH136" s="7">
        <f>VLOOKUP($B136,'[9]Subsidiary wise dispatch'!$A$3:$R$138,13,FALSE)*$H136*$O136*365</f>
        <v>1285509.6030151665</v>
      </c>
      <c r="AI136" s="7">
        <f>VLOOKUP($B136,'[9]Subsidiary wise dispatch'!$A$3:$R$138,14,FALSE)*$H136*$O136*365</f>
        <v>247951.71331492244</v>
      </c>
      <c r="AJ136" s="7">
        <f>VLOOKUP($B136,'[9]Subsidiary wise dispatch'!$A$3:$R$138,15,FALSE)*$H136*$O136*365</f>
        <v>0</v>
      </c>
      <c r="AK136" s="7">
        <f>VLOOKUP($B136,'[9]Subsidiary wise dispatch'!$A$3:$R$138,16,FALSE)*$H136*$O136*365</f>
        <v>0</v>
      </c>
      <c r="AL136" s="7">
        <f>VLOOKUP($B136,'[9]Subsidiary wise dispatch'!$A$3:$R$138,17,FALSE)*$H136*$O136*365</f>
        <v>0</v>
      </c>
      <c r="AM136" s="7">
        <f>VLOOKUP($B136,'[9]Subsidiary wise dispatch'!$A$3:$R$138,18,FALSE)*$H136*$O136*365</f>
        <v>0</v>
      </c>
      <c r="AN136" s="15">
        <f t="shared" si="114"/>
        <v>2152312.2427294371</v>
      </c>
      <c r="AO136" s="6">
        <v>5.4428108538354968E-2</v>
      </c>
      <c r="AP136" s="11">
        <f t="shared" si="115"/>
        <v>0.50177397167934112</v>
      </c>
      <c r="AQ136" s="11">
        <f t="shared" si="116"/>
        <v>0.55516670709122062</v>
      </c>
      <c r="AR136" s="3">
        <f>VLOOKUP(A136,[10]Sheet1!$A$2:$L$542,12,FALSE)</f>
        <v>2.17</v>
      </c>
      <c r="AS136" s="3">
        <f t="shared" si="124"/>
        <v>2.1439514282943102</v>
      </c>
      <c r="AT136" s="3">
        <f t="shared" si="125"/>
        <v>2.1411815125256575</v>
      </c>
      <c r="AU136" s="3">
        <f t="shared" si="117"/>
        <v>2.7699157686527087E-3</v>
      </c>
      <c r="AV136" s="88">
        <f t="shared" si="126"/>
        <v>5.9906644770016393E-2</v>
      </c>
      <c r="AW136" s="32">
        <f t="shared" si="127"/>
        <v>2.6650197503224528E-2</v>
      </c>
      <c r="AX136" s="12">
        <f t="shared" si="118"/>
        <v>721.42750140624571</v>
      </c>
      <c r="AY136" s="12">
        <f t="shared" si="119"/>
        <v>797.16187711330224</v>
      </c>
      <c r="AZ136" s="3">
        <f>VLOOKUP(A136,[5]Analysis!$A$3:$BJ$543,62,FALSE)</f>
        <v>0.68516570218537198</v>
      </c>
      <c r="BA136" s="2"/>
      <c r="BB136" s="2"/>
      <c r="BC136" s="2" t="str">
        <f>VLOOKUP(A136,'[6]FGD status - Jun 2020'!$I$2:$M$449,5,FALSE)</f>
        <v>Bid Awarded</v>
      </c>
      <c r="BD136" s="2"/>
      <c r="BE136" s="2"/>
      <c r="BF136" s="2">
        <f t="shared" si="120"/>
        <v>546.4310916091323</v>
      </c>
      <c r="BG136" s="2">
        <f t="shared" si="121"/>
        <v>598.66358206214613</v>
      </c>
      <c r="BH136" s="2"/>
      <c r="BI136" s="2"/>
      <c r="BK136">
        <f t="shared" si="122"/>
        <v>384.12594854806338</v>
      </c>
      <c r="BL136">
        <f>VLOOKUP(A136,'[11]Daily coal vs energy req.2'!$C$2:$P$599,14,FALSE)</f>
        <v>0.81</v>
      </c>
      <c r="BM136">
        <f>VLOOKUP(A136,'[11]Daily coal vs energy req.2'!$C$2:$R$599,16,FALSE)</f>
        <v>0.72</v>
      </c>
      <c r="BN136">
        <f t="shared" si="147"/>
        <v>405</v>
      </c>
      <c r="BO136">
        <f t="shared" si="148"/>
        <v>360</v>
      </c>
      <c r="BP136" s="2" t="str">
        <f>VLOOKUP(A136,'[7]Table 2'!$J$2:$N$449,5,FALSE)</f>
        <v>Bid Awarded</v>
      </c>
      <c r="BR136">
        <f t="shared" si="128"/>
        <v>637.12363911886575</v>
      </c>
      <c r="BS136">
        <f t="shared" si="129"/>
        <v>698.02528785131028</v>
      </c>
      <c r="BT136">
        <f>(X136*I136*365*[5]Analysis!BK136)/10^4</f>
        <v>524.12171404052151</v>
      </c>
      <c r="BU136">
        <f>(W136*R136*365*[5]Analysis!BK136)/10^4</f>
        <v>574.22168610510744</v>
      </c>
      <c r="BV136">
        <f>(X136*I136*365*[5]Analysis!BL136)/10^4</f>
        <v>113.0019250783443</v>
      </c>
      <c r="BW136">
        <f>(W136*R136*365*[5]Analysis!BL136)/10^4</f>
        <v>123.80360174620274</v>
      </c>
      <c r="BX136">
        <f t="shared" si="130"/>
        <v>2611314.0463342275</v>
      </c>
      <c r="BY136">
        <f t="shared" si="131"/>
        <v>2860925.4577078288</v>
      </c>
      <c r="BZ136">
        <f t="shared" si="132"/>
        <v>11943253.508192239</v>
      </c>
      <c r="CA136">
        <f t="shared" si="133"/>
        <v>13214110.528506998</v>
      </c>
      <c r="CB136">
        <f t="shared" si="134"/>
        <v>-763801.46921836352</v>
      </c>
      <c r="CC136">
        <f t="shared" si="135"/>
        <v>-934998.80999999994</v>
      </c>
      <c r="CD136">
        <f t="shared" si="136"/>
        <v>0</v>
      </c>
      <c r="CE136">
        <f t="shared" si="137"/>
        <v>0</v>
      </c>
      <c r="CF136">
        <f t="shared" si="138"/>
        <v>6008438.1635408336</v>
      </c>
      <c r="CG136">
        <f t="shared" si="139"/>
        <v>6647783.7000000002</v>
      </c>
      <c r="CH136">
        <f t="shared" si="140"/>
        <v>558059.11194204923</v>
      </c>
      <c r="CI136">
        <f t="shared" si="141"/>
        <v>617441.03326488682</v>
      </c>
      <c r="CJ136">
        <f t="shared" si="142"/>
        <v>-2774464.9011729523</v>
      </c>
      <c r="CK136">
        <f t="shared" si="143"/>
        <v>-3069690.0000000005</v>
      </c>
      <c r="CL136">
        <f t="shared" si="144"/>
        <v>1418537.0959922513</v>
      </c>
      <c r="CM136">
        <f t="shared" si="145"/>
        <v>1569480.7082819927</v>
      </c>
    </row>
    <row r="137" spans="1:91" x14ac:dyDescent="0.2">
      <c r="A137" s="2" t="s">
        <v>157</v>
      </c>
      <c r="B137" s="2" t="str">
        <f t="shared" si="146"/>
        <v>VALLUR TPP</v>
      </c>
      <c r="C137" s="2" t="str">
        <f>VLOOKUP($A137,'[1]daily coal, energy reqd'!$C$2:$T$599,17,FALSE)</f>
        <v>Tamil Nadu</v>
      </c>
      <c r="D137" s="2" t="str">
        <f>VLOOKUP(C137,'Target PLF'!$I$2:$J$19,2,FALSE)</f>
        <v>SR</v>
      </c>
      <c r="E137" s="2" t="str">
        <f>VLOOKUP(A137,[2]Ownership!$C$2:$D$666,2,FALSE)</f>
        <v>CENTRAL SECTOR</v>
      </c>
      <c r="F137" s="2" t="s">
        <v>543</v>
      </c>
      <c r="G137" s="12">
        <v>8.1752224503764506</v>
      </c>
      <c r="H137" s="2">
        <v>500</v>
      </c>
      <c r="I137" s="2">
        <f>VLOOKUP(A137,'[3]Calculated coal req (reg.)'!$A$2:$I$599,9,FALSE)</f>
        <v>6.2597657750233902</v>
      </c>
      <c r="J137" s="2"/>
      <c r="K137" s="11">
        <v>0.52164714791861588</v>
      </c>
      <c r="L137" s="3">
        <f>VLOOKUP(F137,'Target PLF'!$A$2:$B$11,2,FALSE)</f>
        <v>0.85</v>
      </c>
      <c r="M137" s="3">
        <f t="shared" si="123"/>
        <v>0.32835285208138409</v>
      </c>
      <c r="N137" s="2" t="str">
        <f t="shared" si="102"/>
        <v>0.15</v>
      </c>
      <c r="O137" s="2">
        <f t="shared" si="98"/>
        <v>8.3624058842517535</v>
      </c>
      <c r="P137" s="2">
        <f t="shared" si="103"/>
        <v>1526139.0738759451</v>
      </c>
      <c r="Q137" s="2">
        <f t="shared" si="104"/>
        <v>12.930877621115675</v>
      </c>
      <c r="R137" s="2">
        <f t="shared" si="105"/>
        <v>10.199999999999999</v>
      </c>
      <c r="S137" s="2">
        <f t="shared" si="106"/>
        <v>2359885.1658536107</v>
      </c>
      <c r="T137" s="2" t="str">
        <f>VLOOKUP(A137,'[4]CEA vs MERIT comp. &amp; NPA marker'!$C$2:$K$735,9,FALSE)</f>
        <v>Contracted</v>
      </c>
      <c r="U137" s="3">
        <f>VLOOKUP(B137,'[8]Import-Domestic share'!$A$208:$F$406,6,FALSE)</f>
        <v>0</v>
      </c>
      <c r="V137" s="3">
        <f t="shared" si="107"/>
        <v>0</v>
      </c>
      <c r="W137" s="2">
        <f t="shared" si="108"/>
        <v>2736.4184196153319</v>
      </c>
      <c r="X137" s="2">
        <f t="shared" si="109"/>
        <v>2844.9624159512978</v>
      </c>
      <c r="Y137" s="6">
        <f t="shared" si="110"/>
        <v>0.31427942226791955</v>
      </c>
      <c r="Z137" s="2">
        <f t="shared" si="111"/>
        <v>2423389.4548219559</v>
      </c>
      <c r="AA137" s="2">
        <f t="shared" si="112"/>
        <v>1546233.7681559704</v>
      </c>
      <c r="AB137" s="2" t="s">
        <v>598</v>
      </c>
      <c r="AC137" s="12">
        <f>VLOOKUP(B137,[9]Sheet1!$A$2:$B$137,2,FALSE)</f>
        <v>4203.8995242621295</v>
      </c>
      <c r="AD137" s="12">
        <f t="shared" si="113"/>
        <v>2101949.7621310647</v>
      </c>
      <c r="AE137" s="2"/>
      <c r="AF137" s="7">
        <f>VLOOKUP($B137,'[9]Subsidiary wise dispatch'!$A$3:$R$138,11,FALSE)*$H137*$O137*365</f>
        <v>0</v>
      </c>
      <c r="AG137" s="7">
        <f>VLOOKUP($B137,'[9]Subsidiary wise dispatch'!$A$3:$R$138,12,FALSE)*$H137*$O137*365</f>
        <v>58838.007652997389</v>
      </c>
      <c r="AH137" s="7">
        <f>VLOOKUP($B137,'[9]Subsidiary wise dispatch'!$A$3:$R$138,13,FALSE)*$H137*$O137*365</f>
        <v>298700.0988393607</v>
      </c>
      <c r="AI137" s="7">
        <f>VLOOKUP($B137,'[9]Subsidiary wise dispatch'!$A$3:$R$138,14,FALSE)*$H137*$O137*365</f>
        <v>1168600.967383587</v>
      </c>
      <c r="AJ137" s="7">
        <f>VLOOKUP($B137,'[9]Subsidiary wise dispatch'!$A$3:$R$138,15,FALSE)*$H137*$O137*365</f>
        <v>0</v>
      </c>
      <c r="AK137" s="7">
        <f>VLOOKUP($B137,'[9]Subsidiary wise dispatch'!$A$3:$R$138,16,FALSE)*$H137*$O137*365</f>
        <v>0</v>
      </c>
      <c r="AL137" s="7">
        <f>VLOOKUP($B137,'[9]Subsidiary wise dispatch'!$A$3:$R$138,17,FALSE)*$H137*$O137*365</f>
        <v>0</v>
      </c>
      <c r="AM137" s="7">
        <f>VLOOKUP($B137,'[9]Subsidiary wise dispatch'!$A$3:$R$138,18,FALSE)*$H137*$O137*365</f>
        <v>0</v>
      </c>
      <c r="AN137" s="15">
        <f t="shared" si="114"/>
        <v>1526139.0738759451</v>
      </c>
      <c r="AO137" s="6">
        <v>7.9840284877193357E-2</v>
      </c>
      <c r="AP137" s="11">
        <f t="shared" si="115"/>
        <v>0.49978148274237255</v>
      </c>
      <c r="AQ137" s="11">
        <f t="shared" si="116"/>
        <v>0.81437090574737214</v>
      </c>
      <c r="AR137" s="3">
        <f>VLOOKUP(A137,[10]Sheet1!$A$2:$L$542,12,FALSE)</f>
        <v>3.3957030663158698</v>
      </c>
      <c r="AS137" s="3">
        <f t="shared" si="124"/>
        <v>3.3182848777113971</v>
      </c>
      <c r="AT137" s="3">
        <f t="shared" si="125"/>
        <v>3.3071591180869611</v>
      </c>
      <c r="AU137" s="3">
        <f t="shared" si="117"/>
        <v>1.1125759624436071E-2</v>
      </c>
      <c r="AV137" s="88">
        <f t="shared" si="126"/>
        <v>0.2406235370622799</v>
      </c>
      <c r="AW137" s="32">
        <f t="shared" si="127"/>
        <v>6.9161565656812196E-2</v>
      </c>
      <c r="AX137" s="12">
        <f t="shared" si="118"/>
        <v>758.16654298855497</v>
      </c>
      <c r="AY137" s="12">
        <f t="shared" si="119"/>
        <v>1231.2553396637754</v>
      </c>
      <c r="AZ137" s="3">
        <f>VLOOKUP(A137,[5]Analysis!$A$3:$BJ$543,62,FALSE)</f>
        <v>1.2638334327394265</v>
      </c>
      <c r="BA137" s="2"/>
      <c r="BB137" s="2"/>
      <c r="BC137" s="2" t="str">
        <f>VLOOKUP(A137,'[6]FGD status - Jun 2020'!$I$2:$M$449,5,FALSE)</f>
        <v>Bid Awarded</v>
      </c>
      <c r="BD137" s="2"/>
      <c r="BE137" s="2"/>
      <c r="BF137" s="2">
        <f t="shared" si="120"/>
        <v>478.55935124427282</v>
      </c>
      <c r="BG137" s="2">
        <f t="shared" si="121"/>
        <v>750.03903626739532</v>
      </c>
      <c r="BH137" s="2"/>
      <c r="BI137" s="2"/>
      <c r="BK137">
        <f t="shared" si="122"/>
        <v>260.82357395930796</v>
      </c>
      <c r="BL137">
        <f>VLOOKUP(A137,'[11]Daily coal vs energy req.2'!$C$2:$P$599,14,FALSE)</f>
        <v>0.75</v>
      </c>
      <c r="BM137">
        <f>VLOOKUP(A137,'[11]Daily coal vs energy req.2'!$C$2:$R$599,16,FALSE)</f>
        <v>0.77</v>
      </c>
      <c r="BN137">
        <f t="shared" si="147"/>
        <v>375</v>
      </c>
      <c r="BO137">
        <f t="shared" si="148"/>
        <v>385</v>
      </c>
      <c r="BP137" s="2" t="str">
        <f>VLOOKUP(A137,'[7]Table 2'!$J$2:$N$449,5,FALSE)</f>
        <v>Bid Awarded</v>
      </c>
      <c r="BR137">
        <f t="shared" si="128"/>
        <v>821.51844901626021</v>
      </c>
      <c r="BS137">
        <f t="shared" si="129"/>
        <v>1287.5537886240711</v>
      </c>
      <c r="BT137">
        <f>(X137*I137*365*[5]Analysis!BK137)/10^4</f>
        <v>315.47191087886125</v>
      </c>
      <c r="BU137">
        <f>(W137*R137*365*[5]Analysis!BK137)/10^4</f>
        <v>494.43448840734868</v>
      </c>
      <c r="BV137">
        <f>(X137*I137*365*[5]Analysis!BL137)/10^4</f>
        <v>506.04653813739873</v>
      </c>
      <c r="BW137">
        <f>(W137*R137*365*[5]Analysis!BL137)/10^4</f>
        <v>793.11930021672219</v>
      </c>
      <c r="BX137">
        <f t="shared" si="130"/>
        <v>1825401.8321664787</v>
      </c>
      <c r="BY137">
        <f t="shared" si="131"/>
        <v>2860925.4577078288</v>
      </c>
      <c r="BZ137">
        <f t="shared" si="132"/>
        <v>14958569.767245052</v>
      </c>
      <c r="CA137">
        <f t="shared" si="133"/>
        <v>24374300.430646606</v>
      </c>
      <c r="CB137">
        <f t="shared" si="134"/>
        <v>-352149.34195616847</v>
      </c>
      <c r="CC137">
        <f t="shared" si="135"/>
        <v>-934998.80999999994</v>
      </c>
      <c r="CD137">
        <f t="shared" si="136"/>
        <v>0</v>
      </c>
      <c r="CE137">
        <f t="shared" si="137"/>
        <v>0</v>
      </c>
      <c r="CF137">
        <f t="shared" si="138"/>
        <v>4079761.6553939572</v>
      </c>
      <c r="CG137">
        <f t="shared" si="139"/>
        <v>6647783.7000000002</v>
      </c>
      <c r="CH137">
        <f t="shared" si="140"/>
        <v>378925.12236535456</v>
      </c>
      <c r="CI137">
        <f t="shared" si="141"/>
        <v>617441.03326488682</v>
      </c>
      <c r="CJ137">
        <f t="shared" si="142"/>
        <v>-1883876.5099932896</v>
      </c>
      <c r="CK137">
        <f t="shared" si="143"/>
        <v>-3069690.0000000005</v>
      </c>
      <c r="CL137">
        <f t="shared" si="144"/>
        <v>1412904.2420979277</v>
      </c>
      <c r="CM137">
        <f t="shared" si="145"/>
        <v>2302262.3828676739</v>
      </c>
    </row>
    <row r="138" spans="1:91" x14ac:dyDescent="0.2">
      <c r="A138" s="2" t="s">
        <v>153</v>
      </c>
      <c r="B138" s="2" t="str">
        <f t="shared" si="146"/>
        <v>SIMHADRI STPP</v>
      </c>
      <c r="C138" s="2" t="str">
        <f>VLOOKUP($A138,'[1]daily coal, energy reqd'!$C$2:$T$599,17,FALSE)</f>
        <v>Andhra Pradesh</v>
      </c>
      <c r="D138" s="2" t="str">
        <f>VLOOKUP(C138,'Target PLF'!$I$2:$J$19,2,FALSE)</f>
        <v>SR</v>
      </c>
      <c r="E138" s="2" t="str">
        <f>VLOOKUP(A138,[2]Ownership!$C$2:$D$666,2,FALSE)</f>
        <v>CENTRAL SECTOR</v>
      </c>
      <c r="F138" s="2" t="s">
        <v>543</v>
      </c>
      <c r="G138" s="12">
        <v>8.1752224503764506</v>
      </c>
      <c r="H138" s="2">
        <v>500</v>
      </c>
      <c r="I138" s="2">
        <f>VLOOKUP(A138,'[3]Calculated coal req (reg.)'!$A$2:$I$599,9,FALSE)</f>
        <v>8.1922288980701605</v>
      </c>
      <c r="J138" s="2"/>
      <c r="K138" s="11">
        <v>0.6826857415058466</v>
      </c>
      <c r="L138" s="3">
        <f>VLOOKUP(F138,'Target PLF'!$A$2:$B$11,2,FALSE)</f>
        <v>0.85</v>
      </c>
      <c r="M138" s="3">
        <f t="shared" si="123"/>
        <v>0.16731425849415338</v>
      </c>
      <c r="N138" s="2" t="str">
        <f t="shared" si="102"/>
        <v>0.15</v>
      </c>
      <c r="O138" s="2">
        <f t="shared" si="98"/>
        <v>10.602984148408972</v>
      </c>
      <c r="P138" s="2">
        <f t="shared" si="103"/>
        <v>1935044.6070846375</v>
      </c>
      <c r="Q138" s="2">
        <f t="shared" si="104"/>
        <v>12.930877621115675</v>
      </c>
      <c r="R138" s="2">
        <f t="shared" si="105"/>
        <v>10.199999999999999</v>
      </c>
      <c r="S138" s="2">
        <f t="shared" si="106"/>
        <v>2359885.1658536107</v>
      </c>
      <c r="T138" s="2" t="str">
        <f>VLOOKUP(A138,'[4]CEA vs MERIT comp. &amp; NPA marker'!$C$2:$K$735,9,FALSE)</f>
        <v>Contracted</v>
      </c>
      <c r="U138" s="3">
        <f>VLOOKUP(B138,'[8]Import-Domestic share'!$A$208:$F$406,6,FALSE)</f>
        <v>1.6194662129857273E-2</v>
      </c>
      <c r="V138" s="3">
        <f t="shared" si="107"/>
        <v>31337.39361793812</v>
      </c>
      <c r="W138" s="2">
        <f t="shared" si="108"/>
        <v>2740.0695968826162</v>
      </c>
      <c r="X138" s="2">
        <f t="shared" si="109"/>
        <v>2795.3788720901389</v>
      </c>
      <c r="Y138" s="6">
        <f t="shared" si="110"/>
        <v>0.31386064097730365</v>
      </c>
      <c r="Z138" s="2">
        <f t="shared" si="111"/>
        <v>2367451.018214725</v>
      </c>
      <c r="AA138" s="2">
        <f t="shared" si="112"/>
        <v>1939822.5046423788</v>
      </c>
      <c r="AB138" s="2" t="s">
        <v>598</v>
      </c>
      <c r="AC138" s="12">
        <f>VLOOKUP(B138,[9]Sheet1!$A$2:$B$137,2,FALSE)</f>
        <v>4308.9715608505721</v>
      </c>
      <c r="AD138" s="12">
        <f t="shared" si="113"/>
        <v>2154485.7804252859</v>
      </c>
      <c r="AE138" s="2"/>
      <c r="AF138" s="7">
        <f>VLOOKUP($B138,'[9]Subsidiary wise dispatch'!$A$3:$R$138,11,FALSE)*$H138*$O138*365</f>
        <v>0</v>
      </c>
      <c r="AG138" s="7">
        <f>VLOOKUP($B138,'[9]Subsidiary wise dispatch'!$A$3:$R$138,12,FALSE)*$H138*$O138*365</f>
        <v>21842.51497875205</v>
      </c>
      <c r="AH138" s="7">
        <f>VLOOKUP($B138,'[9]Subsidiary wise dispatch'!$A$3:$R$138,13,FALSE)*$H138*$O138*365</f>
        <v>546912.97458982526</v>
      </c>
      <c r="AI138" s="7">
        <f>VLOOKUP($B138,'[9]Subsidiary wise dispatch'!$A$3:$R$138,14,FALSE)*$H138*$O138*365</f>
        <v>1365953.9623092094</v>
      </c>
      <c r="AJ138" s="7">
        <f>VLOOKUP($B138,'[9]Subsidiary wise dispatch'!$A$3:$R$138,15,FALSE)*$H138*$O138*365</f>
        <v>335.15520685027877</v>
      </c>
      <c r="AK138" s="7">
        <f>VLOOKUP($B138,'[9]Subsidiary wise dispatch'!$A$3:$R$138,16,FALSE)*$H138*$O138*365</f>
        <v>0</v>
      </c>
      <c r="AL138" s="7">
        <f>VLOOKUP($B138,'[9]Subsidiary wise dispatch'!$A$3:$R$138,17,FALSE)*$H138*$O138*365</f>
        <v>0</v>
      </c>
      <c r="AM138" s="7">
        <f>VLOOKUP($B138,'[9]Subsidiary wise dispatch'!$A$3:$R$138,18,FALSE)*$H138*$O138*365</f>
        <v>0</v>
      </c>
      <c r="AN138" s="15">
        <f t="shared" si="114"/>
        <v>1935044.607084637</v>
      </c>
      <c r="AO138" s="6">
        <v>5.6962700163683135E-2</v>
      </c>
      <c r="AP138" s="11">
        <f t="shared" si="115"/>
        <v>0.46665147839303084</v>
      </c>
      <c r="AQ138" s="11">
        <f t="shared" si="116"/>
        <v>0.58101954166956793</v>
      </c>
      <c r="AR138" s="3">
        <f>VLOOKUP(A138,[10]Sheet1!$A$2:$L$542,12,FALSE)</f>
        <v>2.9592455722167998</v>
      </c>
      <c r="AS138" s="3">
        <f t="shared" si="124"/>
        <v>2.708212566863351</v>
      </c>
      <c r="AT138" s="3">
        <f t="shared" si="125"/>
        <v>2.7025433661545804</v>
      </c>
      <c r="AU138" s="3">
        <f t="shared" si="117"/>
        <v>5.6692007087706386E-3</v>
      </c>
      <c r="AV138" s="88">
        <f t="shared" si="126"/>
        <v>0.12261123490968548</v>
      </c>
      <c r="AW138" s="32">
        <f t="shared" si="127"/>
        <v>4.3180522693001523E-2</v>
      </c>
      <c r="AX138" s="12">
        <f t="shared" si="118"/>
        <v>809.79984971167698</v>
      </c>
      <c r="AY138" s="12">
        <f t="shared" si="119"/>
        <v>1006.1568952193502</v>
      </c>
      <c r="AZ138" s="3">
        <f>VLOOKUP(A138,[5]Analysis!$A$3:$BJ$543,62,FALSE)</f>
        <v>0.97807166765061082</v>
      </c>
      <c r="BA138" s="2"/>
      <c r="BB138" s="2"/>
      <c r="BC138" s="2" t="str">
        <f>VLOOKUP(A138,'[6]FGD status - Jun 2020'!$I$2:$M$449,5,FALSE)</f>
        <v>Bid Awarded</v>
      </c>
      <c r="BD138" s="2"/>
      <c r="BE138" s="2"/>
      <c r="BF138" s="2">
        <f t="shared" si="120"/>
        <v>607.08526007047374</v>
      </c>
      <c r="BG138" s="2">
        <f t="shared" si="121"/>
        <v>740.9155289503982</v>
      </c>
      <c r="BH138" s="2"/>
      <c r="BI138" s="2"/>
      <c r="BK138">
        <f t="shared" si="122"/>
        <v>341.34287075292332</v>
      </c>
      <c r="BL138">
        <f>VLOOKUP(A138,'[11]Daily coal vs energy req.2'!$C$2:$P$599,14,FALSE)</f>
        <v>0.88</v>
      </c>
      <c r="BM138">
        <f>VLOOKUP(A138,'[11]Daily coal vs energy req.2'!$C$2:$R$599,16,FALSE)</f>
        <v>0.89</v>
      </c>
      <c r="BN138">
        <f t="shared" si="147"/>
        <v>440</v>
      </c>
      <c r="BO138">
        <f t="shared" si="148"/>
        <v>445</v>
      </c>
      <c r="BP138" s="2" t="str">
        <f>VLOOKUP(A138,'[7]Table 2'!$J$2:$N$449,5,FALSE)</f>
        <v>Bid Awarded</v>
      </c>
      <c r="BR138">
        <f t="shared" si="128"/>
        <v>817.53489695701967</v>
      </c>
      <c r="BS138">
        <f t="shared" si="129"/>
        <v>997.75820704986916</v>
      </c>
      <c r="BT138">
        <f>(X138*I138*365*[5]Analysis!BK138)/10^4</f>
        <v>420.26222011791293</v>
      </c>
      <c r="BU138">
        <f>(W138*R138*365*[5]Analysis!BK138)/10^4</f>
        <v>512.90786582495105</v>
      </c>
      <c r="BV138">
        <f>(X138*I138*365*[5]Analysis!BL138)/10^4</f>
        <v>397.27267683910674</v>
      </c>
      <c r="BW138">
        <f>(W138*R138*365*[5]Analysis!BL138)/10^4</f>
        <v>484.85034122491805</v>
      </c>
      <c r="BX138">
        <f t="shared" si="130"/>
        <v>2347289.3166416399</v>
      </c>
      <c r="BY138">
        <f t="shared" si="131"/>
        <v>2864742.763540775</v>
      </c>
      <c r="BZ138">
        <f t="shared" si="132"/>
        <v>15150079.273189191</v>
      </c>
      <c r="CA138">
        <f t="shared" si="133"/>
        <v>18863097.028811354</v>
      </c>
      <c r="CB138">
        <f t="shared" si="134"/>
        <v>-603135.4721613836</v>
      </c>
      <c r="CC138">
        <f t="shared" si="135"/>
        <v>-934998.80999999994</v>
      </c>
      <c r="CD138">
        <f t="shared" si="136"/>
        <v>0</v>
      </c>
      <c r="CE138">
        <f t="shared" si="137"/>
        <v>0</v>
      </c>
      <c r="CF138">
        <f t="shared" si="138"/>
        <v>5339231.9348293897</v>
      </c>
      <c r="CG138">
        <f t="shared" si="139"/>
        <v>6647783.7000000002</v>
      </c>
      <c r="CH138">
        <f t="shared" si="140"/>
        <v>495903.75250655925</v>
      </c>
      <c r="CI138">
        <f t="shared" si="141"/>
        <v>617441.03326488682</v>
      </c>
      <c r="CJ138">
        <f t="shared" si="142"/>
        <v>-2465451.2868742151</v>
      </c>
      <c r="CK138">
        <f t="shared" si="143"/>
        <v>-3069690.0000000005</v>
      </c>
      <c r="CL138">
        <f t="shared" si="144"/>
        <v>1319244.2620821474</v>
      </c>
      <c r="CM138">
        <f t="shared" si="145"/>
        <v>1642567.8091597019</v>
      </c>
    </row>
    <row r="139" spans="1:91" x14ac:dyDescent="0.2">
      <c r="A139" s="2" t="s">
        <v>161</v>
      </c>
      <c r="B139" s="2" t="str">
        <f t="shared" si="146"/>
        <v>DURGAPUR STEEL TPS</v>
      </c>
      <c r="C139" s="2" t="str">
        <f>VLOOKUP($A139,'[1]daily coal, energy reqd'!$C$2:$T$599,17,FALSE)</f>
        <v>West Bengal</v>
      </c>
      <c r="D139" s="2" t="str">
        <f>VLOOKUP(C139,'Target PLF'!$I$2:$J$19,2,FALSE)</f>
        <v>ER</v>
      </c>
      <c r="E139" s="2" t="str">
        <f>VLOOKUP(A139,[2]Ownership!$C$2:$D$666,2,FALSE)</f>
        <v>CENTRAL SECTOR</v>
      </c>
      <c r="F139" s="2" t="s">
        <v>543</v>
      </c>
      <c r="G139" s="12">
        <v>8.8432580424366805</v>
      </c>
      <c r="H139" s="2">
        <v>500</v>
      </c>
      <c r="I139" s="2">
        <f>VLOOKUP(A139,'[3]Calculated coal req (reg.)'!$A$2:$I$599,9,FALSE)</f>
        <v>8.3721618440242196</v>
      </c>
      <c r="J139" s="2"/>
      <c r="K139" s="11">
        <v>0.69768015366868497</v>
      </c>
      <c r="L139" s="3">
        <f>VLOOKUP(F139,'Target PLF'!$A$2:$B$11,2,FALSE)</f>
        <v>0.85</v>
      </c>
      <c r="M139" s="3">
        <f t="shared" si="123"/>
        <v>0.15231984633131501</v>
      </c>
      <c r="N139" s="2" t="str">
        <f t="shared" si="102"/>
        <v>0.15</v>
      </c>
      <c r="O139" s="2">
        <f t="shared" si="98"/>
        <v>10.832765930532696</v>
      </c>
      <c r="P139" s="2">
        <f t="shared" si="103"/>
        <v>1976979.782322217</v>
      </c>
      <c r="Q139" s="2">
        <f t="shared" si="104"/>
        <v>12.952037648494182</v>
      </c>
      <c r="R139" s="2">
        <f t="shared" si="105"/>
        <v>10.199999999999999</v>
      </c>
      <c r="S139" s="2">
        <f t="shared" si="106"/>
        <v>2363746.8708501882</v>
      </c>
      <c r="T139" s="2" t="str">
        <f>VLOOKUP(A139,'[4]CEA vs MERIT comp. &amp; NPA marker'!$C$2:$K$735,9,FALSE)</f>
        <v>Contracted</v>
      </c>
      <c r="U139" s="3">
        <f>VLOOKUP(B139,'[8]Import-Domestic share'!$A$208:$F$406,6,FALSE)</f>
        <v>0</v>
      </c>
      <c r="V139" s="3">
        <f t="shared" si="107"/>
        <v>0</v>
      </c>
      <c r="W139" s="2">
        <f t="shared" si="108"/>
        <v>2741.5225702737853</v>
      </c>
      <c r="X139" s="2">
        <f t="shared" si="109"/>
        <v>2791.8751246593433</v>
      </c>
      <c r="Y139" s="6">
        <f t="shared" si="110"/>
        <v>0.31369429868093884</v>
      </c>
      <c r="Z139" s="2">
        <f t="shared" si="111"/>
        <v>1937900.6443177089</v>
      </c>
      <c r="AA139" s="2">
        <f t="shared" si="112"/>
        <v>1619843.7109226873</v>
      </c>
      <c r="AB139" s="2" t="s">
        <v>598</v>
      </c>
      <c r="AC139" s="12">
        <f>VLOOKUP(B139,[9]Sheet1!$A$2:$B$137,2,FALSE)</f>
        <v>5266.8791658938981</v>
      </c>
      <c r="AD139" s="12">
        <f t="shared" si="113"/>
        <v>2633439.5829469492</v>
      </c>
      <c r="AE139" s="2"/>
      <c r="AF139" s="7">
        <f>VLOOKUP($B139,'[9]Subsidiary wise dispatch'!$A$3:$R$138,11,FALSE)*$H139*$O139*365</f>
        <v>568437.86206938571</v>
      </c>
      <c r="AG139" s="7">
        <f>VLOOKUP($B139,'[9]Subsidiary wise dispatch'!$A$3:$R$138,12,FALSE)*$H139*$O139*365</f>
        <v>0</v>
      </c>
      <c r="AH139" s="7">
        <f>VLOOKUP($B139,'[9]Subsidiary wise dispatch'!$A$3:$R$138,13,FALSE)*$H139*$O139*365</f>
        <v>1180788.9416264037</v>
      </c>
      <c r="AI139" s="7">
        <f>VLOOKUP($B139,'[9]Subsidiary wise dispatch'!$A$3:$R$138,14,FALSE)*$H139*$O139*365</f>
        <v>227752.97862642771</v>
      </c>
      <c r="AJ139" s="7">
        <f>VLOOKUP($B139,'[9]Subsidiary wise dispatch'!$A$3:$R$138,15,FALSE)*$H139*$O139*365</f>
        <v>0</v>
      </c>
      <c r="AK139" s="7">
        <f>VLOOKUP($B139,'[9]Subsidiary wise dispatch'!$A$3:$R$138,16,FALSE)*$H139*$O139*365</f>
        <v>0</v>
      </c>
      <c r="AL139" s="7">
        <f>VLOOKUP($B139,'[9]Subsidiary wise dispatch'!$A$3:$R$138,17,FALSE)*$H139*$O139*365</f>
        <v>0</v>
      </c>
      <c r="AM139" s="7">
        <f>VLOOKUP($B139,'[9]Subsidiary wise dispatch'!$A$3:$R$138,18,FALSE)*$H139*$O139*365</f>
        <v>0</v>
      </c>
      <c r="AN139" s="15">
        <f t="shared" si="114"/>
        <v>1976979.7823222172</v>
      </c>
      <c r="AO139" s="6">
        <v>5.4428108538354968E-2</v>
      </c>
      <c r="AP139" s="11">
        <f t="shared" si="115"/>
        <v>0.45568093354722428</v>
      </c>
      <c r="AQ139" s="11">
        <f t="shared" si="116"/>
        <v>0.55516670709122062</v>
      </c>
      <c r="AR139" s="3">
        <f>VLOOKUP(A139,[10]Sheet1!$A$2:$L$542,12,FALSE)</f>
        <v>2.17</v>
      </c>
      <c r="AS139" s="3">
        <f t="shared" si="124"/>
        <v>2.1518122943340789</v>
      </c>
      <c r="AT139" s="3">
        <f t="shared" si="125"/>
        <v>2.146651157509559</v>
      </c>
      <c r="AU139" s="3">
        <f t="shared" si="117"/>
        <v>5.1611368245199074E-3</v>
      </c>
      <c r="AV139" s="88">
        <f t="shared" si="126"/>
        <v>0.11162302978851427</v>
      </c>
      <c r="AW139" s="32">
        <f t="shared" si="127"/>
        <v>4.9475455291485407E-2</v>
      </c>
      <c r="AX139" s="12">
        <f t="shared" si="118"/>
        <v>657.55920869359863</v>
      </c>
      <c r="AY139" s="12">
        <f t="shared" si="119"/>
        <v>799.1982259408087</v>
      </c>
      <c r="AZ139" s="3">
        <f>VLOOKUP(A139,[5]Analysis!$A$3:$BJ$543,62,FALSE)</f>
        <v>0.68516570218537198</v>
      </c>
      <c r="BA139" s="2"/>
      <c r="BB139" s="2"/>
      <c r="BC139" s="2" t="str">
        <f>VLOOKUP(A139,'[6]FGD status - Jun 2020'!$I$2:$M$449,5,FALSE)</f>
        <v>Bid Awarded</v>
      </c>
      <c r="BD139" s="2"/>
      <c r="BE139" s="2"/>
      <c r="BF139" s="2">
        <f t="shared" si="120"/>
        <v>501.34162853057177</v>
      </c>
      <c r="BG139" s="2">
        <f t="shared" si="121"/>
        <v>599.78024941633089</v>
      </c>
      <c r="BH139" s="2"/>
      <c r="BI139" s="2"/>
      <c r="BK139">
        <f t="shared" si="122"/>
        <v>348.84007683434248</v>
      </c>
      <c r="BL139">
        <f>VLOOKUP(A139,'[11]Daily coal vs energy req.2'!$C$2:$P$599,14,FALSE)</f>
        <v>0.69</v>
      </c>
      <c r="BM139">
        <f>VLOOKUP(A139,'[11]Daily coal vs energy req.2'!$C$2:$R$599,16,FALSE)</f>
        <v>0.69</v>
      </c>
      <c r="BN139">
        <f t="shared" si="147"/>
        <v>345</v>
      </c>
      <c r="BO139">
        <f t="shared" si="148"/>
        <v>345</v>
      </c>
      <c r="BP139" s="2" t="str">
        <f>VLOOKUP(A139,'[7]Table 2'!$J$2:$N$449,5,FALSE)</f>
        <v>Bid Awarded</v>
      </c>
      <c r="BR139">
        <f t="shared" si="128"/>
        <v>584.55056404377945</v>
      </c>
      <c r="BS139">
        <f t="shared" si="129"/>
        <v>699.32729130482596</v>
      </c>
      <c r="BT139">
        <f>(X139*I139*365*[5]Analysis!BK139)/10^4</f>
        <v>480.87313789469994</v>
      </c>
      <c r="BU139">
        <f>(W139*R139*365*[5]Analysis!BK139)/10^4</f>
        <v>575.2927628001853</v>
      </c>
      <c r="BV139">
        <f>(X139*I139*365*[5]Analysis!BL139)/10^4</f>
        <v>103.67742614907964</v>
      </c>
      <c r="BW139">
        <f>(W139*R139*365*[5]Analysis!BL139)/10^4</f>
        <v>124.03452850464075</v>
      </c>
      <c r="BX139">
        <f t="shared" si="130"/>
        <v>2395838.1151752146</v>
      </c>
      <c r="BY139">
        <f t="shared" si="131"/>
        <v>2866261.8472212423</v>
      </c>
      <c r="BZ139">
        <f t="shared" si="132"/>
        <v>10846144.310733825</v>
      </c>
      <c r="CA139">
        <f t="shared" si="133"/>
        <v>13214110.528506998</v>
      </c>
      <c r="CB139">
        <f t="shared" si="134"/>
        <v>-629920.79417040036</v>
      </c>
      <c r="CC139">
        <f t="shared" si="135"/>
        <v>-934998.80999999994</v>
      </c>
      <c r="CD139">
        <f t="shared" si="136"/>
        <v>0</v>
      </c>
      <c r="CE139">
        <f t="shared" si="137"/>
        <v>0</v>
      </c>
      <c r="CF139">
        <f t="shared" si="138"/>
        <v>5456502.0627907999</v>
      </c>
      <c r="CG139">
        <f t="shared" si="139"/>
        <v>6647783.7000000002</v>
      </c>
      <c r="CH139">
        <f t="shared" si="140"/>
        <v>548208.3552861592</v>
      </c>
      <c r="CI139">
        <f t="shared" si="141"/>
        <v>667895.0225872685</v>
      </c>
      <c r="CJ139">
        <f t="shared" si="142"/>
        <v>-2519602.1069590896</v>
      </c>
      <c r="CK139">
        <f t="shared" si="143"/>
        <v>-3069690.0000000005</v>
      </c>
      <c r="CL139">
        <f t="shared" si="144"/>
        <v>1288230.0490990791</v>
      </c>
      <c r="CM139">
        <f t="shared" si="145"/>
        <v>1569480.7082819927</v>
      </c>
    </row>
    <row r="140" spans="1:91" x14ac:dyDescent="0.2">
      <c r="A140" s="2" t="s">
        <v>160</v>
      </c>
      <c r="B140" s="2" t="str">
        <f t="shared" si="146"/>
        <v>KODARMA TPS</v>
      </c>
      <c r="C140" s="2" t="str">
        <f>VLOOKUP($A140,'[1]daily coal, energy reqd'!$C$2:$T$599,17,FALSE)</f>
        <v>Jharkhand</v>
      </c>
      <c r="D140" s="2" t="str">
        <f>VLOOKUP(C140,'Target PLF'!$I$2:$J$19,2,FALSE)</f>
        <v>ER</v>
      </c>
      <c r="E140" s="2" t="str">
        <f>VLOOKUP(A140,[2]Ownership!$C$2:$D$666,2,FALSE)</f>
        <v>CENTRAL SECTOR</v>
      </c>
      <c r="F140" s="2" t="s">
        <v>543</v>
      </c>
      <c r="G140" s="12">
        <v>8.8432580424366805</v>
      </c>
      <c r="H140" s="2">
        <v>500</v>
      </c>
      <c r="I140" s="2">
        <f>VLOOKUP(A140,'[3]Calculated coal req (reg.)'!$A$2:$I$599,9,FALSE)</f>
        <v>9.6170488087292707</v>
      </c>
      <c r="J140" s="2"/>
      <c r="K140" s="11">
        <v>0.80142073406077252</v>
      </c>
      <c r="L140" s="3">
        <f>VLOOKUP(F140,'Target PLF'!$A$2:$B$11,2,FALSE)</f>
        <v>0.85</v>
      </c>
      <c r="M140" s="3">
        <f t="shared" si="123"/>
        <v>4.8579265939227456E-2</v>
      </c>
      <c r="N140" s="2" t="str">
        <f t="shared" si="102"/>
        <v>0.15</v>
      </c>
      <c r="O140" s="2">
        <f t="shared" si="98"/>
        <v>12.276139747701928</v>
      </c>
      <c r="P140" s="2">
        <f t="shared" si="103"/>
        <v>2240395.5039556017</v>
      </c>
      <c r="Q140" s="2">
        <f t="shared" si="104"/>
        <v>12.952037648494182</v>
      </c>
      <c r="R140" s="2">
        <f t="shared" si="105"/>
        <v>10.199999999999999</v>
      </c>
      <c r="S140" s="2">
        <f t="shared" si="106"/>
        <v>2363746.8708501882</v>
      </c>
      <c r="T140" s="2" t="str">
        <f>VLOOKUP(A140,'[4]CEA vs MERIT comp. &amp; NPA marker'!$C$2:$K$735,9,FALSE)</f>
        <v>Contracted</v>
      </c>
      <c r="U140" s="3">
        <f>VLOOKUP(B140,'[8]Import-Domestic share'!$A$208:$F$406,6,FALSE)</f>
        <v>0</v>
      </c>
      <c r="V140" s="3">
        <f t="shared" si="107"/>
        <v>0</v>
      </c>
      <c r="W140" s="2">
        <f t="shared" si="108"/>
        <v>2741.5225702737853</v>
      </c>
      <c r="X140" s="2">
        <f t="shared" si="109"/>
        <v>2757.5814765104346</v>
      </c>
      <c r="Y140" s="6">
        <f t="shared" si="110"/>
        <v>0.31369429868093884</v>
      </c>
      <c r="Z140" s="2">
        <f t="shared" si="111"/>
        <v>2373750.1392153222</v>
      </c>
      <c r="AA140" s="2">
        <f t="shared" si="112"/>
        <v>2251195.3296585837</v>
      </c>
      <c r="AB140" s="2" t="s">
        <v>598</v>
      </c>
      <c r="AC140" s="12">
        <f>VLOOKUP(B140,[9]Sheet1!$A$2:$B$137,2,FALSE)</f>
        <v>4299.8158738405682</v>
      </c>
      <c r="AD140" s="12">
        <f t="shared" si="113"/>
        <v>2149907.9369202843</v>
      </c>
      <c r="AE140" s="2"/>
      <c r="AF140" s="7">
        <f>VLOOKUP($B140,'[9]Subsidiary wise dispatch'!$A$3:$R$138,11,FALSE)*$H140*$O140*365</f>
        <v>689881.18869200104</v>
      </c>
      <c r="AG140" s="7">
        <f>VLOOKUP($B140,'[9]Subsidiary wise dispatch'!$A$3:$R$138,12,FALSE)*$H140*$O140*365</f>
        <v>1543784.236013337</v>
      </c>
      <c r="AH140" s="7">
        <f>VLOOKUP($B140,'[9]Subsidiary wise dispatch'!$A$3:$R$138,13,FALSE)*$H140*$O140*365</f>
        <v>6730.0792502638205</v>
      </c>
      <c r="AI140" s="7">
        <f>VLOOKUP($B140,'[9]Subsidiary wise dispatch'!$A$3:$R$138,14,FALSE)*$H140*$O140*365</f>
        <v>0</v>
      </c>
      <c r="AJ140" s="7">
        <f>VLOOKUP($B140,'[9]Subsidiary wise dispatch'!$A$3:$R$138,15,FALSE)*$H140*$O140*365</f>
        <v>0</v>
      </c>
      <c r="AK140" s="7">
        <f>VLOOKUP($B140,'[9]Subsidiary wise dispatch'!$A$3:$R$138,16,FALSE)*$H140*$O140*365</f>
        <v>0</v>
      </c>
      <c r="AL140" s="7">
        <f>VLOOKUP($B140,'[9]Subsidiary wise dispatch'!$A$3:$R$138,17,FALSE)*$H140*$O140*365</f>
        <v>0</v>
      </c>
      <c r="AM140" s="7">
        <f>VLOOKUP($B140,'[9]Subsidiary wise dispatch'!$A$3:$R$138,18,FALSE)*$H140*$O140*365</f>
        <v>0</v>
      </c>
      <c r="AN140" s="15">
        <f t="shared" si="114"/>
        <v>2240395.5039556022</v>
      </c>
      <c r="AO140" s="6">
        <v>8.5199811693282709E-2</v>
      </c>
      <c r="AP140" s="11">
        <f t="shared" si="115"/>
        <v>0.81937074754884265</v>
      </c>
      <c r="AQ140" s="11">
        <f t="shared" si="116"/>
        <v>0.86903807927148358</v>
      </c>
      <c r="AR140" s="3">
        <f>VLOOKUP(A140,[10]Sheet1!$A$2:$L$542,12,FALSE)</f>
        <v>2.2301631812420699</v>
      </c>
      <c r="AS140" s="3">
        <f t="shared" si="124"/>
        <v>1.9642814725017368</v>
      </c>
      <c r="AT140" s="3">
        <f t="shared" si="125"/>
        <v>1.9626354346124806</v>
      </c>
      <c r="AU140" s="3">
        <f t="shared" si="117"/>
        <v>1.6460378892562133E-3</v>
      </c>
      <c r="AV140" s="88">
        <f t="shared" si="126"/>
        <v>3.5599857665584662E-2</v>
      </c>
      <c r="AW140" s="32">
        <f t="shared" si="127"/>
        <v>1.7285618304531673E-2</v>
      </c>
      <c r="AX140" s="12">
        <f t="shared" si="118"/>
        <v>689.50656402231095</v>
      </c>
      <c r="AY140" s="12">
        <f t="shared" si="119"/>
        <v>730.68917230622651</v>
      </c>
      <c r="AZ140" s="3">
        <f>VLOOKUP(A140,[5]Analysis!$A$3:$BJ$543,62,FALSE)</f>
        <v>0.54183439710785219</v>
      </c>
      <c r="BA140" s="2"/>
      <c r="BB140" s="2"/>
      <c r="BC140" s="2" t="str">
        <f>VLOOKUP(A140,'[6]FGD status - Jun 2020'!$I$2:$M$449,5,FALSE)</f>
        <v>Bid Awarded</v>
      </c>
      <c r="BD140" s="2"/>
      <c r="BE140" s="2"/>
      <c r="BF140" s="2">
        <f t="shared" si="120"/>
        <v>696.74495452933172</v>
      </c>
      <c r="BG140" s="2">
        <f t="shared" si="121"/>
        <v>734.67566808714218</v>
      </c>
      <c r="BH140" s="2"/>
      <c r="BI140" s="2"/>
      <c r="BK140">
        <f t="shared" si="122"/>
        <v>400.71036703038624</v>
      </c>
      <c r="BL140">
        <f>VLOOKUP(A140,'[11]Daily coal vs energy req.2'!$C$2:$P$599,14,FALSE)</f>
        <v>0.67</v>
      </c>
      <c r="BM140">
        <f>VLOOKUP(A140,'[11]Daily coal vs energy req.2'!$C$2:$R$599,16,FALSE)</f>
        <v>0.61</v>
      </c>
      <c r="BN140">
        <f t="shared" si="147"/>
        <v>335</v>
      </c>
      <c r="BO140">
        <f t="shared" si="148"/>
        <v>305</v>
      </c>
      <c r="BP140" s="2" t="str">
        <f>VLOOKUP(A140,'[7]Table 2'!$J$2:$N$449,5,FALSE)</f>
        <v>Bid Awarded</v>
      </c>
      <c r="BR140">
        <f t="shared" si="128"/>
        <v>524.48081836376127</v>
      </c>
      <c r="BS140">
        <f t="shared" si="129"/>
        <v>553.03349256484057</v>
      </c>
      <c r="BT140">
        <f>(X140*I140*365*[5]Analysis!BK140)/10^4</f>
        <v>376.13773048351095</v>
      </c>
      <c r="BU140">
        <f>(W140*R140*365*[5]Analysis!BK140)/10^4</f>
        <v>396.61462438924843</v>
      </c>
      <c r="BV140">
        <f>(X140*I140*365*[5]Analysis!BL140)/10^4</f>
        <v>148.34308788025029</v>
      </c>
      <c r="BW140">
        <f>(W140*R140*365*[5]Analysis!BL140)/10^4</f>
        <v>156.41886817559222</v>
      </c>
      <c r="BX140">
        <f t="shared" si="130"/>
        <v>2718279.0544989794</v>
      </c>
      <c r="BY140">
        <f t="shared" si="131"/>
        <v>2866261.8472212423</v>
      </c>
      <c r="BZ140">
        <f t="shared" si="132"/>
        <v>9852592.9392703567</v>
      </c>
      <c r="CA140">
        <f t="shared" si="133"/>
        <v>10449821.975462817</v>
      </c>
      <c r="CB140">
        <f t="shared" si="134"/>
        <v>-831178.60364175052</v>
      </c>
      <c r="CC140">
        <f t="shared" si="135"/>
        <v>-934998.80999999994</v>
      </c>
      <c r="CD140">
        <f t="shared" si="136"/>
        <v>0</v>
      </c>
      <c r="CE140">
        <f t="shared" si="137"/>
        <v>0</v>
      </c>
      <c r="CF140">
        <f t="shared" si="138"/>
        <v>6267849.0502720457</v>
      </c>
      <c r="CG140">
        <f t="shared" si="139"/>
        <v>6647783.7000000002</v>
      </c>
      <c r="CH140">
        <f t="shared" si="140"/>
        <v>629723.43444402935</v>
      </c>
      <c r="CI140">
        <f t="shared" si="141"/>
        <v>667895.0225872685</v>
      </c>
      <c r="CJ140">
        <f t="shared" si="142"/>
        <v>-2894250.8389870743</v>
      </c>
      <c r="CK140">
        <f t="shared" si="143"/>
        <v>-3069690.0000000005</v>
      </c>
      <c r="CL140">
        <f t="shared" si="144"/>
        <v>2316397.1556334705</v>
      </c>
      <c r="CM140">
        <f t="shared" si="145"/>
        <v>2456808.887775972</v>
      </c>
    </row>
    <row r="141" spans="1:91" x14ac:dyDescent="0.2">
      <c r="A141" s="2" t="s">
        <v>147</v>
      </c>
      <c r="B141" s="2" t="str">
        <f t="shared" si="146"/>
        <v>INDIRA GANDHI STPP</v>
      </c>
      <c r="C141" s="2" t="str">
        <f>VLOOKUP($A141,'[1]daily coal, energy reqd'!$C$2:$T$599,17,FALSE)</f>
        <v>Haryana</v>
      </c>
      <c r="D141" s="2" t="str">
        <f>VLOOKUP(C141,'Target PLF'!$I$2:$J$19,2,FALSE)</f>
        <v>NR</v>
      </c>
      <c r="E141" s="2" t="str">
        <f>VLOOKUP(A141,[2]Ownership!$C$2:$D$666,2,FALSE)</f>
        <v>CENTRAL SECTOR</v>
      </c>
      <c r="F141" s="2" t="s">
        <v>543</v>
      </c>
      <c r="G141" s="12">
        <v>7.5044490075290797</v>
      </c>
      <c r="H141" s="2">
        <v>500</v>
      </c>
      <c r="I141" s="2">
        <f>VLOOKUP(A141,'[3]Calculated coal req (reg.)'!$A$2:$I$599,9,FALSE)</f>
        <v>6.3909532157423499</v>
      </c>
      <c r="J141" s="2"/>
      <c r="K141" s="11">
        <v>0.53257943464519586</v>
      </c>
      <c r="L141" s="3">
        <f>VLOOKUP(F141,'Target PLF'!$A$2:$B$11,2,FALSE)</f>
        <v>0.85</v>
      </c>
      <c r="M141" s="3">
        <f t="shared" si="123"/>
        <v>0.31742056535480412</v>
      </c>
      <c r="N141" s="2" t="str">
        <f t="shared" si="102"/>
        <v>0.15</v>
      </c>
      <c r="O141" s="2">
        <f t="shared" si="98"/>
        <v>8.4932633203624874</v>
      </c>
      <c r="P141" s="2">
        <f t="shared" si="103"/>
        <v>1550020.5559661542</v>
      </c>
      <c r="Q141" s="2">
        <f t="shared" si="104"/>
        <v>12.909630872313484</v>
      </c>
      <c r="R141" s="2">
        <f t="shared" si="105"/>
        <v>10.199999999999999</v>
      </c>
      <c r="S141" s="2">
        <f t="shared" si="106"/>
        <v>2356007.6341972109</v>
      </c>
      <c r="T141" s="2" t="str">
        <f>VLOOKUP(A141,'[4]CEA vs MERIT comp. &amp; NPA marker'!$C$2:$K$735,9,FALSE)</f>
        <v>Contracted</v>
      </c>
      <c r="U141" s="3">
        <f>VLOOKUP(B141,'[8]Import-Domestic share'!$A$208:$F$406,6,FALSE)</f>
        <v>4.6404866790173083E-2</v>
      </c>
      <c r="V141" s="3">
        <f t="shared" si="107"/>
        <v>71928.497421639404</v>
      </c>
      <c r="W141" s="2">
        <f t="shared" si="108"/>
        <v>2741.7555873917372</v>
      </c>
      <c r="X141" s="2">
        <f t="shared" si="109"/>
        <v>2846.6856845857533</v>
      </c>
      <c r="Y141" s="6">
        <f t="shared" si="110"/>
        <v>0.31366763833902772</v>
      </c>
      <c r="Z141" s="2">
        <f t="shared" si="111"/>
        <v>2162865.6849648221</v>
      </c>
      <c r="AA141" s="2">
        <f t="shared" si="112"/>
        <v>1407037.9045491589</v>
      </c>
      <c r="AB141" s="2" t="s">
        <v>598</v>
      </c>
      <c r="AC141" s="12">
        <f>VLOOKUP(B141,[9]Sheet1!$A$2:$B$137,2,FALSE)</f>
        <v>4719.459059717552</v>
      </c>
      <c r="AD141" s="12">
        <f t="shared" si="113"/>
        <v>2359729.5298587759</v>
      </c>
      <c r="AE141" s="2"/>
      <c r="AF141" s="7">
        <f>VLOOKUP($B141,'[9]Subsidiary wise dispatch'!$A$3:$R$138,11,FALSE)*$H141*$O141*365</f>
        <v>0</v>
      </c>
      <c r="AG141" s="7">
        <f>VLOOKUP($B141,'[9]Subsidiary wise dispatch'!$A$3:$R$138,12,FALSE)*$H141*$O141*365</f>
        <v>646748.81974307855</v>
      </c>
      <c r="AH141" s="7">
        <f>VLOOKUP($B141,'[9]Subsidiary wise dispatch'!$A$3:$R$138,13,FALSE)*$H141*$O141*365</f>
        <v>331951.81486149988</v>
      </c>
      <c r="AI141" s="7">
        <f>VLOOKUP($B141,'[9]Subsidiary wise dispatch'!$A$3:$R$138,14,FALSE)*$H141*$O141*365</f>
        <v>0</v>
      </c>
      <c r="AJ141" s="7">
        <f>VLOOKUP($B141,'[9]Subsidiary wise dispatch'!$A$3:$R$138,15,FALSE)*$H141*$O141*365</f>
        <v>571319.92136157549</v>
      </c>
      <c r="AK141" s="7">
        <f>VLOOKUP($B141,'[9]Subsidiary wise dispatch'!$A$3:$R$138,16,FALSE)*$H141*$O141*365</f>
        <v>0</v>
      </c>
      <c r="AL141" s="7">
        <f>VLOOKUP($B141,'[9]Subsidiary wise dispatch'!$A$3:$R$138,17,FALSE)*$H141*$O141*365</f>
        <v>0</v>
      </c>
      <c r="AM141" s="7">
        <f>VLOOKUP($B141,'[9]Subsidiary wise dispatch'!$A$3:$R$138,18,FALSE)*$H141*$O141*365</f>
        <v>0</v>
      </c>
      <c r="AN141" s="15">
        <f t="shared" si="114"/>
        <v>1550020.5559661537</v>
      </c>
      <c r="AO141" s="6">
        <v>6.5600274643046297E-2</v>
      </c>
      <c r="AP141" s="11">
        <f t="shared" si="115"/>
        <v>0.41924828618355808</v>
      </c>
      <c r="AQ141" s="11">
        <f t="shared" si="116"/>
        <v>0.66912280135907221</v>
      </c>
      <c r="AR141" s="3">
        <f>VLOOKUP(A141,[10]Sheet1!$A$2:$L$542,12,FALSE)</f>
        <v>3.40206647723695</v>
      </c>
      <c r="AS141" s="3">
        <f t="shared" si="124"/>
        <v>2.8545188404205204</v>
      </c>
      <c r="AT141" s="3">
        <f t="shared" si="125"/>
        <v>2.8437635054581341</v>
      </c>
      <c r="AU141" s="3">
        <f t="shared" si="117"/>
        <v>1.0755334962386343E-2</v>
      </c>
      <c r="AV141" s="88">
        <f t="shared" si="126"/>
        <v>0.23261213870330757</v>
      </c>
      <c r="AW141" s="32">
        <f t="shared" si="127"/>
        <v>7.7721260970285921E-2</v>
      </c>
      <c r="AX141" s="12">
        <f t="shared" si="118"/>
        <v>665.87301723426663</v>
      </c>
      <c r="AY141" s="12">
        <f t="shared" si="119"/>
        <v>1058.7331530820632</v>
      </c>
      <c r="AZ141" s="3">
        <f>VLOOKUP(A141,[5]Analysis!$A$3:$BJ$543,62,FALSE)</f>
        <v>1.0423810757152483</v>
      </c>
      <c r="BA141" s="2"/>
      <c r="BB141" s="2"/>
      <c r="BC141" s="2" t="str">
        <f>VLOOKUP(A141,'[6]FGD status - Jun 2020'!$I$2:$M$449,5,FALSE)</f>
        <v>Bid Awarded</v>
      </c>
      <c r="BD141" s="2"/>
      <c r="BE141" s="2"/>
      <c r="BF141" s="2">
        <f t="shared" si="120"/>
        <v>449.42490309262917</v>
      </c>
      <c r="BG141" s="2">
        <f t="shared" si="121"/>
        <v>690.84542621412163</v>
      </c>
      <c r="BH141" s="2"/>
      <c r="BI141" s="2"/>
      <c r="BK141">
        <f t="shared" si="122"/>
        <v>266.28971732259794</v>
      </c>
      <c r="BL141">
        <f>VLOOKUP(A141,'[11]Daily coal vs energy req.2'!$C$2:$P$599,14,FALSE)</f>
        <v>1.05</v>
      </c>
      <c r="BM141">
        <f>VLOOKUP(A141,'[11]Daily coal vs energy req.2'!$C$2:$R$599,16,FALSE)</f>
        <v>0.59</v>
      </c>
      <c r="BN141">
        <f t="shared" si="147"/>
        <v>525</v>
      </c>
      <c r="BO141">
        <f t="shared" si="148"/>
        <v>295</v>
      </c>
      <c r="BP141" s="2" t="str">
        <f>VLOOKUP(A141,'[7]Table 2'!$J$2:$N$449,5,FALSE)</f>
        <v>Bid Awarded</v>
      </c>
      <c r="BR141">
        <f t="shared" si="128"/>
        <v>692.18875302025015</v>
      </c>
      <c r="BS141">
        <f t="shared" si="129"/>
        <v>1064.0163257760933</v>
      </c>
      <c r="BT141">
        <f>(X141*I141*365*[5]Analysis!BK141)/10^4</f>
        <v>317.86194637950979</v>
      </c>
      <c r="BU141">
        <f>(W141*R141*365*[5]Analysis!BK141)/10^4</f>
        <v>488.60993307828159</v>
      </c>
      <c r="BV141">
        <f>(X141*I141*365*[5]Analysis!BL141)/10^4</f>
        <v>374.32680664074024</v>
      </c>
      <c r="BW141">
        <f>(W141*R141*365*[5]Analysis!BL141)/10^4</f>
        <v>575.40639269781161</v>
      </c>
      <c r="BX141">
        <f t="shared" si="130"/>
        <v>1864786.090586381</v>
      </c>
      <c r="BY141">
        <f t="shared" si="131"/>
        <v>2866505.4666180611</v>
      </c>
      <c r="BZ141">
        <f t="shared" si="132"/>
        <v>12596047.939896803</v>
      </c>
      <c r="CA141">
        <f t="shared" si="133"/>
        <v>20103368.722911805</v>
      </c>
      <c r="CB141">
        <f t="shared" si="134"/>
        <v>-367064.16768294136</v>
      </c>
      <c r="CC141">
        <f t="shared" si="135"/>
        <v>-934998.80999999994</v>
      </c>
      <c r="CD141">
        <f t="shared" si="136"/>
        <v>0</v>
      </c>
      <c r="CE141">
        <f t="shared" si="137"/>
        <v>0</v>
      </c>
      <c r="CF141">
        <f t="shared" si="138"/>
        <v>4165262.2171641742</v>
      </c>
      <c r="CG141">
        <f t="shared" si="139"/>
        <v>6647783.7000000002</v>
      </c>
      <c r="CH141">
        <f t="shared" si="140"/>
        <v>355124.13324744086</v>
      </c>
      <c r="CI141">
        <f t="shared" si="141"/>
        <v>566780.26529774047</v>
      </c>
      <c r="CJ141">
        <f t="shared" si="142"/>
        <v>-1923357.3702776604</v>
      </c>
      <c r="CK141">
        <f t="shared" si="143"/>
        <v>-3069690.0000000005</v>
      </c>
      <c r="CL141">
        <f t="shared" si="144"/>
        <v>1185233.3519655108</v>
      </c>
      <c r="CM141">
        <f t="shared" si="145"/>
        <v>1891639.6008453567</v>
      </c>
    </row>
    <row r="142" spans="1:91" x14ac:dyDescent="0.2">
      <c r="A142" s="2" t="s">
        <v>162</v>
      </c>
      <c r="B142" s="2" t="s">
        <v>580</v>
      </c>
      <c r="C142" s="2" t="str">
        <f>VLOOKUP($A142,'[1]daily coal, energy reqd'!$C$2:$T$599,17,FALSE)</f>
        <v>Telangana</v>
      </c>
      <c r="D142" s="2" t="str">
        <f>VLOOKUP(C142,'Target PLF'!$I$2:$J$19,2,FALSE)</f>
        <v>SR</v>
      </c>
      <c r="E142" s="2" t="str">
        <f>VLOOKUP(A142,[2]Ownership!$C$2:$D$666,2,FALSE)</f>
        <v>STATE SECTOR</v>
      </c>
      <c r="F142" s="2" t="s">
        <v>543</v>
      </c>
      <c r="G142" s="12">
        <v>8.9253935660506496</v>
      </c>
      <c r="H142" s="2">
        <v>500</v>
      </c>
      <c r="I142" s="2">
        <f>VLOOKUP(A142,'[3]Calculated coal req (reg.)'!$A$2:$I$599,9,FALSE)</f>
        <v>10.0923394388827</v>
      </c>
      <c r="J142" s="2"/>
      <c r="K142" s="11">
        <v>0.84102828657355833</v>
      </c>
      <c r="L142" s="3">
        <f>VLOOKUP(F142,'Target PLF'!$A$2:$B$11,2,FALSE)</f>
        <v>0.85</v>
      </c>
      <c r="M142" s="3">
        <f t="shared" si="123"/>
        <v>8.971713426441652E-3</v>
      </c>
      <c r="N142" s="2" t="str">
        <f t="shared" si="102"/>
        <v>0.15</v>
      </c>
      <c r="O142" s="2">
        <f t="shared" si="98"/>
        <v>12.829813150788544</v>
      </c>
      <c r="P142" s="2">
        <f t="shared" si="103"/>
        <v>2341440.9000189095</v>
      </c>
      <c r="Q142" s="2">
        <f t="shared" si="104"/>
        <v>12.954639291204655</v>
      </c>
      <c r="R142" s="2">
        <f t="shared" si="105"/>
        <v>10.199999999999999</v>
      </c>
      <c r="S142" s="2">
        <f t="shared" si="106"/>
        <v>2364221.67064485</v>
      </c>
      <c r="T142" s="2" t="str">
        <f>VLOOKUP(A142,'[4]CEA vs MERIT comp. &amp; NPA marker'!$C$2:$K$735,9,FALSE)</f>
        <v>Contracted</v>
      </c>
      <c r="U142" s="3">
        <f>VLOOKUP(B142,'[8]Import-Domestic share'!$A$208:$F$406,6,FALSE)</f>
        <v>0</v>
      </c>
      <c r="V142" s="3">
        <f t="shared" si="107"/>
        <v>0</v>
      </c>
      <c r="W142" s="2">
        <f t="shared" si="108"/>
        <v>2742.1501297809718</v>
      </c>
      <c r="X142" s="2">
        <f t="shared" si="109"/>
        <v>2745.1159198544069</v>
      </c>
      <c r="Y142" s="6">
        <f t="shared" si="110"/>
        <v>0.31362250763005894</v>
      </c>
      <c r="Z142" s="2">
        <f t="shared" si="111"/>
        <v>2381947.0212726453</v>
      </c>
      <c r="AA142" s="2">
        <f t="shared" si="112"/>
        <v>2359354.6912556598</v>
      </c>
      <c r="AB142" s="2" t="s">
        <v>598</v>
      </c>
      <c r="AC142" s="12"/>
      <c r="AD142" s="12">
        <f t="shared" si="113"/>
        <v>0</v>
      </c>
      <c r="AE142" s="2"/>
      <c r="AF142" s="7"/>
      <c r="AG142" s="7"/>
      <c r="AH142" s="7"/>
      <c r="AI142" s="7"/>
      <c r="AJ142" s="7"/>
      <c r="AK142" s="7"/>
      <c r="AL142" s="7"/>
      <c r="AM142" s="7"/>
      <c r="AN142" s="15">
        <f t="shared" si="114"/>
        <v>0</v>
      </c>
      <c r="AO142" s="6">
        <v>7.0000000000000007E-2</v>
      </c>
      <c r="AP142" s="11">
        <f t="shared" si="115"/>
        <v>0.70646376072178907</v>
      </c>
      <c r="AQ142" s="11">
        <f t="shared" si="116"/>
        <v>0.71399999999999997</v>
      </c>
      <c r="AR142" s="3">
        <f>VLOOKUP(A142,[10]Sheet1!$A$2:$L$542,12,FALSE)</f>
        <v>3.0424342105263098</v>
      </c>
      <c r="AS142" s="3">
        <f t="shared" si="124"/>
        <v>2.341442220063283</v>
      </c>
      <c r="AT142" s="3">
        <f t="shared" si="125"/>
        <v>2.3411382265807559</v>
      </c>
      <c r="AU142" s="3">
        <f t="shared" si="117"/>
        <v>3.0399348252707625E-4</v>
      </c>
      <c r="AV142" s="88">
        <f t="shared" si="126"/>
        <v>6.5746510331649716E-3</v>
      </c>
      <c r="AW142" s="32">
        <f t="shared" si="127"/>
        <v>2.6781175708313724E-3</v>
      </c>
      <c r="AX142" s="12">
        <f t="shared" si="118"/>
        <v>862.51798264145532</v>
      </c>
      <c r="AY142" s="12">
        <f t="shared" si="119"/>
        <v>871.60576175601523</v>
      </c>
      <c r="AZ142" s="3">
        <f>VLOOKUP(A142,[5]Analysis!$A$3:$BJ$543,62,FALSE)</f>
        <v>0.76438790323510297</v>
      </c>
      <c r="BA142" s="2"/>
      <c r="BB142" s="2"/>
      <c r="BC142" s="2" t="str">
        <f>VLOOKUP(A142,'[6]FGD status - Jun 2020'!$I$2:$M$449,5,FALSE)</f>
        <v>Feasiblity Study completed</v>
      </c>
      <c r="BD142" s="2"/>
      <c r="BE142" s="2"/>
      <c r="BF142" s="2">
        <f t="shared" si="120"/>
        <v>730.22027694362669</v>
      </c>
      <c r="BG142" s="2">
        <f t="shared" si="121"/>
        <v>737.21260308388378</v>
      </c>
      <c r="BH142" s="2"/>
      <c r="BI142" s="2"/>
      <c r="BK142">
        <f t="shared" si="122"/>
        <v>420.51414328677919</v>
      </c>
      <c r="BP142" s="2" t="str">
        <f>VLOOKUP(A142,'[7]Table 2'!$J$2:$N$449,5,FALSE)</f>
        <v>Feasibility Study completed</v>
      </c>
      <c r="BR142">
        <f t="shared" si="128"/>
        <v>772.96389267821996</v>
      </c>
      <c r="BS142">
        <f t="shared" si="129"/>
        <v>780.36551627441872</v>
      </c>
      <c r="BT142">
        <f>(X142*I142*365*[5]Analysis!BK142)/10^4</f>
        <v>380.01602339275956</v>
      </c>
      <c r="BU142">
        <f>(W142*R142*365*[5]Analysis!BK142)/10^4</f>
        <v>383.65491984357789</v>
      </c>
      <c r="BV142">
        <f>(X142*I142*365*[5]Analysis!BL142)/10^4</f>
        <v>392.9478692854604</v>
      </c>
      <c r="BW142">
        <f>(W142*R142*365*[5]Analysis!BL142)/10^4</f>
        <v>396.71059643084089</v>
      </c>
      <c r="BX142">
        <f t="shared" si="130"/>
        <v>2839725.7703807675</v>
      </c>
      <c r="BY142">
        <f t="shared" si="131"/>
        <v>2866917.9606860057</v>
      </c>
      <c r="BZ142">
        <f t="shared" si="132"/>
        <v>14586389.377595473</v>
      </c>
      <c r="CA142">
        <f t="shared" si="133"/>
        <v>14741990.452507515</v>
      </c>
      <c r="CB142">
        <f t="shared" si="134"/>
        <v>-915365.23110415356</v>
      </c>
      <c r="CC142">
        <f t="shared" si="135"/>
        <v>-934998.80999999994</v>
      </c>
      <c r="CD142">
        <f t="shared" si="136"/>
        <v>0</v>
      </c>
      <c r="CE142">
        <f t="shared" si="137"/>
        <v>0</v>
      </c>
      <c r="CF142">
        <f t="shared" si="138"/>
        <v>6577616.6290854476</v>
      </c>
      <c r="CG142">
        <f t="shared" si="139"/>
        <v>6647783.7000000002</v>
      </c>
      <c r="CH142">
        <f t="shared" si="140"/>
        <v>666983.30251382513</v>
      </c>
      <c r="CI142">
        <f t="shared" si="141"/>
        <v>674098.38193018467</v>
      </c>
      <c r="CJ142">
        <f t="shared" si="142"/>
        <v>-3037289.5541317486</v>
      </c>
      <c r="CK142">
        <f t="shared" si="143"/>
        <v>-3069690.0000000005</v>
      </c>
      <c r="CL142">
        <f t="shared" si="144"/>
        <v>1997204.1359659692</v>
      </c>
      <c r="CM142">
        <f t="shared" si="145"/>
        <v>2018509.4159999997</v>
      </c>
    </row>
    <row r="143" spans="1:91" x14ac:dyDescent="0.2">
      <c r="A143" s="2" t="s">
        <v>151</v>
      </c>
      <c r="B143" s="2" t="str">
        <f t="shared" ref="B143:B169" si="149">LEFT(A143,LEN(A143)-LEN(RIGHT(A143,1)))</f>
        <v>MAUDA TPS</v>
      </c>
      <c r="C143" s="2" t="str">
        <f>VLOOKUP($A143,'[1]daily coal, energy reqd'!$C$2:$T$599,17,FALSE)</f>
        <v>Maharashtra</v>
      </c>
      <c r="D143" s="2" t="str">
        <f>VLOOKUP(C143,'Target PLF'!$I$2:$J$19,2,FALSE)</f>
        <v>WR</v>
      </c>
      <c r="E143" s="2" t="str">
        <f>VLOOKUP(A143,[2]Ownership!$C$2:$D$666,2,FALSE)</f>
        <v>CENTRAL SECTOR</v>
      </c>
      <c r="F143" s="2" t="s">
        <v>543</v>
      </c>
      <c r="G143" s="12">
        <v>8.0903490759753591</v>
      </c>
      <c r="H143" s="2">
        <v>500</v>
      </c>
      <c r="I143" s="2">
        <f>VLOOKUP(A143,'[3]Calculated coal req (reg.)'!$A$2:$I$599,9,FALSE)</f>
        <v>7.4143467115136703</v>
      </c>
      <c r="J143" s="2"/>
      <c r="K143" s="11">
        <v>0.61786222595947249</v>
      </c>
      <c r="L143" s="3">
        <f>VLOOKUP(F143,'Target PLF'!$A$2:$B$11,2,FALSE)</f>
        <v>0.85</v>
      </c>
      <c r="M143" s="3">
        <f t="shared" si="123"/>
        <v>0.23213777404052749</v>
      </c>
      <c r="N143" s="2" t="str">
        <f t="shared" si="102"/>
        <v>0.15</v>
      </c>
      <c r="O143" s="2">
        <f t="shared" si="98"/>
        <v>9.6983867654234484</v>
      </c>
      <c r="P143" s="2">
        <f t="shared" si="103"/>
        <v>1769955.5846897794</v>
      </c>
      <c r="Q143" s="2">
        <f t="shared" si="104"/>
        <v>12.92818925698152</v>
      </c>
      <c r="R143" s="2">
        <f t="shared" si="105"/>
        <v>10.199999999999999</v>
      </c>
      <c r="S143" s="2">
        <f t="shared" si="106"/>
        <v>2359394.5393991275</v>
      </c>
      <c r="T143" s="2" t="str">
        <f>VLOOKUP(A143,'[4]CEA vs MERIT comp. &amp; NPA marker'!$C$2:$K$735,9,FALSE)</f>
        <v>Contracted</v>
      </c>
      <c r="U143" s="3">
        <f>VLOOKUP(B143,'[8]Import-Domestic share'!$A$208:$F$406,6,FALSE)</f>
        <v>2.9640974451316578E-2</v>
      </c>
      <c r="V143" s="3">
        <f t="shared" si="107"/>
        <v>52463.208265754838</v>
      </c>
      <c r="W143" s="2">
        <f t="shared" si="108"/>
        <v>2742.4526651374117</v>
      </c>
      <c r="X143" s="2">
        <f t="shared" si="109"/>
        <v>2819.1907276673173</v>
      </c>
      <c r="Y143" s="6">
        <f t="shared" si="110"/>
        <v>0.31358791016978566</v>
      </c>
      <c r="Z143" s="2">
        <f t="shared" si="111"/>
        <v>2439102.975587076</v>
      </c>
      <c r="AA143" s="2">
        <f t="shared" si="112"/>
        <v>1822586.6001947594</v>
      </c>
      <c r="AB143" s="2" t="s">
        <v>598</v>
      </c>
      <c r="AC143" s="12">
        <f>VLOOKUP(B143,[9]Sheet1!$A$2:$B$137,2,FALSE)</f>
        <v>4186.0271478899185</v>
      </c>
      <c r="AD143" s="12">
        <f t="shared" si="113"/>
        <v>2093013.5739449593</v>
      </c>
      <c r="AE143" s="2"/>
      <c r="AF143" s="7">
        <f>VLOOKUP($B143,'[9]Subsidiary wise dispatch'!$A$3:$R$138,11,FALSE)*$H143*$O143*365</f>
        <v>129319.3632243569</v>
      </c>
      <c r="AG143" s="7">
        <f>VLOOKUP($B143,'[9]Subsidiary wise dispatch'!$A$3:$R$138,12,FALSE)*$H143*$O143*365</f>
        <v>8008.621944338719</v>
      </c>
      <c r="AH143" s="7">
        <f>VLOOKUP($B143,'[9]Subsidiary wise dispatch'!$A$3:$R$138,13,FALSE)*$H143*$O143*365</f>
        <v>18234.775114901942</v>
      </c>
      <c r="AI143" s="7">
        <f>VLOOKUP($B143,'[9]Subsidiary wise dispatch'!$A$3:$R$138,14,FALSE)*$H143*$O143*365</f>
        <v>416672.82510732574</v>
      </c>
      <c r="AJ143" s="7">
        <f>VLOOKUP($B143,'[9]Subsidiary wise dispatch'!$A$3:$R$138,15,FALSE)*$H143*$O143*365</f>
        <v>253875.39673346895</v>
      </c>
      <c r="AK143" s="7">
        <f>VLOOKUP($B143,'[9]Subsidiary wise dispatch'!$A$3:$R$138,16,FALSE)*$H143*$O143*365</f>
        <v>0</v>
      </c>
      <c r="AL143" s="7">
        <f>VLOOKUP($B143,'[9]Subsidiary wise dispatch'!$A$3:$R$138,17,FALSE)*$H143*$O143*365</f>
        <v>171051.32126527568</v>
      </c>
      <c r="AM143" s="7">
        <f>VLOOKUP($B143,'[9]Subsidiary wise dispatch'!$A$3:$R$138,18,FALSE)*$H143*$O143*365</f>
        <v>772793.28130011144</v>
      </c>
      <c r="AN143" s="15">
        <f t="shared" si="114"/>
        <v>1769955.5846897794</v>
      </c>
      <c r="AO143" s="6">
        <v>7.3009693702312639E-2</v>
      </c>
      <c r="AP143" s="11">
        <f t="shared" si="115"/>
        <v>0.54131918241036203</v>
      </c>
      <c r="AQ143" s="11">
        <f t="shared" si="116"/>
        <v>0.74469887576358884</v>
      </c>
      <c r="AR143" s="3">
        <f>VLOOKUP(A143,[10]Sheet1!$A$2:$L$542,12,FALSE)</f>
        <v>2.9910847885541001</v>
      </c>
      <c r="AS143" s="3">
        <f t="shared" si="124"/>
        <v>2.2355298606602436</v>
      </c>
      <c r="AT143" s="3">
        <f t="shared" si="125"/>
        <v>2.227664209250928</v>
      </c>
      <c r="AU143" s="3">
        <f t="shared" si="117"/>
        <v>7.8656514093156105E-3</v>
      </c>
      <c r="AV143" s="88">
        <f t="shared" si="126"/>
        <v>0.17011520357237936</v>
      </c>
      <c r="AW143" s="32">
        <f t="shared" si="127"/>
        <v>7.2577671637606672E-2</v>
      </c>
      <c r="AX143" s="12">
        <f t="shared" si="118"/>
        <v>604.98726168700648</v>
      </c>
      <c r="AY143" s="12">
        <f t="shared" si="119"/>
        <v>829.35938510412052</v>
      </c>
      <c r="AZ143" s="3">
        <f>VLOOKUP(A143,[5]Analysis!$A$3:$BJ$543,62,FALSE)</f>
        <v>0.70312738085944382</v>
      </c>
      <c r="BA143" s="2"/>
      <c r="BB143" s="2"/>
      <c r="BC143" s="2" t="str">
        <f>VLOOKUP(A143,'[6]FGD status - Jun 2020'!$I$2:$M$449,5,FALSE)</f>
        <v>Bid Awarded</v>
      </c>
      <c r="BD143" s="2"/>
      <c r="BE143" s="2"/>
      <c r="BF143" s="2">
        <f t="shared" si="120"/>
        <v>575.62991743339796</v>
      </c>
      <c r="BG143" s="2">
        <f t="shared" si="121"/>
        <v>770.34509323107704</v>
      </c>
      <c r="BH143" s="2"/>
      <c r="BI143" s="2"/>
      <c r="BK143">
        <f t="shared" si="122"/>
        <v>308.93111297973627</v>
      </c>
      <c r="BL143">
        <f>VLOOKUP(A143,'[11]Daily coal vs energy req.2'!$C$2:$P$599,14,FALSE)</f>
        <v>0.53</v>
      </c>
      <c r="BM143">
        <f>VLOOKUP(A143,'[11]Daily coal vs energy req.2'!$C$2:$R$599,16,FALSE)</f>
        <v>0.46</v>
      </c>
      <c r="BN143">
        <f>BL143*H143</f>
        <v>265</v>
      </c>
      <c r="BO143">
        <f>BM143*H143</f>
        <v>230</v>
      </c>
      <c r="BP143" s="2" t="str">
        <f>VLOOKUP(A143,'[7]Table 2'!$J$2:$N$449,5,FALSE)</f>
        <v>Bid Awarded</v>
      </c>
      <c r="BR143">
        <f t="shared" si="128"/>
        <v>536.44379215656875</v>
      </c>
      <c r="BS143">
        <f t="shared" si="129"/>
        <v>717.90369222756442</v>
      </c>
      <c r="BT143">
        <f>(X143*I143*365*[5]Analysis!BK143)/10^4</f>
        <v>318.86736126600914</v>
      </c>
      <c r="BU143">
        <f>(W143*R143*365*[5]Analysis!BK143)/10^4</f>
        <v>426.72887510443263</v>
      </c>
      <c r="BV143">
        <f>(X143*I143*365*[5]Analysis!BL143)/10^4</f>
        <v>217.57643089055955</v>
      </c>
      <c r="BW143">
        <f>(W143*R143*365*[5]Analysis!BL143)/10^4</f>
        <v>291.17481712313179</v>
      </c>
      <c r="BX143">
        <f t="shared" si="130"/>
        <v>2142501.8938330258</v>
      </c>
      <c r="BY143">
        <f t="shared" si="131"/>
        <v>2867234.2614011634</v>
      </c>
      <c r="BZ143">
        <f t="shared" si="132"/>
        <v>9857097.4335498046</v>
      </c>
      <c r="CA143">
        <f t="shared" si="133"/>
        <v>13560519.589146897</v>
      </c>
      <c r="CB143">
        <f t="shared" si="134"/>
        <v>-494033.61039897799</v>
      </c>
      <c r="CC143">
        <f t="shared" si="135"/>
        <v>-934998.80999999994</v>
      </c>
      <c r="CD143">
        <f t="shared" si="136"/>
        <v>0</v>
      </c>
      <c r="CE143">
        <f t="shared" si="137"/>
        <v>0</v>
      </c>
      <c r="CF143">
        <f t="shared" si="138"/>
        <v>4832252.2759754099</v>
      </c>
      <c r="CG143">
        <f t="shared" si="139"/>
        <v>6647783.7000000002</v>
      </c>
      <c r="CH143">
        <f t="shared" si="140"/>
        <v>444156.36363057024</v>
      </c>
      <c r="CI143">
        <f t="shared" si="141"/>
        <v>611030.89527720725</v>
      </c>
      <c r="CJ143">
        <f t="shared" si="142"/>
        <v>-2231347.6428300394</v>
      </c>
      <c r="CK143">
        <f t="shared" si="143"/>
        <v>-3069690.0000000005</v>
      </c>
      <c r="CL143">
        <f t="shared" si="144"/>
        <v>1530333.1467181193</v>
      </c>
      <c r="CM143">
        <f t="shared" si="145"/>
        <v>2105296.4885341991</v>
      </c>
    </row>
    <row r="144" spans="1:91" x14ac:dyDescent="0.2">
      <c r="A144" s="2" t="s">
        <v>164</v>
      </c>
      <c r="B144" s="2" t="str">
        <f t="shared" si="149"/>
        <v>MEJIA TPS</v>
      </c>
      <c r="C144" s="2" t="str">
        <f>VLOOKUP($A144,'[1]daily coal, energy reqd'!$C$2:$T$599,17,FALSE)</f>
        <v>West Bengal</v>
      </c>
      <c r="D144" s="2" t="str">
        <f>VLOOKUP(C144,'Target PLF'!$I$2:$J$19,2,FALSE)</f>
        <v>ER</v>
      </c>
      <c r="E144" s="2" t="str">
        <f>VLOOKUP(A144,[2]Ownership!$C$2:$D$666,2,FALSE)</f>
        <v>CENTRAL SECTOR</v>
      </c>
      <c r="F144" s="2" t="s">
        <v>543</v>
      </c>
      <c r="G144" s="12">
        <v>9.1772758384667998</v>
      </c>
      <c r="H144" s="2">
        <v>500</v>
      </c>
      <c r="I144" s="2">
        <f>VLOOKUP(A144,'[3]Calculated coal req (reg.)'!$A$2:$I$599,9,FALSE)</f>
        <v>6.9566407955929801</v>
      </c>
      <c r="J144" s="2"/>
      <c r="K144" s="11">
        <v>0.57972006629941497</v>
      </c>
      <c r="L144" s="3">
        <f>VLOOKUP(F144,'Target PLF'!$A$2:$B$11,2,FALSE)</f>
        <v>0.85</v>
      </c>
      <c r="M144" s="3">
        <f t="shared" si="123"/>
        <v>0.27027993370058501</v>
      </c>
      <c r="N144" s="2" t="str">
        <f t="shared" si="102"/>
        <v>0.15</v>
      </c>
      <c r="O144" s="2">
        <f t="shared" si="98"/>
        <v>9.2021318606270874</v>
      </c>
      <c r="P144" s="2">
        <f t="shared" si="103"/>
        <v>1679389.0645644434</v>
      </c>
      <c r="Q144" s="2">
        <f t="shared" si="104"/>
        <v>12.962617662183437</v>
      </c>
      <c r="R144" s="2">
        <f t="shared" si="105"/>
        <v>10.199999999999999</v>
      </c>
      <c r="S144" s="2">
        <f t="shared" si="106"/>
        <v>2365677.7233484769</v>
      </c>
      <c r="T144" s="2" t="str">
        <f>VLOOKUP(A144,'[4]CEA vs MERIT comp. &amp; NPA marker'!$C$2:$K$735,9,FALSE)</f>
        <v>Not contracted</v>
      </c>
      <c r="U144" s="3">
        <f>VLOOKUP(B144,'[8]Import-Domestic share'!$A$208:$F$406,6,FALSE)</f>
        <v>0</v>
      </c>
      <c r="V144" s="3">
        <f t="shared" si="107"/>
        <v>0</v>
      </c>
      <c r="W144" s="2">
        <f t="shared" si="108"/>
        <v>2744.074645603012</v>
      </c>
      <c r="X144" s="2">
        <f t="shared" si="109"/>
        <v>2833.4214076223343</v>
      </c>
      <c r="Y144" s="6">
        <f t="shared" si="110"/>
        <v>0.31340255316233007</v>
      </c>
      <c r="Z144" s="2">
        <f t="shared" si="111"/>
        <v>2224072.8276783675</v>
      </c>
      <c r="AA144" s="2">
        <f t="shared" si="112"/>
        <v>1566259.2954132133</v>
      </c>
      <c r="AB144" s="2" t="s">
        <v>598</v>
      </c>
      <c r="AC144" s="12">
        <f>VLOOKUP(B144,[9]Sheet1!$A$2:$B$137,2,FALSE)</f>
        <v>4593.4601504233742</v>
      </c>
      <c r="AD144" s="12">
        <f t="shared" si="113"/>
        <v>2296730.075211687</v>
      </c>
      <c r="AE144" s="2"/>
      <c r="AF144" s="7">
        <f>VLOOKUP($B144,'[9]Subsidiary wise dispatch'!$A$3:$R$138,11,FALSE)*$H144*$O144*365</f>
        <v>1050800.5166255967</v>
      </c>
      <c r="AG144" s="7">
        <f>VLOOKUP($B144,'[9]Subsidiary wise dispatch'!$A$3:$R$138,12,FALSE)*$H144*$O144*365</f>
        <v>24722.900896333758</v>
      </c>
      <c r="AH144" s="7">
        <f>VLOOKUP($B144,'[9]Subsidiary wise dispatch'!$A$3:$R$138,13,FALSE)*$H144*$O144*365</f>
        <v>520800.64167825493</v>
      </c>
      <c r="AI144" s="7">
        <f>VLOOKUP($B144,'[9]Subsidiary wise dispatch'!$A$3:$R$138,14,FALSE)*$H144*$O144*365</f>
        <v>83065.005364258293</v>
      </c>
      <c r="AJ144" s="7">
        <f>VLOOKUP($B144,'[9]Subsidiary wise dispatch'!$A$3:$R$138,15,FALSE)*$H144*$O144*365</f>
        <v>0</v>
      </c>
      <c r="AK144" s="7">
        <f>VLOOKUP($B144,'[9]Subsidiary wise dispatch'!$A$3:$R$138,16,FALSE)*$H144*$O144*365</f>
        <v>0</v>
      </c>
      <c r="AL144" s="7">
        <f>VLOOKUP($B144,'[9]Subsidiary wise dispatch'!$A$3:$R$138,17,FALSE)*$H144*$O144*365</f>
        <v>0</v>
      </c>
      <c r="AM144" s="7">
        <f>VLOOKUP($B144,'[9]Subsidiary wise dispatch'!$A$3:$R$138,18,FALSE)*$H144*$O144*365</f>
        <v>0</v>
      </c>
      <c r="AN144" s="15">
        <f t="shared" si="114"/>
        <v>1679389.0645644437</v>
      </c>
      <c r="AO144" s="6">
        <v>8.3678646324733194E-2</v>
      </c>
      <c r="AP144" s="11">
        <f t="shared" si="115"/>
        <v>0.5821222847426355</v>
      </c>
      <c r="AQ144" s="11">
        <f t="shared" si="116"/>
        <v>0.85352219251227857</v>
      </c>
      <c r="AR144" s="3">
        <f>VLOOKUP(A144,[10]Sheet1!$A$2:$L$542,12,FALSE)</f>
        <v>2.5933434925569898</v>
      </c>
      <c r="AS144" s="3">
        <f t="shared" si="124"/>
        <v>1.9699649018789265</v>
      </c>
      <c r="AT144" s="3">
        <f t="shared" si="125"/>
        <v>1.960806858771946</v>
      </c>
      <c r="AU144" s="3">
        <f t="shared" si="117"/>
        <v>9.1580431069804291E-3</v>
      </c>
      <c r="AV144" s="88">
        <f t="shared" si="126"/>
        <v>0.19806654101446272</v>
      </c>
      <c r="AW144" s="32">
        <f t="shared" si="127"/>
        <v>9.5894347014661971E-2</v>
      </c>
      <c r="AX144" s="12">
        <f t="shared" si="118"/>
        <v>500.20834438385009</v>
      </c>
      <c r="AY144" s="12">
        <f t="shared" si="119"/>
        <v>730.00839352079549</v>
      </c>
      <c r="AZ144" s="3">
        <f>VLOOKUP(A144,[5]Analysis!$A$3:$BJ$543,62,FALSE)</f>
        <v>0.54169530307848368</v>
      </c>
      <c r="BA144" s="2"/>
      <c r="BB144" s="2"/>
      <c r="BC144" s="2" t="str">
        <f>VLOOKUP(A144,'[6]FGD status - Jun 2020'!$I$2:$M$449,5,FALSE)</f>
        <v>Bid Awarded</v>
      </c>
      <c r="BD144" s="2"/>
      <c r="BE144" s="2"/>
      <c r="BF144" s="2">
        <f t="shared" si="120"/>
        <v>484.75725193038949</v>
      </c>
      <c r="BG144" s="2">
        <f t="shared" si="121"/>
        <v>688.35054016645472</v>
      </c>
      <c r="BH144" s="2"/>
      <c r="BI144" s="2"/>
      <c r="BK144">
        <f t="shared" si="122"/>
        <v>289.86003314970748</v>
      </c>
      <c r="BL144">
        <f>VLOOKUP(A144,'[11]Daily coal vs energy req.2'!$C$2:$P$599,14,FALSE)</f>
        <v>0.75</v>
      </c>
      <c r="BM144">
        <f>VLOOKUP(A144,'[11]Daily coal vs energy req.2'!$C$2:$R$599,16,FALSE)</f>
        <v>0.69</v>
      </c>
      <c r="BN144">
        <f>BL144*H144</f>
        <v>375</v>
      </c>
      <c r="BO144">
        <f>BM144*H144</f>
        <v>345</v>
      </c>
      <c r="BP144" s="2" t="str">
        <f>VLOOKUP(A144,'[7]Table 2'!$J$2:$N$449,5,FALSE)</f>
        <v>Bid Awarded</v>
      </c>
      <c r="BR144">
        <f t="shared" si="128"/>
        <v>389.72537578885408</v>
      </c>
      <c r="BS144">
        <f t="shared" si="129"/>
        <v>553.40620872105103</v>
      </c>
      <c r="BT144">
        <f>(X144*I144*365*[5]Analysis!BK144)/10^4</f>
        <v>309.40443925379873</v>
      </c>
      <c r="BU144">
        <f>(W144*R144*365*[5]Analysis!BK144)/10^4</f>
        <v>439.35126713861899</v>
      </c>
      <c r="BV144">
        <f>(X144*I144*365*[5]Analysis!BL144)/10^4</f>
        <v>80.320936535055282</v>
      </c>
      <c r="BW144">
        <f>(W144*R144*365*[5]Analysis!BL144)/10^4</f>
        <v>114.05494158243197</v>
      </c>
      <c r="BX144">
        <f t="shared" si="130"/>
        <v>2020387.2329256318</v>
      </c>
      <c r="BY144">
        <f t="shared" si="131"/>
        <v>2868930.0419779485</v>
      </c>
      <c r="BZ144">
        <f t="shared" si="132"/>
        <v>7125195.7055149879</v>
      </c>
      <c r="CA144">
        <f t="shared" si="133"/>
        <v>10447139.407038756</v>
      </c>
      <c r="CB144">
        <f t="shared" si="134"/>
        <v>-434920.49446084769</v>
      </c>
      <c r="CC144">
        <f t="shared" si="135"/>
        <v>-934998.80999999994</v>
      </c>
      <c r="CD144">
        <f t="shared" si="136"/>
        <v>0</v>
      </c>
      <c r="CE144">
        <f t="shared" si="137"/>
        <v>0</v>
      </c>
      <c r="CF144">
        <f t="shared" si="138"/>
        <v>4533945.4203625536</v>
      </c>
      <c r="CG144">
        <f t="shared" si="139"/>
        <v>6647783.7000000002</v>
      </c>
      <c r="CH144">
        <f t="shared" si="140"/>
        <v>472725.57857983682</v>
      </c>
      <c r="CI144">
        <f t="shared" si="141"/>
        <v>693122.01724845963</v>
      </c>
      <c r="CJ144">
        <f t="shared" si="142"/>
        <v>-2093601.0474337076</v>
      </c>
      <c r="CK144">
        <f t="shared" si="143"/>
        <v>-3069690.0000000005</v>
      </c>
      <c r="CL144">
        <f t="shared" si="144"/>
        <v>1645685.3123479593</v>
      </c>
      <c r="CM144">
        <f t="shared" si="145"/>
        <v>2412944.793208682</v>
      </c>
    </row>
    <row r="145" spans="1:91" x14ac:dyDescent="0.2">
      <c r="A145" s="2" t="s">
        <v>155</v>
      </c>
      <c r="B145" s="2" t="str">
        <f t="shared" si="149"/>
        <v>BHUSAWAL TPS</v>
      </c>
      <c r="C145" s="2" t="str">
        <f>VLOOKUP($A145,'[1]daily coal, energy reqd'!$C$2:$T$599,17,FALSE)</f>
        <v>Maharashtra</v>
      </c>
      <c r="D145" s="2" t="str">
        <f>VLOOKUP(C145,'Target PLF'!$I$2:$J$19,2,FALSE)</f>
        <v>WR</v>
      </c>
      <c r="E145" s="2" t="str">
        <f>VLOOKUP(A145,[2]Ownership!$C$2:$D$666,2,FALSE)</f>
        <v>STATE SECTOR</v>
      </c>
      <c r="F145" s="2" t="s">
        <v>543</v>
      </c>
      <c r="G145" s="12">
        <v>8.1752224503764506</v>
      </c>
      <c r="H145" s="2">
        <v>500</v>
      </c>
      <c r="I145" s="2">
        <f>VLOOKUP(A145,'[3]Calculated coal req (reg.)'!$A$2:$I$599,9,FALSE)</f>
        <v>8.2825333192082908</v>
      </c>
      <c r="J145" s="2"/>
      <c r="K145" s="11">
        <v>0.69021110993402424</v>
      </c>
      <c r="L145" s="3">
        <f>VLOOKUP(F145,'Target PLF'!$A$2:$B$11,2,FALSE)</f>
        <v>0.85</v>
      </c>
      <c r="M145" s="3">
        <f t="shared" si="123"/>
        <v>0.15978889006597574</v>
      </c>
      <c r="N145" s="2" t="str">
        <f t="shared" si="102"/>
        <v>0.15</v>
      </c>
      <c r="O145" s="2">
        <f t="shared" si="98"/>
        <v>10.707686856960734</v>
      </c>
      <c r="P145" s="2">
        <f t="shared" si="103"/>
        <v>1954152.8513953339</v>
      </c>
      <c r="Q145" s="2">
        <f t="shared" si="104"/>
        <v>12.930877621115675</v>
      </c>
      <c r="R145" s="2">
        <f t="shared" si="105"/>
        <v>10.199999999999999</v>
      </c>
      <c r="S145" s="2">
        <f t="shared" si="106"/>
        <v>2359885.1658536107</v>
      </c>
      <c r="T145" s="2" t="str">
        <f>VLOOKUP(A145,'[4]CEA vs MERIT comp. &amp; NPA marker'!$C$2:$K$735,9,FALSE)</f>
        <v>Contracted</v>
      </c>
      <c r="U145" s="3">
        <f>VLOOKUP(B145,'[8]Import-Domestic share'!$A$208:$F$406,6,FALSE)</f>
        <v>3.8557742899071587E-2</v>
      </c>
      <c r="V145" s="3">
        <f t="shared" si="107"/>
        <v>75347.723229588926</v>
      </c>
      <c r="W145" s="2">
        <f t="shared" si="108"/>
        <v>2745.1114786752878</v>
      </c>
      <c r="X145" s="2">
        <f t="shared" si="109"/>
        <v>2797.9330838110654</v>
      </c>
      <c r="Y145" s="6">
        <f t="shared" si="110"/>
        <v>0.31328418050803947</v>
      </c>
      <c r="Z145" s="2">
        <f t="shared" si="111"/>
        <v>2364465.646443204</v>
      </c>
      <c r="AA145" s="2">
        <f t="shared" si="112"/>
        <v>1956921.3262505694</v>
      </c>
      <c r="AB145" s="2" t="s">
        <v>598</v>
      </c>
      <c r="AC145" s="12">
        <f>VLOOKUP(B145,[9]Sheet1!$A$2:$B$137,2,FALSE)</f>
        <v>4322.3508239512021</v>
      </c>
      <c r="AD145" s="12">
        <f t="shared" si="113"/>
        <v>2161175.4119756012</v>
      </c>
      <c r="AE145" s="2"/>
      <c r="AF145" s="7">
        <f>VLOOKUP($B145,'[9]Subsidiary wise dispatch'!$A$3:$R$138,11,FALSE)*$H145*$O145*365</f>
        <v>0</v>
      </c>
      <c r="AG145" s="7">
        <f>VLOOKUP($B145,'[9]Subsidiary wise dispatch'!$A$3:$R$138,12,FALSE)*$H145*$O145*365</f>
        <v>0</v>
      </c>
      <c r="AH145" s="7">
        <f>VLOOKUP($B145,'[9]Subsidiary wise dispatch'!$A$3:$R$138,13,FALSE)*$H145*$O145*365</f>
        <v>0</v>
      </c>
      <c r="AI145" s="7">
        <f>VLOOKUP($B145,'[9]Subsidiary wise dispatch'!$A$3:$R$138,14,FALSE)*$H145*$O145*365</f>
        <v>0</v>
      </c>
      <c r="AJ145" s="7">
        <f>VLOOKUP($B145,'[9]Subsidiary wise dispatch'!$A$3:$R$138,15,FALSE)*$H145*$O145*365</f>
        <v>0</v>
      </c>
      <c r="AK145" s="7">
        <f>VLOOKUP($B145,'[9]Subsidiary wise dispatch'!$A$3:$R$138,16,FALSE)*$H145*$O145*365</f>
        <v>0</v>
      </c>
      <c r="AL145" s="7">
        <f>VLOOKUP($B145,'[9]Subsidiary wise dispatch'!$A$3:$R$138,17,FALSE)*$H145*$O145*365</f>
        <v>35323.885535874571</v>
      </c>
      <c r="AM145" s="7">
        <f>VLOOKUP($B145,'[9]Subsidiary wise dispatch'!$A$3:$R$138,18,FALSE)*$H145*$O145*365</f>
        <v>1918828.9658594595</v>
      </c>
      <c r="AN145" s="15">
        <f t="shared" si="114"/>
        <v>1954152.8513953341</v>
      </c>
      <c r="AO145" s="6">
        <v>6.8124170867604139E-2</v>
      </c>
      <c r="AP145" s="11">
        <f t="shared" si="115"/>
        <v>0.56424071505437001</v>
      </c>
      <c r="AQ145" s="11">
        <f t="shared" si="116"/>
        <v>0.69486654284956217</v>
      </c>
      <c r="AR145" s="3">
        <f>VLOOKUP(A145,[10]Sheet1!$A$2:$L$542,12,FALSE)</f>
        <v>2.7322637362637301</v>
      </c>
      <c r="AS145" s="3">
        <f t="shared" si="124"/>
        <v>2.2374805688011388</v>
      </c>
      <c r="AT145" s="3">
        <f t="shared" si="125"/>
        <v>2.2320663542747217</v>
      </c>
      <c r="AU145" s="3">
        <f t="shared" si="117"/>
        <v>5.4142145264171049E-3</v>
      </c>
      <c r="AV145" s="88">
        <f t="shared" si="126"/>
        <v>0.11709649441814834</v>
      </c>
      <c r="AW145" s="32">
        <f t="shared" si="127"/>
        <v>4.9914301580536884E-2</v>
      </c>
      <c r="AX145" s="12">
        <f t="shared" si="118"/>
        <v>676.41826871944409</v>
      </c>
      <c r="AY145" s="12">
        <f t="shared" si="119"/>
        <v>830.99830369647884</v>
      </c>
      <c r="AZ145" s="3">
        <f>VLOOKUP(A145,[5]Analysis!$A$3:$BJ$543,62,FALSE)</f>
        <v>0.71228376815473859</v>
      </c>
      <c r="BA145" s="2"/>
      <c r="BB145" s="2"/>
      <c r="BC145" s="2" t="str">
        <f>VLOOKUP(A145,'[6]FGD status - Jun 2020'!$I$2:$M$449,5,FALSE)</f>
        <v>Feasiblity Study Carried Out</v>
      </c>
      <c r="BD145" s="2"/>
      <c r="BE145" s="2"/>
      <c r="BF145" s="2">
        <f t="shared" si="120"/>
        <v>621.78422513225667</v>
      </c>
      <c r="BG145" s="2">
        <f t="shared" si="121"/>
        <v>751.27570030747427</v>
      </c>
      <c r="BH145" s="2"/>
      <c r="BI145" s="2"/>
      <c r="BK145">
        <f t="shared" si="122"/>
        <v>345.1055549670121</v>
      </c>
      <c r="BL145">
        <f>VLOOKUP(A145,'[11]Daily coal vs energy req.2'!$C$2:$P$599,14,FALSE)</f>
        <v>0.87</v>
      </c>
      <c r="BM145">
        <f>VLOOKUP(A145,'[11]Daily coal vs energy req.2'!$C$2:$R$599,16,FALSE)</f>
        <v>0.88</v>
      </c>
      <c r="BN145">
        <f>BL145*H145</f>
        <v>435</v>
      </c>
      <c r="BO145">
        <f>BM145*H145</f>
        <v>440</v>
      </c>
      <c r="BP145" s="2" t="str">
        <f>VLOOKUP(A145,'[7]Table 2'!$J$2:$N$449,5,FALSE)</f>
        <v>Bid opened</v>
      </c>
      <c r="BR145">
        <f t="shared" si="128"/>
        <v>602.4852614012608</v>
      </c>
      <c r="BS145">
        <f t="shared" si="129"/>
        <v>727.95757497367629</v>
      </c>
      <c r="BT145">
        <f>(X145*I145*365*[5]Analysis!BK145)/10^4</f>
        <v>358.17133184897489</v>
      </c>
      <c r="BU145">
        <f>(W145*R145*365*[5]Analysis!BK145)/10^4</f>
        <v>432.76334022089986</v>
      </c>
      <c r="BV145">
        <f>(X145*I145*365*[5]Analysis!BL145)/10^4</f>
        <v>244.31392955228597</v>
      </c>
      <c r="BW145">
        <f>(W145*R145*365*[5]Analysis!BL145)/10^4</f>
        <v>295.19423475277648</v>
      </c>
      <c r="BX145">
        <f t="shared" si="130"/>
        <v>2375332.3341369862</v>
      </c>
      <c r="BY145">
        <f t="shared" si="131"/>
        <v>2870014.0509550134</v>
      </c>
      <c r="BZ145">
        <f t="shared" si="132"/>
        <v>11154712.658797039</v>
      </c>
      <c r="CA145">
        <f t="shared" si="133"/>
        <v>13737109.738618663</v>
      </c>
      <c r="CB145">
        <f t="shared" si="134"/>
        <v>-616505.70230125485</v>
      </c>
      <c r="CC145">
        <f t="shared" si="135"/>
        <v>-934998.80999999994</v>
      </c>
      <c r="CD145">
        <f t="shared" si="136"/>
        <v>0</v>
      </c>
      <c r="CE145">
        <f t="shared" si="137"/>
        <v>0</v>
      </c>
      <c r="CF145">
        <f t="shared" si="138"/>
        <v>5398087.2543274285</v>
      </c>
      <c r="CG145">
        <f t="shared" si="139"/>
        <v>6647783.7000000002</v>
      </c>
      <c r="CH145">
        <f t="shared" si="140"/>
        <v>501370.18928066851</v>
      </c>
      <c r="CI145">
        <f t="shared" si="141"/>
        <v>617441.03326488682</v>
      </c>
      <c r="CJ145">
        <f t="shared" si="142"/>
        <v>-2492628.4024157356</v>
      </c>
      <c r="CK145">
        <f t="shared" si="143"/>
        <v>-3069690.0000000005</v>
      </c>
      <c r="CL145">
        <f t="shared" si="144"/>
        <v>1595133.3280501666</v>
      </c>
      <c r="CM145">
        <f t="shared" si="145"/>
        <v>1964418.2907635977</v>
      </c>
    </row>
    <row r="146" spans="1:91" x14ac:dyDescent="0.2">
      <c r="A146" s="2" t="s">
        <v>154</v>
      </c>
      <c r="B146" s="2" t="str">
        <f t="shared" si="149"/>
        <v>BHUSAWAL TPS</v>
      </c>
      <c r="C146" s="2" t="str">
        <f>VLOOKUP($A146,'[1]daily coal, energy reqd'!$C$2:$T$599,17,FALSE)</f>
        <v>Maharashtra</v>
      </c>
      <c r="D146" s="2" t="str">
        <f>VLOOKUP(C146,'Target PLF'!$I$2:$J$19,2,FALSE)</f>
        <v>WR</v>
      </c>
      <c r="E146" s="2" t="str">
        <f>VLOOKUP(A146,[2]Ownership!$C$2:$D$666,2,FALSE)</f>
        <v>STATE SECTOR</v>
      </c>
      <c r="F146" s="2" t="s">
        <v>543</v>
      </c>
      <c r="G146" s="12">
        <v>8.1752224503764506</v>
      </c>
      <c r="H146" s="2">
        <v>500</v>
      </c>
      <c r="I146" s="2">
        <f>VLOOKUP(A146,'[3]Calculated coal req (reg.)'!$A$2:$I$599,9,FALSE)</f>
        <v>8.3640380307925906</v>
      </c>
      <c r="J146" s="2"/>
      <c r="K146" s="11">
        <v>0.69700316923271577</v>
      </c>
      <c r="L146" s="3">
        <f>VLOOKUP(F146,'Target PLF'!$A$2:$B$11,2,FALSE)</f>
        <v>0.85</v>
      </c>
      <c r="M146" s="3">
        <f t="shared" si="123"/>
        <v>0.15299683076728421</v>
      </c>
      <c r="N146" s="2" t="str">
        <f t="shared" si="102"/>
        <v>0.15</v>
      </c>
      <c r="O146" s="2">
        <f t="shared" si="98"/>
        <v>10.802186815601219</v>
      </c>
      <c r="P146" s="2">
        <f t="shared" si="103"/>
        <v>1971399.0938472224</v>
      </c>
      <c r="Q146" s="2">
        <f t="shared" si="104"/>
        <v>12.930877621115675</v>
      </c>
      <c r="R146" s="2">
        <f t="shared" si="105"/>
        <v>10.199999999999999</v>
      </c>
      <c r="S146" s="2">
        <f t="shared" si="106"/>
        <v>2359885.1658536107</v>
      </c>
      <c r="T146" s="2" t="str">
        <f>VLOOKUP(A146,'[4]CEA vs MERIT comp. &amp; NPA marker'!$C$2:$K$735,9,FALSE)</f>
        <v>Contracted</v>
      </c>
      <c r="U146" s="3">
        <f>VLOOKUP(B146,'[8]Import-Domestic share'!$A$208:$F$406,6,FALSE)</f>
        <v>3.8557742899071587E-2</v>
      </c>
      <c r="V146" s="3">
        <f t="shared" si="107"/>
        <v>76012.699412023896</v>
      </c>
      <c r="W146" s="2">
        <f t="shared" si="108"/>
        <v>2745.1114786752878</v>
      </c>
      <c r="X146" s="2">
        <f t="shared" si="109"/>
        <v>2795.6878246182259</v>
      </c>
      <c r="Y146" s="6">
        <f t="shared" si="110"/>
        <v>0.31328418050803947</v>
      </c>
      <c r="Z146" s="2">
        <f t="shared" si="111"/>
        <v>2364465.646443204</v>
      </c>
      <c r="AA146" s="2">
        <f t="shared" si="112"/>
        <v>1974592.6898348504</v>
      </c>
      <c r="AB146" s="2" t="s">
        <v>598</v>
      </c>
      <c r="AC146" s="12">
        <f>VLOOKUP(B146,[9]Sheet1!$A$2:$B$137,2,FALSE)</f>
        <v>4322.3508239512021</v>
      </c>
      <c r="AD146" s="12">
        <f t="shared" si="113"/>
        <v>2161175.4119756012</v>
      </c>
      <c r="AE146" s="2"/>
      <c r="AF146" s="7">
        <f>VLOOKUP($B146,'[9]Subsidiary wise dispatch'!$A$3:$R$138,11,FALSE)*$H146*$O146*365</f>
        <v>0</v>
      </c>
      <c r="AG146" s="7">
        <f>VLOOKUP($B146,'[9]Subsidiary wise dispatch'!$A$3:$R$138,12,FALSE)*$H146*$O146*365</f>
        <v>0</v>
      </c>
      <c r="AH146" s="7">
        <f>VLOOKUP($B146,'[9]Subsidiary wise dispatch'!$A$3:$R$138,13,FALSE)*$H146*$O146*365</f>
        <v>0</v>
      </c>
      <c r="AI146" s="7">
        <f>VLOOKUP($B146,'[9]Subsidiary wise dispatch'!$A$3:$R$138,14,FALSE)*$H146*$O146*365</f>
        <v>0</v>
      </c>
      <c r="AJ146" s="7">
        <f>VLOOKUP($B146,'[9]Subsidiary wise dispatch'!$A$3:$R$138,15,FALSE)*$H146*$O146*365</f>
        <v>0</v>
      </c>
      <c r="AK146" s="7">
        <f>VLOOKUP($B146,'[9]Subsidiary wise dispatch'!$A$3:$R$138,16,FALSE)*$H146*$O146*365</f>
        <v>0</v>
      </c>
      <c r="AL146" s="7">
        <f>VLOOKUP($B146,'[9]Subsidiary wise dispatch'!$A$3:$R$138,17,FALSE)*$H146*$O146*365</f>
        <v>35635.634073794441</v>
      </c>
      <c r="AM146" s="7">
        <f>VLOOKUP($B146,'[9]Subsidiary wise dispatch'!$A$3:$R$138,18,FALSE)*$H146*$O146*365</f>
        <v>1935763.459773428</v>
      </c>
      <c r="AN146" s="15">
        <f t="shared" si="114"/>
        <v>1971399.0938472224</v>
      </c>
      <c r="AO146" s="6">
        <v>6.8124170867604139E-2</v>
      </c>
      <c r="AP146" s="11">
        <f t="shared" si="115"/>
        <v>0.56979315595285374</v>
      </c>
      <c r="AQ146" s="11">
        <f t="shared" si="116"/>
        <v>0.69486654284956217</v>
      </c>
      <c r="AR146" s="3">
        <f>VLOOKUP(A146,[10]Sheet1!$A$2:$L$542,12,FALSE)</f>
        <v>2.7322637362637301</v>
      </c>
      <c r="AS146" s="3">
        <f t="shared" si="124"/>
        <v>2.2372504297338733</v>
      </c>
      <c r="AT146" s="3">
        <f t="shared" si="125"/>
        <v>2.2320663542747217</v>
      </c>
      <c r="AU146" s="3">
        <f t="shared" si="117"/>
        <v>5.1840754591516713E-3</v>
      </c>
      <c r="AV146" s="88">
        <f t="shared" si="126"/>
        <v>0.11211913752288122</v>
      </c>
      <c r="AW146" s="32">
        <f t="shared" si="127"/>
        <v>4.7797537835963112E-2</v>
      </c>
      <c r="AX146" s="12">
        <f t="shared" si="118"/>
        <v>683.00434027259314</v>
      </c>
      <c r="AY146" s="12">
        <f t="shared" si="119"/>
        <v>830.99830369647884</v>
      </c>
      <c r="AZ146" s="3">
        <f>VLOOKUP(A146,[5]Analysis!$A$3:$BJ$543,62,FALSE)</f>
        <v>0.71228376815473859</v>
      </c>
      <c r="BA146" s="2"/>
      <c r="BB146" s="2"/>
      <c r="BC146" s="2" t="str">
        <f>VLOOKUP(A146,'[6]FGD status - Jun 2020'!$I$2:$M$449,5,FALSE)</f>
        <v>Feasiblity Study Carried Out</v>
      </c>
      <c r="BD146" s="2"/>
      <c r="BE146" s="2"/>
      <c r="BF146" s="2">
        <f t="shared" si="120"/>
        <v>627.39905234369837</v>
      </c>
      <c r="BG146" s="2">
        <f t="shared" si="121"/>
        <v>751.27570030747427</v>
      </c>
      <c r="BH146" s="2"/>
      <c r="BI146" s="2"/>
      <c r="BK146">
        <f t="shared" si="122"/>
        <v>348.50158461635789</v>
      </c>
      <c r="BL146">
        <f>VLOOKUP(A146,'[11]Daily coal vs energy req.2'!$C$2:$P$599,14,FALSE)</f>
        <v>0.83</v>
      </c>
      <c r="BM146">
        <f>VLOOKUP(A146,'[11]Daily coal vs energy req.2'!$C$2:$R$599,16,FALSE)</f>
        <v>0.87</v>
      </c>
      <c r="BN146">
        <f>BL146*H146</f>
        <v>415</v>
      </c>
      <c r="BO146">
        <f>BM146*H146</f>
        <v>435</v>
      </c>
      <c r="BP146" s="2" t="str">
        <f>VLOOKUP(A146,'[7]Table 2'!$J$2:$N$449,5,FALSE)</f>
        <v>Bid opened</v>
      </c>
      <c r="BR146">
        <f t="shared" si="128"/>
        <v>607.9258153803986</v>
      </c>
      <c r="BS146">
        <f t="shared" si="129"/>
        <v>727.95757497367629</v>
      </c>
      <c r="BT146">
        <f>(X146*I146*365*[5]Analysis!BK146)/10^4</f>
        <v>361.40568559925896</v>
      </c>
      <c r="BU146">
        <f>(W146*R146*365*[5]Analysis!BK146)/10^4</f>
        <v>432.76334022089986</v>
      </c>
      <c r="BV146">
        <f>(X146*I146*365*[5]Analysis!BL146)/10^4</f>
        <v>246.52012978113979</v>
      </c>
      <c r="BW146">
        <f>(W146*R146*365*[5]Analysis!BL146)/10^4</f>
        <v>295.19423475277648</v>
      </c>
      <c r="BX146">
        <f t="shared" si="130"/>
        <v>2396782.0269513917</v>
      </c>
      <c r="BY146">
        <f t="shared" si="131"/>
        <v>2870014.0509550134</v>
      </c>
      <c r="BZ146">
        <f t="shared" si="132"/>
        <v>11264481.204605663</v>
      </c>
      <c r="CA146">
        <f t="shared" si="133"/>
        <v>13737109.738618663</v>
      </c>
      <c r="CB146">
        <f t="shared" si="134"/>
        <v>-628698.91714554094</v>
      </c>
      <c r="CC146">
        <f t="shared" si="135"/>
        <v>-934998.80999999994</v>
      </c>
      <c r="CD146">
        <f t="shared" si="136"/>
        <v>0</v>
      </c>
      <c r="CE146">
        <f t="shared" si="137"/>
        <v>0</v>
      </c>
      <c r="CF146">
        <f t="shared" si="138"/>
        <v>5451207.4203218706</v>
      </c>
      <c r="CG146">
        <f t="shared" si="139"/>
        <v>6647783.7000000002</v>
      </c>
      <c r="CH146">
        <f t="shared" si="140"/>
        <v>506303.9494117045</v>
      </c>
      <c r="CI146">
        <f t="shared" si="141"/>
        <v>617441.03326488682</v>
      </c>
      <c r="CJ146">
        <f t="shared" si="142"/>
        <v>-2517157.2453670301</v>
      </c>
      <c r="CK146">
        <f t="shared" si="143"/>
        <v>-3069690.0000000005</v>
      </c>
      <c r="CL146">
        <f t="shared" si="144"/>
        <v>1610830.3227775793</v>
      </c>
      <c r="CM146">
        <f t="shared" si="145"/>
        <v>1964418.2907635977</v>
      </c>
    </row>
    <row r="147" spans="1:91" x14ac:dyDescent="0.2">
      <c r="A147" s="2" t="s">
        <v>159</v>
      </c>
      <c r="B147" s="2" t="str">
        <f t="shared" si="149"/>
        <v>KHAPARKHEDA TPS</v>
      </c>
      <c r="C147" s="2" t="str">
        <f>VLOOKUP($A147,'[1]daily coal, energy reqd'!$C$2:$T$599,17,FALSE)</f>
        <v>Maharashtra</v>
      </c>
      <c r="D147" s="2" t="str">
        <f>VLOOKUP(C147,'Target PLF'!$I$2:$J$19,2,FALSE)</f>
        <v>WR</v>
      </c>
      <c r="E147" s="2" t="str">
        <f>VLOOKUP(A147,[2]Ownership!$C$2:$D$666,2,FALSE)</f>
        <v>STATE SECTOR</v>
      </c>
      <c r="F147" s="2" t="s">
        <v>543</v>
      </c>
      <c r="G147" s="12">
        <v>8.7583846680355908</v>
      </c>
      <c r="H147" s="2">
        <v>500</v>
      </c>
      <c r="I147" s="2">
        <f>VLOOKUP(A147,'[3]Calculated coal req (reg.)'!$A$2:$I$599,9,FALSE)</f>
        <v>8.5379622238112898</v>
      </c>
      <c r="J147" s="2"/>
      <c r="K147" s="11">
        <v>0.71149685198427415</v>
      </c>
      <c r="L147" s="3">
        <f>VLOOKUP(F147,'Target PLF'!$A$2:$B$11,2,FALSE)</f>
        <v>0.85</v>
      </c>
      <c r="M147" s="3">
        <f t="shared" si="123"/>
        <v>0.13850314801572583</v>
      </c>
      <c r="N147" s="2" t="str">
        <f t="shared" si="102"/>
        <v>0.15</v>
      </c>
      <c r="O147" s="2">
        <f t="shared" si="98"/>
        <v>11.02231343507283</v>
      </c>
      <c r="P147" s="2">
        <f t="shared" si="103"/>
        <v>2011572.2019007916</v>
      </c>
      <c r="Q147" s="2">
        <f t="shared" si="104"/>
        <v>12.949349284360027</v>
      </c>
      <c r="R147" s="2">
        <f t="shared" si="105"/>
        <v>10.199999999999999</v>
      </c>
      <c r="S147" s="2">
        <f t="shared" si="106"/>
        <v>2363256.2443957049</v>
      </c>
      <c r="T147" s="2" t="str">
        <f>VLOOKUP(A147,'[4]CEA vs MERIT comp. &amp; NPA marker'!$C$2:$K$735,9,FALSE)</f>
        <v>Contracted</v>
      </c>
      <c r="U147" s="3">
        <f>VLOOKUP(B147,'[8]Import-Domestic share'!$A$208:$F$406,6,FALSE)</f>
        <v>2.4285213526101211E-2</v>
      </c>
      <c r="V147" s="3">
        <f t="shared" si="107"/>
        <v>48851.460446330297</v>
      </c>
      <c r="W147" s="2">
        <f t="shared" si="108"/>
        <v>2746.3493295030144</v>
      </c>
      <c r="X147" s="2">
        <f t="shared" si="109"/>
        <v>2792.1344813463502</v>
      </c>
      <c r="Y147" s="6">
        <f t="shared" si="110"/>
        <v>0.31314297520761047</v>
      </c>
      <c r="Z147" s="2">
        <f t="shared" si="111"/>
        <v>2650427.1180610876</v>
      </c>
      <c r="AA147" s="2">
        <f t="shared" si="112"/>
        <v>2255539.7118947296</v>
      </c>
      <c r="AB147" s="2" t="s">
        <v>598</v>
      </c>
      <c r="AC147" s="12">
        <f>VLOOKUP(B147,[9]Sheet1!$A$2:$B$137,2,FALSE)</f>
        <v>3857.7399408815058</v>
      </c>
      <c r="AD147" s="12">
        <f t="shared" si="113"/>
        <v>1928869.970440753</v>
      </c>
      <c r="AE147" s="2"/>
      <c r="AF147" s="7">
        <f>VLOOKUP($B147,'[9]Subsidiary wise dispatch'!$A$3:$R$138,11,FALSE)*$H147*$O147*365</f>
        <v>0</v>
      </c>
      <c r="AG147" s="7">
        <f>VLOOKUP($B147,'[9]Subsidiary wise dispatch'!$A$3:$R$138,12,FALSE)*$H147*$O147*365</f>
        <v>0</v>
      </c>
      <c r="AH147" s="7">
        <f>VLOOKUP($B147,'[9]Subsidiary wise dispatch'!$A$3:$R$138,13,FALSE)*$H147*$O147*365</f>
        <v>0</v>
      </c>
      <c r="AI147" s="7">
        <f>VLOOKUP($B147,'[9]Subsidiary wise dispatch'!$A$3:$R$138,14,FALSE)*$H147*$O147*365</f>
        <v>612363.45600966667</v>
      </c>
      <c r="AJ147" s="7">
        <f>VLOOKUP($B147,'[9]Subsidiary wise dispatch'!$A$3:$R$138,15,FALSE)*$H147*$O147*365</f>
        <v>0</v>
      </c>
      <c r="AK147" s="7">
        <f>VLOOKUP($B147,'[9]Subsidiary wise dispatch'!$A$3:$R$138,16,FALSE)*$H147*$O147*365</f>
        <v>0</v>
      </c>
      <c r="AL147" s="7">
        <f>VLOOKUP($B147,'[9]Subsidiary wise dispatch'!$A$3:$R$138,17,FALSE)*$H147*$O147*365</f>
        <v>100723.57113079439</v>
      </c>
      <c r="AM147" s="7">
        <f>VLOOKUP($B147,'[9]Subsidiary wise dispatch'!$A$3:$R$138,18,FALSE)*$H147*$O147*365</f>
        <v>1298485.1747603305</v>
      </c>
      <c r="AN147" s="15">
        <f t="shared" si="114"/>
        <v>2011572.2019007914</v>
      </c>
      <c r="AO147" s="6">
        <v>8.9781177379789912E-2</v>
      </c>
      <c r="AP147" s="11">
        <f t="shared" si="115"/>
        <v>0.7665483008779469</v>
      </c>
      <c r="AQ147" s="11">
        <f t="shared" si="116"/>
        <v>0.91576800927385704</v>
      </c>
      <c r="AR147" s="3">
        <f>VLOOKUP(A147,[10]Sheet1!$A$2:$L$542,12,FALSE)</f>
        <v>2.3509670329670298</v>
      </c>
      <c r="AS147" s="3">
        <f t="shared" si="124"/>
        <v>2.1875218425667078</v>
      </c>
      <c r="AT147" s="3">
        <f t="shared" si="125"/>
        <v>2.182828864502766</v>
      </c>
      <c r="AU147" s="3">
        <f t="shared" si="117"/>
        <v>4.6929780639417551E-3</v>
      </c>
      <c r="AV147" s="88">
        <f t="shared" si="126"/>
        <v>0.10149787692888421</v>
      </c>
      <c r="AW147" s="32">
        <f t="shared" si="127"/>
        <v>4.4253226176410358E-2</v>
      </c>
      <c r="AX147" s="12">
        <f t="shared" si="118"/>
        <v>681.70972822927661</v>
      </c>
      <c r="AY147" s="12">
        <f t="shared" si="119"/>
        <v>812.66718625437977</v>
      </c>
      <c r="AZ147" s="3">
        <f>VLOOKUP(A147,[5]Analysis!$A$3:$BJ$543,62,FALSE)</f>
        <v>0.65151128241961231</v>
      </c>
      <c r="BA147" s="2"/>
      <c r="BB147" s="2"/>
      <c r="BC147" s="2" t="str">
        <f>VLOOKUP(A147,'[6]FGD status - Jun 2020'!$I$2:$M$449,5,FALSE)</f>
        <v>Feasiblity Study Carried Out</v>
      </c>
      <c r="BD147" s="2"/>
      <c r="BE147" s="2"/>
      <c r="BF147" s="2">
        <f t="shared" si="120"/>
        <v>709.78975071928335</v>
      </c>
      <c r="BG147" s="2">
        <f t="shared" si="121"/>
        <v>834.0558109029688</v>
      </c>
      <c r="BH147" s="2"/>
      <c r="BI147" s="2"/>
      <c r="BK147">
        <f t="shared" si="122"/>
        <v>355.74842599213707</v>
      </c>
      <c r="BL147">
        <f>VLOOKUP(A147,'[11]Daily coal vs energy req.2'!$C$2:$P$599,14,FALSE)</f>
        <v>0.67</v>
      </c>
      <c r="BM147">
        <f>VLOOKUP(A147,'[11]Daily coal vs energy req.2'!$C$2:$R$599,16,FALSE)</f>
        <v>0.92</v>
      </c>
      <c r="BN147">
        <f>BL147*H147</f>
        <v>335</v>
      </c>
      <c r="BO147">
        <f>BM147*H147</f>
        <v>460</v>
      </c>
      <c r="BP147" s="2" t="str">
        <f>VLOOKUP(A147,'[7]Table 2'!$J$2:$N$449,5,FALSE)</f>
        <v>Bid opened</v>
      </c>
      <c r="BR147">
        <f t="shared" si="128"/>
        <v>566.89857626413607</v>
      </c>
      <c r="BS147">
        <f t="shared" si="129"/>
        <v>666.14804066496242</v>
      </c>
      <c r="BT147">
        <f>(X147*I147*365*[5]Analysis!BK147)/10^4</f>
        <v>370.10146138463523</v>
      </c>
      <c r="BU147">
        <f>(W147*R147*365*[5]Analysis!BK147)/10^4</f>
        <v>434.89677637458385</v>
      </c>
      <c r="BV147">
        <f>(X147*I147*365*[5]Analysis!BL147)/10^4</f>
        <v>196.7971148795009</v>
      </c>
      <c r="BW147">
        <f>(W147*R147*365*[5]Analysis!BL147)/10^4</f>
        <v>231.25126429037851</v>
      </c>
      <c r="BX147">
        <f t="shared" si="130"/>
        <v>2443511.7193674468</v>
      </c>
      <c r="BY147">
        <f t="shared" si="131"/>
        <v>2871308.2239954011</v>
      </c>
      <c r="BZ147">
        <f t="shared" si="132"/>
        <v>10517640.400718976</v>
      </c>
      <c r="CA147">
        <f t="shared" si="133"/>
        <v>12565051.153323619</v>
      </c>
      <c r="CB147">
        <f t="shared" si="134"/>
        <v>-655117.45729765506</v>
      </c>
      <c r="CC147">
        <f t="shared" si="135"/>
        <v>-934998.80999999994</v>
      </c>
      <c r="CD147">
        <f t="shared" si="136"/>
        <v>0</v>
      </c>
      <c r="CE147">
        <f t="shared" si="137"/>
        <v>0</v>
      </c>
      <c r="CF147">
        <f t="shared" si="138"/>
        <v>5564561.3826145539</v>
      </c>
      <c r="CG147">
        <f t="shared" si="139"/>
        <v>6647783.7000000002</v>
      </c>
      <c r="CH147">
        <f t="shared" si="140"/>
        <v>553699.30944445718</v>
      </c>
      <c r="CI147">
        <f t="shared" si="141"/>
        <v>661484.88459958916</v>
      </c>
      <c r="CJ147">
        <f t="shared" si="142"/>
        <v>-2569499.7312560081</v>
      </c>
      <c r="CK147">
        <f t="shared" si="143"/>
        <v>-3069690.0000000005</v>
      </c>
      <c r="CL147">
        <f t="shared" si="144"/>
        <v>2167065.7747071944</v>
      </c>
      <c r="CM147">
        <f t="shared" si="145"/>
        <v>2588916.4560096017</v>
      </c>
    </row>
    <row r="148" spans="1:91" x14ac:dyDescent="0.2">
      <c r="A148" s="2" t="s">
        <v>165</v>
      </c>
      <c r="B148" s="2" t="str">
        <f t="shared" si="149"/>
        <v>FARAKKA STPS</v>
      </c>
      <c r="C148" s="2" t="str">
        <f>VLOOKUP($A148,'[1]daily coal, energy reqd'!$C$2:$T$599,17,FALSE)</f>
        <v>West Bengal</v>
      </c>
      <c r="D148" s="2" t="str">
        <f>VLOOKUP(C148,'Target PLF'!$I$2:$J$19,2,FALSE)</f>
        <v>ER</v>
      </c>
      <c r="E148" s="2" t="str">
        <f>VLOOKUP(A148,[2]Ownership!$C$2:$D$666,2,FALSE)</f>
        <v>CENTRAL SECTOR</v>
      </c>
      <c r="F148" s="2" t="s">
        <v>543</v>
      </c>
      <c r="G148" s="12">
        <v>9.1772758384667998</v>
      </c>
      <c r="H148" s="2">
        <v>500</v>
      </c>
      <c r="I148" s="2">
        <f>VLOOKUP(A148,'[3]Calculated coal req (reg.)'!$A$2:$I$599,9,FALSE)</f>
        <v>8.6964591009410803</v>
      </c>
      <c r="J148" s="2"/>
      <c r="K148" s="11">
        <v>0.72470492507842332</v>
      </c>
      <c r="L148" s="3">
        <f>VLOOKUP(F148,'Target PLF'!$A$2:$B$11,2,FALSE)</f>
        <v>0.85</v>
      </c>
      <c r="M148" s="3">
        <f t="shared" si="123"/>
        <v>0.12529507492157665</v>
      </c>
      <c r="N148" s="2" t="str">
        <f t="shared" si="102"/>
        <v>0.15</v>
      </c>
      <c r="O148" s="2">
        <f t="shared" si="98"/>
        <v>11.219349696277064</v>
      </c>
      <c r="P148" s="2">
        <f t="shared" si="103"/>
        <v>2047531.3195705642</v>
      </c>
      <c r="Q148" s="2">
        <f t="shared" si="104"/>
        <v>12.962617662183437</v>
      </c>
      <c r="R148" s="2">
        <f t="shared" si="105"/>
        <v>10.199999999999999</v>
      </c>
      <c r="S148" s="2">
        <f t="shared" si="106"/>
        <v>2365677.7233484769</v>
      </c>
      <c r="T148" s="2" t="str">
        <f>VLOOKUP(A148,'[4]CEA vs MERIT comp. &amp; NPA marker'!$C$2:$K$735,9,FALSE)</f>
        <v>Contracted</v>
      </c>
      <c r="U148" s="3">
        <f>VLOOKUP(B148,'[8]Import-Domestic share'!$A$208:$F$406,6,FALSE)</f>
        <v>1.1012599888399872E-2</v>
      </c>
      <c r="V148" s="3">
        <f t="shared" si="107"/>
        <v>22548.643181398038</v>
      </c>
      <c r="W148" s="2">
        <f t="shared" si="108"/>
        <v>2746.5574979184112</v>
      </c>
      <c r="X148" s="2">
        <f t="shared" si="109"/>
        <v>2787.9764411893266</v>
      </c>
      <c r="Y148" s="6">
        <f t="shared" si="110"/>
        <v>0.31311924132365171</v>
      </c>
      <c r="Z148" s="2">
        <f t="shared" si="111"/>
        <v>2107873.4439029596</v>
      </c>
      <c r="AA148" s="2">
        <f t="shared" si="112"/>
        <v>1824262.0509856616</v>
      </c>
      <c r="AB148" s="2" t="s">
        <v>598</v>
      </c>
      <c r="AC148" s="12">
        <f>VLOOKUP(B148,[9]Sheet1!$A$2:$B$137,2,FALSE)</f>
        <v>4851.0661749297096</v>
      </c>
      <c r="AD148" s="12">
        <f t="shared" si="113"/>
        <v>2425533.0874648546</v>
      </c>
      <c r="AE148" s="2" t="s">
        <v>589</v>
      </c>
      <c r="AF148" s="7">
        <f>VLOOKUP($B148,'[9]Subsidiary wise dispatch'!$A$3:$R$138,11,FALSE)*$H148*$O148*365</f>
        <v>77958.321735335136</v>
      </c>
      <c r="AG148" s="7">
        <f>VLOOKUP($B148,'[9]Subsidiary wise dispatch'!$A$3:$R$138,12,FALSE)*$H148*$O148*365</f>
        <v>0</v>
      </c>
      <c r="AH148" s="7">
        <f>VLOOKUP($B148,'[9]Subsidiary wise dispatch'!$A$3:$R$138,13,FALSE)*$H148*$O148*365</f>
        <v>1931154.1715462955</v>
      </c>
      <c r="AI148" s="7">
        <f>VLOOKUP($B148,'[9]Subsidiary wise dispatch'!$A$3:$R$138,14,FALSE)*$H148*$O148*365</f>
        <v>920.93870915478351</v>
      </c>
      <c r="AJ148" s="7">
        <f>VLOOKUP($B148,'[9]Subsidiary wise dispatch'!$A$3:$R$138,15,FALSE)*$H148*$O148*365</f>
        <v>0</v>
      </c>
      <c r="AK148" s="7">
        <f>VLOOKUP($B148,'[9]Subsidiary wise dispatch'!$A$3:$R$138,16,FALSE)*$H148*$O148*365</f>
        <v>37497.887579778479</v>
      </c>
      <c r="AL148" s="7">
        <f>VLOOKUP($B148,'[9]Subsidiary wise dispatch'!$A$3:$R$138,17,FALSE)*$H148*$O148*365</f>
        <v>0</v>
      </c>
      <c r="AM148" s="7">
        <f>VLOOKUP($B148,'[9]Subsidiary wise dispatch'!$A$3:$R$138,18,FALSE)*$H148*$O148*365</f>
        <v>0</v>
      </c>
      <c r="AN148" s="15">
        <f t="shared" si="114"/>
        <v>2047531.3195705637</v>
      </c>
      <c r="AO148" s="6">
        <v>7.0380830688675913E-2</v>
      </c>
      <c r="AP148" s="11">
        <f t="shared" si="115"/>
        <v>0.61206401557432888</v>
      </c>
      <c r="AQ148" s="11">
        <f t="shared" si="116"/>
        <v>0.71788447302449432</v>
      </c>
      <c r="AR148" s="3">
        <f>VLOOKUP(A148,[10]Sheet1!$A$2:$L$542,12,FALSE)</f>
        <v>2.54430372795444</v>
      </c>
      <c r="AS148" s="3">
        <f t="shared" si="124"/>
        <v>1.8080182730954319</v>
      </c>
      <c r="AT148" s="3">
        <f t="shared" si="125"/>
        <v>1.8037728314101631</v>
      </c>
      <c r="AU148" s="3">
        <f t="shared" si="117"/>
        <v>4.2454416852688581E-3</v>
      </c>
      <c r="AV148" s="88">
        <f t="shared" si="126"/>
        <v>9.1818736804029813E-2</v>
      </c>
      <c r="AW148" s="32">
        <f t="shared" si="127"/>
        <v>4.8436067501038252E-2</v>
      </c>
      <c r="AX148" s="12">
        <f t="shared" si="118"/>
        <v>573.90252924909191</v>
      </c>
      <c r="AY148" s="12">
        <f t="shared" si="119"/>
        <v>671.54462513400358</v>
      </c>
      <c r="AZ148" s="3">
        <f>VLOOKUP(A148,[5]Analysis!$A$3:$BJ$543,62,FALSE)</f>
        <v>0.47839090315089317</v>
      </c>
      <c r="BA148" s="2"/>
      <c r="BB148" s="2"/>
      <c r="BC148" s="2" t="str">
        <f>VLOOKUP(A148,'[6]FGD status - Jun 2020'!$I$2:$M$449,5,FALSE)</f>
        <v>NIT issued</v>
      </c>
      <c r="BD148" s="2"/>
      <c r="BE148" s="2"/>
      <c r="BF148" s="2">
        <f t="shared" si="120"/>
        <v>568.9003005974854</v>
      </c>
      <c r="BG148" s="2">
        <f t="shared" si="121"/>
        <v>657.34516332778537</v>
      </c>
      <c r="BH148" s="2"/>
      <c r="BI148" s="2"/>
      <c r="BK148">
        <f t="shared" si="122"/>
        <v>362.35246253921167</v>
      </c>
      <c r="BL148" t="str">
        <f>VLOOKUP(A148,'[11]Daily coal vs energy req.2'!$C$2:$P$599,14,FALSE)</f>
        <v/>
      </c>
      <c r="BM148" t="str">
        <f>VLOOKUP(A148,'[11]Daily coal vs energy req.2'!$C$2:$R$599,16,FALSE)</f>
        <v/>
      </c>
      <c r="BP148" s="2" t="str">
        <f>VLOOKUP(A148,'[7]Table 2'!$J$2:$N$449,5,FALSE)</f>
        <v>Bid Awarded</v>
      </c>
      <c r="BR148">
        <f t="shared" si="128"/>
        <v>423.35757571689737</v>
      </c>
      <c r="BS148">
        <f t="shared" si="129"/>
        <v>489.17543981503269</v>
      </c>
      <c r="BT148">
        <f>(X148*I148*365*[5]Analysis!BK148)/10^4</f>
        <v>349.36637695190467</v>
      </c>
      <c r="BU148">
        <f>(W148*R148*365*[5]Analysis!BK148)/10^4</f>
        <v>403.68109821262692</v>
      </c>
      <c r="BV148">
        <f>(X148*I148*365*[5]Analysis!BL148)/10^4</f>
        <v>73.991198764992617</v>
      </c>
      <c r="BW148">
        <f>(W148*R148*365*[5]Analysis!BL148)/10^4</f>
        <v>85.494341602405726</v>
      </c>
      <c r="BX148">
        <f t="shared" si="130"/>
        <v>2485166.1172570004</v>
      </c>
      <c r="BY148">
        <f t="shared" si="131"/>
        <v>2871525.8640736984</v>
      </c>
      <c r="BZ148">
        <f t="shared" si="132"/>
        <v>7866245.9263764331</v>
      </c>
      <c r="CA148">
        <f t="shared" si="133"/>
        <v>9226250.3069044463</v>
      </c>
      <c r="CB148">
        <f t="shared" si="134"/>
        <v>-679666.13647070085</v>
      </c>
      <c r="CC148">
        <f t="shared" si="135"/>
        <v>-934998.80999999994</v>
      </c>
      <c r="CD148">
        <f t="shared" si="136"/>
        <v>0</v>
      </c>
      <c r="CE148">
        <f t="shared" si="137"/>
        <v>0</v>
      </c>
      <c r="CF148">
        <f t="shared" si="138"/>
        <v>5667860.6920541935</v>
      </c>
      <c r="CG148">
        <f t="shared" si="139"/>
        <v>6647783.7000000002</v>
      </c>
      <c r="CH148">
        <f t="shared" si="140"/>
        <v>590951.69362382416</v>
      </c>
      <c r="CI148">
        <f t="shared" si="141"/>
        <v>693122.01724845963</v>
      </c>
      <c r="CJ148">
        <f t="shared" si="142"/>
        <v>-2617199.3664282188</v>
      </c>
      <c r="CK148">
        <f t="shared" si="143"/>
        <v>-3069690.0000000005</v>
      </c>
      <c r="CL148">
        <f t="shared" si="144"/>
        <v>1730331.9028453131</v>
      </c>
      <c r="CM148">
        <f t="shared" si="145"/>
        <v>2029490.9921570583</v>
      </c>
    </row>
    <row r="149" spans="1:91" x14ac:dyDescent="0.2">
      <c r="A149" s="2" t="s">
        <v>166</v>
      </c>
      <c r="B149" s="2" t="str">
        <f t="shared" si="149"/>
        <v>KORBA STPS</v>
      </c>
      <c r="C149" s="2" t="str">
        <f>VLOOKUP($A149,'[1]daily coal, energy reqd'!$C$2:$T$599,17,FALSE)</f>
        <v>Chhatisgarh</v>
      </c>
      <c r="D149" s="2" t="str">
        <f>VLOOKUP(C149,'Target PLF'!$I$2:$J$19,2,FALSE)</f>
        <v>WR</v>
      </c>
      <c r="E149" s="2" t="str">
        <f>VLOOKUP(A149,[2]Ownership!$C$2:$D$666,2,FALSE)</f>
        <v>CENTRAL SECTOR</v>
      </c>
      <c r="F149" s="2" t="s">
        <v>543</v>
      </c>
      <c r="G149" s="12">
        <v>9.5058179329226498</v>
      </c>
      <c r="H149" s="2">
        <v>500</v>
      </c>
      <c r="I149" s="2">
        <f>VLOOKUP(A149,'[3]Calculated coal req (reg.)'!$A$2:$I$599,9,FALSE)</f>
        <v>10.868872508111901</v>
      </c>
      <c r="J149" s="2"/>
      <c r="K149" s="11">
        <v>0.90573937567599172</v>
      </c>
      <c r="L149" s="3">
        <f>VLOOKUP(F149,'Target PLF'!$A$2:$B$11,2,FALSE)</f>
        <v>0.85</v>
      </c>
      <c r="M149" s="3">
        <f t="shared" si="123"/>
        <v>-5.5739375675991742E-2</v>
      </c>
      <c r="N149" s="2" t="str">
        <f t="shared" si="102"/>
        <v>0.15</v>
      </c>
      <c r="O149" s="2">
        <f t="shared" si="98"/>
        <v>13.748542888618102</v>
      </c>
      <c r="P149" s="2">
        <f t="shared" si="103"/>
        <v>2509109.0771728037</v>
      </c>
      <c r="Q149" s="2">
        <f t="shared" si="104"/>
        <v>12.973024233025326</v>
      </c>
      <c r="R149" s="2">
        <f t="shared" si="105"/>
        <v>10.199999999999999</v>
      </c>
      <c r="S149" s="2">
        <f t="shared" si="106"/>
        <v>2367576.9225271218</v>
      </c>
      <c r="T149" s="2" t="str">
        <f>VLOOKUP(A149,'[4]CEA vs MERIT comp. &amp; NPA marker'!$C$2:$K$735,9,FALSE)</f>
        <v>Contracted</v>
      </c>
      <c r="U149" s="3">
        <f>VLOOKUP(B149,'[8]Import-Domestic share'!$A$208:$F$406,6,FALSE)</f>
        <v>0</v>
      </c>
      <c r="V149" s="3">
        <f t="shared" si="107"/>
        <v>0</v>
      </c>
      <c r="W149" s="2">
        <f t="shared" si="108"/>
        <v>2746.5848836317591</v>
      </c>
      <c r="X149" s="2">
        <f t="shared" si="109"/>
        <v>2728.1590513272954</v>
      </c>
      <c r="Y149" s="6">
        <f t="shared" si="110"/>
        <v>0.313116119266934</v>
      </c>
      <c r="Z149" s="2">
        <f t="shared" si="111"/>
        <v>2460429.5068835248</v>
      </c>
      <c r="AA149" s="2">
        <f t="shared" si="112"/>
        <v>2604185.4612217667</v>
      </c>
      <c r="AB149" s="2" t="s">
        <v>598</v>
      </c>
      <c r="AC149" s="12">
        <f>VLOOKUP(B149,[9]Sheet1!$A$2:$B$137,2,FALSE)</f>
        <v>4155.9961352898499</v>
      </c>
      <c r="AD149" s="12">
        <f t="shared" si="113"/>
        <v>2077998.0676449249</v>
      </c>
      <c r="AE149" s="2" t="s">
        <v>589</v>
      </c>
      <c r="AF149" s="7">
        <f>VLOOKUP($B149,'[9]Subsidiary wise dispatch'!$A$3:$R$138,11,FALSE)*$H149*$O149*365</f>
        <v>0</v>
      </c>
      <c r="AG149" s="7">
        <f>VLOOKUP($B149,'[9]Subsidiary wise dispatch'!$A$3:$R$138,12,FALSE)*$H149*$O149*365</f>
        <v>0</v>
      </c>
      <c r="AH149" s="7">
        <f>VLOOKUP($B149,'[9]Subsidiary wise dispatch'!$A$3:$R$138,13,FALSE)*$H149*$O149*365</f>
        <v>0</v>
      </c>
      <c r="AI149" s="7">
        <f>VLOOKUP($B149,'[9]Subsidiary wise dispatch'!$A$3:$R$138,14,FALSE)*$H149*$O149*365</f>
        <v>0</v>
      </c>
      <c r="AJ149" s="7">
        <f>VLOOKUP($B149,'[9]Subsidiary wise dispatch'!$A$3:$R$138,15,FALSE)*$H149*$O149*365</f>
        <v>0</v>
      </c>
      <c r="AK149" s="7">
        <f>VLOOKUP($B149,'[9]Subsidiary wise dispatch'!$A$3:$R$138,16,FALSE)*$H149*$O149*365</f>
        <v>0</v>
      </c>
      <c r="AL149" s="7">
        <f>VLOOKUP($B149,'[9]Subsidiary wise dispatch'!$A$3:$R$138,17,FALSE)*$H149*$O149*365</f>
        <v>2509109.0771728037</v>
      </c>
      <c r="AM149" s="7">
        <f>VLOOKUP($B149,'[9]Subsidiary wise dispatch'!$A$3:$R$138,18,FALSE)*$H149*$O149*365</f>
        <v>0</v>
      </c>
      <c r="AN149" s="15">
        <f t="shared" si="114"/>
        <v>2509109.0771728037</v>
      </c>
      <c r="AO149" s="6">
        <v>6.2610933454142856E-2</v>
      </c>
      <c r="AP149" s="11">
        <f t="shared" si="115"/>
        <v>0.68051025332695692</v>
      </c>
      <c r="AQ149" s="11">
        <f t="shared" si="116"/>
        <v>0.63863152123225708</v>
      </c>
      <c r="AR149" s="3">
        <f>VLOOKUP(A149,[10]Sheet1!$A$2:$L$542,12,FALSE)</f>
        <v>1.28310934240166</v>
      </c>
      <c r="AS149" s="3">
        <f t="shared" si="124"/>
        <v>1.6216323646582969</v>
      </c>
      <c r="AT149" s="3">
        <f t="shared" si="125"/>
        <v>1.6235210124695043</v>
      </c>
      <c r="AU149" s="3">
        <f t="shared" si="117"/>
        <v>-1.8886478112074556E-3</v>
      </c>
      <c r="AV149" s="88">
        <f t="shared" si="126"/>
        <v>-4.0846929282880272E-2</v>
      </c>
      <c r="AW149" s="32">
        <f t="shared" si="127"/>
        <v>2.4024114417500499E-2</v>
      </c>
      <c r="AX149" s="12">
        <f t="shared" si="118"/>
        <v>643.32401306721545</v>
      </c>
      <c r="AY149" s="12">
        <f t="shared" si="119"/>
        <v>604.43687294239635</v>
      </c>
      <c r="AZ149" s="3">
        <f>VLOOKUP(A149,[5]Analysis!$A$3:$BJ$543,62,FALSE)</f>
        <v>0.3933883912010035</v>
      </c>
      <c r="BA149" s="2"/>
      <c r="BB149" s="2"/>
      <c r="BC149" s="2" t="str">
        <f>VLOOKUP(A149,'[6]FGD status - Jun 2020'!$I$2:$M$449,5,FALSE)</f>
        <v>Bid Awarded</v>
      </c>
      <c r="BD149" s="2"/>
      <c r="BE149" s="2"/>
      <c r="BF149" s="2">
        <f t="shared" si="120"/>
        <v>805.99540024813678</v>
      </c>
      <c r="BG149" s="2">
        <f t="shared" si="121"/>
        <v>761.50293238045094</v>
      </c>
      <c r="BH149" s="2"/>
      <c r="BI149" s="2"/>
      <c r="BK149">
        <f t="shared" si="122"/>
        <v>452.86968783799585</v>
      </c>
      <c r="BL149">
        <f>VLOOKUP(A149,'[11]Daily coal vs energy req.2'!$C$2:$P$599,14,FALSE)</f>
        <v>0.51</v>
      </c>
      <c r="BM149">
        <f>VLOOKUP(A149,'[11]Daily coal vs energy req.2'!$C$2:$R$599,16,FALSE)</f>
        <v>0.65</v>
      </c>
      <c r="BN149">
        <f>BL149*H149</f>
        <v>255</v>
      </c>
      <c r="BO149">
        <f>BM149*H149</f>
        <v>325</v>
      </c>
      <c r="BP149" s="2" t="str">
        <f>VLOOKUP(A149,'[7]Table 2'!$J$2:$N$449,5,FALSE)</f>
        <v>Bid Awarded</v>
      </c>
      <c r="BR149">
        <f t="shared" si="128"/>
        <v>425.76365440102592</v>
      </c>
      <c r="BS149">
        <f t="shared" si="129"/>
        <v>402.26069680742893</v>
      </c>
      <c r="BT149">
        <f>(X149*I149*365*[5]Analysis!BK149)/10^4</f>
        <v>418.76817852384448</v>
      </c>
      <c r="BU149">
        <f>(W149*R149*365*[5]Analysis!BK149)/10^4</f>
        <v>395.65138440660087</v>
      </c>
      <c r="BV149">
        <f>(X149*I149*365*[5]Analysis!BL149)/10^4</f>
        <v>6.9954758771814287</v>
      </c>
      <c r="BW149">
        <f>(W149*R149*365*[5]Analysis!BL149)/10^4</f>
        <v>6.6093124008280331</v>
      </c>
      <c r="BX149">
        <f t="shared" si="130"/>
        <v>3039331.3233496081</v>
      </c>
      <c r="BY149">
        <f t="shared" si="131"/>
        <v>2871554.4958370039</v>
      </c>
      <c r="BZ149">
        <f t="shared" si="132"/>
        <v>8084407.2458471246</v>
      </c>
      <c r="CA149">
        <f t="shared" si="133"/>
        <v>7586891.266421292</v>
      </c>
      <c r="CB149">
        <f t="shared" si="134"/>
        <v>-1061645.9409477476</v>
      </c>
      <c r="CC149">
        <f t="shared" si="135"/>
        <v>-934998.80999999994</v>
      </c>
      <c r="CD149">
        <f t="shared" si="136"/>
        <v>0</v>
      </c>
      <c r="CE149">
        <f t="shared" si="137"/>
        <v>0</v>
      </c>
      <c r="CF149">
        <f t="shared" si="138"/>
        <v>7083717.0094906287</v>
      </c>
      <c r="CG149">
        <f t="shared" si="139"/>
        <v>6647783.7000000002</v>
      </c>
      <c r="CH149">
        <f t="shared" si="140"/>
        <v>765014.60052151675</v>
      </c>
      <c r="CI149">
        <f t="shared" si="141"/>
        <v>717935.45462012268</v>
      </c>
      <c r="CJ149">
        <f t="shared" si="142"/>
        <v>-3270987.181316277</v>
      </c>
      <c r="CK149">
        <f t="shared" si="143"/>
        <v>-3069690.0000000005</v>
      </c>
      <c r="CL149">
        <f t="shared" si="144"/>
        <v>1923832.4286064536</v>
      </c>
      <c r="CM149">
        <f t="shared" si="145"/>
        <v>1805439.410310525</v>
      </c>
    </row>
    <row r="150" spans="1:91" x14ac:dyDescent="0.2">
      <c r="A150" s="2" t="s">
        <v>163</v>
      </c>
      <c r="B150" s="2" t="str">
        <f t="shared" si="149"/>
        <v>SIMHADRI STPP</v>
      </c>
      <c r="C150" s="2" t="str">
        <f>VLOOKUP($A150,'[1]daily coal, energy reqd'!$C$2:$T$599,17,FALSE)</f>
        <v>Andhra Pradesh</v>
      </c>
      <c r="D150" s="2" t="str">
        <f>VLOOKUP(C150,'Target PLF'!$I$2:$J$19,2,FALSE)</f>
        <v>SR</v>
      </c>
      <c r="E150" s="2" t="str">
        <f>VLOOKUP(A150,[2]Ownership!$C$2:$D$666,2,FALSE)</f>
        <v>CENTRAL SECTOR</v>
      </c>
      <c r="F150" s="2" t="s">
        <v>543</v>
      </c>
      <c r="G150" s="12">
        <v>9.1772758384667998</v>
      </c>
      <c r="H150" s="2">
        <v>500</v>
      </c>
      <c r="I150" s="2">
        <f>VLOOKUP(A150,'[3]Calculated coal req (reg.)'!$A$2:$I$599,9,FALSE)</f>
        <v>7.7366182115931199</v>
      </c>
      <c r="J150" s="2"/>
      <c r="K150" s="11">
        <v>0.64471818429942662</v>
      </c>
      <c r="L150" s="3">
        <f>VLOOKUP(F150,'Target PLF'!$A$2:$B$11,2,FALSE)</f>
        <v>0.85</v>
      </c>
      <c r="M150" s="3">
        <f t="shared" si="123"/>
        <v>0.20528181570057336</v>
      </c>
      <c r="N150" s="2" t="str">
        <f t="shared" si="102"/>
        <v>0.15</v>
      </c>
      <c r="O150" s="2">
        <f t="shared" si="98"/>
        <v>10.10647017579665</v>
      </c>
      <c r="P150" s="2">
        <f t="shared" si="103"/>
        <v>1844430.8070828887</v>
      </c>
      <c r="Q150" s="2">
        <f t="shared" si="104"/>
        <v>12.962617662183437</v>
      </c>
      <c r="R150" s="2">
        <f t="shared" si="105"/>
        <v>10.199999999999999</v>
      </c>
      <c r="S150" s="2">
        <f t="shared" si="106"/>
        <v>2365677.7233484769</v>
      </c>
      <c r="T150" s="2" t="str">
        <f>VLOOKUP(A150,'[4]CEA vs MERIT comp. &amp; NPA marker'!$C$2:$K$735,9,FALSE)</f>
        <v>Contracted</v>
      </c>
      <c r="U150" s="3">
        <f>VLOOKUP(B150,'[8]Import-Domestic share'!$A$208:$F$406,6,FALSE)</f>
        <v>1.6194662129857273E-2</v>
      </c>
      <c r="V150" s="3">
        <f t="shared" si="107"/>
        <v>29869.93374260734</v>
      </c>
      <c r="W150" s="2">
        <f t="shared" si="108"/>
        <v>2747.7258228702963</v>
      </c>
      <c r="X150" s="2">
        <f t="shared" si="109"/>
        <v>2815.5860790246134</v>
      </c>
      <c r="Y150" s="6">
        <f t="shared" si="110"/>
        <v>0.31298610394163606</v>
      </c>
      <c r="Z150" s="2">
        <f t="shared" si="111"/>
        <v>2374066.0837702998</v>
      </c>
      <c r="AA150" s="2">
        <f t="shared" si="112"/>
        <v>1845182.0099298474</v>
      </c>
      <c r="AB150" s="2" t="s">
        <v>598</v>
      </c>
      <c r="AC150" s="12">
        <f>VLOOKUP(B150,[9]Sheet1!$A$2:$B$137,2,FALSE)</f>
        <v>4308.9715608505721</v>
      </c>
      <c r="AD150" s="12">
        <f t="shared" si="113"/>
        <v>2154485.7804252859</v>
      </c>
      <c r="AE150" s="2"/>
      <c r="AF150" s="7">
        <f>VLOOKUP($B150,'[9]Subsidiary wise dispatch'!$A$3:$R$138,11,FALSE)*$H150*$O150*365</f>
        <v>0</v>
      </c>
      <c r="AG150" s="7">
        <f>VLOOKUP($B150,'[9]Subsidiary wise dispatch'!$A$3:$R$138,12,FALSE)*$H150*$O150*365</f>
        <v>20819.678979740238</v>
      </c>
      <c r="AH150" s="7">
        <f>VLOOKUP($B150,'[9]Subsidiary wise dispatch'!$A$3:$R$138,13,FALSE)*$H150*$O150*365</f>
        <v>521302.26633204072</v>
      </c>
      <c r="AI150" s="7">
        <f>VLOOKUP($B150,'[9]Subsidiary wise dispatch'!$A$3:$R$138,14,FALSE)*$H150*$O150*365</f>
        <v>1301989.4011310758</v>
      </c>
      <c r="AJ150" s="7">
        <f>VLOOKUP($B150,'[9]Subsidiary wise dispatch'!$A$3:$R$138,15,FALSE)*$H150*$O150*365</f>
        <v>319.460640031568</v>
      </c>
      <c r="AK150" s="7">
        <f>VLOOKUP($B150,'[9]Subsidiary wise dispatch'!$A$3:$R$138,16,FALSE)*$H150*$O150*365</f>
        <v>0</v>
      </c>
      <c r="AL150" s="7">
        <f>VLOOKUP($B150,'[9]Subsidiary wise dispatch'!$A$3:$R$138,17,FALSE)*$H150*$O150*365</f>
        <v>0</v>
      </c>
      <c r="AM150" s="7">
        <f>VLOOKUP($B150,'[9]Subsidiary wise dispatch'!$A$3:$R$138,18,FALSE)*$H150*$O150*365</f>
        <v>0</v>
      </c>
      <c r="AN150" s="15">
        <f t="shared" si="114"/>
        <v>1844430.8070828884</v>
      </c>
      <c r="AO150" s="6">
        <v>5.6962700163683135E-2</v>
      </c>
      <c r="AP150" s="11">
        <f t="shared" si="115"/>
        <v>0.44069866346786934</v>
      </c>
      <c r="AQ150" s="11">
        <f t="shared" si="116"/>
        <v>0.58101954166956793</v>
      </c>
      <c r="AR150" s="3">
        <f>VLOOKUP(A150,[10]Sheet1!$A$2:$L$542,12,FALSE)</f>
        <v>2.9592455722167998</v>
      </c>
      <c r="AS150" s="3">
        <f t="shared" si="124"/>
        <v>2.7177035098862494</v>
      </c>
      <c r="AT150" s="3">
        <f t="shared" si="125"/>
        <v>2.7107478336304323</v>
      </c>
      <c r="AU150" s="3">
        <f t="shared" si="117"/>
        <v>6.955676255817167E-3</v>
      </c>
      <c r="AV150" s="88">
        <f t="shared" si="126"/>
        <v>0.15043462018169418</v>
      </c>
      <c r="AW150" s="32">
        <f t="shared" si="127"/>
        <v>5.279418575423718E-2</v>
      </c>
      <c r="AX150" s="12">
        <f t="shared" si="118"/>
        <v>767.44295809282221</v>
      </c>
      <c r="AY150" s="12">
        <f t="shared" si="119"/>
        <v>1009.2114184606098</v>
      </c>
      <c r="AZ150" s="3">
        <f>VLOOKUP(A150,[5]Analysis!$A$3:$BJ$543,62,FALSE)</f>
        <v>0.97807166765061082</v>
      </c>
      <c r="BA150" s="2"/>
      <c r="BB150" s="2"/>
      <c r="BC150" s="2" t="str">
        <f>VLOOKUP(A150,'[6]FGD status - Jun 2020'!$I$2:$M$449,5,FALSE)</f>
        <v>Bid Awarded</v>
      </c>
      <c r="BD150" s="2"/>
      <c r="BE150" s="2"/>
      <c r="BF150" s="2">
        <f t="shared" si="120"/>
        <v>577.4666484664458</v>
      </c>
      <c r="BG150" s="2">
        <f t="shared" si="121"/>
        <v>742.98577444119883</v>
      </c>
      <c r="BH150" s="2"/>
      <c r="BI150" s="2"/>
      <c r="BK150">
        <f t="shared" si="122"/>
        <v>322.35909214971332</v>
      </c>
      <c r="BL150" t="str">
        <f>VLOOKUP(A150,'[11]Daily coal vs energy req.2'!$C$2:$P$599,14,FALSE)</f>
        <v/>
      </c>
      <c r="BM150" t="str">
        <f>VLOOKUP(A150,'[11]Daily coal vs energy req.2'!$C$2:$R$599,16,FALSE)</f>
        <v/>
      </c>
      <c r="BP150" s="2" t="str">
        <f>VLOOKUP(A150,'[7]Table 2'!$J$2:$N$449,5,FALSE)</f>
        <v>Bid Awarded</v>
      </c>
      <c r="BR150">
        <f t="shared" si="128"/>
        <v>777.64882134566642</v>
      </c>
      <c r="BS150">
        <f t="shared" si="129"/>
        <v>1000.5461151829062</v>
      </c>
      <c r="BT150">
        <f>(X150*I150*365*[5]Analysis!BK150)/10^4</f>
        <v>399.7583728196372</v>
      </c>
      <c r="BU150">
        <f>(W150*R150*365*[5]Analysis!BK150)/10^4</f>
        <v>514.34101866752212</v>
      </c>
      <c r="BV150">
        <f>(X150*I150*365*[5]Analysis!BL150)/10^4</f>
        <v>377.8904485260291</v>
      </c>
      <c r="BW150">
        <f>(W150*R150*365*[5]Analysis!BL150)/10^4</f>
        <v>486.20509651538413</v>
      </c>
      <c r="BX150">
        <f t="shared" si="130"/>
        <v>2232769.2398672136</v>
      </c>
      <c r="BY150">
        <f t="shared" si="131"/>
        <v>2872747.3478108943</v>
      </c>
      <c r="BZ150">
        <f t="shared" si="132"/>
        <v>14307507.843151961</v>
      </c>
      <c r="CA150">
        <f t="shared" si="133"/>
        <v>18863097.028811354</v>
      </c>
      <c r="CB150">
        <f t="shared" si="134"/>
        <v>-537914.24583156744</v>
      </c>
      <c r="CC150">
        <f t="shared" si="135"/>
        <v>-934998.80999999994</v>
      </c>
      <c r="CD150">
        <f t="shared" si="136"/>
        <v>0</v>
      </c>
      <c r="CE150">
        <f t="shared" si="137"/>
        <v>0</v>
      </c>
      <c r="CF150">
        <f t="shared" si="138"/>
        <v>5042290.6313874405</v>
      </c>
      <c r="CG150">
        <f t="shared" si="139"/>
        <v>6647783.7000000002</v>
      </c>
      <c r="CH150">
        <f t="shared" si="140"/>
        <v>525727.4923039797</v>
      </c>
      <c r="CI150">
        <f t="shared" si="141"/>
        <v>693122.01724845963</v>
      </c>
      <c r="CJ150">
        <f t="shared" si="142"/>
        <v>-2328335.2507789498</v>
      </c>
      <c r="CK150">
        <f t="shared" si="143"/>
        <v>-3069690.0000000005</v>
      </c>
      <c r="CL150">
        <f t="shared" si="144"/>
        <v>1245874.5123648592</v>
      </c>
      <c r="CM150">
        <f t="shared" si="145"/>
        <v>1642567.8091597019</v>
      </c>
    </row>
    <row r="151" spans="1:91" x14ac:dyDescent="0.2">
      <c r="A151" s="2" t="s">
        <v>168</v>
      </c>
      <c r="B151" s="2" t="str">
        <f t="shared" si="149"/>
        <v>MEJIA TPS</v>
      </c>
      <c r="C151" s="2" t="str">
        <f>VLOOKUP($A151,'[1]daily coal, energy reqd'!$C$2:$T$599,17,FALSE)</f>
        <v>West Bengal</v>
      </c>
      <c r="D151" s="2" t="str">
        <f>VLOOKUP(C151,'Target PLF'!$I$2:$J$19,2,FALSE)</f>
        <v>ER</v>
      </c>
      <c r="E151" s="2" t="str">
        <f>VLOOKUP(A151,[2]Ownership!$C$2:$D$666,2,FALSE)</f>
        <v>CENTRAL SECTOR</v>
      </c>
      <c r="F151" s="2" t="s">
        <v>543</v>
      </c>
      <c r="G151" s="12">
        <v>9.6728268309377103</v>
      </c>
      <c r="H151" s="2">
        <v>500</v>
      </c>
      <c r="I151" s="2">
        <f>VLOOKUP(A151,'[3]Calculated coal req (reg.)'!$A$2:$I$599,9,FALSE)</f>
        <v>7.7880894656804198</v>
      </c>
      <c r="J151" s="2"/>
      <c r="K151" s="11">
        <v>0.64900745547336824</v>
      </c>
      <c r="L151" s="3">
        <f>VLOOKUP(F151,'Target PLF'!$A$2:$B$11,2,FALSE)</f>
        <v>0.85</v>
      </c>
      <c r="M151" s="3">
        <f t="shared" si="123"/>
        <v>0.20099254452663173</v>
      </c>
      <c r="N151" s="2" t="str">
        <f t="shared" si="102"/>
        <v>0.15</v>
      </c>
      <c r="O151" s="2">
        <f t="shared" si="98"/>
        <v>10.181844670107568</v>
      </c>
      <c r="P151" s="2">
        <f t="shared" si="103"/>
        <v>1858186.6522946311</v>
      </c>
      <c r="Q151" s="2">
        <f t="shared" si="104"/>
        <v>12.978314239869952</v>
      </c>
      <c r="R151" s="2">
        <f t="shared" si="105"/>
        <v>10.199999999999999</v>
      </c>
      <c r="S151" s="2">
        <f t="shared" si="106"/>
        <v>2368542.3487762664</v>
      </c>
      <c r="T151" s="2" t="str">
        <f>VLOOKUP(A151,'[4]CEA vs MERIT comp. &amp; NPA marker'!$C$2:$K$735,9,FALSE)</f>
        <v>Not contracted</v>
      </c>
      <c r="U151" s="3">
        <f>VLOOKUP(B151,'[8]Import-Domestic share'!$A$208:$F$406,6,FALSE)</f>
        <v>0</v>
      </c>
      <c r="V151" s="3">
        <f t="shared" si="107"/>
        <v>0</v>
      </c>
      <c r="W151" s="2">
        <f t="shared" si="108"/>
        <v>2747.860921296372</v>
      </c>
      <c r="X151" s="2">
        <f t="shared" si="109"/>
        <v>2814.3032679315943</v>
      </c>
      <c r="Y151" s="6">
        <f t="shared" si="110"/>
        <v>0.31297071599761805</v>
      </c>
      <c r="Z151" s="2">
        <f t="shared" si="111"/>
        <v>2227141.6045796061</v>
      </c>
      <c r="AA151" s="2">
        <f t="shared" si="112"/>
        <v>1741625.3531117649</v>
      </c>
      <c r="AB151" s="2" t="s">
        <v>598</v>
      </c>
      <c r="AC151" s="12">
        <f>VLOOKUP(B151,[9]Sheet1!$A$2:$B$137,2,FALSE)</f>
        <v>4593.4601504233742</v>
      </c>
      <c r="AD151" s="12">
        <f t="shared" si="113"/>
        <v>2296730.075211687</v>
      </c>
      <c r="AE151" s="2"/>
      <c r="AF151" s="7">
        <f>VLOOKUP($B151,'[9]Subsidiary wise dispatch'!$A$3:$R$138,11,FALSE)*$H151*$O151*365</f>
        <v>1162674.8889926807</v>
      </c>
      <c r="AG151" s="7">
        <f>VLOOKUP($B151,'[9]Subsidiary wise dispatch'!$A$3:$R$138,12,FALSE)*$H151*$O151*365</f>
        <v>27355.04560611452</v>
      </c>
      <c r="AH151" s="7">
        <f>VLOOKUP($B151,'[9]Subsidiary wise dispatch'!$A$3:$R$138,13,FALSE)*$H151*$O151*365</f>
        <v>576248.12575756572</v>
      </c>
      <c r="AI151" s="7">
        <f>VLOOKUP($B151,'[9]Subsidiary wise dispatch'!$A$3:$R$138,14,FALSE)*$H151*$O151*365</f>
        <v>91908.591938270169</v>
      </c>
      <c r="AJ151" s="7">
        <f>VLOOKUP($B151,'[9]Subsidiary wise dispatch'!$A$3:$R$138,15,FALSE)*$H151*$O151*365</f>
        <v>0</v>
      </c>
      <c r="AK151" s="7">
        <f>VLOOKUP($B151,'[9]Subsidiary wise dispatch'!$A$3:$R$138,16,FALSE)*$H151*$O151*365</f>
        <v>0</v>
      </c>
      <c r="AL151" s="7">
        <f>VLOOKUP($B151,'[9]Subsidiary wise dispatch'!$A$3:$R$138,17,FALSE)*$H151*$O151*365</f>
        <v>0</v>
      </c>
      <c r="AM151" s="7">
        <f>VLOOKUP($B151,'[9]Subsidiary wise dispatch'!$A$3:$R$138,18,FALSE)*$H151*$O151*365</f>
        <v>0</v>
      </c>
      <c r="AN151" s="15">
        <f t="shared" si="114"/>
        <v>1858186.6522946311</v>
      </c>
      <c r="AO151" s="6">
        <v>8.3678646324733194E-2</v>
      </c>
      <c r="AP151" s="11">
        <f t="shared" si="115"/>
        <v>0.65169678394405217</v>
      </c>
      <c r="AQ151" s="11">
        <f t="shared" si="116"/>
        <v>0.85352219251227857</v>
      </c>
      <c r="AR151" s="3">
        <f>VLOOKUP(A151,[10]Sheet1!$A$2:$L$542,12,FALSE)</f>
        <v>2.5933434925569898</v>
      </c>
      <c r="AS151" s="3">
        <f t="shared" si="124"/>
        <v>1.9716745998843763</v>
      </c>
      <c r="AT151" s="3">
        <f t="shared" si="125"/>
        <v>1.9648642593542662</v>
      </c>
      <c r="AU151" s="3">
        <f t="shared" si="117"/>
        <v>6.8103405301100928E-3</v>
      </c>
      <c r="AV151" s="88">
        <f t="shared" si="126"/>
        <v>0.14729135648000627</v>
      </c>
      <c r="AW151" s="32">
        <f t="shared" si="127"/>
        <v>7.1249594612688275E-2</v>
      </c>
      <c r="AX151" s="12">
        <f t="shared" si="118"/>
        <v>560.47860361048458</v>
      </c>
      <c r="AY151" s="12">
        <f t="shared" si="119"/>
        <v>731.51896375759327</v>
      </c>
      <c r="AZ151" s="3">
        <f>VLOOKUP(A151,[5]Analysis!$A$3:$BJ$543,62,FALSE)</f>
        <v>0.54169530307848368</v>
      </c>
      <c r="BA151" s="2"/>
      <c r="BB151" s="2"/>
      <c r="BC151" s="2" t="str">
        <f>VLOOKUP(A151,'[6]FGD status - Jun 2020'!$I$2:$M$449,5,FALSE)</f>
        <v>Bid Awarded</v>
      </c>
      <c r="BD151" s="2"/>
      <c r="BE151" s="2"/>
      <c r="BF151" s="2">
        <f t="shared" si="120"/>
        <v>539.03304678809127</v>
      </c>
      <c r="BG151" s="2">
        <f t="shared" si="121"/>
        <v>689.30032661738801</v>
      </c>
      <c r="BH151" s="2"/>
      <c r="BI151" s="2"/>
      <c r="BK151">
        <f t="shared" si="122"/>
        <v>324.50372773668414</v>
      </c>
      <c r="BL151">
        <f>VLOOKUP(A151,'[11]Daily coal vs energy req.2'!$C$2:$P$599,14,FALSE)</f>
        <v>0.93</v>
      </c>
      <c r="BM151">
        <f>VLOOKUP(A151,'[11]Daily coal vs energy req.2'!$C$2:$R$599,16,FALSE)</f>
        <v>0.81</v>
      </c>
      <c r="BN151">
        <f>BL151*H151</f>
        <v>465</v>
      </c>
      <c r="BO151">
        <f>BM151*H151</f>
        <v>405</v>
      </c>
      <c r="BP151" s="2" t="str">
        <f>VLOOKUP(A151,'[7]Table 2'!$J$2:$N$449,5,FALSE)</f>
        <v>Bid Awarded</v>
      </c>
      <c r="BR151">
        <f t="shared" si="128"/>
        <v>433.36093660392788</v>
      </c>
      <c r="BS151">
        <f t="shared" si="129"/>
        <v>554.16979890982111</v>
      </c>
      <c r="BT151">
        <f>(X151*I151*365*[5]Analysis!BK151)/10^4</f>
        <v>344.04687483599588</v>
      </c>
      <c r="BU151">
        <f>(W151*R151*365*[5]Analysis!BK151)/10^4</f>
        <v>439.95748425675731</v>
      </c>
      <c r="BV151">
        <f>(X151*I151*365*[5]Analysis!BL151)/10^4</f>
        <v>89.31406176793196</v>
      </c>
      <c r="BW151">
        <f>(W151*R151*365*[5]Analysis!BL151)/10^4</f>
        <v>114.21231465306369</v>
      </c>
      <c r="BX151">
        <f t="shared" si="130"/>
        <v>2246599.6775063225</v>
      </c>
      <c r="BY151">
        <f t="shared" si="131"/>
        <v>2872888.5932153566</v>
      </c>
      <c r="BZ151">
        <f t="shared" si="132"/>
        <v>7976789.8394562099</v>
      </c>
      <c r="CA151">
        <f t="shared" si="133"/>
        <v>10447139.407038756</v>
      </c>
      <c r="CB151">
        <f t="shared" si="134"/>
        <v>-545095.47681302298</v>
      </c>
      <c r="CC151">
        <f t="shared" si="135"/>
        <v>-934998.80999999994</v>
      </c>
      <c r="CD151">
        <f t="shared" si="136"/>
        <v>0</v>
      </c>
      <c r="CE151">
        <f t="shared" si="137"/>
        <v>0</v>
      </c>
      <c r="CF151">
        <f t="shared" si="138"/>
        <v>5075836.6866756864</v>
      </c>
      <c r="CG151">
        <f t="shared" si="139"/>
        <v>6647783.7000000002</v>
      </c>
      <c r="CH151">
        <f t="shared" si="140"/>
        <v>557802.01929914323</v>
      </c>
      <c r="CI151">
        <f t="shared" si="141"/>
        <v>730548.95195071842</v>
      </c>
      <c r="CJ151">
        <f t="shared" si="142"/>
        <v>-2343825.5246965229</v>
      </c>
      <c r="CK151">
        <f t="shared" si="143"/>
        <v>-3069690.0000000005</v>
      </c>
      <c r="CL151">
        <f t="shared" si="144"/>
        <v>1842375.4828683289</v>
      </c>
      <c r="CM151">
        <f t="shared" si="145"/>
        <v>2412944.793208682</v>
      </c>
    </row>
    <row r="152" spans="1:91" x14ac:dyDescent="0.2">
      <c r="A152" s="2" t="s">
        <v>158</v>
      </c>
      <c r="B152" s="2" t="str">
        <f t="shared" si="149"/>
        <v>INDIRA GANDHI STPP</v>
      </c>
      <c r="C152" s="2" t="str">
        <f>VLOOKUP($A152,'[1]daily coal, energy reqd'!$C$2:$T$599,17,FALSE)</f>
        <v>Haryana</v>
      </c>
      <c r="D152" s="2" t="str">
        <f>VLOOKUP(C152,'Target PLF'!$I$2:$J$19,2,FALSE)</f>
        <v>NR</v>
      </c>
      <c r="E152" s="2" t="str">
        <f>VLOOKUP(A152,[2]Ownership!$C$2:$D$666,2,FALSE)</f>
        <v>CENTRAL SECTOR</v>
      </c>
      <c r="F152" s="2" t="s">
        <v>543</v>
      </c>
      <c r="G152" s="12">
        <v>8.5065023956194299</v>
      </c>
      <c r="H152" s="2">
        <v>500</v>
      </c>
      <c r="I152" s="2">
        <f>VLOOKUP(A152,'[3]Calculated coal req (reg.)'!$A$2:$I$599,9,FALSE)</f>
        <v>5.26176485866129</v>
      </c>
      <c r="J152" s="2"/>
      <c r="K152" s="11">
        <v>0.43848040488844081</v>
      </c>
      <c r="L152" s="3">
        <f>VLOOKUP(F152,'Target PLF'!$A$2:$B$11,2,FALSE)</f>
        <v>0.85</v>
      </c>
      <c r="M152" s="3">
        <f t="shared" si="123"/>
        <v>0.41151959511155917</v>
      </c>
      <c r="N152" s="2" t="str">
        <f t="shared" si="102"/>
        <v>0.15</v>
      </c>
      <c r="O152" s="2">
        <f t="shared" si="98"/>
        <v>7.215775330715589</v>
      </c>
      <c r="P152" s="2">
        <f t="shared" si="103"/>
        <v>1316878.9978555951</v>
      </c>
      <c r="Q152" s="2">
        <f t="shared" si="104"/>
        <v>12.941370913381245</v>
      </c>
      <c r="R152" s="2">
        <f t="shared" si="105"/>
        <v>10.199999999999999</v>
      </c>
      <c r="S152" s="2">
        <f t="shared" si="106"/>
        <v>2361800.1916920771</v>
      </c>
      <c r="T152" s="2" t="str">
        <f>VLOOKUP(A152,'[4]CEA vs MERIT comp. &amp; NPA marker'!$C$2:$K$735,9,FALSE)</f>
        <v>Contracted</v>
      </c>
      <c r="U152" s="3">
        <f>VLOOKUP(B152,'[8]Import-Domestic share'!$A$208:$F$406,6,FALSE)</f>
        <v>4.6404866790173083E-2</v>
      </c>
      <c r="V152" s="3">
        <f t="shared" si="107"/>
        <v>61109.594474265512</v>
      </c>
      <c r="W152" s="2">
        <f t="shared" si="108"/>
        <v>2749.4118133794173</v>
      </c>
      <c r="X152" s="2">
        <f t="shared" si="109"/>
        <v>2885.4483397589597</v>
      </c>
      <c r="Y152" s="6">
        <f t="shared" si="110"/>
        <v>0.31279417503590995</v>
      </c>
      <c r="Z152" s="2">
        <f t="shared" si="111"/>
        <v>2168905.3876068951</v>
      </c>
      <c r="AA152" s="2">
        <f t="shared" si="112"/>
        <v>1174208.9350670704</v>
      </c>
      <c r="AB152" s="2" t="s">
        <v>598</v>
      </c>
      <c r="AC152" s="12">
        <f>VLOOKUP(B152,[9]Sheet1!$A$2:$B$137,2,FALSE)</f>
        <v>4719.459059717552</v>
      </c>
      <c r="AD152" s="12">
        <f t="shared" si="113"/>
        <v>2359729.5298587759</v>
      </c>
      <c r="AE152" s="2"/>
      <c r="AF152" s="7">
        <f>VLOOKUP($B152,'[9]Subsidiary wise dispatch'!$A$3:$R$138,11,FALSE)*$H152*$O152*365</f>
        <v>0</v>
      </c>
      <c r="AG152" s="7">
        <f>VLOOKUP($B152,'[9]Subsidiary wise dispatch'!$A$3:$R$138,12,FALSE)*$H152*$O152*365</f>
        <v>549470.09207673476</v>
      </c>
      <c r="AH152" s="7">
        <f>VLOOKUP($B152,'[9]Subsidiary wise dispatch'!$A$3:$R$138,13,FALSE)*$H152*$O152*365</f>
        <v>282022.30712913419</v>
      </c>
      <c r="AI152" s="7">
        <f>VLOOKUP($B152,'[9]Subsidiary wise dispatch'!$A$3:$R$138,14,FALSE)*$H152*$O152*365</f>
        <v>0</v>
      </c>
      <c r="AJ152" s="7">
        <f>VLOOKUP($B152,'[9]Subsidiary wise dispatch'!$A$3:$R$138,15,FALSE)*$H152*$O152*365</f>
        <v>485386.59864972613</v>
      </c>
      <c r="AK152" s="7">
        <f>VLOOKUP($B152,'[9]Subsidiary wise dispatch'!$A$3:$R$138,16,FALSE)*$H152*$O152*365</f>
        <v>0</v>
      </c>
      <c r="AL152" s="7">
        <f>VLOOKUP($B152,'[9]Subsidiary wise dispatch'!$A$3:$R$138,17,FALSE)*$H152*$O152*365</f>
        <v>0</v>
      </c>
      <c r="AM152" s="7">
        <f>VLOOKUP($B152,'[9]Subsidiary wise dispatch'!$A$3:$R$138,18,FALSE)*$H152*$O152*365</f>
        <v>0</v>
      </c>
      <c r="AN152" s="15">
        <f t="shared" si="114"/>
        <v>1316878.9978555951</v>
      </c>
      <c r="AO152" s="6">
        <v>6.5600274643046297E-2</v>
      </c>
      <c r="AP152" s="11">
        <f t="shared" si="115"/>
        <v>0.3451732198353103</v>
      </c>
      <c r="AQ152" s="11">
        <f t="shared" si="116"/>
        <v>0.66912280135907221</v>
      </c>
      <c r="AR152" s="3">
        <f>VLOOKUP(A152,[10]Sheet1!$A$2:$L$542,12,FALSE)</f>
        <v>3.40206647723695</v>
      </c>
      <c r="AS152" s="3">
        <f t="shared" si="124"/>
        <v>2.8659117168878891</v>
      </c>
      <c r="AT152" s="3">
        <f t="shared" si="125"/>
        <v>2.851967972933986</v>
      </c>
      <c r="AU152" s="3">
        <f t="shared" si="117"/>
        <v>1.3943743953903187E-2</v>
      </c>
      <c r="AV152" s="88">
        <f t="shared" si="126"/>
        <v>0.30156978968965281</v>
      </c>
      <c r="AW152" s="32">
        <f t="shared" si="127"/>
        <v>0.10036109767124456</v>
      </c>
      <c r="AX152" s="12">
        <f t="shared" si="118"/>
        <v>550.41100493804129</v>
      </c>
      <c r="AY152" s="12">
        <f t="shared" si="119"/>
        <v>1061.787676323323</v>
      </c>
      <c r="AZ152" s="3">
        <f>VLOOKUP(A152,[5]Analysis!$A$3:$BJ$543,62,FALSE)</f>
        <v>1.0423810757152483</v>
      </c>
      <c r="BA152" s="2"/>
      <c r="BB152" s="2"/>
      <c r="BC152" s="2" t="str">
        <f>VLOOKUP(A152,'[6]FGD status - Jun 2020'!$I$2:$M$449,5,FALSE)</f>
        <v>Bid Awarded</v>
      </c>
      <c r="BD152" s="2"/>
      <c r="BE152" s="2"/>
      <c r="BF152" s="2">
        <f t="shared" si="120"/>
        <v>375.05651777171437</v>
      </c>
      <c r="BG152" s="2">
        <f t="shared" si="121"/>
        <v>692.77458019486778</v>
      </c>
      <c r="BH152" s="2"/>
      <c r="BI152" s="2"/>
      <c r="BK152">
        <f t="shared" si="122"/>
        <v>219.24020244422042</v>
      </c>
      <c r="BL152">
        <f>VLOOKUP(A152,'[11]Daily coal vs energy req.2'!$C$2:$P$599,14,FALSE)</f>
        <v>0.77</v>
      </c>
      <c r="BM152">
        <f>VLOOKUP(A152,'[11]Daily coal vs energy req.2'!$C$2:$R$599,16,FALSE)</f>
        <v>0.53</v>
      </c>
      <c r="BN152">
        <f>BL152*H152</f>
        <v>385</v>
      </c>
      <c r="BO152">
        <f>BM152*H152</f>
        <v>265</v>
      </c>
      <c r="BP152" s="2" t="str">
        <f>VLOOKUP(A152,'[7]Table 2'!$J$2:$N$449,5,FALSE)</f>
        <v>Bid Awarded</v>
      </c>
      <c r="BR152">
        <f t="shared" si="128"/>
        <v>577.64912794566067</v>
      </c>
      <c r="BS152">
        <f t="shared" si="129"/>
        <v>1066.9875422777334</v>
      </c>
      <c r="BT152">
        <f>(X152*I152*365*[5]Analysis!BK152)/10^4</f>
        <v>265.263882621714</v>
      </c>
      <c r="BU152">
        <f>(W152*R152*365*[5]Analysis!BK152)/10^4</f>
        <v>489.9743537745228</v>
      </c>
      <c r="BV152">
        <f>(X152*I152*365*[5]Analysis!BL152)/10^4</f>
        <v>312.38524532394672</v>
      </c>
      <c r="BW152">
        <f>(W152*R152*365*[5]Analysis!BL152)/10^4</f>
        <v>577.01318850321047</v>
      </c>
      <c r="BX152">
        <f t="shared" si="130"/>
        <v>1556211.4442516912</v>
      </c>
      <c r="BY152">
        <f t="shared" si="131"/>
        <v>2874510.0508881807</v>
      </c>
      <c r="BZ152">
        <f t="shared" si="132"/>
        <v>10370509.714404691</v>
      </c>
      <c r="CA152">
        <f t="shared" si="133"/>
        <v>20103368.722911805</v>
      </c>
      <c r="CB152">
        <f t="shared" si="134"/>
        <v>-248813.29746723815</v>
      </c>
      <c r="CC152">
        <f t="shared" si="135"/>
        <v>-934998.80999999994</v>
      </c>
      <c r="CD152">
        <f t="shared" si="136"/>
        <v>0</v>
      </c>
      <c r="CE152">
        <f t="shared" si="137"/>
        <v>0</v>
      </c>
      <c r="CF152">
        <f t="shared" si="138"/>
        <v>3429321.0451609143</v>
      </c>
      <c r="CG152">
        <f t="shared" si="139"/>
        <v>6647783.7000000002</v>
      </c>
      <c r="CH152">
        <f t="shared" si="140"/>
        <v>331419.61024706333</v>
      </c>
      <c r="CI152">
        <f t="shared" si="141"/>
        <v>642461.2492813135</v>
      </c>
      <c r="CJ152">
        <f t="shared" si="142"/>
        <v>-1583528.1342141153</v>
      </c>
      <c r="CK152">
        <f t="shared" si="143"/>
        <v>-3069690.0000000005</v>
      </c>
      <c r="CL152">
        <f t="shared" si="144"/>
        <v>975819.88009609492</v>
      </c>
      <c r="CM152">
        <f t="shared" si="145"/>
        <v>1891639.6008453567</v>
      </c>
    </row>
    <row r="153" spans="1:91" x14ac:dyDescent="0.2">
      <c r="A153" s="2" t="s">
        <v>169</v>
      </c>
      <c r="B153" s="2" t="str">
        <f t="shared" si="149"/>
        <v>KAKATIYA TPS</v>
      </c>
      <c r="C153" s="2" t="s">
        <v>610</v>
      </c>
      <c r="D153" s="2" t="str">
        <f>VLOOKUP(C153,'Target PLF'!$I$2:$J$19,2,FALSE)</f>
        <v>SR</v>
      </c>
      <c r="E153" s="2" t="str">
        <f>VLOOKUP(A153,[2]Ownership!$C$2:$D$666,2,FALSE)</f>
        <v>STATE SECTOR</v>
      </c>
      <c r="F153" s="2" t="s">
        <v>543</v>
      </c>
      <c r="G153" s="12">
        <v>10.009582477754901</v>
      </c>
      <c r="H153" s="2">
        <v>500</v>
      </c>
      <c r="I153" s="2">
        <f>VLOOKUP(A153,'[3]Calculated coal req (reg.)'!$A$2:$I$599,9,FALSE)</f>
        <v>9.6179698888849003</v>
      </c>
      <c r="J153" s="2"/>
      <c r="K153" s="11">
        <v>0.80149749074040832</v>
      </c>
      <c r="L153" s="3">
        <f>VLOOKUP(F153,'Target PLF'!$A$2:$B$11,2,FALSE)</f>
        <v>0.85</v>
      </c>
      <c r="M153" s="3">
        <f t="shared" si="123"/>
        <v>4.8502509259591653E-2</v>
      </c>
      <c r="N153" s="2" t="str">
        <f t="shared" si="102"/>
        <v>0.15</v>
      </c>
      <c r="O153" s="2">
        <f t="shared" si="98"/>
        <v>12.31415101290141</v>
      </c>
      <c r="P153" s="2">
        <f t="shared" si="103"/>
        <v>2247332.5598545074</v>
      </c>
      <c r="Q153" s="2">
        <f t="shared" si="104"/>
        <v>12.988980974982887</v>
      </c>
      <c r="R153" s="2">
        <f t="shared" si="105"/>
        <v>10.199999999999999</v>
      </c>
      <c r="S153" s="2">
        <f t="shared" si="106"/>
        <v>2370489.0279343771</v>
      </c>
      <c r="T153" s="2" t="str">
        <f>VLOOKUP(A153,'[4]CEA vs MERIT comp. &amp; NPA marker'!$C$2:$K$735,9,FALSE)</f>
        <v>Contracted</v>
      </c>
      <c r="U153" s="3">
        <f>VLOOKUP(B153,'[8]Import-Domestic share'!$A$208:$F$406,6,FALSE)</f>
        <v>0</v>
      </c>
      <c r="V153" s="3">
        <f t="shared" si="107"/>
        <v>0</v>
      </c>
      <c r="W153" s="2">
        <f t="shared" si="108"/>
        <v>2750.4339152758384</v>
      </c>
      <c r="X153" s="2">
        <f t="shared" si="109"/>
        <v>2766.4674479647924</v>
      </c>
      <c r="Y153" s="6">
        <f t="shared" si="110"/>
        <v>0.31267793609713085</v>
      </c>
      <c r="Z153" s="2">
        <f t="shared" si="111"/>
        <v>2389142.6660223859</v>
      </c>
      <c r="AA153" s="2">
        <f t="shared" si="112"/>
        <v>2265946.6224413333</v>
      </c>
      <c r="AB153" s="2" t="s">
        <v>598</v>
      </c>
      <c r="AC153" s="12"/>
      <c r="AD153" s="12">
        <f t="shared" si="113"/>
        <v>0</v>
      </c>
      <c r="AE153" s="2" t="s">
        <v>589</v>
      </c>
      <c r="AF153" s="7"/>
      <c r="AG153" s="7"/>
      <c r="AH153" s="7"/>
      <c r="AI153" s="7"/>
      <c r="AJ153" s="7"/>
      <c r="AK153" s="7"/>
      <c r="AL153" s="7"/>
      <c r="AM153" s="7"/>
      <c r="AN153" s="15">
        <f t="shared" si="114"/>
        <v>0</v>
      </c>
      <c r="AO153" s="6">
        <v>5.7626698395538668E-2</v>
      </c>
      <c r="AP153" s="11">
        <f t="shared" si="115"/>
        <v>0.55425184996414267</v>
      </c>
      <c r="AQ153" s="11">
        <f t="shared" si="116"/>
        <v>0.58779232363449441</v>
      </c>
      <c r="AR153" s="3">
        <f>VLOOKUP(A153,[10]Sheet1!$A$2:$L$542,12,FALSE)</f>
        <v>3.0625219298245598</v>
      </c>
      <c r="AS153" s="3">
        <f t="shared" si="124"/>
        <v>2.0132715246782449</v>
      </c>
      <c r="AT153" s="3">
        <f t="shared" si="125"/>
        <v>2.0116280875776269</v>
      </c>
      <c r="AU153" s="3">
        <f t="shared" si="117"/>
        <v>1.6434371006179838E-3</v>
      </c>
      <c r="AV153" s="88">
        <f t="shared" si="126"/>
        <v>3.5543608835613957E-2</v>
      </c>
      <c r="AW153" s="32">
        <f t="shared" si="127"/>
        <v>1.6838350574900122E-2</v>
      </c>
      <c r="AX153" s="12">
        <f t="shared" si="118"/>
        <v>706.77084894142342</v>
      </c>
      <c r="AY153" s="12">
        <f t="shared" si="119"/>
        <v>748.92913700515032</v>
      </c>
      <c r="AZ153" s="3">
        <f>VLOOKUP(A153,[5]Analysis!$A$3:$BJ$543,62,FALSE)</f>
        <v>0.60392162295892959</v>
      </c>
      <c r="BA153" s="2"/>
      <c r="BB153" s="2"/>
      <c r="BC153" s="2" t="str">
        <f>VLOOKUP(A153,'[6]FGD status - Jun 2020'!$I$2:$M$449,5,FALSE)</f>
        <v>Feasiblity Study completed</v>
      </c>
      <c r="BD153" s="2"/>
      <c r="BE153" s="2"/>
      <c r="BF153" s="2">
        <f t="shared" si="120"/>
        <v>701.31047964559264</v>
      </c>
      <c r="BG153" s="2">
        <f t="shared" si="121"/>
        <v>739.43965513392845</v>
      </c>
      <c r="BH153" s="2"/>
      <c r="BI153" s="2"/>
      <c r="BK153">
        <f t="shared" si="122"/>
        <v>400.74874537020418</v>
      </c>
      <c r="BL153">
        <f>VLOOKUP(A153,'[11]Daily coal vs energy req.2'!$C$2:$P$599,14,FALSE)</f>
        <v>0.88</v>
      </c>
      <c r="BM153">
        <f>VLOOKUP(A153,'[11]Daily coal vs energy req.2'!$C$2:$R$599,16,FALSE)</f>
        <v>0.85</v>
      </c>
      <c r="BN153">
        <f>BL153*H153</f>
        <v>440</v>
      </c>
      <c r="BO153">
        <f>BM153*H153</f>
        <v>425</v>
      </c>
      <c r="BP153" s="2" t="str">
        <f>VLOOKUP(A153,'[7]Table 2'!$J$2:$N$449,5,FALSE)</f>
        <v>Feasibility Study completed</v>
      </c>
      <c r="BR153">
        <f t="shared" si="128"/>
        <v>586.51945373165393</v>
      </c>
      <c r="BS153">
        <f t="shared" si="129"/>
        <v>618.40761714532266</v>
      </c>
      <c r="BT153">
        <f>(X153*I153*365*[5]Analysis!BK153)/10^4</f>
        <v>364.97099307358951</v>
      </c>
      <c r="BU153">
        <f>(W153*R153*365*[5]Analysis!BK153)/10^4</f>
        <v>384.81390637225792</v>
      </c>
      <c r="BV153">
        <f>(X153*I153*365*[5]Analysis!BL153)/10^4</f>
        <v>221.54846065806439</v>
      </c>
      <c r="BW153">
        <f>(W153*R153*365*[5]Analysis!BL153)/10^4</f>
        <v>233.59371077306471</v>
      </c>
      <c r="BX153">
        <f t="shared" si="130"/>
        <v>2727299.5628433269</v>
      </c>
      <c r="BY153">
        <f t="shared" si="131"/>
        <v>2875578.6584208887</v>
      </c>
      <c r="BZ153">
        <f t="shared" si="132"/>
        <v>10982624.643883886</v>
      </c>
      <c r="CA153">
        <f t="shared" si="133"/>
        <v>11647236.647837278</v>
      </c>
      <c r="CB153">
        <f t="shared" si="134"/>
        <v>-831337.82479055203</v>
      </c>
      <c r="CC153">
        <f t="shared" si="135"/>
        <v>-934998.80999999994</v>
      </c>
      <c r="CD153">
        <f t="shared" si="136"/>
        <v>0</v>
      </c>
      <c r="CE153">
        <f t="shared" si="137"/>
        <v>0</v>
      </c>
      <c r="CF153">
        <f t="shared" si="138"/>
        <v>6268449.3582764557</v>
      </c>
      <c r="CG153">
        <f t="shared" si="139"/>
        <v>6647783.7000000002</v>
      </c>
      <c r="CH153">
        <f t="shared" si="140"/>
        <v>712845.00863095955</v>
      </c>
      <c r="CI153">
        <f t="shared" si="141"/>
        <v>755982.72525666887</v>
      </c>
      <c r="CJ153">
        <f t="shared" si="142"/>
        <v>-2894528.0380599112</v>
      </c>
      <c r="CK153">
        <f t="shared" si="143"/>
        <v>-3069690.0000000005</v>
      </c>
      <c r="CL153">
        <f t="shared" si="144"/>
        <v>1566894.3669300298</v>
      </c>
      <c r="CM153">
        <f t="shared" si="145"/>
        <v>1661714.7617769556</v>
      </c>
    </row>
    <row r="154" spans="1:91" x14ac:dyDescent="0.2">
      <c r="A154" s="2" t="s">
        <v>130</v>
      </c>
      <c r="B154" s="2" t="str">
        <f t="shared" si="149"/>
        <v>NTPL TUTICORIN (JV) TPP</v>
      </c>
      <c r="C154" s="2" t="str">
        <f>VLOOKUP($A154,'[1]daily coal, energy reqd'!$C$2:$T$599,17,FALSE)</f>
        <v>Tamil Nadu</v>
      </c>
      <c r="D154" s="2" t="str">
        <f>VLOOKUP(C154,'Target PLF'!$I$2:$J$19,2,FALSE)</f>
        <v>SR</v>
      </c>
      <c r="E154" s="2" t="str">
        <f>VLOOKUP(A154,[2]Ownership!$C$2:$D$666,2,FALSE)</f>
        <v>CENTRAL SECTOR</v>
      </c>
      <c r="F154" s="2" t="s">
        <v>542</v>
      </c>
      <c r="G154" s="12">
        <v>4.8432580424366796</v>
      </c>
      <c r="H154" s="2">
        <v>500</v>
      </c>
      <c r="I154" s="2">
        <f>VLOOKUP(A154,'[3]Calculated coal req (reg.)'!$A$2:$I$599,9,FALSE)</f>
        <v>5.6462118301782596</v>
      </c>
      <c r="J154" s="2"/>
      <c r="K154" s="11">
        <v>0.47051765251485494</v>
      </c>
      <c r="L154" s="3">
        <f>VLOOKUP(F154,'Target PLF'!$A$2:$B$11,2,FALSE)</f>
        <v>0.85</v>
      </c>
      <c r="M154" s="3">
        <f t="shared" si="123"/>
        <v>0.37948234748514503</v>
      </c>
      <c r="N154" s="2" t="str">
        <f t="shared" si="102"/>
        <v>0.15</v>
      </c>
      <c r="O154" s="2">
        <f t="shared" si="98"/>
        <v>7.5454859032291139</v>
      </c>
      <c r="P154" s="2">
        <f t="shared" si="103"/>
        <v>1377051.1773393133</v>
      </c>
      <c r="Q154" s="2">
        <f t="shared" si="104"/>
        <v>12.825337648494182</v>
      </c>
      <c r="R154" s="2">
        <f t="shared" si="105"/>
        <v>10.199999999999999</v>
      </c>
      <c r="S154" s="2">
        <f t="shared" si="106"/>
        <v>2340624.1208501882</v>
      </c>
      <c r="T154" s="2" t="str">
        <f>VLOOKUP(A154,'[4]CEA vs MERIT comp. &amp; NPA marker'!$C$2:$K$735,9,FALSE)</f>
        <v>Contracted</v>
      </c>
      <c r="U154" s="3">
        <f>VLOOKUP(B154,'[8]Import-Domestic share'!$A$208:$F$406,6,FALSE)</f>
        <v>0.17625260328526579</v>
      </c>
      <c r="V154" s="3">
        <f t="shared" si="107"/>
        <v>242708.8548630942</v>
      </c>
      <c r="W154" s="2">
        <f t="shared" si="108"/>
        <v>2750.697558699027</v>
      </c>
      <c r="X154" s="2">
        <f t="shared" si="109"/>
        <v>2876.1434936860082</v>
      </c>
      <c r="Y154" s="6">
        <f t="shared" si="110"/>
        <v>0.31264796716028154</v>
      </c>
      <c r="Z154" s="2">
        <f t="shared" si="111"/>
        <v>2389371.6777966586</v>
      </c>
      <c r="AA154" s="2">
        <f t="shared" si="112"/>
        <v>1382956.166136062</v>
      </c>
      <c r="AB154" s="2" t="s">
        <v>598</v>
      </c>
      <c r="AC154" s="12"/>
      <c r="AD154" s="12">
        <f t="shared" si="113"/>
        <v>0</v>
      </c>
      <c r="AE154" s="2"/>
      <c r="AF154" s="7"/>
      <c r="AG154" s="7"/>
      <c r="AH154" s="7"/>
      <c r="AI154" s="7"/>
      <c r="AJ154" s="7"/>
      <c r="AK154" s="7"/>
      <c r="AL154" s="7"/>
      <c r="AM154" s="7"/>
      <c r="AN154" s="15">
        <f t="shared" si="114"/>
        <v>0</v>
      </c>
      <c r="AO154" s="6">
        <v>7.0217798966479852E-2</v>
      </c>
      <c r="AP154" s="11">
        <f t="shared" si="115"/>
        <v>0.39646456721361734</v>
      </c>
      <c r="AQ154" s="11">
        <f t="shared" si="116"/>
        <v>0.71622154945809446</v>
      </c>
      <c r="AR154" s="3">
        <f>VLOOKUP(A154,[10]Sheet1!$A$2:$L$542,12,FALSE)</f>
        <v>3.1779493345128098</v>
      </c>
      <c r="AS154" s="3">
        <f t="shared" si="124"/>
        <v>3.1749461060458772</v>
      </c>
      <c r="AT154" s="3">
        <f t="shared" si="125"/>
        <v>3.1620878977097115</v>
      </c>
      <c r="AU154" s="3">
        <f t="shared" si="117"/>
        <v>1.2858208336165688E-2</v>
      </c>
      <c r="AV154" s="88">
        <f t="shared" si="126"/>
        <v>0.278092253884064</v>
      </c>
      <c r="AW154" s="32">
        <f t="shared" si="127"/>
        <v>8.3539700104775808E-2</v>
      </c>
      <c r="AX154" s="12">
        <f t="shared" si="118"/>
        <v>654.31426664091407</v>
      </c>
      <c r="AY154" s="12">
        <f t="shared" si="119"/>
        <v>1177.2453243173254</v>
      </c>
      <c r="AZ154" s="3">
        <f>VLOOKUP(A154,[5]Analysis!$A$3:$BJ$543,62,FALSE)</f>
        <v>1.213769511872818</v>
      </c>
      <c r="BA154" s="2"/>
      <c r="BB154" s="2"/>
      <c r="BC154" s="2" t="str">
        <f>VLOOKUP(A154,'[6]FGD status - Jun 2020'!$I$2:$M$449,5,FALSE)</f>
        <v>Bid opened</v>
      </c>
      <c r="BD154" s="2"/>
      <c r="BE154" s="2"/>
      <c r="BF154" s="2">
        <f t="shared" si="120"/>
        <v>480.08985321463757</v>
      </c>
      <c r="BG154" s="2">
        <f t="shared" si="121"/>
        <v>829.46453847023201</v>
      </c>
      <c r="BH154" s="2"/>
      <c r="BI154" s="2"/>
      <c r="BK154">
        <f t="shared" si="122"/>
        <v>235.25882625742747</v>
      </c>
      <c r="BP154" s="2" t="str">
        <f>VLOOKUP(A154,'[7]Table 2'!$J$2:$N$449,5,FALSE)</f>
        <v>Bid Awarded</v>
      </c>
      <c r="BR154">
        <f t="shared" si="128"/>
        <v>719.44368716336544</v>
      </c>
      <c r="BS154">
        <f t="shared" si="129"/>
        <v>1243.0027877749953</v>
      </c>
      <c r="BT154">
        <f>(X154*I154*365*[5]Analysis!BK154)/10^4</f>
        <v>311.20261020074315</v>
      </c>
      <c r="BU154">
        <f>(W154*R154*365*[5]Analysis!BK154)/10^4</f>
        <v>537.67337033362787</v>
      </c>
      <c r="BV154">
        <f>(X154*I154*365*[5]Analysis!BL154)/10^4</f>
        <v>408.24107696262223</v>
      </c>
      <c r="BW154">
        <f>(W154*R154*365*[5]Analysis!BL154)/10^4</f>
        <v>705.32941744136735</v>
      </c>
      <c r="BX154">
        <f t="shared" si="130"/>
        <v>1664529.8304823674</v>
      </c>
      <c r="BY154">
        <f t="shared" si="131"/>
        <v>2875854.2976198327</v>
      </c>
      <c r="BZ154">
        <f t="shared" si="132"/>
        <v>12957927.340441914</v>
      </c>
      <c r="CA154">
        <f t="shared" si="133"/>
        <v>23408767.30236575</v>
      </c>
      <c r="CB154">
        <f t="shared" si="134"/>
        <v>-286500.27943446219</v>
      </c>
      <c r="CC154">
        <f t="shared" si="135"/>
        <v>-934998.80999999994</v>
      </c>
      <c r="CD154">
        <f t="shared" si="136"/>
        <v>0</v>
      </c>
      <c r="CE154">
        <f t="shared" si="137"/>
        <v>0</v>
      </c>
      <c r="CF154">
        <f t="shared" si="138"/>
        <v>3679881.8599417848</v>
      </c>
      <c r="CG154">
        <f t="shared" si="139"/>
        <v>6647783.7000000002</v>
      </c>
      <c r="CH154">
        <f t="shared" si="140"/>
        <v>202483.90760685978</v>
      </c>
      <c r="CI154">
        <f t="shared" si="141"/>
        <v>365791.42258726835</v>
      </c>
      <c r="CJ154">
        <f t="shared" si="142"/>
        <v>-1699227.4502921477</v>
      </c>
      <c r="CK154">
        <f t="shared" si="143"/>
        <v>-3069690.0000000005</v>
      </c>
      <c r="CL154">
        <f t="shared" si="144"/>
        <v>1120822.7759538533</v>
      </c>
      <c r="CM154">
        <f t="shared" si="145"/>
        <v>2024789.8340662092</v>
      </c>
    </row>
    <row r="155" spans="1:91" x14ac:dyDescent="0.2">
      <c r="A155" s="2" t="s">
        <v>142</v>
      </c>
      <c r="B155" s="2" t="str">
        <f t="shared" si="149"/>
        <v>UKAI TPS</v>
      </c>
      <c r="C155" s="2" t="str">
        <f>VLOOKUP($A155,'[1]daily coal, energy reqd'!$C$2:$T$599,17,FALSE)</f>
        <v>Gujarat</v>
      </c>
      <c r="D155" s="2" t="str">
        <f>VLOOKUP(C155,'Target PLF'!$I$2:$J$19,2,FALSE)</f>
        <v>WR</v>
      </c>
      <c r="E155" s="2" t="str">
        <f>VLOOKUP(A155,[2]Ownership!$C$2:$D$666,2,FALSE)</f>
        <v>STATE SECTOR</v>
      </c>
      <c r="F155" s="2" t="s">
        <v>543</v>
      </c>
      <c r="G155" s="12">
        <v>7.1759069130732298</v>
      </c>
      <c r="H155" s="2">
        <v>500</v>
      </c>
      <c r="I155" s="2">
        <f>VLOOKUP(A155,'[3]Calculated coal req (reg.)'!$A$2:$I$599,9,FALSE)</f>
        <v>8.5571901336581995</v>
      </c>
      <c r="J155" s="2"/>
      <c r="K155" s="11">
        <v>0.71309917780484999</v>
      </c>
      <c r="L155" s="3">
        <f>VLOOKUP(F155,'Target PLF'!$A$2:$B$11,2,FALSE)</f>
        <v>0.85</v>
      </c>
      <c r="M155" s="3">
        <f t="shared" si="123"/>
        <v>0.13690082219514998</v>
      </c>
      <c r="N155" s="2" t="str">
        <f t="shared" si="102"/>
        <v>0.15</v>
      </c>
      <c r="O155" s="2">
        <f t="shared" si="98"/>
        <v>10.994482092023814</v>
      </c>
      <c r="P155" s="2">
        <f t="shared" si="103"/>
        <v>2006492.9817943461</v>
      </c>
      <c r="Q155" s="2">
        <f t="shared" si="104"/>
        <v>12.899224301471595</v>
      </c>
      <c r="R155" s="2">
        <f t="shared" si="105"/>
        <v>10.199999999999999</v>
      </c>
      <c r="S155" s="2">
        <f t="shared" si="106"/>
        <v>2354108.435018566</v>
      </c>
      <c r="T155" s="2" t="str">
        <f>VLOOKUP(A155,'[4]CEA vs MERIT comp. &amp; NPA marker'!$C$2:$K$735,9,FALSE)</f>
        <v>Contracted</v>
      </c>
      <c r="U155" s="3">
        <f>VLOOKUP(B155,'[8]Import-Domestic share'!$A$208:$F$406,6,FALSE)</f>
        <v>9.7715240367696243E-2</v>
      </c>
      <c r="V155" s="3">
        <f t="shared" si="107"/>
        <v>196064.94401213009</v>
      </c>
      <c r="W155" s="2">
        <f t="shared" si="108"/>
        <v>2750.8135604241347</v>
      </c>
      <c r="X155" s="2">
        <f t="shared" si="109"/>
        <v>2796.0690294981723</v>
      </c>
      <c r="Y155" s="6">
        <f t="shared" si="110"/>
        <v>0.31263478280490981</v>
      </c>
      <c r="Z155" s="2">
        <f t="shared" si="111"/>
        <v>2414199.8883598265</v>
      </c>
      <c r="AA155" s="2">
        <f t="shared" si="112"/>
        <v>2058690.0618938487</v>
      </c>
      <c r="AB155" s="2" t="s">
        <v>598</v>
      </c>
      <c r="AC155" s="12">
        <f>VLOOKUP(B155,[9]Sheet1!$A$2:$B$137,2,FALSE)</f>
        <v>4242.1006374980961</v>
      </c>
      <c r="AD155" s="12">
        <f t="shared" si="113"/>
        <v>2121050.3187490483</v>
      </c>
      <c r="AE155" s="2"/>
      <c r="AF155" s="7">
        <f>VLOOKUP($B155,'[9]Subsidiary wise dispatch'!$A$3:$R$138,11,FALSE)*$H155*$O155*365</f>
        <v>0</v>
      </c>
      <c r="AG155" s="7">
        <f>VLOOKUP($B155,'[9]Subsidiary wise dispatch'!$A$3:$R$138,12,FALSE)*$H155*$O155*365</f>
        <v>0</v>
      </c>
      <c r="AH155" s="7">
        <f>VLOOKUP($B155,'[9]Subsidiary wise dispatch'!$A$3:$R$138,13,FALSE)*$H155*$O155*365</f>
        <v>0</v>
      </c>
      <c r="AI155" s="7">
        <f>VLOOKUP($B155,'[9]Subsidiary wise dispatch'!$A$3:$R$138,14,FALSE)*$H155*$O155*365</f>
        <v>0</v>
      </c>
      <c r="AJ155" s="7">
        <f>VLOOKUP($B155,'[9]Subsidiary wise dispatch'!$A$3:$R$138,15,FALSE)*$H155*$O155*365</f>
        <v>0</v>
      </c>
      <c r="AK155" s="7">
        <f>VLOOKUP($B155,'[9]Subsidiary wise dispatch'!$A$3:$R$138,16,FALSE)*$H155*$O155*365</f>
        <v>0</v>
      </c>
      <c r="AL155" s="7">
        <f>VLOOKUP($B155,'[9]Subsidiary wise dispatch'!$A$3:$R$138,17,FALSE)*$H155*$O155*365</f>
        <v>1711473.7869382487</v>
      </c>
      <c r="AM155" s="7">
        <f>VLOOKUP($B155,'[9]Subsidiary wise dispatch'!$A$3:$R$138,18,FALSE)*$H155*$O155*365</f>
        <v>295019.19485609775</v>
      </c>
      <c r="AN155" s="15">
        <f t="shared" si="114"/>
        <v>2006492.9817943464</v>
      </c>
      <c r="AO155" s="6">
        <v>8.0187863271519652E-2</v>
      </c>
      <c r="AP155" s="11">
        <f t="shared" si="115"/>
        <v>0.68618279242618063</v>
      </c>
      <c r="AQ155" s="11">
        <f t="shared" si="116"/>
        <v>0.81791620536950038</v>
      </c>
      <c r="AR155" s="3">
        <f>VLOOKUP(A155,[10]Sheet1!$A$2:$L$542,12,FALSE)</f>
        <v>3.1642214912280702</v>
      </c>
      <c r="AS155" s="3">
        <f t="shared" si="124"/>
        <v>2.8383016929890679</v>
      </c>
      <c r="AT155" s="3">
        <f t="shared" si="125"/>
        <v>2.8336630074089793</v>
      </c>
      <c r="AU155" s="3">
        <f t="shared" si="117"/>
        <v>4.6386855800886195E-3</v>
      </c>
      <c r="AV155" s="88">
        <f t="shared" si="126"/>
        <v>0.10032366052104981</v>
      </c>
      <c r="AW155" s="32">
        <f t="shared" si="127"/>
        <v>3.3712052237897791E-2</v>
      </c>
      <c r="AX155" s="12">
        <f t="shared" si="118"/>
        <v>886.50788439108669</v>
      </c>
      <c r="AY155" s="12">
        <f t="shared" si="119"/>
        <v>1054.9727376583628</v>
      </c>
      <c r="AZ155" s="3">
        <f>VLOOKUP(A155,[5]Analysis!$A$3:$BJ$543,62,FALSE)</f>
        <v>1.0160237663156229</v>
      </c>
      <c r="BA155" s="2"/>
      <c r="BB155" s="2"/>
      <c r="BC155" s="2" t="str">
        <f>VLOOKUP(A155,'[6]FGD status - Jun 2020'!$I$2:$M$449,5,FALSE)</f>
        <v>e-tender for EPC floated</v>
      </c>
      <c r="BD155" s="2"/>
      <c r="BE155" s="2"/>
      <c r="BF155" s="2">
        <f t="shared" si="120"/>
        <v>680.13350236592657</v>
      </c>
      <c r="BG155" s="2">
        <f t="shared" si="121"/>
        <v>797.58398598917529</v>
      </c>
      <c r="BH155" s="2"/>
      <c r="BI155" s="2"/>
      <c r="BK155">
        <f t="shared" si="122"/>
        <v>356.549588902425</v>
      </c>
      <c r="BL155">
        <f>VLOOKUP(A155,'[11]Daily coal vs energy req.2'!$C$2:$P$599,14,FALSE)</f>
        <v>0.76</v>
      </c>
      <c r="BM155">
        <f>VLOOKUP(A155,'[11]Daily coal vs energy req.2'!$C$2:$R$599,16,FALSE)</f>
        <v>0.79</v>
      </c>
      <c r="BN155">
        <f>BL155*H155</f>
        <v>380</v>
      </c>
      <c r="BO155">
        <f>BM155*H155</f>
        <v>395</v>
      </c>
      <c r="BP155" s="2" t="str">
        <f>VLOOKUP(A155,'[7]Table 2'!$J$2:$N$449,5,FALSE)</f>
        <v>NIT issued</v>
      </c>
      <c r="BR155">
        <f t="shared" si="128"/>
        <v>887.31087060391098</v>
      </c>
      <c r="BS155">
        <f t="shared" si="129"/>
        <v>1040.538274509277</v>
      </c>
      <c r="BT155">
        <f>(X155*I155*365*[5]Analysis!BK155)/10^4</f>
        <v>406.27478936202516</v>
      </c>
      <c r="BU155">
        <f>(W155*R155*365*[5]Analysis!BK155)/10^4</f>
        <v>476.43332489734786</v>
      </c>
      <c r="BV155">
        <f>(X155*I155*365*[5]Analysis!BL155)/10^4</f>
        <v>481.03608124188565</v>
      </c>
      <c r="BW155">
        <f>(W155*R155*365*[5]Analysis!BL155)/10^4</f>
        <v>564.1049496119291</v>
      </c>
      <c r="BX155">
        <f t="shared" si="130"/>
        <v>2452465.6670055245</v>
      </c>
      <c r="BY155">
        <f t="shared" si="131"/>
        <v>2875975.5774234324</v>
      </c>
      <c r="BZ155">
        <f t="shared" si="132"/>
        <v>16439068.189212684</v>
      </c>
      <c r="CA155">
        <f t="shared" si="133"/>
        <v>19595041.469329461</v>
      </c>
      <c r="CB155">
        <f t="shared" si="134"/>
        <v>-658071.49318815989</v>
      </c>
      <c r="CC155">
        <f t="shared" si="135"/>
        <v>-934998.80999999994</v>
      </c>
      <c r="CD155">
        <f t="shared" si="136"/>
        <v>0</v>
      </c>
      <c r="CE155">
        <f t="shared" si="137"/>
        <v>0</v>
      </c>
      <c r="CF155">
        <f t="shared" si="138"/>
        <v>5577093.0478758626</v>
      </c>
      <c r="CG155">
        <f t="shared" si="139"/>
        <v>6647783.7000000002</v>
      </c>
      <c r="CH155">
        <f t="shared" si="140"/>
        <v>454677.76399010402</v>
      </c>
      <c r="CI155">
        <f t="shared" si="141"/>
        <v>541966.82792607741</v>
      </c>
      <c r="CJ155">
        <f t="shared" si="142"/>
        <v>-2575286.3707244359</v>
      </c>
      <c r="CK155">
        <f t="shared" si="143"/>
        <v>-3069690.0000000005</v>
      </c>
      <c r="CL155">
        <f t="shared" si="144"/>
        <v>1939868.9462316795</v>
      </c>
      <c r="CM155">
        <f t="shared" si="145"/>
        <v>2312285.1008926141</v>
      </c>
    </row>
    <row r="156" spans="1:91" x14ac:dyDescent="0.2">
      <c r="A156" s="2" t="s">
        <v>132</v>
      </c>
      <c r="B156" s="2" t="str">
        <f t="shared" si="149"/>
        <v>NTPL TUTICORIN (JV) TPP</v>
      </c>
      <c r="C156" s="2" t="str">
        <f>VLOOKUP($A156,'[1]daily coal, energy reqd'!$C$2:$T$599,17,FALSE)</f>
        <v>Tamil Nadu</v>
      </c>
      <c r="D156" s="2" t="str">
        <f>VLOOKUP(C156,'Target PLF'!$I$2:$J$19,2,FALSE)</f>
        <v>SR</v>
      </c>
      <c r="E156" s="2" t="str">
        <f>VLOOKUP(A156,[2]Ownership!$C$2:$D$666,2,FALSE)</f>
        <v>CENTRAL SECTOR</v>
      </c>
      <c r="F156" s="2" t="s">
        <v>543</v>
      </c>
      <c r="G156" s="12">
        <v>5.1772758384667998</v>
      </c>
      <c r="H156" s="2">
        <v>500</v>
      </c>
      <c r="I156" s="2">
        <f>VLOOKUP(A156,'[3]Calculated coal req (reg.)'!$A$2:$I$599,9,FALSE)</f>
        <v>8.2029472795340101</v>
      </c>
      <c r="J156" s="2"/>
      <c r="K156" s="11">
        <v>0.68357893996116748</v>
      </c>
      <c r="L156" s="3">
        <f>VLOOKUP(F156,'Target PLF'!$A$2:$B$11,2,FALSE)</f>
        <v>0.85</v>
      </c>
      <c r="M156" s="3">
        <f t="shared" si="123"/>
        <v>0.1664210600388325</v>
      </c>
      <c r="N156" s="2" t="str">
        <f t="shared" si="102"/>
        <v>0.15</v>
      </c>
      <c r="O156" s="2">
        <f t="shared" si="98"/>
        <v>10.520451527545148</v>
      </c>
      <c r="P156" s="2">
        <f t="shared" si="103"/>
        <v>1919982.4037769896</v>
      </c>
      <c r="Q156" s="2">
        <f t="shared" si="104"/>
        <v>12.835917662183435</v>
      </c>
      <c r="R156" s="2">
        <f t="shared" si="105"/>
        <v>10.199999999999999</v>
      </c>
      <c r="S156" s="2">
        <f t="shared" si="106"/>
        <v>2342554.9733484769</v>
      </c>
      <c r="T156" s="2" t="str">
        <f>VLOOKUP(A156,'[4]CEA vs MERIT comp. &amp; NPA marker'!$C$2:$K$735,9,FALSE)</f>
        <v>Contracted</v>
      </c>
      <c r="U156" s="3">
        <f>VLOOKUP(B156,'[8]Import-Domestic share'!$A$208:$F$406,6,FALSE)</f>
        <v>0.17625260328526579</v>
      </c>
      <c r="V156" s="3">
        <f t="shared" si="107"/>
        <v>338401.89692759677</v>
      </c>
      <c r="W156" s="2">
        <f t="shared" si="108"/>
        <v>2753.2496340282537</v>
      </c>
      <c r="X156" s="2">
        <f t="shared" si="109"/>
        <v>2808.2636435505624</v>
      </c>
      <c r="Y156" s="6">
        <f t="shared" si="110"/>
        <v>0.31235816373894948</v>
      </c>
      <c r="Z156" s="2">
        <f t="shared" si="111"/>
        <v>2391588.5178458206</v>
      </c>
      <c r="AA156" s="2">
        <f t="shared" si="112"/>
        <v>1961771.8372616037</v>
      </c>
      <c r="AB156" s="2" t="s">
        <v>598</v>
      </c>
      <c r="AC156" s="12"/>
      <c r="AD156" s="12">
        <f t="shared" si="113"/>
        <v>0</v>
      </c>
      <c r="AE156" s="2"/>
      <c r="AF156" s="7"/>
      <c r="AG156" s="7"/>
      <c r="AH156" s="7"/>
      <c r="AI156" s="7"/>
      <c r="AJ156" s="7"/>
      <c r="AK156" s="7"/>
      <c r="AL156" s="7"/>
      <c r="AM156" s="7"/>
      <c r="AN156" s="15">
        <f t="shared" si="114"/>
        <v>0</v>
      </c>
      <c r="AO156" s="6">
        <v>7.0217798966479852E-2</v>
      </c>
      <c r="AP156" s="11">
        <f t="shared" si="115"/>
        <v>0.57599290300695194</v>
      </c>
      <c r="AQ156" s="11">
        <f t="shared" si="116"/>
        <v>0.71622154945809446</v>
      </c>
      <c r="AR156" s="3">
        <f>VLOOKUP(A156,[10]Sheet1!$A$2:$L$542,12,FALSE)</f>
        <v>3.1779493345128098</v>
      </c>
      <c r="AS156" s="3">
        <f t="shared" si="124"/>
        <v>3.1704616561776993</v>
      </c>
      <c r="AT156" s="3">
        <f t="shared" si="125"/>
        <v>3.1648227202016628</v>
      </c>
      <c r="AU156" s="3">
        <f t="shared" si="117"/>
        <v>5.6389359760364854E-3</v>
      </c>
      <c r="AV156" s="88">
        <f t="shared" si="126"/>
        <v>0.12195668121765724</v>
      </c>
      <c r="AW156" s="32">
        <f t="shared" si="127"/>
        <v>3.6687952057383698E-2</v>
      </c>
      <c r="AX156" s="12">
        <f t="shared" si="118"/>
        <v>949.26023833545582</v>
      </c>
      <c r="AY156" s="12">
        <f t="shared" si="119"/>
        <v>1178.2634987310789</v>
      </c>
      <c r="AZ156" s="3">
        <f>VLOOKUP(A156,[5]Analysis!$A$3:$BJ$543,62,FALSE)</f>
        <v>1.213769511872818</v>
      </c>
      <c r="BA156" s="2"/>
      <c r="BB156" s="2"/>
      <c r="BC156" s="2" t="str">
        <f>VLOOKUP(A156,'[6]FGD status - Jun 2020'!$I$2:$M$449,5,FALSE)</f>
        <v>Bid opened</v>
      </c>
      <c r="BD156" s="2"/>
      <c r="BE156" s="2"/>
      <c r="BF156" s="2">
        <f t="shared" si="120"/>
        <v>681.02429885610104</v>
      </c>
      <c r="BG156" s="2">
        <f t="shared" si="121"/>
        <v>830.23410907547839</v>
      </c>
      <c r="BH156" s="2"/>
      <c r="BI156" s="2"/>
      <c r="BK156">
        <f t="shared" si="122"/>
        <v>341.78946998058376</v>
      </c>
      <c r="BP156" s="2" t="str">
        <f>VLOOKUP(A156,'[7]Table 2'!$J$2:$N$449,5,FALSE)</f>
        <v>Bid Awarded</v>
      </c>
      <c r="BR156">
        <f t="shared" si="128"/>
        <v>1020.5561091036625</v>
      </c>
      <c r="BS156">
        <f t="shared" si="129"/>
        <v>1244.1560358806651</v>
      </c>
      <c r="BT156">
        <f>(X156*I156*365*[5]Analysis!BK156)/10^4</f>
        <v>441.45181989380114</v>
      </c>
      <c r="BU156">
        <f>(W156*R156*365*[5]Analysis!BK156)/10^4</f>
        <v>538.17221941257196</v>
      </c>
      <c r="BV156">
        <f>(X156*I156*365*[5]Analysis!BL156)/10^4</f>
        <v>579.10428920986135</v>
      </c>
      <c r="BW156">
        <f>(W156*R156*365*[5]Analysis!BL156)/10^4</f>
        <v>705.98381646809321</v>
      </c>
      <c r="BX156">
        <f t="shared" si="130"/>
        <v>2361193.9580454286</v>
      </c>
      <c r="BY156">
        <f t="shared" si="131"/>
        <v>2878522.4923765389</v>
      </c>
      <c r="BZ156">
        <f t="shared" si="132"/>
        <v>18825576.868645668</v>
      </c>
      <c r="CA156">
        <f t="shared" si="133"/>
        <v>23408767.30236575</v>
      </c>
      <c r="CB156">
        <f t="shared" si="134"/>
        <v>-604714.74080240319</v>
      </c>
      <c r="CC156">
        <f t="shared" si="135"/>
        <v>-934998.80999999994</v>
      </c>
      <c r="CD156">
        <f t="shared" si="136"/>
        <v>0</v>
      </c>
      <c r="CE156">
        <f t="shared" si="137"/>
        <v>0</v>
      </c>
      <c r="CF156">
        <f t="shared" si="138"/>
        <v>5346217.5702789742</v>
      </c>
      <c r="CG156">
        <f t="shared" si="139"/>
        <v>6647783.7000000002</v>
      </c>
      <c r="CH156">
        <f t="shared" si="140"/>
        <v>314461.12372705364</v>
      </c>
      <c r="CI156">
        <f t="shared" si="141"/>
        <v>391018.41724845965</v>
      </c>
      <c r="CJ156">
        <f t="shared" si="142"/>
        <v>-2468676.9837757605</v>
      </c>
      <c r="CK156">
        <f t="shared" si="143"/>
        <v>-3069690.0000000005</v>
      </c>
      <c r="CL156">
        <f t="shared" si="144"/>
        <v>1628357.2804883854</v>
      </c>
      <c r="CM156">
        <f t="shared" si="145"/>
        <v>2024789.8340662092</v>
      </c>
    </row>
    <row r="157" spans="1:91" x14ac:dyDescent="0.2">
      <c r="A157" s="2" t="s">
        <v>167</v>
      </c>
      <c r="B157" s="2" t="str">
        <f t="shared" si="149"/>
        <v>INDIRA GANDHI STPP</v>
      </c>
      <c r="C157" s="2" t="str">
        <f>VLOOKUP($A157,'[1]daily coal, energy reqd'!$C$2:$T$599,17,FALSE)</f>
        <v>Haryana</v>
      </c>
      <c r="D157" s="2" t="str">
        <f>VLOOKUP(C157,'Target PLF'!$I$2:$J$19,2,FALSE)</f>
        <v>NR</v>
      </c>
      <c r="E157" s="2" t="str">
        <f>VLOOKUP(A157,[2]Ownership!$C$2:$D$666,2,FALSE)</f>
        <v>CENTRAL SECTOR</v>
      </c>
      <c r="F157" s="2" t="s">
        <v>543</v>
      </c>
      <c r="G157" s="12">
        <v>9.5906913073237501</v>
      </c>
      <c r="H157" s="2">
        <v>500</v>
      </c>
      <c r="I157" s="2">
        <f>VLOOKUP(A157,'[3]Calculated coal req (reg.)'!$A$2:$I$599,9,FALSE)</f>
        <v>5.1840134346235498</v>
      </c>
      <c r="J157" s="2"/>
      <c r="K157" s="11">
        <v>0.43200111955196252</v>
      </c>
      <c r="L157" s="3">
        <f>VLOOKUP(F157,'Target PLF'!$A$2:$B$11,2,FALSE)</f>
        <v>0.85</v>
      </c>
      <c r="M157" s="3">
        <f t="shared" si="123"/>
        <v>0.41799888044803746</v>
      </c>
      <c r="N157" s="2" t="str">
        <f t="shared" si="102"/>
        <v>0.15</v>
      </c>
      <c r="O157" s="2">
        <f t="shared" si="98"/>
        <v>7.1599687738218005</v>
      </c>
      <c r="P157" s="2">
        <f t="shared" si="103"/>
        <v>1306694.3012224787</v>
      </c>
      <c r="Q157" s="2">
        <f t="shared" si="104"/>
        <v>12.975712597159481</v>
      </c>
      <c r="R157" s="2">
        <f t="shared" si="105"/>
        <v>10.199999999999999</v>
      </c>
      <c r="S157" s="2">
        <f t="shared" si="106"/>
        <v>2368067.5489816056</v>
      </c>
      <c r="T157" s="2" t="str">
        <f>VLOOKUP(A157,'[4]CEA vs MERIT comp. &amp; NPA marker'!$C$2:$K$735,9,FALSE)</f>
        <v>Contracted</v>
      </c>
      <c r="U157" s="3">
        <f>VLOOKUP(B157,'[8]Import-Domestic share'!$A$208:$F$406,6,FALSE)</f>
        <v>4.6404866790173083E-2</v>
      </c>
      <c r="V157" s="3">
        <f t="shared" si="107"/>
        <v>60636.974983707427</v>
      </c>
      <c r="W157" s="2">
        <f t="shared" si="108"/>
        <v>2757.6955988742839</v>
      </c>
      <c r="X157" s="2">
        <f t="shared" si="109"/>
        <v>2895.8739903826481</v>
      </c>
      <c r="Y157" s="6">
        <f t="shared" si="110"/>
        <v>0.31185457900105429</v>
      </c>
      <c r="Z157" s="2">
        <f t="shared" si="111"/>
        <v>2175440.1478425805</v>
      </c>
      <c r="AA157" s="2">
        <f t="shared" si="112"/>
        <v>1161037.9623225159</v>
      </c>
      <c r="AB157" s="2" t="s">
        <v>598</v>
      </c>
      <c r="AC157" s="12">
        <f>VLOOKUP(B157,[9]Sheet1!$A$2:$B$137,2,FALSE)</f>
        <v>4719.459059717552</v>
      </c>
      <c r="AD157" s="12">
        <f t="shared" si="113"/>
        <v>2359729.5298587759</v>
      </c>
      <c r="AE157" s="2"/>
      <c r="AF157" s="7">
        <f>VLOOKUP($B157,'[9]Subsidiary wise dispatch'!$A$3:$R$138,11,FALSE)*$H157*$O157*365</f>
        <v>0</v>
      </c>
      <c r="AG157" s="7">
        <f>VLOOKUP($B157,'[9]Subsidiary wise dispatch'!$A$3:$R$138,12,FALSE)*$H157*$O157*365</f>
        <v>545220.50938471453</v>
      </c>
      <c r="AH157" s="7">
        <f>VLOOKUP($B157,'[9]Subsidiary wise dispatch'!$A$3:$R$138,13,FALSE)*$H157*$O157*365</f>
        <v>279841.15635783388</v>
      </c>
      <c r="AI157" s="7">
        <f>VLOOKUP($B157,'[9]Subsidiary wise dispatch'!$A$3:$R$138,14,FALSE)*$H157*$O157*365</f>
        <v>0</v>
      </c>
      <c r="AJ157" s="7">
        <f>VLOOKUP($B157,'[9]Subsidiary wise dispatch'!$A$3:$R$138,15,FALSE)*$H157*$O157*365</f>
        <v>481632.63547993021</v>
      </c>
      <c r="AK157" s="7">
        <f>VLOOKUP($B157,'[9]Subsidiary wise dispatch'!$A$3:$R$138,16,FALSE)*$H157*$O157*365</f>
        <v>0</v>
      </c>
      <c r="AL157" s="7">
        <f>VLOOKUP($B157,'[9]Subsidiary wise dispatch'!$A$3:$R$138,17,FALSE)*$H157*$O157*365</f>
        <v>0</v>
      </c>
      <c r="AM157" s="7">
        <f>VLOOKUP($B157,'[9]Subsidiary wise dispatch'!$A$3:$R$138,18,FALSE)*$H157*$O157*365</f>
        <v>0</v>
      </c>
      <c r="AN157" s="15">
        <f t="shared" si="114"/>
        <v>1306694.3012224785</v>
      </c>
      <c r="AO157" s="6">
        <v>6.5600274643046297E-2</v>
      </c>
      <c r="AP157" s="11">
        <f t="shared" si="115"/>
        <v>0.34007270506454662</v>
      </c>
      <c r="AQ157" s="11">
        <f t="shared" si="116"/>
        <v>0.66912280135907221</v>
      </c>
      <c r="AR157" s="3">
        <f>VLOOKUP(A157,[10]Sheet1!$A$2:$L$542,12,FALSE)</f>
        <v>3.40206647723695</v>
      </c>
      <c r="AS157" s="3">
        <f t="shared" si="124"/>
        <v>2.8750082228735314</v>
      </c>
      <c r="AT157" s="3">
        <f t="shared" si="125"/>
        <v>2.8608449377439245</v>
      </c>
      <c r="AU157" s="3">
        <f t="shared" si="117"/>
        <v>1.4163285129606962E-2</v>
      </c>
      <c r="AV157" s="88">
        <f t="shared" si="126"/>
        <v>0.30631793956993081</v>
      </c>
      <c r="AW157" s="32">
        <f t="shared" si="127"/>
        <v>0.10161871959737188</v>
      </c>
      <c r="AX157" s="12">
        <f t="shared" si="118"/>
        <v>543.99896569907901</v>
      </c>
      <c r="AY157" s="12">
        <f t="shared" si="119"/>
        <v>1065.092570322063</v>
      </c>
      <c r="AZ157" s="3">
        <f>VLOOKUP(A157,[5]Analysis!$A$3:$BJ$543,62,FALSE)</f>
        <v>1.0423810757152483</v>
      </c>
      <c r="BA157" s="2"/>
      <c r="BB157" s="2"/>
      <c r="BC157" s="2" t="str">
        <f>VLOOKUP(A157,'[6]FGD status - Jun 2020'!$I$2:$M$449,5,FALSE)</f>
        <v>Bid Awarded</v>
      </c>
      <c r="BD157" s="2"/>
      <c r="BE157" s="2"/>
      <c r="BF157" s="2">
        <f t="shared" si="120"/>
        <v>370.84954997772752</v>
      </c>
      <c r="BG157" s="2">
        <f t="shared" si="121"/>
        <v>694.8618615510851</v>
      </c>
      <c r="BH157" s="2"/>
      <c r="BI157" s="2"/>
      <c r="BK157">
        <f t="shared" si="122"/>
        <v>216.00055977598126</v>
      </c>
      <c r="BL157">
        <f>VLOOKUP(A157,'[11]Daily coal vs energy req.2'!$C$2:$P$599,14,FALSE)</f>
        <v>1.1599999999999999</v>
      </c>
      <c r="BM157">
        <f>VLOOKUP(A157,'[11]Daily coal vs energy req.2'!$C$2:$R$599,16,FALSE)</f>
        <v>0.56000000000000005</v>
      </c>
      <c r="BN157">
        <f>BL157*H157</f>
        <v>580</v>
      </c>
      <c r="BO157">
        <f>BM157*H157</f>
        <v>280</v>
      </c>
      <c r="BP157" s="2" t="str">
        <f>VLOOKUP(A157,'[7]Table 2'!$J$2:$N$449,5,FALSE)</f>
        <v>Bid Awarded</v>
      </c>
      <c r="BR157">
        <f t="shared" si="128"/>
        <v>571.16970107973123</v>
      </c>
      <c r="BS157">
        <f t="shared" si="129"/>
        <v>1070.2023011155738</v>
      </c>
      <c r="BT157">
        <f>(X157*I157*365*[5]Analysis!BK157)/10^4</f>
        <v>262.28844676546606</v>
      </c>
      <c r="BU157">
        <f>(W157*R157*365*[5]Analysis!BK157)/10^4</f>
        <v>491.4506122327511</v>
      </c>
      <c r="BV157">
        <f>(X157*I157*365*[5]Analysis!BL157)/10^4</f>
        <v>308.88125431426522</v>
      </c>
      <c r="BW157">
        <f>(W157*R157*365*[5]Analysis!BL157)/10^4</f>
        <v>578.75168888282246</v>
      </c>
      <c r="BX157">
        <f t="shared" si="130"/>
        <v>1538755.5912898569</v>
      </c>
      <c r="BY157">
        <f t="shared" si="131"/>
        <v>2883170.7486230633</v>
      </c>
      <c r="BZ157">
        <f t="shared" si="132"/>
        <v>10217267.994192714</v>
      </c>
      <c r="CA157">
        <f t="shared" si="133"/>
        <v>20103368.722911805</v>
      </c>
      <c r="CB157">
        <f t="shared" si="134"/>
        <v>-241514.35617483492</v>
      </c>
      <c r="CC157">
        <f t="shared" si="135"/>
        <v>-934998.80999999994</v>
      </c>
      <c r="CD157">
        <f t="shared" si="136"/>
        <v>0</v>
      </c>
      <c r="CE157">
        <f t="shared" si="137"/>
        <v>0</v>
      </c>
      <c r="CF157">
        <f t="shared" si="138"/>
        <v>3378647.0599285737</v>
      </c>
      <c r="CG157">
        <f t="shared" si="139"/>
        <v>6647783.7000000002</v>
      </c>
      <c r="CH157">
        <f t="shared" si="140"/>
        <v>368138.94935188303</v>
      </c>
      <c r="CI157">
        <f t="shared" si="141"/>
        <v>724345.59260780271</v>
      </c>
      <c r="CJ157">
        <f t="shared" si="142"/>
        <v>-1560128.8431499575</v>
      </c>
      <c r="CK157">
        <f t="shared" si="143"/>
        <v>-3069690.0000000005</v>
      </c>
      <c r="CL157">
        <f t="shared" si="144"/>
        <v>961400.50041649595</v>
      </c>
      <c r="CM157">
        <f t="shared" si="145"/>
        <v>1891639.6008453567</v>
      </c>
    </row>
    <row r="158" spans="1:91" x14ac:dyDescent="0.2">
      <c r="A158" s="2" t="s">
        <v>170</v>
      </c>
      <c r="B158" s="2" t="str">
        <f t="shared" si="149"/>
        <v>DADRI (NCTPP)</v>
      </c>
      <c r="C158" s="2" t="str">
        <f>VLOOKUP($A158,'[1]daily coal, energy reqd'!$C$2:$T$599,17,FALSE)</f>
        <v>Uttar Pradesh</v>
      </c>
      <c r="D158" s="2" t="str">
        <f>VLOOKUP(C158,'Target PLF'!$I$2:$J$19,2,FALSE)</f>
        <v>NR</v>
      </c>
      <c r="E158" s="2" t="str">
        <f>VLOOKUP(A158,[2]Ownership!$C$2:$D$666,2,FALSE)</f>
        <v>CENTRAL SECTOR</v>
      </c>
      <c r="F158" s="2" t="s">
        <v>543</v>
      </c>
      <c r="G158" s="12">
        <v>9.8425735797399003</v>
      </c>
      <c r="H158" s="2">
        <v>490</v>
      </c>
      <c r="I158" s="2">
        <f>VLOOKUP(A158,'[3]Calculated coal req (reg.)'!$A$2:$I$599,9,FALSE)</f>
        <v>6.9284068507592496</v>
      </c>
      <c r="J158" s="2"/>
      <c r="K158" s="11">
        <v>0.58915024241150082</v>
      </c>
      <c r="L158" s="3">
        <f>VLOOKUP(F158,'Target PLF'!$A$2:$B$11,2,FALSE)</f>
        <v>0.85</v>
      </c>
      <c r="M158" s="3">
        <f t="shared" si="123"/>
        <v>0.26084975758849915</v>
      </c>
      <c r="N158" s="2" t="str">
        <f t="shared" si="102"/>
        <v>0.15</v>
      </c>
      <c r="O158" s="2">
        <f t="shared" si="98"/>
        <v>9.4064890358821955</v>
      </c>
      <c r="P158" s="2">
        <f t="shared" si="103"/>
        <v>1682350.5640675309</v>
      </c>
      <c r="Q158" s="2">
        <f t="shared" si="104"/>
        <v>13.035769968138261</v>
      </c>
      <c r="R158" s="2">
        <f t="shared" si="105"/>
        <v>9.9960000000000004</v>
      </c>
      <c r="S158" s="2">
        <f t="shared" si="106"/>
        <v>2331447.458801528</v>
      </c>
      <c r="T158" s="2" t="str">
        <f>VLOOKUP(A158,'[4]CEA vs MERIT comp. &amp; NPA marker'!$C$2:$K$735,9,FALSE)</f>
        <v>Contracted</v>
      </c>
      <c r="U158" s="3">
        <f>VLOOKUP(B158,'[8]Import-Domestic share'!$A$208:$F$406,6,FALSE)</f>
        <v>2.2633605042873307E-2</v>
      </c>
      <c r="V158" s="3">
        <f t="shared" si="107"/>
        <v>38077.658210759619</v>
      </c>
      <c r="W158" s="2">
        <f t="shared" si="108"/>
        <v>2763.5181736163295</v>
      </c>
      <c r="X158" s="2">
        <f t="shared" si="109"/>
        <v>2849.7475910020685</v>
      </c>
      <c r="Y158" s="6">
        <f t="shared" si="110"/>
        <v>0.31119751923853184</v>
      </c>
      <c r="Z158" s="2">
        <f t="shared" si="111"/>
        <v>2136108.938932525</v>
      </c>
      <c r="AA158" s="2">
        <f t="shared" si="112"/>
        <v>1526773.4623704804</v>
      </c>
      <c r="AB158" s="2" t="s">
        <v>598</v>
      </c>
      <c r="AC158" s="12">
        <f>VLOOKUP(B158,[9]Sheet1!$A$2:$B$137,2,FALSE)</f>
        <v>4720.1743382080467</v>
      </c>
      <c r="AD158" s="12">
        <f t="shared" si="113"/>
        <v>2312885.4257219429</v>
      </c>
      <c r="AE158" s="2"/>
      <c r="AF158" s="7">
        <f>VLOOKUP($B158,'[9]Subsidiary wise dispatch'!$A$3:$R$138,11,FALSE)*$H158*$O158*365</f>
        <v>359435.04813805065</v>
      </c>
      <c r="AG158" s="7">
        <f>VLOOKUP($B158,'[9]Subsidiary wise dispatch'!$A$3:$R$138,12,FALSE)*$H158*$O158*365</f>
        <v>798902.12665342935</v>
      </c>
      <c r="AH158" s="7">
        <f>VLOOKUP($B158,'[9]Subsidiary wise dispatch'!$A$3:$R$138,13,FALSE)*$H158*$O158*365</f>
        <v>497214.59122906969</v>
      </c>
      <c r="AI158" s="7">
        <f>VLOOKUP($B158,'[9]Subsidiary wise dispatch'!$A$3:$R$138,14,FALSE)*$H158*$O158*365</f>
        <v>0</v>
      </c>
      <c r="AJ158" s="7">
        <f>VLOOKUP($B158,'[9]Subsidiary wise dispatch'!$A$3:$R$138,15,FALSE)*$H158*$O158*365</f>
        <v>26798.798046981108</v>
      </c>
      <c r="AK158" s="7">
        <f>VLOOKUP($B158,'[9]Subsidiary wise dispatch'!$A$3:$R$138,16,FALSE)*$H158*$O158*365</f>
        <v>0</v>
      </c>
      <c r="AL158" s="7">
        <f>VLOOKUP($B158,'[9]Subsidiary wise dispatch'!$A$3:$R$138,17,FALSE)*$H158*$O158*365</f>
        <v>0</v>
      </c>
      <c r="AM158" s="7">
        <f>VLOOKUP($B158,'[9]Subsidiary wise dispatch'!$A$3:$R$138,18,FALSE)*$H158*$O158*365</f>
        <v>0</v>
      </c>
      <c r="AN158" s="15">
        <f t="shared" si="114"/>
        <v>1682350.5640675309</v>
      </c>
      <c r="AO158" s="6">
        <v>6.6665772632952203E-2</v>
      </c>
      <c r="AP158" s="11">
        <f t="shared" si="115"/>
        <v>0.46188759582130451</v>
      </c>
      <c r="AQ158" s="11">
        <f t="shared" si="116"/>
        <v>0.66639106323899022</v>
      </c>
      <c r="AR158" s="3">
        <f>VLOOKUP(A158,[10]Sheet1!$A$2:$L$542,12,FALSE)</f>
        <v>3.4837512968941802</v>
      </c>
      <c r="AS158" s="3">
        <f t="shared" si="124"/>
        <v>2.9416851103589612</v>
      </c>
      <c r="AT158" s="3">
        <f t="shared" si="125"/>
        <v>2.9328465950769229</v>
      </c>
      <c r="AU158" s="3">
        <f t="shared" si="117"/>
        <v>8.8385152820382729E-3</v>
      </c>
      <c r="AV158" s="88">
        <f t="shared" si="126"/>
        <v>0.19115591935600396</v>
      </c>
      <c r="AW158" s="32">
        <f t="shared" si="127"/>
        <v>6.1977199201894956E-2</v>
      </c>
      <c r="AX158" s="12">
        <f t="shared" si="118"/>
        <v>743.91348140564401</v>
      </c>
      <c r="AY158" s="12">
        <f t="shared" si="119"/>
        <v>1070.0608116001956</v>
      </c>
      <c r="AZ158" s="3">
        <f>VLOOKUP(A158,[5]Analysis!$A$3:$BJ$543,62,FALSE)</f>
        <v>1.0743829011139359</v>
      </c>
      <c r="BA158" s="2"/>
      <c r="BB158" s="2"/>
      <c r="BC158" s="2" t="str">
        <f>VLOOKUP(A158,'[6]FGD status - Jun 2020'!$I$2:$M$449,5,FALSE)</f>
        <v>Bid Awarded</v>
      </c>
      <c r="BD158" s="2"/>
      <c r="BE158" s="2"/>
      <c r="BF158" s="2">
        <f t="shared" si="120"/>
        <v>479.91763098161681</v>
      </c>
      <c r="BG158" s="2">
        <f t="shared" si="121"/>
        <v>671.45281651639846</v>
      </c>
      <c r="BH158" s="2"/>
      <c r="BI158" s="2"/>
      <c r="BK158">
        <f t="shared" si="122"/>
        <v>288.6836187816354</v>
      </c>
      <c r="BL158">
        <f>VLOOKUP(A158,'[11]Daily coal vs energy req.2'!$C$2:$P$599,14,FALSE)</f>
        <v>1.01</v>
      </c>
      <c r="BM158">
        <f>VLOOKUP(A158,'[11]Daily coal vs energy req.2'!$C$2:$R$599,16,FALSE)</f>
        <v>0.56999999999999995</v>
      </c>
      <c r="BN158">
        <f>BL158*H158</f>
        <v>494.9</v>
      </c>
      <c r="BO158">
        <f>BM158*H158</f>
        <v>279.29999999999995</v>
      </c>
      <c r="BP158" s="2" t="str">
        <f>VLOOKUP(A158,'[7]Table 2'!$J$2:$N$449,5,FALSE)</f>
        <v>Bid Awarded</v>
      </c>
      <c r="BR158">
        <f t="shared" si="128"/>
        <v>774.26874785245968</v>
      </c>
      <c r="BS158">
        <f t="shared" si="129"/>
        <v>1083.2795003234071</v>
      </c>
      <c r="BT158">
        <f>(X158*I158*365*[5]Analysis!BK158)/10^4</f>
        <v>356.00673088563832</v>
      </c>
      <c r="BU158">
        <f>(W158*R158*365*[5]Analysis!BK158)/10^4</f>
        <v>498.08906095619938</v>
      </c>
      <c r="BV158">
        <f>(X158*I158*365*[5]Analysis!BL158)/10^4</f>
        <v>418.26201696682142</v>
      </c>
      <c r="BW158">
        <f>(W158*R158*365*[5]Analysis!BL158)/10^4</f>
        <v>585.19043936720777</v>
      </c>
      <c r="BX158">
        <f t="shared" si="130"/>
        <v>2023781.6000744235</v>
      </c>
      <c r="BY158">
        <f t="shared" si="131"/>
        <v>2831473.0855055549</v>
      </c>
      <c r="BZ158">
        <f t="shared" si="132"/>
        <v>14074553.254121125</v>
      </c>
      <c r="CA158">
        <f t="shared" si="133"/>
        <v>20306145.028532401</v>
      </c>
      <c r="CB158">
        <f t="shared" si="134"/>
        <v>-440201.38417585689</v>
      </c>
      <c r="CC158">
        <f t="shared" si="135"/>
        <v>-916298.83380000002</v>
      </c>
      <c r="CD158">
        <f t="shared" si="136"/>
        <v>0</v>
      </c>
      <c r="CE158">
        <f t="shared" si="137"/>
        <v>0</v>
      </c>
      <c r="CF158">
        <f t="shared" si="138"/>
        <v>4515544.1303378111</v>
      </c>
      <c r="CG158">
        <f t="shared" si="139"/>
        <v>6514828.0260000005</v>
      </c>
      <c r="CH158">
        <f t="shared" si="140"/>
        <v>504937.69131437759</v>
      </c>
      <c r="CI158">
        <f t="shared" si="141"/>
        <v>728501.84336755611</v>
      </c>
      <c r="CJ158">
        <f t="shared" si="142"/>
        <v>-2043401.9609012762</v>
      </c>
      <c r="CK158">
        <f t="shared" si="143"/>
        <v>-2948130.2760000001</v>
      </c>
      <c r="CL158">
        <f t="shared" si="144"/>
        <v>1305776.5564410442</v>
      </c>
      <c r="CM158">
        <f t="shared" si="145"/>
        <v>1883916.8569834079</v>
      </c>
    </row>
    <row r="159" spans="1:91" x14ac:dyDescent="0.2">
      <c r="A159" s="2" t="s">
        <v>172</v>
      </c>
      <c r="B159" s="2" t="str">
        <f t="shared" si="149"/>
        <v>DR. N TATA RAO TPS</v>
      </c>
      <c r="C159" s="2" t="str">
        <f>VLOOKUP($A159,'[1]daily coal, energy reqd'!$C$2:$T$599,17,FALSE)</f>
        <v>Andhra Pradesh</v>
      </c>
      <c r="D159" s="2" t="str">
        <f>VLOOKUP(C159,'Target PLF'!$I$2:$J$19,2,FALSE)</f>
        <v>SR</v>
      </c>
      <c r="E159" s="2" t="str">
        <f>VLOOKUP(A159,[2]Ownership!$C$2:$D$666,2,FALSE)</f>
        <v>STATE SECTOR</v>
      </c>
      <c r="F159" s="2" t="s">
        <v>544</v>
      </c>
      <c r="G159" s="12">
        <v>10.590006844626901</v>
      </c>
      <c r="H159" s="2">
        <v>500</v>
      </c>
      <c r="I159" s="2">
        <f>VLOOKUP(A159,'[3]Calculated coal req (reg.)'!$A$2:$I$599,9,FALSE)</f>
        <v>8.6369523220031095</v>
      </c>
      <c r="J159" s="2"/>
      <c r="K159" s="11">
        <v>0.71974602683359246</v>
      </c>
      <c r="L159" s="3">
        <f>VLOOKUP(F159,'Target PLF'!$A$2:$B$11,2,FALSE)</f>
        <v>0.8</v>
      </c>
      <c r="M159" s="3">
        <f t="shared" si="123"/>
        <v>8.0253973166407588E-2</v>
      </c>
      <c r="N159" s="2" t="str">
        <f t="shared" si="102"/>
        <v>0.15</v>
      </c>
      <c r="O159" s="2">
        <f t="shared" si="98"/>
        <v>11.19510331194738</v>
      </c>
      <c r="P159" s="2">
        <f t="shared" si="103"/>
        <v>2043106.3544303968</v>
      </c>
      <c r="Q159" s="2">
        <f t="shared" si="104"/>
        <v>13.007365916803558</v>
      </c>
      <c r="R159" s="2">
        <f t="shared" si="105"/>
        <v>9.6</v>
      </c>
      <c r="S159" s="2">
        <f t="shared" si="106"/>
        <v>2234206.3810039051</v>
      </c>
      <c r="T159" s="2" t="str">
        <f>VLOOKUP(A159,'[4]CEA vs MERIT comp. &amp; NPA marker'!$C$2:$K$735,9,FALSE)</f>
        <v>Contracted</v>
      </c>
      <c r="U159" s="3">
        <f>VLOOKUP(B159,'[8]Import-Domestic share'!$A$208:$F$406,6,FALSE)</f>
        <v>0</v>
      </c>
      <c r="V159" s="3">
        <f t="shared" si="107"/>
        <v>0</v>
      </c>
      <c r="W159" s="2">
        <f t="shared" si="108"/>
        <v>2771.397229126625</v>
      </c>
      <c r="X159" s="2">
        <f t="shared" si="109"/>
        <v>2797.9268813410122</v>
      </c>
      <c r="Y159" s="6">
        <f t="shared" si="110"/>
        <v>0.31031278770204279</v>
      </c>
      <c r="Z159" s="2">
        <f t="shared" si="111"/>
        <v>2719537.1619049003</v>
      </c>
      <c r="AA159" s="2">
        <f t="shared" si="112"/>
        <v>2470141.711144702</v>
      </c>
      <c r="AB159" s="2" t="s">
        <v>598</v>
      </c>
      <c r="AC159" s="12">
        <f>VLOOKUP(B159,[9]Sheet1!$A$2:$B$137,2,FALSE)</f>
        <v>3570.8193390001843</v>
      </c>
      <c r="AD159" s="12">
        <f t="shared" si="113"/>
        <v>1785409.669500092</v>
      </c>
      <c r="AE159" s="2"/>
      <c r="AF159" s="7">
        <f>VLOOKUP($B159,'[9]Subsidiary wise dispatch'!$A$3:$R$138,11,FALSE)*$H159*$O159*365</f>
        <v>0</v>
      </c>
      <c r="AG159" s="7">
        <f>VLOOKUP($B159,'[9]Subsidiary wise dispatch'!$A$3:$R$138,12,FALSE)*$H159*$O159*365</f>
        <v>0</v>
      </c>
      <c r="AH159" s="7">
        <f>VLOOKUP($B159,'[9]Subsidiary wise dispatch'!$A$3:$R$138,13,FALSE)*$H159*$O159*365</f>
        <v>0</v>
      </c>
      <c r="AI159" s="7">
        <f>VLOOKUP($B159,'[9]Subsidiary wise dispatch'!$A$3:$R$138,14,FALSE)*$H159*$O159*365</f>
        <v>2043106.3544303968</v>
      </c>
      <c r="AJ159" s="7">
        <f>VLOOKUP($B159,'[9]Subsidiary wise dispatch'!$A$3:$R$138,15,FALSE)*$H159*$O159*365</f>
        <v>0</v>
      </c>
      <c r="AK159" s="7">
        <f>VLOOKUP($B159,'[9]Subsidiary wise dispatch'!$A$3:$R$138,16,FALSE)*$H159*$O159*365</f>
        <v>0</v>
      </c>
      <c r="AL159" s="7">
        <f>VLOOKUP($B159,'[9]Subsidiary wise dispatch'!$A$3:$R$138,17,FALSE)*$H159*$O159*365</f>
        <v>0</v>
      </c>
      <c r="AM159" s="7">
        <f>VLOOKUP($B159,'[9]Subsidiary wise dispatch'!$A$3:$R$138,18,FALSE)*$H159*$O159*365</f>
        <v>0</v>
      </c>
      <c r="AN159" s="15">
        <f t="shared" si="114"/>
        <v>2043106.3544303968</v>
      </c>
      <c r="AO159" s="6">
        <v>8.8971276393347468E-2</v>
      </c>
      <c r="AP159" s="11">
        <f t="shared" si="115"/>
        <v>0.76844067223710288</v>
      </c>
      <c r="AQ159" s="11">
        <f t="shared" si="116"/>
        <v>0.85412425337613562</v>
      </c>
      <c r="AR159" s="3">
        <f>VLOOKUP(A159,[10]Sheet1!$A$2:$L$542,12,FALSE)</f>
        <v>2.77143640350877</v>
      </c>
      <c r="AS159" s="3">
        <f t="shared" si="124"/>
        <v>2.9481534124607776</v>
      </c>
      <c r="AT159" s="3">
        <f t="shared" si="125"/>
        <v>2.9454341231088024</v>
      </c>
      <c r="AU159" s="3">
        <f t="shared" si="117"/>
        <v>2.7192893519751848E-3</v>
      </c>
      <c r="AV159" s="88">
        <f t="shared" si="126"/>
        <v>5.8811716615806808E-2</v>
      </c>
      <c r="AW159" s="32">
        <f t="shared" si="127"/>
        <v>1.9026291856709097E-2</v>
      </c>
      <c r="AX159" s="12">
        <f t="shared" si="118"/>
        <v>929.40170684016937</v>
      </c>
      <c r="AY159" s="12">
        <f t="shared" si="119"/>
        <v>1032.0801167373243</v>
      </c>
      <c r="AZ159" s="3">
        <f>VLOOKUP(A159,[5]Analysis!$A$3:$BJ$543,62,FALSE)</f>
        <v>1.047518881492147</v>
      </c>
      <c r="BA159" s="2"/>
      <c r="BB159" s="2"/>
      <c r="BC159" s="2" t="str">
        <f>VLOOKUP(A159,'[6]FGD status - Jun 2020'!$I$2:$M$449,5,FALSE)</f>
        <v>Feasibility Study started</v>
      </c>
      <c r="BD159" s="2"/>
      <c r="BE159" s="2"/>
      <c r="BF159" s="2">
        <f t="shared" si="120"/>
        <v>764.5088595992853</v>
      </c>
      <c r="BG159" s="2">
        <f t="shared" si="121"/>
        <v>841.69675160956672</v>
      </c>
      <c r="BH159" s="2"/>
      <c r="BI159" s="2"/>
      <c r="BK159">
        <f t="shared" si="122"/>
        <v>359.87301341679625</v>
      </c>
      <c r="BL159">
        <f>VLOOKUP(A159,'[11]Daily coal vs energy req.2'!$C$2:$P$599,14,FALSE)</f>
        <v>0.8</v>
      </c>
      <c r="BM159">
        <f>VLOOKUP(A159,'[11]Daily coal vs energy req.2'!$C$2:$R$599,16,FALSE)</f>
        <v>0.84</v>
      </c>
      <c r="BN159">
        <f>BL159*H159</f>
        <v>400</v>
      </c>
      <c r="BO159">
        <f>BM159*H159</f>
        <v>420</v>
      </c>
      <c r="BP159" s="2" t="str">
        <f>VLOOKUP(A159,'[7]Table 2'!$J$2:$N$449,5,FALSE)</f>
        <v>Feasibility Study completed</v>
      </c>
      <c r="BR159">
        <f t="shared" si="128"/>
        <v>923.9566750233123</v>
      </c>
      <c r="BS159">
        <f t="shared" si="129"/>
        <v>1017.2430603390552</v>
      </c>
      <c r="BT159">
        <f>(X159*I159*365*[5]Analysis!BK159)/10^4</f>
        <v>354.80638307503909</v>
      </c>
      <c r="BU159">
        <f>(W159*R159*365*[5]Analysis!BK159)/10^4</f>
        <v>390.62906379022314</v>
      </c>
      <c r="BV159">
        <f>(X159*I159*365*[5]Analysis!BL159)/10^4</f>
        <v>569.15029194827309</v>
      </c>
      <c r="BW159">
        <f>(W159*R159*365*[5]Analysis!BL159)/10^4</f>
        <v>626.61399654883201</v>
      </c>
      <c r="BX159">
        <f t="shared" si="130"/>
        <v>2476970.0101458002</v>
      </c>
      <c r="BY159">
        <f t="shared" si="131"/>
        <v>2727054.8734605988</v>
      </c>
      <c r="BZ159">
        <f t="shared" si="132"/>
        <v>17106632.687697507</v>
      </c>
      <c r="CA159">
        <f t="shared" si="133"/>
        <v>19014076.688084438</v>
      </c>
      <c r="CB159">
        <f t="shared" si="134"/>
        <v>-670396.53201051324</v>
      </c>
      <c r="CC159">
        <f t="shared" si="135"/>
        <v>-828234.23999999999</v>
      </c>
      <c r="CD159">
        <f t="shared" si="136"/>
        <v>0</v>
      </c>
      <c r="CE159">
        <f t="shared" si="137"/>
        <v>0</v>
      </c>
      <c r="CF159">
        <f t="shared" si="138"/>
        <v>5629077.5356754335</v>
      </c>
      <c r="CG159">
        <f t="shared" si="139"/>
        <v>6256737.6000000006</v>
      </c>
      <c r="CH159">
        <f t="shared" si="140"/>
        <v>677255.43735872582</v>
      </c>
      <c r="CI159">
        <f t="shared" si="141"/>
        <v>752771.57453798293</v>
      </c>
      <c r="CJ159">
        <f t="shared" si="142"/>
        <v>-2599290.8013068363</v>
      </c>
      <c r="CK159">
        <f t="shared" si="143"/>
        <v>-2889120.0000000005</v>
      </c>
      <c r="CL159">
        <f t="shared" si="144"/>
        <v>2172415.5918038683</v>
      </c>
      <c r="CM159">
        <f t="shared" si="145"/>
        <v>2414646.845761484</v>
      </c>
    </row>
    <row r="160" spans="1:91" x14ac:dyDescent="0.2">
      <c r="A160" s="2" t="s">
        <v>175</v>
      </c>
      <c r="B160" s="2" t="str">
        <f t="shared" si="149"/>
        <v>KAHALGAON TPS</v>
      </c>
      <c r="C160" s="2" t="str">
        <f>VLOOKUP($A160,'[1]daily coal, energy reqd'!$C$2:$T$599,17,FALSE)</f>
        <v>Bihar</v>
      </c>
      <c r="D160" s="2" t="str">
        <f>VLOOKUP(C160,'Target PLF'!$I$2:$J$19,2,FALSE)</f>
        <v>ER</v>
      </c>
      <c r="E160" s="2" t="str">
        <f>VLOOKUP(A160,[2]Ownership!$C$2:$D$666,2,FALSE)</f>
        <v>CENTRAL SECTOR</v>
      </c>
      <c r="F160" s="2" t="s">
        <v>544</v>
      </c>
      <c r="G160" s="12">
        <v>10.841889117043101</v>
      </c>
      <c r="H160" s="2">
        <v>500</v>
      </c>
      <c r="I160" s="2">
        <f>VLOOKUP(A160,'[3]Calculated coal req (reg.)'!$A$2:$I$599,9,FALSE)</f>
        <v>9.8105598719519307</v>
      </c>
      <c r="J160" s="2"/>
      <c r="K160" s="11">
        <v>0.8175466559959943</v>
      </c>
      <c r="L160" s="3">
        <f>VLOOKUP(F160,'Target PLF'!$A$2:$B$11,2,FALSE)</f>
        <v>0.8</v>
      </c>
      <c r="M160" s="3">
        <f t="shared" si="123"/>
        <v>-1.7546655995994254E-2</v>
      </c>
      <c r="N160" s="2" t="str">
        <f t="shared" si="102"/>
        <v>0.15</v>
      </c>
      <c r="O160" s="2">
        <f t="shared" si="98"/>
        <v>12.563811176651408</v>
      </c>
      <c r="P160" s="2">
        <f t="shared" si="103"/>
        <v>2292895.5397388819</v>
      </c>
      <c r="Q160" s="2">
        <f t="shared" si="104"/>
        <v>13.015344287782341</v>
      </c>
      <c r="R160" s="2">
        <f t="shared" si="105"/>
        <v>9.6</v>
      </c>
      <c r="S160" s="2">
        <f t="shared" si="106"/>
        <v>2235576.7835484962</v>
      </c>
      <c r="T160" s="2" t="str">
        <f>VLOOKUP(A160,'[4]CEA vs MERIT comp. &amp; NPA marker'!$C$2:$K$735,9,FALSE)</f>
        <v>Contracted</v>
      </c>
      <c r="U160" s="3">
        <f>VLOOKUP(B160,'[8]Import-Domestic share'!$A$208:$F$406,6,FALSE)</f>
        <v>0</v>
      </c>
      <c r="V160" s="3">
        <f t="shared" si="107"/>
        <v>0</v>
      </c>
      <c r="W160" s="2">
        <f t="shared" si="108"/>
        <v>2773.3217449486651</v>
      </c>
      <c r="X160" s="2">
        <f t="shared" si="109"/>
        <v>2767.521325820082</v>
      </c>
      <c r="Y160" s="6">
        <f t="shared" si="110"/>
        <v>0.31009744958961433</v>
      </c>
      <c r="Z160" s="2">
        <f t="shared" si="111"/>
        <v>2580813.3035692675</v>
      </c>
      <c r="AA160" s="2">
        <f t="shared" si="112"/>
        <v>2631902.9296595221</v>
      </c>
      <c r="AB160" s="2" t="s">
        <v>598</v>
      </c>
      <c r="AC160" s="12">
        <f>VLOOKUP(B160,[9]Sheet1!$A$2:$B$137,2,FALSE)</f>
        <v>3765.3709320470821</v>
      </c>
      <c r="AD160" s="12">
        <f t="shared" si="113"/>
        <v>1882685.4660235411</v>
      </c>
      <c r="AE160" s="2" t="s">
        <v>589</v>
      </c>
      <c r="AF160" s="7">
        <f>VLOOKUP($B160,'[9]Subsidiary wise dispatch'!$A$3:$R$138,11,FALSE)*$H160*$O160*365</f>
        <v>0</v>
      </c>
      <c r="AG160" s="7">
        <f>VLOOKUP($B160,'[9]Subsidiary wise dispatch'!$A$3:$R$138,12,FALSE)*$H160*$O160*365</f>
        <v>0</v>
      </c>
      <c r="AH160" s="7">
        <f>VLOOKUP($B160,'[9]Subsidiary wise dispatch'!$A$3:$R$138,13,FALSE)*$H160*$O160*365</f>
        <v>2292895.5397388819</v>
      </c>
      <c r="AI160" s="7">
        <f>VLOOKUP($B160,'[9]Subsidiary wise dispatch'!$A$3:$R$138,14,FALSE)*$H160*$O160*365</f>
        <v>0</v>
      </c>
      <c r="AJ160" s="7">
        <f>VLOOKUP($B160,'[9]Subsidiary wise dispatch'!$A$3:$R$138,15,FALSE)*$H160*$O160*365</f>
        <v>0</v>
      </c>
      <c r="AK160" s="7">
        <f>VLOOKUP($B160,'[9]Subsidiary wise dispatch'!$A$3:$R$138,16,FALSE)*$H160*$O160*365</f>
        <v>0</v>
      </c>
      <c r="AL160" s="7">
        <f>VLOOKUP($B160,'[9]Subsidiary wise dispatch'!$A$3:$R$138,17,FALSE)*$H160*$O160*365</f>
        <v>0</v>
      </c>
      <c r="AM160" s="7">
        <f>VLOOKUP($B160,'[9]Subsidiary wise dispatch'!$A$3:$R$138,18,FALSE)*$H160*$O160*365</f>
        <v>0</v>
      </c>
      <c r="AN160" s="15">
        <f t="shared" si="114"/>
        <v>2292895.5397388819</v>
      </c>
      <c r="AO160" s="6">
        <v>7.2417181230320551E-2</v>
      </c>
      <c r="AP160" s="11">
        <f t="shared" si="115"/>
        <v>0.71045309221805331</v>
      </c>
      <c r="AQ160" s="11">
        <f t="shared" si="116"/>
        <v>0.69520493981107723</v>
      </c>
      <c r="AR160" s="3">
        <f>VLOOKUP(A160,[10]Sheet1!$A$2:$L$542,12,FALSE)</f>
        <v>2.3116842468752798</v>
      </c>
      <c r="AS160" s="3">
        <f t="shared" si="124"/>
        <v>1.8699099117130369</v>
      </c>
      <c r="AT160" s="3">
        <f t="shared" si="125"/>
        <v>1.8705044546737168</v>
      </c>
      <c r="AU160" s="3">
        <f t="shared" si="117"/>
        <v>-5.9454296067995571E-4</v>
      </c>
      <c r="AV160" s="88">
        <f t="shared" si="126"/>
        <v>-1.285854044698451E-2</v>
      </c>
      <c r="AW160" s="32">
        <f t="shared" si="127"/>
        <v>6.5586033901865494E-3</v>
      </c>
      <c r="AX160" s="12">
        <f t="shared" si="118"/>
        <v>669.58750475662396</v>
      </c>
      <c r="AY160" s="12">
        <f t="shared" si="119"/>
        <v>655.42476091767026</v>
      </c>
      <c r="AZ160" s="3">
        <f>VLOOKUP(A160,[5]Analysis!$A$3:$BJ$543,62,FALSE)</f>
        <v>0.5026696055634261</v>
      </c>
      <c r="BA160" s="2"/>
      <c r="BB160" s="2"/>
      <c r="BC160" s="2" t="str">
        <f>VLOOKUP(A160,'[6]FGD status - Jun 2020'!$I$2:$M$449,5,FALSE)</f>
        <v>Bid Awarded</v>
      </c>
      <c r="BD160" s="2"/>
      <c r="BE160" s="2"/>
      <c r="BF160" s="2">
        <f t="shared" si="120"/>
        <v>814.57395672962207</v>
      </c>
      <c r="BG160" s="2">
        <f t="shared" si="121"/>
        <v>798.76171745468821</v>
      </c>
      <c r="BH160" s="2"/>
      <c r="BI160" s="2"/>
      <c r="BK160">
        <f t="shared" si="122"/>
        <v>408.77332799799717</v>
      </c>
      <c r="BL160">
        <f>VLOOKUP(A160,'[11]Daily coal vs energy req.2'!$C$2:$P$599,14,FALSE)</f>
        <v>0.99</v>
      </c>
      <c r="BM160">
        <f>VLOOKUP(A160,'[11]Daily coal vs energy req.2'!$C$2:$R$599,16,FALSE)</f>
        <v>0.99</v>
      </c>
      <c r="BN160">
        <f>BL160*H160</f>
        <v>495</v>
      </c>
      <c r="BO160">
        <f>BM160*H160</f>
        <v>495</v>
      </c>
      <c r="BP160" s="2" t="str">
        <f>VLOOKUP(A160,'[7]Table 2'!$J$2:$N$449,5,FALSE)</f>
        <v>Bid Awarded</v>
      </c>
      <c r="BR160">
        <f t="shared" si="128"/>
        <v>498.15014271546204</v>
      </c>
      <c r="BS160">
        <f t="shared" si="129"/>
        <v>488.4802174908898</v>
      </c>
      <c r="BT160">
        <f>(X160*I160*365*[5]Analysis!BK160)/10^4</f>
        <v>400.63338037206785</v>
      </c>
      <c r="BU160">
        <f>(W160*R160*365*[5]Analysis!BK160)/10^4</f>
        <v>392.85641817037606</v>
      </c>
      <c r="BV160">
        <f>(X160*I160*365*[5]Analysis!BL160)/10^4</f>
        <v>97.516762343394277</v>
      </c>
      <c r="BW160">
        <f>(W160*R160*365*[5]Analysis!BL160)/10^4</f>
        <v>95.623799320513811</v>
      </c>
      <c r="BX160">
        <f t="shared" si="130"/>
        <v>2782970.7005458246</v>
      </c>
      <c r="BY160">
        <f t="shared" si="131"/>
        <v>2728948.5970294862</v>
      </c>
      <c r="BZ160">
        <f t="shared" si="132"/>
        <v>9324349.99780499</v>
      </c>
      <c r="CA160">
        <f t="shared" si="133"/>
        <v>9124225.4414903298</v>
      </c>
      <c r="CB160">
        <f t="shared" si="134"/>
        <v>-864964.53231494955</v>
      </c>
      <c r="CC160">
        <f t="shared" si="135"/>
        <v>-828234.23999999999</v>
      </c>
      <c r="CD160">
        <f t="shared" si="136"/>
        <v>0</v>
      </c>
      <c r="CE160">
        <f t="shared" si="137"/>
        <v>0</v>
      </c>
      <c r="CF160">
        <f t="shared" si="138"/>
        <v>6393968.6279055038</v>
      </c>
      <c r="CG160">
        <f t="shared" si="139"/>
        <v>6256737.6000000006</v>
      </c>
      <c r="CH160">
        <f t="shared" si="140"/>
        <v>787579.65958821902</v>
      </c>
      <c r="CI160">
        <f t="shared" si="141"/>
        <v>770676.17248459801</v>
      </c>
      <c r="CJ160">
        <f t="shared" si="142"/>
        <v>-2952487.9934639339</v>
      </c>
      <c r="CK160">
        <f t="shared" si="143"/>
        <v>-2889120.0000000005</v>
      </c>
      <c r="CL160">
        <f t="shared" si="144"/>
        <v>2008482.1516364943</v>
      </c>
      <c r="CM160">
        <f t="shared" si="145"/>
        <v>1965374.9538632671</v>
      </c>
    </row>
    <row r="161" spans="1:91" x14ac:dyDescent="0.2">
      <c r="A161" s="2" t="s">
        <v>32</v>
      </c>
      <c r="B161" s="2" t="str">
        <f t="shared" si="149"/>
        <v>SEMBCORP GAYATRI P. LTD</v>
      </c>
      <c r="C161" s="2" t="str">
        <f>VLOOKUP($A161,'[1]daily coal, energy reqd'!$C$2:$T$599,17,FALSE)</f>
        <v>Andhra Pradesh</v>
      </c>
      <c r="D161" s="2" t="str">
        <f>VLOOKUP(C161,'Target PLF'!$I$2:$J$19,2,FALSE)</f>
        <v>SR</v>
      </c>
      <c r="E161" s="2" t="str">
        <f>VLOOKUP(A161,[2]Ownership!$C$2:$D$666,2,FALSE)</f>
        <v>PVT SECTOR</v>
      </c>
      <c r="F161" s="2" t="s">
        <v>542</v>
      </c>
      <c r="G161" s="12">
        <v>3.1649555099247002</v>
      </c>
      <c r="H161" s="2">
        <v>660</v>
      </c>
      <c r="I161" s="2">
        <f>VLOOKUP(A161,'[3]Calculated coal req (reg.)'!$A$2:$I$599,9,FALSE)</f>
        <v>12.6636468942564</v>
      </c>
      <c r="J161" s="2"/>
      <c r="K161" s="11">
        <v>0.79947265746568186</v>
      </c>
      <c r="L161" s="3">
        <f>VLOOKUP(F161,'Target PLF'!$A$2:$B$11,2,FALSE)</f>
        <v>0.85</v>
      </c>
      <c r="M161" s="3">
        <f t="shared" si="123"/>
        <v>5.052734253431812E-2</v>
      </c>
      <c r="N161" s="2" t="str">
        <f t="shared" si="102"/>
        <v>0.15</v>
      </c>
      <c r="O161" s="2">
        <f t="shared" si="98"/>
        <v>10.346160240894136</v>
      </c>
      <c r="P161" s="2">
        <f t="shared" si="103"/>
        <v>2492390.0020313975</v>
      </c>
      <c r="Q161" s="2">
        <f t="shared" si="104"/>
        <v>11.049162315776865</v>
      </c>
      <c r="R161" s="2">
        <f t="shared" si="105"/>
        <v>13.464</v>
      </c>
      <c r="S161" s="2">
        <f t="shared" si="106"/>
        <v>2661743.2018706473</v>
      </c>
      <c r="T161" s="2" t="str">
        <f>VLOOKUP(A161,'[4]CEA vs MERIT comp. &amp; NPA marker'!$C$2:$K$735,9,FALSE)</f>
        <v>Not contracted</v>
      </c>
      <c r="U161" s="3">
        <f>VLOOKUP(B161,'[8]Import-Domestic share'!$A$208:$F$406,6,FALSE)</f>
        <v>1</v>
      </c>
      <c r="V161" s="3">
        <f t="shared" si="107"/>
        <v>2492390.0020313975</v>
      </c>
      <c r="W161" s="2">
        <f t="shared" si="108"/>
        <v>2775.4741216769335</v>
      </c>
      <c r="X161" s="2">
        <f t="shared" si="109"/>
        <v>2792.1770059313139</v>
      </c>
      <c r="Y161" s="6">
        <f t="shared" si="110"/>
        <v>0.30985696940326379</v>
      </c>
      <c r="Z161" s="2">
        <f t="shared" si="111"/>
        <v>3182379.6091003865</v>
      </c>
      <c r="AA161" s="2">
        <f t="shared" si="112"/>
        <v>3011219.654531572</v>
      </c>
      <c r="AB161" s="2" t="s">
        <v>598</v>
      </c>
      <c r="AC161" s="12"/>
      <c r="AD161" s="12">
        <f t="shared" si="113"/>
        <v>0</v>
      </c>
      <c r="AE161" s="2"/>
      <c r="AF161" s="7"/>
      <c r="AG161" s="7"/>
      <c r="AH161" s="7"/>
      <c r="AI161" s="7"/>
      <c r="AJ161" s="7"/>
      <c r="AK161" s="7"/>
      <c r="AL161" s="7"/>
      <c r="AM161" s="7"/>
      <c r="AN161" s="15">
        <f t="shared" si="114"/>
        <v>0</v>
      </c>
      <c r="AO161" s="6">
        <v>6.2368964750631896E-2</v>
      </c>
      <c r="AP161" s="11">
        <f t="shared" si="115"/>
        <v>0.78981854676232655</v>
      </c>
      <c r="AQ161" s="11">
        <f t="shared" si="116"/>
        <v>0.83973574140250784</v>
      </c>
      <c r="AR161" s="3"/>
      <c r="AS161" s="3">
        <f t="shared" si="124"/>
        <v>3.0518769780018027</v>
      </c>
      <c r="AT161" s="3">
        <f t="shared" si="125"/>
        <v>3.0501649323657287</v>
      </c>
      <c r="AU161" s="3">
        <f t="shared" si="117"/>
        <v>1.7120456360739666E-3</v>
      </c>
      <c r="AV161" s="88">
        <f t="shared" si="126"/>
        <v>3.7027447155999003E-2</v>
      </c>
      <c r="AW161" s="32">
        <f t="shared" si="127"/>
        <v>1.1571698916595116E-2</v>
      </c>
      <c r="AX161" s="12">
        <f t="shared" si="118"/>
        <v>1410.6480731155675</v>
      </c>
      <c r="AY161" s="12">
        <f t="shared" si="119"/>
        <v>1498.9608537020845</v>
      </c>
      <c r="AZ161" s="3">
        <f>VLOOKUP(A161,[5]Analysis!$A$3:$BJ$543,62,FALSE)</f>
        <v>1.2224735304310752</v>
      </c>
      <c r="BA161" s="2"/>
      <c r="BB161" s="2"/>
      <c r="BC161" s="2" t="str">
        <f>VLOOKUP(A161,'[6]FGD status - Jun 2020'!$I$2:$M$449,5,FALSE)</f>
        <v>Bid Opened</v>
      </c>
      <c r="BD161" s="2"/>
      <c r="BE161" s="2"/>
      <c r="BF161" s="2">
        <f t="shared" si="120"/>
        <v>1575.1690012854651</v>
      </c>
      <c r="BG161" s="2">
        <f t="shared" si="121"/>
        <v>1664.7027735204122</v>
      </c>
      <c r="BH161" s="2"/>
      <c r="BI161" s="2"/>
      <c r="BK161">
        <f t="shared" si="122"/>
        <v>527.65195392735006</v>
      </c>
      <c r="BP161" s="2" t="str">
        <f>VLOOKUP(A161,'[7]Table 2'!$J$2:$N$449,5,FALSE)</f>
        <v>Bid opened</v>
      </c>
      <c r="BR161">
        <f t="shared" si="128"/>
        <v>1577.7350276000511</v>
      </c>
      <c r="BS161">
        <f t="shared" si="129"/>
        <v>1667.4146546705178</v>
      </c>
      <c r="BT161">
        <f>(X161*I161*365*[5]Analysis!BK161)/10^4</f>
        <v>1577.7350276000511</v>
      </c>
      <c r="BU161">
        <f>(W161*R161*365*[5]Analysis!BK161)/10^4</f>
        <v>1667.4146546705178</v>
      </c>
      <c r="BV161">
        <f>(X161*I161*365*[5]Analysis!BL161)/10^4</f>
        <v>0</v>
      </c>
      <c r="BW161">
        <f>(W161*R161*365*[5]Analysis!BL161)/10^4</f>
        <v>0</v>
      </c>
      <c r="BX161">
        <f t="shared" si="130"/>
        <v>3624312.2261110619</v>
      </c>
      <c r="BY161">
        <f t="shared" si="131"/>
        <v>3830320.8163614697</v>
      </c>
      <c r="BZ161">
        <f t="shared" si="132"/>
        <v>29271191.77384799</v>
      </c>
      <c r="CA161">
        <f t="shared" si="133"/>
        <v>31121155.646075126</v>
      </c>
      <c r="CB161">
        <f t="shared" si="134"/>
        <v>-1091828.3534704708</v>
      </c>
      <c r="CC161">
        <f t="shared" si="135"/>
        <v>-1234198.4292000001</v>
      </c>
      <c r="CD161">
        <f t="shared" si="136"/>
        <v>-4673447.9699027166</v>
      </c>
      <c r="CE161">
        <f t="shared" si="137"/>
        <v>-4968813.8016000008</v>
      </c>
      <c r="CF161">
        <f t="shared" si="138"/>
        <v>8253449.5496267974</v>
      </c>
      <c r="CG161">
        <f t="shared" si="139"/>
        <v>8775074.4840000011</v>
      </c>
      <c r="CH161">
        <f t="shared" si="140"/>
        <v>296771.46415707201</v>
      </c>
      <c r="CI161">
        <f t="shared" si="141"/>
        <v>315527.66961806896</v>
      </c>
      <c r="CJ161">
        <f t="shared" si="142"/>
        <v>-5030684.3833309328</v>
      </c>
      <c r="CK161">
        <f t="shared" si="143"/>
        <v>-5348627.8560000015</v>
      </c>
      <c r="CL161">
        <f t="shared" si="144"/>
        <v>2232851.7837131545</v>
      </c>
      <c r="CM161">
        <f t="shared" si="145"/>
        <v>2373969.8893175116</v>
      </c>
    </row>
    <row r="162" spans="1:91" x14ac:dyDescent="0.2">
      <c r="A162" s="2" t="s">
        <v>178</v>
      </c>
      <c r="B162" s="2" t="str">
        <f t="shared" si="149"/>
        <v>SIPAT STPS</v>
      </c>
      <c r="C162" s="2" t="str">
        <f>VLOOKUP($A162,'[1]daily coal, energy reqd'!$C$2:$T$599,17,FALSE)</f>
        <v>Chhatisgarh</v>
      </c>
      <c r="D162" s="2" t="str">
        <f>VLOOKUP(C162,'Target PLF'!$I$2:$J$19,2,FALSE)</f>
        <v>WR</v>
      </c>
      <c r="E162" s="2" t="str">
        <f>VLOOKUP(A162,[2]Ownership!$C$2:$D$666,2,FALSE)</f>
        <v>CENTRAL SECTOR</v>
      </c>
      <c r="F162" s="2" t="s">
        <v>544</v>
      </c>
      <c r="G162" s="12">
        <v>11.337440109514</v>
      </c>
      <c r="H162" s="2">
        <v>500</v>
      </c>
      <c r="I162" s="2">
        <f>VLOOKUP(A162,'[3]Calculated coal req (reg.)'!$A$2:$I$599,9,FALSE)</f>
        <v>10.5820686511211</v>
      </c>
      <c r="J162" s="2"/>
      <c r="K162" s="11">
        <v>0.88183905426009168</v>
      </c>
      <c r="L162" s="3">
        <f>VLOOKUP(F162,'Target PLF'!$A$2:$B$11,2,FALSE)</f>
        <v>0.8</v>
      </c>
      <c r="M162" s="3">
        <f t="shared" si="123"/>
        <v>-8.1839054260091637E-2</v>
      </c>
      <c r="N162" s="2" t="str">
        <f t="shared" si="102"/>
        <v>0.15</v>
      </c>
      <c r="O162" s="2">
        <f t="shared" si="98"/>
        <v>13.474027179105789</v>
      </c>
      <c r="P162" s="2">
        <f t="shared" si="103"/>
        <v>2459009.9601868065</v>
      </c>
      <c r="Q162" s="2">
        <f t="shared" si="104"/>
        <v>13.031040865468857</v>
      </c>
      <c r="R162" s="2">
        <f t="shared" si="105"/>
        <v>9.6</v>
      </c>
      <c r="S162" s="2">
        <f t="shared" si="106"/>
        <v>2238272.9015981802</v>
      </c>
      <c r="T162" s="2" t="str">
        <f>VLOOKUP(A162,'[4]CEA vs MERIT comp. &amp; NPA marker'!$C$2:$K$735,9,FALSE)</f>
        <v>Contracted</v>
      </c>
      <c r="U162" s="3">
        <f>VLOOKUP(B162,'[8]Import-Domestic share'!$A$208:$F$406,6,FALSE)</f>
        <v>2.9815102260802168E-3</v>
      </c>
      <c r="V162" s="3">
        <f t="shared" si="107"/>
        <v>7331.5633423300706</v>
      </c>
      <c r="W162" s="2">
        <f t="shared" si="108"/>
        <v>2777.7802188189526</v>
      </c>
      <c r="X162" s="2">
        <f t="shared" si="109"/>
        <v>2750.7265844453291</v>
      </c>
      <c r="Y162" s="6">
        <f t="shared" si="110"/>
        <v>0.30959972793155394</v>
      </c>
      <c r="Z162" s="2">
        <f t="shared" si="111"/>
        <v>2317752.863777902</v>
      </c>
      <c r="AA162" s="2">
        <f t="shared" si="112"/>
        <v>2529973.7308283173</v>
      </c>
      <c r="AB162" s="2" t="s">
        <v>598</v>
      </c>
      <c r="AC162" s="12">
        <f>VLOOKUP(B162,[9]Sheet1!$A$2:$B$137,2,FALSE)</f>
        <v>4199.473567201816</v>
      </c>
      <c r="AD162" s="12">
        <f t="shared" si="113"/>
        <v>2099736.7836009078</v>
      </c>
      <c r="AE162" s="2" t="s">
        <v>589</v>
      </c>
      <c r="AF162" s="7">
        <f>VLOOKUP($B162,'[9]Subsidiary wise dispatch'!$A$3:$R$138,11,FALSE)*$H162*$O162*365</f>
        <v>0</v>
      </c>
      <c r="AG162" s="7">
        <f>VLOOKUP($B162,'[9]Subsidiary wise dispatch'!$A$3:$R$138,12,FALSE)*$H162*$O162*365</f>
        <v>0</v>
      </c>
      <c r="AH162" s="7">
        <f>VLOOKUP($B162,'[9]Subsidiary wise dispatch'!$A$3:$R$138,13,FALSE)*$H162*$O162*365</f>
        <v>0</v>
      </c>
      <c r="AI162" s="7">
        <f>VLOOKUP($B162,'[9]Subsidiary wise dispatch'!$A$3:$R$138,14,FALSE)*$H162*$O162*365</f>
        <v>0</v>
      </c>
      <c r="AJ162" s="7">
        <f>VLOOKUP($B162,'[9]Subsidiary wise dispatch'!$A$3:$R$138,15,FALSE)*$H162*$O162*365</f>
        <v>1948.7976392230362</v>
      </c>
      <c r="AK162" s="7">
        <f>VLOOKUP($B162,'[9]Subsidiary wise dispatch'!$A$3:$R$138,16,FALSE)*$H162*$O162*365</f>
        <v>0</v>
      </c>
      <c r="AL162" s="7">
        <f>VLOOKUP($B162,'[9]Subsidiary wise dispatch'!$A$3:$R$138,17,FALSE)*$H162*$O162*365</f>
        <v>2457061.1625475832</v>
      </c>
      <c r="AM162" s="7">
        <f>VLOOKUP($B162,'[9]Subsidiary wise dispatch'!$A$3:$R$138,18,FALSE)*$H162*$O162*365</f>
        <v>0</v>
      </c>
      <c r="AN162" s="15">
        <f t="shared" si="114"/>
        <v>2459009.960186806</v>
      </c>
      <c r="AO162" s="6">
        <v>5.4595359838897593E-2</v>
      </c>
      <c r="AP162" s="11">
        <f t="shared" si="115"/>
        <v>0.57773184584787407</v>
      </c>
      <c r="AQ162" s="11">
        <f t="shared" si="116"/>
        <v>0.5241154544534169</v>
      </c>
      <c r="AR162" s="3">
        <f>VLOOKUP(A162,[10]Sheet1!$A$2:$L$542,12,FALSE)</f>
        <v>1.3884177880397</v>
      </c>
      <c r="AS162" s="3">
        <f t="shared" si="124"/>
        <v>1.6898754805914959</v>
      </c>
      <c r="AT162" s="3">
        <f t="shared" si="125"/>
        <v>1.6926484781147921</v>
      </c>
      <c r="AU162" s="3">
        <f t="shared" si="117"/>
        <v>-2.7729975232961834E-3</v>
      </c>
      <c r="AV162" s="88">
        <f t="shared" si="126"/>
        <v>-5.9973295742880357E-2</v>
      </c>
      <c r="AW162" s="32">
        <f t="shared" si="127"/>
        <v>3.3848824292996273E-2</v>
      </c>
      <c r="AX162" s="12">
        <f t="shared" si="118"/>
        <v>652.70680968248973</v>
      </c>
      <c r="AY162" s="12">
        <f t="shared" si="119"/>
        <v>593.10402673142312</v>
      </c>
      <c r="AZ162" s="3">
        <f>VLOOKUP(A162,[5]Analysis!$A$3:$BJ$543,62,FALSE)</f>
        <v>0.43306930504238034</v>
      </c>
      <c r="BA162" s="2"/>
      <c r="BB162" s="2"/>
      <c r="BC162" s="2" t="str">
        <f>VLOOKUP(A162,'[6]FGD status - Jun 2020'!$I$2:$M$449,5,FALSE)</f>
        <v>NIT issued</v>
      </c>
      <c r="BD162" s="2"/>
      <c r="BE162" s="2"/>
      <c r="BF162" s="2">
        <f t="shared" si="120"/>
        <v>784.63808494008242</v>
      </c>
      <c r="BG162" s="2">
        <f t="shared" si="121"/>
        <v>718.82057360479916</v>
      </c>
      <c r="BH162" s="2"/>
      <c r="BI162" s="2"/>
      <c r="BK162">
        <f t="shared" si="122"/>
        <v>440.91952713004582</v>
      </c>
      <c r="BL162">
        <f>VLOOKUP(A162,'[11]Daily coal vs energy req.2'!$C$2:$P$599,14,FALSE)</f>
        <v>0.87</v>
      </c>
      <c r="BM162">
        <f>VLOOKUP(A162,'[11]Daily coal vs energy req.2'!$C$2:$R$599,16,FALSE)</f>
        <v>0.87</v>
      </c>
      <c r="BN162">
        <f t="shared" ref="BN162:BN167" si="150">BL162*H162</f>
        <v>435</v>
      </c>
      <c r="BO162">
        <f t="shared" ref="BO162:BO167" si="151">BM162*H162</f>
        <v>435</v>
      </c>
      <c r="BP162" s="2" t="str">
        <f>VLOOKUP(A162,'[7]Table 2'!$J$2:$N$449,5,FALSE)</f>
        <v>NIT issued</v>
      </c>
      <c r="BR162">
        <f t="shared" si="128"/>
        <v>460.11698664354111</v>
      </c>
      <c r="BS162">
        <f t="shared" si="129"/>
        <v>421.52116066310805</v>
      </c>
      <c r="BT162">
        <f>(X162*I162*365*[5]Analysis!BK162)/10^4</f>
        <v>409.58449668645494</v>
      </c>
      <c r="BU162">
        <f>(W162*R162*365*[5]Analysis!BK162)/10^4</f>
        <v>375.22746919718173</v>
      </c>
      <c r="BV162">
        <f>(X162*I162*365*[5]Analysis!BL162)/10^4</f>
        <v>50.532489957086113</v>
      </c>
      <c r="BW162">
        <f>(W162*R162*365*[5]Analysis!BL162)/10^4</f>
        <v>46.293691465926223</v>
      </c>
      <c r="BX162">
        <f t="shared" si="130"/>
        <v>2983608.6995990942</v>
      </c>
      <c r="BY162">
        <f t="shared" si="131"/>
        <v>2733335.7353178496</v>
      </c>
      <c r="BZ162">
        <f t="shared" si="132"/>
        <v>8665031.1042284239</v>
      </c>
      <c r="CA162">
        <f t="shared" si="133"/>
        <v>7860873.0809717476</v>
      </c>
      <c r="CB162">
        <f t="shared" si="134"/>
        <v>-1006356.5184517665</v>
      </c>
      <c r="CC162">
        <f t="shared" si="135"/>
        <v>-828234.23999999999</v>
      </c>
      <c r="CD162">
        <f t="shared" si="136"/>
        <v>0</v>
      </c>
      <c r="CE162">
        <f t="shared" si="137"/>
        <v>0</v>
      </c>
      <c r="CF162">
        <f t="shared" si="138"/>
        <v>6896794.4599219449</v>
      </c>
      <c r="CG162">
        <f t="shared" si="139"/>
        <v>6256737.6000000006</v>
      </c>
      <c r="CH162">
        <f t="shared" si="140"/>
        <v>888344.29585774872</v>
      </c>
      <c r="CI162">
        <f t="shared" si="141"/>
        <v>805901.52279260545</v>
      </c>
      <c r="CJ162">
        <f t="shared" si="142"/>
        <v>-3184673.5605548956</v>
      </c>
      <c r="CK162">
        <f t="shared" si="143"/>
        <v>-2889120.0000000005</v>
      </c>
      <c r="CL162">
        <f t="shared" si="144"/>
        <v>1633273.3484131573</v>
      </c>
      <c r="CM162">
        <f t="shared" si="145"/>
        <v>1481697.4508198053</v>
      </c>
    </row>
    <row r="163" spans="1:91" x14ac:dyDescent="0.2">
      <c r="A163" s="2" t="s">
        <v>36</v>
      </c>
      <c r="B163" s="2" t="str">
        <f t="shared" si="149"/>
        <v>SEMBCORP GAYATRI P. LTD</v>
      </c>
      <c r="C163" s="2" t="str">
        <f>VLOOKUP($A163,'[1]daily coal, energy reqd'!$C$2:$T$599,17,FALSE)</f>
        <v>Andhra Pradesh</v>
      </c>
      <c r="D163" s="2" t="str">
        <f>VLOOKUP(C163,'Target PLF'!$I$2:$J$19,2,FALSE)</f>
        <v>SR</v>
      </c>
      <c r="E163" s="2" t="str">
        <f>VLOOKUP(A163,[2]Ownership!$C$2:$D$666,2,FALSE)</f>
        <v>PVT SECTOR</v>
      </c>
      <c r="F163" s="2" t="s">
        <v>542</v>
      </c>
      <c r="G163" s="12">
        <v>3.5044490075290802</v>
      </c>
      <c r="H163" s="2">
        <v>660</v>
      </c>
      <c r="I163" s="2">
        <f>VLOOKUP(A163,'[3]Calculated coal req (reg.)'!$A$2:$I$599,9,FALSE)</f>
        <v>12.597415210904501</v>
      </c>
      <c r="J163" s="2"/>
      <c r="K163" s="11">
        <v>0.79529136432477909</v>
      </c>
      <c r="L163" s="3">
        <f>VLOOKUP(F163,'Target PLF'!$A$2:$B$11,2,FALSE)</f>
        <v>0.85</v>
      </c>
      <c r="M163" s="3">
        <f t="shared" si="123"/>
        <v>5.4708635675220885E-2</v>
      </c>
      <c r="N163" s="2" t="str">
        <f t="shared" si="102"/>
        <v>0.15</v>
      </c>
      <c r="O163" s="2">
        <f t="shared" si="98"/>
        <v>10.298738111573433</v>
      </c>
      <c r="P163" s="2">
        <f t="shared" si="103"/>
        <v>2480966.0110780401</v>
      </c>
      <c r="Q163" s="2">
        <f t="shared" si="104"/>
        <v>11.059915772313484</v>
      </c>
      <c r="R163" s="2">
        <f t="shared" si="105"/>
        <v>13.464</v>
      </c>
      <c r="S163" s="2">
        <f t="shared" si="106"/>
        <v>2664333.7095503188</v>
      </c>
      <c r="T163" s="2" t="str">
        <f>VLOOKUP(A163,'[4]CEA vs MERIT comp. &amp; NPA marker'!$C$2:$K$735,9,FALSE)</f>
        <v>Not contracted</v>
      </c>
      <c r="U163" s="3">
        <f>VLOOKUP(B163,'[8]Import-Domestic share'!$A$208:$F$406,6,FALSE)</f>
        <v>1</v>
      </c>
      <c r="V163" s="3">
        <f t="shared" si="107"/>
        <v>2480966.0110780401</v>
      </c>
      <c r="W163" s="2">
        <f t="shared" si="108"/>
        <v>2778.0680343066388</v>
      </c>
      <c r="X163" s="2">
        <f t="shared" si="109"/>
        <v>2796.1531336521593</v>
      </c>
      <c r="Y163" s="6">
        <f t="shared" si="110"/>
        <v>0.30956765254838053</v>
      </c>
      <c r="Z163" s="2">
        <f t="shared" si="111"/>
        <v>3185353.8089302788</v>
      </c>
      <c r="AA163" s="2">
        <f t="shared" si="112"/>
        <v>2999736.4060963881</v>
      </c>
      <c r="AB163" s="2" t="s">
        <v>598</v>
      </c>
      <c r="AC163" s="12"/>
      <c r="AD163" s="12">
        <f t="shared" si="113"/>
        <v>0</v>
      </c>
      <c r="AE163" s="2"/>
      <c r="AF163" s="7"/>
      <c r="AG163" s="7"/>
      <c r="AH163" s="7"/>
      <c r="AI163" s="7"/>
      <c r="AJ163" s="7"/>
      <c r="AK163" s="7"/>
      <c r="AL163" s="7"/>
      <c r="AM163" s="7"/>
      <c r="AN163" s="15">
        <f t="shared" si="114"/>
        <v>0</v>
      </c>
      <c r="AO163" s="6">
        <v>6.2368964750631896E-2</v>
      </c>
      <c r="AP163" s="11">
        <f t="shared" si="115"/>
        <v>0.78568774523797691</v>
      </c>
      <c r="AQ163" s="11">
        <f t="shared" si="116"/>
        <v>0.83973574140250784</v>
      </c>
      <c r="AR163" s="3"/>
      <c r="AS163" s="3">
        <f t="shared" si="124"/>
        <v>3.0547983106962011</v>
      </c>
      <c r="AT163" s="3">
        <f t="shared" si="125"/>
        <v>3.0529445880132848</v>
      </c>
      <c r="AU163" s="3">
        <f t="shared" si="117"/>
        <v>1.8537226829162812E-3</v>
      </c>
      <c r="AV163" s="88">
        <f t="shared" si="126"/>
        <v>4.0091582395515371E-2</v>
      </c>
      <c r="AW163" s="32">
        <f t="shared" si="127"/>
        <v>1.2517310743138563E-2</v>
      </c>
      <c r="AX163" s="12">
        <f t="shared" si="118"/>
        <v>1404.613538747454</v>
      </c>
      <c r="AY163" s="12">
        <f t="shared" si="119"/>
        <v>1500.3268765548969</v>
      </c>
      <c r="AZ163" s="3">
        <f>VLOOKUP(A163,[5]Analysis!$A$3:$BJ$543,62,FALSE)</f>
        <v>1.2224735304310752</v>
      </c>
      <c r="BA163" s="2"/>
      <c r="BB163" s="2"/>
      <c r="BC163" s="2" t="str">
        <f>VLOOKUP(A163,'[6]FGD status - Jun 2020'!$I$2:$M$449,5,FALSE)</f>
        <v>Bid Opened</v>
      </c>
      <c r="BD163" s="2"/>
      <c r="BE163" s="2"/>
      <c r="BF163" s="2">
        <f t="shared" si="120"/>
        <v>1569.1621140290206</v>
      </c>
      <c r="BG163" s="2">
        <f t="shared" si="121"/>
        <v>1666.2585774514289</v>
      </c>
      <c r="BH163" s="2"/>
      <c r="BI163" s="2"/>
      <c r="BK163">
        <f t="shared" si="122"/>
        <v>524.8923004543542</v>
      </c>
      <c r="BL163">
        <f>VLOOKUP(A163,'[11]Daily coal vs energy req.2'!$C$2:$P$599,14,FALSE)</f>
        <v>0.85</v>
      </c>
      <c r="BM163">
        <f>VLOOKUP(A163,'[11]Daily coal vs energy req.2'!$C$2:$R$599,16,FALSE)</f>
        <v>0.88</v>
      </c>
      <c r="BN163">
        <f t="shared" si="150"/>
        <v>561</v>
      </c>
      <c r="BO163">
        <f t="shared" si="151"/>
        <v>580.79999999999995</v>
      </c>
      <c r="BP163" s="2" t="str">
        <f>VLOOKUP(A163,'[7]Table 2'!$J$2:$N$449,5,FALSE)</f>
        <v>NIT issued</v>
      </c>
      <c r="BR163">
        <f t="shared" si="128"/>
        <v>1571.7183548343967</v>
      </c>
      <c r="BS163">
        <f t="shared" si="129"/>
        <v>1668.972993081215</v>
      </c>
      <c r="BT163">
        <f>(X163*I163*365*[5]Analysis!BK163)/10^4</f>
        <v>1571.7183548343967</v>
      </c>
      <c r="BU163">
        <f>(W163*R163*365*[5]Analysis!BK163)/10^4</f>
        <v>1668.972993081215</v>
      </c>
      <c r="BV163">
        <f>(X163*I163*365*[5]Analysis!BL163)/10^4</f>
        <v>0</v>
      </c>
      <c r="BW163">
        <f>(W163*R163*365*[5]Analysis!BL163)/10^4</f>
        <v>0</v>
      </c>
      <c r="BX163">
        <f t="shared" si="130"/>
        <v>3610490.956833519</v>
      </c>
      <c r="BY163">
        <f t="shared" si="131"/>
        <v>3833900.57142522</v>
      </c>
      <c r="BZ163">
        <f t="shared" si="132"/>
        <v>29118101.568389282</v>
      </c>
      <c r="CA163">
        <f t="shared" si="133"/>
        <v>31121155.646075126</v>
      </c>
      <c r="CB163">
        <f t="shared" si="134"/>
        <v>-1080437.5546067469</v>
      </c>
      <c r="CC163">
        <f t="shared" si="135"/>
        <v>-1234198.4292000001</v>
      </c>
      <c r="CD163">
        <f t="shared" si="136"/>
        <v>-4649005.5380591247</v>
      </c>
      <c r="CE163">
        <f t="shared" si="137"/>
        <v>-4968813.8016000008</v>
      </c>
      <c r="CF163">
        <f t="shared" si="138"/>
        <v>8210283.4805081384</v>
      </c>
      <c r="CG163">
        <f t="shared" si="139"/>
        <v>8775074.4840000011</v>
      </c>
      <c r="CH163">
        <f t="shared" si="140"/>
        <v>326886.45582286629</v>
      </c>
      <c r="CI163">
        <f t="shared" si="141"/>
        <v>349373.19819301751</v>
      </c>
      <c r="CJ163">
        <f t="shared" si="142"/>
        <v>-5004373.5821926566</v>
      </c>
      <c r="CK163">
        <f t="shared" si="143"/>
        <v>-5348627.8560000015</v>
      </c>
      <c r="CL163">
        <f t="shared" si="144"/>
        <v>2221173.8260485511</v>
      </c>
      <c r="CM163">
        <f t="shared" si="145"/>
        <v>2373969.8893175116</v>
      </c>
    </row>
    <row r="164" spans="1:91" x14ac:dyDescent="0.2">
      <c r="A164" s="2" t="s">
        <v>181</v>
      </c>
      <c r="B164" s="2" t="str">
        <f t="shared" si="149"/>
        <v>SIPAT STPS</v>
      </c>
      <c r="C164" s="2" t="str">
        <f>VLOOKUP($A164,'[1]daily coal, energy reqd'!$C$2:$T$599,17,FALSE)</f>
        <v>Chhatisgarh</v>
      </c>
      <c r="D164" s="2" t="str">
        <f>VLOOKUP(C164,'Target PLF'!$I$2:$J$19,2,FALSE)</f>
        <v>WR</v>
      </c>
      <c r="E164" s="2" t="str">
        <f>VLOOKUP(A164,[2]Ownership!$C$2:$D$666,2,FALSE)</f>
        <v>CENTRAL SECTOR</v>
      </c>
      <c r="F164" s="2" t="s">
        <v>544</v>
      </c>
      <c r="G164" s="12">
        <v>11.9233401779603</v>
      </c>
      <c r="H164" s="2">
        <v>500</v>
      </c>
      <c r="I164" s="2">
        <f>VLOOKUP(A164,'[3]Calculated coal req (reg.)'!$A$2:$I$599,9,FALSE)</f>
        <v>10.494979743807001</v>
      </c>
      <c r="J164" s="2"/>
      <c r="K164" s="11">
        <v>0.87458164531725002</v>
      </c>
      <c r="L164" s="3">
        <f>VLOOKUP(F164,'Target PLF'!$A$2:$B$11,2,FALSE)</f>
        <v>0.8</v>
      </c>
      <c r="M164" s="3">
        <f t="shared" si="123"/>
        <v>-7.4581645317249978E-2</v>
      </c>
      <c r="N164" s="2" t="str">
        <f t="shared" si="102"/>
        <v>0.15</v>
      </c>
      <c r="O164" s="2">
        <f t="shared" si="98"/>
        <v>13.391611055929388</v>
      </c>
      <c r="P164" s="2">
        <f t="shared" si="103"/>
        <v>2443969.0177071132</v>
      </c>
      <c r="Q164" s="2">
        <f t="shared" si="104"/>
        <v>13.049599250136893</v>
      </c>
      <c r="R164" s="2">
        <f t="shared" si="105"/>
        <v>9.6</v>
      </c>
      <c r="S164" s="2">
        <f t="shared" si="106"/>
        <v>2241460.5770823369</v>
      </c>
      <c r="T164" s="2" t="str">
        <f>VLOOKUP(A164,'[4]CEA vs MERIT comp. &amp; NPA marker'!$C$2:$K$735,9,FALSE)</f>
        <v>Contracted</v>
      </c>
      <c r="U164" s="3">
        <f>VLOOKUP(B164,'[8]Import-Domestic share'!$A$208:$F$406,6,FALSE)</f>
        <v>2.9815102260802168E-3</v>
      </c>
      <c r="V164" s="3">
        <f t="shared" si="107"/>
        <v>7286.7186185169812</v>
      </c>
      <c r="W164" s="2">
        <f t="shared" si="108"/>
        <v>2782.2568099702194</v>
      </c>
      <c r="X164" s="2">
        <f t="shared" si="109"/>
        <v>2757.6022659797218</v>
      </c>
      <c r="Y164" s="6">
        <f t="shared" si="110"/>
        <v>0.30910158865212922</v>
      </c>
      <c r="Z164" s="2">
        <f t="shared" si="111"/>
        <v>2321488.0880013732</v>
      </c>
      <c r="AA164" s="2">
        <f t="shared" si="112"/>
        <v>2515424.2556429128</v>
      </c>
      <c r="AB164" s="2" t="s">
        <v>598</v>
      </c>
      <c r="AC164" s="12">
        <f>VLOOKUP(B164,[9]Sheet1!$A$2:$B$137,2,FALSE)</f>
        <v>4199.473567201816</v>
      </c>
      <c r="AD164" s="12">
        <f t="shared" si="113"/>
        <v>2099736.7836009078</v>
      </c>
      <c r="AE164" s="2" t="s">
        <v>589</v>
      </c>
      <c r="AF164" s="7">
        <f>VLOOKUP($B164,'[9]Subsidiary wise dispatch'!$A$3:$R$138,11,FALSE)*$H164*$O164*365</f>
        <v>0</v>
      </c>
      <c r="AG164" s="7">
        <f>VLOOKUP($B164,'[9]Subsidiary wise dispatch'!$A$3:$R$138,12,FALSE)*$H164*$O164*365</f>
        <v>0</v>
      </c>
      <c r="AH164" s="7">
        <f>VLOOKUP($B164,'[9]Subsidiary wise dispatch'!$A$3:$R$138,13,FALSE)*$H164*$O164*365</f>
        <v>0</v>
      </c>
      <c r="AI164" s="7">
        <f>VLOOKUP($B164,'[9]Subsidiary wise dispatch'!$A$3:$R$138,14,FALSE)*$H164*$O164*365</f>
        <v>0</v>
      </c>
      <c r="AJ164" s="7">
        <f>VLOOKUP($B164,'[9]Subsidiary wise dispatch'!$A$3:$R$138,15,FALSE)*$H164*$O164*365</f>
        <v>1936.8774950712454</v>
      </c>
      <c r="AK164" s="7">
        <f>VLOOKUP($B164,'[9]Subsidiary wise dispatch'!$A$3:$R$138,16,FALSE)*$H164*$O164*365</f>
        <v>0</v>
      </c>
      <c r="AL164" s="7">
        <f>VLOOKUP($B164,'[9]Subsidiary wise dispatch'!$A$3:$R$138,17,FALSE)*$H164*$O164*365</f>
        <v>2442032.1402120418</v>
      </c>
      <c r="AM164" s="7">
        <f>VLOOKUP($B164,'[9]Subsidiary wise dispatch'!$A$3:$R$138,18,FALSE)*$H164*$O164*365</f>
        <v>0</v>
      </c>
      <c r="AN164" s="15">
        <f t="shared" si="114"/>
        <v>2443969.0177071132</v>
      </c>
      <c r="AO164" s="6">
        <v>5.4595359838897593E-2</v>
      </c>
      <c r="AP164" s="11">
        <f t="shared" si="115"/>
        <v>0.57297719561508453</v>
      </c>
      <c r="AQ164" s="11">
        <f t="shared" si="116"/>
        <v>0.5241154544534169</v>
      </c>
      <c r="AR164" s="3">
        <f>VLOOKUP(A164,[10]Sheet1!$A$2:$L$542,12,FALSE)</f>
        <v>1.3884177880397</v>
      </c>
      <c r="AS164" s="3">
        <f t="shared" si="124"/>
        <v>1.694918535005582</v>
      </c>
      <c r="AT164" s="3">
        <f t="shared" si="125"/>
        <v>1.6974456257646078</v>
      </c>
      <c r="AU164" s="3">
        <f t="shared" si="117"/>
        <v>-2.5270907590257963E-3</v>
      </c>
      <c r="AV164" s="88">
        <f t="shared" si="126"/>
        <v>-5.4654921321387134E-2</v>
      </c>
      <c r="AW164" s="32">
        <f t="shared" si="127"/>
        <v>3.0755360500078349E-2</v>
      </c>
      <c r="AX164" s="12">
        <f t="shared" si="118"/>
        <v>649.26695276846158</v>
      </c>
      <c r="AY164" s="12">
        <f t="shared" si="119"/>
        <v>594.78494726791848</v>
      </c>
      <c r="AZ164" s="3">
        <f>VLOOKUP(A164,[5]Analysis!$A$3:$BJ$543,62,FALSE)</f>
        <v>0.43306930504238034</v>
      </c>
      <c r="BA164" s="2"/>
      <c r="BB164" s="2"/>
      <c r="BC164" s="2" t="str">
        <f>VLOOKUP(A164,'[6]FGD status - Jun 2020'!$I$2:$M$449,5,FALSE)</f>
        <v>NIT issued</v>
      </c>
      <c r="BD164" s="2"/>
      <c r="BE164" s="2"/>
      <c r="BF164" s="2">
        <f t="shared" si="120"/>
        <v>780.12575652842679</v>
      </c>
      <c r="BG164" s="2">
        <f t="shared" si="121"/>
        <v>719.97900428169271</v>
      </c>
      <c r="BH164" s="2"/>
      <c r="BI164" s="2"/>
      <c r="BK164">
        <f t="shared" si="122"/>
        <v>437.29082265862502</v>
      </c>
      <c r="BL164">
        <f>VLOOKUP(A164,'[11]Daily coal vs energy req.2'!$C$2:$P$599,14,FALSE)</f>
        <v>0.97</v>
      </c>
      <c r="BM164">
        <f>VLOOKUP(A164,'[11]Daily coal vs energy req.2'!$C$2:$R$599,16,FALSE)</f>
        <v>0.85</v>
      </c>
      <c r="BN164">
        <f t="shared" si="150"/>
        <v>485</v>
      </c>
      <c r="BO164">
        <f t="shared" si="151"/>
        <v>425</v>
      </c>
      <c r="BP164" s="2" t="str">
        <f>VLOOKUP(A164,'[7]Table 2'!$J$2:$N$449,5,FALSE)</f>
        <v>NIT issued</v>
      </c>
      <c r="BR164">
        <f t="shared" si="128"/>
        <v>457.47092728016509</v>
      </c>
      <c r="BS164">
        <f t="shared" si="129"/>
        <v>422.20047210938884</v>
      </c>
      <c r="BT164">
        <f>(X164*I164*365*[5]Analysis!BK164)/10^4</f>
        <v>407.22904160870002</v>
      </c>
      <c r="BU164">
        <f>(W164*R164*365*[5]Analysis!BK164)/10^4</f>
        <v>375.83217505437682</v>
      </c>
      <c r="BV164">
        <f>(X164*I164*365*[5]Analysis!BL164)/10^4</f>
        <v>50.241885671465077</v>
      </c>
      <c r="BW164">
        <f>(W164*R164*365*[5]Analysis!BL164)/10^4</f>
        <v>46.368297055012007</v>
      </c>
      <c r="BX164">
        <f t="shared" si="130"/>
        <v>2966450.44210068</v>
      </c>
      <c r="BY164">
        <f t="shared" si="131"/>
        <v>2737740.7010106961</v>
      </c>
      <c r="BZ164">
        <f t="shared" si="132"/>
        <v>8593719.1409829389</v>
      </c>
      <c r="CA164">
        <f t="shared" si="133"/>
        <v>7860873.0809717476</v>
      </c>
      <c r="CB164">
        <f t="shared" si="134"/>
        <v>-989860.33989192336</v>
      </c>
      <c r="CC164">
        <f t="shared" si="135"/>
        <v>-828234.23999999999</v>
      </c>
      <c r="CD164">
        <f t="shared" si="136"/>
        <v>0</v>
      </c>
      <c r="CE164">
        <f t="shared" si="137"/>
        <v>0</v>
      </c>
      <c r="CF164">
        <f t="shared" si="138"/>
        <v>6840034.8306578789</v>
      </c>
      <c r="CG164">
        <f t="shared" si="139"/>
        <v>6256737.6000000006</v>
      </c>
      <c r="CH164">
        <f t="shared" si="140"/>
        <v>926563.68944338791</v>
      </c>
      <c r="CI164">
        <f t="shared" si="141"/>
        <v>847549.17453798768</v>
      </c>
      <c r="CJ164">
        <f t="shared" si="142"/>
        <v>-3158464.1538987174</v>
      </c>
      <c r="CK164">
        <f t="shared" si="143"/>
        <v>-2889120.0000000005</v>
      </c>
      <c r="CL164">
        <f t="shared" si="144"/>
        <v>1619831.7430004508</v>
      </c>
      <c r="CM164">
        <f t="shared" si="145"/>
        <v>1481697.4508198053</v>
      </c>
    </row>
    <row r="165" spans="1:91" x14ac:dyDescent="0.2">
      <c r="A165" s="2" t="s">
        <v>182</v>
      </c>
      <c r="B165" s="2" t="str">
        <f t="shared" si="149"/>
        <v>KAHALGAON TPS</v>
      </c>
      <c r="C165" s="2" t="str">
        <f>VLOOKUP($A165,'[1]daily coal, energy reqd'!$C$2:$T$599,17,FALSE)</f>
        <v>Bihar</v>
      </c>
      <c r="D165" s="2" t="str">
        <f>VLOOKUP(C165,'Target PLF'!$I$2:$J$19,2,FALSE)</f>
        <v>ER</v>
      </c>
      <c r="E165" s="2" t="str">
        <f>VLOOKUP(A165,[2]Ownership!$C$2:$D$666,2,FALSE)</f>
        <v>CENTRAL SECTOR</v>
      </c>
      <c r="F165" s="2" t="s">
        <v>544</v>
      </c>
      <c r="G165" s="12">
        <v>12.175222450376401</v>
      </c>
      <c r="H165" s="2">
        <v>500</v>
      </c>
      <c r="I165" s="2">
        <f>VLOOKUP(A165,'[3]Calculated coal req (reg.)'!$A$2:$I$599,9,FALSE)</f>
        <v>9.1394049720147592</v>
      </c>
      <c r="J165" s="2"/>
      <c r="K165" s="11">
        <v>0.76161708100122993</v>
      </c>
      <c r="L165" s="3">
        <f>VLOOKUP(F165,'Target PLF'!$A$2:$B$11,2,FALSE)</f>
        <v>0.8</v>
      </c>
      <c r="M165" s="3">
        <f t="shared" si="123"/>
        <v>3.838291899877011E-2</v>
      </c>
      <c r="N165" s="2" t="str">
        <f t="shared" si="102"/>
        <v>0.15</v>
      </c>
      <c r="O165" s="2">
        <f t="shared" si="98"/>
        <v>11.827879554210085</v>
      </c>
      <c r="P165" s="2">
        <f t="shared" si="103"/>
        <v>2158588.0186433406</v>
      </c>
      <c r="Q165" s="2">
        <f t="shared" si="104"/>
        <v>13.057577621115673</v>
      </c>
      <c r="R165" s="2">
        <f t="shared" si="105"/>
        <v>9.6</v>
      </c>
      <c r="S165" s="2">
        <f t="shared" si="106"/>
        <v>2242830.9796269271</v>
      </c>
      <c r="T165" s="2" t="str">
        <f>VLOOKUP(A165,'[4]CEA vs MERIT comp. &amp; NPA marker'!$C$2:$K$735,9,FALSE)</f>
        <v>Contracted</v>
      </c>
      <c r="U165" s="3">
        <f>VLOOKUP(B165,'[8]Import-Domestic share'!$A$208:$F$406,6,FALSE)</f>
        <v>0</v>
      </c>
      <c r="V165" s="3">
        <f t="shared" si="107"/>
        <v>0</v>
      </c>
      <c r="W165" s="2">
        <f t="shared" si="108"/>
        <v>2783.5091276153316</v>
      </c>
      <c r="X165" s="2">
        <f t="shared" si="109"/>
        <v>2796.197415208258</v>
      </c>
      <c r="Y165" s="6">
        <f t="shared" si="110"/>
        <v>0.30896252197195889</v>
      </c>
      <c r="Z165" s="2">
        <f t="shared" si="111"/>
        <v>2590293.5352670765</v>
      </c>
      <c r="AA165" s="2">
        <f t="shared" si="112"/>
        <v>2477255.7797033293</v>
      </c>
      <c r="AB165" s="2" t="s">
        <v>598</v>
      </c>
      <c r="AC165" s="12">
        <f>VLOOKUP(B165,[9]Sheet1!$A$2:$B$137,2,FALSE)</f>
        <v>3765.3709320470821</v>
      </c>
      <c r="AD165" s="12">
        <f t="shared" si="113"/>
        <v>1882685.4660235411</v>
      </c>
      <c r="AE165" s="2" t="s">
        <v>589</v>
      </c>
      <c r="AF165" s="7">
        <f>VLOOKUP($B165,'[9]Subsidiary wise dispatch'!$A$3:$R$138,11,FALSE)*$H165*$O165*365</f>
        <v>0</v>
      </c>
      <c r="AG165" s="7">
        <f>VLOOKUP($B165,'[9]Subsidiary wise dispatch'!$A$3:$R$138,12,FALSE)*$H165*$O165*365</f>
        <v>0</v>
      </c>
      <c r="AH165" s="7">
        <f>VLOOKUP($B165,'[9]Subsidiary wise dispatch'!$A$3:$R$138,13,FALSE)*$H165*$O165*365</f>
        <v>2158588.0186433406</v>
      </c>
      <c r="AI165" s="7">
        <f>VLOOKUP($B165,'[9]Subsidiary wise dispatch'!$A$3:$R$138,14,FALSE)*$H165*$O165*365</f>
        <v>0</v>
      </c>
      <c r="AJ165" s="7">
        <f>VLOOKUP($B165,'[9]Subsidiary wise dispatch'!$A$3:$R$138,15,FALSE)*$H165*$O165*365</f>
        <v>0</v>
      </c>
      <c r="AK165" s="7">
        <f>VLOOKUP($B165,'[9]Subsidiary wise dispatch'!$A$3:$R$138,16,FALSE)*$H165*$O165*365</f>
        <v>0</v>
      </c>
      <c r="AL165" s="7">
        <f>VLOOKUP($B165,'[9]Subsidiary wise dispatch'!$A$3:$R$138,17,FALSE)*$H165*$O165*365</f>
        <v>0</v>
      </c>
      <c r="AM165" s="7">
        <f>VLOOKUP($B165,'[9]Subsidiary wise dispatch'!$A$3:$R$138,18,FALSE)*$H165*$O165*365</f>
        <v>0</v>
      </c>
      <c r="AN165" s="15">
        <f t="shared" si="114"/>
        <v>2158588.0186433406</v>
      </c>
      <c r="AO165" s="6">
        <v>7.2417181230320551E-2</v>
      </c>
      <c r="AP165" s="11">
        <f t="shared" si="115"/>
        <v>0.66184994619568549</v>
      </c>
      <c r="AQ165" s="11">
        <f t="shared" si="116"/>
        <v>0.69520493981107723</v>
      </c>
      <c r="AR165" s="3">
        <f>VLOOKUP(A165,[10]Sheet1!$A$2:$L$542,12,FALSE)</f>
        <v>2.3116842468752798</v>
      </c>
      <c r="AS165" s="3">
        <f t="shared" si="124"/>
        <v>1.8827218775419916</v>
      </c>
      <c r="AT165" s="3">
        <f t="shared" si="125"/>
        <v>1.8814213280637166</v>
      </c>
      <c r="AU165" s="3">
        <f t="shared" si="117"/>
        <v>1.3005494782749594E-3</v>
      </c>
      <c r="AV165" s="88">
        <f t="shared" si="126"/>
        <v>2.8127770700678713E-2</v>
      </c>
      <c r="AW165" s="32">
        <f t="shared" si="127"/>
        <v>1.4249168473799395E-2</v>
      </c>
      <c r="AX165" s="12">
        <f t="shared" si="118"/>
        <v>628.05395563128081</v>
      </c>
      <c r="AY165" s="12">
        <f t="shared" si="119"/>
        <v>659.25003335352631</v>
      </c>
      <c r="AZ165" s="3">
        <f>VLOOKUP(A165,[5]Analysis!$A$3:$BJ$543,62,FALSE)</f>
        <v>0.5026696055634261</v>
      </c>
      <c r="BA165" s="2"/>
      <c r="BB165" s="2"/>
      <c r="BC165" s="2" t="str">
        <f>VLOOKUP(A165,'[6]FGD status - Jun 2020'!$I$2:$M$449,5,FALSE)</f>
        <v>Bid Awarded</v>
      </c>
      <c r="BD165" s="2"/>
      <c r="BE165" s="2"/>
      <c r="BF165" s="2">
        <f t="shared" si="120"/>
        <v>766.71066381818048</v>
      </c>
      <c r="BG165" s="2">
        <f t="shared" si="121"/>
        <v>801.69584916516021</v>
      </c>
      <c r="BH165" s="2"/>
      <c r="BI165" s="2"/>
      <c r="BK165">
        <f t="shared" si="122"/>
        <v>380.80854050061498</v>
      </c>
      <c r="BL165">
        <f>VLOOKUP(A165,'[11]Daily coal vs energy req.2'!$C$2:$P$599,14,FALSE)</f>
        <v>0.97</v>
      </c>
      <c r="BM165">
        <f>VLOOKUP(A165,'[11]Daily coal vs energy req.2'!$C$2:$R$599,16,FALSE)</f>
        <v>0.96</v>
      </c>
      <c r="BN165">
        <f t="shared" si="150"/>
        <v>485</v>
      </c>
      <c r="BO165">
        <f t="shared" si="151"/>
        <v>480</v>
      </c>
      <c r="BP165" s="2" t="str">
        <f>VLOOKUP(A165,'[7]Table 2'!$J$2:$N$449,5,FALSE)</f>
        <v>Bid Awarded</v>
      </c>
      <c r="BR165">
        <f t="shared" si="128"/>
        <v>468.879496388402</v>
      </c>
      <c r="BS165">
        <f t="shared" si="129"/>
        <v>490.2745765153125</v>
      </c>
      <c r="BT165">
        <f>(X165*I165*365*[5]Analysis!BK165)/10^4</f>
        <v>377.0926905716766</v>
      </c>
      <c r="BU165">
        <f>(W165*R165*365*[5]Analysis!BK165)/10^4</f>
        <v>394.29951746898695</v>
      </c>
      <c r="BV165">
        <f>(X165*I165*365*[5]Analysis!BL165)/10^4</f>
        <v>91.786805816725476</v>
      </c>
      <c r="BW165">
        <f>(W165*R165*365*[5]Analysis!BL165)/10^4</f>
        <v>95.97505904632564</v>
      </c>
      <c r="BX165">
        <f t="shared" si="130"/>
        <v>2619447.0073271398</v>
      </c>
      <c r="BY165">
        <f t="shared" si="131"/>
        <v>2738972.9815734862</v>
      </c>
      <c r="BZ165">
        <f t="shared" si="132"/>
        <v>8686457.4339312799</v>
      </c>
      <c r="CA165">
        <f t="shared" si="133"/>
        <v>9124225.4414903298</v>
      </c>
      <c r="CB165">
        <f t="shared" si="134"/>
        <v>-750665.67505330371</v>
      </c>
      <c r="CC165">
        <f t="shared" si="135"/>
        <v>-828234.23999999999</v>
      </c>
      <c r="CD165">
        <f t="shared" si="136"/>
        <v>0</v>
      </c>
      <c r="CE165">
        <f t="shared" si="137"/>
        <v>0</v>
      </c>
      <c r="CF165">
        <f t="shared" si="138"/>
        <v>5956547.7843783014</v>
      </c>
      <c r="CG165">
        <f t="shared" si="139"/>
        <v>6256737.6000000006</v>
      </c>
      <c r="CH165">
        <f t="shared" si="140"/>
        <v>823930.46992652549</v>
      </c>
      <c r="CI165">
        <f t="shared" si="141"/>
        <v>865453.77248459565</v>
      </c>
      <c r="CJ165">
        <f t="shared" si="142"/>
        <v>-2750503.9263278423</v>
      </c>
      <c r="CK165">
        <f t="shared" si="143"/>
        <v>-2889120.0000000005</v>
      </c>
      <c r="CL165">
        <f t="shared" si="144"/>
        <v>1871078.9192928355</v>
      </c>
      <c r="CM165">
        <f t="shared" si="145"/>
        <v>1965374.9538632671</v>
      </c>
    </row>
    <row r="166" spans="1:91" x14ac:dyDescent="0.2">
      <c r="A166" s="2" t="s">
        <v>174</v>
      </c>
      <c r="B166" s="2" t="str">
        <f t="shared" si="149"/>
        <v>DADRI (NCTPP)</v>
      </c>
      <c r="C166" s="2" t="str">
        <f>VLOOKUP($A166,'[1]daily coal, energy reqd'!$C$2:$T$599,17,FALSE)</f>
        <v>Uttar Pradesh</v>
      </c>
      <c r="D166" s="2" t="str">
        <f>VLOOKUP(C166,'Target PLF'!$I$2:$J$19,2,FALSE)</f>
        <v>NR</v>
      </c>
      <c r="E166" s="2" t="str">
        <f>VLOOKUP(A166,[2]Ownership!$C$2:$D$666,2,FALSE)</f>
        <v>CENTRAL SECTOR</v>
      </c>
      <c r="F166" s="2" t="s">
        <v>544</v>
      </c>
      <c r="G166" s="12">
        <v>10.3381245722108</v>
      </c>
      <c r="H166" s="2">
        <v>490</v>
      </c>
      <c r="I166" s="2">
        <f>VLOOKUP(A166,'[3]Calculated coal req (reg.)'!$A$2:$I$599,9,FALSE)</f>
        <v>7.6662286539575399</v>
      </c>
      <c r="J166" s="2"/>
      <c r="K166" s="11">
        <v>0.65189019166305606</v>
      </c>
      <c r="L166" s="3">
        <f>VLOOKUP(F166,'Target PLF'!$A$2:$B$11,2,FALSE)</f>
        <v>0.8</v>
      </c>
      <c r="M166" s="3">
        <f t="shared" si="123"/>
        <v>0.14810980833694398</v>
      </c>
      <c r="N166" s="2" t="str">
        <f t="shared" si="102"/>
        <v>0.15</v>
      </c>
      <c r="O166" s="2">
        <f t="shared" si="98"/>
        <v>10.295105349490376</v>
      </c>
      <c r="P166" s="2">
        <f t="shared" si="103"/>
        <v>1841279.5917563536</v>
      </c>
      <c r="Q166" s="2">
        <f t="shared" si="104"/>
        <v>13.051466545824777</v>
      </c>
      <c r="R166" s="2">
        <f t="shared" si="105"/>
        <v>9.4079999999999995</v>
      </c>
      <c r="S166" s="2">
        <f t="shared" si="106"/>
        <v>2196945.6863254225</v>
      </c>
      <c r="T166" s="2" t="str">
        <f>VLOOKUP(A166,'[4]CEA vs MERIT comp. &amp; NPA marker'!$C$2:$K$735,9,FALSE)</f>
        <v>Contracted</v>
      </c>
      <c r="U166" s="3">
        <f>VLOOKUP(B166,'[8]Import-Domestic share'!$A$208:$F$406,6,FALSE)</f>
        <v>2.2633605042873307E-2</v>
      </c>
      <c r="V166" s="3">
        <f t="shared" si="107"/>
        <v>41674.795053316309</v>
      </c>
      <c r="W166" s="2">
        <f t="shared" si="108"/>
        <v>2783.8330093096897</v>
      </c>
      <c r="X166" s="2">
        <f t="shared" si="109"/>
        <v>2832.7938463834034</v>
      </c>
      <c r="Y166" s="6">
        <f t="shared" si="110"/>
        <v>0.30892657609992746</v>
      </c>
      <c r="Z166" s="2">
        <f t="shared" si="111"/>
        <v>2025234.4855037401</v>
      </c>
      <c r="AA166" s="2">
        <f t="shared" si="112"/>
        <v>1679312.6666402749</v>
      </c>
      <c r="AB166" s="2" t="s">
        <v>598</v>
      </c>
      <c r="AC166" s="12">
        <f>VLOOKUP(B166,[9]Sheet1!$A$2:$B$137,2,FALSE)</f>
        <v>4720.1743382080467</v>
      </c>
      <c r="AD166" s="12">
        <f t="shared" si="113"/>
        <v>2312885.4257219429</v>
      </c>
      <c r="AE166" s="2"/>
      <c r="AF166" s="7">
        <f>VLOOKUP($B166,'[9]Subsidiary wise dispatch'!$A$3:$R$138,11,FALSE)*$H166*$O166*365</f>
        <v>393390.31521374953</v>
      </c>
      <c r="AG166" s="7">
        <f>VLOOKUP($B166,'[9]Subsidiary wise dispatch'!$A$3:$R$138,12,FALSE)*$H166*$O166*365</f>
        <v>874373.16159669461</v>
      </c>
      <c r="AH166" s="7">
        <f>VLOOKUP($B166,'[9]Subsidiary wise dispatch'!$A$3:$R$138,13,FALSE)*$H166*$O166*365</f>
        <v>544185.67634326569</v>
      </c>
      <c r="AI166" s="7">
        <f>VLOOKUP($B166,'[9]Subsidiary wise dispatch'!$A$3:$R$138,14,FALSE)*$H166*$O166*365</f>
        <v>0</v>
      </c>
      <c r="AJ166" s="7">
        <f>VLOOKUP($B166,'[9]Subsidiary wise dispatch'!$A$3:$R$138,15,FALSE)*$H166*$O166*365</f>
        <v>29330.438602644081</v>
      </c>
      <c r="AK166" s="7">
        <f>VLOOKUP($B166,'[9]Subsidiary wise dispatch'!$A$3:$R$138,16,FALSE)*$H166*$O166*365</f>
        <v>0</v>
      </c>
      <c r="AL166" s="7">
        <f>VLOOKUP($B166,'[9]Subsidiary wise dispatch'!$A$3:$R$138,17,FALSE)*$H166*$O166*365</f>
        <v>0</v>
      </c>
      <c r="AM166" s="7">
        <f>VLOOKUP($B166,'[9]Subsidiary wise dispatch'!$A$3:$R$138,18,FALSE)*$H166*$O166*365</f>
        <v>0</v>
      </c>
      <c r="AN166" s="15">
        <f t="shared" si="114"/>
        <v>1841279.5917563539</v>
      </c>
      <c r="AO166" s="6">
        <v>6.6665772632952203E-2</v>
      </c>
      <c r="AP166" s="11">
        <f t="shared" si="115"/>
        <v>0.51107505639695661</v>
      </c>
      <c r="AQ166" s="11">
        <f t="shared" si="116"/>
        <v>0.62719158893081428</v>
      </c>
      <c r="AR166" s="3">
        <f>VLOOKUP(A166,[10]Sheet1!$A$2:$L$542,12,FALSE)</f>
        <v>3.4837512968941802</v>
      </c>
      <c r="AS166" s="3">
        <f t="shared" si="124"/>
        <v>2.9436166588592987</v>
      </c>
      <c r="AT166" s="3">
        <f t="shared" si="125"/>
        <v>2.9385981730592432</v>
      </c>
      <c r="AU166" s="3">
        <f t="shared" si="117"/>
        <v>5.0184858000554833E-3</v>
      </c>
      <c r="AV166" s="88">
        <f t="shared" si="126"/>
        <v>0.10853782974547929</v>
      </c>
      <c r="AW166" s="32">
        <f t="shared" si="127"/>
        <v>3.5167399815415945E-2</v>
      </c>
      <c r="AX166" s="12">
        <f t="shared" si="118"/>
        <v>823.67500073910776</v>
      </c>
      <c r="AY166" s="12">
        <f t="shared" si="119"/>
        <v>1009.0911038431595</v>
      </c>
      <c r="AZ166" s="3">
        <f>VLOOKUP(A166,[5]Analysis!$A$3:$BJ$543,62,FALSE)</f>
        <v>1.0743829011139359</v>
      </c>
      <c r="BA166" s="2"/>
      <c r="BB166" s="2"/>
      <c r="BC166" s="2" t="str">
        <f>VLOOKUP(A166,'[6]FGD status - Jun 2020'!$I$2:$M$449,5,FALSE)</f>
        <v>Bid Awarded</v>
      </c>
      <c r="BD166" s="2"/>
      <c r="BE166" s="2"/>
      <c r="BF166" s="2">
        <f t="shared" si="120"/>
        <v>527.86597128831829</v>
      </c>
      <c r="BG166" s="2">
        <f t="shared" si="121"/>
        <v>636.60114641773896</v>
      </c>
      <c r="BH166" s="2"/>
      <c r="BI166" s="2"/>
      <c r="BK166">
        <f t="shared" si="122"/>
        <v>319.42619391489745</v>
      </c>
      <c r="BL166">
        <f>VLOOKUP(A166,'[11]Daily coal vs energy req.2'!$C$2:$P$599,14,FALSE)</f>
        <v>1.1599999999999999</v>
      </c>
      <c r="BM166">
        <f>VLOOKUP(A166,'[11]Daily coal vs energy req.2'!$C$2:$R$599,16,FALSE)</f>
        <v>0.68</v>
      </c>
      <c r="BN166">
        <f t="shared" si="150"/>
        <v>568.4</v>
      </c>
      <c r="BO166">
        <f t="shared" si="151"/>
        <v>333.20000000000005</v>
      </c>
      <c r="BP166" s="2" t="str">
        <f>VLOOKUP(A166,'[7]Table 2'!$J$2:$N$449,5,FALSE)</f>
        <v>Bid Awarded</v>
      </c>
      <c r="BR166">
        <f t="shared" si="128"/>
        <v>851.62556705274335</v>
      </c>
      <c r="BS166">
        <f t="shared" si="129"/>
        <v>1027.0520203855224</v>
      </c>
      <c r="BT166">
        <f>(X166*I166*365*[5]Analysis!BK166)/10^4</f>
        <v>391.57519260075861</v>
      </c>
      <c r="BU166">
        <f>(W166*R166*365*[5]Analysis!BK166)/10^4</f>
        <v>472.23581378053194</v>
      </c>
      <c r="BV166">
        <f>(X166*I166*365*[5]Analysis!BL166)/10^4</f>
        <v>460.05037445198474</v>
      </c>
      <c r="BW166">
        <f>(W166*R166*365*[5]Analysis!BL166)/10^4</f>
        <v>554.8162066049905</v>
      </c>
      <c r="BX166">
        <f t="shared" si="130"/>
        <v>2225976.6489796517</v>
      </c>
      <c r="BY166">
        <f t="shared" si="131"/>
        <v>2684505.8475375199</v>
      </c>
      <c r="BZ166">
        <f t="shared" si="132"/>
        <v>15573384.440691531</v>
      </c>
      <c r="CA166">
        <f t="shared" si="133"/>
        <v>19111665.909206964</v>
      </c>
      <c r="CB166">
        <f t="shared" si="134"/>
        <v>-538949.62712375866</v>
      </c>
      <c r="CC166">
        <f t="shared" si="135"/>
        <v>-811669.55519999994</v>
      </c>
      <c r="CD166">
        <f t="shared" si="136"/>
        <v>0</v>
      </c>
      <c r="CE166">
        <f t="shared" si="137"/>
        <v>0</v>
      </c>
      <c r="CF166">
        <f t="shared" si="138"/>
        <v>4996414.6947305761</v>
      </c>
      <c r="CG166">
        <f t="shared" si="139"/>
        <v>6131602.8480000002</v>
      </c>
      <c r="CH166">
        <f t="shared" si="140"/>
        <v>586839.40341582731</v>
      </c>
      <c r="CI166">
        <f t="shared" si="141"/>
        <v>720169.63705954712</v>
      </c>
      <c r="CJ166">
        <f t="shared" si="142"/>
        <v>-2261008.4831403513</v>
      </c>
      <c r="CK166">
        <f t="shared" si="143"/>
        <v>-2774710.8479999998</v>
      </c>
      <c r="CL166">
        <f t="shared" si="144"/>
        <v>1444831.6717366779</v>
      </c>
      <c r="CM166">
        <f t="shared" si="145"/>
        <v>1773098.2183373249</v>
      </c>
    </row>
    <row r="167" spans="1:91" x14ac:dyDescent="0.2">
      <c r="A167" s="2" t="s">
        <v>185</v>
      </c>
      <c r="B167" s="2" t="str">
        <f t="shared" si="149"/>
        <v>BELLARY TPS</v>
      </c>
      <c r="C167" s="2" t="str">
        <f>VLOOKUP($A167,'[1]daily coal, energy reqd'!$C$2:$T$599,17,FALSE)</f>
        <v>Karnataka</v>
      </c>
      <c r="D167" s="2" t="str">
        <f>VLOOKUP(C167,'Target PLF'!$I$2:$J$19,2,FALSE)</f>
        <v>SR</v>
      </c>
      <c r="E167" s="2" t="str">
        <f>VLOOKUP(A167,[2]Ownership!$C$2:$D$666,2,FALSE)</f>
        <v>STATE SECTOR</v>
      </c>
      <c r="F167" s="2" t="s">
        <v>544</v>
      </c>
      <c r="G167" s="12">
        <v>12.4243668720054</v>
      </c>
      <c r="H167" s="2">
        <v>500</v>
      </c>
      <c r="I167" s="2">
        <f>VLOOKUP(A167,'[3]Calculated coal req (reg.)'!$A$2:$I$599,9,FALSE)</f>
        <v>3.9527235102494802</v>
      </c>
      <c r="J167" s="2"/>
      <c r="K167" s="11">
        <v>0.32939362585412335</v>
      </c>
      <c r="L167" s="3">
        <f>VLOOKUP(F167,'Target PLF'!$A$2:$B$11,2,FALSE)</f>
        <v>0.8</v>
      </c>
      <c r="M167" s="3">
        <f t="shared" si="123"/>
        <v>0.47060637414587669</v>
      </c>
      <c r="N167" s="2" t="str">
        <f t="shared" si="102"/>
        <v>0.15</v>
      </c>
      <c r="O167" s="2">
        <f t="shared" si="98"/>
        <v>5.8221166052669462</v>
      </c>
      <c r="P167" s="2">
        <f t="shared" si="103"/>
        <v>1062536.2804612177</v>
      </c>
      <c r="Q167" s="2">
        <f t="shared" si="104"/>
        <v>13.065469270670771</v>
      </c>
      <c r="R167" s="2">
        <f t="shared" si="105"/>
        <v>9.6</v>
      </c>
      <c r="S167" s="2">
        <f t="shared" si="106"/>
        <v>2244186.4864916857</v>
      </c>
      <c r="T167" s="2" t="str">
        <f>VLOOKUP(A167,'[4]CEA vs MERIT comp. &amp; NPA marker'!$C$2:$K$735,9,FALSE)</f>
        <v>Contracted</v>
      </c>
      <c r="U167" s="3">
        <f>VLOOKUP(B167,'[8]Import-Domestic share'!$A$208:$F$406,6,FALSE)</f>
        <v>0</v>
      </c>
      <c r="V167" s="3">
        <f t="shared" si="107"/>
        <v>0</v>
      </c>
      <c r="W167" s="2">
        <f t="shared" si="108"/>
        <v>2785.4127247871315</v>
      </c>
      <c r="X167" s="2">
        <f t="shared" si="109"/>
        <v>2940.9816386161829</v>
      </c>
      <c r="Y167" s="6">
        <f t="shared" si="110"/>
        <v>0.30875137186921675</v>
      </c>
      <c r="Z167" s="2">
        <f t="shared" si="111"/>
        <v>2833702.0723533807</v>
      </c>
      <c r="AA167" s="2">
        <f t="shared" si="112"/>
        <v>1231918.9886070678</v>
      </c>
      <c r="AB167" s="2" t="s">
        <v>598</v>
      </c>
      <c r="AC167" s="12">
        <f>VLOOKUP(B167,[9]Sheet1!$A$2:$B$137,2,FALSE)</f>
        <v>3444.2880509129841</v>
      </c>
      <c r="AD167" s="12">
        <f t="shared" si="113"/>
        <v>1722144.0254564921</v>
      </c>
      <c r="AE167" s="2"/>
      <c r="AF167" s="7">
        <f>VLOOKUP($B167,'[9]Subsidiary wise dispatch'!$A$3:$R$138,11,FALSE)*$H167*$O167*365</f>
        <v>0</v>
      </c>
      <c r="AG167" s="7">
        <f>VLOOKUP($B167,'[9]Subsidiary wise dispatch'!$A$3:$R$138,12,FALSE)*$H167*$O167*365</f>
        <v>0</v>
      </c>
      <c r="AH167" s="7">
        <f>VLOOKUP($B167,'[9]Subsidiary wise dispatch'!$A$3:$R$138,13,FALSE)*$H167*$O167*365</f>
        <v>0</v>
      </c>
      <c r="AI167" s="7">
        <f>VLOOKUP($B167,'[9]Subsidiary wise dispatch'!$A$3:$R$138,14,FALSE)*$H167*$O167*365</f>
        <v>1062536.2804612177</v>
      </c>
      <c r="AJ167" s="7">
        <f>VLOOKUP($B167,'[9]Subsidiary wise dispatch'!$A$3:$R$138,15,FALSE)*$H167*$O167*365</f>
        <v>0</v>
      </c>
      <c r="AK167" s="7">
        <f>VLOOKUP($B167,'[9]Subsidiary wise dispatch'!$A$3:$R$138,16,FALSE)*$H167*$O167*365</f>
        <v>0</v>
      </c>
      <c r="AL167" s="7">
        <f>VLOOKUP($B167,'[9]Subsidiary wise dispatch'!$A$3:$R$138,17,FALSE)*$H167*$O167*365</f>
        <v>0</v>
      </c>
      <c r="AM167" s="7">
        <f>VLOOKUP($B167,'[9]Subsidiary wise dispatch'!$A$3:$R$138,18,FALSE)*$H167*$O167*365</f>
        <v>0</v>
      </c>
      <c r="AN167" s="15">
        <f t="shared" si="114"/>
        <v>1062536.2804612177</v>
      </c>
      <c r="AO167" s="6">
        <v>6.6702414133670743E-2</v>
      </c>
      <c r="AP167" s="11">
        <f t="shared" si="115"/>
        <v>0.26365620053655758</v>
      </c>
      <c r="AQ167" s="11">
        <f t="shared" si="116"/>
        <v>0.64034317568323906</v>
      </c>
      <c r="AR167" s="3">
        <f>VLOOKUP(A167,[10]Sheet1!$A$2:$L$542,12,FALSE)</f>
        <v>3.8664301801801799</v>
      </c>
      <c r="AS167" s="3">
        <f t="shared" si="124"/>
        <v>3.5365163872809608</v>
      </c>
      <c r="AT167" s="3">
        <f t="shared" si="125"/>
        <v>3.5205705736134831</v>
      </c>
      <c r="AU167" s="3">
        <f t="shared" si="117"/>
        <v>1.5945813667477715E-2</v>
      </c>
      <c r="AV167" s="88">
        <f t="shared" si="126"/>
        <v>0.34486976310158135</v>
      </c>
      <c r="AW167" s="32">
        <f t="shared" si="127"/>
        <v>9.300789630639765E-2</v>
      </c>
      <c r="AX167" s="12">
        <f t="shared" si="118"/>
        <v>510.22880859616237</v>
      </c>
      <c r="AY167" s="12">
        <f t="shared" si="119"/>
        <v>1233.6079289941645</v>
      </c>
      <c r="AZ167" s="3">
        <f>VLOOKUP(A167,[5]Analysis!$A$3:$BJ$543,62,FALSE)</f>
        <v>1.3770499475915714</v>
      </c>
      <c r="BA167" s="2"/>
      <c r="BB167" s="2"/>
      <c r="BC167" s="2" t="str">
        <f>VLOOKUP(A167,'[6]FGD status - Jun 2020'!$I$2:$M$449,5,FALSE)</f>
        <v>BID Opened</v>
      </c>
      <c r="BD167" s="2"/>
      <c r="BE167" s="2"/>
      <c r="BF167" s="2">
        <f t="shared" si="120"/>
        <v>381.27892697388751</v>
      </c>
      <c r="BG167" s="2">
        <f t="shared" si="121"/>
        <v>877.03079139337137</v>
      </c>
      <c r="BH167" s="2"/>
      <c r="BI167" s="2"/>
      <c r="BK167">
        <f t="shared" si="122"/>
        <v>164.69681292706167</v>
      </c>
      <c r="BL167">
        <f>VLOOKUP(A167,'[11]Daily coal vs energy req.2'!$C$2:$P$599,14,FALSE)</f>
        <v>0.68</v>
      </c>
      <c r="BM167">
        <f>VLOOKUP(A167,'[11]Daily coal vs energy req.2'!$C$2:$R$599,16,FALSE)</f>
        <v>0.91</v>
      </c>
      <c r="BN167">
        <f t="shared" si="150"/>
        <v>340</v>
      </c>
      <c r="BO167">
        <f t="shared" si="151"/>
        <v>455</v>
      </c>
      <c r="BP167" s="2" t="str">
        <f>VLOOKUP(A167,'[7]Table 2'!$J$2:$N$449,5,FALSE)</f>
        <v>NIT issued</v>
      </c>
      <c r="BR167">
        <f t="shared" si="128"/>
        <v>584.2938396232737</v>
      </c>
      <c r="BS167">
        <f t="shared" si="129"/>
        <v>1344.0126173198312</v>
      </c>
      <c r="BT167">
        <f>(X167*I167*365*[5]Analysis!BK167)/10^4</f>
        <v>176.95046345603328</v>
      </c>
      <c r="BU167">
        <f>(W167*R167*365*[5]Analysis!BK167)/10^4</f>
        <v>407.0274909604359</v>
      </c>
      <c r="BV167">
        <f>(X167*I167*365*[5]Analysis!BL167)/10^4</f>
        <v>407.34337616724042</v>
      </c>
      <c r="BW167">
        <f>(W167*R167*365*[5]Analysis!BL167)/10^4</f>
        <v>936.98512635939528</v>
      </c>
      <c r="BX167">
        <f t="shared" si="130"/>
        <v>1191550.9447824482</v>
      </c>
      <c r="BY167">
        <f t="shared" si="131"/>
        <v>2740846.1211905372</v>
      </c>
      <c r="BZ167">
        <f t="shared" si="132"/>
        <v>10291727.489672972</v>
      </c>
      <c r="CA167">
        <f t="shared" si="133"/>
        <v>24995571.697506521</v>
      </c>
      <c r="CB167">
        <f t="shared" si="134"/>
        <v>-140411.79403345147</v>
      </c>
      <c r="CC167">
        <f t="shared" si="135"/>
        <v>-828234.23999999999</v>
      </c>
      <c r="CD167">
        <f t="shared" si="136"/>
        <v>0</v>
      </c>
      <c r="CE167">
        <f t="shared" si="137"/>
        <v>0</v>
      </c>
      <c r="CF167">
        <f t="shared" si="138"/>
        <v>2576161.855102282</v>
      </c>
      <c r="CG167">
        <f t="shared" si="139"/>
        <v>6256737.6000000006</v>
      </c>
      <c r="CH167">
        <f t="shared" si="140"/>
        <v>363635.63945021719</v>
      </c>
      <c r="CI167">
        <f t="shared" si="141"/>
        <v>883163.75523613417</v>
      </c>
      <c r="CJ167">
        <f t="shared" si="142"/>
        <v>-1189572.1404095814</v>
      </c>
      <c r="CK167">
        <f t="shared" si="143"/>
        <v>-2889120.0000000005</v>
      </c>
      <c r="CL167">
        <f t="shared" si="144"/>
        <v>745367.67978967179</v>
      </c>
      <c r="CM167">
        <f t="shared" si="145"/>
        <v>1810278.3327562469</v>
      </c>
    </row>
    <row r="168" spans="1:91" x14ac:dyDescent="0.2">
      <c r="A168" s="2" t="s">
        <v>188</v>
      </c>
      <c r="B168" s="2" t="str">
        <f t="shared" si="149"/>
        <v>SANJAY GANDHI TPS</v>
      </c>
      <c r="C168" s="2" t="str">
        <f>VLOOKUP($A168,'[1]daily coal, energy reqd'!$C$2:$T$599,17,FALSE)</f>
        <v>Madhya Pradesh</v>
      </c>
      <c r="D168" s="2" t="str">
        <f>VLOOKUP(C168,'Target PLF'!$I$2:$J$19,2,FALSE)</f>
        <v>WR</v>
      </c>
      <c r="E168" s="2" t="str">
        <f>VLOOKUP(A168,[2]Ownership!$C$2:$D$666,2,FALSE)</f>
        <v>STATE SECTOR</v>
      </c>
      <c r="F168" s="2" t="s">
        <v>544</v>
      </c>
      <c r="G168" s="12">
        <v>12.9253935660506</v>
      </c>
      <c r="H168" s="2">
        <v>500</v>
      </c>
      <c r="I168" s="2">
        <f>VLOOKUP(A168,'[3]Calculated coal req (reg.)'!$A$2:$I$599,9,FALSE)</f>
        <v>9.5132763765736108</v>
      </c>
      <c r="J168" s="2"/>
      <c r="K168" s="11">
        <v>0.7927730313811342</v>
      </c>
      <c r="L168" s="3">
        <f>VLOOKUP(F168,'Target PLF'!$A$2:$B$11,2,FALSE)</f>
        <v>0.8</v>
      </c>
      <c r="M168" s="3">
        <f t="shared" si="123"/>
        <v>7.2269686188658477E-3</v>
      </c>
      <c r="N168" s="2" t="str">
        <f t="shared" si="102"/>
        <v>0.15</v>
      </c>
      <c r="O168" s="2">
        <f t="shared" si="98"/>
        <v>12.285123308719788</v>
      </c>
      <c r="P168" s="2">
        <f t="shared" si="103"/>
        <v>2242035.0038413615</v>
      </c>
      <c r="Q168" s="2">
        <f t="shared" si="104"/>
        <v>13.081339291204653</v>
      </c>
      <c r="R168" s="2">
        <f t="shared" si="105"/>
        <v>9.6</v>
      </c>
      <c r="S168" s="2">
        <f t="shared" si="106"/>
        <v>2246912.3959010346</v>
      </c>
      <c r="T168" s="2" t="str">
        <f>VLOOKUP(A168,'[4]CEA vs MERIT comp. &amp; NPA marker'!$C$2:$K$735,9,FALSE)</f>
        <v>Contracted</v>
      </c>
      <c r="U168" s="3">
        <f>VLOOKUP(B168,'[8]Import-Domestic share'!$A$208:$F$406,6,FALSE)</f>
        <v>0</v>
      </c>
      <c r="V168" s="3">
        <f t="shared" si="107"/>
        <v>0</v>
      </c>
      <c r="W168" s="2">
        <f t="shared" si="108"/>
        <v>2789.2408377809716</v>
      </c>
      <c r="X168" s="2">
        <f t="shared" si="109"/>
        <v>2791.6298654696725</v>
      </c>
      <c r="Y168" s="6">
        <f t="shared" si="110"/>
        <v>0.30832762390077001</v>
      </c>
      <c r="Z168" s="2">
        <f t="shared" si="111"/>
        <v>2006252.4879903155</v>
      </c>
      <c r="AA168" s="2">
        <f t="shared" si="112"/>
        <v>1989831.4459930174</v>
      </c>
      <c r="AB168" s="2" t="s">
        <v>598</v>
      </c>
      <c r="AC168" s="12">
        <f>VLOOKUP(B168,[9]Sheet1!$A$2:$B$137,2,FALSE)</f>
        <v>4871.520386436875</v>
      </c>
      <c r="AD168" s="12">
        <f t="shared" si="113"/>
        <v>2435760.1932184375</v>
      </c>
      <c r="AE168" s="2"/>
      <c r="AF168" s="7">
        <f>VLOOKUP($B168,'[9]Subsidiary wise dispatch'!$A$3:$R$138,11,FALSE)*$H168*$O168*365</f>
        <v>0</v>
      </c>
      <c r="AG168" s="7">
        <f>VLOOKUP($B168,'[9]Subsidiary wise dispatch'!$A$3:$R$138,12,FALSE)*$H168*$O168*365</f>
        <v>0</v>
      </c>
      <c r="AH168" s="7">
        <f>VLOOKUP($B168,'[9]Subsidiary wise dispatch'!$A$3:$R$138,13,FALSE)*$H168*$O168*365</f>
        <v>0</v>
      </c>
      <c r="AI168" s="7">
        <f>VLOOKUP($B168,'[9]Subsidiary wise dispatch'!$A$3:$R$138,14,FALSE)*$H168*$O168*365</f>
        <v>0</v>
      </c>
      <c r="AJ168" s="7">
        <f>VLOOKUP($B168,'[9]Subsidiary wise dispatch'!$A$3:$R$138,15,FALSE)*$H168*$O168*365</f>
        <v>0</v>
      </c>
      <c r="AK168" s="7">
        <f>VLOOKUP($B168,'[9]Subsidiary wise dispatch'!$A$3:$R$138,16,FALSE)*$H168*$O168*365</f>
        <v>0</v>
      </c>
      <c r="AL168" s="7">
        <f>VLOOKUP($B168,'[9]Subsidiary wise dispatch'!$A$3:$R$138,17,FALSE)*$H168*$O168*365</f>
        <v>2242035.0038413615</v>
      </c>
      <c r="AM168" s="7">
        <f>VLOOKUP($B168,'[9]Subsidiary wise dispatch'!$A$3:$R$138,18,FALSE)*$H168*$O168*365</f>
        <v>0</v>
      </c>
      <c r="AN168" s="15">
        <f t="shared" si="114"/>
        <v>2242035.0038413615</v>
      </c>
      <c r="AO168" s="6">
        <v>8.2584159496713896E-2</v>
      </c>
      <c r="AP168" s="11">
        <f t="shared" si="115"/>
        <v>0.78564593361927548</v>
      </c>
      <c r="AQ168" s="11">
        <f t="shared" si="116"/>
        <v>0.79280793116845338</v>
      </c>
      <c r="AR168" s="3">
        <f>VLOOKUP(A168,[10]Sheet1!$A$2:$L$542,12,FALSE)</f>
        <v>2.0252083333333299</v>
      </c>
      <c r="AS168" s="3">
        <f t="shared" si="124"/>
        <v>2.0532854311104889</v>
      </c>
      <c r="AT168" s="3">
        <f t="shared" si="125"/>
        <v>2.0530405557723972</v>
      </c>
      <c r="AU168" s="3">
        <f t="shared" si="117"/>
        <v>2.4487533809169904E-4</v>
      </c>
      <c r="AV168" s="88">
        <f t="shared" si="126"/>
        <v>5.2960671432772709E-3</v>
      </c>
      <c r="AW168" s="32">
        <f t="shared" si="127"/>
        <v>2.4600533996161022E-3</v>
      </c>
      <c r="AX168" s="12">
        <f t="shared" si="118"/>
        <v>712.97172019433549</v>
      </c>
      <c r="AY168" s="12">
        <f t="shared" si="119"/>
        <v>719.38541074264799</v>
      </c>
      <c r="AZ168" s="3">
        <f>VLOOKUP(A168,[5]Analysis!$A$3:$BJ$543,62,FALSE)</f>
        <v>0.57498591359662699</v>
      </c>
      <c r="BA168" s="2"/>
      <c r="BB168" s="2"/>
      <c r="BC168" s="2" t="str">
        <f>VLOOKUP(A168,'[6]FGD status - Jun 2020'!$I$2:$M$449,5,FALSE)</f>
        <v>Feasbility Study completed</v>
      </c>
      <c r="BD168" s="2"/>
      <c r="BE168" s="2"/>
      <c r="BF168" s="2">
        <f t="shared" si="120"/>
        <v>615.85283253483885</v>
      </c>
      <c r="BG168" s="2">
        <f t="shared" si="121"/>
        <v>620.93514503300264</v>
      </c>
      <c r="BH168" s="2"/>
      <c r="BI168" s="2"/>
      <c r="BK168">
        <f t="shared" si="122"/>
        <v>396.38651569056708</v>
      </c>
      <c r="BL168" t="str">
        <f>VLOOKUP(A168,'[11]Daily coal vs energy req.2'!$C$2:$P$599,14,FALSE)</f>
        <v/>
      </c>
      <c r="BM168" t="str">
        <f>VLOOKUP(A168,'[11]Daily coal vs energy req.2'!$C$2:$R$599,16,FALSE)</f>
        <v/>
      </c>
      <c r="BP168" s="2" t="str">
        <f>VLOOKUP(A168,'[7]Table 2'!$J$2:$N$449,5,FALSE)</f>
        <v>Feasbility Study completed</v>
      </c>
      <c r="BR168">
        <f t="shared" si="128"/>
        <v>557.36285148548393</v>
      </c>
      <c r="BS168">
        <f t="shared" si="129"/>
        <v>561.96247664992052</v>
      </c>
      <c r="BT168">
        <f>(X168*I168*365*[5]Analysis!BK168)/10^4</f>
        <v>365.77193070804628</v>
      </c>
      <c r="BU168">
        <f>(W168*R168*365*[5]Analysis!BK168)/10^4</f>
        <v>368.79045584377309</v>
      </c>
      <c r="BV168">
        <f>(X168*I168*365*[5]Analysis!BL168)/10^4</f>
        <v>191.59092077743773</v>
      </c>
      <c r="BW168">
        <f>(W168*R168*365*[5]Analysis!BL168)/10^4</f>
        <v>193.17202080614754</v>
      </c>
      <c r="BX168">
        <f t="shared" si="130"/>
        <v>2722148.511259275</v>
      </c>
      <c r="BY168">
        <f t="shared" si="131"/>
        <v>2744612.9843764761</v>
      </c>
      <c r="BZ168">
        <f t="shared" si="132"/>
        <v>10342593.777336134</v>
      </c>
      <c r="CA168">
        <f t="shared" si="133"/>
        <v>10436877.510142062</v>
      </c>
      <c r="CB168">
        <f t="shared" si="134"/>
        <v>-813337.77332828823</v>
      </c>
      <c r="CC168">
        <f t="shared" si="135"/>
        <v>-828234.23999999999</v>
      </c>
      <c r="CD168">
        <f t="shared" si="136"/>
        <v>0</v>
      </c>
      <c r="CE168">
        <f t="shared" si="137"/>
        <v>0</v>
      </c>
      <c r="CF168">
        <f t="shared" si="138"/>
        <v>6200216.0421354035</v>
      </c>
      <c r="CG168">
        <f t="shared" si="139"/>
        <v>6256737.6000000006</v>
      </c>
      <c r="CH168">
        <f t="shared" si="140"/>
        <v>910478.35818242445</v>
      </c>
      <c r="CI168">
        <f t="shared" si="141"/>
        <v>918778.33593428787</v>
      </c>
      <c r="CJ168">
        <f t="shared" si="142"/>
        <v>-2863020.5255298289</v>
      </c>
      <c r="CK168">
        <f t="shared" si="143"/>
        <v>-2889120.0000000005</v>
      </c>
      <c r="CL168">
        <f t="shared" si="144"/>
        <v>2221055.6227627713</v>
      </c>
      <c r="CM168">
        <f t="shared" si="145"/>
        <v>2241302.9049621895</v>
      </c>
    </row>
    <row r="169" spans="1:91" x14ac:dyDescent="0.2">
      <c r="A169" s="2" t="s">
        <v>191</v>
      </c>
      <c r="B169" s="2" t="str">
        <f t="shared" si="149"/>
        <v>KAHALGAON TPS</v>
      </c>
      <c r="C169" s="2" t="str">
        <f>VLOOKUP($A169,'[1]daily coal, energy reqd'!$C$2:$T$599,17,FALSE)</f>
        <v>Bihar</v>
      </c>
      <c r="D169" s="2" t="str">
        <f>VLOOKUP(C169,'Target PLF'!$I$2:$J$19,2,FALSE)</f>
        <v>ER</v>
      </c>
      <c r="E169" s="2" t="str">
        <f>VLOOKUP(A169,[2]Ownership!$C$2:$D$666,2,FALSE)</f>
        <v>CENTRAL SECTOR</v>
      </c>
      <c r="F169" s="2" t="s">
        <v>544</v>
      </c>
      <c r="G169" s="12">
        <v>13.1772758384668</v>
      </c>
      <c r="H169" s="2">
        <v>500</v>
      </c>
      <c r="I169" s="2">
        <f>VLOOKUP(A169,'[3]Calculated coal req (reg.)'!$A$2:$I$599,9,FALSE)</f>
        <v>9.9265087990183094</v>
      </c>
      <c r="J169" s="2"/>
      <c r="K169" s="11">
        <v>0.82720906658485915</v>
      </c>
      <c r="L169" s="3">
        <f>VLOOKUP(F169,'Target PLF'!$A$2:$B$11,2,FALSE)</f>
        <v>0.8</v>
      </c>
      <c r="M169" s="3">
        <f t="shared" si="123"/>
        <v>-2.720906658485911E-2</v>
      </c>
      <c r="N169" s="2" t="str">
        <f t="shared" si="102"/>
        <v>0.15</v>
      </c>
      <c r="O169" s="2">
        <f t="shared" si="98"/>
        <v>12.772220568298557</v>
      </c>
      <c r="P169" s="2">
        <f t="shared" si="103"/>
        <v>2330930.2537144865</v>
      </c>
      <c r="Q169" s="2">
        <f t="shared" si="104"/>
        <v>13.089317662183436</v>
      </c>
      <c r="R169" s="2">
        <f t="shared" si="105"/>
        <v>9.6</v>
      </c>
      <c r="S169" s="2">
        <f t="shared" si="106"/>
        <v>2248282.7984456257</v>
      </c>
      <c r="T169" s="2" t="str">
        <f>VLOOKUP(A169,'[4]CEA vs MERIT comp. &amp; NPA marker'!$C$2:$K$735,9,FALSE)</f>
        <v>Contracted</v>
      </c>
      <c r="U169" s="3">
        <f>VLOOKUP(B169,'[8]Import-Domestic share'!$A$208:$F$406,6,FALSE)</f>
        <v>0</v>
      </c>
      <c r="V169" s="3">
        <f t="shared" si="107"/>
        <v>0</v>
      </c>
      <c r="W169" s="2">
        <f t="shared" si="108"/>
        <v>2791.1653536030117</v>
      </c>
      <c r="X169" s="2">
        <f t="shared" si="109"/>
        <v>2782.1708198111751</v>
      </c>
      <c r="Y169" s="6">
        <f t="shared" si="110"/>
        <v>0.30811503119650646</v>
      </c>
      <c r="Z169" s="2">
        <f t="shared" si="111"/>
        <v>2597418.3089865795</v>
      </c>
      <c r="AA169" s="2">
        <f t="shared" si="112"/>
        <v>2677105.1038251426</v>
      </c>
      <c r="AB169" s="2" t="s">
        <v>598</v>
      </c>
      <c r="AC169" s="12">
        <f>VLOOKUP(B169,[9]Sheet1!$A$2:$B$137,2,FALSE)</f>
        <v>3765.3709320470821</v>
      </c>
      <c r="AD169" s="12">
        <f t="shared" si="113"/>
        <v>1882685.4660235411</v>
      </c>
      <c r="AE169" s="2" t="s">
        <v>589</v>
      </c>
      <c r="AF169" s="7">
        <f>VLOOKUP($B169,'[9]Subsidiary wise dispatch'!$A$3:$R$138,11,FALSE)*$H169*$O169*365</f>
        <v>0</v>
      </c>
      <c r="AG169" s="7">
        <f>VLOOKUP($B169,'[9]Subsidiary wise dispatch'!$A$3:$R$138,12,FALSE)*$H169*$O169*365</f>
        <v>0</v>
      </c>
      <c r="AH169" s="7">
        <f>VLOOKUP($B169,'[9]Subsidiary wise dispatch'!$A$3:$R$138,13,FALSE)*$H169*$O169*365</f>
        <v>2330930.2537144865</v>
      </c>
      <c r="AI169" s="7">
        <f>VLOOKUP($B169,'[9]Subsidiary wise dispatch'!$A$3:$R$138,14,FALSE)*$H169*$O169*365</f>
        <v>0</v>
      </c>
      <c r="AJ169" s="7">
        <f>VLOOKUP($B169,'[9]Subsidiary wise dispatch'!$A$3:$R$138,15,FALSE)*$H169*$O169*365</f>
        <v>0</v>
      </c>
      <c r="AK169" s="7">
        <f>VLOOKUP($B169,'[9]Subsidiary wise dispatch'!$A$3:$R$138,16,FALSE)*$H169*$O169*365</f>
        <v>0</v>
      </c>
      <c r="AL169" s="7">
        <f>VLOOKUP($B169,'[9]Subsidiary wise dispatch'!$A$3:$R$138,17,FALSE)*$H169*$O169*365</f>
        <v>0</v>
      </c>
      <c r="AM169" s="7">
        <f>VLOOKUP($B169,'[9]Subsidiary wise dispatch'!$A$3:$R$138,18,FALSE)*$H169*$O169*365</f>
        <v>0</v>
      </c>
      <c r="AN169" s="15">
        <f t="shared" si="114"/>
        <v>2330930.2537144865</v>
      </c>
      <c r="AO169" s="6">
        <v>7.2417181230320551E-2</v>
      </c>
      <c r="AP169" s="11">
        <f t="shared" si="115"/>
        <v>0.71884978668288046</v>
      </c>
      <c r="AQ169" s="11">
        <f t="shared" si="116"/>
        <v>0.69520493981107723</v>
      </c>
      <c r="AR169" s="3">
        <f>VLOOKUP(A169,[10]Sheet1!$A$2:$L$542,12,FALSE)</f>
        <v>2.3116842468752798</v>
      </c>
      <c r="AS169" s="3">
        <f t="shared" si="124"/>
        <v>1.8887038558259057</v>
      </c>
      <c r="AT169" s="3">
        <f t="shared" si="125"/>
        <v>1.889625795539569</v>
      </c>
      <c r="AU169" s="3">
        <f t="shared" si="117"/>
        <v>-9.2193971366327787E-4</v>
      </c>
      <c r="AV169" s="88">
        <f t="shared" si="126"/>
        <v>-1.9939348174716452E-2</v>
      </c>
      <c r="AW169" s="32">
        <f t="shared" si="127"/>
        <v>1.0069026122010593E-2</v>
      </c>
      <c r="AX169" s="12">
        <f t="shared" si="118"/>
        <v>684.31059369124159</v>
      </c>
      <c r="AY169" s="12">
        <f t="shared" si="119"/>
        <v>662.12487875706506</v>
      </c>
      <c r="AZ169" s="3">
        <f>VLOOKUP(A169,[5]Analysis!$A$3:$BJ$543,62,FALSE)</f>
        <v>0.5026696055634261</v>
      </c>
      <c r="BA169" s="2"/>
      <c r="BB169" s="2"/>
      <c r="BC169" s="2" t="str">
        <f>VLOOKUP(A169,'[6]FGD status - Jun 2020'!$I$2:$M$449,5,FALSE)</f>
        <v>Bid Awarded</v>
      </c>
      <c r="BD169" s="2"/>
      <c r="BE169" s="2"/>
      <c r="BF169" s="2">
        <f t="shared" si="120"/>
        <v>828.56402963388166</v>
      </c>
      <c r="BG169" s="2">
        <f t="shared" si="121"/>
        <v>803.90096663134636</v>
      </c>
      <c r="BH169" s="2"/>
      <c r="BI169" s="2"/>
      <c r="BK169">
        <f t="shared" si="122"/>
        <v>413.60453329242955</v>
      </c>
      <c r="BL169">
        <f>VLOOKUP(A169,'[11]Daily coal vs energy req.2'!$C$2:$P$599,14,FALSE)</f>
        <v>0.96</v>
      </c>
      <c r="BM169">
        <f>VLOOKUP(A169,'[11]Daily coal vs energy req.2'!$C$2:$R$599,16,FALSE)</f>
        <v>0.97</v>
      </c>
      <c r="BN169">
        <f>BL169*H169</f>
        <v>480</v>
      </c>
      <c r="BO169">
        <f>BM169*H169</f>
        <v>485</v>
      </c>
      <c r="BP169" s="2" t="str">
        <f>VLOOKUP(A169,'[7]Table 2'!$J$2:$N$449,5,FALSE)</f>
        <v>Bid Awarded</v>
      </c>
      <c r="BR169">
        <f t="shared" si="128"/>
        <v>506.70572782382544</v>
      </c>
      <c r="BS169">
        <f t="shared" si="129"/>
        <v>491.62310917021756</v>
      </c>
      <c r="BT169">
        <f>(X169*I169*365*[5]Analysis!BK169)/10^4</f>
        <v>407.51414319658511</v>
      </c>
      <c r="BU169">
        <f>(W169*R169*365*[5]Analysis!BK169)/10^4</f>
        <v>395.38406437512992</v>
      </c>
      <c r="BV169">
        <f>(X169*I169*365*[5]Analysis!BL169)/10^4</f>
        <v>99.191584627240346</v>
      </c>
      <c r="BW169">
        <f>(W169*R169*365*[5]Analysis!BL169)/10^4</f>
        <v>96.239044795087707</v>
      </c>
      <c r="BX169">
        <f t="shared" si="130"/>
        <v>2830767.4201308307</v>
      </c>
      <c r="BY169">
        <f t="shared" si="131"/>
        <v>2746506.7079453636</v>
      </c>
      <c r="BZ169">
        <f t="shared" si="132"/>
        <v>9434552.5134562999</v>
      </c>
      <c r="CA169">
        <f t="shared" si="133"/>
        <v>9124225.4414903298</v>
      </c>
      <c r="CB169">
        <f t="shared" si="134"/>
        <v>-885531.01863463235</v>
      </c>
      <c r="CC169">
        <f t="shared" si="135"/>
        <v>-828234.23999999999</v>
      </c>
      <c r="CD169">
        <f t="shared" si="136"/>
        <v>0</v>
      </c>
      <c r="CE169">
        <f t="shared" si="137"/>
        <v>0</v>
      </c>
      <c r="CF169">
        <f t="shared" si="138"/>
        <v>6469537.58745299</v>
      </c>
      <c r="CG169">
        <f t="shared" si="139"/>
        <v>6256737.6000000006</v>
      </c>
      <c r="CH169">
        <f t="shared" si="140"/>
        <v>968540.76927698636</v>
      </c>
      <c r="CI169">
        <f t="shared" si="141"/>
        <v>936682.93388090318</v>
      </c>
      <c r="CJ169">
        <f t="shared" si="142"/>
        <v>-2987382.8230645605</v>
      </c>
      <c r="CK169">
        <f t="shared" si="143"/>
        <v>-2889120.0000000005</v>
      </c>
      <c r="CL169">
        <f t="shared" si="144"/>
        <v>2032219.976343117</v>
      </c>
      <c r="CM169">
        <f t="shared" si="145"/>
        <v>1965374.9538632671</v>
      </c>
    </row>
    <row r="170" spans="1:91" x14ac:dyDescent="0.2">
      <c r="A170" s="2" t="s">
        <v>190</v>
      </c>
      <c r="B170" s="2" t="s">
        <v>584</v>
      </c>
      <c r="C170" s="2" t="str">
        <f>VLOOKUP($A170,'[1]daily coal, energy reqd'!$C$2:$T$599,17,FALSE)</f>
        <v>Madhya Pradesh</v>
      </c>
      <c r="D170" s="2" t="str">
        <f>VLOOKUP(C170,'Target PLF'!$I$2:$J$19,2,FALSE)</f>
        <v>WR</v>
      </c>
      <c r="E170" s="2" t="str">
        <f>VLOOKUP(A170,[2]Ownership!$C$2:$D$666,2,FALSE)</f>
        <v>CENTRAL SECTOR</v>
      </c>
      <c r="F170" s="2" t="s">
        <v>544</v>
      </c>
      <c r="G170" s="12">
        <v>13.1772758384668</v>
      </c>
      <c r="H170" s="2">
        <v>500</v>
      </c>
      <c r="I170" s="2">
        <f>VLOOKUP(A170,'[3]Calculated coal req (reg.)'!$A$2:$I$599,9,FALSE)</f>
        <v>10.891056321839001</v>
      </c>
      <c r="J170" s="2"/>
      <c r="K170" s="11">
        <v>0.90758802681991668</v>
      </c>
      <c r="L170" s="3">
        <f>VLOOKUP(F170,'Target PLF'!$A$2:$B$11,2,FALSE)</f>
        <v>0.8</v>
      </c>
      <c r="M170" s="3">
        <f t="shared" si="123"/>
        <v>-0.10758802681991664</v>
      </c>
      <c r="N170" s="2" t="str">
        <f t="shared" si="102"/>
        <v>0.15</v>
      </c>
      <c r="O170" s="2">
        <f t="shared" si="98"/>
        <v>13.890557155736984</v>
      </c>
      <c r="P170" s="2">
        <f t="shared" si="103"/>
        <v>2535026.6809219997</v>
      </c>
      <c r="Q170" s="2">
        <f t="shared" si="104"/>
        <v>13.089317662183436</v>
      </c>
      <c r="R170" s="2">
        <f t="shared" si="105"/>
        <v>9.6</v>
      </c>
      <c r="S170" s="2">
        <f t="shared" si="106"/>
        <v>2248282.7984456257</v>
      </c>
      <c r="T170" s="2" t="str">
        <f>VLOOKUP(A170,'[4]CEA vs MERIT comp. &amp; NPA marker'!$C$2:$K$735,9,FALSE)</f>
        <v>Contracted</v>
      </c>
      <c r="U170" s="3">
        <f>VLOOKUP(B170,'[8]Import-Domestic share'!$A$208:$F$406,6,FALSE)</f>
        <v>0</v>
      </c>
      <c r="V170" s="3">
        <f t="shared" si="107"/>
        <v>0</v>
      </c>
      <c r="W170" s="2">
        <f t="shared" si="108"/>
        <v>2791.1653536030117</v>
      </c>
      <c r="X170" s="2">
        <f t="shared" si="109"/>
        <v>2755.5998504715199</v>
      </c>
      <c r="Y170" s="6">
        <f t="shared" si="110"/>
        <v>0.30811503119650646</v>
      </c>
      <c r="Z170" s="2">
        <f t="shared" si="111"/>
        <v>2197519.726865964</v>
      </c>
      <c r="AA170" s="2">
        <f t="shared" si="112"/>
        <v>2461286.3330591628</v>
      </c>
      <c r="AB170" s="2" t="s">
        <v>598</v>
      </c>
      <c r="AC170" s="12">
        <f>VLOOKUP(B170,[9]Sheet1!$A$2:$B$137,2,FALSE)</f>
        <v>4450.5827544825906</v>
      </c>
      <c r="AD170" s="12">
        <f t="shared" si="113"/>
        <v>2225291.3772412953</v>
      </c>
      <c r="AE170" s="2" t="s">
        <v>589</v>
      </c>
      <c r="AF170" s="7">
        <f>VLOOKUP($B170,'[9]Subsidiary wise dispatch'!$A$3:$R$138,11,FALSE)*$H170*$O170*365</f>
        <v>0</v>
      </c>
      <c r="AG170" s="7">
        <f>VLOOKUP($B170,'[9]Subsidiary wise dispatch'!$A$3:$R$138,12,FALSE)*$H170*$O170*365</f>
        <v>0</v>
      </c>
      <c r="AH170" s="7">
        <f>VLOOKUP($B170,'[9]Subsidiary wise dispatch'!$A$3:$R$138,13,FALSE)*$H170*$O170*365</f>
        <v>0</v>
      </c>
      <c r="AI170" s="7">
        <f>VLOOKUP($B170,'[9]Subsidiary wise dispatch'!$A$3:$R$138,14,FALSE)*$H170*$O170*365</f>
        <v>0</v>
      </c>
      <c r="AJ170" s="7">
        <f>VLOOKUP($B170,'[9]Subsidiary wise dispatch'!$A$3:$R$138,15,FALSE)*$H170*$O170*365</f>
        <v>2535026.6809219997</v>
      </c>
      <c r="AK170" s="7">
        <f>VLOOKUP($B170,'[9]Subsidiary wise dispatch'!$A$3:$R$138,16,FALSE)*$H170*$O170*365</f>
        <v>0</v>
      </c>
      <c r="AL170" s="7">
        <f>VLOOKUP($B170,'[9]Subsidiary wise dispatch'!$A$3:$R$138,17,FALSE)*$H170*$O170*365</f>
        <v>0</v>
      </c>
      <c r="AM170" s="7">
        <f>VLOOKUP($B170,'[9]Subsidiary wise dispatch'!$A$3:$R$138,18,FALSE)*$H170*$O170*365</f>
        <v>0</v>
      </c>
      <c r="AN170" s="15">
        <f t="shared" si="114"/>
        <v>2535026.6809219997</v>
      </c>
      <c r="AO170" s="6">
        <v>6.5179373950034494E-2</v>
      </c>
      <c r="AP170" s="11">
        <f t="shared" si="115"/>
        <v>0.70987223271203148</v>
      </c>
      <c r="AQ170" s="11">
        <f t="shared" si="116"/>
        <v>0.62572198992033112</v>
      </c>
      <c r="AR170" s="3">
        <f>VLOOKUP(A170,[10]Sheet1!$A$2:$L$542,12,FALSE)</f>
        <v>1.5529027930695301</v>
      </c>
      <c r="AS170" s="3">
        <f t="shared" si="124"/>
        <v>1.6828040375123541</v>
      </c>
      <c r="AT170" s="3">
        <f t="shared" si="125"/>
        <v>1.6864495015833321</v>
      </c>
      <c r="AU170" s="3">
        <f t="shared" si="117"/>
        <v>-3.6454640709779884E-3</v>
      </c>
      <c r="AV170" s="88">
        <f t="shared" si="126"/>
        <v>-7.884265781417131E-2</v>
      </c>
      <c r="AW170" s="32">
        <f t="shared" si="127"/>
        <v>4.4685650893942115E-2</v>
      </c>
      <c r="AX170" s="12">
        <f t="shared" si="118"/>
        <v>668.9542446175268</v>
      </c>
      <c r="AY170" s="12">
        <f t="shared" si="119"/>
        <v>590.9319053547996</v>
      </c>
      <c r="AZ170" s="3">
        <f>VLOOKUP(A170,[5]Analysis!$A$3:$BJ$543,62,FALSE)</f>
        <v>0.40603530059943072</v>
      </c>
      <c r="BA170" s="2"/>
      <c r="BB170" s="2"/>
      <c r="BC170" s="2" t="str">
        <f>VLOOKUP(A170,'[6]FGD status - Jun 2020'!$I$2:$M$449,5,FALSE)</f>
        <v>Bid Awarded</v>
      </c>
      <c r="BD170" s="2"/>
      <c r="BE170" s="2"/>
      <c r="BF170" s="2">
        <f t="shared" si="120"/>
        <v>761.76812008181082</v>
      </c>
      <c r="BG170" s="2">
        <f t="shared" si="121"/>
        <v>680.13235546501585</v>
      </c>
      <c r="BH170" s="2"/>
      <c r="BI170" s="2"/>
      <c r="BK170">
        <f t="shared" si="122"/>
        <v>453.79401340995832</v>
      </c>
      <c r="BL170" t="str">
        <f>VLOOKUP(A170,'[11]Daily coal vs energy req.2'!$C$2:$P$599,14,FALSE)</f>
        <v/>
      </c>
      <c r="BM170" t="str">
        <f>VLOOKUP(A170,'[11]Daily coal vs energy req.2'!$C$2:$R$599,16,FALSE)</f>
        <v/>
      </c>
      <c r="BP170" s="2" t="str">
        <f>VLOOKUP(A170,'[7]Table 2'!$J$2:$N$449,5,FALSE)</f>
        <v>Bid Awarded</v>
      </c>
      <c r="BR170">
        <f t="shared" si="128"/>
        <v>444.77750425108457</v>
      </c>
      <c r="BS170">
        <f t="shared" si="129"/>
        <v>397.11240684586954</v>
      </c>
      <c r="BT170">
        <f>(X170*I170*365*[5]Analysis!BK170)/10^4</f>
        <v>416.91654372584645</v>
      </c>
      <c r="BU170">
        <f>(W170*R170*365*[5]Analysis!BK170)/10^4</f>
        <v>372.23719848782883</v>
      </c>
      <c r="BV170">
        <f>(X170*I170*365*[5]Analysis!BL170)/10^4</f>
        <v>27.860960525238113</v>
      </c>
      <c r="BW170">
        <f>(W170*R170*365*[5]Analysis!BL170)/10^4</f>
        <v>24.875208358040712</v>
      </c>
      <c r="BX170">
        <f t="shared" si="130"/>
        <v>3076167.8001234862</v>
      </c>
      <c r="BY170">
        <f t="shared" si="131"/>
        <v>2746506.7079453636</v>
      </c>
      <c r="BZ170">
        <f t="shared" si="132"/>
        <v>8361341.1793053774</v>
      </c>
      <c r="CA170">
        <f t="shared" si="133"/>
        <v>7370164.3761013886</v>
      </c>
      <c r="CB170">
        <f t="shared" si="134"/>
        <v>-1065984.0892554349</v>
      </c>
      <c r="CC170">
        <f t="shared" si="135"/>
        <v>-828234.23999999999</v>
      </c>
      <c r="CD170">
        <f t="shared" si="136"/>
        <v>0</v>
      </c>
      <c r="CE170">
        <f t="shared" si="137"/>
        <v>0</v>
      </c>
      <c r="CF170">
        <f t="shared" si="138"/>
        <v>7098175.1658924771</v>
      </c>
      <c r="CG170">
        <f t="shared" si="139"/>
        <v>6256737.6000000006</v>
      </c>
      <c r="CH170">
        <f t="shared" si="140"/>
        <v>1062652.7696460744</v>
      </c>
      <c r="CI170">
        <f t="shared" si="141"/>
        <v>936682.93388090318</v>
      </c>
      <c r="CJ170">
        <f t="shared" si="142"/>
        <v>-3277663.4000574476</v>
      </c>
      <c r="CK170">
        <f t="shared" si="143"/>
        <v>-2889120.0000000005</v>
      </c>
      <c r="CL170">
        <f t="shared" si="144"/>
        <v>2006840.0362551522</v>
      </c>
      <c r="CM170">
        <f t="shared" si="145"/>
        <v>1768943.5972723325</v>
      </c>
    </row>
    <row r="171" spans="1:91" x14ac:dyDescent="0.2">
      <c r="A171" s="2" t="s">
        <v>197</v>
      </c>
      <c r="B171" s="2" t="str">
        <f t="shared" ref="B171:B202" si="152">LEFT(A171,LEN(A171)-LEN(RIGHT(A171,1)))</f>
        <v>VINDHYACHAL STPS</v>
      </c>
      <c r="C171" s="2" t="str">
        <f>VLOOKUP($A171,'[1]daily coal, energy reqd'!$C$2:$T$599,17,FALSE)</f>
        <v>Madhya Pradesh</v>
      </c>
      <c r="D171" s="2" t="str">
        <f>VLOOKUP(C171,'Target PLF'!$I$2:$J$19,2,FALSE)</f>
        <v>WR</v>
      </c>
      <c r="E171" s="2" t="str">
        <f>VLOOKUP(A171,[2]Ownership!$C$2:$D$666,2,FALSE)</f>
        <v>CENTRAL SECTOR</v>
      </c>
      <c r="F171" s="2" t="s">
        <v>544</v>
      </c>
      <c r="G171" s="12">
        <v>13.8425735797399</v>
      </c>
      <c r="H171" s="2">
        <v>500</v>
      </c>
      <c r="I171" s="2">
        <f>VLOOKUP(A171,'[3]Calculated coal req (reg.)'!$A$2:$I$599,9,FALSE)</f>
        <v>10.732536438194099</v>
      </c>
      <c r="J171" s="2"/>
      <c r="K171" s="11">
        <v>0.89437803651617498</v>
      </c>
      <c r="L171" s="3">
        <f>VLOOKUP(F171,'Target PLF'!$A$2:$B$11,2,FALSE)</f>
        <v>0.8</v>
      </c>
      <c r="M171" s="3">
        <f t="shared" si="123"/>
        <v>-9.4378036516174935E-2</v>
      </c>
      <c r="N171" s="2" t="str">
        <f t="shared" si="102"/>
        <v>0.15</v>
      </c>
      <c r="O171" s="2">
        <f t="shared" si="98"/>
        <v>13.727835903598759</v>
      </c>
      <c r="P171" s="2">
        <f t="shared" si="103"/>
        <v>2505330.0524067734</v>
      </c>
      <c r="Q171" s="2">
        <f t="shared" si="104"/>
        <v>13.110390968138262</v>
      </c>
      <c r="R171" s="2">
        <f t="shared" si="105"/>
        <v>9.6</v>
      </c>
      <c r="S171" s="2">
        <f t="shared" si="106"/>
        <v>2251902.4486449254</v>
      </c>
      <c r="T171" s="2" t="str">
        <f>VLOOKUP(A171,'[4]CEA vs MERIT comp. &amp; NPA marker'!$C$2:$K$735,9,FALSE)</f>
        <v>Contracted</v>
      </c>
      <c r="U171" s="3">
        <f>VLOOKUP(B171,'[8]Import-Domestic share'!$A$208:$F$406,6,FALSE)</f>
        <v>0</v>
      </c>
      <c r="V171" s="3">
        <f t="shared" si="107"/>
        <v>0</v>
      </c>
      <c r="W171" s="2">
        <f t="shared" si="108"/>
        <v>2796.2485856112253</v>
      </c>
      <c r="X171" s="2">
        <f t="shared" si="109"/>
        <v>2765.0499248264296</v>
      </c>
      <c r="Y171" s="6">
        <f t="shared" si="110"/>
        <v>0.30755491640669519</v>
      </c>
      <c r="Z171" s="2">
        <f t="shared" si="111"/>
        <v>2201521.8196118725</v>
      </c>
      <c r="AA171" s="2">
        <f t="shared" si="112"/>
        <v>2433780.081997952</v>
      </c>
      <c r="AB171" s="2" t="s">
        <v>598</v>
      </c>
      <c r="AC171" s="12">
        <f>VLOOKUP(B171,[9]Sheet1!$A$2:$B$137,2,FALSE)</f>
        <v>4450.5827544825906</v>
      </c>
      <c r="AD171" s="12">
        <f t="shared" si="113"/>
        <v>2225291.3772412953</v>
      </c>
      <c r="AE171" s="2" t="s">
        <v>589</v>
      </c>
      <c r="AF171" s="7">
        <f>VLOOKUP($B171,'[9]Subsidiary wise dispatch'!$A$3:$R$138,11,FALSE)*$H171*$O171*365</f>
        <v>0</v>
      </c>
      <c r="AG171" s="7">
        <f>VLOOKUP($B171,'[9]Subsidiary wise dispatch'!$A$3:$R$138,12,FALSE)*$H171*$O171*365</f>
        <v>0</v>
      </c>
      <c r="AH171" s="7">
        <f>VLOOKUP($B171,'[9]Subsidiary wise dispatch'!$A$3:$R$138,13,FALSE)*$H171*$O171*365</f>
        <v>0</v>
      </c>
      <c r="AI171" s="7">
        <f>VLOOKUP($B171,'[9]Subsidiary wise dispatch'!$A$3:$R$138,14,FALSE)*$H171*$O171*365</f>
        <v>0</v>
      </c>
      <c r="AJ171" s="7">
        <f>VLOOKUP($B171,'[9]Subsidiary wise dispatch'!$A$3:$R$138,15,FALSE)*$H171*$O171*365</f>
        <v>2505330.0524067734</v>
      </c>
      <c r="AK171" s="7">
        <f>VLOOKUP($B171,'[9]Subsidiary wise dispatch'!$A$3:$R$138,16,FALSE)*$H171*$O171*365</f>
        <v>0</v>
      </c>
      <c r="AL171" s="7">
        <f>VLOOKUP($B171,'[9]Subsidiary wise dispatch'!$A$3:$R$138,17,FALSE)*$H171*$O171*365</f>
        <v>0</v>
      </c>
      <c r="AM171" s="7">
        <f>VLOOKUP($B171,'[9]Subsidiary wise dispatch'!$A$3:$R$138,18,FALSE)*$H171*$O171*365</f>
        <v>0</v>
      </c>
      <c r="AN171" s="15">
        <f t="shared" si="114"/>
        <v>2505330.0524067734</v>
      </c>
      <c r="AO171" s="6">
        <v>6.5179373950034494E-2</v>
      </c>
      <c r="AP171" s="11">
        <f t="shared" si="115"/>
        <v>0.69954000593742449</v>
      </c>
      <c r="AQ171" s="11">
        <f t="shared" si="116"/>
        <v>0.62572198992033112</v>
      </c>
      <c r="AR171" s="3">
        <f>VLOOKUP(A171,[10]Sheet1!$A$2:$L$542,12,FALSE)</f>
        <v>1.5529027930695301</v>
      </c>
      <c r="AS171" s="3">
        <f t="shared" si="124"/>
        <v>1.6886988672589889</v>
      </c>
      <c r="AT171" s="3">
        <f t="shared" si="125"/>
        <v>1.6918967299894305</v>
      </c>
      <c r="AU171" s="3">
        <f t="shared" si="117"/>
        <v>-3.1978627304416474E-3</v>
      </c>
      <c r="AV171" s="88">
        <f t="shared" si="126"/>
        <v>-6.9162112719783314E-2</v>
      </c>
      <c r="AW171" s="32">
        <f t="shared" si="127"/>
        <v>3.9062174593870319E-2</v>
      </c>
      <c r="AX171" s="12">
        <f t="shared" si="118"/>
        <v>661.5268075987882</v>
      </c>
      <c r="AY171" s="12">
        <f t="shared" si="119"/>
        <v>592.8406141882964</v>
      </c>
      <c r="AZ171" s="3">
        <f>VLOOKUP(A171,[5]Analysis!$A$3:$BJ$543,62,FALSE)</f>
        <v>0.40603530059943072</v>
      </c>
      <c r="BA171" s="2"/>
      <c r="BB171" s="2"/>
      <c r="BC171" s="2" t="str">
        <f>VLOOKUP(A171,'[6]FGD status - Jun 2020'!$I$2:$M$449,5,FALSE)</f>
        <v>Bid Awarded</v>
      </c>
      <c r="BD171" s="2"/>
      <c r="BE171" s="2"/>
      <c r="BF171" s="2">
        <f t="shared" si="120"/>
        <v>753.2549353783661</v>
      </c>
      <c r="BG171" s="2">
        <f t="shared" si="121"/>
        <v>681.3710031698746</v>
      </c>
      <c r="BH171" s="2"/>
      <c r="BI171" s="2"/>
      <c r="BK171">
        <f t="shared" si="122"/>
        <v>447.18901825808751</v>
      </c>
      <c r="BL171">
        <f>VLOOKUP(A171,'[11]Daily coal vs energy req.2'!$C$2:$P$599,14,FALSE)</f>
        <v>1</v>
      </c>
      <c r="BM171">
        <f>VLOOKUP(A171,'[11]Daily coal vs energy req.2'!$C$2:$R$599,16,FALSE)</f>
        <v>1.0900000000000001</v>
      </c>
      <c r="BN171">
        <f t="shared" ref="BN171:BN179" si="153">BL171*H171</f>
        <v>500</v>
      </c>
      <c r="BO171">
        <f t="shared" ref="BO171:BO179" si="154">BM171*H171</f>
        <v>545</v>
      </c>
      <c r="BP171" s="2" t="str">
        <f>VLOOKUP(A171,'[7]Table 2'!$J$2:$N$449,5,FALSE)</f>
        <v>Bid Awarded</v>
      </c>
      <c r="BR171">
        <f t="shared" si="128"/>
        <v>439.80686693270997</v>
      </c>
      <c r="BS171">
        <f t="shared" si="129"/>
        <v>397.83562250728909</v>
      </c>
      <c r="BT171">
        <f>(X171*I171*365*[5]Analysis!BK171)/10^4</f>
        <v>412.25726822048824</v>
      </c>
      <c r="BU171">
        <f>(W171*R171*365*[5]Analysis!BK171)/10^4</f>
        <v>372.915111761422</v>
      </c>
      <c r="BV171">
        <f>(X171*I171*365*[5]Analysis!BL171)/10^4</f>
        <v>27.549598712221748</v>
      </c>
      <c r="BW171">
        <f>(W171*R171*365*[5]Analysis!BL171)/10^4</f>
        <v>24.920510745867123</v>
      </c>
      <c r="BX171">
        <f t="shared" si="130"/>
        <v>3041789.9048416144</v>
      </c>
      <c r="BY171">
        <f t="shared" si="131"/>
        <v>2751508.6082414454</v>
      </c>
      <c r="BZ171">
        <f t="shared" si="132"/>
        <v>8239641.4293737747</v>
      </c>
      <c r="CA171">
        <f t="shared" si="133"/>
        <v>7370164.3761013886</v>
      </c>
      <c r="CB171">
        <f t="shared" si="134"/>
        <v>-1035179.0112304473</v>
      </c>
      <c r="CC171">
        <f t="shared" si="135"/>
        <v>-828234.23999999999</v>
      </c>
      <c r="CD171">
        <f t="shared" si="136"/>
        <v>0</v>
      </c>
      <c r="CE171">
        <f t="shared" si="137"/>
        <v>0</v>
      </c>
      <c r="CF171">
        <f t="shared" si="138"/>
        <v>6994860.8621061565</v>
      </c>
      <c r="CG171">
        <f t="shared" si="139"/>
        <v>6256737.6000000006</v>
      </c>
      <c r="CH171">
        <f t="shared" si="140"/>
        <v>1100056.3942018098</v>
      </c>
      <c r="CI171">
        <f t="shared" si="141"/>
        <v>983974.42628336709</v>
      </c>
      <c r="CJ171">
        <f t="shared" si="142"/>
        <v>-3229956.8410745147</v>
      </c>
      <c r="CK171">
        <f t="shared" si="143"/>
        <v>-2889120.0000000005</v>
      </c>
      <c r="CL171">
        <f t="shared" si="144"/>
        <v>1977630.3765453603</v>
      </c>
      <c r="CM171">
        <f t="shared" si="145"/>
        <v>1768943.5972723325</v>
      </c>
    </row>
    <row r="172" spans="1:91" x14ac:dyDescent="0.2">
      <c r="A172" s="2" t="s">
        <v>204</v>
      </c>
      <c r="B172" s="2" t="str">
        <f t="shared" si="152"/>
        <v>RIHAND STPS</v>
      </c>
      <c r="C172" s="2" t="str">
        <f>VLOOKUP($A172,'[1]daily coal, energy reqd'!$C$2:$T$599,17,FALSE)</f>
        <v>Uttar Pradesh</v>
      </c>
      <c r="D172" s="2" t="str">
        <f>VLOOKUP(C172,'Target PLF'!$I$2:$J$19,2,FALSE)</f>
        <v>NR</v>
      </c>
      <c r="E172" s="2" t="str">
        <f>VLOOKUP(A172,[2]Ownership!$C$2:$D$666,2,FALSE)</f>
        <v>CENTRAL SECTOR</v>
      </c>
      <c r="F172" s="2" t="s">
        <v>544</v>
      </c>
      <c r="G172" s="12">
        <v>14.6721423682409</v>
      </c>
      <c r="H172" s="2">
        <v>500</v>
      </c>
      <c r="I172" s="2">
        <f>VLOOKUP(A172,'[3]Calculated coal req (reg.)'!$A$2:$I$599,9,FALSE)</f>
        <v>9.83250389321468</v>
      </c>
      <c r="J172" s="2"/>
      <c r="K172" s="11">
        <v>0.81937532443455663</v>
      </c>
      <c r="L172" s="3">
        <f>VLOOKUP(F172,'Target PLF'!$A$2:$B$11,2,FALSE)</f>
        <v>0.8</v>
      </c>
      <c r="M172" s="3">
        <f t="shared" si="123"/>
        <v>-1.9375324434556584E-2</v>
      </c>
      <c r="N172" s="2" t="str">
        <f t="shared" si="102"/>
        <v>0.15</v>
      </c>
      <c r="O172" s="2">
        <f t="shared" si="98"/>
        <v>12.710577260969348</v>
      </c>
      <c r="P172" s="2">
        <f t="shared" si="103"/>
        <v>2319680.3501269063</v>
      </c>
      <c r="Q172" s="2">
        <f t="shared" si="104"/>
        <v>13.136667559514031</v>
      </c>
      <c r="R172" s="2">
        <f t="shared" si="105"/>
        <v>9.6</v>
      </c>
      <c r="S172" s="2">
        <f t="shared" si="106"/>
        <v>2256415.8396341749</v>
      </c>
      <c r="T172" s="2" t="str">
        <f>VLOOKUP(A172,'[4]CEA vs MERIT comp. &amp; NPA marker'!$C$2:$K$735,9,FALSE)</f>
        <v>Contracted</v>
      </c>
      <c r="U172" s="3">
        <f>VLOOKUP(B172,'[8]Import-Domestic share'!$A$208:$F$406,6,FALSE)</f>
        <v>0</v>
      </c>
      <c r="V172" s="3">
        <f t="shared" si="107"/>
        <v>0</v>
      </c>
      <c r="W172" s="2">
        <f t="shared" si="108"/>
        <v>2802.586936633812</v>
      </c>
      <c r="X172" s="2">
        <f t="shared" si="109"/>
        <v>2796.1820123850912</v>
      </c>
      <c r="Y172" s="6">
        <f t="shared" si="110"/>
        <v>0.30685934796832609</v>
      </c>
      <c r="Z172" s="2">
        <f t="shared" si="111"/>
        <v>2205815.3054452064</v>
      </c>
      <c r="AA172" s="2">
        <f t="shared" si="112"/>
        <v>2254075.1132509192</v>
      </c>
      <c r="AB172" s="2" t="s">
        <v>598</v>
      </c>
      <c r="AC172" s="12">
        <f>VLOOKUP(B172,[9]Sheet1!$A$2:$B$137,2,FALSE)</f>
        <v>4451.988614696289</v>
      </c>
      <c r="AD172" s="12">
        <f t="shared" si="113"/>
        <v>2225994.3073481447</v>
      </c>
      <c r="AE172" s="2" t="s">
        <v>589</v>
      </c>
      <c r="AF172" s="7">
        <f>VLOOKUP($B172,'[9]Subsidiary wise dispatch'!$A$3:$R$138,11,FALSE)*$H172*$O172*365</f>
        <v>0</v>
      </c>
      <c r="AG172" s="7">
        <f>VLOOKUP($B172,'[9]Subsidiary wise dispatch'!$A$3:$R$138,12,FALSE)*$H172*$O172*365</f>
        <v>0</v>
      </c>
      <c r="AH172" s="7">
        <f>VLOOKUP($B172,'[9]Subsidiary wise dispatch'!$A$3:$R$138,13,FALSE)*$H172*$O172*365</f>
        <v>0</v>
      </c>
      <c r="AI172" s="7">
        <f>VLOOKUP($B172,'[9]Subsidiary wise dispatch'!$A$3:$R$138,14,FALSE)*$H172*$O172*365</f>
        <v>0</v>
      </c>
      <c r="AJ172" s="7">
        <f>VLOOKUP($B172,'[9]Subsidiary wise dispatch'!$A$3:$R$138,15,FALSE)*$H172*$O172*365</f>
        <v>2319680.3501269063</v>
      </c>
      <c r="AK172" s="7">
        <f>VLOOKUP($B172,'[9]Subsidiary wise dispatch'!$A$3:$R$138,16,FALSE)*$H172*$O172*365</f>
        <v>0</v>
      </c>
      <c r="AL172" s="7">
        <f>VLOOKUP($B172,'[9]Subsidiary wise dispatch'!$A$3:$R$138,17,FALSE)*$H172*$O172*365</f>
        <v>0</v>
      </c>
      <c r="AM172" s="7">
        <f>VLOOKUP($B172,'[9]Subsidiary wise dispatch'!$A$3:$R$138,18,FALSE)*$H172*$O172*365</f>
        <v>0</v>
      </c>
      <c r="AN172" s="15">
        <f t="shared" si="114"/>
        <v>2319680.3501269063</v>
      </c>
      <c r="AO172" s="6">
        <v>6.6356788102148762E-2</v>
      </c>
      <c r="AP172" s="11">
        <f t="shared" si="115"/>
        <v>0.65245337735559927</v>
      </c>
      <c r="AQ172" s="11">
        <f t="shared" si="116"/>
        <v>0.63702516578062807</v>
      </c>
      <c r="AR172" s="3">
        <f>VLOOKUP(A172,[10]Sheet1!$A$2:$L$542,12,FALSE)</f>
        <v>1.3619855979097</v>
      </c>
      <c r="AS172" s="3">
        <f t="shared" si="124"/>
        <v>1.7767819107956939</v>
      </c>
      <c r="AT172" s="3">
        <f t="shared" si="125"/>
        <v>1.777438415531188</v>
      </c>
      <c r="AU172" s="3">
        <f t="shared" si="117"/>
        <v>-6.5650473549405675E-4</v>
      </c>
      <c r="AV172" s="88">
        <f t="shared" si="126"/>
        <v>-1.4198625252131758E-2</v>
      </c>
      <c r="AW172" s="32">
        <f t="shared" si="127"/>
        <v>7.6217122846400157E-3</v>
      </c>
      <c r="AX172" s="12">
        <f t="shared" si="118"/>
        <v>637.6628495181609</v>
      </c>
      <c r="AY172" s="12">
        <f t="shared" si="119"/>
        <v>622.81442080212832</v>
      </c>
      <c r="AZ172" s="3">
        <f>VLOOKUP(A172,[5]Analysis!$A$3:$BJ$543,62,FALSE)</f>
        <v>0.44592395047407901</v>
      </c>
      <c r="BA172" s="2"/>
      <c r="BB172" s="2"/>
      <c r="BC172" s="2" t="str">
        <f>VLOOKUP(A172,'[6]FGD status - Jun 2020'!$I$2:$M$449,5,FALSE)</f>
        <v>Bid Awarded</v>
      </c>
      <c r="BD172" s="2"/>
      <c r="BE172" s="2"/>
      <c r="BF172" s="2">
        <f t="shared" si="120"/>
        <v>697.6362475511595</v>
      </c>
      <c r="BG172" s="2">
        <f t="shared" si="121"/>
        <v>682.69983703529135</v>
      </c>
      <c r="BH172" s="2"/>
      <c r="BI172" s="2"/>
      <c r="BK172">
        <f t="shared" si="122"/>
        <v>409.68766221727833</v>
      </c>
      <c r="BL172">
        <f>VLOOKUP(A172,'[11]Daily coal vs energy req.2'!$C$2:$P$599,14,FALSE)</f>
        <v>0.93</v>
      </c>
      <c r="BM172">
        <f>VLOOKUP(A172,'[11]Daily coal vs energy req.2'!$C$2:$R$599,16,FALSE)</f>
        <v>0.81</v>
      </c>
      <c r="BN172">
        <f t="shared" si="153"/>
        <v>465</v>
      </c>
      <c r="BO172">
        <f t="shared" si="154"/>
        <v>405</v>
      </c>
      <c r="BP172" s="2" t="str">
        <f>VLOOKUP(A172,'[7]Table 2'!$J$2:$N$449,5,FALSE)</f>
        <v>Bid Awarded</v>
      </c>
      <c r="BR172">
        <f t="shared" si="128"/>
        <v>447.48989005543461</v>
      </c>
      <c r="BS172">
        <f t="shared" si="129"/>
        <v>437.90911967111117</v>
      </c>
      <c r="BT172">
        <f>(X172*I172*365*[5]Analysis!BK172)/10^4</f>
        <v>381.81709819473889</v>
      </c>
      <c r="BU172">
        <f>(W172*R172*365*[5]Analysis!BK172)/10^4</f>
        <v>373.64238402151074</v>
      </c>
      <c r="BV172">
        <f>(X172*I172*365*[5]Analysis!BL172)/10^4</f>
        <v>65.672791860695725</v>
      </c>
      <c r="BW172">
        <f>(W172*R172*365*[5]Analysis!BL172)/10^4</f>
        <v>64.266735649600434</v>
      </c>
      <c r="BX172">
        <f t="shared" si="130"/>
        <v>2818080.7285986096</v>
      </c>
      <c r="BY172">
        <f t="shared" si="131"/>
        <v>2757745.5456476705</v>
      </c>
      <c r="BZ172">
        <f t="shared" si="132"/>
        <v>8290239.4414741639</v>
      </c>
      <c r="CA172">
        <f t="shared" si="133"/>
        <v>8094204.640292462</v>
      </c>
      <c r="CB172">
        <f t="shared" si="134"/>
        <v>-868838.32305313798</v>
      </c>
      <c r="CC172">
        <f t="shared" si="135"/>
        <v>-828234.23999999999</v>
      </c>
      <c r="CD172">
        <f t="shared" si="136"/>
        <v>0</v>
      </c>
      <c r="CE172">
        <f t="shared" si="137"/>
        <v>0</v>
      </c>
      <c r="CF172">
        <f t="shared" si="138"/>
        <v>6408270.5011273613</v>
      </c>
      <c r="CG172">
        <f t="shared" si="139"/>
        <v>6256737.6000000006</v>
      </c>
      <c r="CH172">
        <f t="shared" si="140"/>
        <v>1068202.0250220213</v>
      </c>
      <c r="CI172">
        <f t="shared" si="141"/>
        <v>1042942.8303901415</v>
      </c>
      <c r="CJ172">
        <f t="shared" si="142"/>
        <v>-2959092.0466629583</v>
      </c>
      <c r="CK172">
        <f t="shared" si="143"/>
        <v>-2889120.0000000005</v>
      </c>
      <c r="CL172">
        <f t="shared" si="144"/>
        <v>1844514.4057328827</v>
      </c>
      <c r="CM172">
        <f t="shared" si="145"/>
        <v>1800898.1727691297</v>
      </c>
    </row>
    <row r="173" spans="1:91" x14ac:dyDescent="0.2">
      <c r="A173" s="2" t="s">
        <v>93</v>
      </c>
      <c r="B173" s="2" t="str">
        <f t="shared" si="152"/>
        <v>MUNDRA TPS</v>
      </c>
      <c r="C173" s="2" t="str">
        <f>VLOOKUP($A173,'[1]daily coal, energy reqd'!$C$2:$T$599,17,FALSE)</f>
        <v>Gujarat</v>
      </c>
      <c r="D173" s="2" t="str">
        <f>VLOOKUP(C173,'Target PLF'!$I$2:$J$19,2,FALSE)</f>
        <v>WR</v>
      </c>
      <c r="E173" s="2" t="str">
        <f>VLOOKUP(A173,[2]Ownership!$C$2:$D$666,2,FALSE)</f>
        <v>PVT SECTOR</v>
      </c>
      <c r="F173" s="2" t="s">
        <v>543</v>
      </c>
      <c r="G173" s="12">
        <v>8.1752224503764506</v>
      </c>
      <c r="H173" s="2">
        <v>660</v>
      </c>
      <c r="I173" s="2">
        <f>VLOOKUP(A173,'[3]Calculated coal req (reg.)'!$A$2:$I$599,9,FALSE)</f>
        <v>11.7336201746208</v>
      </c>
      <c r="J173" s="2"/>
      <c r="K173" s="11">
        <v>0.74075884940787873</v>
      </c>
      <c r="L173" s="3">
        <f>VLOOKUP(F173,'Target PLF'!$A$2:$B$11,2,FALSE)</f>
        <v>0.85</v>
      </c>
      <c r="M173" s="3">
        <f t="shared" si="123"/>
        <v>0.10924115059212125</v>
      </c>
      <c r="N173" s="2" t="str">
        <f t="shared" si="102"/>
        <v>0.15</v>
      </c>
      <c r="O173" s="2">
        <f t="shared" si="98"/>
        <v>9.6879576205823135</v>
      </c>
      <c r="P173" s="2">
        <f t="shared" si="103"/>
        <v>2333828.9907982792</v>
      </c>
      <c r="Q173" s="2">
        <f t="shared" si="104"/>
        <v>11.207862521115675</v>
      </c>
      <c r="R173" s="2">
        <f t="shared" si="105"/>
        <v>13.464</v>
      </c>
      <c r="S173" s="2">
        <f t="shared" si="106"/>
        <v>2699974.081336766</v>
      </c>
      <c r="T173" s="2" t="str">
        <f>VLOOKUP(A173,'[4]CEA vs MERIT comp. &amp; NPA marker'!$C$2:$K$735,9,FALSE)</f>
        <v>Contracted</v>
      </c>
      <c r="U173" s="3">
        <f>VLOOKUP(B173,'[8]Import-Domestic share'!$A$208:$F$406,6,FALSE)</f>
        <v>1</v>
      </c>
      <c r="V173" s="3">
        <f t="shared" si="107"/>
        <v>2333828.9907982792</v>
      </c>
      <c r="W173" s="2">
        <f t="shared" si="108"/>
        <v>2813.7552516153319</v>
      </c>
      <c r="X173" s="2">
        <f t="shared" si="109"/>
        <v>2849.8672298559504</v>
      </c>
      <c r="Y173" s="6">
        <f t="shared" si="110"/>
        <v>0.3056413664643674</v>
      </c>
      <c r="Z173" s="2">
        <f t="shared" si="111"/>
        <v>4223311.3436144665</v>
      </c>
      <c r="AA173" s="2">
        <f t="shared" si="112"/>
        <v>3727771.9021688038</v>
      </c>
      <c r="AB173" s="2" t="s">
        <v>598</v>
      </c>
      <c r="AC173" s="12">
        <f>VLOOKUP(B173,[9]Sheet1!$A$2:$B$137,2,FALSE)</f>
        <v>3274.1621759038899</v>
      </c>
      <c r="AD173" s="12">
        <f t="shared" si="113"/>
        <v>2160947.0360965673</v>
      </c>
      <c r="AE173" s="2"/>
      <c r="AF173" s="7">
        <f>VLOOKUP($B173,'[9]Subsidiary wise dispatch'!$A$3:$R$138,11,FALSE)*$H173*$O173*365</f>
        <v>0</v>
      </c>
      <c r="AG173" s="7">
        <f>VLOOKUP($B173,'[9]Subsidiary wise dispatch'!$A$3:$R$138,12,FALSE)*$H173*$O173*365</f>
        <v>0</v>
      </c>
      <c r="AH173" s="7">
        <f>VLOOKUP($B173,'[9]Subsidiary wise dispatch'!$A$3:$R$138,13,FALSE)*$H173*$O173*365</f>
        <v>0</v>
      </c>
      <c r="AI173" s="7">
        <f>VLOOKUP($B173,'[9]Subsidiary wise dispatch'!$A$3:$R$138,14,FALSE)*$H173*$O173*365</f>
        <v>2309974.884705421</v>
      </c>
      <c r="AJ173" s="7">
        <f>VLOOKUP($B173,'[9]Subsidiary wise dispatch'!$A$3:$R$138,15,FALSE)*$H173*$O173*365</f>
        <v>0</v>
      </c>
      <c r="AK173" s="7">
        <f>VLOOKUP($B173,'[9]Subsidiary wise dispatch'!$A$3:$R$138,16,FALSE)*$H173*$O173*365</f>
        <v>0</v>
      </c>
      <c r="AL173" s="7">
        <f>VLOOKUP($B173,'[9]Subsidiary wise dispatch'!$A$3:$R$138,17,FALSE)*$H173*$O173*365</f>
        <v>23854.106092858314</v>
      </c>
      <c r="AM173" s="7">
        <f>VLOOKUP($B173,'[9]Subsidiary wise dispatch'!$A$3:$R$138,18,FALSE)*$H173*$O173*365</f>
        <v>0</v>
      </c>
      <c r="AN173" s="15">
        <f t="shared" si="114"/>
        <v>2333828.9907982792</v>
      </c>
      <c r="AO173" s="6">
        <v>7.3165418961100362E-2</v>
      </c>
      <c r="AP173" s="11">
        <f t="shared" si="115"/>
        <v>0.85849523600655042</v>
      </c>
      <c r="AQ173" s="11">
        <f t="shared" si="116"/>
        <v>0.98509920089225533</v>
      </c>
      <c r="AR173" s="3">
        <f>VLOOKUP(A173,[10]Sheet1!$A$2:$L$542,12,FALSE)</f>
        <v>2.4808879023307799</v>
      </c>
      <c r="AS173" s="3">
        <f t="shared" si="124"/>
        <v>3.8348089359692836</v>
      </c>
      <c r="AT173" s="3">
        <f t="shared" si="125"/>
        <v>3.8311074581996203</v>
      </c>
      <c r="AU173" s="3">
        <f t="shared" si="117"/>
        <v>3.7014777696633416E-3</v>
      </c>
      <c r="AV173" s="88">
        <f t="shared" si="126"/>
        <v>8.00540999769183E-2</v>
      </c>
      <c r="AW173" s="32">
        <f t="shared" si="127"/>
        <v>1.9910411048407583E-2</v>
      </c>
      <c r="AX173" s="12">
        <f t="shared" si="118"/>
        <v>1642.360989637044</v>
      </c>
      <c r="AY173" s="12">
        <f t="shared" si="119"/>
        <v>1882.7441248277887</v>
      </c>
      <c r="AZ173" s="3">
        <f>VLOOKUP(A173,[5]Analysis!$A$3:$BJ$543,62,FALSE)</f>
        <v>1.5976606285716104</v>
      </c>
      <c r="BA173" s="2"/>
      <c r="BB173" s="2"/>
      <c r="BC173" s="2" t="e">
        <f>VLOOKUP(A173,'[6]FGD status - Jun 2020'!$I$2:$M$449,5,FALSE)</f>
        <v>#N/A</v>
      </c>
      <c r="BD173" s="2"/>
      <c r="BE173" s="2"/>
      <c r="BF173" s="2">
        <f t="shared" si="120"/>
        <v>1949.9974820245013</v>
      </c>
      <c r="BG173" s="2">
        <f t="shared" si="121"/>
        <v>2209.2141638447274</v>
      </c>
      <c r="BH173" s="2"/>
      <c r="BI173" s="2"/>
      <c r="BK173">
        <f t="shared" si="122"/>
        <v>488.90084060919997</v>
      </c>
      <c r="BL173">
        <f>VLOOKUP(A173,'[11]Daily coal vs energy req.2'!$C$2:$P$599,14,FALSE)</f>
        <v>0.59</v>
      </c>
      <c r="BM173">
        <f>VLOOKUP(A173,'[11]Daily coal vs energy req.2'!$C$2:$R$599,16,FALSE)</f>
        <v>0.75</v>
      </c>
      <c r="BN173">
        <f t="shared" si="153"/>
        <v>389.4</v>
      </c>
      <c r="BO173">
        <f t="shared" si="154"/>
        <v>495</v>
      </c>
      <c r="BP173" s="2" t="e">
        <f>VLOOKUP(A173,'[7]Table 2'!$J$2:$N$449,5,FALSE)</f>
        <v>#N/A</v>
      </c>
      <c r="BR173">
        <f t="shared" si="128"/>
        <v>1949.9974820245013</v>
      </c>
      <c r="BS173">
        <f t="shared" si="129"/>
        <v>2209.2141638447279</v>
      </c>
      <c r="BT173">
        <f>(X173*I173*365*[5]Analysis!BK173)/10^4</f>
        <v>1949.9974820245013</v>
      </c>
      <c r="BU173">
        <f>(W173*R173*365*[5]Analysis!BK173)/10^4</f>
        <v>2209.2141638447279</v>
      </c>
      <c r="BV173">
        <f>(X173*I173*365*[5]Analysis!BL173)/10^4</f>
        <v>0</v>
      </c>
      <c r="BW173">
        <f>(W173*R173*365*[5]Analysis!BL173)/10^4</f>
        <v>0</v>
      </c>
      <c r="BX173">
        <f t="shared" si="130"/>
        <v>3427524.111380918</v>
      </c>
      <c r="BY173">
        <f t="shared" si="131"/>
        <v>3883151.0725442544</v>
      </c>
      <c r="BZ173">
        <f t="shared" si="132"/>
        <v>35445304.118255951</v>
      </c>
      <c r="CA173">
        <f t="shared" si="133"/>
        <v>40672492.167458549</v>
      </c>
      <c r="CB173">
        <f t="shared" si="134"/>
        <v>-937347.9519057963</v>
      </c>
      <c r="CC173">
        <f t="shared" si="135"/>
        <v>-1234198.4292000001</v>
      </c>
      <c r="CD173">
        <f t="shared" si="136"/>
        <v>-4330226.8171708286</v>
      </c>
      <c r="CE173">
        <f t="shared" si="137"/>
        <v>-4968813.8016000008</v>
      </c>
      <c r="CF173">
        <f t="shared" si="138"/>
        <v>7647310.6802779716</v>
      </c>
      <c r="CG173">
        <f t="shared" si="139"/>
        <v>8775074.4840000011</v>
      </c>
      <c r="CH173">
        <f t="shared" si="140"/>
        <v>710276.32985839085</v>
      </c>
      <c r="CI173">
        <f t="shared" si="141"/>
        <v>815022.16390965041</v>
      </c>
      <c r="CJ173">
        <f t="shared" si="142"/>
        <v>-4661227.5488488115</v>
      </c>
      <c r="CK173">
        <f t="shared" si="143"/>
        <v>-5348627.8560000015</v>
      </c>
      <c r="CL173">
        <f t="shared" si="144"/>
        <v>2427003.8059809026</v>
      </c>
      <c r="CM173">
        <f t="shared" si="145"/>
        <v>2784918.7852872452</v>
      </c>
    </row>
    <row r="174" spans="1:91" x14ac:dyDescent="0.2">
      <c r="A174" s="2" t="s">
        <v>94</v>
      </c>
      <c r="B174" s="2" t="str">
        <f t="shared" si="152"/>
        <v>MUNDRA TPS</v>
      </c>
      <c r="C174" s="2" t="str">
        <f>VLOOKUP($A174,'[1]daily coal, energy reqd'!$C$2:$T$599,17,FALSE)</f>
        <v>Gujarat</v>
      </c>
      <c r="D174" s="2" t="str">
        <f>VLOOKUP(C174,'Target PLF'!$I$2:$J$19,2,FALSE)</f>
        <v>WR</v>
      </c>
      <c r="E174" s="2" t="str">
        <f>VLOOKUP(A174,[2]Ownership!$C$2:$D$666,2,FALSE)</f>
        <v>PVT SECTOR</v>
      </c>
      <c r="F174" s="2" t="s">
        <v>543</v>
      </c>
      <c r="G174" s="12">
        <v>8.1752224503764506</v>
      </c>
      <c r="H174" s="2">
        <v>660</v>
      </c>
      <c r="I174" s="2">
        <f>VLOOKUP(A174,'[3]Calculated coal req (reg.)'!$A$2:$I$599,9,FALSE)</f>
        <v>10.0553444389709</v>
      </c>
      <c r="J174" s="2"/>
      <c r="K174" s="11">
        <v>0.63480709841988003</v>
      </c>
      <c r="L174" s="3">
        <f>VLOOKUP(F174,'Target PLF'!$A$2:$B$11,2,FALSE)</f>
        <v>0.85</v>
      </c>
      <c r="M174" s="3">
        <f t="shared" si="123"/>
        <v>0.21519290158011994</v>
      </c>
      <c r="N174" s="2" t="str">
        <f t="shared" si="102"/>
        <v>0.15</v>
      </c>
      <c r="O174" s="2">
        <f t="shared" si="98"/>
        <v>8.2138191235609899</v>
      </c>
      <c r="P174" s="2">
        <f t="shared" si="103"/>
        <v>1978709.0268658425</v>
      </c>
      <c r="Q174" s="2">
        <f t="shared" si="104"/>
        <v>11.207862521115675</v>
      </c>
      <c r="R174" s="2">
        <f t="shared" si="105"/>
        <v>13.464</v>
      </c>
      <c r="S174" s="2">
        <f t="shared" si="106"/>
        <v>2699974.081336766</v>
      </c>
      <c r="T174" s="2" t="str">
        <f>VLOOKUP(A174,'[4]CEA vs MERIT comp. &amp; NPA marker'!$C$2:$K$735,9,FALSE)</f>
        <v>Contracted</v>
      </c>
      <c r="U174" s="3">
        <f>VLOOKUP(B174,'[8]Import-Domestic share'!$A$208:$F$406,6,FALSE)</f>
        <v>1</v>
      </c>
      <c r="V174" s="3">
        <f t="shared" si="107"/>
        <v>1978709.0268658425</v>
      </c>
      <c r="W174" s="2">
        <f t="shared" si="108"/>
        <v>2813.7552516153319</v>
      </c>
      <c r="X174" s="2">
        <f t="shared" si="109"/>
        <v>2884.8918273221543</v>
      </c>
      <c r="Y174" s="6">
        <f t="shared" si="110"/>
        <v>0.3056413664643674</v>
      </c>
      <c r="Z174" s="2">
        <f t="shared" si="111"/>
        <v>4223311.3436144665</v>
      </c>
      <c r="AA174" s="2">
        <f t="shared" si="112"/>
        <v>3233844.719217109</v>
      </c>
      <c r="AB174" s="2" t="s">
        <v>598</v>
      </c>
      <c r="AC174" s="12">
        <f>VLOOKUP(B174,[9]Sheet1!$A$2:$B$137,2,FALSE)</f>
        <v>3274.1621759038899</v>
      </c>
      <c r="AD174" s="12">
        <f t="shared" si="113"/>
        <v>2160947.0360965673</v>
      </c>
      <c r="AE174" s="2"/>
      <c r="AF174" s="7">
        <f>VLOOKUP($B174,'[9]Subsidiary wise dispatch'!$A$3:$R$138,11,FALSE)*$H174*$O174*365</f>
        <v>0</v>
      </c>
      <c r="AG174" s="7">
        <f>VLOOKUP($B174,'[9]Subsidiary wise dispatch'!$A$3:$R$138,12,FALSE)*$H174*$O174*365</f>
        <v>0</v>
      </c>
      <c r="AH174" s="7">
        <f>VLOOKUP($B174,'[9]Subsidiary wise dispatch'!$A$3:$R$138,13,FALSE)*$H174*$O174*365</f>
        <v>0</v>
      </c>
      <c r="AI174" s="7">
        <f>VLOOKUP($B174,'[9]Subsidiary wise dispatch'!$A$3:$R$138,14,FALSE)*$H174*$O174*365</f>
        <v>1958484.6080074541</v>
      </c>
      <c r="AJ174" s="7">
        <f>VLOOKUP($B174,'[9]Subsidiary wise dispatch'!$A$3:$R$138,15,FALSE)*$H174*$O174*365</f>
        <v>0</v>
      </c>
      <c r="AK174" s="7">
        <f>VLOOKUP($B174,'[9]Subsidiary wise dispatch'!$A$3:$R$138,16,FALSE)*$H174*$O174*365</f>
        <v>0</v>
      </c>
      <c r="AL174" s="7">
        <f>VLOOKUP($B174,'[9]Subsidiary wise dispatch'!$A$3:$R$138,17,FALSE)*$H174*$O174*365</f>
        <v>20224.418858388381</v>
      </c>
      <c r="AM174" s="7">
        <f>VLOOKUP($B174,'[9]Subsidiary wise dispatch'!$A$3:$R$138,18,FALSE)*$H174*$O174*365</f>
        <v>0</v>
      </c>
      <c r="AN174" s="15">
        <f t="shared" si="114"/>
        <v>1978709.0268658425</v>
      </c>
      <c r="AO174" s="6">
        <v>7.3165418961100362E-2</v>
      </c>
      <c r="AP174" s="11">
        <f t="shared" si="115"/>
        <v>0.73570348867547664</v>
      </c>
      <c r="AQ174" s="11">
        <f t="shared" si="116"/>
        <v>0.98509920089225533</v>
      </c>
      <c r="AR174" s="3">
        <f>VLOOKUP(A174,[10]Sheet1!$A$2:$L$542,12,FALSE)</f>
        <v>2.4808879023307799</v>
      </c>
      <c r="AS174" s="3">
        <f t="shared" si="124"/>
        <v>3.8383989572095696</v>
      </c>
      <c r="AT174" s="3">
        <f t="shared" si="125"/>
        <v>3.8311074581996203</v>
      </c>
      <c r="AU174" s="3">
        <f t="shared" si="117"/>
        <v>7.2914990099492982E-3</v>
      </c>
      <c r="AV174" s="88">
        <f t="shared" si="126"/>
        <v>0.15769766213594349</v>
      </c>
      <c r="AW174" s="32">
        <f t="shared" si="127"/>
        <v>3.9184609208870805E-2</v>
      </c>
      <c r="AX174" s="12">
        <f t="shared" si="118"/>
        <v>1408.7694617259067</v>
      </c>
      <c r="AY174" s="12">
        <f t="shared" si="119"/>
        <v>1882.7441248277887</v>
      </c>
      <c r="AZ174" s="3">
        <f>VLOOKUP(A174,[5]Analysis!$A$3:$BJ$543,62,FALSE)</f>
        <v>1.5976606285716104</v>
      </c>
      <c r="BA174" s="2"/>
      <c r="BB174" s="2"/>
      <c r="BC174" s="2" t="e">
        <f>VLOOKUP(A174,'[6]FGD status - Jun 2020'!$I$2:$M$449,5,FALSE)</f>
        <v>#N/A</v>
      </c>
      <c r="BD174" s="2"/>
      <c r="BE174" s="2"/>
      <c r="BF174" s="2">
        <f t="shared" si="120"/>
        <v>1691.6241726224698</v>
      </c>
      <c r="BG174" s="2">
        <f t="shared" si="121"/>
        <v>2209.2141638447274</v>
      </c>
      <c r="BH174" s="2"/>
      <c r="BI174" s="2"/>
      <c r="BK174">
        <f t="shared" si="122"/>
        <v>418.9726849571208</v>
      </c>
      <c r="BL174">
        <f>VLOOKUP(A174,'[11]Daily coal vs energy req.2'!$C$2:$P$599,14,FALSE)</f>
        <v>0.6</v>
      </c>
      <c r="BM174">
        <f>VLOOKUP(A174,'[11]Daily coal vs energy req.2'!$C$2:$R$599,16,FALSE)</f>
        <v>0.75</v>
      </c>
      <c r="BN174">
        <f t="shared" si="153"/>
        <v>396</v>
      </c>
      <c r="BO174">
        <f t="shared" si="154"/>
        <v>495</v>
      </c>
      <c r="BP174" s="2" t="e">
        <f>VLOOKUP(A174,'[7]Table 2'!$J$2:$N$449,5,FALSE)</f>
        <v>#N/A</v>
      </c>
      <c r="BR174">
        <f t="shared" si="128"/>
        <v>1691.6241726224698</v>
      </c>
      <c r="BS174">
        <f t="shared" si="129"/>
        <v>2209.2141638447279</v>
      </c>
      <c r="BT174">
        <f>(X174*I174*365*[5]Analysis!BK174)/10^4</f>
        <v>1691.6241726224698</v>
      </c>
      <c r="BU174">
        <f>(W174*R174*365*[5]Analysis!BK174)/10^4</f>
        <v>2209.2141638447279</v>
      </c>
      <c r="BV174">
        <f>(X174*I174*365*[5]Analysis!BL174)/10^4</f>
        <v>0</v>
      </c>
      <c r="BW174">
        <f>(W174*R174*365*[5]Analysis!BL174)/10^4</f>
        <v>0</v>
      </c>
      <c r="BX174">
        <f t="shared" si="130"/>
        <v>2973379.5517718834</v>
      </c>
      <c r="BY174">
        <f t="shared" si="131"/>
        <v>3883151.0725442544</v>
      </c>
      <c r="BZ174">
        <f t="shared" si="132"/>
        <v>30375513.8097996</v>
      </c>
      <c r="CA174">
        <f t="shared" si="133"/>
        <v>40672492.167458549</v>
      </c>
      <c r="CB174">
        <f t="shared" si="134"/>
        <v>-688383.87187465827</v>
      </c>
      <c r="CC174">
        <f t="shared" si="135"/>
        <v>-1234198.4292000001</v>
      </c>
      <c r="CD174">
        <f t="shared" si="136"/>
        <v>-3710868.5552733527</v>
      </c>
      <c r="CE174">
        <f t="shared" si="137"/>
        <v>-4968813.8016000008</v>
      </c>
      <c r="CF174">
        <f t="shared" si="138"/>
        <v>6553505.3783604316</v>
      </c>
      <c r="CG174">
        <f t="shared" si="139"/>
        <v>8775074.4840000011</v>
      </c>
      <c r="CH174">
        <f t="shared" si="140"/>
        <v>608684.5353169142</v>
      </c>
      <c r="CI174">
        <f t="shared" si="141"/>
        <v>815022.16390965041</v>
      </c>
      <c r="CJ174">
        <f t="shared" si="142"/>
        <v>-3994525.7997589465</v>
      </c>
      <c r="CK174">
        <f t="shared" si="143"/>
        <v>-5348627.8560000015</v>
      </c>
      <c r="CL174">
        <f t="shared" si="144"/>
        <v>2079866.133439074</v>
      </c>
      <c r="CM174">
        <f t="shared" si="145"/>
        <v>2784918.7852872452</v>
      </c>
    </row>
    <row r="175" spans="1:91" x14ac:dyDescent="0.2">
      <c r="A175" s="2" t="s">
        <v>99</v>
      </c>
      <c r="B175" s="2" t="str">
        <f t="shared" si="152"/>
        <v>MUNDRA TPS</v>
      </c>
      <c r="C175" s="2" t="str">
        <f>VLOOKUP($A175,'[1]daily coal, energy reqd'!$C$2:$T$599,17,FALSE)</f>
        <v>Gujarat</v>
      </c>
      <c r="D175" s="2" t="str">
        <f>VLOOKUP(C175,'Target PLF'!$I$2:$J$19,2,FALSE)</f>
        <v>WR</v>
      </c>
      <c r="E175" s="2" t="str">
        <f>VLOOKUP(A175,[2]Ownership!$C$2:$D$666,2,FALSE)</f>
        <v>PVT SECTOR</v>
      </c>
      <c r="F175" s="2" t="s">
        <v>543</v>
      </c>
      <c r="G175" s="12">
        <v>8.5065023956194299</v>
      </c>
      <c r="H175" s="2">
        <v>660</v>
      </c>
      <c r="I175" s="2">
        <f>VLOOKUP(A175,'[3]Calculated coal req (reg.)'!$A$2:$I$599,9,FALSE)</f>
        <v>10.4925614301604</v>
      </c>
      <c r="J175" s="2"/>
      <c r="K175" s="11">
        <v>0.66240918119699499</v>
      </c>
      <c r="L175" s="3">
        <f>VLOOKUP(F175,'Target PLF'!$A$2:$B$11,2,FALSE)</f>
        <v>0.85</v>
      </c>
      <c r="M175" s="3">
        <f t="shared" si="123"/>
        <v>0.18759081880300499</v>
      </c>
      <c r="N175" s="2" t="str">
        <f t="shared" si="102"/>
        <v>0.15</v>
      </c>
      <c r="O175" s="2">
        <f t="shared" si="98"/>
        <v>8.6083484741293965</v>
      </c>
      <c r="P175" s="2">
        <f t="shared" si="103"/>
        <v>2073751.1474177716</v>
      </c>
      <c r="Q175" s="2">
        <f t="shared" si="104"/>
        <v>11.218355813381246</v>
      </c>
      <c r="R175" s="2">
        <f t="shared" si="105"/>
        <v>13.464</v>
      </c>
      <c r="S175" s="2">
        <f t="shared" si="106"/>
        <v>2702501.9154435419</v>
      </c>
      <c r="T175" s="2" t="str">
        <f>VLOOKUP(A175,'[4]CEA vs MERIT comp. &amp; NPA marker'!$C$2:$K$735,9,FALSE)</f>
        <v>Contracted</v>
      </c>
      <c r="U175" s="3">
        <f>VLOOKUP(B175,'[8]Import-Domestic share'!$A$208:$F$406,6,FALSE)</f>
        <v>1</v>
      </c>
      <c r="V175" s="3">
        <f t="shared" si="107"/>
        <v>2073751.1474177716</v>
      </c>
      <c r="W175" s="2">
        <f t="shared" si="108"/>
        <v>2816.2864082943188</v>
      </c>
      <c r="X175" s="2">
        <f t="shared" si="109"/>
        <v>2878.2985303750111</v>
      </c>
      <c r="Y175" s="6">
        <f t="shared" si="110"/>
        <v>0.30536666919500499</v>
      </c>
      <c r="Z175" s="2">
        <f t="shared" si="111"/>
        <v>4227110.4880882772</v>
      </c>
      <c r="AA175" s="2">
        <f t="shared" si="112"/>
        <v>3366743.5271823118</v>
      </c>
      <c r="AB175" s="2" t="s">
        <v>598</v>
      </c>
      <c r="AC175" s="12">
        <f>VLOOKUP(B175,[9]Sheet1!$A$2:$B$137,2,FALSE)</f>
        <v>3274.1621759038899</v>
      </c>
      <c r="AD175" s="12">
        <f t="shared" si="113"/>
        <v>2160947.0360965673</v>
      </c>
      <c r="AE175" s="2"/>
      <c r="AF175" s="7">
        <f>VLOOKUP($B175,'[9]Subsidiary wise dispatch'!$A$3:$R$138,11,FALSE)*$H175*$O175*365</f>
        <v>0</v>
      </c>
      <c r="AG175" s="7">
        <f>VLOOKUP($B175,'[9]Subsidiary wise dispatch'!$A$3:$R$138,12,FALSE)*$H175*$O175*365</f>
        <v>0</v>
      </c>
      <c r="AH175" s="7">
        <f>VLOOKUP($B175,'[9]Subsidiary wise dispatch'!$A$3:$R$138,13,FALSE)*$H175*$O175*365</f>
        <v>0</v>
      </c>
      <c r="AI175" s="7">
        <f>VLOOKUP($B175,'[9]Subsidiary wise dispatch'!$A$3:$R$138,14,FALSE)*$H175*$O175*365</f>
        <v>2052555.3014171743</v>
      </c>
      <c r="AJ175" s="7">
        <f>VLOOKUP($B175,'[9]Subsidiary wise dispatch'!$A$3:$R$138,15,FALSE)*$H175*$O175*365</f>
        <v>0</v>
      </c>
      <c r="AK175" s="7">
        <f>VLOOKUP($B175,'[9]Subsidiary wise dispatch'!$A$3:$R$138,16,FALSE)*$H175*$O175*365</f>
        <v>0</v>
      </c>
      <c r="AL175" s="7">
        <f>VLOOKUP($B175,'[9]Subsidiary wise dispatch'!$A$3:$R$138,17,FALSE)*$H175*$O175*365</f>
        <v>21195.846000597492</v>
      </c>
      <c r="AM175" s="7">
        <f>VLOOKUP($B175,'[9]Subsidiary wise dispatch'!$A$3:$R$138,18,FALSE)*$H175*$O175*365</f>
        <v>0</v>
      </c>
      <c r="AN175" s="15">
        <f t="shared" si="114"/>
        <v>2073751.1474177719</v>
      </c>
      <c r="AO175" s="6">
        <v>7.3165418961100362E-2</v>
      </c>
      <c r="AP175" s="11">
        <f t="shared" si="115"/>
        <v>0.76769265301276801</v>
      </c>
      <c r="AQ175" s="11">
        <f t="shared" si="116"/>
        <v>0.98509920089225533</v>
      </c>
      <c r="AR175" s="3">
        <f>VLOOKUP(A175,[10]Sheet1!$A$2:$L$542,12,FALSE)</f>
        <v>2.4808879023307799</v>
      </c>
      <c r="AS175" s="3">
        <f t="shared" si="124"/>
        <v>3.8401761066270397</v>
      </c>
      <c r="AT175" s="3">
        <f t="shared" si="125"/>
        <v>3.8338198641137686</v>
      </c>
      <c r="AU175" s="3">
        <f t="shared" si="117"/>
        <v>6.3562425132710487E-3</v>
      </c>
      <c r="AV175" s="88">
        <f t="shared" si="126"/>
        <v>0.13747030383521813</v>
      </c>
      <c r="AW175" s="32">
        <f t="shared" si="127"/>
        <v>3.4142720979822232E-2</v>
      </c>
      <c r="AX175" s="12">
        <f t="shared" si="118"/>
        <v>1470.704855101772</v>
      </c>
      <c r="AY175" s="12">
        <f t="shared" si="119"/>
        <v>1884.077098740614</v>
      </c>
      <c r="AZ175" s="3">
        <f>VLOOKUP(A175,[5]Analysis!$A$3:$BJ$543,62,FALSE)</f>
        <v>1.5976606285716104</v>
      </c>
      <c r="BA175" s="2"/>
      <c r="BB175" s="2"/>
      <c r="BC175" s="2" t="e">
        <f>VLOOKUP(A175,'[6]FGD status - Jun 2020'!$I$2:$M$449,5,FALSE)</f>
        <v>#N/A</v>
      </c>
      <c r="BD175" s="2"/>
      <c r="BE175" s="2"/>
      <c r="BF175" s="2">
        <f t="shared" si="120"/>
        <v>1761.1435390690674</v>
      </c>
      <c r="BG175" s="2">
        <f t="shared" si="121"/>
        <v>2211.2014963189777</v>
      </c>
      <c r="BH175" s="2"/>
      <c r="BI175" s="2"/>
      <c r="BK175">
        <f t="shared" si="122"/>
        <v>437.19005959001669</v>
      </c>
      <c r="BL175">
        <f>VLOOKUP(A175,'[11]Daily coal vs energy req.2'!$C$2:$P$599,14,FALSE)</f>
        <v>0.57999999999999996</v>
      </c>
      <c r="BM175">
        <f>VLOOKUP(A175,'[11]Daily coal vs energy req.2'!$C$2:$R$599,16,FALSE)</f>
        <v>0.81</v>
      </c>
      <c r="BN175">
        <f t="shared" si="153"/>
        <v>382.79999999999995</v>
      </c>
      <c r="BO175">
        <f t="shared" si="154"/>
        <v>534.6</v>
      </c>
      <c r="BP175" s="2" t="e">
        <f>VLOOKUP(A175,'[7]Table 2'!$J$2:$N$449,5,FALSE)</f>
        <v>#N/A</v>
      </c>
      <c r="BR175">
        <f t="shared" si="128"/>
        <v>1761.1435390690674</v>
      </c>
      <c r="BS175">
        <f t="shared" si="129"/>
        <v>2211.2014963189781</v>
      </c>
      <c r="BT175">
        <f>(X175*I175*365*[5]Analysis!BK175)/10^4</f>
        <v>1761.1435390690674</v>
      </c>
      <c r="BU175">
        <f>(W175*R175*365*[5]Analysis!BK175)/10^4</f>
        <v>2211.2014963189781</v>
      </c>
      <c r="BV175">
        <f>(X175*I175*365*[5]Analysis!BL175)/10^4</f>
        <v>0</v>
      </c>
      <c r="BW175">
        <f>(W175*R175*365*[5]Analysis!BL175)/10^4</f>
        <v>0</v>
      </c>
      <c r="BX175">
        <f t="shared" si="130"/>
        <v>3095574.2247907706</v>
      </c>
      <c r="BY175">
        <f t="shared" si="131"/>
        <v>3886644.2206306579</v>
      </c>
      <c r="BZ175">
        <f t="shared" si="132"/>
        <v>31696273.216338124</v>
      </c>
      <c r="CA175">
        <f t="shared" si="133"/>
        <v>40672492.167458549</v>
      </c>
      <c r="CB175">
        <f t="shared" si="134"/>
        <v>-749548.64682904491</v>
      </c>
      <c r="CC175">
        <f t="shared" si="135"/>
        <v>-1234198.4292000001</v>
      </c>
      <c r="CD175">
        <f t="shared" si="136"/>
        <v>-3872221.0374566866</v>
      </c>
      <c r="CE175">
        <f t="shared" si="137"/>
        <v>-4968813.8016000008</v>
      </c>
      <c r="CF175">
        <f t="shared" si="138"/>
        <v>6838458.710457745</v>
      </c>
      <c r="CG175">
        <f t="shared" si="139"/>
        <v>8775074.4840000011</v>
      </c>
      <c r="CH175">
        <f t="shared" si="140"/>
        <v>660888.63966487988</v>
      </c>
      <c r="CI175">
        <f t="shared" si="141"/>
        <v>848048.84905133373</v>
      </c>
      <c r="CJ175">
        <f t="shared" si="142"/>
        <v>-4168211.9983769394</v>
      </c>
      <c r="CK175">
        <f t="shared" si="143"/>
        <v>-5348627.8560000015</v>
      </c>
      <c r="CL175">
        <f t="shared" si="144"/>
        <v>2170300.9085438279</v>
      </c>
      <c r="CM175">
        <f t="shared" si="145"/>
        <v>2784918.7852872452</v>
      </c>
    </row>
    <row r="176" spans="1:91" x14ac:dyDescent="0.2">
      <c r="A176" s="2" t="s">
        <v>106</v>
      </c>
      <c r="B176" s="2" t="str">
        <f t="shared" si="152"/>
        <v>MUNDRA TPS</v>
      </c>
      <c r="C176" s="2" t="str">
        <f>VLOOKUP($A176,'[1]daily coal, energy reqd'!$C$2:$T$599,17,FALSE)</f>
        <v>Gujarat</v>
      </c>
      <c r="D176" s="2" t="str">
        <f>VLOOKUP(C176,'Target PLF'!$I$2:$J$19,2,FALSE)</f>
        <v>WR</v>
      </c>
      <c r="E176" s="2" t="str">
        <f>VLOOKUP(A176,[2]Ownership!$C$2:$D$666,2,FALSE)</f>
        <v>PVT SECTOR</v>
      </c>
      <c r="F176" s="2" t="s">
        <v>543</v>
      </c>
      <c r="G176" s="12">
        <v>8.8432580424366805</v>
      </c>
      <c r="H176" s="2">
        <v>660</v>
      </c>
      <c r="I176" s="2">
        <f>VLOOKUP(A176,'[3]Calculated coal req (reg.)'!$A$2:$I$599,9,FALSE)</f>
        <v>6.3732698862934098</v>
      </c>
      <c r="J176" s="2"/>
      <c r="K176" s="11">
        <v>0.40235289686195769</v>
      </c>
      <c r="L176" s="3">
        <f>VLOOKUP(F176,'Target PLF'!$A$2:$B$11,2,FALSE)</f>
        <v>0.85</v>
      </c>
      <c r="M176" s="3">
        <f t="shared" si="123"/>
        <v>0.44764710313804229</v>
      </c>
      <c r="N176" s="2" t="str">
        <f t="shared" si="102"/>
        <v>0.15</v>
      </c>
      <c r="O176" s="2">
        <f t="shared" ref="O176:O239" si="155">(13.9133*K176)+(-0.289097*N176)+(-0.0052079*H176)+(0.031675*G176)+3.492937+IF(E176="Pvt Sector",-0.8897511,0)</f>
        <v>5.0007741084036583</v>
      </c>
      <c r="P176" s="2">
        <f t="shared" si="103"/>
        <v>1204686.4827144414</v>
      </c>
      <c r="Q176" s="2">
        <f t="shared" si="104"/>
        <v>11.229022548494182</v>
      </c>
      <c r="R176" s="2">
        <f t="shared" si="105"/>
        <v>13.464</v>
      </c>
      <c r="S176" s="2">
        <f t="shared" si="106"/>
        <v>2705071.5319322483</v>
      </c>
      <c r="T176" s="2" t="str">
        <f>VLOOKUP(A176,'[4]CEA vs MERIT comp. &amp; NPA marker'!$C$2:$K$735,9,FALSE)</f>
        <v>Contracted</v>
      </c>
      <c r="U176" s="3">
        <f>VLOOKUP(B176,'[8]Import-Domestic share'!$A$208:$F$406,6,FALSE)</f>
        <v>1</v>
      </c>
      <c r="V176" s="3">
        <f t="shared" si="107"/>
        <v>1204686.4827144414</v>
      </c>
      <c r="W176" s="2">
        <f t="shared" si="108"/>
        <v>2818.8594022737852</v>
      </c>
      <c r="X176" s="2">
        <f t="shared" si="109"/>
        <v>2966.8386423346519</v>
      </c>
      <c r="Y176" s="6">
        <f t="shared" si="110"/>
        <v>0.30508793709480353</v>
      </c>
      <c r="Z176" s="2">
        <f t="shared" si="111"/>
        <v>4230972.4283385156</v>
      </c>
      <c r="AA176" s="2">
        <f t="shared" si="112"/>
        <v>2107894.7106778589</v>
      </c>
      <c r="AB176" s="2" t="s">
        <v>598</v>
      </c>
      <c r="AC176" s="12">
        <f>VLOOKUP(B176,[9]Sheet1!$A$2:$B$137,2,FALSE)</f>
        <v>3274.1621759038899</v>
      </c>
      <c r="AD176" s="12">
        <f t="shared" si="113"/>
        <v>2160947.0360965673</v>
      </c>
      <c r="AE176" s="2"/>
      <c r="AF176" s="7">
        <f>VLOOKUP($B176,'[9]Subsidiary wise dispatch'!$A$3:$R$138,11,FALSE)*$H176*$O176*365</f>
        <v>0</v>
      </c>
      <c r="AG176" s="7">
        <f>VLOOKUP($B176,'[9]Subsidiary wise dispatch'!$A$3:$R$138,12,FALSE)*$H176*$O176*365</f>
        <v>0</v>
      </c>
      <c r="AH176" s="7">
        <f>VLOOKUP($B176,'[9]Subsidiary wise dispatch'!$A$3:$R$138,13,FALSE)*$H176*$O176*365</f>
        <v>0</v>
      </c>
      <c r="AI176" s="7">
        <f>VLOOKUP($B176,'[9]Subsidiary wise dispatch'!$A$3:$R$138,14,FALSE)*$H176*$O176*365</f>
        <v>1192373.3615386377</v>
      </c>
      <c r="AJ176" s="7">
        <f>VLOOKUP($B176,'[9]Subsidiary wise dispatch'!$A$3:$R$138,15,FALSE)*$H176*$O176*365</f>
        <v>0</v>
      </c>
      <c r="AK176" s="7">
        <f>VLOOKUP($B176,'[9]Subsidiary wise dispatch'!$A$3:$R$138,16,FALSE)*$H176*$O176*365</f>
        <v>0</v>
      </c>
      <c r="AL176" s="7">
        <f>VLOOKUP($B176,'[9]Subsidiary wise dispatch'!$A$3:$R$138,17,FALSE)*$H176*$O176*365</f>
        <v>12313.121175803588</v>
      </c>
      <c r="AM176" s="7">
        <f>VLOOKUP($B176,'[9]Subsidiary wise dispatch'!$A$3:$R$138,18,FALSE)*$H176*$O176*365</f>
        <v>0</v>
      </c>
      <c r="AN176" s="15">
        <f t="shared" si="114"/>
        <v>1204686.4827144411</v>
      </c>
      <c r="AO176" s="6">
        <v>7.3165418961100362E-2</v>
      </c>
      <c r="AP176" s="11">
        <f t="shared" si="115"/>
        <v>0.46630296138282179</v>
      </c>
      <c r="AQ176" s="11">
        <f t="shared" si="116"/>
        <v>0.98509920089225533</v>
      </c>
      <c r="AR176" s="3">
        <f>VLOOKUP(A176,[10]Sheet1!$A$2:$L$542,12,FALSE)</f>
        <v>2.13298671601027</v>
      </c>
      <c r="AS176" s="3">
        <f t="shared" si="124"/>
        <v>3.8517449752897606</v>
      </c>
      <c r="AT176" s="3">
        <f t="shared" si="125"/>
        <v>3.8365771031835219</v>
      </c>
      <c r="AU176" s="3">
        <f t="shared" si="117"/>
        <v>1.5167872106238711E-2</v>
      </c>
      <c r="AV176" s="88">
        <f t="shared" si="126"/>
        <v>0.32804475012162015</v>
      </c>
      <c r="AW176" s="32">
        <f t="shared" si="127"/>
        <v>8.1229904893130742E-2</v>
      </c>
      <c r="AX176" s="12">
        <f t="shared" si="118"/>
        <v>896.00967451541078</v>
      </c>
      <c r="AY176" s="12">
        <f t="shared" si="119"/>
        <v>1885.4321052800974</v>
      </c>
      <c r="AZ176" s="3">
        <f>VLOOKUP(A176,[5]Analysis!$A$3:$BJ$543,62,FALSE)</f>
        <v>1.5976606285716104</v>
      </c>
      <c r="BA176" s="2"/>
      <c r="BB176" s="2"/>
      <c r="BC176" s="2" t="str">
        <f>VLOOKUP(A176,'[6]FGD status - Jun 2020'!$I$2:$M$449,5,FALSE)</f>
        <v>NIT issued</v>
      </c>
      <c r="BD176" s="2"/>
      <c r="BE176" s="2"/>
      <c r="BF176" s="2">
        <f t="shared" si="120"/>
        <v>1102.6397231555879</v>
      </c>
      <c r="BG176" s="2">
        <f t="shared" si="121"/>
        <v>2213.2216772638776</v>
      </c>
      <c r="BH176" s="2"/>
      <c r="BI176" s="2"/>
      <c r="BK176">
        <f t="shared" si="122"/>
        <v>265.55291192889206</v>
      </c>
      <c r="BL176">
        <f>VLOOKUP(A176,'[11]Daily coal vs energy req.2'!$C$2:$P$599,14,FALSE)</f>
        <v>0.48</v>
      </c>
      <c r="BM176">
        <f>VLOOKUP(A176,'[11]Daily coal vs energy req.2'!$C$2:$R$599,16,FALSE)</f>
        <v>0.49</v>
      </c>
      <c r="BN176">
        <f t="shared" si="153"/>
        <v>316.8</v>
      </c>
      <c r="BO176">
        <f t="shared" si="154"/>
        <v>323.39999999999998</v>
      </c>
      <c r="BP176" s="2" t="str">
        <f>VLOOKUP(A176,'[7]Table 2'!$J$2:$N$449,5,FALSE)</f>
        <v>NIT issued</v>
      </c>
      <c r="BR176">
        <f t="shared" si="128"/>
        <v>1102.6397231555879</v>
      </c>
      <c r="BS176">
        <f t="shared" si="129"/>
        <v>2213.2216772638776</v>
      </c>
      <c r="BT176">
        <f>(X176*I176*365*[5]Analysis!BK176)/10^4</f>
        <v>1102.6397231555879</v>
      </c>
      <c r="BU176">
        <f>(W176*R176*365*[5]Analysis!BK176)/10^4</f>
        <v>2213.2216772638776</v>
      </c>
      <c r="BV176">
        <f>(X176*I176*365*[5]Analysis!BL176)/10^4</f>
        <v>0</v>
      </c>
      <c r="BW176">
        <f>(W176*R176*365*[5]Analysis!BL176)/10^4</f>
        <v>0</v>
      </c>
      <c r="BX176">
        <f t="shared" si="130"/>
        <v>1938117.4961100139</v>
      </c>
      <c r="BY176">
        <f t="shared" si="131"/>
        <v>3890195.1067019594</v>
      </c>
      <c r="BZ176">
        <f t="shared" si="132"/>
        <v>19252582.40726145</v>
      </c>
      <c r="CA176">
        <f t="shared" si="133"/>
        <v>40672492.167458549</v>
      </c>
      <c r="CB176">
        <f t="shared" si="134"/>
        <v>-276542.19326779555</v>
      </c>
      <c r="CC176">
        <f t="shared" si="135"/>
        <v>-1234198.4292000001</v>
      </c>
      <c r="CD176">
        <f t="shared" si="136"/>
        <v>-2352019.5612252196</v>
      </c>
      <c r="CE176">
        <f t="shared" si="137"/>
        <v>-4968813.8016000008</v>
      </c>
      <c r="CF176">
        <f t="shared" si="138"/>
        <v>4153737.2221374689</v>
      </c>
      <c r="CG176">
        <f t="shared" si="139"/>
        <v>8775074.4840000011</v>
      </c>
      <c r="CH176">
        <f t="shared" si="140"/>
        <v>417321.10143732303</v>
      </c>
      <c r="CI176">
        <f t="shared" si="141"/>
        <v>881621.42981519434</v>
      </c>
      <c r="CJ176">
        <f t="shared" si="142"/>
        <v>-2531806.9554096027</v>
      </c>
      <c r="CK176">
        <f t="shared" si="143"/>
        <v>-5348627.8560000015</v>
      </c>
      <c r="CL176">
        <f t="shared" si="144"/>
        <v>1318258.9891595379</v>
      </c>
      <c r="CM176">
        <f t="shared" si="145"/>
        <v>2784918.7852872452</v>
      </c>
    </row>
    <row r="177" spans="1:91" x14ac:dyDescent="0.2">
      <c r="A177" s="2" t="s">
        <v>111</v>
      </c>
      <c r="B177" s="2" t="str">
        <f t="shared" si="152"/>
        <v>MUNDRA TPS</v>
      </c>
      <c r="C177" s="2" t="str">
        <f>VLOOKUP($A177,'[1]daily coal, energy reqd'!$C$2:$T$599,17,FALSE)</f>
        <v>Gujarat</v>
      </c>
      <c r="D177" s="2" t="str">
        <f>VLOOKUP(C177,'Target PLF'!$I$2:$J$19,2,FALSE)</f>
        <v>WR</v>
      </c>
      <c r="E177" s="2" t="str">
        <f>VLOOKUP(A177,[2]Ownership!$C$2:$D$666,2,FALSE)</f>
        <v>PVT SECTOR</v>
      </c>
      <c r="F177" s="2" t="s">
        <v>543</v>
      </c>
      <c r="G177" s="12">
        <v>9.4236824093086895</v>
      </c>
      <c r="H177" s="2">
        <v>660</v>
      </c>
      <c r="I177" s="2">
        <f>VLOOKUP(A177,'[3]Calculated coal req (reg.)'!$A$2:$I$599,9,FALSE)</f>
        <v>7.7756351792143104</v>
      </c>
      <c r="J177" s="2"/>
      <c r="K177" s="11">
        <v>0.49088605929383272</v>
      </c>
      <c r="L177" s="3">
        <f>VLOOKUP(F177,'Target PLF'!$A$2:$B$11,2,FALSE)</f>
        <v>0.85</v>
      </c>
      <c r="M177" s="3">
        <f t="shared" si="123"/>
        <v>0.35911394070616726</v>
      </c>
      <c r="N177" s="2" t="str">
        <f t="shared" si="102"/>
        <v>0.15</v>
      </c>
      <c r="O177" s="2">
        <f t="shared" si="155"/>
        <v>6.2509474990877356</v>
      </c>
      <c r="P177" s="2">
        <f t="shared" si="103"/>
        <v>1505853.2525302356</v>
      </c>
      <c r="Q177" s="2">
        <f t="shared" si="104"/>
        <v>11.247407490314853</v>
      </c>
      <c r="R177" s="2">
        <f t="shared" si="105"/>
        <v>13.464</v>
      </c>
      <c r="S177" s="2">
        <f t="shared" si="106"/>
        <v>2709500.464416848</v>
      </c>
      <c r="T177" s="2" t="str">
        <f>VLOOKUP(A177,'[4]CEA vs MERIT comp. &amp; NPA marker'!$C$2:$K$735,9,FALSE)</f>
        <v>Contracted</v>
      </c>
      <c r="U177" s="3">
        <f>VLOOKUP(B177,'[8]Import-Domestic share'!$A$208:$F$406,6,FALSE)</f>
        <v>1</v>
      </c>
      <c r="V177" s="3">
        <f t="shared" si="107"/>
        <v>1505853.2525302356</v>
      </c>
      <c r="W177" s="2">
        <f t="shared" si="108"/>
        <v>2823.2941561245725</v>
      </c>
      <c r="X177" s="2">
        <f t="shared" si="109"/>
        <v>2942.0068824405389</v>
      </c>
      <c r="Y177" s="6">
        <f t="shared" si="110"/>
        <v>0.30460871324172928</v>
      </c>
      <c r="Z177" s="2">
        <f t="shared" si="111"/>
        <v>4237628.7806397388</v>
      </c>
      <c r="AA177" s="2">
        <f t="shared" si="112"/>
        <v>2550188.2341219662</v>
      </c>
      <c r="AB177" s="2" t="s">
        <v>598</v>
      </c>
      <c r="AC177" s="12">
        <f>VLOOKUP(B177,[9]Sheet1!$A$2:$B$137,2,FALSE)</f>
        <v>3274.1621759038899</v>
      </c>
      <c r="AD177" s="12">
        <f t="shared" si="113"/>
        <v>2160947.0360965673</v>
      </c>
      <c r="AE177" s="2"/>
      <c r="AF177" s="7">
        <f>VLOOKUP($B177,'[9]Subsidiary wise dispatch'!$A$3:$R$138,11,FALSE)*$H177*$O177*365</f>
        <v>0</v>
      </c>
      <c r="AG177" s="7">
        <f>VLOOKUP($B177,'[9]Subsidiary wise dispatch'!$A$3:$R$138,12,FALSE)*$H177*$O177*365</f>
        <v>0</v>
      </c>
      <c r="AH177" s="7">
        <f>VLOOKUP($B177,'[9]Subsidiary wise dispatch'!$A$3:$R$138,13,FALSE)*$H177*$O177*365</f>
        <v>0</v>
      </c>
      <c r="AI177" s="7">
        <f>VLOOKUP($B177,'[9]Subsidiary wise dispatch'!$A$3:$R$138,14,FALSE)*$H177*$O177*365</f>
        <v>1490461.900641233</v>
      </c>
      <c r="AJ177" s="7">
        <f>VLOOKUP($B177,'[9]Subsidiary wise dispatch'!$A$3:$R$138,15,FALSE)*$H177*$O177*365</f>
        <v>0</v>
      </c>
      <c r="AK177" s="7">
        <f>VLOOKUP($B177,'[9]Subsidiary wise dispatch'!$A$3:$R$138,16,FALSE)*$H177*$O177*365</f>
        <v>0</v>
      </c>
      <c r="AL177" s="7">
        <f>VLOOKUP($B177,'[9]Subsidiary wise dispatch'!$A$3:$R$138,17,FALSE)*$H177*$O177*365</f>
        <v>15391.351889002546</v>
      </c>
      <c r="AM177" s="7">
        <f>VLOOKUP($B177,'[9]Subsidiary wise dispatch'!$A$3:$R$138,18,FALSE)*$H177*$O177*365</f>
        <v>0</v>
      </c>
      <c r="AN177" s="15">
        <f t="shared" si="114"/>
        <v>1505853.2525302356</v>
      </c>
      <c r="AO177" s="6">
        <v>7.3165418961100362E-2</v>
      </c>
      <c r="AP177" s="11">
        <f t="shared" si="115"/>
        <v>0.56890760557588571</v>
      </c>
      <c r="AQ177" s="11">
        <f t="shared" si="116"/>
        <v>0.98509920089225533</v>
      </c>
      <c r="AR177" s="3">
        <f>VLOOKUP(A177,[10]Sheet1!$A$2:$L$542,12,FALSE)</f>
        <v>2.13298671601027</v>
      </c>
      <c r="AS177" s="3">
        <f t="shared" si="124"/>
        <v>3.8534974721251181</v>
      </c>
      <c r="AT177" s="3">
        <f t="shared" si="125"/>
        <v>3.8413294176777311</v>
      </c>
      <c r="AU177" s="3">
        <f t="shared" si="117"/>
        <v>1.2168054447387E-2</v>
      </c>
      <c r="AV177" s="88">
        <f t="shared" si="126"/>
        <v>0.2631658780282935</v>
      </c>
      <c r="AW177" s="32">
        <f t="shared" si="127"/>
        <v>6.513506895918289E-2</v>
      </c>
      <c r="AX177" s="12">
        <f t="shared" si="118"/>
        <v>1093.6637535153361</v>
      </c>
      <c r="AY177" s="12">
        <f t="shared" si="119"/>
        <v>1887.7675637058735</v>
      </c>
      <c r="AZ177" s="3">
        <f>VLOOKUP(A177,[5]Analysis!$A$3:$BJ$543,62,FALSE)</f>
        <v>1.5976606285716104</v>
      </c>
      <c r="BA177" s="2"/>
      <c r="BB177" s="2"/>
      <c r="BC177" s="2" t="str">
        <f>VLOOKUP(A177,'[6]FGD status - Jun 2020'!$I$2:$M$449,5,FALSE)</f>
        <v>NIT issued</v>
      </c>
      <c r="BD177" s="2"/>
      <c r="BE177" s="2"/>
      <c r="BF177" s="2">
        <f t="shared" si="120"/>
        <v>1334.0034652692004</v>
      </c>
      <c r="BG177" s="2">
        <f t="shared" si="121"/>
        <v>2216.7036151526472</v>
      </c>
      <c r="BH177" s="2"/>
      <c r="BI177" s="2"/>
      <c r="BK177">
        <f t="shared" si="122"/>
        <v>323.98479913392958</v>
      </c>
      <c r="BL177">
        <f>VLOOKUP(A177,'[11]Daily coal vs energy req.2'!$C$2:$P$599,14,FALSE)</f>
        <v>0.47</v>
      </c>
      <c r="BM177">
        <f>VLOOKUP(A177,'[11]Daily coal vs energy req.2'!$C$2:$R$599,16,FALSE)</f>
        <v>0.41</v>
      </c>
      <c r="BN177">
        <f t="shared" si="153"/>
        <v>310.2</v>
      </c>
      <c r="BO177">
        <f t="shared" si="154"/>
        <v>270.59999999999997</v>
      </c>
      <c r="BP177" s="2" t="str">
        <f>VLOOKUP(A177,'[7]Table 2'!$J$2:$N$449,5,FALSE)</f>
        <v>NIT issued</v>
      </c>
      <c r="BR177">
        <f t="shared" si="128"/>
        <v>1334.0034652692007</v>
      </c>
      <c r="BS177">
        <f t="shared" si="129"/>
        <v>2216.7036151526472</v>
      </c>
      <c r="BT177">
        <f>(X177*I177*365*[5]Analysis!BK177)/10^4</f>
        <v>1334.0034652692007</v>
      </c>
      <c r="BU177">
        <f>(W177*R177*365*[5]Analysis!BK177)/10^4</f>
        <v>2216.7036151526472</v>
      </c>
      <c r="BV177">
        <f>(X177*I177*365*[5]Analysis!BL177)/10^4</f>
        <v>0</v>
      </c>
      <c r="BW177">
        <f>(W177*R177*365*[5]Analysis!BL177)/10^4</f>
        <v>0</v>
      </c>
      <c r="BX177">
        <f t="shared" si="130"/>
        <v>2344787.1517910156</v>
      </c>
      <c r="BY177">
        <f t="shared" si="131"/>
        <v>3896315.3331012772</v>
      </c>
      <c r="BZ177">
        <f t="shared" si="132"/>
        <v>23488893.413815297</v>
      </c>
      <c r="CA177">
        <f t="shared" si="133"/>
        <v>40672492.167458549</v>
      </c>
      <c r="CB177">
        <f t="shared" si="134"/>
        <v>-411631.43716302275</v>
      </c>
      <c r="CC177">
        <f t="shared" si="135"/>
        <v>-1234198.4292000001</v>
      </c>
      <c r="CD177">
        <f t="shared" si="136"/>
        <v>-2869554.6193320374</v>
      </c>
      <c r="CE177">
        <f t="shared" si="137"/>
        <v>-4968813.8016000008</v>
      </c>
      <c r="CF177">
        <f t="shared" si="138"/>
        <v>5067719.6864242619</v>
      </c>
      <c r="CG177">
        <f t="shared" si="139"/>
        <v>8775074.4840000011</v>
      </c>
      <c r="CH177">
        <f t="shared" si="140"/>
        <v>542565.5998248395</v>
      </c>
      <c r="CI177">
        <f t="shared" si="141"/>
        <v>939486.36576591339</v>
      </c>
      <c r="CJ177">
        <f t="shared" si="142"/>
        <v>-3088902.177483602</v>
      </c>
      <c r="CK177">
        <f t="shared" si="143"/>
        <v>-5348627.8560000015</v>
      </c>
      <c r="CL177">
        <f t="shared" si="144"/>
        <v>1608326.8328976743</v>
      </c>
      <c r="CM177">
        <f t="shared" si="145"/>
        <v>2784918.7852872452</v>
      </c>
    </row>
    <row r="178" spans="1:91" x14ac:dyDescent="0.2">
      <c r="A178" s="2" t="s">
        <v>212</v>
      </c>
      <c r="B178" s="2" t="str">
        <f t="shared" si="152"/>
        <v>RIHAND STPS</v>
      </c>
      <c r="C178" s="2" t="str">
        <f>VLOOKUP($A178,'[1]daily coal, energy reqd'!$C$2:$T$599,17,FALSE)</f>
        <v>Uttar Pradesh</v>
      </c>
      <c r="D178" s="2" t="str">
        <f>VLOOKUP(C178,'Target PLF'!$I$2:$J$19,2,FALSE)</f>
        <v>NR</v>
      </c>
      <c r="E178" s="2" t="str">
        <f>VLOOKUP(A178,[2]Ownership!$C$2:$D$666,2,FALSE)</f>
        <v>CENTRAL SECTOR</v>
      </c>
      <c r="F178" s="2" t="s">
        <v>545</v>
      </c>
      <c r="G178" s="12">
        <v>15.337440109514</v>
      </c>
      <c r="H178" s="2">
        <v>500</v>
      </c>
      <c r="I178" s="2">
        <f>VLOOKUP(A178,'[3]Calculated coal req (reg.)'!$A$2:$I$599,9,FALSE)</f>
        <v>11.0051500848356</v>
      </c>
      <c r="J178" s="2"/>
      <c r="K178" s="11">
        <v>0.91709584040296677</v>
      </c>
      <c r="L178" s="3">
        <f>VLOOKUP(F178,'Target PLF'!$A$2:$B$11,2,FALSE)</f>
        <v>0.75</v>
      </c>
      <c r="M178" s="3">
        <f t="shared" si="123"/>
        <v>-0.16709584040296677</v>
      </c>
      <c r="N178" s="2" t="str">
        <f t="shared" si="102"/>
        <v>0.25</v>
      </c>
      <c r="O178" s="2">
        <f t="shared" si="155"/>
        <v>14.062355721747453</v>
      </c>
      <c r="P178" s="2">
        <f t="shared" si="103"/>
        <v>2566379.9192189104</v>
      </c>
      <c r="Q178" s="2">
        <f t="shared" si="104"/>
        <v>13.128831165468856</v>
      </c>
      <c r="R178" s="2">
        <f t="shared" si="105"/>
        <v>9</v>
      </c>
      <c r="S178" s="2">
        <f t="shared" si="106"/>
        <v>2114127.9597335877</v>
      </c>
      <c r="T178" s="2" t="str">
        <f>VLOOKUP(A178,'[4]CEA vs MERIT comp. &amp; NPA marker'!$C$2:$K$735,9,FALSE)</f>
        <v>Contracted</v>
      </c>
      <c r="U178" s="3">
        <f>VLOOKUP(B178,'[8]Import-Domestic share'!$A$208:$F$406,6,FALSE)</f>
        <v>0</v>
      </c>
      <c r="V178" s="3">
        <f t="shared" si="107"/>
        <v>0</v>
      </c>
      <c r="W178" s="2">
        <f t="shared" si="108"/>
        <v>2824.1987286420258</v>
      </c>
      <c r="X178" s="2">
        <f t="shared" si="109"/>
        <v>2768.9616561650082</v>
      </c>
      <c r="Y178" s="6">
        <f t="shared" si="110"/>
        <v>0.30451114904846599</v>
      </c>
      <c r="Z178" s="2">
        <f t="shared" si="111"/>
        <v>2083898.5960034754</v>
      </c>
      <c r="AA178" s="2">
        <f t="shared" si="112"/>
        <v>2498341.0905859512</v>
      </c>
      <c r="AB178" s="2" t="s">
        <v>598</v>
      </c>
      <c r="AC178" s="12">
        <f>VLOOKUP(B178,[9]Sheet1!$A$2:$B$137,2,FALSE)</f>
        <v>4451.988614696289</v>
      </c>
      <c r="AD178" s="12">
        <f t="shared" si="113"/>
        <v>2225994.3073481447</v>
      </c>
      <c r="AE178" s="2" t="s">
        <v>589</v>
      </c>
      <c r="AF178" s="7">
        <f>VLOOKUP($B178,'[9]Subsidiary wise dispatch'!$A$3:$R$138,11,FALSE)*$H178*$O178*365</f>
        <v>0</v>
      </c>
      <c r="AG178" s="7">
        <f>VLOOKUP($B178,'[9]Subsidiary wise dispatch'!$A$3:$R$138,12,FALSE)*$H178*$O178*365</f>
        <v>0</v>
      </c>
      <c r="AH178" s="7">
        <f>VLOOKUP($B178,'[9]Subsidiary wise dispatch'!$A$3:$R$138,13,FALSE)*$H178*$O178*365</f>
        <v>0</v>
      </c>
      <c r="AI178" s="7">
        <f>VLOOKUP($B178,'[9]Subsidiary wise dispatch'!$A$3:$R$138,14,FALSE)*$H178*$O178*365</f>
        <v>0</v>
      </c>
      <c r="AJ178" s="7">
        <f>VLOOKUP($B178,'[9]Subsidiary wise dispatch'!$A$3:$R$138,15,FALSE)*$H178*$O178*365</f>
        <v>2566379.9192189104</v>
      </c>
      <c r="AK178" s="7">
        <f>VLOOKUP($B178,'[9]Subsidiary wise dispatch'!$A$3:$R$138,16,FALSE)*$H178*$O178*365</f>
        <v>0</v>
      </c>
      <c r="AL178" s="7">
        <f>VLOOKUP($B178,'[9]Subsidiary wise dispatch'!$A$3:$R$138,17,FALSE)*$H178*$O178*365</f>
        <v>0</v>
      </c>
      <c r="AM178" s="7">
        <f>VLOOKUP($B178,'[9]Subsidiary wise dispatch'!$A$3:$R$138,18,FALSE)*$H178*$O178*365</f>
        <v>0</v>
      </c>
      <c r="AN178" s="15">
        <f t="shared" si="114"/>
        <v>2566379.9192189104</v>
      </c>
      <c r="AO178" s="6">
        <v>6.6356788102148762E-2</v>
      </c>
      <c r="AP178" s="11">
        <f t="shared" si="115"/>
        <v>0.73026641221178035</v>
      </c>
      <c r="AQ178" s="11">
        <f t="shared" si="116"/>
        <v>0.59721109291933883</v>
      </c>
      <c r="AR178" s="3">
        <f>VLOOKUP(A178,[10]Sheet1!$A$2:$L$542,12,FALSE)</f>
        <v>1.3619855979097</v>
      </c>
      <c r="AS178" s="3">
        <f t="shared" si="124"/>
        <v>1.7789180214083922</v>
      </c>
      <c r="AT178" s="3">
        <f t="shared" si="125"/>
        <v>1.7845798213372868</v>
      </c>
      <c r="AU178" s="3">
        <f t="shared" si="117"/>
        <v>-5.6617999288945953E-3</v>
      </c>
      <c r="AV178" s="88">
        <f t="shared" si="126"/>
        <v>-0.12245117376410211</v>
      </c>
      <c r="AW178" s="32">
        <f t="shared" si="127"/>
        <v>6.5651914495050132E-2</v>
      </c>
      <c r="AX178" s="12">
        <f t="shared" si="118"/>
        <v>714.56998321896231</v>
      </c>
      <c r="AY178" s="12">
        <f t="shared" si="119"/>
        <v>586.23447130929867</v>
      </c>
      <c r="AZ178" s="3">
        <f>VLOOKUP(A178,[5]Analysis!$A$3:$BJ$543,62,FALSE)</f>
        <v>0.44592395047407901</v>
      </c>
      <c r="BA178" s="2"/>
      <c r="BB178" s="2"/>
      <c r="BC178" s="2" t="str">
        <f>VLOOKUP(A178,'[6]FGD status - Jun 2020'!$I$2:$M$449,5,FALSE)</f>
        <v>Bid Awarded</v>
      </c>
      <c r="BD178" s="2"/>
      <c r="BE178" s="2"/>
      <c r="BF178" s="2">
        <f t="shared" si="120"/>
        <v>773.23656753635191</v>
      </c>
      <c r="BG178" s="2">
        <f t="shared" si="121"/>
        <v>644.96661546307564</v>
      </c>
      <c r="BH178" s="2"/>
      <c r="BI178" s="2"/>
      <c r="BK178">
        <f t="shared" si="122"/>
        <v>458.54792020148341</v>
      </c>
      <c r="BL178">
        <f>VLOOKUP(A178,'[11]Daily coal vs energy req.2'!$C$2:$P$599,14,FALSE)</f>
        <v>0.92</v>
      </c>
      <c r="BM178">
        <f>VLOOKUP(A178,'[11]Daily coal vs energy req.2'!$C$2:$R$599,16,FALSE)</f>
        <v>0.89</v>
      </c>
      <c r="BN178">
        <f t="shared" si="153"/>
        <v>460</v>
      </c>
      <c r="BO178">
        <f t="shared" si="154"/>
        <v>445</v>
      </c>
      <c r="BP178" s="2" t="str">
        <f>VLOOKUP(A178,'[7]Table 2'!$J$2:$N$449,5,FALSE)</f>
        <v>Bid Awarded</v>
      </c>
      <c r="BR178">
        <f t="shared" si="128"/>
        <v>495.98275291495594</v>
      </c>
      <c r="BS178">
        <f t="shared" si="129"/>
        <v>413.70562503897492</v>
      </c>
      <c r="BT178">
        <f>(X178*I178*365*[5]Analysis!BK178)/10^4</f>
        <v>423.19323783866287</v>
      </c>
      <c r="BU178">
        <f>(W178*R178*365*[5]Analysis!BK178)/10^4</f>
        <v>352.99094967185562</v>
      </c>
      <c r="BV178">
        <f>(X178*I178*365*[5]Analysis!BL178)/10^4</f>
        <v>72.789515076293057</v>
      </c>
      <c r="BW178">
        <f>(W178*R178*365*[5]Analysis!BL178)/10^4</f>
        <v>60.714675367119327</v>
      </c>
      <c r="BX178">
        <f t="shared" si="130"/>
        <v>3123465.9570382135</v>
      </c>
      <c r="BY178">
        <f t="shared" si="131"/>
        <v>2605323.3271722686</v>
      </c>
      <c r="BZ178">
        <f t="shared" si="132"/>
        <v>9278951.7587282602</v>
      </c>
      <c r="CA178">
        <f t="shared" si="133"/>
        <v>7588316.8502741838</v>
      </c>
      <c r="CB178">
        <f t="shared" si="134"/>
        <v>-1088435.3894613804</v>
      </c>
      <c r="CC178">
        <f t="shared" si="135"/>
        <v>-727940.25</v>
      </c>
      <c r="CD178">
        <f t="shared" si="136"/>
        <v>0</v>
      </c>
      <c r="CE178">
        <f t="shared" si="137"/>
        <v>0</v>
      </c>
      <c r="CF178">
        <f t="shared" si="138"/>
        <v>7172535.0343160508</v>
      </c>
      <c r="CG178">
        <f t="shared" si="139"/>
        <v>5865691.5000000009</v>
      </c>
      <c r="CH178">
        <f t="shared" si="140"/>
        <v>1249811.7031220549</v>
      </c>
      <c r="CI178">
        <f t="shared" si="141"/>
        <v>1022094.6776180675</v>
      </c>
      <c r="CJ178">
        <f t="shared" si="142"/>
        <v>-3311999.9180312748</v>
      </c>
      <c r="CK178">
        <f t="shared" si="143"/>
        <v>-2708550.0000000005</v>
      </c>
      <c r="CL178">
        <f t="shared" si="144"/>
        <v>2064495.2790448405</v>
      </c>
      <c r="CM178">
        <f t="shared" si="145"/>
        <v>1688342.0369710594</v>
      </c>
    </row>
    <row r="179" spans="1:91" x14ac:dyDescent="0.2">
      <c r="A179" s="2" t="s">
        <v>216</v>
      </c>
      <c r="B179" s="2" t="str">
        <f t="shared" si="152"/>
        <v>RAMAGUNDEM STPS</v>
      </c>
      <c r="C179" s="2" t="str">
        <f>VLOOKUP($A179,'[1]daily coal, energy reqd'!$C$2:$T$599,17,FALSE)</f>
        <v>Telangana</v>
      </c>
      <c r="D179" s="2" t="str">
        <f>VLOOKUP(C179,'Target PLF'!$I$2:$J$19,2,FALSE)</f>
        <v>SR</v>
      </c>
      <c r="E179" s="2" t="str">
        <f>VLOOKUP(A179,[2]Ownership!$C$2:$D$666,2,FALSE)</f>
        <v>CENTRAL SECTOR</v>
      </c>
      <c r="F179" s="2" t="s">
        <v>545</v>
      </c>
      <c r="G179" s="12">
        <v>15.6714579055441</v>
      </c>
      <c r="H179" s="2">
        <v>500</v>
      </c>
      <c r="I179" s="2">
        <f>VLOOKUP(A179,'[3]Calculated coal req (reg.)'!$A$2:$I$599,9,FALSE)</f>
        <v>10.091637919073699</v>
      </c>
      <c r="J179" s="2"/>
      <c r="K179" s="11">
        <v>0.84096982658947494</v>
      </c>
      <c r="L179" s="3">
        <f>VLOOKUP(F179,'Target PLF'!$A$2:$B$11,2,FALSE)</f>
        <v>0.75</v>
      </c>
      <c r="M179" s="3">
        <f t="shared" si="123"/>
        <v>-9.0969826589474945E-2</v>
      </c>
      <c r="N179" s="2" t="str">
        <f t="shared" si="102"/>
        <v>0.25</v>
      </c>
      <c r="O179" s="2">
        <f t="shared" si="155"/>
        <v>13.013771667445452</v>
      </c>
      <c r="P179" s="2">
        <f t="shared" si="103"/>
        <v>2375013.3293087948</v>
      </c>
      <c r="Q179" s="2">
        <f t="shared" si="104"/>
        <v>13.13941117915811</v>
      </c>
      <c r="R179" s="2">
        <f t="shared" si="105"/>
        <v>9</v>
      </c>
      <c r="S179" s="2">
        <f t="shared" si="106"/>
        <v>2115831.6531144306</v>
      </c>
      <c r="T179" s="2" t="str">
        <f>VLOOKUP(A179,'[4]CEA vs MERIT comp. &amp; NPA marker'!$C$2:$K$735,9,FALSE)</f>
        <v>Contracted</v>
      </c>
      <c r="U179" s="3">
        <f>VLOOKUP(B179,'[8]Import-Domestic share'!$A$208:$F$406,6,FALSE)</f>
        <v>0</v>
      </c>
      <c r="V179" s="3">
        <f t="shared" si="107"/>
        <v>0</v>
      </c>
      <c r="W179" s="2">
        <f t="shared" si="108"/>
        <v>2826.7508039712525</v>
      </c>
      <c r="X179" s="2">
        <f t="shared" si="109"/>
        <v>2796.6787992317777</v>
      </c>
      <c r="Y179" s="6">
        <f t="shared" si="110"/>
        <v>0.30423622725844851</v>
      </c>
      <c r="Z179" s="2">
        <f t="shared" si="111"/>
        <v>2166560.0539070377</v>
      </c>
      <c r="AA179" s="2">
        <f t="shared" si="112"/>
        <v>2403504.5458459808</v>
      </c>
      <c r="AB179" s="2" t="s">
        <v>598</v>
      </c>
      <c r="AC179" s="12"/>
      <c r="AD179" s="12">
        <f t="shared" si="113"/>
        <v>0</v>
      </c>
      <c r="AE179" s="2" t="s">
        <v>589</v>
      </c>
      <c r="AF179" s="7"/>
      <c r="AG179" s="7"/>
      <c r="AH179" s="7"/>
      <c r="AI179" s="7"/>
      <c r="AJ179" s="7"/>
      <c r="AK179" s="7"/>
      <c r="AL179" s="7"/>
      <c r="AM179" s="7"/>
      <c r="AN179" s="15">
        <f t="shared" si="114"/>
        <v>0</v>
      </c>
      <c r="AO179" s="6">
        <v>6.1716058959159902E-2</v>
      </c>
      <c r="AP179" s="11">
        <f t="shared" si="115"/>
        <v>0.62281612080804616</v>
      </c>
      <c r="AQ179" s="11">
        <f t="shared" si="116"/>
        <v>0.55544453063243915</v>
      </c>
      <c r="AR179" s="3">
        <f>VLOOKUP(A179,[10]Sheet1!$A$2:$L$542,12,FALSE)</f>
        <v>2.4794942674709901</v>
      </c>
      <c r="AS179" s="3">
        <f t="shared" si="124"/>
        <v>1.9862242986612084</v>
      </c>
      <c r="AT179" s="3">
        <f t="shared" si="125"/>
        <v>1.9893066791470047</v>
      </c>
      <c r="AU179" s="3">
        <f t="shared" si="117"/>
        <v>-3.0823804857962323E-3</v>
      </c>
      <c r="AV179" s="88">
        <f t="shared" si="126"/>
        <v>-6.6664508321299026E-2</v>
      </c>
      <c r="AW179" s="32">
        <f t="shared" si="127"/>
        <v>3.2011554726402047E-2</v>
      </c>
      <c r="AX179" s="12">
        <f t="shared" si="118"/>
        <v>731.61536035765801</v>
      </c>
      <c r="AY179" s="12">
        <f t="shared" si="119"/>
        <v>653.48724409979104</v>
      </c>
      <c r="AZ179" s="3">
        <f>VLOOKUP(A179,[5]Analysis!$A$3:$BJ$543,62,FALSE)</f>
        <v>0.55969234867751261</v>
      </c>
      <c r="BA179" s="2"/>
      <c r="BB179" s="2"/>
      <c r="BC179" s="2" t="str">
        <f>VLOOKUP(A179,'[6]FGD status - Jun 2020'!$I$2:$M$449,5,FALSE)</f>
        <v>Bid Awarded</v>
      </c>
      <c r="BD179" s="2"/>
      <c r="BE179" s="2"/>
      <c r="BF179" s="2">
        <f t="shared" si="120"/>
        <v>743.88465693933108</v>
      </c>
      <c r="BG179" s="2">
        <f t="shared" si="121"/>
        <v>670.55033668422811</v>
      </c>
      <c r="BH179" s="2"/>
      <c r="BI179" s="2"/>
      <c r="BK179">
        <f t="shared" si="122"/>
        <v>420.48491329473745</v>
      </c>
      <c r="BL179">
        <f>VLOOKUP(A179,'[11]Daily coal vs energy req.2'!$C$2:$P$599,14,FALSE)</f>
        <v>0.75</v>
      </c>
      <c r="BM179">
        <f>VLOOKUP(A179,'[11]Daily coal vs energy req.2'!$C$2:$R$599,16,FALSE)</f>
        <v>0.77</v>
      </c>
      <c r="BN179">
        <f t="shared" si="153"/>
        <v>375</v>
      </c>
      <c r="BO179">
        <f t="shared" si="154"/>
        <v>385</v>
      </c>
      <c r="BP179" s="2" t="str">
        <f>VLOOKUP(A179,'[7]Table 2'!$J$2:$N$449,5,FALSE)</f>
        <v>Bid Awarded</v>
      </c>
      <c r="BR179">
        <f t="shared" si="128"/>
        <v>576.56262251224427</v>
      </c>
      <c r="BS179">
        <f t="shared" si="129"/>
        <v>519.72339668333564</v>
      </c>
      <c r="BT179">
        <f>(X179*I179*365*[5]Analysis!BK179)/10^4</f>
        <v>387.12714247839955</v>
      </c>
      <c r="BU179">
        <f>(W179*R179*365*[5]Analysis!BK179)/10^4</f>
        <v>348.96301907415904</v>
      </c>
      <c r="BV179">
        <f>(X179*I179*365*[5]Analysis!BL179)/10^4</f>
        <v>189.4354800338447</v>
      </c>
      <c r="BW179">
        <f>(W179*R179*365*[5]Analysis!BL179)/10^4</f>
        <v>170.7603776091766</v>
      </c>
      <c r="BX179">
        <f t="shared" si="130"/>
        <v>2892864.6563241831</v>
      </c>
      <c r="BY179">
        <f t="shared" si="131"/>
        <v>2607677.6166634802</v>
      </c>
      <c r="BZ179">
        <f t="shared" si="132"/>
        <v>10679555.526511787</v>
      </c>
      <c r="CA179">
        <f t="shared" si="133"/>
        <v>9524321.0774478968</v>
      </c>
      <c r="CB179">
        <f t="shared" si="134"/>
        <v>-915237.98121761857</v>
      </c>
      <c r="CC179">
        <f t="shared" si="135"/>
        <v>-727940.25</v>
      </c>
      <c r="CD179">
        <f t="shared" si="136"/>
        <v>0</v>
      </c>
      <c r="CE179">
        <f t="shared" si="137"/>
        <v>0</v>
      </c>
      <c r="CF179">
        <f t="shared" si="138"/>
        <v>6577159.41810981</v>
      </c>
      <c r="CG179">
        <f t="shared" si="139"/>
        <v>5865691.5000000009</v>
      </c>
      <c r="CH179">
        <f t="shared" si="140"/>
        <v>1171026.7015208057</v>
      </c>
      <c r="CI179">
        <f t="shared" si="141"/>
        <v>1044353.7905544117</v>
      </c>
      <c r="CJ179">
        <f t="shared" si="142"/>
        <v>-3037078.4317452302</v>
      </c>
      <c r="CK179">
        <f t="shared" si="143"/>
        <v>-2708550.0000000005</v>
      </c>
      <c r="CL179">
        <f t="shared" si="144"/>
        <v>1760728.577433662</v>
      </c>
      <c r="CM179">
        <f t="shared" si="145"/>
        <v>1570266.1276572531</v>
      </c>
    </row>
    <row r="180" spans="1:91" x14ac:dyDescent="0.2">
      <c r="A180" s="2" t="s">
        <v>208</v>
      </c>
      <c r="B180" s="2" t="str">
        <f t="shared" si="152"/>
        <v>TALCHER STPS</v>
      </c>
      <c r="C180" s="2" t="str">
        <f>VLOOKUP($A180,'[1]daily coal, energy reqd'!$C$2:$T$599,17,FALSE)</f>
        <v>Odisha</v>
      </c>
      <c r="D180" s="2" t="str">
        <f>VLOOKUP(C180,'Target PLF'!$I$2:$J$19,2,FALSE)</f>
        <v>ER</v>
      </c>
      <c r="E180" s="2" t="str">
        <f>VLOOKUP(A180,[2]Ownership!$C$2:$D$666,2,FALSE)</f>
        <v>CENTRAL SECTOR</v>
      </c>
      <c r="F180" s="2" t="s">
        <v>545</v>
      </c>
      <c r="G180" s="12">
        <v>15.2525667351129</v>
      </c>
      <c r="H180" s="2">
        <v>500</v>
      </c>
      <c r="I180" s="2">
        <f>VLOOKUP(A180,'[3]Calculated coal req (reg.)'!$A$2:$I$599,9,FALSE)</f>
        <v>10.0952082092883</v>
      </c>
      <c r="J180" s="2"/>
      <c r="K180" s="11">
        <v>0.84126735077402492</v>
      </c>
      <c r="L180" s="3">
        <f>VLOOKUP(F180,'Target PLF'!$A$2:$B$11,2,FALSE)</f>
        <v>0.75</v>
      </c>
      <c r="M180" s="3">
        <f t="shared" si="123"/>
        <v>-9.1267350774024925E-2</v>
      </c>
      <c r="N180" s="2" t="str">
        <f t="shared" si="102"/>
        <v>0.25</v>
      </c>
      <c r="O180" s="2">
        <f t="shared" si="155"/>
        <v>13.004642832858943</v>
      </c>
      <c r="P180" s="2">
        <f t="shared" si="103"/>
        <v>2373347.3169967569</v>
      </c>
      <c r="Q180" s="2">
        <f t="shared" si="104"/>
        <v>13.126142801334701</v>
      </c>
      <c r="R180" s="2">
        <f t="shared" si="105"/>
        <v>9</v>
      </c>
      <c r="S180" s="2">
        <f t="shared" si="106"/>
        <v>2113695.0540384557</v>
      </c>
      <c r="T180" s="2" t="str">
        <f>VLOOKUP(A180,'[4]CEA vs MERIT comp. &amp; NPA marker'!$C$2:$K$735,9,FALSE)</f>
        <v>Contracted</v>
      </c>
      <c r="U180" s="3">
        <f>VLOOKUP(B180,'[8]Import-Domestic share'!$A$208:$F$406,6,FALSE)</f>
        <v>2.3401661620630933E-2</v>
      </c>
      <c r="V180" s="3">
        <f t="shared" si="107"/>
        <v>55540.270820590413</v>
      </c>
      <c r="W180" s="2">
        <f t="shared" si="108"/>
        <v>2828.8262861462758</v>
      </c>
      <c r="X180" s="2">
        <f t="shared" si="109"/>
        <v>2798.6559284800851</v>
      </c>
      <c r="Y180" s="6">
        <f t="shared" si="110"/>
        <v>0.30401301211449866</v>
      </c>
      <c r="Z180" s="2">
        <f t="shared" si="111"/>
        <v>2689892.3543361695</v>
      </c>
      <c r="AA180" s="2">
        <f t="shared" si="112"/>
        <v>2985045.1300798506</v>
      </c>
      <c r="AB180" s="2" t="s">
        <v>598</v>
      </c>
      <c r="AC180" s="12">
        <f>VLOOKUP(B180,[9]Sheet1!$A$2:$B$137,2,FALSE)</f>
        <v>3454.6714611127372</v>
      </c>
      <c r="AD180" s="12">
        <f t="shared" si="113"/>
        <v>1727335.7305563686</v>
      </c>
      <c r="AE180" s="2" t="s">
        <v>589</v>
      </c>
      <c r="AF180" s="7">
        <f>VLOOKUP($B180,'[9]Subsidiary wise dispatch'!$A$3:$R$138,11,FALSE)*$H180*$O180*365</f>
        <v>0</v>
      </c>
      <c r="AG180" s="7">
        <f>VLOOKUP($B180,'[9]Subsidiary wise dispatch'!$A$3:$R$138,12,FALSE)*$H180*$O180*365</f>
        <v>0</v>
      </c>
      <c r="AH180" s="7">
        <f>VLOOKUP($B180,'[9]Subsidiary wise dispatch'!$A$3:$R$138,13,FALSE)*$H180*$O180*365</f>
        <v>13933.803683773982</v>
      </c>
      <c r="AI180" s="7">
        <f>VLOOKUP($B180,'[9]Subsidiary wise dispatch'!$A$3:$R$138,14,FALSE)*$H180*$O180*365</f>
        <v>2359413.5133129829</v>
      </c>
      <c r="AJ180" s="7">
        <f>VLOOKUP($B180,'[9]Subsidiary wise dispatch'!$A$3:$R$138,15,FALSE)*$H180*$O180*365</f>
        <v>0</v>
      </c>
      <c r="AK180" s="7">
        <f>VLOOKUP($B180,'[9]Subsidiary wise dispatch'!$A$3:$R$138,16,FALSE)*$H180*$O180*365</f>
        <v>0</v>
      </c>
      <c r="AL180" s="7">
        <f>VLOOKUP($B180,'[9]Subsidiary wise dispatch'!$A$3:$R$138,17,FALSE)*$H180*$O180*365</f>
        <v>0</v>
      </c>
      <c r="AM180" s="7">
        <f>VLOOKUP($B180,'[9]Subsidiary wise dispatch'!$A$3:$R$138,18,FALSE)*$H180*$O180*365</f>
        <v>0</v>
      </c>
      <c r="AN180" s="15">
        <f t="shared" si="114"/>
        <v>2373347.3169967569</v>
      </c>
      <c r="AO180" s="6">
        <v>6.4093993789743203E-2</v>
      </c>
      <c r="AP180" s="11">
        <f t="shared" si="115"/>
        <v>0.64704221227228886</v>
      </c>
      <c r="AQ180" s="11">
        <f t="shared" si="116"/>
        <v>0.57684594410768886</v>
      </c>
      <c r="AR180" s="3">
        <f>VLOOKUP(A180,[10]Sheet1!$A$2:$L$542,12,FALSE)</f>
        <v>1.70619901878252</v>
      </c>
      <c r="AS180" s="3">
        <f t="shared" si="124"/>
        <v>1.8703118197360107</v>
      </c>
      <c r="AT180" s="3">
        <f t="shared" si="125"/>
        <v>1.8734042813967953</v>
      </c>
      <c r="AU180" s="3">
        <f t="shared" si="117"/>
        <v>-3.0924616607845845E-3</v>
      </c>
      <c r="AV180" s="88">
        <f t="shared" si="126"/>
        <v>-6.6882539994220946E-2</v>
      </c>
      <c r="AW180" s="32">
        <f t="shared" si="127"/>
        <v>3.4106654120616184E-2</v>
      </c>
      <c r="AX180" s="12">
        <f t="shared" si="118"/>
        <v>689.16333413326879</v>
      </c>
      <c r="AY180" s="12">
        <f t="shared" si="119"/>
        <v>615.41330643884726</v>
      </c>
      <c r="AZ180" s="3">
        <f>VLOOKUP(A180,[5]Analysis!$A$3:$BJ$543,62,FALSE)</f>
        <v>0.49636627966549751</v>
      </c>
      <c r="BA180" s="2"/>
      <c r="BB180" s="2"/>
      <c r="BC180" s="2" t="str">
        <f>VLOOKUP(A180,'[6]FGD status - Jun 2020'!$I$2:$M$449,5,FALSE)</f>
        <v>Bid Awarded</v>
      </c>
      <c r="BD180" s="2"/>
      <c r="BE180" s="2"/>
      <c r="BF180" s="2">
        <f t="shared" si="120"/>
        <v>938.79249918936955</v>
      </c>
      <c r="BG180" s="2">
        <f t="shared" si="121"/>
        <v>845.9673659306045</v>
      </c>
      <c r="BH180" s="2"/>
      <c r="BI180" s="2"/>
      <c r="BK180">
        <f t="shared" si="122"/>
        <v>420.63367538701249</v>
      </c>
      <c r="BL180" t="str">
        <f>VLOOKUP(A180,'[11]Daily coal vs energy req.2'!$C$2:$P$599,14,FALSE)</f>
        <v/>
      </c>
      <c r="BM180" t="str">
        <f>VLOOKUP(A180,'[11]Daily coal vs energy req.2'!$C$2:$R$599,16,FALSE)</f>
        <v/>
      </c>
      <c r="BP180" s="2" t="str">
        <f>VLOOKUP(A180,'[7]Table 2'!$J$2:$N$449,5,FALSE)</f>
        <v>Bid Awarded</v>
      </c>
      <c r="BR180">
        <f t="shared" si="128"/>
        <v>511.87029138155759</v>
      </c>
      <c r="BS180">
        <f t="shared" si="129"/>
        <v>461.25801225733801</v>
      </c>
      <c r="BT180">
        <f>(X180*I180*365*[5]Analysis!BK180)/10^4</f>
        <v>459.92140511704218</v>
      </c>
      <c r="BU180">
        <f>(W180*R180*365*[5]Analysis!BK180)/10^4</f>
        <v>414.44568417187918</v>
      </c>
      <c r="BV180">
        <f>(X180*I180*365*[5]Analysis!BL180)/10^4</f>
        <v>51.948886264515387</v>
      </c>
      <c r="BW180">
        <f>(W180*R180*365*[5]Analysis!BL180)/10^4</f>
        <v>46.812328085458866</v>
      </c>
      <c r="BX180">
        <f t="shared" si="130"/>
        <v>2895933.9661769662</v>
      </c>
      <c r="BY180">
        <f t="shared" si="131"/>
        <v>2609592.2489699395</v>
      </c>
      <c r="BZ180">
        <f t="shared" si="132"/>
        <v>9474574.1519827265</v>
      </c>
      <c r="CA180">
        <f t="shared" si="133"/>
        <v>8446697.2448759489</v>
      </c>
      <c r="CB180">
        <f t="shared" si="134"/>
        <v>-915885.69435661566</v>
      </c>
      <c r="CC180">
        <f t="shared" si="135"/>
        <v>-727940.25</v>
      </c>
      <c r="CD180">
        <f t="shared" si="136"/>
        <v>0</v>
      </c>
      <c r="CE180">
        <f t="shared" si="137"/>
        <v>0</v>
      </c>
      <c r="CF180">
        <f t="shared" si="138"/>
        <v>6579486.3315502899</v>
      </c>
      <c r="CG180">
        <f t="shared" si="139"/>
        <v>5865691.5000000009</v>
      </c>
      <c r="CH180">
        <f t="shared" si="140"/>
        <v>1140128.8934521442</v>
      </c>
      <c r="CI180">
        <f t="shared" si="141"/>
        <v>1016438.6735112913</v>
      </c>
      <c r="CJ180">
        <f t="shared" si="142"/>
        <v>-3038152.9105853145</v>
      </c>
      <c r="CK180">
        <f t="shared" si="143"/>
        <v>-2708550.0000000005</v>
      </c>
      <c r="CL180">
        <f t="shared" si="144"/>
        <v>1829216.8039511004</v>
      </c>
      <c r="CM180">
        <f t="shared" si="145"/>
        <v>1630768.8652139769</v>
      </c>
    </row>
    <row r="181" spans="1:91" x14ac:dyDescent="0.2">
      <c r="A181" s="2" t="s">
        <v>219</v>
      </c>
      <c r="B181" s="2" t="str">
        <f t="shared" si="152"/>
        <v>TALCHER STPS</v>
      </c>
      <c r="C181" s="2" t="str">
        <f>VLOOKUP($A181,'[1]daily coal, energy reqd'!$C$2:$T$599,17,FALSE)</f>
        <v>Odisha</v>
      </c>
      <c r="D181" s="2" t="str">
        <f>VLOOKUP(C181,'Target PLF'!$I$2:$J$19,2,FALSE)</f>
        <v>ER</v>
      </c>
      <c r="E181" s="2" t="str">
        <f>VLOOKUP(A181,[2]Ownership!$C$2:$D$666,2,FALSE)</f>
        <v>CENTRAL SECTOR</v>
      </c>
      <c r="F181" s="2" t="s">
        <v>545</v>
      </c>
      <c r="G181" s="12">
        <v>16.008213552361301</v>
      </c>
      <c r="H181" s="2">
        <v>500</v>
      </c>
      <c r="I181" s="2">
        <f>VLOOKUP(A181,'[3]Calculated coal req (reg.)'!$A$2:$I$599,9,FALSE)</f>
        <v>9.6497396902856707</v>
      </c>
      <c r="J181" s="2"/>
      <c r="K181" s="11">
        <v>0.80414497419047259</v>
      </c>
      <c r="L181" s="3">
        <f>VLOOKUP(F181,'Target PLF'!$A$2:$B$11,2,FALSE)</f>
        <v>0.75</v>
      </c>
      <c r="M181" s="3">
        <f t="shared" si="123"/>
        <v>-5.4144974190472595E-2</v>
      </c>
      <c r="N181" s="2" t="str">
        <f t="shared" si="102"/>
        <v>0.25</v>
      </c>
      <c r="O181" s="2">
        <f t="shared" si="155"/>
        <v>12.512083183675347</v>
      </c>
      <c r="P181" s="2">
        <f t="shared" si="103"/>
        <v>2283455.1810207511</v>
      </c>
      <c r="Q181" s="2">
        <f t="shared" si="104"/>
        <v>13.150077914271044</v>
      </c>
      <c r="R181" s="2">
        <f t="shared" si="105"/>
        <v>9</v>
      </c>
      <c r="S181" s="2">
        <f t="shared" si="106"/>
        <v>2117549.311195117</v>
      </c>
      <c r="T181" s="2" t="str">
        <f>VLOOKUP(A181,'[4]CEA vs MERIT comp. &amp; NPA marker'!$C$2:$K$735,9,FALSE)</f>
        <v>Contracted</v>
      </c>
      <c r="U181" s="3">
        <f>VLOOKUP(B181,'[8]Import-Domestic share'!$A$208:$F$406,6,FALSE)</f>
        <v>2.3401661620630933E-2</v>
      </c>
      <c r="V181" s="3">
        <f t="shared" si="107"/>
        <v>53436.645472124168</v>
      </c>
      <c r="W181" s="2">
        <f t="shared" si="108"/>
        <v>2834.5998336123944</v>
      </c>
      <c r="X181" s="2">
        <f t="shared" si="109"/>
        <v>2816.7010645202809</v>
      </c>
      <c r="Y181" s="6">
        <f t="shared" si="110"/>
        <v>0.30339379470858924</v>
      </c>
      <c r="Z181" s="2">
        <f t="shared" si="111"/>
        <v>2695382.3419195595</v>
      </c>
      <c r="AA181" s="2">
        <f t="shared" si="112"/>
        <v>2871722.4815247809</v>
      </c>
      <c r="AB181" s="2" t="s">
        <v>598</v>
      </c>
      <c r="AC181" s="12">
        <f>VLOOKUP(B181,[9]Sheet1!$A$2:$B$137,2,FALSE)</f>
        <v>3454.6714611127372</v>
      </c>
      <c r="AD181" s="12">
        <f t="shared" si="113"/>
        <v>1727335.7305563686</v>
      </c>
      <c r="AE181" s="2" t="s">
        <v>589</v>
      </c>
      <c r="AF181" s="7">
        <f>VLOOKUP($B181,'[9]Subsidiary wise dispatch'!$A$3:$R$138,11,FALSE)*$H181*$O181*365</f>
        <v>0</v>
      </c>
      <c r="AG181" s="7">
        <f>VLOOKUP($B181,'[9]Subsidiary wise dispatch'!$A$3:$R$138,12,FALSE)*$H181*$O181*365</f>
        <v>0</v>
      </c>
      <c r="AH181" s="7">
        <f>VLOOKUP($B181,'[9]Subsidiary wise dispatch'!$A$3:$R$138,13,FALSE)*$H181*$O181*365</f>
        <v>13406.051438481136</v>
      </c>
      <c r="AI181" s="7">
        <f>VLOOKUP($B181,'[9]Subsidiary wise dispatch'!$A$3:$R$138,14,FALSE)*$H181*$O181*365</f>
        <v>2270049.1295822696</v>
      </c>
      <c r="AJ181" s="7">
        <f>VLOOKUP($B181,'[9]Subsidiary wise dispatch'!$A$3:$R$138,15,FALSE)*$H181*$O181*365</f>
        <v>0</v>
      </c>
      <c r="AK181" s="7">
        <f>VLOOKUP($B181,'[9]Subsidiary wise dispatch'!$A$3:$R$138,16,FALSE)*$H181*$O181*365</f>
        <v>0</v>
      </c>
      <c r="AL181" s="7">
        <f>VLOOKUP($B181,'[9]Subsidiary wise dispatch'!$A$3:$R$138,17,FALSE)*$H181*$O181*365</f>
        <v>0</v>
      </c>
      <c r="AM181" s="7">
        <f>VLOOKUP($B181,'[9]Subsidiary wise dispatch'!$A$3:$R$138,18,FALSE)*$H181*$O181*365</f>
        <v>0</v>
      </c>
      <c r="AN181" s="15">
        <f t="shared" si="114"/>
        <v>2283455.1810207507</v>
      </c>
      <c r="AO181" s="6">
        <v>6.4093993789743203E-2</v>
      </c>
      <c r="AP181" s="11">
        <f t="shared" si="115"/>
        <v>0.61849035578180833</v>
      </c>
      <c r="AQ181" s="11">
        <f t="shared" si="116"/>
        <v>0.57684594410768886</v>
      </c>
      <c r="AR181" s="3">
        <f>VLOOKUP(A181,[10]Sheet1!$A$2:$L$542,12,FALSE)</f>
        <v>1.70619901878252</v>
      </c>
      <c r="AS181" s="3">
        <f t="shared" si="124"/>
        <v>1.8777566330384465</v>
      </c>
      <c r="AT181" s="3">
        <f t="shared" si="125"/>
        <v>1.8795912568703881</v>
      </c>
      <c r="AU181" s="3">
        <f t="shared" si="117"/>
        <v>-1.8346238319415509E-3</v>
      </c>
      <c r="AV181" s="88">
        <f t="shared" si="126"/>
        <v>-3.967851998626213E-2</v>
      </c>
      <c r="AW181" s="32">
        <f t="shared" si="127"/>
        <v>2.0153781106918203E-2</v>
      </c>
      <c r="AX181" s="12">
        <f t="shared" si="118"/>
        <v>661.37498893428233</v>
      </c>
      <c r="AY181" s="12">
        <f t="shared" si="119"/>
        <v>617.44572788192249</v>
      </c>
      <c r="AZ181" s="3">
        <f>VLOOKUP(A181,[5]Analysis!$A$3:$BJ$543,62,FALSE)</f>
        <v>0.49636627966549751</v>
      </c>
      <c r="BA181" s="2"/>
      <c r="BB181" s="2"/>
      <c r="BC181" s="2" t="str">
        <f>VLOOKUP(A181,'[6]FGD status - Jun 2020'!$I$2:$M$449,5,FALSE)</f>
        <v>Bid Awarded</v>
      </c>
      <c r="BD181" s="2"/>
      <c r="BE181" s="2"/>
      <c r="BF181" s="2">
        <f t="shared" si="120"/>
        <v>903.15268544594153</v>
      </c>
      <c r="BG181" s="2">
        <f t="shared" si="121"/>
        <v>847.69395931172073</v>
      </c>
      <c r="BH181" s="2"/>
      <c r="BI181" s="2"/>
      <c r="BK181">
        <f t="shared" si="122"/>
        <v>402.07248709523628</v>
      </c>
      <c r="BL181" t="str">
        <f>VLOOKUP(A181,'[11]Daily coal vs energy req.2'!$C$2:$P$599,14,FALSE)</f>
        <v/>
      </c>
      <c r="BM181" t="str">
        <f>VLOOKUP(A181,'[11]Daily coal vs energy req.2'!$C$2:$R$599,16,FALSE)</f>
        <v/>
      </c>
      <c r="BP181" s="2" t="str">
        <f>VLOOKUP(A181,'[7]Table 2'!$J$2:$N$449,5,FALSE)</f>
        <v>Bid Awarded</v>
      </c>
      <c r="BR181">
        <f t="shared" si="128"/>
        <v>492.43792282153453</v>
      </c>
      <c r="BS181">
        <f t="shared" si="129"/>
        <v>462.19942567707955</v>
      </c>
      <c r="BT181">
        <f>(X181*I181*365*[5]Analysis!BK181)/10^4</f>
        <v>442.46119614739138</v>
      </c>
      <c r="BU181">
        <f>(W181*R181*365*[5]Analysis!BK181)/10^4</f>
        <v>415.2915550694359</v>
      </c>
      <c r="BV181">
        <f>(X181*I181*365*[5]Analysis!BL181)/10^4</f>
        <v>49.976726674143137</v>
      </c>
      <c r="BW181">
        <f>(W181*R181*365*[5]Analysis!BL181)/10^4</f>
        <v>46.907870607643623</v>
      </c>
      <c r="BX181">
        <f t="shared" si="130"/>
        <v>2785994.2859420539</v>
      </c>
      <c r="BY181">
        <f t="shared" si="131"/>
        <v>2614918.3465074338</v>
      </c>
      <c r="BZ181">
        <f t="shared" si="132"/>
        <v>9056492.1839673407</v>
      </c>
      <c r="CA181">
        <f t="shared" si="133"/>
        <v>8446697.2448759489</v>
      </c>
      <c r="CB181">
        <f t="shared" si="134"/>
        <v>-836838.99783362355</v>
      </c>
      <c r="CC181">
        <f t="shared" si="135"/>
        <v>-727940.25</v>
      </c>
      <c r="CD181">
        <f t="shared" si="136"/>
        <v>0</v>
      </c>
      <c r="CE181">
        <f t="shared" si="137"/>
        <v>0</v>
      </c>
      <c r="CF181">
        <f t="shared" si="138"/>
        <v>6289155.1198356999</v>
      </c>
      <c r="CG181">
        <f t="shared" si="139"/>
        <v>5865691.5000000009</v>
      </c>
      <c r="CH181">
        <f t="shared" si="140"/>
        <v>1143810.8312038351</v>
      </c>
      <c r="CI181">
        <f t="shared" si="141"/>
        <v>1066795.3552361331</v>
      </c>
      <c r="CJ181">
        <f t="shared" si="142"/>
        <v>-2904089.1597914728</v>
      </c>
      <c r="CK181">
        <f t="shared" si="143"/>
        <v>-2708550.0000000005</v>
      </c>
      <c r="CL181">
        <f t="shared" si="144"/>
        <v>1748499.4493708261</v>
      </c>
      <c r="CM181">
        <f t="shared" si="145"/>
        <v>1630768.8652139769</v>
      </c>
    </row>
    <row r="182" spans="1:91" x14ac:dyDescent="0.2">
      <c r="A182" s="2" t="s">
        <v>171</v>
      </c>
      <c r="B182" s="2" t="str">
        <f t="shared" si="152"/>
        <v>UCHPINDA TPP</v>
      </c>
      <c r="C182" s="2" t="str">
        <f>VLOOKUP($A182,'[1]daily coal, energy reqd'!$C$2:$T$599,17,FALSE)</f>
        <v>Chhatisgarh</v>
      </c>
      <c r="D182" s="2" t="str">
        <f>VLOOKUP(C182,'Target PLF'!$I$2:$J$19,2,FALSE)</f>
        <v>WR</v>
      </c>
      <c r="E182" s="2" t="str">
        <f>VLOOKUP(A182,[2]Ownership!$C$2:$D$666,2,FALSE)</f>
        <v>PVT SECTOR</v>
      </c>
      <c r="F182" s="2" t="s">
        <v>542</v>
      </c>
      <c r="G182" s="12">
        <v>4.33949349760438</v>
      </c>
      <c r="H182" s="2">
        <v>360</v>
      </c>
      <c r="I182" s="2">
        <f>VLOOKUP(A182,'[3]Calculated coal req (reg.)'!$A$2:$I$599,9,FALSE)</f>
        <v>1.0293194587261101</v>
      </c>
      <c r="J182" s="2"/>
      <c r="K182" s="11">
        <v>0.11913419661181829</v>
      </c>
      <c r="L182" s="3">
        <f>VLOOKUP(F182,'Target PLF'!$A$2:$B$11,2,FALSE)</f>
        <v>0.85</v>
      </c>
      <c r="M182" s="3">
        <f t="shared" si="123"/>
        <v>0.73086580338818163</v>
      </c>
      <c r="N182" s="2" t="str">
        <f t="shared" si="102"/>
        <v>0.15</v>
      </c>
      <c r="O182" s="2">
        <f t="shared" si="155"/>
        <v>2.4799806242558304</v>
      </c>
      <c r="P182" s="2">
        <f t="shared" si="103"/>
        <v>325869.45402721612</v>
      </c>
      <c r="Q182" s="2">
        <f t="shared" si="104"/>
        <v>12.648735806536619</v>
      </c>
      <c r="R182" s="2">
        <f t="shared" si="105"/>
        <v>7.3440000000000003</v>
      </c>
      <c r="S182" s="2">
        <f t="shared" si="106"/>
        <v>1662043.8849789118</v>
      </c>
      <c r="T182" s="2" t="str">
        <f>VLOOKUP(A182,'[4]CEA vs MERIT comp. &amp; NPA marker'!$C$2:$K$735,9,FALSE)</f>
        <v>Not contracted</v>
      </c>
      <c r="U182" s="3">
        <f>VLOOKUP(B182,'[8]Import-Domestic share'!$A$208:$F$406,6,FALSE)</f>
        <v>0</v>
      </c>
      <c r="V182" s="3">
        <f t="shared" si="107"/>
        <v>0</v>
      </c>
      <c r="W182" s="2">
        <f t="shared" si="108"/>
        <v>2836.7153126297053</v>
      </c>
      <c r="X182" s="2">
        <f t="shared" si="109"/>
        <v>3078.3184982947009</v>
      </c>
      <c r="Y182" s="6">
        <f t="shared" si="110"/>
        <v>0.30316753893881537</v>
      </c>
      <c r="Z182" s="2">
        <f t="shared" si="111"/>
        <v>1834098.326443048</v>
      </c>
      <c r="AA182" s="2">
        <f t="shared" si="112"/>
        <v>278957.42689165304</v>
      </c>
      <c r="AB182" s="2" t="s">
        <v>598</v>
      </c>
      <c r="AC182" s="12">
        <f>VLOOKUP(B182,[9]Sheet1!$A$2:$B$137,2,FALSE)</f>
        <v>4145.8985534158601</v>
      </c>
      <c r="AD182" s="12">
        <f t="shared" si="113"/>
        <v>1492523.4792297096</v>
      </c>
      <c r="AE182" s="2"/>
      <c r="AF182" s="7">
        <f>VLOOKUP($B182,'[9]Subsidiary wise dispatch'!$A$3:$R$138,11,FALSE)*$H182*$O182*365</f>
        <v>0</v>
      </c>
      <c r="AG182" s="7">
        <f>VLOOKUP($B182,'[9]Subsidiary wise dispatch'!$A$3:$R$138,12,FALSE)*$H182*$O182*365</f>
        <v>0</v>
      </c>
      <c r="AH182" s="7">
        <f>VLOOKUP($B182,'[9]Subsidiary wise dispatch'!$A$3:$R$138,13,FALSE)*$H182*$O182*365</f>
        <v>0</v>
      </c>
      <c r="AI182" s="7">
        <f>VLOOKUP($B182,'[9]Subsidiary wise dispatch'!$A$3:$R$138,14,FALSE)*$H182*$O182*365</f>
        <v>5026.9537108615914</v>
      </c>
      <c r="AJ182" s="7">
        <f>VLOOKUP($B182,'[9]Subsidiary wise dispatch'!$A$3:$R$138,15,FALSE)*$H182*$O182*365</f>
        <v>0</v>
      </c>
      <c r="AK182" s="7">
        <f>VLOOKUP($B182,'[9]Subsidiary wise dispatch'!$A$3:$R$138,16,FALSE)*$H182*$O182*365</f>
        <v>0</v>
      </c>
      <c r="AL182" s="7">
        <f>VLOOKUP($B182,'[9]Subsidiary wise dispatch'!$A$3:$R$138,17,FALSE)*$H182*$O182*365</f>
        <v>320842.5003163545</v>
      </c>
      <c r="AM182" s="7">
        <f>VLOOKUP($B182,'[9]Subsidiary wise dispatch'!$A$3:$R$138,18,FALSE)*$H182*$O182*365</f>
        <v>0</v>
      </c>
      <c r="AN182" s="15">
        <f t="shared" si="114"/>
        <v>325869.45402721607</v>
      </c>
      <c r="AO182" s="6">
        <v>0.1</v>
      </c>
      <c r="AP182" s="11">
        <f t="shared" si="115"/>
        <v>0.10293194587261101</v>
      </c>
      <c r="AQ182" s="11">
        <f t="shared" si="116"/>
        <v>0.73440000000000005</v>
      </c>
      <c r="AR182" s="3"/>
      <c r="AS182" s="3">
        <f t="shared" si="124"/>
        <v>1.9784325446498652</v>
      </c>
      <c r="AT182" s="3">
        <f t="shared" si="125"/>
        <v>1.9536682181192031</v>
      </c>
      <c r="AU182" s="3">
        <f t="shared" si="117"/>
        <v>2.4764326530662073E-2</v>
      </c>
      <c r="AV182" s="88">
        <f t="shared" si="126"/>
        <v>0.53559307803892731</v>
      </c>
      <c r="AW182" s="32">
        <f t="shared" si="127"/>
        <v>0.25819872044142378</v>
      </c>
      <c r="AX182" s="12">
        <f t="shared" si="118"/>
        <v>74.330027733456873</v>
      </c>
      <c r="AY182" s="12">
        <f t="shared" si="119"/>
        <v>523.69248787616118</v>
      </c>
      <c r="AZ182" s="3">
        <f>VLOOKUP(A182,[5]Analysis!$A$3:$BJ$543,62,FALSE)</f>
        <v>0.48287310242658305</v>
      </c>
      <c r="BA182" s="2"/>
      <c r="BB182" s="2"/>
      <c r="BC182" s="2" t="str">
        <f>VLOOKUP(A182,'[6]FGD status - Jun 2020'!$I$2:$M$449,5,FALSE)</f>
        <v>Feasibility study completed</v>
      </c>
      <c r="BD182" s="2"/>
      <c r="BE182" s="2"/>
      <c r="BF182" s="2">
        <f t="shared" si="120"/>
        <v>86.337323622966608</v>
      </c>
      <c r="BG182" s="2">
        <f t="shared" si="121"/>
        <v>567.65343203412328</v>
      </c>
      <c r="BH182" s="2"/>
      <c r="BI182" s="2"/>
      <c r="BK182">
        <f t="shared" si="122"/>
        <v>42.888310780254585</v>
      </c>
      <c r="BL182" t="str">
        <f>VLOOKUP(A182,'[11]Daily coal vs energy req.2'!$C$2:$P$599,14,FALSE)</f>
        <v/>
      </c>
      <c r="BM182" t="str">
        <f>VLOOKUP(A182,'[11]Daily coal vs energy req.2'!$C$2:$R$599,16,FALSE)</f>
        <v/>
      </c>
      <c r="BP182" s="2" t="str">
        <f>VLOOKUP(A182,'[7]Table 2'!$J$2:$N$449,5,FALSE)</f>
        <v>Feasibility Study completed</v>
      </c>
      <c r="BR182">
        <f t="shared" si="128"/>
        <v>55.845683928477854</v>
      </c>
      <c r="BS182">
        <f t="shared" si="129"/>
        <v>367.17601167174189</v>
      </c>
      <c r="BT182">
        <f>(X182*I182*365*[5]Analysis!BK182)/10^4</f>
        <v>44.784100208009306</v>
      </c>
      <c r="BU182">
        <f>(W182*R182*365*[5]Analysis!BK182)/10^4</f>
        <v>294.44795271455592</v>
      </c>
      <c r="BV182">
        <f>(X182*I182*365*[5]Analysis!BL182)/10^4</f>
        <v>11.061583720468551</v>
      </c>
      <c r="BW182">
        <f>(W182*R182*365*[5]Analysis!BL182)/10^4</f>
        <v>72.728058957185951</v>
      </c>
      <c r="BX182">
        <f t="shared" si="130"/>
        <v>324778.74587125558</v>
      </c>
      <c r="BY182">
        <f t="shared" si="131"/>
        <v>2135365.8187351371</v>
      </c>
      <c r="BZ182">
        <f t="shared" si="132"/>
        <v>939778.15508384397</v>
      </c>
      <c r="CA182">
        <f t="shared" si="133"/>
        <v>6705139.7041277736</v>
      </c>
      <c r="CB182">
        <f t="shared" si="134"/>
        <v>-13224.479389359409</v>
      </c>
      <c r="CC182">
        <f t="shared" si="135"/>
        <v>-673199.14319999993</v>
      </c>
      <c r="CD182">
        <f t="shared" si="136"/>
        <v>-379864.58205390204</v>
      </c>
      <c r="CE182">
        <f t="shared" si="137"/>
        <v>-2710262.0736000002</v>
      </c>
      <c r="CF182">
        <f t="shared" si="138"/>
        <v>670852.26664826064</v>
      </c>
      <c r="CG182">
        <f t="shared" si="139"/>
        <v>4786404.2640000004</v>
      </c>
      <c r="CH182">
        <f t="shared" si="140"/>
        <v>33073.865988878591</v>
      </c>
      <c r="CI182">
        <f t="shared" si="141"/>
        <v>235975.78940451745</v>
      </c>
      <c r="CJ182">
        <f t="shared" si="142"/>
        <v>-223037.05759460846</v>
      </c>
      <c r="CK182">
        <f t="shared" si="143"/>
        <v>-1591327.2960000003</v>
      </c>
      <c r="CL182">
        <f t="shared" si="144"/>
        <v>290993.13998748973</v>
      </c>
      <c r="CM182">
        <f t="shared" si="145"/>
        <v>2076181.1136</v>
      </c>
    </row>
    <row r="183" spans="1:91" x14ac:dyDescent="0.2">
      <c r="A183" s="2" t="s">
        <v>68</v>
      </c>
      <c r="B183" s="2" t="str">
        <f t="shared" si="152"/>
        <v>ITPCL TPP</v>
      </c>
      <c r="C183" s="2" t="str">
        <f>VLOOKUP($A183,'[1]daily coal, energy reqd'!$C$2:$T$599,17,FALSE)</f>
        <v>Tamil Nadu</v>
      </c>
      <c r="D183" s="2" t="str">
        <f>VLOOKUP(C183,'Target PLF'!$I$2:$J$19,2,FALSE)</f>
        <v>SR</v>
      </c>
      <c r="E183" s="2" t="str">
        <f>VLOOKUP(A183,[2]Ownership!$C$2:$D$666,2,FALSE)</f>
        <v>PVT SECTOR</v>
      </c>
      <c r="F183" s="2" t="s">
        <v>542</v>
      </c>
      <c r="G183" s="12">
        <v>4.0903490759753502</v>
      </c>
      <c r="H183" s="2">
        <v>600</v>
      </c>
      <c r="I183" s="2">
        <f>VLOOKUP(A183,'[3]Calculated coal req (reg.)'!$A$2:$I$599,9,FALSE)</f>
        <v>8.8881905865423594</v>
      </c>
      <c r="J183" s="2"/>
      <c r="K183" s="11">
        <v>0.61723545739877494</v>
      </c>
      <c r="L183" s="3">
        <f>VLOOKUP(F183,'Target PLF'!$A$2:$B$11,2,FALSE)</f>
        <v>0.85</v>
      </c>
      <c r="M183" s="3">
        <f t="shared" si="123"/>
        <v>0.23276454260122503</v>
      </c>
      <c r="N183" s="2" t="str">
        <f t="shared" si="102"/>
        <v>0.15</v>
      </c>
      <c r="O183" s="2">
        <f t="shared" si="155"/>
        <v>8.1524252464078959</v>
      </c>
      <c r="P183" s="2">
        <f t="shared" si="103"/>
        <v>1785381.1289633291</v>
      </c>
      <c r="Q183" s="2">
        <f t="shared" si="104"/>
        <v>11.390948156981519</v>
      </c>
      <c r="R183" s="2">
        <f t="shared" si="105"/>
        <v>12.24</v>
      </c>
      <c r="S183" s="2">
        <f t="shared" si="106"/>
        <v>2494617.6463789525</v>
      </c>
      <c r="T183" s="2" t="str">
        <f>VLOOKUP(A183,'[4]CEA vs MERIT comp. &amp; NPA marker'!$C$2:$K$735,9,FALSE)</f>
        <v>Contracted</v>
      </c>
      <c r="U183" s="3">
        <f>VLOOKUP(B183,'[8]Import-Domestic share'!$A$208:$F$406,6,FALSE)</f>
        <v>1</v>
      </c>
      <c r="V183" s="3">
        <f t="shared" si="107"/>
        <v>1785381.1289633291</v>
      </c>
      <c r="W183" s="2">
        <f t="shared" si="108"/>
        <v>2838.0891634579057</v>
      </c>
      <c r="X183" s="2">
        <f t="shared" si="109"/>
        <v>2915.0344176230437</v>
      </c>
      <c r="Y183" s="6">
        <f t="shared" si="110"/>
        <v>0.30302078281155292</v>
      </c>
      <c r="Z183" s="2">
        <f t="shared" si="111"/>
        <v>2958340.4448587354</v>
      </c>
      <c r="AA183" s="2">
        <f t="shared" si="112"/>
        <v>2206468.5573051577</v>
      </c>
      <c r="AB183" s="2" t="s">
        <v>598</v>
      </c>
      <c r="AC183" s="12"/>
      <c r="AD183" s="12">
        <f t="shared" si="113"/>
        <v>0</v>
      </c>
      <c r="AE183" s="2"/>
      <c r="AF183" s="7"/>
      <c r="AG183" s="7"/>
      <c r="AH183" s="7"/>
      <c r="AI183" s="7"/>
      <c r="AJ183" s="7"/>
      <c r="AK183" s="7"/>
      <c r="AL183" s="7"/>
      <c r="AM183" s="7"/>
      <c r="AN183" s="15">
        <f t="shared" si="114"/>
        <v>0</v>
      </c>
      <c r="AO183" s="6">
        <v>7.3246042254860019E-2</v>
      </c>
      <c r="AP183" s="11">
        <f t="shared" si="115"/>
        <v>0.65102478327113067</v>
      </c>
      <c r="AQ183" s="11">
        <f t="shared" si="116"/>
        <v>0.89653155719948663</v>
      </c>
      <c r="AR183" s="3">
        <f>VLOOKUP(A183,[10]Sheet1!$A$2:$L$542,12,FALSE)</f>
        <v>4.0228947368421002</v>
      </c>
      <c r="AS183" s="3">
        <f t="shared" si="124"/>
        <v>3.1381859160558903</v>
      </c>
      <c r="AT183" s="3">
        <f t="shared" si="125"/>
        <v>3.1302990275039639</v>
      </c>
      <c r="AU183" s="3">
        <f t="shared" si="117"/>
        <v>7.8868885519263188E-3</v>
      </c>
      <c r="AV183" s="88">
        <f t="shared" si="126"/>
        <v>0.17057451210902974</v>
      </c>
      <c r="AW183" s="32">
        <f t="shared" si="127"/>
        <v>5.1841295547451559E-2</v>
      </c>
      <c r="AX183" s="12">
        <f t="shared" si="118"/>
        <v>1018.0869999036337</v>
      </c>
      <c r="AY183" s="12">
        <f t="shared" si="119"/>
        <v>1398.4923935276709</v>
      </c>
      <c r="AZ183" s="3">
        <f>VLOOKUP(A183,[5]Analysis!$A$3:$BJ$543,62,FALSE)</f>
        <v>1.2224735304310752</v>
      </c>
      <c r="BA183" s="2"/>
      <c r="BB183" s="2"/>
      <c r="BC183" s="2" t="e">
        <f>VLOOKUP(A183,'[6]FGD status - Jun 2020'!$I$2:$M$449,5,FALSE)</f>
        <v>#N/A</v>
      </c>
      <c r="BD183" s="2"/>
      <c r="BE183" s="2"/>
      <c r="BF183" s="2">
        <f t="shared" si="120"/>
        <v>1154.2037023263279</v>
      </c>
      <c r="BG183" s="2">
        <f t="shared" si="121"/>
        <v>1547.5078867056045</v>
      </c>
      <c r="BH183" s="2"/>
      <c r="BI183" s="2"/>
      <c r="BK183">
        <f t="shared" si="122"/>
        <v>370.34127443926496</v>
      </c>
      <c r="BL183">
        <f>VLOOKUP(A183,'[11]Daily coal vs energy req.2'!$C$2:$P$599,14,FALSE)</f>
        <v>0.8</v>
      </c>
      <c r="BM183">
        <f>VLOOKUP(A183,'[11]Daily coal vs energy req.2'!$C$2:$R$599,16,FALSE)</f>
        <v>0.7</v>
      </c>
      <c r="BN183">
        <f>BL183*H183</f>
        <v>480</v>
      </c>
      <c r="BO183">
        <f>BM183*H183</f>
        <v>420</v>
      </c>
      <c r="BP183" s="2" t="e">
        <f>VLOOKUP(A183,'[7]Table 2'!$J$2:$N$449,5,FALSE)</f>
        <v>#N/A</v>
      </c>
      <c r="BR183">
        <f t="shared" si="128"/>
        <v>1156.0839558547714</v>
      </c>
      <c r="BS183">
        <f t="shared" si="129"/>
        <v>1550.0288517297224</v>
      </c>
      <c r="BT183">
        <f>(X183*I183*365*[5]Analysis!BK183)/10^4</f>
        <v>1156.0839558547714</v>
      </c>
      <c r="BU183">
        <f>(W183*R183*365*[5]Analysis!BK183)/10^4</f>
        <v>1550.0288517297224</v>
      </c>
      <c r="BV183">
        <f>(X183*I183*365*[5]Analysis!BL183)/10^4</f>
        <v>0</v>
      </c>
      <c r="BW183">
        <f>(W183*R183*365*[5]Analysis!BL183)/10^4</f>
        <v>0</v>
      </c>
      <c r="BX183">
        <f t="shared" si="130"/>
        <v>2655711.6006918228</v>
      </c>
      <c r="BY183">
        <f t="shared" si="131"/>
        <v>3560666.6644742889</v>
      </c>
      <c r="BZ183">
        <f t="shared" si="132"/>
        <v>20544471.379661653</v>
      </c>
      <c r="CA183">
        <f t="shared" si="133"/>
        <v>28291959.678250115</v>
      </c>
      <c r="CB183">
        <f t="shared" si="134"/>
        <v>-591638.17056825687</v>
      </c>
      <c r="CC183">
        <f t="shared" si="135"/>
        <v>-1121998.5720000002</v>
      </c>
      <c r="CD183">
        <f t="shared" si="136"/>
        <v>-3280136.9620961733</v>
      </c>
      <c r="CE183">
        <f t="shared" si="137"/>
        <v>-4517103.4560000002</v>
      </c>
      <c r="CF183">
        <f t="shared" si="138"/>
        <v>5792820.4415401705</v>
      </c>
      <c r="CG183">
        <f t="shared" si="139"/>
        <v>7977340.4400000004</v>
      </c>
      <c r="CH183">
        <f t="shared" si="140"/>
        <v>269196.53704008437</v>
      </c>
      <c r="CI183">
        <f t="shared" si="141"/>
        <v>370712.75433264807</v>
      </c>
      <c r="CJ183">
        <f t="shared" si="142"/>
        <v>-3209881.1484239078</v>
      </c>
      <c r="CK183">
        <f t="shared" si="143"/>
        <v>-4420353.6000000006</v>
      </c>
      <c r="CL183">
        <f t="shared" si="144"/>
        <v>1840475.7073979503</v>
      </c>
      <c r="CM183">
        <f t="shared" si="145"/>
        <v>2534534.1595914653</v>
      </c>
    </row>
    <row r="184" spans="1:91" x14ac:dyDescent="0.2">
      <c r="A184" s="2" t="s">
        <v>173</v>
      </c>
      <c r="B184" s="2" t="str">
        <f t="shared" si="152"/>
        <v>UCHPINDA TPP</v>
      </c>
      <c r="C184" s="2" t="str">
        <f>VLOOKUP($A184,'[1]daily coal, energy reqd'!$C$2:$T$599,17,FALSE)</f>
        <v>Chhatisgarh</v>
      </c>
      <c r="D184" s="2" t="str">
        <f>VLOOKUP(C184,'Target PLF'!$I$2:$J$19,2,FALSE)</f>
        <v>WR</v>
      </c>
      <c r="E184" s="2" t="str">
        <f>VLOOKUP(A184,[2]Ownership!$C$2:$D$666,2,FALSE)</f>
        <v>PVT SECTOR</v>
      </c>
      <c r="F184" s="2" t="s">
        <v>542</v>
      </c>
      <c r="G184" s="12">
        <v>4.5913757700205302</v>
      </c>
      <c r="H184" s="2">
        <v>360</v>
      </c>
      <c r="I184" s="2">
        <f>VLOOKUP(A184,'[3]Calculated coal req (reg.)'!$A$2:$I$599,9,FALSE)</f>
        <v>2.0589000157198001</v>
      </c>
      <c r="J184" s="2"/>
      <c r="K184" s="11">
        <v>0.23829861293053242</v>
      </c>
      <c r="L184" s="3">
        <f>VLOOKUP(F184,'Target PLF'!$A$2:$B$11,2,FALSE)</f>
        <v>0.85</v>
      </c>
      <c r="M184" s="3">
        <f t="shared" si="123"/>
        <v>0.61170138706946753</v>
      </c>
      <c r="N184" s="2" t="str">
        <f t="shared" si="102"/>
        <v>0.15</v>
      </c>
      <c r="O184" s="2">
        <f t="shared" si="155"/>
        <v>4.145929268801777</v>
      </c>
      <c r="P184" s="2">
        <f t="shared" si="103"/>
        <v>544775.10592055356</v>
      </c>
      <c r="Q184" s="2">
        <f t="shared" si="104"/>
        <v>12.656714177515401</v>
      </c>
      <c r="R184" s="2">
        <f t="shared" si="105"/>
        <v>7.3440000000000003</v>
      </c>
      <c r="S184" s="2">
        <f t="shared" si="106"/>
        <v>1663092.2429255238</v>
      </c>
      <c r="T184" s="2" t="str">
        <f>VLOOKUP(A184,'[4]CEA vs MERIT comp. &amp; NPA marker'!$C$2:$K$735,9,FALSE)</f>
        <v>Contracted</v>
      </c>
      <c r="U184" s="3">
        <f>VLOOKUP(B184,'[8]Import-Domestic share'!$A$208:$F$406,6,FALSE)</f>
        <v>0</v>
      </c>
      <c r="V184" s="3">
        <f t="shared" si="107"/>
        <v>0</v>
      </c>
      <c r="W184" s="2">
        <f t="shared" si="108"/>
        <v>2838.6398284517454</v>
      </c>
      <c r="X184" s="2">
        <f t="shared" si="109"/>
        <v>3040.8506900169637</v>
      </c>
      <c r="Y184" s="6">
        <f t="shared" si="110"/>
        <v>0.30296200010307833</v>
      </c>
      <c r="Z184" s="2">
        <f t="shared" si="111"/>
        <v>1835342.6357442678</v>
      </c>
      <c r="AA184" s="2">
        <f t="shared" si="112"/>
        <v>551194.08260399499</v>
      </c>
      <c r="AB184" s="2" t="s">
        <v>598</v>
      </c>
      <c r="AC184" s="12">
        <f>VLOOKUP(B184,[9]Sheet1!$A$2:$B$137,2,FALSE)</f>
        <v>4145.8985534158601</v>
      </c>
      <c r="AD184" s="12">
        <f t="shared" si="113"/>
        <v>1492523.4792297096</v>
      </c>
      <c r="AE184" s="2"/>
      <c r="AF184" s="7">
        <f>VLOOKUP($B184,'[9]Subsidiary wise dispatch'!$A$3:$R$138,11,FALSE)*$H184*$O184*365</f>
        <v>0</v>
      </c>
      <c r="AG184" s="7">
        <f>VLOOKUP($B184,'[9]Subsidiary wise dispatch'!$A$3:$R$138,12,FALSE)*$H184*$O184*365</f>
        <v>0</v>
      </c>
      <c r="AH184" s="7">
        <f>VLOOKUP($B184,'[9]Subsidiary wise dispatch'!$A$3:$R$138,13,FALSE)*$H184*$O184*365</f>
        <v>0</v>
      </c>
      <c r="AI184" s="7">
        <f>VLOOKUP($B184,'[9]Subsidiary wise dispatch'!$A$3:$R$138,14,FALSE)*$H184*$O184*365</f>
        <v>8403.8537716506034</v>
      </c>
      <c r="AJ184" s="7">
        <f>VLOOKUP($B184,'[9]Subsidiary wise dispatch'!$A$3:$R$138,15,FALSE)*$H184*$O184*365</f>
        <v>0</v>
      </c>
      <c r="AK184" s="7">
        <f>VLOOKUP($B184,'[9]Subsidiary wise dispatch'!$A$3:$R$138,16,FALSE)*$H184*$O184*365</f>
        <v>0</v>
      </c>
      <c r="AL184" s="7">
        <f>VLOOKUP($B184,'[9]Subsidiary wise dispatch'!$A$3:$R$138,17,FALSE)*$H184*$O184*365</f>
        <v>536371.25214890298</v>
      </c>
      <c r="AM184" s="7">
        <f>VLOOKUP($B184,'[9]Subsidiary wise dispatch'!$A$3:$R$138,18,FALSE)*$H184*$O184*365</f>
        <v>0</v>
      </c>
      <c r="AN184" s="15">
        <f t="shared" si="114"/>
        <v>544775.10592055356</v>
      </c>
      <c r="AO184" s="6">
        <v>0.1</v>
      </c>
      <c r="AP184" s="11">
        <f t="shared" si="115"/>
        <v>0.20589000157198001</v>
      </c>
      <c r="AQ184" s="11">
        <f t="shared" si="116"/>
        <v>0.73440000000000005</v>
      </c>
      <c r="AR184" s="3">
        <f>VLOOKUP(A184,[10]Sheet1!$A$2:$L$542,12,FALSE)</f>
        <v>1.75221491228069</v>
      </c>
      <c r="AS184" s="3">
        <f t="shared" si="124"/>
        <v>1.9764571565875024</v>
      </c>
      <c r="AT184" s="3">
        <f t="shared" si="125"/>
        <v>1.9557305432770677</v>
      </c>
      <c r="AU184" s="3">
        <f t="shared" si="117"/>
        <v>2.0726613310434683E-2</v>
      </c>
      <c r="AV184" s="88">
        <f t="shared" si="126"/>
        <v>0.44826701047224721</v>
      </c>
      <c r="AW184" s="32">
        <f t="shared" si="127"/>
        <v>0.21631655193578403</v>
      </c>
      <c r="AX184" s="12">
        <f t="shared" si="118"/>
        <v>148.53045998301448</v>
      </c>
      <c r="AY184" s="12">
        <f t="shared" si="119"/>
        <v>524.24530650867769</v>
      </c>
      <c r="AZ184" s="3">
        <f>VLOOKUP(A184,[5]Analysis!$A$3:$BJ$543,62,FALSE)</f>
        <v>0.48287310242658305</v>
      </c>
      <c r="BA184" s="2"/>
      <c r="BB184" s="2"/>
      <c r="BC184" s="2" t="str">
        <f>VLOOKUP(A184,'[6]FGD status - Jun 2020'!$I$2:$M$449,5,FALSE)</f>
        <v>Feasibility study completed</v>
      </c>
      <c r="BD184" s="2"/>
      <c r="BE184" s="2"/>
      <c r="BF184" s="2">
        <f t="shared" si="120"/>
        <v>170.59456856593644</v>
      </c>
      <c r="BG184" s="2">
        <f t="shared" si="121"/>
        <v>568.03854576285084</v>
      </c>
      <c r="BH184" s="2"/>
      <c r="BI184" s="2"/>
      <c r="BK184">
        <f t="shared" si="122"/>
        <v>85.787500654991675</v>
      </c>
      <c r="BL184" t="str">
        <f>VLOOKUP(A184,'[11]Daily coal vs energy req.2'!$C$2:$P$599,14,FALSE)</f>
        <v/>
      </c>
      <c r="BM184" t="str">
        <f>VLOOKUP(A184,'[11]Daily coal vs energy req.2'!$C$2:$R$599,16,FALSE)</f>
        <v/>
      </c>
      <c r="BP184" s="2" t="str">
        <f>VLOOKUP(A184,'[7]Table 2'!$J$2:$N$449,5,FALSE)</f>
        <v>Feasibility Study completed</v>
      </c>
      <c r="BR184">
        <f t="shared" si="128"/>
        <v>110.34590784458898</v>
      </c>
      <c r="BS184">
        <f t="shared" si="129"/>
        <v>367.42511528844597</v>
      </c>
      <c r="BT184">
        <f>(X184*I184*365*[5]Analysis!BK184)/10^4</f>
        <v>88.489241187998942</v>
      </c>
      <c r="BU184">
        <f>(W184*R184*365*[5]Analysis!BK184)/10^4</f>
        <v>294.64771535596151</v>
      </c>
      <c r="BV184">
        <f>(X184*I184*365*[5]Analysis!BL184)/10^4</f>
        <v>21.856666656590043</v>
      </c>
      <c r="BW184">
        <f>(W184*R184*365*[5]Analysis!BL184)/10^4</f>
        <v>72.777399932484485</v>
      </c>
      <c r="BX184">
        <f t="shared" si="130"/>
        <v>641732.77218144282</v>
      </c>
      <c r="BY184">
        <f t="shared" si="131"/>
        <v>2136814.5172653361</v>
      </c>
      <c r="BZ184">
        <f t="shared" si="132"/>
        <v>1879794.6952930461</v>
      </c>
      <c r="CA184">
        <f t="shared" si="133"/>
        <v>6705139.7041277736</v>
      </c>
      <c r="CB184">
        <f t="shared" si="134"/>
        <v>-52911.336550325745</v>
      </c>
      <c r="CC184">
        <f t="shared" si="135"/>
        <v>-673199.14319999993</v>
      </c>
      <c r="CD184">
        <f t="shared" si="136"/>
        <v>-759825.5209613042</v>
      </c>
      <c r="CE184">
        <f t="shared" si="137"/>
        <v>-2710262.0736000002</v>
      </c>
      <c r="CF184">
        <f t="shared" si="138"/>
        <v>1341874.7023952776</v>
      </c>
      <c r="CG184">
        <f t="shared" si="139"/>
        <v>4786404.2640000004</v>
      </c>
      <c r="CH184">
        <f t="shared" si="140"/>
        <v>69996.098299926569</v>
      </c>
      <c r="CI184">
        <f t="shared" si="141"/>
        <v>249672.80683367533</v>
      </c>
      <c r="CJ184">
        <f t="shared" si="142"/>
        <v>-446130.6910062292</v>
      </c>
      <c r="CK184">
        <f t="shared" si="143"/>
        <v>-1591327.2960000003</v>
      </c>
      <c r="CL184">
        <f t="shared" si="144"/>
        <v>582060.09360405675</v>
      </c>
      <c r="CM184">
        <f t="shared" si="145"/>
        <v>2076181.1136</v>
      </c>
    </row>
    <row r="185" spans="1:91" x14ac:dyDescent="0.2">
      <c r="A185" s="2" t="s">
        <v>225</v>
      </c>
      <c r="B185" s="2" t="str">
        <f t="shared" si="152"/>
        <v>TALCHER STPS</v>
      </c>
      <c r="C185" s="2" t="str">
        <f>VLOOKUP($A185,'[1]daily coal, energy reqd'!$C$2:$T$599,17,FALSE)</f>
        <v>Odisha</v>
      </c>
      <c r="D185" s="2" t="str">
        <f>VLOOKUP(C185,'Target PLF'!$I$2:$J$19,2,FALSE)</f>
        <v>ER</v>
      </c>
      <c r="E185" s="2" t="str">
        <f>VLOOKUP(A185,[2]Ownership!$C$2:$D$666,2,FALSE)</f>
        <v>CENTRAL SECTOR</v>
      </c>
      <c r="F185" s="2" t="s">
        <v>545</v>
      </c>
      <c r="G185" s="12">
        <v>16.591375770020498</v>
      </c>
      <c r="H185" s="2">
        <v>500</v>
      </c>
      <c r="I185" s="2">
        <f>VLOOKUP(A185,'[3]Calculated coal req (reg.)'!$A$2:$I$599,9,FALSE)</f>
        <v>9.7730646706216699</v>
      </c>
      <c r="J185" s="2"/>
      <c r="K185" s="11">
        <v>0.81442205588513916</v>
      </c>
      <c r="L185" s="3">
        <f>VLOOKUP(F185,'Target PLF'!$A$2:$B$11,2,FALSE)</f>
        <v>0.75</v>
      </c>
      <c r="M185" s="3">
        <f t="shared" si="123"/>
        <v>-6.4422055885139162E-2</v>
      </c>
      <c r="N185" s="2" t="str">
        <f t="shared" si="102"/>
        <v>0.25</v>
      </c>
      <c r="O185" s="2">
        <f t="shared" si="155"/>
        <v>12.673542967662106</v>
      </c>
      <c r="P185" s="2">
        <f t="shared" si="103"/>
        <v>2312921.5915983343</v>
      </c>
      <c r="Q185" s="2">
        <f t="shared" si="104"/>
        <v>13.1685495775154</v>
      </c>
      <c r="R185" s="2">
        <f t="shared" si="105"/>
        <v>9</v>
      </c>
      <c r="S185" s="2">
        <f t="shared" si="106"/>
        <v>2120523.7922616713</v>
      </c>
      <c r="T185" s="2" t="str">
        <f>VLOOKUP(A185,'[4]CEA vs MERIT comp. &amp; NPA marker'!$C$2:$K$735,9,FALSE)</f>
        <v>Contracted</v>
      </c>
      <c r="U185" s="3">
        <f>VLOOKUP(B185,'[8]Import-Domestic share'!$A$208:$F$406,6,FALSE)</f>
        <v>2.3401661620630933E-2</v>
      </c>
      <c r="V185" s="3">
        <f t="shared" si="107"/>
        <v>54126.208441635354</v>
      </c>
      <c r="W185" s="2">
        <f t="shared" si="108"/>
        <v>2839.0555061134219</v>
      </c>
      <c r="X185" s="2">
        <f t="shared" si="109"/>
        <v>2817.7594297930041</v>
      </c>
      <c r="Y185" s="6">
        <f t="shared" si="110"/>
        <v>0.30291764220464751</v>
      </c>
      <c r="Z185" s="2">
        <f t="shared" si="111"/>
        <v>2699619.1801632629</v>
      </c>
      <c r="AA185" s="2">
        <f t="shared" si="112"/>
        <v>2909516.3134656413</v>
      </c>
      <c r="AB185" s="2" t="s">
        <v>598</v>
      </c>
      <c r="AC185" s="12">
        <f>VLOOKUP(B185,[9]Sheet1!$A$2:$B$137,2,FALSE)</f>
        <v>3454.6714611127372</v>
      </c>
      <c r="AD185" s="12">
        <f t="shared" si="113"/>
        <v>1727335.7305563686</v>
      </c>
      <c r="AE185" s="2" t="s">
        <v>589</v>
      </c>
      <c r="AF185" s="7">
        <f>VLOOKUP($B185,'[9]Subsidiary wise dispatch'!$A$3:$R$138,11,FALSE)*$H185*$O185*365</f>
        <v>0</v>
      </c>
      <c r="AG185" s="7">
        <f>VLOOKUP($B185,'[9]Subsidiary wise dispatch'!$A$3:$R$138,12,FALSE)*$H185*$O185*365</f>
        <v>0</v>
      </c>
      <c r="AH185" s="7">
        <f>VLOOKUP($B185,'[9]Subsidiary wise dispatch'!$A$3:$R$138,13,FALSE)*$H185*$O185*365</f>
        <v>13579.047264803377</v>
      </c>
      <c r="AI185" s="7">
        <f>VLOOKUP($B185,'[9]Subsidiary wise dispatch'!$A$3:$R$138,14,FALSE)*$H185*$O185*365</f>
        <v>2299342.5443335311</v>
      </c>
      <c r="AJ185" s="7">
        <f>VLOOKUP($B185,'[9]Subsidiary wise dispatch'!$A$3:$R$138,15,FALSE)*$H185*$O185*365</f>
        <v>0</v>
      </c>
      <c r="AK185" s="7">
        <f>VLOOKUP($B185,'[9]Subsidiary wise dispatch'!$A$3:$R$138,16,FALSE)*$H185*$O185*365</f>
        <v>0</v>
      </c>
      <c r="AL185" s="7">
        <f>VLOOKUP($B185,'[9]Subsidiary wise dispatch'!$A$3:$R$138,17,FALSE)*$H185*$O185*365</f>
        <v>0</v>
      </c>
      <c r="AM185" s="7">
        <f>VLOOKUP($B185,'[9]Subsidiary wise dispatch'!$A$3:$R$138,18,FALSE)*$H185*$O185*365</f>
        <v>0</v>
      </c>
      <c r="AN185" s="15">
        <f t="shared" si="114"/>
        <v>2312921.5915983343</v>
      </c>
      <c r="AO185" s="6">
        <v>6.4093993789743203E-2</v>
      </c>
      <c r="AP185" s="11">
        <f t="shared" si="115"/>
        <v>0.626394746305584</v>
      </c>
      <c r="AQ185" s="11">
        <f t="shared" si="116"/>
        <v>0.57684594410768886</v>
      </c>
      <c r="AR185" s="3">
        <f>VLOOKUP(A185,[10]Sheet1!$A$2:$L$542,12,FALSE)</f>
        <v>1.70619901878252</v>
      </c>
      <c r="AS185" s="3">
        <f t="shared" si="124"/>
        <v>1.8821831401195581</v>
      </c>
      <c r="AT185" s="3">
        <f t="shared" si="125"/>
        <v>1.8843659879424011</v>
      </c>
      <c r="AU185" s="3">
        <f t="shared" si="117"/>
        <v>-2.1828478228429482E-3</v>
      </c>
      <c r="AV185" s="88">
        <f t="shared" si="126"/>
        <v>-4.7209770993747679E-2</v>
      </c>
      <c r="AW185" s="32">
        <f t="shared" si="127"/>
        <v>2.3922710926017846E-2</v>
      </c>
      <c r="AX185" s="12">
        <f t="shared" si="118"/>
        <v>671.40646058749064</v>
      </c>
      <c r="AY185" s="12">
        <f t="shared" si="119"/>
        <v>619.01422703907883</v>
      </c>
      <c r="AZ185" s="3">
        <f>VLOOKUP(A185,[5]Analysis!$A$3:$BJ$543,62,FALSE)</f>
        <v>0.49636627966549751</v>
      </c>
      <c r="BA185" s="2"/>
      <c r="BB185" s="2"/>
      <c r="BC185" s="2" t="str">
        <f>VLOOKUP(A185,'[6]FGD status - Jun 2020'!$I$2:$M$449,5,FALSE)</f>
        <v>Bid Awarded</v>
      </c>
      <c r="BD185" s="2"/>
      <c r="BE185" s="2"/>
      <c r="BF185" s="2">
        <f t="shared" si="120"/>
        <v>915.03879248806686</v>
      </c>
      <c r="BG185" s="2">
        <f t="shared" si="121"/>
        <v>849.02643898627798</v>
      </c>
      <c r="BH185" s="2"/>
      <c r="BI185" s="2"/>
      <c r="BK185">
        <f t="shared" si="122"/>
        <v>407.21102794256956</v>
      </c>
      <c r="BL185">
        <f>VLOOKUP(A185,'[11]Daily coal vs energy req.2'!$C$2:$P$599,14,FALSE)</f>
        <v>0.59</v>
      </c>
      <c r="BM185">
        <f>VLOOKUP(A185,'[11]Daily coal vs energy req.2'!$C$2:$R$599,16,FALSE)</f>
        <v>0.64</v>
      </c>
      <c r="BN185">
        <f>BL185*H185</f>
        <v>295</v>
      </c>
      <c r="BO185">
        <f>BM185*H185</f>
        <v>320</v>
      </c>
      <c r="BP185" s="2" t="str">
        <f>VLOOKUP(A185,'[7]Table 2'!$J$2:$N$449,5,FALSE)</f>
        <v>Bid Awarded</v>
      </c>
      <c r="BR185">
        <f t="shared" si="128"/>
        <v>498.91874268353655</v>
      </c>
      <c r="BS185">
        <f t="shared" si="129"/>
        <v>462.92595125101053</v>
      </c>
      <c r="BT185">
        <f>(X185*I185*365*[5]Analysis!BK185)/10^4</f>
        <v>448.28428810531199</v>
      </c>
      <c r="BU185">
        <f>(W185*R185*365*[5]Analysis!BK185)/10^4</f>
        <v>415.94434674037643</v>
      </c>
      <c r="BV185">
        <f>(X185*I185*365*[5]Analysis!BL185)/10^4</f>
        <v>50.634454578224592</v>
      </c>
      <c r="BW185">
        <f>(W185*R185*365*[5]Analysis!BL185)/10^4</f>
        <v>46.981604510634028</v>
      </c>
      <c r="BX185">
        <f t="shared" si="130"/>
        <v>2822659.8761961595</v>
      </c>
      <c r="BY185">
        <f t="shared" si="131"/>
        <v>2619028.7043896317</v>
      </c>
      <c r="BZ185">
        <f t="shared" si="132"/>
        <v>9172235.3808149491</v>
      </c>
      <c r="CA185">
        <f t="shared" si="133"/>
        <v>8446697.2448759489</v>
      </c>
      <c r="CB185">
        <f t="shared" si="134"/>
        <v>-858365.51179622964</v>
      </c>
      <c r="CC185">
        <f t="shared" si="135"/>
        <v>-727940.25</v>
      </c>
      <c r="CD185">
        <f t="shared" si="136"/>
        <v>0</v>
      </c>
      <c r="CE185">
        <f t="shared" si="137"/>
        <v>0</v>
      </c>
      <c r="CF185">
        <f t="shared" si="138"/>
        <v>6369531.3741573142</v>
      </c>
      <c r="CG185">
        <f t="shared" si="139"/>
        <v>5865691.5000000009</v>
      </c>
      <c r="CH185">
        <f t="shared" si="140"/>
        <v>1200629.2226226558</v>
      </c>
      <c r="CI185">
        <f t="shared" si="141"/>
        <v>1105657.5770020511</v>
      </c>
      <c r="CJ185">
        <f t="shared" si="142"/>
        <v>-2941203.8126235921</v>
      </c>
      <c r="CK185">
        <f t="shared" si="143"/>
        <v>-2708550.0000000005</v>
      </c>
      <c r="CL185">
        <f t="shared" si="144"/>
        <v>1770845.5091747232</v>
      </c>
      <c r="CM185">
        <f t="shared" si="145"/>
        <v>1630768.8652139769</v>
      </c>
    </row>
    <row r="186" spans="1:91" x14ac:dyDescent="0.2">
      <c r="A186" s="2" t="s">
        <v>75</v>
      </c>
      <c r="B186" s="2" t="str">
        <f t="shared" si="152"/>
        <v>MUTHIARA TPP</v>
      </c>
      <c r="C186" s="2" t="str">
        <f>VLOOKUP($A186,'[1]daily coal, energy reqd'!$C$2:$T$599,17,FALSE)</f>
        <v>Tamil Nadu</v>
      </c>
      <c r="D186" s="2" t="str">
        <f>VLOOKUP(C186,'Target PLF'!$I$2:$J$19,2,FALSE)</f>
        <v>SR</v>
      </c>
      <c r="E186" s="2" t="str">
        <f>VLOOKUP(A186,[2]Ownership!$C$2:$D$666,2,FALSE)</f>
        <v>PVT SECTOR</v>
      </c>
      <c r="F186" s="2" t="s">
        <v>542</v>
      </c>
      <c r="G186" s="12">
        <v>4.33949349760438</v>
      </c>
      <c r="H186" s="2">
        <v>600</v>
      </c>
      <c r="I186" s="2">
        <f>VLOOKUP(A186,'[3]Calculated coal req (reg.)'!$A$2:$I$599,9,FALSE)</f>
        <v>4.8755597062105096</v>
      </c>
      <c r="J186" s="2"/>
      <c r="K186" s="11">
        <v>0.33858053515350761</v>
      </c>
      <c r="L186" s="3">
        <f>VLOOKUP(F186,'Target PLF'!$A$2:$B$11,2,FALSE)</f>
        <v>0.85</v>
      </c>
      <c r="M186" s="3">
        <f t="shared" si="123"/>
        <v>0.51141946484649237</v>
      </c>
      <c r="N186" s="2" t="str">
        <f t="shared" si="102"/>
        <v>0.15</v>
      </c>
      <c r="O186" s="2">
        <f t="shared" si="155"/>
        <v>4.2833073662879171</v>
      </c>
      <c r="P186" s="2">
        <f t="shared" si="103"/>
        <v>938044.31321705389</v>
      </c>
      <c r="Q186" s="2">
        <f t="shared" si="104"/>
        <v>11.398839806536619</v>
      </c>
      <c r="R186" s="2">
        <f t="shared" si="105"/>
        <v>12.24</v>
      </c>
      <c r="S186" s="2">
        <f t="shared" si="106"/>
        <v>2496345.91763152</v>
      </c>
      <c r="T186" s="2" t="str">
        <f>VLOOKUP(A186,'[4]CEA vs MERIT comp. &amp; NPA marker'!$C$2:$K$735,9,FALSE)</f>
        <v>Contracted</v>
      </c>
      <c r="U186" s="3">
        <f>VLOOKUP(B186,'[8]Import-Domestic share'!$A$208:$F$406,6,FALSE)</f>
        <v>1</v>
      </c>
      <c r="V186" s="3">
        <f t="shared" si="107"/>
        <v>938044.31321705389</v>
      </c>
      <c r="W186" s="2">
        <f t="shared" si="108"/>
        <v>2839.992760629706</v>
      </c>
      <c r="X186" s="2">
        <f t="shared" si="109"/>
        <v>3009.053306827368</v>
      </c>
      <c r="Y186" s="6">
        <f t="shared" si="110"/>
        <v>0.30281767331312276</v>
      </c>
      <c r="Z186" s="2">
        <f t="shared" si="111"/>
        <v>2960324.6984109366</v>
      </c>
      <c r="AA186" s="2">
        <f t="shared" si="112"/>
        <v>1249381.4642234149</v>
      </c>
      <c r="AB186" s="2" t="s">
        <v>598</v>
      </c>
      <c r="AC186" s="12"/>
      <c r="AD186" s="12">
        <f t="shared" si="113"/>
        <v>0</v>
      </c>
      <c r="AE186" s="2"/>
      <c r="AF186" s="7"/>
      <c r="AG186" s="7"/>
      <c r="AH186" s="7"/>
      <c r="AI186" s="7"/>
      <c r="AJ186" s="7"/>
      <c r="AK186" s="7"/>
      <c r="AL186" s="7"/>
      <c r="AM186" s="7"/>
      <c r="AN186" s="15">
        <f t="shared" si="114"/>
        <v>0</v>
      </c>
      <c r="AO186" s="6">
        <v>7.2208785753758192E-2</v>
      </c>
      <c r="AP186" s="11">
        <f t="shared" si="115"/>
        <v>0.35205824625541093</v>
      </c>
      <c r="AQ186" s="11">
        <f t="shared" si="116"/>
        <v>0.88383553762600031</v>
      </c>
      <c r="AR186" s="3">
        <f>VLOOKUP(A186,[10]Sheet1!$A$2:$L$542,12,FALSE)</f>
        <v>3.0330919540229901</v>
      </c>
      <c r="AS186" s="3">
        <f t="shared" si="124"/>
        <v>3.1467352723013846</v>
      </c>
      <c r="AT186" s="3">
        <f t="shared" si="125"/>
        <v>3.1294065663161241</v>
      </c>
      <c r="AU186" s="3">
        <f t="shared" si="117"/>
        <v>1.7328705985260484E-2</v>
      </c>
      <c r="AV186" s="88">
        <f t="shared" si="126"/>
        <v>0.37477841222880653</v>
      </c>
      <c r="AW186" s="32">
        <f t="shared" si="127"/>
        <v>0.11359382830514464</v>
      </c>
      <c r="AX186" s="12">
        <f t="shared" si="118"/>
        <v>559.98649304065543</v>
      </c>
      <c r="AY186" s="12">
        <f t="shared" si="119"/>
        <v>1398.0936775673918</v>
      </c>
      <c r="AZ186" s="3">
        <f>VLOOKUP(A186,[5]Analysis!$A$3:$BJ$543,62,FALSE)</f>
        <v>1.2224735304310752</v>
      </c>
      <c r="BA186" s="2"/>
      <c r="BB186" s="2"/>
      <c r="BC186" s="2" t="str">
        <f>VLOOKUP(A186,'[6]FGD status - Jun 2020'!$I$2:$M$449,5,FALSE)</f>
        <v>Feasiblity Study Completed</v>
      </c>
      <c r="BD186" s="2"/>
      <c r="BE186" s="2"/>
      <c r="BF186" s="2">
        <f t="shared" si="120"/>
        <v>653.55144393526825</v>
      </c>
      <c r="BG186" s="2">
        <f t="shared" si="121"/>
        <v>1548.545849738761</v>
      </c>
      <c r="BH186" s="2"/>
      <c r="BI186" s="2"/>
      <c r="BK186">
        <f t="shared" si="122"/>
        <v>203.14832109210457</v>
      </c>
      <c r="BL186">
        <f>VLOOKUP(A186,'[11]Daily coal vs energy req.2'!$C$2:$P$599,14,FALSE)</f>
        <v>0.48</v>
      </c>
      <c r="BM186">
        <f>VLOOKUP(A186,'[11]Daily coal vs energy req.2'!$C$2:$R$599,16,FALSE)</f>
        <v>0.49</v>
      </c>
      <c r="BN186">
        <f>BL186*H186</f>
        <v>288</v>
      </c>
      <c r="BO186">
        <f>BM186*H186</f>
        <v>294</v>
      </c>
      <c r="BP186" s="2" t="str">
        <f>VLOOKUP(A186,'[7]Table 2'!$J$2:$N$449,5,FALSE)</f>
        <v>Feasiblity Study Completed</v>
      </c>
      <c r="BR186">
        <f t="shared" si="128"/>
        <v>654.61611077527391</v>
      </c>
      <c r="BS186">
        <f t="shared" si="129"/>
        <v>1551.0685056547479</v>
      </c>
      <c r="BT186">
        <f>(X186*I186*365*[5]Analysis!BK186)/10^4</f>
        <v>654.61611077527391</v>
      </c>
      <c r="BU186">
        <f>(W186*R186*365*[5]Analysis!BK186)/10^4</f>
        <v>1551.0685056547479</v>
      </c>
      <c r="BV186">
        <f>(X186*I186*365*[5]Analysis!BL186)/10^4</f>
        <v>0</v>
      </c>
      <c r="BW186">
        <f>(W186*R186*365*[5]Analysis!BL186)/10^4</f>
        <v>0</v>
      </c>
      <c r="BX186">
        <f t="shared" si="130"/>
        <v>1503758.9533022179</v>
      </c>
      <c r="BY186">
        <f t="shared" si="131"/>
        <v>3563054.9174860292</v>
      </c>
      <c r="BZ186">
        <f t="shared" si="132"/>
        <v>11269537.468709862</v>
      </c>
      <c r="CA186">
        <f t="shared" si="133"/>
        <v>28291959.678250115</v>
      </c>
      <c r="CB186">
        <f t="shared" si="134"/>
        <v>-178023.94753669956</v>
      </c>
      <c r="CC186">
        <f t="shared" si="135"/>
        <v>-1121998.5720000002</v>
      </c>
      <c r="CD186">
        <f t="shared" si="136"/>
        <v>-1799298.0064426339</v>
      </c>
      <c r="CE186">
        <f t="shared" si="137"/>
        <v>-4517103.4560000002</v>
      </c>
      <c r="CF186">
        <f t="shared" si="138"/>
        <v>3177614.3473846093</v>
      </c>
      <c r="CG186">
        <f t="shared" si="139"/>
        <v>7977340.4400000004</v>
      </c>
      <c r="CH186">
        <f t="shared" si="140"/>
        <v>156660.40992128025</v>
      </c>
      <c r="CI186">
        <f t="shared" si="141"/>
        <v>393292.98234086233</v>
      </c>
      <c r="CJ186">
        <f t="shared" si="142"/>
        <v>-1760759.6323008635</v>
      </c>
      <c r="CK186">
        <f t="shared" si="143"/>
        <v>-4420353.6000000006</v>
      </c>
      <c r="CL186">
        <f t="shared" si="144"/>
        <v>995284.1527268819</v>
      </c>
      <c r="CM186">
        <f t="shared" si="145"/>
        <v>2498641.9536323585</v>
      </c>
    </row>
    <row r="187" spans="1:91" x14ac:dyDescent="0.2">
      <c r="A187" s="2" t="s">
        <v>177</v>
      </c>
      <c r="B187" s="2" t="str">
        <f t="shared" si="152"/>
        <v>UCHPINDA TPP</v>
      </c>
      <c r="C187" s="2" t="str">
        <f>VLOOKUP($A187,'[1]daily coal, energy reqd'!$C$2:$T$599,17,FALSE)</f>
        <v>Chhatisgarh</v>
      </c>
      <c r="D187" s="2" t="str">
        <f>VLOOKUP(C187,'Target PLF'!$I$2:$J$19,2,FALSE)</f>
        <v>WR</v>
      </c>
      <c r="E187" s="2" t="str">
        <f>VLOOKUP(A187,[2]Ownership!$C$2:$D$666,2,FALSE)</f>
        <v>PVT SECTOR</v>
      </c>
      <c r="F187" s="2" t="s">
        <v>542</v>
      </c>
      <c r="G187" s="12">
        <v>4.8240930869267604</v>
      </c>
      <c r="H187" s="2">
        <v>360</v>
      </c>
      <c r="I187" s="2">
        <f>VLOOKUP(A187,'[3]Calculated coal req (reg.)'!$A$2:$I$599,9,FALSE)</f>
        <v>2.3214548911808301</v>
      </c>
      <c r="J187" s="2"/>
      <c r="K187" s="11">
        <v>0.26868690870148498</v>
      </c>
      <c r="L187" s="3">
        <f>VLOOKUP(F187,'Target PLF'!$A$2:$B$11,2,FALSE)</f>
        <v>0.85</v>
      </c>
      <c r="M187" s="3">
        <f t="shared" si="123"/>
        <v>0.58131309129851494</v>
      </c>
      <c r="N187" s="2" t="str">
        <f t="shared" si="102"/>
        <v>0.15</v>
      </c>
      <c r="O187" s="2">
        <f t="shared" si="155"/>
        <v>4.5761020653647755</v>
      </c>
      <c r="P187" s="2">
        <f t="shared" si="103"/>
        <v>601299.81138893147</v>
      </c>
      <c r="Q187" s="2">
        <f t="shared" si="104"/>
        <v>12.664085498528404</v>
      </c>
      <c r="R187" s="2">
        <f t="shared" si="105"/>
        <v>7.3440000000000003</v>
      </c>
      <c r="S187" s="2">
        <f t="shared" si="106"/>
        <v>1664060.8345066323</v>
      </c>
      <c r="T187" s="2" t="str">
        <f>VLOOKUP(A187,'[4]CEA vs MERIT comp. &amp; NPA marker'!$C$2:$K$735,9,FALSE)</f>
        <v>Contracted</v>
      </c>
      <c r="U187" s="3">
        <f>VLOOKUP(B187,'[8]Import-Domestic share'!$A$208:$F$406,6,FALSE)</f>
        <v>0</v>
      </c>
      <c r="V187" s="3">
        <f t="shared" si="107"/>
        <v>0</v>
      </c>
      <c r="W187" s="2">
        <f t="shared" si="108"/>
        <v>2840.4179137221081</v>
      </c>
      <c r="X187" s="2">
        <f t="shared" si="109"/>
        <v>3032.5832798883675</v>
      </c>
      <c r="Y187" s="6">
        <f t="shared" si="110"/>
        <v>0.30277234763424254</v>
      </c>
      <c r="Z187" s="2">
        <f t="shared" si="111"/>
        <v>1836492.2693377857</v>
      </c>
      <c r="AA187" s="2">
        <f t="shared" si="112"/>
        <v>619793.73036191193</v>
      </c>
      <c r="AB187" s="2" t="s">
        <v>598</v>
      </c>
      <c r="AC187" s="12">
        <f>VLOOKUP(B187,[9]Sheet1!$A$2:$B$137,2,FALSE)</f>
        <v>4145.8985534158601</v>
      </c>
      <c r="AD187" s="12">
        <f t="shared" si="113"/>
        <v>1492523.4792297096</v>
      </c>
      <c r="AE187" s="2"/>
      <c r="AF187" s="7">
        <f>VLOOKUP($B187,'[9]Subsidiary wise dispatch'!$A$3:$R$138,11,FALSE)*$H187*$O187*365</f>
        <v>0</v>
      </c>
      <c r="AG187" s="7">
        <f>VLOOKUP($B187,'[9]Subsidiary wise dispatch'!$A$3:$R$138,12,FALSE)*$H187*$O187*365</f>
        <v>0</v>
      </c>
      <c r="AH187" s="7">
        <f>VLOOKUP($B187,'[9]Subsidiary wise dispatch'!$A$3:$R$138,13,FALSE)*$H187*$O187*365</f>
        <v>0</v>
      </c>
      <c r="AI187" s="7">
        <f>VLOOKUP($B187,'[9]Subsidiary wise dispatch'!$A$3:$R$138,14,FALSE)*$H187*$O187*365</f>
        <v>9275.8197518860179</v>
      </c>
      <c r="AJ187" s="7">
        <f>VLOOKUP($B187,'[9]Subsidiary wise dispatch'!$A$3:$R$138,15,FALSE)*$H187*$O187*365</f>
        <v>0</v>
      </c>
      <c r="AK187" s="7">
        <f>VLOOKUP($B187,'[9]Subsidiary wise dispatch'!$A$3:$R$138,16,FALSE)*$H187*$O187*365</f>
        <v>0</v>
      </c>
      <c r="AL187" s="7">
        <f>VLOOKUP($B187,'[9]Subsidiary wise dispatch'!$A$3:$R$138,17,FALSE)*$H187*$O187*365</f>
        <v>592023.99163704552</v>
      </c>
      <c r="AM187" s="7">
        <f>VLOOKUP($B187,'[9]Subsidiary wise dispatch'!$A$3:$R$138,18,FALSE)*$H187*$O187*365</f>
        <v>0</v>
      </c>
      <c r="AN187" s="15">
        <f t="shared" si="114"/>
        <v>601299.81138893159</v>
      </c>
      <c r="AO187" s="6">
        <v>0.1</v>
      </c>
      <c r="AP187" s="11">
        <f t="shared" si="115"/>
        <v>0.23214548911808303</v>
      </c>
      <c r="AQ187" s="11">
        <f t="shared" si="116"/>
        <v>0.73440000000000005</v>
      </c>
      <c r="AR187" s="3">
        <f>VLOOKUP(A187,[10]Sheet1!$A$2:$L$542,12,FALSE)</f>
        <v>1.75221491228069</v>
      </c>
      <c r="AS187" s="3">
        <f t="shared" si="124"/>
        <v>1.9773329024223536</v>
      </c>
      <c r="AT187" s="3">
        <f t="shared" si="125"/>
        <v>1.957635952390312</v>
      </c>
      <c r="AU187" s="3">
        <f t="shared" si="117"/>
        <v>1.9696950032041638E-2</v>
      </c>
      <c r="AV187" s="88">
        <f t="shared" si="126"/>
        <v>0.42599785956537772</v>
      </c>
      <c r="AW187" s="32">
        <f t="shared" si="127"/>
        <v>0.20547926403065092</v>
      </c>
      <c r="AX187" s="12">
        <f t="shared" si="118"/>
        <v>167.54555353047235</v>
      </c>
      <c r="AY187" s="12">
        <f t="shared" si="119"/>
        <v>524.75606285393746</v>
      </c>
      <c r="AZ187" s="3">
        <f>VLOOKUP(A187,[5]Analysis!$A$3:$BJ$543,62,FALSE)</f>
        <v>0.48287310242658305</v>
      </c>
      <c r="BA187" s="2"/>
      <c r="BB187" s="2"/>
      <c r="BC187" s="2" t="str">
        <f>VLOOKUP(A187,'[6]FGD status - Jun 2020'!$I$2:$M$449,5,FALSE)</f>
        <v>Feasibility study completed</v>
      </c>
      <c r="BD187" s="2"/>
      <c r="BE187" s="2"/>
      <c r="BF187" s="2">
        <f t="shared" si="120"/>
        <v>191.82615954701174</v>
      </c>
      <c r="BG187" s="2">
        <f t="shared" si="121"/>
        <v>568.39435736004464</v>
      </c>
      <c r="BH187" s="2"/>
      <c r="BI187" s="2"/>
      <c r="BK187">
        <f t="shared" si="122"/>
        <v>96.727287132534599</v>
      </c>
      <c r="BP187" s="2" t="str">
        <f>VLOOKUP(A187,'[7]Table 2'!$J$2:$N$449,5,FALSE)</f>
        <v>Feasibility Study completed</v>
      </c>
      <c r="BR187">
        <f t="shared" si="128"/>
        <v>124.07916560001527</v>
      </c>
      <c r="BS187">
        <f t="shared" si="129"/>
        <v>367.65526536909641</v>
      </c>
      <c r="BT187">
        <f>(X187*I187*365*[5]Analysis!BK187)/10^4</f>
        <v>99.502296239650008</v>
      </c>
      <c r="BU187">
        <f>(W187*R187*365*[5]Analysis!BK187)/10^4</f>
        <v>294.8322786659557</v>
      </c>
      <c r="BV187">
        <f>(X187*I187*365*[5]Analysis!BL187)/10^4</f>
        <v>24.576869360365261</v>
      </c>
      <c r="BW187">
        <f>(W187*R187*365*[5]Analysis!BL187)/10^4</f>
        <v>72.8229867031407</v>
      </c>
      <c r="BX187">
        <f t="shared" si="130"/>
        <v>721600.54202103068</v>
      </c>
      <c r="BY187">
        <f t="shared" si="131"/>
        <v>2138152.9887334541</v>
      </c>
      <c r="BZ187">
        <f t="shared" si="132"/>
        <v>2119509.717074919</v>
      </c>
      <c r="CA187">
        <f t="shared" si="133"/>
        <v>6705139.7041277736</v>
      </c>
      <c r="CB187">
        <f t="shared" si="134"/>
        <v>-67266.482254813498</v>
      </c>
      <c r="CC187">
        <f t="shared" si="135"/>
        <v>-673199.14319999993</v>
      </c>
      <c r="CD187">
        <f t="shared" si="136"/>
        <v>-856719.92744289467</v>
      </c>
      <c r="CE187">
        <f t="shared" si="137"/>
        <v>-2710262.0736000002</v>
      </c>
      <c r="CF187">
        <f t="shared" si="138"/>
        <v>1512993.1358703135</v>
      </c>
      <c r="CG187">
        <f t="shared" si="139"/>
        <v>4786404.2640000004</v>
      </c>
      <c r="CH187">
        <f t="shared" si="140"/>
        <v>82922.362357182123</v>
      </c>
      <c r="CI187">
        <f t="shared" si="141"/>
        <v>262327.65989322372</v>
      </c>
      <c r="CJ187">
        <f t="shared" si="142"/>
        <v>-503022.13164062705</v>
      </c>
      <c r="CK187">
        <f t="shared" si="143"/>
        <v>-1591327.2960000003</v>
      </c>
      <c r="CL187">
        <f t="shared" si="144"/>
        <v>656285.51213834202</v>
      </c>
      <c r="CM187">
        <f t="shared" si="145"/>
        <v>2076181.1136</v>
      </c>
    </row>
    <row r="188" spans="1:91" x14ac:dyDescent="0.2">
      <c r="A188" s="2" t="s">
        <v>80</v>
      </c>
      <c r="B188" s="2" t="str">
        <f t="shared" si="152"/>
        <v>ITPCL TPP</v>
      </c>
      <c r="C188" s="2" t="str">
        <f>VLOOKUP($A188,'[1]daily coal, energy reqd'!$C$2:$T$599,17,FALSE)</f>
        <v>Tamil Nadu</v>
      </c>
      <c r="D188" s="2" t="str">
        <f>VLOOKUP(C188,'Target PLF'!$I$2:$J$19,2,FALSE)</f>
        <v>SR</v>
      </c>
      <c r="E188" s="2" t="str">
        <f>VLOOKUP(A188,[2]Ownership!$C$2:$D$666,2,FALSE)</f>
        <v>PVT SECTOR</v>
      </c>
      <c r="F188" s="2" t="s">
        <v>542</v>
      </c>
      <c r="G188" s="12">
        <v>4.6735112936344896</v>
      </c>
      <c r="H188" s="2">
        <v>600</v>
      </c>
      <c r="I188" s="2">
        <f>VLOOKUP(A188,'[3]Calculated coal req (reg.)'!$A$2:$I$599,9,FALSE)</f>
        <v>8.5593640587168807</v>
      </c>
      <c r="J188" s="2"/>
      <c r="K188" s="11">
        <v>0.594400281855339</v>
      </c>
      <c r="L188" s="3">
        <f>VLOOKUP(F188,'Target PLF'!$A$2:$B$11,2,FALSE)</f>
        <v>0.85</v>
      </c>
      <c r="M188" s="3">
        <f t="shared" si="123"/>
        <v>0.25559971814466098</v>
      </c>
      <c r="N188" s="2" t="str">
        <f t="shared" si="102"/>
        <v>0.15</v>
      </c>
      <c r="O188" s="2">
        <f t="shared" si="155"/>
        <v>7.8531842617637615</v>
      </c>
      <c r="P188" s="2">
        <f t="shared" si="103"/>
        <v>1719847.3533262638</v>
      </c>
      <c r="Q188" s="2">
        <f t="shared" si="104"/>
        <v>11.409419820225873</v>
      </c>
      <c r="R188" s="2">
        <f t="shared" si="105"/>
        <v>12.24</v>
      </c>
      <c r="S188" s="2">
        <f t="shared" si="106"/>
        <v>2498662.940629466</v>
      </c>
      <c r="T188" s="2" t="str">
        <f>VLOOKUP(A188,'[4]CEA vs MERIT comp. &amp; NPA marker'!$C$2:$K$735,9,FALSE)</f>
        <v>Contracted</v>
      </c>
      <c r="U188" s="3">
        <f>VLOOKUP(B188,'[8]Import-Domestic share'!$A$208:$F$406,6,FALSE)</f>
        <v>1</v>
      </c>
      <c r="V188" s="3">
        <f t="shared" si="107"/>
        <v>1719847.3533262638</v>
      </c>
      <c r="W188" s="2">
        <f t="shared" si="108"/>
        <v>2842.5448359589318</v>
      </c>
      <c r="X188" s="2">
        <f t="shared" si="109"/>
        <v>2927.0387415056739</v>
      </c>
      <c r="Y188" s="6">
        <f t="shared" si="110"/>
        <v>0.30254579949655541</v>
      </c>
      <c r="Z188" s="2">
        <f t="shared" si="111"/>
        <v>2962984.9064699309</v>
      </c>
      <c r="AA188" s="2">
        <f t="shared" si="112"/>
        <v>2133588.5263458183</v>
      </c>
      <c r="AB188" s="2" t="s">
        <v>598</v>
      </c>
      <c r="AC188" s="12"/>
      <c r="AD188" s="12">
        <f t="shared" si="113"/>
        <v>0</v>
      </c>
      <c r="AE188" s="2"/>
      <c r="AF188" s="7"/>
      <c r="AG188" s="7"/>
      <c r="AH188" s="7"/>
      <c r="AI188" s="7"/>
      <c r="AJ188" s="7"/>
      <c r="AK188" s="7"/>
      <c r="AL188" s="7"/>
      <c r="AM188" s="7"/>
      <c r="AN188" s="15">
        <f t="shared" si="114"/>
        <v>0</v>
      </c>
      <c r="AO188" s="6">
        <v>7.3246042254860019E-2</v>
      </c>
      <c r="AP188" s="11">
        <f t="shared" si="115"/>
        <v>0.62693954151950682</v>
      </c>
      <c r="AQ188" s="11">
        <f t="shared" si="116"/>
        <v>0.89653155719948663</v>
      </c>
      <c r="AR188" s="3">
        <f>VLOOKUP(A188,[10]Sheet1!$A$2:$L$542,12,FALSE)</f>
        <v>2.8668850574712499</v>
      </c>
      <c r="AS188" s="3">
        <f t="shared" si="124"/>
        <v>3.1437343838945169</v>
      </c>
      <c r="AT188" s="3">
        <f t="shared" si="125"/>
        <v>3.135073758575976</v>
      </c>
      <c r="AU188" s="3">
        <f t="shared" si="117"/>
        <v>8.6606253185408377E-3</v>
      </c>
      <c r="AV188" s="88">
        <f t="shared" si="126"/>
        <v>0.18730858545077048</v>
      </c>
      <c r="AW188" s="32">
        <f t="shared" si="127"/>
        <v>5.6826671186805934E-2</v>
      </c>
      <c r="AX188" s="12">
        <f t="shared" si="118"/>
        <v>982.15539899156033</v>
      </c>
      <c r="AY188" s="12">
        <f t="shared" si="119"/>
        <v>1400.6255523814029</v>
      </c>
      <c r="AZ188" s="3">
        <f>VLOOKUP(A188,[5]Analysis!$A$3:$BJ$543,62,FALSE)</f>
        <v>1.2224735304310752</v>
      </c>
      <c r="BA188" s="2"/>
      <c r="BB188" s="2"/>
      <c r="BC188" s="2" t="e">
        <f>VLOOKUP(A188,'[6]FGD status - Jun 2020'!$I$2:$M$449,5,FALSE)</f>
        <v>#N/A</v>
      </c>
      <c r="BD188" s="2"/>
      <c r="BE188" s="2"/>
      <c r="BF188" s="2">
        <f t="shared" si="120"/>
        <v>1116.0801581314977</v>
      </c>
      <c r="BG188" s="2">
        <f t="shared" si="121"/>
        <v>1549.937404574421</v>
      </c>
      <c r="BH188" s="2"/>
      <c r="BI188" s="2"/>
      <c r="BK188">
        <f t="shared" si="122"/>
        <v>356.6401691132034</v>
      </c>
      <c r="BL188">
        <f>VLOOKUP(A188,'[11]Daily coal vs energy req.2'!$C$2:$P$599,14,FALSE)</f>
        <v>0.78</v>
      </c>
      <c r="BM188">
        <f>VLOOKUP(A188,'[11]Daily coal vs energy req.2'!$C$2:$R$599,16,FALSE)</f>
        <v>0.79</v>
      </c>
      <c r="BN188">
        <f t="shared" ref="BN188:BN198" si="156">BL188*H188</f>
        <v>468</v>
      </c>
      <c r="BO188">
        <f t="shared" ref="BO188:BO198" si="157">BM188*H188</f>
        <v>474</v>
      </c>
      <c r="BP188" s="2" t="e">
        <f>VLOOKUP(A188,'[7]Table 2'!$J$2:$N$449,5,FALSE)</f>
        <v>#N/A</v>
      </c>
      <c r="BR188">
        <f t="shared" si="128"/>
        <v>1117.8983065667546</v>
      </c>
      <c r="BS188">
        <f t="shared" si="129"/>
        <v>1552.4623274003859</v>
      </c>
      <c r="BT188">
        <f>(X188*I188*365*[5]Analysis!BK188)/10^4</f>
        <v>1117.8983065667546</v>
      </c>
      <c r="BU188">
        <f>(W188*R188*365*[5]Analysis!BK188)/10^4</f>
        <v>1552.4623274003859</v>
      </c>
      <c r="BV188">
        <f>(X188*I188*365*[5]Analysis!BL188)/10^4</f>
        <v>0</v>
      </c>
      <c r="BW188">
        <f>(W188*R188*365*[5]Analysis!BL188)/10^4</f>
        <v>0</v>
      </c>
      <c r="BX188">
        <f t="shared" si="130"/>
        <v>2567992.9957578443</v>
      </c>
      <c r="BY188">
        <f t="shared" si="131"/>
        <v>3566256.7511940752</v>
      </c>
      <c r="BZ188">
        <f t="shared" si="132"/>
        <v>19784410.361166768</v>
      </c>
      <c r="CA188">
        <f t="shared" si="133"/>
        <v>28291959.678250115</v>
      </c>
      <c r="CB188">
        <f t="shared" si="134"/>
        <v>-548671.58109219384</v>
      </c>
      <c r="CC188">
        <f t="shared" si="135"/>
        <v>-1121998.5720000002</v>
      </c>
      <c r="CD188">
        <f t="shared" si="136"/>
        <v>-3158785.3734307359</v>
      </c>
      <c r="CE188">
        <f t="shared" si="137"/>
        <v>-4517103.4560000002</v>
      </c>
      <c r="CF188">
        <f t="shared" si="138"/>
        <v>5578509.8894023458</v>
      </c>
      <c r="CG188">
        <f t="shared" si="139"/>
        <v>7977340.4400000004</v>
      </c>
      <c r="CH188">
        <f t="shared" si="140"/>
        <v>296196.91628177068</v>
      </c>
      <c r="CI188">
        <f t="shared" si="141"/>
        <v>423565.37593429087</v>
      </c>
      <c r="CJ188">
        <f t="shared" si="142"/>
        <v>-3091128.7361650146</v>
      </c>
      <c r="CK188">
        <f t="shared" si="143"/>
        <v>-4420353.6000000006</v>
      </c>
      <c r="CL188">
        <f t="shared" si="144"/>
        <v>1772385.6692154724</v>
      </c>
      <c r="CM188">
        <f t="shared" si="145"/>
        <v>2534534.1595914653</v>
      </c>
    </row>
    <row r="189" spans="1:91" x14ac:dyDescent="0.2">
      <c r="A189" s="2" t="s">
        <v>232</v>
      </c>
      <c r="B189" s="2" t="str">
        <f t="shared" si="152"/>
        <v>TALCHER STPS</v>
      </c>
      <c r="C189" s="2" t="str">
        <f>VLOOKUP($A189,'[1]daily coal, energy reqd'!$C$2:$T$599,17,FALSE)</f>
        <v>Odisha</v>
      </c>
      <c r="D189" s="2" t="str">
        <f>VLOOKUP(C189,'Target PLF'!$I$2:$J$19,2,FALSE)</f>
        <v>ER</v>
      </c>
      <c r="E189" s="2" t="str">
        <f>VLOOKUP(A189,[2]Ownership!$C$2:$D$666,2,FALSE)</f>
        <v>CENTRAL SECTOR</v>
      </c>
      <c r="F189" s="2" t="s">
        <v>545</v>
      </c>
      <c r="G189" s="12">
        <v>17.2539356605065</v>
      </c>
      <c r="H189" s="2">
        <v>500</v>
      </c>
      <c r="I189" s="2">
        <f>VLOOKUP(A189,'[3]Calculated coal req (reg.)'!$A$2:$I$599,9,FALSE)</f>
        <v>9.4725239331179196</v>
      </c>
      <c r="J189" s="2"/>
      <c r="K189" s="11">
        <v>0.78937699442649334</v>
      </c>
      <c r="L189" s="3">
        <f>VLOOKUP(F189,'Target PLF'!$A$2:$B$11,2,FALSE)</f>
        <v>0.75</v>
      </c>
      <c r="M189" s="3">
        <f t="shared" si="123"/>
        <v>-3.9376994426493339E-2</v>
      </c>
      <c r="N189" s="2" t="str">
        <f t="shared" si="102"/>
        <v>0.25</v>
      </c>
      <c r="O189" s="2">
        <f t="shared" si="155"/>
        <v>12.346070098600674</v>
      </c>
      <c r="P189" s="2">
        <f t="shared" si="103"/>
        <v>2253157.7929946231</v>
      </c>
      <c r="Q189" s="2">
        <f t="shared" si="104"/>
        <v>13.189536162046544</v>
      </c>
      <c r="R189" s="2">
        <f t="shared" si="105"/>
        <v>9</v>
      </c>
      <c r="S189" s="2">
        <f t="shared" si="106"/>
        <v>2123903.2496236716</v>
      </c>
      <c r="T189" s="2" t="str">
        <f>VLOOKUP(A189,'[4]CEA vs MERIT comp. &amp; NPA marker'!$C$2:$K$735,9,FALSE)</f>
        <v>Contracted</v>
      </c>
      <c r="U189" s="3">
        <f>VLOOKUP(B189,'[8]Import-Domestic share'!$A$208:$F$406,6,FALSE)</f>
        <v>2.3401661620630933E-2</v>
      </c>
      <c r="V189" s="3">
        <f t="shared" si="107"/>
        <v>52727.636249547759</v>
      </c>
      <c r="W189" s="2">
        <f t="shared" si="108"/>
        <v>2844.1178194713957</v>
      </c>
      <c r="X189" s="2">
        <f t="shared" si="109"/>
        <v>2831.1009191714365</v>
      </c>
      <c r="Y189" s="6">
        <f t="shared" si="110"/>
        <v>0.3023784718453888</v>
      </c>
      <c r="Z189" s="2">
        <f t="shared" si="111"/>
        <v>2704432.864928409</v>
      </c>
      <c r="AA189" s="2">
        <f t="shared" si="112"/>
        <v>2833395.3324549361</v>
      </c>
      <c r="AB189" s="2" t="s">
        <v>598</v>
      </c>
      <c r="AC189" s="12">
        <f>VLOOKUP(B189,[9]Sheet1!$A$2:$B$137,2,FALSE)</f>
        <v>3454.6714611127372</v>
      </c>
      <c r="AD189" s="12">
        <f t="shared" si="113"/>
        <v>1727335.7305563686</v>
      </c>
      <c r="AE189" s="2" t="s">
        <v>589</v>
      </c>
      <c r="AF189" s="7">
        <f>VLOOKUP($B189,'[9]Subsidiary wise dispatch'!$A$3:$R$138,11,FALSE)*$H189*$O189*365</f>
        <v>0</v>
      </c>
      <c r="AG189" s="7">
        <f>VLOOKUP($B189,'[9]Subsidiary wise dispatch'!$A$3:$R$138,12,FALSE)*$H189*$O189*365</f>
        <v>0</v>
      </c>
      <c r="AH189" s="7">
        <f>VLOOKUP($B189,'[9]Subsidiary wise dispatch'!$A$3:$R$138,13,FALSE)*$H189*$O189*365</f>
        <v>13228.176985018761</v>
      </c>
      <c r="AI189" s="7">
        <f>VLOOKUP($B189,'[9]Subsidiary wise dispatch'!$A$3:$R$138,14,FALSE)*$H189*$O189*365</f>
        <v>2239929.6160096042</v>
      </c>
      <c r="AJ189" s="7">
        <f>VLOOKUP($B189,'[9]Subsidiary wise dispatch'!$A$3:$R$138,15,FALSE)*$H189*$O189*365</f>
        <v>0</v>
      </c>
      <c r="AK189" s="7">
        <f>VLOOKUP($B189,'[9]Subsidiary wise dispatch'!$A$3:$R$138,16,FALSE)*$H189*$O189*365</f>
        <v>0</v>
      </c>
      <c r="AL189" s="7">
        <f>VLOOKUP($B189,'[9]Subsidiary wise dispatch'!$A$3:$R$138,17,FALSE)*$H189*$O189*365</f>
        <v>0</v>
      </c>
      <c r="AM189" s="7">
        <f>VLOOKUP($B189,'[9]Subsidiary wise dispatch'!$A$3:$R$138,18,FALSE)*$H189*$O189*365</f>
        <v>0</v>
      </c>
      <c r="AN189" s="15">
        <f t="shared" si="114"/>
        <v>2253157.7929946231</v>
      </c>
      <c r="AO189" s="6">
        <v>6.4093993789743203E-2</v>
      </c>
      <c r="AP189" s="11">
        <f t="shared" si="115"/>
        <v>0.60713189014245383</v>
      </c>
      <c r="AQ189" s="11">
        <f t="shared" si="116"/>
        <v>0.57684594410768886</v>
      </c>
      <c r="AR189" s="3">
        <f>VLOOKUP(A189,[10]Sheet1!$A$2:$L$542,12,FALSE)</f>
        <v>1.70619901878252</v>
      </c>
      <c r="AS189" s="3">
        <f t="shared" si="124"/>
        <v>1.8884565674899512</v>
      </c>
      <c r="AT189" s="3">
        <f t="shared" si="125"/>
        <v>1.8897907997706969</v>
      </c>
      <c r="AU189" s="3">
        <f t="shared" si="117"/>
        <v>-1.3342322807456952E-3</v>
      </c>
      <c r="AV189" s="88">
        <f t="shared" si="126"/>
        <v>-2.8856249055622851E-2</v>
      </c>
      <c r="AW189" s="32">
        <f t="shared" si="127"/>
        <v>1.4573815066055843E-2</v>
      </c>
      <c r="AX189" s="12">
        <f t="shared" si="118"/>
        <v>652.92842617538315</v>
      </c>
      <c r="AY189" s="12">
        <f t="shared" si="119"/>
        <v>620.79627772467393</v>
      </c>
      <c r="AZ189" s="3">
        <f>VLOOKUP(A189,[5]Analysis!$A$3:$BJ$543,62,FALSE)</f>
        <v>0.49636627966549751</v>
      </c>
      <c r="BA189" s="2"/>
      <c r="BB189" s="2"/>
      <c r="BC189" s="2" t="str">
        <f>VLOOKUP(A189,'[6]FGD status - Jun 2020'!$I$2:$M$449,5,FALSE)</f>
        <v>Bid Awarded</v>
      </c>
      <c r="BD189" s="2"/>
      <c r="BE189" s="2"/>
      <c r="BF189" s="2">
        <f t="shared" si="120"/>
        <v>891.09885091610295</v>
      </c>
      <c r="BG189" s="2">
        <f t="shared" si="121"/>
        <v>850.54033608131454</v>
      </c>
      <c r="BH189" s="2"/>
      <c r="BI189" s="2"/>
      <c r="BK189">
        <f t="shared" si="122"/>
        <v>394.68849721324665</v>
      </c>
      <c r="BL189">
        <f>VLOOKUP(A189,'[11]Daily coal vs energy req.2'!$C$2:$P$599,14,FALSE)</f>
        <v>0.56999999999999995</v>
      </c>
      <c r="BM189">
        <f>VLOOKUP(A189,'[11]Daily coal vs energy req.2'!$C$2:$R$599,16,FALSE)</f>
        <v>0.59</v>
      </c>
      <c r="BN189">
        <f t="shared" si="156"/>
        <v>285</v>
      </c>
      <c r="BO189">
        <f t="shared" si="157"/>
        <v>295</v>
      </c>
      <c r="BP189" s="2" t="str">
        <f>VLOOKUP(A189,'[7]Table 2'!$J$2:$N$449,5,FALSE)</f>
        <v>Bid Awarded</v>
      </c>
      <c r="BR189">
        <f t="shared" si="128"/>
        <v>485.86565067579289</v>
      </c>
      <c r="BS189">
        <f t="shared" si="129"/>
        <v>463.7513934523779</v>
      </c>
      <c r="BT189">
        <f>(X189*I189*365*[5]Analysis!BK189)/10^4</f>
        <v>436.5559332497877</v>
      </c>
      <c r="BU189">
        <f>(W189*R189*365*[5]Analysis!BK189)/10^4</f>
        <v>416.68601615055292</v>
      </c>
      <c r="BV189">
        <f>(X189*I189*365*[5]Analysis!BL189)/10^4</f>
        <v>49.309717426005172</v>
      </c>
      <c r="BW189">
        <f>(W189*R189*365*[5]Analysis!BL189)/10^4</f>
        <v>47.065377301825002</v>
      </c>
      <c r="BX189">
        <f t="shared" si="130"/>
        <v>2748811.2994271666</v>
      </c>
      <c r="BY189">
        <f t="shared" si="131"/>
        <v>2623698.6884623626</v>
      </c>
      <c r="BZ189">
        <f t="shared" si="132"/>
        <v>8890171.3119876254</v>
      </c>
      <c r="CA189">
        <f t="shared" si="133"/>
        <v>8446697.2448759489</v>
      </c>
      <c r="CB189">
        <f t="shared" si="134"/>
        <v>-806384.43635332864</v>
      </c>
      <c r="CC189">
        <f t="shared" si="135"/>
        <v>-727940.25</v>
      </c>
      <c r="CD189">
        <f t="shared" si="136"/>
        <v>0</v>
      </c>
      <c r="CE189">
        <f t="shared" si="137"/>
        <v>0</v>
      </c>
      <c r="CF189">
        <f t="shared" si="138"/>
        <v>6173655.9020040398</v>
      </c>
      <c r="CG189">
        <f t="shared" si="139"/>
        <v>5865691.5000000009</v>
      </c>
      <c r="CH189">
        <f t="shared" si="140"/>
        <v>1210179.0292194022</v>
      </c>
      <c r="CI189">
        <f t="shared" si="141"/>
        <v>1149810.8993839833</v>
      </c>
      <c r="CJ189">
        <f t="shared" si="142"/>
        <v>-2850756.0776718385</v>
      </c>
      <c r="CK189">
        <f t="shared" si="143"/>
        <v>-2708550.0000000005</v>
      </c>
      <c r="CL189">
        <f t="shared" si="144"/>
        <v>1716388.5672358829</v>
      </c>
      <c r="CM189">
        <f t="shared" si="145"/>
        <v>1630768.8652139769</v>
      </c>
    </row>
    <row r="190" spans="1:91" x14ac:dyDescent="0.2">
      <c r="A190" s="2" t="s">
        <v>241</v>
      </c>
      <c r="B190" s="2" t="str">
        <f t="shared" si="152"/>
        <v>SIMHADRI STPP</v>
      </c>
      <c r="C190" s="2" t="str">
        <f>VLOOKUP($A190,'[1]daily coal, energy reqd'!$C$2:$T$599,17,FALSE)</f>
        <v>Andhra Pradesh</v>
      </c>
      <c r="D190" s="2" t="str">
        <f>VLOOKUP(C190,'Target PLF'!$I$2:$J$19,2,FALSE)</f>
        <v>SR</v>
      </c>
      <c r="E190" s="2" t="str">
        <f>VLOOKUP(A190,[2]Ownership!$C$2:$D$666,2,FALSE)</f>
        <v>CENTRAL SECTOR</v>
      </c>
      <c r="F190" s="2" t="s">
        <v>545</v>
      </c>
      <c r="G190" s="12">
        <v>17.7577002053388</v>
      </c>
      <c r="H190" s="2">
        <v>500</v>
      </c>
      <c r="I190" s="2">
        <f>VLOOKUP(A190,'[3]Calculated coal req (reg.)'!$A$2:$I$599,9,FALSE)</f>
        <v>8.1764870164380099</v>
      </c>
      <c r="J190" s="2"/>
      <c r="K190" s="11">
        <v>0.68137391803650083</v>
      </c>
      <c r="L190" s="3">
        <f>VLOOKUP(F190,'Target PLF'!$A$2:$B$11,2,FALSE)</f>
        <v>0.75</v>
      </c>
      <c r="M190" s="3">
        <f t="shared" si="123"/>
        <v>6.8626081963499175E-2</v>
      </c>
      <c r="N190" s="2" t="str">
        <f t="shared" si="102"/>
        <v>0.25</v>
      </c>
      <c r="O190" s="2">
        <f t="shared" si="155"/>
        <v>10.859347637821354</v>
      </c>
      <c r="P190" s="2">
        <f t="shared" si="103"/>
        <v>1981830.9439023973</v>
      </c>
      <c r="Q190" s="2">
        <f t="shared" si="104"/>
        <v>13.205492904004107</v>
      </c>
      <c r="R190" s="2">
        <f t="shared" si="105"/>
        <v>9</v>
      </c>
      <c r="S190" s="2">
        <f t="shared" si="106"/>
        <v>2126472.754394779</v>
      </c>
      <c r="T190" s="2" t="str">
        <f>VLOOKUP(A190,'[4]CEA vs MERIT comp. &amp; NPA marker'!$C$2:$K$735,9,FALSE)</f>
        <v>Contracted</v>
      </c>
      <c r="U190" s="3">
        <f>VLOOKUP(B190,'[8]Import-Domestic share'!$A$208:$F$406,6,FALSE)</f>
        <v>1.6194662129857273E-2</v>
      </c>
      <c r="V190" s="3">
        <f t="shared" si="107"/>
        <v>32095.082534995443</v>
      </c>
      <c r="W190" s="2">
        <f t="shared" si="108"/>
        <v>2846.341992721083</v>
      </c>
      <c r="X190" s="2">
        <f t="shared" si="109"/>
        <v>2869.0277989870551</v>
      </c>
      <c r="Y190" s="6">
        <f t="shared" si="110"/>
        <v>0.30214218888639099</v>
      </c>
      <c r="Z190" s="2">
        <f t="shared" si="111"/>
        <v>2169945.499534247</v>
      </c>
      <c r="AA190" s="2">
        <f t="shared" si="112"/>
        <v>1987104.6720041861</v>
      </c>
      <c r="AB190" s="2" t="s">
        <v>598</v>
      </c>
      <c r="AC190" s="12">
        <f>VLOOKUP(B190,[9]Sheet1!$A$2:$B$137,2,FALSE)</f>
        <v>4308.9715608505721</v>
      </c>
      <c r="AD190" s="12">
        <f t="shared" si="113"/>
        <v>2154485.7804252859</v>
      </c>
      <c r="AE190" s="2"/>
      <c r="AF190" s="7">
        <f>VLOOKUP($B190,'[9]Subsidiary wise dispatch'!$A$3:$R$138,11,FALSE)*$H190*$O190*365</f>
        <v>0</v>
      </c>
      <c r="AG190" s="7">
        <f>VLOOKUP($B190,'[9]Subsidiary wise dispatch'!$A$3:$R$138,12,FALSE)*$H190*$O190*365</f>
        <v>22370.632655730315</v>
      </c>
      <c r="AH190" s="7">
        <f>VLOOKUP($B190,'[9]Subsidiary wise dispatch'!$A$3:$R$138,13,FALSE)*$H190*$O190*365</f>
        <v>560136.4705988986</v>
      </c>
      <c r="AI190" s="7">
        <f>VLOOKUP($B190,'[9]Subsidiary wise dispatch'!$A$3:$R$138,14,FALSE)*$H190*$O190*365</f>
        <v>1398980.5819148615</v>
      </c>
      <c r="AJ190" s="7">
        <f>VLOOKUP($B190,'[9]Subsidiary wise dispatch'!$A$3:$R$138,15,FALSE)*$H190*$O190*365</f>
        <v>343.258732906739</v>
      </c>
      <c r="AK190" s="7">
        <f>VLOOKUP($B190,'[9]Subsidiary wise dispatch'!$A$3:$R$138,16,FALSE)*$H190*$O190*365</f>
        <v>0</v>
      </c>
      <c r="AL190" s="7">
        <f>VLOOKUP($B190,'[9]Subsidiary wise dispatch'!$A$3:$R$138,17,FALSE)*$H190*$O190*365</f>
        <v>0</v>
      </c>
      <c r="AM190" s="7">
        <f>VLOOKUP($B190,'[9]Subsidiary wise dispatch'!$A$3:$R$138,18,FALSE)*$H190*$O190*365</f>
        <v>0</v>
      </c>
      <c r="AN190" s="15">
        <f t="shared" si="114"/>
        <v>1981830.9439023973</v>
      </c>
      <c r="AO190" s="6">
        <v>5.6962700163683135E-2</v>
      </c>
      <c r="AP190" s="11">
        <f t="shared" si="115"/>
        <v>0.46575477830960643</v>
      </c>
      <c r="AQ190" s="11">
        <f t="shared" si="116"/>
        <v>0.51266430147314823</v>
      </c>
      <c r="AR190" s="3">
        <f>VLOOKUP(A190,[10]Sheet1!$A$2:$L$542,12,FALSE)</f>
        <v>2.9691264912280801</v>
      </c>
      <c r="AS190" s="3">
        <f t="shared" si="124"/>
        <v>2.7867150384069039</v>
      </c>
      <c r="AT190" s="3">
        <f t="shared" si="125"/>
        <v>2.7843897432646414</v>
      </c>
      <c r="AU190" s="3">
        <f t="shared" si="117"/>
        <v>2.3252951422625401E-3</v>
      </c>
      <c r="AV190" s="88">
        <f t="shared" si="126"/>
        <v>5.0290565384491469E-2</v>
      </c>
      <c r="AW190" s="32">
        <f t="shared" si="127"/>
        <v>1.7212118778262123E-2</v>
      </c>
      <c r="AX190" s="12">
        <f t="shared" si="118"/>
        <v>831.67218554670092</v>
      </c>
      <c r="AY190" s="12">
        <f t="shared" si="119"/>
        <v>914.67203066243474</v>
      </c>
      <c r="AZ190" s="3">
        <f>VLOOKUP(A190,[5]Analysis!$A$3:$BJ$543,62,FALSE)</f>
        <v>0.97807166765061082</v>
      </c>
      <c r="BA190" s="2"/>
      <c r="BB190" s="2"/>
      <c r="BC190" s="2" t="str">
        <f>VLOOKUP(A190,'[6]FGD status - Jun 2020'!$I$2:$M$449,5,FALSE)</f>
        <v>Bid Awarded</v>
      </c>
      <c r="BD190" s="2"/>
      <c r="BE190" s="2"/>
      <c r="BF190" s="2">
        <f t="shared" si="120"/>
        <v>621.88264838865416</v>
      </c>
      <c r="BG190" s="2">
        <f t="shared" si="121"/>
        <v>679.10436381207194</v>
      </c>
      <c r="BH190" s="2"/>
      <c r="BI190" s="2"/>
      <c r="BK190">
        <f t="shared" si="122"/>
        <v>340.68695901825043</v>
      </c>
      <c r="BL190">
        <f>VLOOKUP(A190,'[11]Daily coal vs energy req.2'!$C$2:$P$599,14,FALSE)</f>
        <v>0.76</v>
      </c>
      <c r="BM190">
        <f>VLOOKUP(A190,'[11]Daily coal vs energy req.2'!$C$2:$R$599,16,FALSE)</f>
        <v>0.79</v>
      </c>
      <c r="BN190">
        <f t="shared" si="156"/>
        <v>380</v>
      </c>
      <c r="BO190">
        <f t="shared" si="157"/>
        <v>395</v>
      </c>
      <c r="BP190" s="2" t="str">
        <f>VLOOKUP(A190,'[7]Table 2'!$J$2:$N$449,5,FALSE)</f>
        <v>Bid Awarded</v>
      </c>
      <c r="BR190">
        <f t="shared" si="128"/>
        <v>837.4618860137665</v>
      </c>
      <c r="BS190">
        <f t="shared" si="129"/>
        <v>914.51984195385478</v>
      </c>
      <c r="BT190">
        <f>(X190*I190*365*[5]Analysis!BK190)/10^4</f>
        <v>430.50589374264143</v>
      </c>
      <c r="BU190">
        <f>(W190*R190*365*[5]Analysis!BK190)/10^4</f>
        <v>470.1183283453351</v>
      </c>
      <c r="BV190">
        <f>(X190*I190*365*[5]Analysis!BL190)/10^4</f>
        <v>406.95599227112501</v>
      </c>
      <c r="BW190">
        <f>(W190*R190*365*[5]Analysis!BL190)/10^4</f>
        <v>444.40151360851974</v>
      </c>
      <c r="BX190">
        <f t="shared" si="130"/>
        <v>2404503.2761922809</v>
      </c>
      <c r="BY190">
        <f t="shared" si="131"/>
        <v>2625750.4882851988</v>
      </c>
      <c r="BZ190">
        <f t="shared" si="132"/>
        <v>15120967.44567514</v>
      </c>
      <c r="CA190">
        <f t="shared" si="133"/>
        <v>16643909.143068839</v>
      </c>
      <c r="CB190">
        <f t="shared" si="134"/>
        <v>-600819.77390573011</v>
      </c>
      <c r="CC190">
        <f t="shared" si="135"/>
        <v>-727940.25</v>
      </c>
      <c r="CD190">
        <f t="shared" si="136"/>
        <v>0</v>
      </c>
      <c r="CE190">
        <f t="shared" si="137"/>
        <v>0</v>
      </c>
      <c r="CF190">
        <f t="shared" si="138"/>
        <v>5328972.2657978665</v>
      </c>
      <c r="CG190">
        <f t="shared" si="139"/>
        <v>5865691.5000000009</v>
      </c>
      <c r="CH190">
        <f t="shared" si="140"/>
        <v>1075100.8584868279</v>
      </c>
      <c r="CI190">
        <f t="shared" si="141"/>
        <v>1183382.0205338802</v>
      </c>
      <c r="CJ190">
        <f t="shared" si="142"/>
        <v>-2460713.7675970192</v>
      </c>
      <c r="CK190">
        <f t="shared" si="143"/>
        <v>-2708550.0000000005</v>
      </c>
      <c r="CL190">
        <f t="shared" si="144"/>
        <v>1316709.2514915031</v>
      </c>
      <c r="CM190">
        <f t="shared" si="145"/>
        <v>1449324.5374938548</v>
      </c>
    </row>
    <row r="191" spans="1:91" x14ac:dyDescent="0.2">
      <c r="A191" s="2" t="s">
        <v>91</v>
      </c>
      <c r="B191" s="2" t="str">
        <f t="shared" si="152"/>
        <v>MUTHIARA TPP</v>
      </c>
      <c r="C191" s="2" t="str">
        <f>VLOOKUP($A191,'[1]daily coal, energy reqd'!$C$2:$T$599,17,FALSE)</f>
        <v>Tamil Nadu</v>
      </c>
      <c r="D191" s="2" t="str">
        <f>VLOOKUP(C191,'Target PLF'!$I$2:$J$19,2,FALSE)</f>
        <v>SR</v>
      </c>
      <c r="E191" s="2" t="str">
        <f>VLOOKUP(A191,[2]Ownership!$C$2:$D$666,2,FALSE)</f>
        <v>PVT SECTOR</v>
      </c>
      <c r="F191" s="2" t="s">
        <v>543</v>
      </c>
      <c r="G191" s="12">
        <v>5.4236824093086904</v>
      </c>
      <c r="H191" s="2">
        <v>600</v>
      </c>
      <c r="I191" s="2">
        <f>VLOOKUP(A191,'[3]Calculated coal req (reg.)'!$A$2:$I$599,9,FALSE)</f>
        <v>4.8172721909819503</v>
      </c>
      <c r="J191" s="2"/>
      <c r="K191" s="11">
        <v>0.33453279104041322</v>
      </c>
      <c r="L191" s="3">
        <f>VLOOKUP(F191,'Target PLF'!$A$2:$B$11,2,FALSE)</f>
        <v>0.85</v>
      </c>
      <c r="M191" s="3">
        <f t="shared" si="123"/>
        <v>0.51546720895958675</v>
      </c>
      <c r="N191" s="2" t="str">
        <f t="shared" si="102"/>
        <v>0.15</v>
      </c>
      <c r="O191" s="2">
        <f t="shared" si="155"/>
        <v>4.2613315718974345</v>
      </c>
      <c r="P191" s="2">
        <f t="shared" si="103"/>
        <v>933231.61424553813</v>
      </c>
      <c r="Q191" s="2">
        <f t="shared" si="104"/>
        <v>11.433181490314853</v>
      </c>
      <c r="R191" s="2">
        <f t="shared" si="105"/>
        <v>12.24</v>
      </c>
      <c r="S191" s="2">
        <f t="shared" si="106"/>
        <v>2503866.7463789531</v>
      </c>
      <c r="T191" s="2" t="str">
        <f>VLOOKUP(A191,'[4]CEA vs MERIT comp. &amp; NPA marker'!$C$2:$K$735,9,FALSE)</f>
        <v>Contracted</v>
      </c>
      <c r="U191" s="3">
        <f>VLOOKUP(B191,'[8]Import-Domestic share'!$A$208:$F$406,6,FALSE)</f>
        <v>1</v>
      </c>
      <c r="V191" s="3">
        <f t="shared" si="107"/>
        <v>933231.61424553813</v>
      </c>
      <c r="W191" s="2">
        <f t="shared" si="108"/>
        <v>2848.2765461245726</v>
      </c>
      <c r="X191" s="2">
        <f t="shared" si="109"/>
        <v>3018.6751599509935</v>
      </c>
      <c r="Y191" s="6">
        <f t="shared" si="110"/>
        <v>0.30193697349020931</v>
      </c>
      <c r="Z191" s="2">
        <f t="shared" si="111"/>
        <v>2968959.4721106254</v>
      </c>
      <c r="AA191" s="2">
        <f t="shared" si="112"/>
        <v>1238392.3621321903</v>
      </c>
      <c r="AB191" s="2" t="s">
        <v>598</v>
      </c>
      <c r="AC191" s="12"/>
      <c r="AD191" s="12">
        <f t="shared" si="113"/>
        <v>0</v>
      </c>
      <c r="AE191" s="2"/>
      <c r="AF191" s="7"/>
      <c r="AG191" s="7"/>
      <c r="AH191" s="7"/>
      <c r="AI191" s="7"/>
      <c r="AJ191" s="7"/>
      <c r="AK191" s="7"/>
      <c r="AL191" s="7"/>
      <c r="AM191" s="7"/>
      <c r="AN191" s="15">
        <f t="shared" si="114"/>
        <v>0</v>
      </c>
      <c r="AO191" s="6">
        <v>7.2208785753758192E-2</v>
      </c>
      <c r="AP191" s="11">
        <f t="shared" si="115"/>
        <v>0.34784937555615297</v>
      </c>
      <c r="AQ191" s="11">
        <f t="shared" si="116"/>
        <v>0.88383553762600031</v>
      </c>
      <c r="AR191" s="3">
        <f>VLOOKUP(A191,[10]Sheet1!$A$2:$L$542,12,FALSE)</f>
        <v>3.0330919540229901</v>
      </c>
      <c r="AS191" s="3">
        <f t="shared" si="124"/>
        <v>3.1557493890432706</v>
      </c>
      <c r="AT191" s="3">
        <f t="shared" si="125"/>
        <v>3.1382835311260626</v>
      </c>
      <c r="AU191" s="3">
        <f t="shared" si="117"/>
        <v>1.7465857917208005E-2</v>
      </c>
      <c r="AV191" s="88">
        <f t="shared" si="126"/>
        <v>0.37774468006976436</v>
      </c>
      <c r="AW191" s="32">
        <f t="shared" si="127"/>
        <v>0.11416585341137693</v>
      </c>
      <c r="AX191" s="12">
        <f t="shared" si="118"/>
        <v>554.87678773444463</v>
      </c>
      <c r="AY191" s="12">
        <f t="shared" si="119"/>
        <v>1402.0595503658799</v>
      </c>
      <c r="AZ191" s="3">
        <f>VLOOKUP(A191,[5]Analysis!$A$3:$BJ$543,62,FALSE)</f>
        <v>1.2224735304310752</v>
      </c>
      <c r="BA191" s="2"/>
      <c r="BB191" s="2"/>
      <c r="BC191" s="2" t="str">
        <f>VLOOKUP(A191,'[6]FGD status - Jun 2020'!$I$2:$M$449,5,FALSE)</f>
        <v>Feasiblity Study Completed</v>
      </c>
      <c r="BD191" s="2"/>
      <c r="BE191" s="2"/>
      <c r="BF191" s="2">
        <f t="shared" si="120"/>
        <v>647.80304463134871</v>
      </c>
      <c r="BG191" s="2">
        <f t="shared" si="121"/>
        <v>1553.062699861068</v>
      </c>
      <c r="BH191" s="2"/>
      <c r="BI191" s="2"/>
      <c r="BK191">
        <f t="shared" si="122"/>
        <v>200.71967462424794</v>
      </c>
      <c r="BL191">
        <f>VLOOKUP(A191,'[11]Daily coal vs energy req.2'!$C$2:$P$599,14,FALSE)</f>
        <v>0.56999999999999995</v>
      </c>
      <c r="BM191">
        <f>VLOOKUP(A191,'[11]Daily coal vs energy req.2'!$C$2:$R$599,16,FALSE)</f>
        <v>0.52</v>
      </c>
      <c r="BN191">
        <f t="shared" si="156"/>
        <v>341.99999999999994</v>
      </c>
      <c r="BO191">
        <f t="shared" si="157"/>
        <v>312</v>
      </c>
      <c r="BP191" s="2" t="str">
        <f>VLOOKUP(A191,'[7]Table 2'!$J$2:$N$449,5,FALSE)</f>
        <v>Feasiblity Study Completed</v>
      </c>
      <c r="BR191">
        <f t="shared" si="128"/>
        <v>648.85834705149284</v>
      </c>
      <c r="BS191">
        <f t="shared" si="129"/>
        <v>1555.5927139438697</v>
      </c>
      <c r="BT191">
        <f>(X191*I191*365*[5]Analysis!BK191)/10^4</f>
        <v>648.85834705149284</v>
      </c>
      <c r="BU191">
        <f>(W191*R191*365*[5]Analysis!BK191)/10^4</f>
        <v>1555.5927139438697</v>
      </c>
      <c r="BV191">
        <f>(X191*I191*365*[5]Analysis!BL191)/10^4</f>
        <v>0</v>
      </c>
      <c r="BW191">
        <f>(W191*R191*365*[5]Analysis!BL191)/10^4</f>
        <v>0</v>
      </c>
      <c r="BX191">
        <f t="shared" si="130"/>
        <v>1490532.4399180908</v>
      </c>
      <c r="BY191">
        <f t="shared" si="131"/>
        <v>3573447.7547678882</v>
      </c>
      <c r="BZ191">
        <f t="shared" si="132"/>
        <v>11134809.688432755</v>
      </c>
      <c r="CA191">
        <f t="shared" si="133"/>
        <v>28291959.678250115</v>
      </c>
      <c r="CB191">
        <f t="shared" si="134"/>
        <v>-173792.82413979396</v>
      </c>
      <c r="CC191">
        <f t="shared" si="135"/>
        <v>-1121998.5720000002</v>
      </c>
      <c r="CD191">
        <f t="shared" si="136"/>
        <v>-1777787.3253576192</v>
      </c>
      <c r="CE191">
        <f t="shared" si="137"/>
        <v>-4517103.4560000002</v>
      </c>
      <c r="CF191">
        <f t="shared" si="138"/>
        <v>3139625.8382032448</v>
      </c>
      <c r="CG191">
        <f t="shared" si="139"/>
        <v>7977340.4400000004</v>
      </c>
      <c r="CH191">
        <f t="shared" si="140"/>
        <v>193459.99597379132</v>
      </c>
      <c r="CI191">
        <f t="shared" si="141"/>
        <v>491554.19433264859</v>
      </c>
      <c r="CJ191">
        <f t="shared" si="142"/>
        <v>-1739709.6790512216</v>
      </c>
      <c r="CK191">
        <f t="shared" si="143"/>
        <v>-4420353.6000000006</v>
      </c>
      <c r="CL191">
        <f t="shared" si="144"/>
        <v>983385.49006976897</v>
      </c>
      <c r="CM191">
        <f t="shared" si="145"/>
        <v>2498641.9536323585</v>
      </c>
    </row>
    <row r="192" spans="1:91" x14ac:dyDescent="0.2">
      <c r="A192" s="2" t="s">
        <v>249</v>
      </c>
      <c r="B192" s="2" t="str">
        <f t="shared" si="152"/>
        <v>SIMHADRI STPP</v>
      </c>
      <c r="C192" s="2" t="str">
        <f>VLOOKUP($A192,'[1]daily coal, energy reqd'!$C$2:$T$599,17,FALSE)</f>
        <v>Andhra Pradesh</v>
      </c>
      <c r="D192" s="2" t="str">
        <f>VLOOKUP(C192,'Target PLF'!$I$2:$J$19,2,FALSE)</f>
        <v>SR</v>
      </c>
      <c r="E192" s="2" t="str">
        <f>VLOOKUP(A192,[2]Ownership!$C$2:$D$666,2,FALSE)</f>
        <v>CENTRAL SECTOR</v>
      </c>
      <c r="F192" s="2" t="s">
        <v>545</v>
      </c>
      <c r="G192" s="12">
        <v>18.2532511978097</v>
      </c>
      <c r="H192" s="2">
        <v>500</v>
      </c>
      <c r="I192" s="2">
        <f>VLOOKUP(A192,'[3]Calculated coal req (reg.)'!$A$2:$I$599,9,FALSE)</f>
        <v>7.75765546903967</v>
      </c>
      <c r="J192" s="2"/>
      <c r="K192" s="11">
        <v>0.64647128908663909</v>
      </c>
      <c r="L192" s="3">
        <f>VLOOKUP(F192,'Target PLF'!$A$2:$B$11,2,FALSE)</f>
        <v>0.75</v>
      </c>
      <c r="M192" s="3">
        <f t="shared" si="123"/>
        <v>0.10352871091336091</v>
      </c>
      <c r="N192" s="2" t="str">
        <f t="shared" si="102"/>
        <v>0.25</v>
      </c>
      <c r="O192" s="2">
        <f t="shared" si="155"/>
        <v>10.389433468139758</v>
      </c>
      <c r="P192" s="2">
        <f t="shared" si="103"/>
        <v>1896071.6079355057</v>
      </c>
      <c r="Q192" s="2">
        <f t="shared" si="104"/>
        <v>13.221189481690622</v>
      </c>
      <c r="R192" s="2">
        <f t="shared" si="105"/>
        <v>9</v>
      </c>
      <c r="S192" s="2">
        <f t="shared" si="106"/>
        <v>2129000.3650663579</v>
      </c>
      <c r="T192" s="2" t="str">
        <f>VLOOKUP(A192,'[4]CEA vs MERIT comp. &amp; NPA marker'!$C$2:$K$735,9,FALSE)</f>
        <v>Contracted</v>
      </c>
      <c r="U192" s="3">
        <f>VLOOKUP(B192,'[8]Import-Domestic share'!$A$208:$F$406,6,FALSE)</f>
        <v>1.6194662129857273E-2</v>
      </c>
      <c r="V192" s="3">
        <f t="shared" si="107"/>
        <v>30706.239064530728</v>
      </c>
      <c r="W192" s="2">
        <f t="shared" si="108"/>
        <v>2850.1282684144439</v>
      </c>
      <c r="X192" s="2">
        <f t="shared" si="109"/>
        <v>2884.3518786155264</v>
      </c>
      <c r="Y192" s="6">
        <f t="shared" si="110"/>
        <v>0.30174080567904649</v>
      </c>
      <c r="Z192" s="2">
        <f t="shared" si="111"/>
        <v>2172832.0156035786</v>
      </c>
      <c r="AA192" s="2">
        <f t="shared" si="112"/>
        <v>1895387.2984708885</v>
      </c>
      <c r="AB192" s="2" t="s">
        <v>598</v>
      </c>
      <c r="AC192" s="12">
        <f>VLOOKUP(B192,[9]Sheet1!$A$2:$B$137,2,FALSE)</f>
        <v>4308.9715608505721</v>
      </c>
      <c r="AD192" s="12">
        <f t="shared" si="113"/>
        <v>2154485.7804252859</v>
      </c>
      <c r="AE192" s="2"/>
      <c r="AF192" s="7">
        <f>VLOOKUP($B192,'[9]Subsidiary wise dispatch'!$A$3:$R$138,11,FALSE)*$H192*$O192*365</f>
        <v>0</v>
      </c>
      <c r="AG192" s="7">
        <f>VLOOKUP($B192,'[9]Subsidiary wise dispatch'!$A$3:$R$138,12,FALSE)*$H192*$O192*365</f>
        <v>21402.593173040128</v>
      </c>
      <c r="AH192" s="7">
        <f>VLOOKUP($B192,'[9]Subsidiary wise dispatch'!$A$3:$R$138,13,FALSE)*$H192*$O192*365</f>
        <v>535897.80790307303</v>
      </c>
      <c r="AI192" s="7">
        <f>VLOOKUP($B192,'[9]Subsidiary wise dispatch'!$A$3:$R$138,14,FALSE)*$H192*$O192*365</f>
        <v>1338442.8018863837</v>
      </c>
      <c r="AJ192" s="7">
        <f>VLOOKUP($B192,'[9]Subsidiary wise dispatch'!$A$3:$R$138,15,FALSE)*$H192*$O192*365</f>
        <v>328.40497300885733</v>
      </c>
      <c r="AK192" s="7">
        <f>VLOOKUP($B192,'[9]Subsidiary wise dispatch'!$A$3:$R$138,16,FALSE)*$H192*$O192*365</f>
        <v>0</v>
      </c>
      <c r="AL192" s="7">
        <f>VLOOKUP($B192,'[9]Subsidiary wise dispatch'!$A$3:$R$138,17,FALSE)*$H192*$O192*365</f>
        <v>0</v>
      </c>
      <c r="AM192" s="7">
        <f>VLOOKUP($B192,'[9]Subsidiary wise dispatch'!$A$3:$R$138,18,FALSE)*$H192*$O192*365</f>
        <v>0</v>
      </c>
      <c r="AN192" s="15">
        <f t="shared" si="114"/>
        <v>1896071.6079355057</v>
      </c>
      <c r="AO192" s="6">
        <v>5.6962700163683135E-2</v>
      </c>
      <c r="AP192" s="11">
        <f t="shared" si="115"/>
        <v>0.44189700245606339</v>
      </c>
      <c r="AQ192" s="11">
        <f t="shared" si="116"/>
        <v>0.51266430147314823</v>
      </c>
      <c r="AR192" s="3">
        <f>VLOOKUP(A192,[10]Sheet1!$A$2:$L$542,12,FALSE)</f>
        <v>2.9691264912280801</v>
      </c>
      <c r="AS192" s="3">
        <f t="shared" si="124"/>
        <v>2.7919550638925732</v>
      </c>
      <c r="AT192" s="3">
        <f t="shared" si="125"/>
        <v>2.788447143846962</v>
      </c>
      <c r="AU192" s="3">
        <f t="shared" si="117"/>
        <v>3.5079200456111792E-3</v>
      </c>
      <c r="AV192" s="88">
        <f t="shared" si="126"/>
        <v>7.5867909931529143E-2</v>
      </c>
      <c r="AW192" s="32">
        <f t="shared" si="127"/>
        <v>2.5917318950339014E-2</v>
      </c>
      <c r="AX192" s="12">
        <f t="shared" si="118"/>
        <v>790.55442968125158</v>
      </c>
      <c r="AY192" s="12">
        <f t="shared" si="119"/>
        <v>916.00488675372708</v>
      </c>
      <c r="AZ192" s="3">
        <f>VLOOKUP(A192,[5]Analysis!$A$3:$BJ$543,62,FALSE)</f>
        <v>0.97807166765061082</v>
      </c>
      <c r="BA192" s="2"/>
      <c r="BB192" s="2"/>
      <c r="BC192" s="2" t="str">
        <f>VLOOKUP(A192,'[6]FGD status - Jun 2020'!$I$2:$M$449,5,FALSE)</f>
        <v>Bid Awarded</v>
      </c>
      <c r="BD192" s="2"/>
      <c r="BE192" s="2"/>
      <c r="BF192" s="2">
        <f t="shared" si="120"/>
        <v>593.1788543914256</v>
      </c>
      <c r="BG192" s="2">
        <f t="shared" si="121"/>
        <v>680.00772551369869</v>
      </c>
      <c r="BH192" s="2"/>
      <c r="BI192" s="2"/>
      <c r="BK192">
        <f t="shared" si="122"/>
        <v>323.23564454331955</v>
      </c>
      <c r="BL192">
        <f>VLOOKUP(A192,'[11]Daily coal vs energy req.2'!$C$2:$P$599,14,FALSE)</f>
        <v>0.89</v>
      </c>
      <c r="BM192">
        <f>VLOOKUP(A192,'[11]Daily coal vs energy req.2'!$C$2:$R$599,16,FALSE)</f>
        <v>0.76</v>
      </c>
      <c r="BN192">
        <f t="shared" si="156"/>
        <v>445</v>
      </c>
      <c r="BO192">
        <f t="shared" si="157"/>
        <v>380</v>
      </c>
      <c r="BP192" s="2" t="str">
        <f>VLOOKUP(A192,'[7]Table 2'!$J$2:$N$449,5,FALSE)</f>
        <v>Bid Awarded</v>
      </c>
      <c r="BR192">
        <f t="shared" si="128"/>
        <v>798.80775485420622</v>
      </c>
      <c r="BS192">
        <f t="shared" si="129"/>
        <v>915.73635924430732</v>
      </c>
      <c r="BT192">
        <f>(X192*I192*365*[5]Analysis!BK192)/10^4</f>
        <v>410.63534015733086</v>
      </c>
      <c r="BU192">
        <f>(W192*R192*365*[5]Analysis!BK192)/10^4</f>
        <v>470.74369156738265</v>
      </c>
      <c r="BV192">
        <f>(X192*I192*365*[5]Analysis!BL192)/10^4</f>
        <v>388.17241469687531</v>
      </c>
      <c r="BW192">
        <f>(W192*R192*365*[5]Analysis!BL192)/10^4</f>
        <v>444.99266767692455</v>
      </c>
      <c r="BX192">
        <f t="shared" si="130"/>
        <v>2293520.3328920999</v>
      </c>
      <c r="BY192">
        <f t="shared" si="131"/>
        <v>2629243.3276123246</v>
      </c>
      <c r="BZ192">
        <f t="shared" si="132"/>
        <v>14346412.532214152</v>
      </c>
      <c r="CA192">
        <f t="shared" si="133"/>
        <v>16643909.143068839</v>
      </c>
      <c r="CB192">
        <f t="shared" si="134"/>
        <v>-540843.5944464663</v>
      </c>
      <c r="CC192">
        <f t="shared" si="135"/>
        <v>-727940.25</v>
      </c>
      <c r="CD192">
        <f t="shared" si="136"/>
        <v>0</v>
      </c>
      <c r="CE192">
        <f t="shared" si="137"/>
        <v>0</v>
      </c>
      <c r="CF192">
        <f t="shared" si="138"/>
        <v>5056001.5271860566</v>
      </c>
      <c r="CG192">
        <f t="shared" si="139"/>
        <v>5865691.5000000009</v>
      </c>
      <c r="CH192">
        <f t="shared" si="140"/>
        <v>1048495.2224230017</v>
      </c>
      <c r="CI192">
        <f t="shared" si="141"/>
        <v>1216405.7864476372</v>
      </c>
      <c r="CJ192">
        <f t="shared" si="142"/>
        <v>-2334666.4134074892</v>
      </c>
      <c r="CK192">
        <f t="shared" si="143"/>
        <v>-2708550.0000000005</v>
      </c>
      <c r="CL192">
        <f t="shared" si="144"/>
        <v>1249262.2694113993</v>
      </c>
      <c r="CM192">
        <f t="shared" si="145"/>
        <v>1449324.5374938548</v>
      </c>
    </row>
    <row r="193" spans="1:91" x14ac:dyDescent="0.2">
      <c r="A193" s="2" t="s">
        <v>118</v>
      </c>
      <c r="B193" s="2" t="str">
        <f t="shared" si="152"/>
        <v>SALAYA TPP</v>
      </c>
      <c r="C193" s="2" t="str">
        <f>VLOOKUP($A193,'[1]daily coal, energy reqd'!$C$2:$T$599,17,FALSE)</f>
        <v>Gujarat</v>
      </c>
      <c r="D193" s="2" t="str">
        <f>VLOOKUP(C193,'Target PLF'!$I$2:$J$19,2,FALSE)</f>
        <v>WR</v>
      </c>
      <c r="E193" s="2" t="str">
        <f>VLOOKUP(A193,[2]Ownership!$C$2:$D$666,2,FALSE)</f>
        <v>PVT SECTOR</v>
      </c>
      <c r="F193" s="2" t="s">
        <v>543</v>
      </c>
      <c r="G193" s="12">
        <v>7.9233401779603003</v>
      </c>
      <c r="H193" s="2">
        <v>600</v>
      </c>
      <c r="I193" s="2">
        <f>VLOOKUP(A193,'[3]Calculated coal req (reg.)'!$A$2:$I$599,9,FALSE)</f>
        <v>2.2594336917562701</v>
      </c>
      <c r="J193" s="2"/>
      <c r="K193" s="11">
        <v>0.15690511748307431</v>
      </c>
      <c r="L193" s="3">
        <f>VLOOKUP(F193,'Target PLF'!$A$2:$B$11,2,FALSE)</f>
        <v>0.85</v>
      </c>
      <c r="M193" s="3">
        <f t="shared" si="123"/>
        <v>0.69309488251692564</v>
      </c>
      <c r="N193" s="2" t="str">
        <f t="shared" si="102"/>
        <v>0.15</v>
      </c>
      <c r="O193" s="2">
        <f t="shared" si="155"/>
        <v>1.8691211212141503</v>
      </c>
      <c r="P193" s="2">
        <f t="shared" si="103"/>
        <v>409337.52554589888</v>
      </c>
      <c r="Q193" s="2">
        <f t="shared" si="104"/>
        <v>11.512358150136892</v>
      </c>
      <c r="R193" s="2">
        <f t="shared" si="105"/>
        <v>12.24</v>
      </c>
      <c r="S193" s="2">
        <f t="shared" si="106"/>
        <v>2521206.4348799791</v>
      </c>
      <c r="T193" s="2" t="str">
        <f>VLOOKUP(A193,'[4]CEA vs MERIT comp. &amp; NPA marker'!$C$2:$K$735,9,FALSE)</f>
        <v>Contracted</v>
      </c>
      <c r="U193" s="3">
        <f>VLOOKUP(B193,'[8]Import-Domestic share'!$A$208:$F$406,6,FALSE)</f>
        <v>1</v>
      </c>
      <c r="V193" s="3">
        <f t="shared" si="107"/>
        <v>409337.52554589888</v>
      </c>
      <c r="W193" s="2">
        <f t="shared" si="108"/>
        <v>2867.3752737932928</v>
      </c>
      <c r="X193" s="2">
        <f t="shared" si="109"/>
        <v>3096.4924808207716</v>
      </c>
      <c r="Y193" s="6">
        <f t="shared" si="110"/>
        <v>0.29992586176635799</v>
      </c>
      <c r="Z193" s="2">
        <f t="shared" si="111"/>
        <v>2988867.4225849081</v>
      </c>
      <c r="AA193" s="2">
        <f t="shared" si="112"/>
        <v>595813.48452269915</v>
      </c>
      <c r="AB193" s="2" t="s">
        <v>598</v>
      </c>
      <c r="AC193" s="12"/>
      <c r="AD193" s="12">
        <f t="shared" si="113"/>
        <v>0</v>
      </c>
      <c r="AE193" s="2"/>
      <c r="AF193" s="7"/>
      <c r="AG193" s="7"/>
      <c r="AH193" s="7"/>
      <c r="AI193" s="7"/>
      <c r="AJ193" s="7"/>
      <c r="AK193" s="7"/>
      <c r="AL193" s="7"/>
      <c r="AM193" s="7"/>
      <c r="AN193" s="15">
        <f t="shared" si="114"/>
        <v>0</v>
      </c>
      <c r="AO193" s="6">
        <v>5.2816503866712272E-2</v>
      </c>
      <c r="AP193" s="11">
        <f t="shared" si="115"/>
        <v>0.11933538831722502</v>
      </c>
      <c r="AQ193" s="11">
        <f t="shared" si="116"/>
        <v>0.6464740073285582</v>
      </c>
      <c r="AR193" s="3">
        <f>VLOOKUP(A193,[10]Sheet1!$A$2:$L$542,12,FALSE)</f>
        <v>2.1756250000000001</v>
      </c>
      <c r="AS193" s="3">
        <f t="shared" si="124"/>
        <v>3.1274115462253218</v>
      </c>
      <c r="AT193" s="3">
        <f t="shared" si="125"/>
        <v>3.103927032505005</v>
      </c>
      <c r="AU193" s="3">
        <f t="shared" si="117"/>
        <v>2.3484513720316791E-2</v>
      </c>
      <c r="AV193" s="88">
        <f t="shared" si="126"/>
        <v>0.50791379180605345</v>
      </c>
      <c r="AW193" s="32">
        <f t="shared" si="127"/>
        <v>0.15489783513475422</v>
      </c>
      <c r="AX193" s="12">
        <f t="shared" si="118"/>
        <v>257.91553406681084</v>
      </c>
      <c r="AY193" s="12">
        <f t="shared" si="119"/>
        <v>1386.7104410419361</v>
      </c>
      <c r="AZ193" s="3">
        <f>VLOOKUP(A193,[5]Analysis!$A$3:$BJ$543,62,FALSE)</f>
        <v>1.2224735304310752</v>
      </c>
      <c r="BA193" s="2"/>
      <c r="BB193" s="2"/>
      <c r="BC193" s="2" t="str">
        <f>VLOOKUP(A193,'[6]FGD status - Jun 2020'!$I$2:$M$449,5,FALSE)</f>
        <v>Feasibility study under process</v>
      </c>
      <c r="BD193" s="2"/>
      <c r="BE193" s="2"/>
      <c r="BF193" s="2">
        <f t="shared" si="120"/>
        <v>311.67003375382387</v>
      </c>
      <c r="BG193" s="2">
        <f t="shared" si="121"/>
        <v>1563.4765487541654</v>
      </c>
      <c r="BH193" s="2"/>
      <c r="BI193" s="2"/>
      <c r="BK193">
        <f t="shared" si="122"/>
        <v>94.14307048984459</v>
      </c>
      <c r="BL193">
        <f>VLOOKUP(A193,'[11]Daily coal vs energy req.2'!$C$2:$P$599,14,FALSE)</f>
        <v>0.56999999999999995</v>
      </c>
      <c r="BM193">
        <f>VLOOKUP(A193,'[11]Daily coal vs energy req.2'!$C$2:$R$599,16,FALSE)</f>
        <v>0.5</v>
      </c>
      <c r="BN193">
        <f t="shared" si="156"/>
        <v>341.99999999999994</v>
      </c>
      <c r="BO193">
        <f t="shared" si="157"/>
        <v>300</v>
      </c>
      <c r="BP193" s="2" t="str">
        <f>VLOOKUP(A193,'[7]Table 2'!$J$2:$N$449,5,FALSE)</f>
        <v>Tender specification made</v>
      </c>
      <c r="BR193">
        <f t="shared" si="128"/>
        <v>312.177759278785</v>
      </c>
      <c r="BS193">
        <f t="shared" si="129"/>
        <v>1566.0235274993454</v>
      </c>
      <c r="BT193">
        <f>(X193*I193*365*[5]Analysis!BK193)/10^4</f>
        <v>312.177759278785</v>
      </c>
      <c r="BU193">
        <f>(W193*R193*365*[5]Analysis!BK193)/10^4</f>
        <v>1566.0235274993454</v>
      </c>
      <c r="BV193">
        <f>(X193*I193*365*[5]Analysis!BL193)/10^4</f>
        <v>0</v>
      </c>
      <c r="BW193">
        <f>(W193*R193*365*[5]Analysis!BL193)/10^4</f>
        <v>0</v>
      </c>
      <c r="BX193">
        <f t="shared" si="130"/>
        <v>717122.74233723176</v>
      </c>
      <c r="BY193">
        <f t="shared" si="131"/>
        <v>3597409.0185010652</v>
      </c>
      <c r="BZ193">
        <f t="shared" si="132"/>
        <v>5222533.2436967473</v>
      </c>
      <c r="CA193">
        <f t="shared" si="133"/>
        <v>28291959.678250115</v>
      </c>
      <c r="CB193">
        <f t="shared" si="134"/>
        <v>-38232.14543253577</v>
      </c>
      <c r="CC193">
        <f t="shared" si="135"/>
        <v>-1121998.5720000002</v>
      </c>
      <c r="CD193">
        <f t="shared" si="136"/>
        <v>-833831.35111397761</v>
      </c>
      <c r="CE193">
        <f t="shared" si="137"/>
        <v>-4517103.4560000002</v>
      </c>
      <c r="CF193">
        <f t="shared" si="138"/>
        <v>1472571.2222831526</v>
      </c>
      <c r="CG193">
        <f t="shared" si="139"/>
        <v>7977340.4400000004</v>
      </c>
      <c r="CH193">
        <f t="shared" si="140"/>
        <v>132557.29712291117</v>
      </c>
      <c r="CI193">
        <f t="shared" si="141"/>
        <v>718100.87753593409</v>
      </c>
      <c r="CJ193">
        <f t="shared" si="142"/>
        <v>-815971.88344085938</v>
      </c>
      <c r="CK193">
        <f t="shared" si="143"/>
        <v>-4420353.6000000006</v>
      </c>
      <c r="CL193">
        <f t="shared" si="144"/>
        <v>337366.39352988108</v>
      </c>
      <c r="CM193">
        <f t="shared" si="145"/>
        <v>1827610.4635741566</v>
      </c>
    </row>
    <row r="194" spans="1:91" x14ac:dyDescent="0.2">
      <c r="A194" s="2" t="s">
        <v>121</v>
      </c>
      <c r="B194" s="2" t="str">
        <f t="shared" si="152"/>
        <v>UDUPI TPP</v>
      </c>
      <c r="C194" s="2" t="str">
        <f>VLOOKUP($A194,'[1]daily coal, energy reqd'!$C$2:$T$599,17,FALSE)</f>
        <v>Karnataka</v>
      </c>
      <c r="D194" s="2" t="str">
        <f>VLOOKUP(C194,'Target PLF'!$I$2:$J$19,2,FALSE)</f>
        <v>SR</v>
      </c>
      <c r="E194" s="2" t="str">
        <f>VLOOKUP(A194,[2]Ownership!$C$2:$D$666,2,FALSE)</f>
        <v>PVT SECTOR</v>
      </c>
      <c r="F194" s="2" t="s">
        <v>543</v>
      </c>
      <c r="G194" s="12">
        <v>8.1752224503764506</v>
      </c>
      <c r="H194" s="2">
        <v>600</v>
      </c>
      <c r="I194" s="2">
        <f>VLOOKUP(A194,'[3]Calculated coal req (reg.)'!$A$2:$I$599,9,FALSE)</f>
        <v>5.9819780399738596</v>
      </c>
      <c r="J194" s="2"/>
      <c r="K194" s="11">
        <v>0.41541514166485133</v>
      </c>
      <c r="L194" s="3">
        <f>VLOOKUP(F194,'Target PLF'!$A$2:$B$11,2,FALSE)</f>
        <v>0.85</v>
      </c>
      <c r="M194" s="3">
        <f t="shared" si="123"/>
        <v>0.43458485833514865</v>
      </c>
      <c r="N194" s="2" t="str">
        <f t="shared" si="102"/>
        <v>0.15</v>
      </c>
      <c r="O194" s="2">
        <f t="shared" si="155"/>
        <v>5.4738270116412506</v>
      </c>
      <c r="P194" s="2">
        <f t="shared" si="103"/>
        <v>1198768.115549434</v>
      </c>
      <c r="Q194" s="2">
        <f t="shared" si="104"/>
        <v>11.520336521115674</v>
      </c>
      <c r="R194" s="2">
        <f t="shared" si="105"/>
        <v>12.24</v>
      </c>
      <c r="S194" s="2">
        <f t="shared" si="106"/>
        <v>2522953.6981243328</v>
      </c>
      <c r="T194" s="2" t="str">
        <f>VLOOKUP(A194,'[4]CEA vs MERIT comp. &amp; NPA marker'!$C$2:$K$735,9,FALSE)</f>
        <v>Contracted</v>
      </c>
      <c r="U194" s="3">
        <f>VLOOKUP(B194,'[8]Import-Domestic share'!$A$208:$F$406,6,FALSE)</f>
        <v>1</v>
      </c>
      <c r="V194" s="3">
        <f t="shared" si="107"/>
        <v>1198768.115549434</v>
      </c>
      <c r="W194" s="2">
        <f t="shared" si="108"/>
        <v>2869.299789615332</v>
      </c>
      <c r="X194" s="2">
        <f t="shared" si="109"/>
        <v>3012.961027737012</v>
      </c>
      <c r="Y194" s="6">
        <f t="shared" si="110"/>
        <v>0.2997246934992786</v>
      </c>
      <c r="Z194" s="2">
        <f t="shared" si="111"/>
        <v>2990873.4811211992</v>
      </c>
      <c r="AA194" s="2">
        <f t="shared" si="112"/>
        <v>1534896.2544739279</v>
      </c>
      <c r="AB194" s="2" t="s">
        <v>598</v>
      </c>
      <c r="AC194" s="12"/>
      <c r="AD194" s="12">
        <f t="shared" si="113"/>
        <v>0</v>
      </c>
      <c r="AE194" s="2"/>
      <c r="AF194" s="7"/>
      <c r="AG194" s="7"/>
      <c r="AH194" s="7"/>
      <c r="AI194" s="7"/>
      <c r="AJ194" s="7"/>
      <c r="AK194" s="7"/>
      <c r="AL194" s="7"/>
      <c r="AM194" s="7"/>
      <c r="AN194" s="15">
        <f t="shared" si="114"/>
        <v>0</v>
      </c>
      <c r="AO194" s="6">
        <v>6.0725940133071567E-2</v>
      </c>
      <c r="AP194" s="11">
        <f t="shared" si="115"/>
        <v>0.36326124033280138</v>
      </c>
      <c r="AQ194" s="11">
        <f t="shared" si="116"/>
        <v>0.74328550722879594</v>
      </c>
      <c r="AR194" s="3">
        <f>VLOOKUP(A194,[10]Sheet1!$A$2:$L$542,12,FALSE)</f>
        <v>3.48586474501105</v>
      </c>
      <c r="AS194" s="3">
        <f t="shared" si="124"/>
        <v>3.1430749589105353</v>
      </c>
      <c r="AT194" s="3">
        <f t="shared" si="125"/>
        <v>3.128349682003063</v>
      </c>
      <c r="AU194" s="3">
        <f t="shared" si="117"/>
        <v>1.4725276907472384E-2</v>
      </c>
      <c r="AV194" s="88">
        <f t="shared" si="126"/>
        <v>0.31847247588516364</v>
      </c>
      <c r="AW194" s="32">
        <f t="shared" si="127"/>
        <v>9.6640138383138424E-2</v>
      </c>
      <c r="AX194" s="12">
        <f t="shared" si="118"/>
        <v>686.26589645010154</v>
      </c>
      <c r="AY194" s="12">
        <f t="shared" si="119"/>
        <v>1397.6215039316885</v>
      </c>
      <c r="AZ194" s="3">
        <f>VLOOKUP(A194,[5]Analysis!$A$3:$BJ$543,62,FALSE)</f>
        <v>1.2224735304310752</v>
      </c>
      <c r="BA194" s="2"/>
      <c r="BB194" s="2"/>
      <c r="BC194" s="2" t="str">
        <f>VLOOKUP(A194,'[6]FGD status - Jun 2020'!$I$2:$M$449,5,FALSE)</f>
        <v>NIT issued</v>
      </c>
      <c r="BD194" s="2"/>
      <c r="BE194" s="2"/>
      <c r="BF194" s="2">
        <f t="shared" si="120"/>
        <v>802.90423071531177</v>
      </c>
      <c r="BG194" s="2">
        <f t="shared" si="121"/>
        <v>1564.5259179744994</v>
      </c>
      <c r="BH194" s="2"/>
      <c r="BI194" s="2"/>
      <c r="BK194">
        <f t="shared" si="122"/>
        <v>249.2490849989108</v>
      </c>
      <c r="BL194">
        <f>VLOOKUP(A194,'[11]Daily coal vs energy req.2'!$C$2:$P$599,14,FALSE)</f>
        <v>0.81</v>
      </c>
      <c r="BM194">
        <f>VLOOKUP(A194,'[11]Daily coal vs energy req.2'!$C$2:$R$599,16,FALSE)</f>
        <v>1.1100000000000001</v>
      </c>
      <c r="BN194">
        <f t="shared" si="156"/>
        <v>486.00000000000006</v>
      </c>
      <c r="BO194">
        <f t="shared" si="157"/>
        <v>666.00000000000011</v>
      </c>
      <c r="BP194" s="2" t="str">
        <f>VLOOKUP(A194,'[7]Table 2'!$J$2:$N$449,5,FALSE)</f>
        <v>NIT issued</v>
      </c>
      <c r="BR194">
        <f t="shared" si="128"/>
        <v>804.21220045216296</v>
      </c>
      <c r="BS194">
        <f t="shared" si="129"/>
        <v>1567.0746061927775</v>
      </c>
      <c r="BT194">
        <f>(X194*I194*365*[5]Analysis!BK194)/10^4</f>
        <v>804.21220045216296</v>
      </c>
      <c r="BU194">
        <f>(W194*R194*365*[5]Analysis!BK194)/10^4</f>
        <v>1567.0746061927775</v>
      </c>
      <c r="BV194">
        <f>(X194*I194*365*[5]Analysis!BL194)/10^4</f>
        <v>0</v>
      </c>
      <c r="BW194">
        <f>(W194*R194*365*[5]Analysis!BL194)/10^4</f>
        <v>0</v>
      </c>
      <c r="BX194">
        <f t="shared" si="130"/>
        <v>1847405.3370800377</v>
      </c>
      <c r="BY194">
        <f t="shared" si="131"/>
        <v>3599823.5160513953</v>
      </c>
      <c r="BZ194">
        <f t="shared" si="132"/>
        <v>13826951.103195922</v>
      </c>
      <c r="CA194">
        <f t="shared" si="133"/>
        <v>28291959.678250115</v>
      </c>
      <c r="CB194">
        <f t="shared" si="134"/>
        <v>-267990.31386245007</v>
      </c>
      <c r="CC194">
        <f t="shared" si="135"/>
        <v>-1121998.5720000002</v>
      </c>
      <c r="CD194">
        <f t="shared" si="136"/>
        <v>-2207615.496575329</v>
      </c>
      <c r="CE194">
        <f t="shared" si="137"/>
        <v>-4517103.4560000002</v>
      </c>
      <c r="CF194">
        <f t="shared" si="138"/>
        <v>3898715.3046957036</v>
      </c>
      <c r="CG194">
        <f t="shared" si="139"/>
        <v>7977340.4400000004</v>
      </c>
      <c r="CH194">
        <f t="shared" si="140"/>
        <v>362109.67666365899</v>
      </c>
      <c r="CI194">
        <f t="shared" si="141"/>
        <v>740929.23991786409</v>
      </c>
      <c r="CJ194">
        <f t="shared" si="142"/>
        <v>-2160331.5493561598</v>
      </c>
      <c r="CK194">
        <f t="shared" si="143"/>
        <v>-4420353.6000000006</v>
      </c>
      <c r="CL194">
        <f t="shared" si="144"/>
        <v>1026955.5099154041</v>
      </c>
      <c r="CM194">
        <f t="shared" si="145"/>
        <v>2101300.833498124</v>
      </c>
    </row>
    <row r="195" spans="1:91" x14ac:dyDescent="0.2">
      <c r="A195" s="2" t="s">
        <v>120</v>
      </c>
      <c r="B195" s="2" t="str">
        <f t="shared" si="152"/>
        <v>UDUPI TPP</v>
      </c>
      <c r="C195" s="2" t="str">
        <f>VLOOKUP($A195,'[1]daily coal, energy reqd'!$C$2:$T$599,17,FALSE)</f>
        <v>Karnataka</v>
      </c>
      <c r="D195" s="2" t="str">
        <f>VLOOKUP(C195,'Target PLF'!$I$2:$J$19,2,FALSE)</f>
        <v>SR</v>
      </c>
      <c r="E195" s="2" t="str">
        <f>VLOOKUP(A195,[2]Ownership!$C$2:$D$666,2,FALSE)</f>
        <v>PVT SECTOR</v>
      </c>
      <c r="F195" s="2" t="s">
        <v>543</v>
      </c>
      <c r="G195" s="12">
        <v>8.1752224503764506</v>
      </c>
      <c r="H195" s="2">
        <v>600</v>
      </c>
      <c r="I195" s="2">
        <f>VLOOKUP(A195,'[3]Calculated coal req (reg.)'!$A$2:$I$599,9,FALSE)</f>
        <v>6.6632286342849998</v>
      </c>
      <c r="J195" s="2"/>
      <c r="K195" s="11">
        <v>0.46272421071423614</v>
      </c>
      <c r="L195" s="3">
        <f>VLOOKUP(F195,'Target PLF'!$A$2:$B$11,2,FALSE)</f>
        <v>0.85</v>
      </c>
      <c r="M195" s="3">
        <f t="shared" si="123"/>
        <v>0.38727578928576384</v>
      </c>
      <c r="N195" s="2" t="str">
        <f t="shared" ref="N195:N258" si="158">IF(L195&gt;0.75,"0.15","0.25")</f>
        <v>0.15</v>
      </c>
      <c r="O195" s="2">
        <f t="shared" si="155"/>
        <v>6.1320522820460566</v>
      </c>
      <c r="P195" s="2">
        <f t="shared" ref="P195:P258" si="159">(O195*H195*365)</f>
        <v>1342919.4497680864</v>
      </c>
      <c r="Q195" s="2">
        <f t="shared" ref="Q195:Q258" si="160">(13.9133*0.85)+(-0.289097*N195)+(-0.0052079*H195)+(0.031675*G195)+3.492937+IF(E195="Pvt Sector",-0.8897511,0)</f>
        <v>11.520336521115674</v>
      </c>
      <c r="R195" s="2">
        <f t="shared" ref="R195:R258" si="161">(H195*24*L195)/1000</f>
        <v>12.24</v>
      </c>
      <c r="S195" s="2">
        <f t="shared" ref="S195:S258" si="162">(H195*L195*Q195*365)/0.85</f>
        <v>2522953.6981243328</v>
      </c>
      <c r="T195" s="2" t="str">
        <f>VLOOKUP(A195,'[4]CEA vs MERIT comp. &amp; NPA marker'!$C$2:$K$735,9,FALSE)</f>
        <v>Contracted</v>
      </c>
      <c r="U195" s="3">
        <f>VLOOKUP(B195,'[8]Import-Domestic share'!$A$208:$F$406,6,FALSE)</f>
        <v>1</v>
      </c>
      <c r="V195" s="3">
        <f t="shared" ref="V195:V258" si="163">(U195*O195*H195*365)</f>
        <v>1342919.4497680864</v>
      </c>
      <c r="W195" s="2">
        <f t="shared" ref="W195:W258" si="164">3417.812+(7.640537*G195)+(-0.9257423*H195)+(-330.5712*L195)+(225.4556*U195)</f>
        <v>2869.299789615332</v>
      </c>
      <c r="X195" s="2">
        <f t="shared" ref="X195:X258" si="165">3417.812+(7.640537*G195)+(-0.9257423*H195)+(-330.5712*K195)+(225.4556*U195)</f>
        <v>2997.3220120104743</v>
      </c>
      <c r="Y195" s="6">
        <f t="shared" ref="Y195:Y258" si="166">860/W195</f>
        <v>0.2997246934992786</v>
      </c>
      <c r="Z195" s="2">
        <f t="shared" ref="Z195:Z258" si="167">(W195*R195*365*10^6)/((IF(AC195,AC195,4286)*1000))</f>
        <v>2990873.4811211992</v>
      </c>
      <c r="AA195" s="2">
        <f t="shared" ref="AA195:AA258" si="168">(X195*I195*365*10^6)/((IF(AC195,AC195,4286))*1000)</f>
        <v>1700821.809999845</v>
      </c>
      <c r="AB195" s="2" t="s">
        <v>598</v>
      </c>
      <c r="AC195" s="12"/>
      <c r="AD195" s="12">
        <f t="shared" ref="AD195:AD258" si="169">AC195*H195</f>
        <v>0</v>
      </c>
      <c r="AE195" s="2"/>
      <c r="AF195" s="7"/>
      <c r="AG195" s="7"/>
      <c r="AH195" s="7"/>
      <c r="AI195" s="7"/>
      <c r="AJ195" s="7"/>
      <c r="AK195" s="7"/>
      <c r="AL195" s="7"/>
      <c r="AM195" s="7"/>
      <c r="AN195" s="15">
        <f t="shared" ref="AN195:AN258" si="170">SUM(AF195:AM195)</f>
        <v>0</v>
      </c>
      <c r="AO195" s="6">
        <v>6.0725940133071567E-2</v>
      </c>
      <c r="AP195" s="11">
        <f t="shared" ref="AP195:AP258" si="171">AO195*I195</f>
        <v>0.40463082313855914</v>
      </c>
      <c r="AQ195" s="11">
        <f t="shared" ref="AQ195:AQ258" si="172">AO195*R195</f>
        <v>0.74328550722879594</v>
      </c>
      <c r="AR195" s="3">
        <f>VLOOKUP(A195,[10]Sheet1!$A$2:$L$542,12,FALSE)</f>
        <v>3.48586474501105</v>
      </c>
      <c r="AS195" s="3">
        <f t="shared" si="124"/>
        <v>3.1414719597985652</v>
      </c>
      <c r="AT195" s="3">
        <f t="shared" si="125"/>
        <v>3.128349682003063</v>
      </c>
      <c r="AU195" s="3">
        <f t="shared" ref="AU195:AU258" si="173">AS195-AT195</f>
        <v>1.3122277795502235E-2</v>
      </c>
      <c r="AV195" s="88">
        <f t="shared" si="126"/>
        <v>0.28380344390439349</v>
      </c>
      <c r="AW195" s="32">
        <f t="shared" si="127"/>
        <v>8.6163801419461866E-2</v>
      </c>
      <c r="AX195" s="12">
        <f t="shared" ref="AX195:AX258" si="174">(AS195*I195*365)/10</f>
        <v>764.03062594616244</v>
      </c>
      <c r="AY195" s="12">
        <f t="shared" ref="AY195:AY258" si="175">(AT195*R195*365)/10</f>
        <v>1397.6215039316885</v>
      </c>
      <c r="AZ195" s="3">
        <f>VLOOKUP(A195,[5]Analysis!$A$3:$BJ$543,62,FALSE)</f>
        <v>1.2224735304310752</v>
      </c>
      <c r="BA195" s="2"/>
      <c r="BB195" s="2"/>
      <c r="BC195" s="2" t="str">
        <f>VLOOKUP(A195,'[6]FGD status - Jun 2020'!$I$2:$M$449,5,FALSE)</f>
        <v>NIT issued</v>
      </c>
      <c r="BD195" s="2"/>
      <c r="BE195" s="2"/>
      <c r="BF195" s="2">
        <f t="shared" ref="BF195:BF258" si="176">((AA195*(1-U195)*3095)+(AA195*U195*5231))/10^7</f>
        <v>889.69988881091899</v>
      </c>
      <c r="BG195" s="2">
        <f t="shared" ref="BG195:BG258" si="177">((Z195*(1-U195)*3095)+(Z195*U195*5231))/10^7</f>
        <v>1564.5259179744994</v>
      </c>
      <c r="BH195" s="2"/>
      <c r="BI195" s="2"/>
      <c r="BK195">
        <f t="shared" ref="BK195:BK258" si="178">K195*H195</f>
        <v>277.63452642854168</v>
      </c>
      <c r="BL195">
        <f>VLOOKUP(A195,'[11]Daily coal vs energy req.2'!$C$2:$P$599,14,FALSE)</f>
        <v>0.98</v>
      </c>
      <c r="BM195">
        <f>VLOOKUP(A195,'[11]Daily coal vs energy req.2'!$C$2:$R$599,16,FALSE)</f>
        <v>1.18</v>
      </c>
      <c r="BN195">
        <f t="shared" si="156"/>
        <v>588</v>
      </c>
      <c r="BO195">
        <f t="shared" si="157"/>
        <v>708</v>
      </c>
      <c r="BP195" s="2" t="str">
        <f>VLOOKUP(A195,'[7]Table 2'!$J$2:$N$449,5,FALSE)</f>
        <v>NIT issued</v>
      </c>
      <c r="BR195">
        <f t="shared" si="128"/>
        <v>891.14925286322659</v>
      </c>
      <c r="BS195">
        <f t="shared" si="129"/>
        <v>1567.0746061927775</v>
      </c>
      <c r="BT195">
        <f>(X195*I195*365*[5]Analysis!BK195)/10^4</f>
        <v>891.14925286322659</v>
      </c>
      <c r="BU195">
        <f>(W195*R195*365*[5]Analysis!BK195)/10^4</f>
        <v>1567.0746061927775</v>
      </c>
      <c r="BV195">
        <f>(X195*I195*365*[5]Analysis!BL195)/10^4</f>
        <v>0</v>
      </c>
      <c r="BW195">
        <f>(W195*R195*365*[5]Analysis!BL195)/10^4</f>
        <v>0</v>
      </c>
      <c r="BX195">
        <f t="shared" si="130"/>
        <v>2047113.7903015944</v>
      </c>
      <c r="BY195">
        <f t="shared" si="131"/>
        <v>3599823.5160513953</v>
      </c>
      <c r="BZ195">
        <f t="shared" si="132"/>
        <v>15401617.307855619</v>
      </c>
      <c r="CA195">
        <f t="shared" si="133"/>
        <v>28291959.678250115</v>
      </c>
      <c r="CB195">
        <f t="shared" si="134"/>
        <v>-332505.55050360115</v>
      </c>
      <c r="CC195">
        <f t="shared" si="135"/>
        <v>-1121998.5720000002</v>
      </c>
      <c r="CD195">
        <f t="shared" si="136"/>
        <v>-2459027.2134025269</v>
      </c>
      <c r="CE195">
        <f t="shared" si="137"/>
        <v>-4517103.4560000002</v>
      </c>
      <c r="CF195">
        <f t="shared" si="138"/>
        <v>4342715.9514091257</v>
      </c>
      <c r="CG195">
        <f t="shared" si="139"/>
        <v>7977340.4400000004</v>
      </c>
      <c r="CH195">
        <f t="shared" si="140"/>
        <v>403348.11498363822</v>
      </c>
      <c r="CI195">
        <f t="shared" si="141"/>
        <v>740929.23991786409</v>
      </c>
      <c r="CJ195">
        <f t="shared" si="142"/>
        <v>-2406358.3889856851</v>
      </c>
      <c r="CK195">
        <f t="shared" si="143"/>
        <v>-4420353.6000000006</v>
      </c>
      <c r="CL195">
        <f t="shared" si="144"/>
        <v>1143909.1407689245</v>
      </c>
      <c r="CM195">
        <f t="shared" si="145"/>
        <v>2101300.833498124</v>
      </c>
    </row>
    <row r="196" spans="1:91" x14ac:dyDescent="0.2">
      <c r="A196" s="2" t="s">
        <v>187</v>
      </c>
      <c r="B196" s="2" t="str">
        <f t="shared" si="152"/>
        <v>KAMALANGA TPS</v>
      </c>
      <c r="C196" s="2" t="str">
        <f>VLOOKUP($A196,'[1]daily coal, energy reqd'!$C$2:$T$599,17,FALSE)</f>
        <v>Odisha</v>
      </c>
      <c r="D196" s="2" t="str">
        <f>VLOOKUP(C196,'Target PLF'!$I$2:$J$19,2,FALSE)</f>
        <v>ER</v>
      </c>
      <c r="E196" s="2" t="str">
        <f>VLOOKUP(A196,[2]Ownership!$C$2:$D$666,2,FALSE)</f>
        <v>PVT SECTOR</v>
      </c>
      <c r="F196" s="2" t="s">
        <v>543</v>
      </c>
      <c r="G196" s="12">
        <v>6.1765913757700197</v>
      </c>
      <c r="H196" s="2">
        <v>350</v>
      </c>
      <c r="I196" s="2">
        <f>VLOOKUP(A196,'[3]Calculated coal req (reg.)'!$A$2:$I$599,9,FALSE)</f>
        <v>5.6103804182493198</v>
      </c>
      <c r="J196" s="2"/>
      <c r="K196" s="11">
        <v>0.6679024307439666</v>
      </c>
      <c r="L196" s="3">
        <f>VLOOKUP(F196,'Target PLF'!$A$2:$B$11,2,FALSE)</f>
        <v>0.85</v>
      </c>
      <c r="M196" s="3">
        <f t="shared" ref="M196:M259" si="179">L196-K196</f>
        <v>0.18209756925603338</v>
      </c>
      <c r="N196" s="2" t="str">
        <f t="shared" si="158"/>
        <v>0.15</v>
      </c>
      <c r="O196" s="2">
        <f t="shared" si="155"/>
        <v>10.225426771497546</v>
      </c>
      <c r="P196" s="2">
        <f t="shared" si="159"/>
        <v>1306298.2700588114</v>
      </c>
      <c r="Q196" s="2">
        <f t="shared" si="160"/>
        <v>12.759004881827515</v>
      </c>
      <c r="R196" s="2">
        <f t="shared" si="161"/>
        <v>7.14</v>
      </c>
      <c r="S196" s="2">
        <f t="shared" si="162"/>
        <v>1629962.873653465</v>
      </c>
      <c r="T196" s="2" t="str">
        <f>VLOOKUP(A196,'[4]CEA vs MERIT comp. &amp; NPA marker'!$C$2:$K$735,9,FALSE)</f>
        <v>Not contracted</v>
      </c>
      <c r="U196" s="3">
        <f>VLOOKUP(B196,'[8]Import-Domestic share'!$A$208:$F$406,6,FALSE)</f>
        <v>4.5917342400273363E-2</v>
      </c>
      <c r="V196" s="3">
        <f t="shared" si="163"/>
        <v>59981.744943175203</v>
      </c>
      <c r="W196" s="2">
        <f t="shared" si="164"/>
        <v>2870.3614719217107</v>
      </c>
      <c r="X196" s="2">
        <f t="shared" si="165"/>
        <v>2930.5576839077607</v>
      </c>
      <c r="Y196" s="6">
        <f t="shared" si="166"/>
        <v>0.29961383206005371</v>
      </c>
      <c r="Z196" s="2">
        <f t="shared" si="167"/>
        <v>2000751.73549106</v>
      </c>
      <c r="AA196" s="2">
        <f t="shared" si="168"/>
        <v>1605095.8907055906</v>
      </c>
      <c r="AB196" s="2" t="s">
        <v>598</v>
      </c>
      <c r="AC196" s="12">
        <f>VLOOKUP(B196,[9]Sheet1!$A$2:$B$137,2,FALSE)</f>
        <v>3738.8192144385098</v>
      </c>
      <c r="AD196" s="12">
        <f t="shared" si="169"/>
        <v>1308586.7250534785</v>
      </c>
      <c r="AE196" s="2"/>
      <c r="AF196" s="7">
        <f>VLOOKUP($B196,'[9]Subsidiary wise dispatch'!$A$3:$R$138,11,FALSE)*$H196*$O196*365</f>
        <v>0</v>
      </c>
      <c r="AG196" s="7">
        <f>VLOOKUP($B196,'[9]Subsidiary wise dispatch'!$A$3:$R$138,12,FALSE)*$H196*$O196*365</f>
        <v>0</v>
      </c>
      <c r="AH196" s="7">
        <f>VLOOKUP($B196,'[9]Subsidiary wise dispatch'!$A$3:$R$138,13,FALSE)*$H196*$O196*365</f>
        <v>0</v>
      </c>
      <c r="AI196" s="7">
        <f>VLOOKUP($B196,'[9]Subsidiary wise dispatch'!$A$3:$R$138,14,FALSE)*$H196*$O196*365</f>
        <v>1306298.2700588114</v>
      </c>
      <c r="AJ196" s="7">
        <f>VLOOKUP($B196,'[9]Subsidiary wise dispatch'!$A$3:$R$138,15,FALSE)*$H196*$O196*365</f>
        <v>0</v>
      </c>
      <c r="AK196" s="7">
        <f>VLOOKUP($B196,'[9]Subsidiary wise dispatch'!$A$3:$R$138,16,FALSE)*$H196*$O196*365</f>
        <v>0</v>
      </c>
      <c r="AL196" s="7">
        <f>VLOOKUP($B196,'[9]Subsidiary wise dispatch'!$A$3:$R$138,17,FALSE)*$H196*$O196*365</f>
        <v>0</v>
      </c>
      <c r="AM196" s="7">
        <f>VLOOKUP($B196,'[9]Subsidiary wise dispatch'!$A$3:$R$138,18,FALSE)*$H196*$O196*365</f>
        <v>0</v>
      </c>
      <c r="AN196" s="15">
        <f t="shared" si="170"/>
        <v>1306298.2700588114</v>
      </c>
      <c r="AO196" s="6">
        <v>7.5971148628802138E-2</v>
      </c>
      <c r="AP196" s="11">
        <f t="shared" si="171"/>
        <v>0.42622704461894018</v>
      </c>
      <c r="AQ196" s="11">
        <f t="shared" si="172"/>
        <v>0.54243400120964724</v>
      </c>
      <c r="AR196" s="3">
        <f>VLOOKUP(A196,[10]Sheet1!$A$2:$L$542,12,FALSE)</f>
        <v>1.4229028168281801</v>
      </c>
      <c r="AS196" s="3">
        <f t="shared" ref="AS196:AS259" si="180">0.6517435+(0.0001025*X196)+(1.890785*AZ196)+(0.0074045*G196 )+(-0.0006019*H196)+(2.827044*AO196)</f>
        <v>2.1504874023044764</v>
      </c>
      <c r="AT196" s="3">
        <f t="shared" ref="AT196:AT259" si="181">0.6517435+(0.0001025*W196)+(1.890785*AZ196)+(0.0074045*G196)+(-0.0006019*H196)+(2.827044*AO196)</f>
        <v>2.144317290575906</v>
      </c>
      <c r="AU196" s="3">
        <f t="shared" si="173"/>
        <v>6.1701117285704044E-3</v>
      </c>
      <c r="AV196" s="88">
        <f t="shared" ref="AV196:AV259" si="182">0.73282*M196</f>
        <v>0.13344474070220638</v>
      </c>
      <c r="AW196" s="32">
        <f t="shared" ref="AW196:AW259" si="183">ABS(AU196-AV196)/AS196</f>
        <v>5.9184084890359111E-2</v>
      </c>
      <c r="AX196" s="12">
        <f t="shared" si="174"/>
        <v>440.37441302270219</v>
      </c>
      <c r="AY196" s="12">
        <f t="shared" si="175"/>
        <v>558.83052909698677</v>
      </c>
      <c r="AZ196" s="3">
        <f>VLOOKUP(A196,[5]Analysis!$A$3:$BJ$543,62,FALSE)</f>
        <v>0.60742939517601346</v>
      </c>
      <c r="BA196" s="2"/>
      <c r="BB196" s="2"/>
      <c r="BC196" s="2" t="str">
        <f>VLOOKUP(A196,'[6]FGD status - Jun 2020'!$I$2:$M$449,5,FALSE)</f>
        <v>NIT issued</v>
      </c>
      <c r="BD196" s="2"/>
      <c r="BE196" s="2"/>
      <c r="BF196" s="2">
        <f t="shared" si="176"/>
        <v>512.51986932448403</v>
      </c>
      <c r="BG196" s="2">
        <f t="shared" si="177"/>
        <v>638.85592378773208</v>
      </c>
      <c r="BH196" s="2"/>
      <c r="BI196" s="2"/>
      <c r="BK196">
        <f t="shared" si="178"/>
        <v>233.7658507603883</v>
      </c>
      <c r="BL196">
        <f>VLOOKUP(A196,'[11]Daily coal vs energy req.2'!$C$2:$P$599,14,FALSE)</f>
        <v>1.26</v>
      </c>
      <c r="BM196">
        <f>VLOOKUP(A196,'[11]Daily coal vs energy req.2'!$C$2:$R$599,16,FALSE)</f>
        <v>1.37</v>
      </c>
      <c r="BN196">
        <f t="shared" si="156"/>
        <v>441</v>
      </c>
      <c r="BO196">
        <f t="shared" si="157"/>
        <v>479.50000000000006</v>
      </c>
      <c r="BP196" s="2" t="str">
        <f>VLOOKUP(A196,'[7]Table 2'!$J$2:$N$449,5,FALSE)</f>
        <v>Bid opened</v>
      </c>
      <c r="BR196">
        <f t="shared" ref="BR196:BR259" si="184">(X196*I196*365*AZ196)/10^4</f>
        <v>364.52830284081631</v>
      </c>
      <c r="BS196">
        <f t="shared" ref="BS196:BS259" si="185">(W196*R196*365*AZ196)/10^4</f>
        <v>454.38446311376725</v>
      </c>
      <c r="BT196">
        <f>(X196*I196*365*[5]Analysis!BK196)/10^4</f>
        <v>271.66517395408175</v>
      </c>
      <c r="BU196">
        <f>(W196*R196*365*[5]Analysis!BK196)/10^4</f>
        <v>338.63058986598935</v>
      </c>
      <c r="BV196">
        <f>(X196*I196*365*[5]Analysis!BL196)/10^4</f>
        <v>92.863128886734515</v>
      </c>
      <c r="BW196">
        <f>(W196*R196*365*[5]Analysis!BL196)/10^4</f>
        <v>115.75387324777788</v>
      </c>
      <c r="BX196">
        <f t="shared" ref="BX196:BX259" si="186">0.0001025*((X196*I196*10^6))</f>
        <v>1685258.2030454837</v>
      </c>
      <c r="BY196">
        <f t="shared" ref="BY196:BY259" si="187">0.0001025*((W196*R196*10^6))</f>
        <v>2100674.0432259035</v>
      </c>
      <c r="BZ196">
        <f t="shared" ref="BZ196:BZ259" si="188">(1.890785*AZ196*I196*10^6)</f>
        <v>6443625.0794085376</v>
      </c>
      <c r="CA196">
        <f t="shared" ref="CA196:CA259" si="189">(1.890785*AZ196*R196*10^6)</f>
        <v>8200421.2971592527</v>
      </c>
      <c r="CB196">
        <f t="shared" ref="CB196:CB259" si="190">(-0.107843*I196*K196*10^6)</f>
        <v>-404107.85730984056</v>
      </c>
      <c r="CC196">
        <f t="shared" ref="CC196:CC259" si="191">(-0.107843*R196*L196*10^6)</f>
        <v>-654499.16700000002</v>
      </c>
      <c r="CD196">
        <f t="shared" ref="CD196:CD259" si="192">IF(E196="PVT SECTOR",-0.3690444,0)*I196*10^6</f>
        <v>-2070479.4752245692</v>
      </c>
      <c r="CE196">
        <f t="shared" ref="CE196:CE259" si="193">IF(E196="PVT SECTOR",-0.3690444,0)*R196*10^6</f>
        <v>-2634977.0159999998</v>
      </c>
      <c r="CF196">
        <f t="shared" ref="CF196:CF259" si="194" xml:space="preserve"> 0.6517435*I196*10^6</f>
        <v>3656528.9701212756</v>
      </c>
      <c r="CG196">
        <f t="shared" ref="CG196:CG259" si="195" xml:space="preserve"> 0.6517435*R196*10^6</f>
        <v>4653448.59</v>
      </c>
      <c r="CH196">
        <f t="shared" ref="CH196:CH259" si="196">0.0074045*(G196*I196*10^6)</f>
        <v>256588.34068837092</v>
      </c>
      <c r="CI196">
        <f t="shared" ref="CI196:CI259" si="197">0.0074045*(G196*R196*10^6)</f>
        <v>326544.83581108827</v>
      </c>
      <c r="CJ196">
        <f t="shared" ref="CJ196:CJ259" si="198">-0.0006019*H196*I196*10^6</f>
        <v>-1181910.7908104931</v>
      </c>
      <c r="CK196">
        <f t="shared" ref="CK196:CK259" si="199">-0.0006019*H196*R196*10^6</f>
        <v>-1504148.1</v>
      </c>
      <c r="CL196">
        <f t="shared" ref="CL196:CL259" si="200">2.827044*AO196*I196*10^6</f>
        <v>1204962.6091277071</v>
      </c>
      <c r="CM196">
        <f t="shared" ref="CM196:CM259" si="201">2.827044*AO196*R196*10^6</f>
        <v>1533484.7885157259</v>
      </c>
    </row>
    <row r="197" spans="1:91" x14ac:dyDescent="0.2">
      <c r="A197" s="2" t="s">
        <v>123</v>
      </c>
      <c r="B197" s="2" t="str">
        <f t="shared" si="152"/>
        <v>SALAYA TPP</v>
      </c>
      <c r="C197" s="2" t="str">
        <f>VLOOKUP($A197,'[1]daily coal, energy reqd'!$C$2:$T$599,17,FALSE)</f>
        <v>Gujarat</v>
      </c>
      <c r="D197" s="2" t="str">
        <f>VLOOKUP(C197,'Target PLF'!$I$2:$J$19,2,FALSE)</f>
        <v>WR</v>
      </c>
      <c r="E197" s="2" t="str">
        <f>VLOOKUP(A197,[2]Ownership!$C$2:$D$666,2,FALSE)</f>
        <v>PVT SECTOR</v>
      </c>
      <c r="F197" s="2" t="s">
        <v>543</v>
      </c>
      <c r="G197" s="12">
        <v>8.33949349760438</v>
      </c>
      <c r="H197" s="2">
        <v>600</v>
      </c>
      <c r="I197" s="2">
        <f>VLOOKUP(A197,'[3]Calculated coal req (reg.)'!$A$2:$I$599,9,FALSE)</f>
        <v>3.0550832653565601</v>
      </c>
      <c r="J197" s="2"/>
      <c r="K197" s="11">
        <v>0.21215856009420556</v>
      </c>
      <c r="L197" s="3">
        <f>VLOOKUP(F197,'Target PLF'!$A$2:$B$11,2,FALSE)</f>
        <v>0.85</v>
      </c>
      <c r="M197" s="3">
        <f t="shared" si="179"/>
        <v>0.63784143990579445</v>
      </c>
      <c r="N197" s="2" t="str">
        <f t="shared" si="158"/>
        <v>0.15</v>
      </c>
      <c r="O197" s="2">
        <f t="shared" si="155"/>
        <v>2.6510605006953289</v>
      </c>
      <c r="P197" s="2">
        <f t="shared" si="159"/>
        <v>580582.2496522771</v>
      </c>
      <c r="Q197" s="2">
        <f t="shared" si="160"/>
        <v>11.525539806536619</v>
      </c>
      <c r="R197" s="2">
        <f t="shared" si="161"/>
        <v>12.24</v>
      </c>
      <c r="S197" s="2">
        <f t="shared" si="162"/>
        <v>2524093.2176315198</v>
      </c>
      <c r="T197" s="2" t="str">
        <f>VLOOKUP(A197,'[4]CEA vs MERIT comp. &amp; NPA marker'!$C$2:$K$735,9,FALSE)</f>
        <v>Contracted</v>
      </c>
      <c r="U197" s="3">
        <f>VLOOKUP(B197,'[8]Import-Domestic share'!$A$208:$F$406,6,FALSE)</f>
        <v>1</v>
      </c>
      <c r="V197" s="3">
        <f t="shared" si="163"/>
        <v>580582.2496522771</v>
      </c>
      <c r="W197" s="2">
        <f t="shared" si="164"/>
        <v>2870.554908629706</v>
      </c>
      <c r="X197" s="2">
        <f t="shared" si="165"/>
        <v>3081.4069188290923</v>
      </c>
      <c r="Y197" s="6">
        <f t="shared" si="166"/>
        <v>0.29959364212633416</v>
      </c>
      <c r="Z197" s="2">
        <f t="shared" si="167"/>
        <v>2992181.7801666069</v>
      </c>
      <c r="AA197" s="2">
        <f t="shared" si="168"/>
        <v>801701.69614700612</v>
      </c>
      <c r="AB197" s="2" t="s">
        <v>598</v>
      </c>
      <c r="AC197" s="12"/>
      <c r="AD197" s="12">
        <f t="shared" si="169"/>
        <v>0</v>
      </c>
      <c r="AE197" s="2"/>
      <c r="AF197" s="7"/>
      <c r="AG197" s="7"/>
      <c r="AH197" s="7"/>
      <c r="AI197" s="7"/>
      <c r="AJ197" s="7"/>
      <c r="AK197" s="7"/>
      <c r="AL197" s="7"/>
      <c r="AM197" s="7"/>
      <c r="AN197" s="15">
        <f t="shared" si="170"/>
        <v>0</v>
      </c>
      <c r="AO197" s="6">
        <v>5.2816503866712272E-2</v>
      </c>
      <c r="AP197" s="11">
        <f t="shared" si="171"/>
        <v>0.1613588170978327</v>
      </c>
      <c r="AQ197" s="11">
        <f t="shared" si="172"/>
        <v>0.6464740073285582</v>
      </c>
      <c r="AR197" s="3">
        <f>VLOOKUP(A197,[10]Sheet1!$A$2:$L$542,12,FALSE)</f>
        <v>2.1756250000000001</v>
      </c>
      <c r="AS197" s="3">
        <f t="shared" si="180"/>
        <v>3.1289466833764794</v>
      </c>
      <c r="AT197" s="3">
        <f t="shared" si="181"/>
        <v>3.1073343523310428</v>
      </c>
      <c r="AU197" s="3">
        <f t="shared" si="173"/>
        <v>2.1612331045436584E-2</v>
      </c>
      <c r="AV197" s="88">
        <f t="shared" si="182"/>
        <v>0.46742296399176431</v>
      </c>
      <c r="AW197" s="32">
        <f t="shared" si="183"/>
        <v>0.14247945972196904</v>
      </c>
      <c r="AX197" s="12">
        <f t="shared" si="174"/>
        <v>348.91053174603837</v>
      </c>
      <c r="AY197" s="12">
        <f t="shared" si="175"/>
        <v>1388.2326952474166</v>
      </c>
      <c r="AZ197" s="3">
        <f>VLOOKUP(A197,[5]Analysis!$A$3:$BJ$543,62,FALSE)</f>
        <v>1.2224735304310752</v>
      </c>
      <c r="BA197" s="2"/>
      <c r="BB197" s="2"/>
      <c r="BC197" s="2" t="str">
        <f>VLOOKUP(A197,'[6]FGD status - Jun 2020'!$I$2:$M$449,5,FALSE)</f>
        <v>Feasibility study under process</v>
      </c>
      <c r="BD197" s="2"/>
      <c r="BE197" s="2"/>
      <c r="BF197" s="2">
        <f t="shared" si="176"/>
        <v>419.37015725449891</v>
      </c>
      <c r="BG197" s="2">
        <f t="shared" si="177"/>
        <v>1565.2102892051521</v>
      </c>
      <c r="BH197" s="2"/>
      <c r="BI197" s="2"/>
      <c r="BK197">
        <f t="shared" si="178"/>
        <v>127.29513605652333</v>
      </c>
      <c r="BL197">
        <f>VLOOKUP(A197,'[11]Daily coal vs energy req.2'!$C$2:$P$599,14,FALSE)</f>
        <v>0.79</v>
      </c>
      <c r="BM197">
        <f>VLOOKUP(A197,'[11]Daily coal vs energy req.2'!$C$2:$R$599,16,FALSE)</f>
        <v>0.56999999999999995</v>
      </c>
      <c r="BN197">
        <f t="shared" si="156"/>
        <v>474</v>
      </c>
      <c r="BO197">
        <f t="shared" si="157"/>
        <v>341.99999999999994</v>
      </c>
      <c r="BP197" s="2" t="str">
        <f>VLOOKUP(A197,'[7]Table 2'!$J$2:$N$449,5,FALSE)</f>
        <v>Tender specification made</v>
      </c>
      <c r="BR197">
        <f t="shared" si="184"/>
        <v>420.05333147782909</v>
      </c>
      <c r="BS197">
        <f t="shared" si="185"/>
        <v>1567.7600922971903</v>
      </c>
      <c r="BT197">
        <f>(X197*I197*365*[5]Analysis!BK197)/10^4</f>
        <v>420.05333147782909</v>
      </c>
      <c r="BU197">
        <f>(W197*R197*365*[5]Analysis!BK197)/10^4</f>
        <v>1567.7600922971903</v>
      </c>
      <c r="BV197">
        <f>(X197*I197*365*[5]Analysis!BL197)/10^4</f>
        <v>0</v>
      </c>
      <c r="BW197">
        <f>(W197*R197*365*[5]Analysis!BL197)/10^4</f>
        <v>0</v>
      </c>
      <c r="BX197">
        <f t="shared" si="186"/>
        <v>964930.3579255396</v>
      </c>
      <c r="BY197">
        <f t="shared" si="187"/>
        <v>3601398.188366829</v>
      </c>
      <c r="BZ197">
        <f t="shared" si="188"/>
        <v>7061625.2089186674</v>
      </c>
      <c r="CA197">
        <f t="shared" si="189"/>
        <v>28291959.678250115</v>
      </c>
      <c r="CB197">
        <f t="shared" si="190"/>
        <v>-69899.741742515034</v>
      </c>
      <c r="CC197">
        <f t="shared" si="191"/>
        <v>-1121998.5720000002</v>
      </c>
      <c r="CD197">
        <f t="shared" si="192"/>
        <v>-1127461.3706135526</v>
      </c>
      <c r="CE197">
        <f t="shared" si="193"/>
        <v>-4517103.4560000002</v>
      </c>
      <c r="CF197">
        <f t="shared" si="194"/>
        <v>1991130.6601549133</v>
      </c>
      <c r="CG197">
        <f t="shared" si="195"/>
        <v>7977340.4400000004</v>
      </c>
      <c r="CH197">
        <f t="shared" si="196"/>
        <v>188650.71830461669</v>
      </c>
      <c r="CI197">
        <f t="shared" si="197"/>
        <v>755817.30234086234</v>
      </c>
      <c r="CJ197">
        <f t="shared" si="198"/>
        <v>-1103312.7704508682</v>
      </c>
      <c r="CK197">
        <f t="shared" si="199"/>
        <v>-4420353.6000000006</v>
      </c>
      <c r="CL197">
        <f t="shared" si="200"/>
        <v>456168.47572352539</v>
      </c>
      <c r="CM197">
        <f t="shared" si="201"/>
        <v>1827610.4635741566</v>
      </c>
    </row>
    <row r="198" spans="1:91" x14ac:dyDescent="0.2">
      <c r="A198" s="2" t="s">
        <v>192</v>
      </c>
      <c r="B198" s="2" t="str">
        <f t="shared" si="152"/>
        <v>KAMALANGA TPS</v>
      </c>
      <c r="C198" s="2" t="str">
        <f>VLOOKUP($A198,'[1]daily coal, energy reqd'!$C$2:$T$599,17,FALSE)</f>
        <v>Odisha</v>
      </c>
      <c r="D198" s="2" t="str">
        <f>VLOOKUP(C198,'Target PLF'!$I$2:$J$19,2,FALSE)</f>
        <v>ER</v>
      </c>
      <c r="E198" s="2" t="str">
        <f>VLOOKUP(A198,[2]Ownership!$C$2:$D$666,2,FALSE)</f>
        <v>PVT SECTOR</v>
      </c>
      <c r="F198" s="2" t="s">
        <v>543</v>
      </c>
      <c r="G198" s="12">
        <v>6.6721423682409302</v>
      </c>
      <c r="H198" s="2">
        <v>350</v>
      </c>
      <c r="I198" s="2">
        <f>VLOOKUP(A198,'[3]Calculated coal req (reg.)'!$A$2:$I$599,9,FALSE)</f>
        <v>5.6004336566145296</v>
      </c>
      <c r="J198" s="2"/>
      <c r="K198" s="11">
        <v>0.66671829245411063</v>
      </c>
      <c r="L198" s="3">
        <f>VLOOKUP(F198,'Target PLF'!$A$2:$B$11,2,FALSE)</f>
        <v>0.85</v>
      </c>
      <c r="M198" s="3">
        <f t="shared" si="179"/>
        <v>0.18328170754588935</v>
      </c>
      <c r="N198" s="2" t="str">
        <f t="shared" si="158"/>
        <v>0.15</v>
      </c>
      <c r="O198" s="2">
        <f t="shared" si="155"/>
        <v>10.224648077915807</v>
      </c>
      <c r="P198" s="2">
        <f t="shared" si="159"/>
        <v>1306198.7919537444</v>
      </c>
      <c r="Q198" s="2">
        <f t="shared" si="160"/>
        <v>12.774701459514031</v>
      </c>
      <c r="R198" s="2">
        <f t="shared" si="161"/>
        <v>7.14</v>
      </c>
      <c r="S198" s="2">
        <f t="shared" si="162"/>
        <v>1631968.1114529176</v>
      </c>
      <c r="T198" s="2" t="str">
        <f>VLOOKUP(A198,'[4]CEA vs MERIT comp. &amp; NPA marker'!$C$2:$K$735,9,FALSE)</f>
        <v>Not contracted</v>
      </c>
      <c r="U198" s="3">
        <f>VLOOKUP(B198,'[8]Import-Domestic share'!$A$208:$F$406,6,FALSE)</f>
        <v>4.5917342400273363E-2</v>
      </c>
      <c r="V198" s="3">
        <f t="shared" si="163"/>
        <v>59977.177172963515</v>
      </c>
      <c r="W198" s="2">
        <f t="shared" si="164"/>
        <v>2874.1477476150717</v>
      </c>
      <c r="X198" s="2">
        <f t="shared" si="165"/>
        <v>2934.735401616565</v>
      </c>
      <c r="Y198" s="6">
        <f t="shared" si="166"/>
        <v>0.29921913398975963</v>
      </c>
      <c r="Z198" s="2">
        <f t="shared" si="167"/>
        <v>2003390.9144720503</v>
      </c>
      <c r="AA198" s="2">
        <f t="shared" si="168"/>
        <v>1604534.3035964507</v>
      </c>
      <c r="AB198" s="2" t="s">
        <v>598</v>
      </c>
      <c r="AC198" s="12">
        <f>VLOOKUP(B198,[9]Sheet1!$A$2:$B$137,2,FALSE)</f>
        <v>3738.8192144385098</v>
      </c>
      <c r="AD198" s="12">
        <f t="shared" si="169"/>
        <v>1308586.7250534785</v>
      </c>
      <c r="AE198" s="2"/>
      <c r="AF198" s="7">
        <f>VLOOKUP($B198,'[9]Subsidiary wise dispatch'!$A$3:$R$138,11,FALSE)*$H198*$O198*365</f>
        <v>0</v>
      </c>
      <c r="AG198" s="7">
        <f>VLOOKUP($B198,'[9]Subsidiary wise dispatch'!$A$3:$R$138,12,FALSE)*$H198*$O198*365</f>
        <v>0</v>
      </c>
      <c r="AH198" s="7">
        <f>VLOOKUP($B198,'[9]Subsidiary wise dispatch'!$A$3:$R$138,13,FALSE)*$H198*$O198*365</f>
        <v>0</v>
      </c>
      <c r="AI198" s="7">
        <f>VLOOKUP($B198,'[9]Subsidiary wise dispatch'!$A$3:$R$138,14,FALSE)*$H198*$O198*365</f>
        <v>1306198.7919537444</v>
      </c>
      <c r="AJ198" s="7">
        <f>VLOOKUP($B198,'[9]Subsidiary wise dispatch'!$A$3:$R$138,15,FALSE)*$H198*$O198*365</f>
        <v>0</v>
      </c>
      <c r="AK198" s="7">
        <f>VLOOKUP($B198,'[9]Subsidiary wise dispatch'!$A$3:$R$138,16,FALSE)*$H198*$O198*365</f>
        <v>0</v>
      </c>
      <c r="AL198" s="7">
        <f>VLOOKUP($B198,'[9]Subsidiary wise dispatch'!$A$3:$R$138,17,FALSE)*$H198*$O198*365</f>
        <v>0</v>
      </c>
      <c r="AM198" s="7">
        <f>VLOOKUP($B198,'[9]Subsidiary wise dispatch'!$A$3:$R$138,18,FALSE)*$H198*$O198*365</f>
        <v>0</v>
      </c>
      <c r="AN198" s="15">
        <f t="shared" si="170"/>
        <v>1306198.7919537444</v>
      </c>
      <c r="AO198" s="6">
        <v>7.5971148628802138E-2</v>
      </c>
      <c r="AP198" s="11">
        <f t="shared" si="171"/>
        <v>0.42547137771240828</v>
      </c>
      <c r="AQ198" s="11">
        <f t="shared" si="172"/>
        <v>0.54243400120964724</v>
      </c>
      <c r="AR198" s="3">
        <f>VLOOKUP(A198,[10]Sheet1!$A$2:$L$542,12,FALSE)</f>
        <v>1.4229028168281801</v>
      </c>
      <c r="AS198" s="3">
        <f t="shared" si="180"/>
        <v>2.1545849256933796</v>
      </c>
      <c r="AT198" s="3">
        <f t="shared" si="181"/>
        <v>2.1483746911582267</v>
      </c>
      <c r="AU198" s="3">
        <f t="shared" si="173"/>
        <v>6.2102345351529031E-3</v>
      </c>
      <c r="AV198" s="88">
        <f t="shared" si="182"/>
        <v>0.13431250092377864</v>
      </c>
      <c r="AW198" s="32">
        <f t="shared" si="183"/>
        <v>5.9455658888637401E-2</v>
      </c>
      <c r="AX198" s="12">
        <f t="shared" si="174"/>
        <v>440.43126258689443</v>
      </c>
      <c r="AY198" s="12">
        <f t="shared" si="175"/>
        <v>559.88792826274539</v>
      </c>
      <c r="AZ198" s="3">
        <f>VLOOKUP(A198,[5]Analysis!$A$3:$BJ$543,62,FALSE)</f>
        <v>0.60742939517601346</v>
      </c>
      <c r="BA198" s="2"/>
      <c r="BB198" s="2"/>
      <c r="BC198" s="2" t="str">
        <f>VLOOKUP(A198,'[6]FGD status - Jun 2020'!$I$2:$M$449,5,FALSE)</f>
        <v>NIT issued</v>
      </c>
      <c r="BD198" s="2"/>
      <c r="BE198" s="2"/>
      <c r="BF198" s="2">
        <f t="shared" si="176"/>
        <v>512.34055009909855</v>
      </c>
      <c r="BG198" s="2">
        <f t="shared" si="177"/>
        <v>639.69863460288866</v>
      </c>
      <c r="BH198" s="2"/>
      <c r="BI198" s="2"/>
      <c r="BK198">
        <f t="shared" si="178"/>
        <v>233.35140235893871</v>
      </c>
      <c r="BL198">
        <f>VLOOKUP(A198,'[11]Daily coal vs energy req.2'!$C$2:$P$599,14,FALSE)</f>
        <v>1.01</v>
      </c>
      <c r="BM198">
        <f>VLOOKUP(A198,'[11]Daily coal vs energy req.2'!$C$2:$R$599,16,FALSE)</f>
        <v>1.18</v>
      </c>
      <c r="BN198">
        <f t="shared" si="156"/>
        <v>353.5</v>
      </c>
      <c r="BO198">
        <f t="shared" si="157"/>
        <v>413</v>
      </c>
      <c r="BP198" s="2" t="str">
        <f>VLOOKUP(A198,'[7]Table 2'!$J$2:$N$449,5,FALSE)</f>
        <v>Bid opened</v>
      </c>
      <c r="BR198">
        <f t="shared" si="184"/>
        <v>364.40076255055862</v>
      </c>
      <c r="BS198">
        <f t="shared" si="185"/>
        <v>454.98383878995236</v>
      </c>
      <c r="BT198">
        <f>(X198*I198*365*[5]Analysis!BK198)/10^4</f>
        <v>271.57012439313132</v>
      </c>
      <c r="BU198">
        <f>(W198*R198*365*[5]Analysis!BK198)/10^4</f>
        <v>339.07727533887504</v>
      </c>
      <c r="BV198">
        <f>(X198*I198*365*[5]Analysis!BL198)/10^4</f>
        <v>92.830638157427202</v>
      </c>
      <c r="BW198">
        <f>(W198*R198*365*[5]Analysis!BL198)/10^4</f>
        <v>115.90656345107728</v>
      </c>
      <c r="BX198">
        <f t="shared" si="186"/>
        <v>1684668.5689383361</v>
      </c>
      <c r="BY198">
        <f t="shared" si="187"/>
        <v>2103445.0290920902</v>
      </c>
      <c r="BZ198">
        <f t="shared" si="188"/>
        <v>6432201.0407604007</v>
      </c>
      <c r="CA198">
        <f t="shared" si="189"/>
        <v>8200421.2971592527</v>
      </c>
      <c r="CB198">
        <f t="shared" si="190"/>
        <v>-402676.22485474864</v>
      </c>
      <c r="CC198">
        <f t="shared" si="191"/>
        <v>-654499.16700000002</v>
      </c>
      <c r="CD198">
        <f t="shared" si="192"/>
        <v>-2066808.6785451153</v>
      </c>
      <c r="CE198">
        <f t="shared" si="193"/>
        <v>-2634977.0159999998</v>
      </c>
      <c r="CF198">
        <f t="shared" si="194"/>
        <v>3650046.2328797518</v>
      </c>
      <c r="CG198">
        <f t="shared" si="195"/>
        <v>4653448.59</v>
      </c>
      <c r="CH198">
        <f t="shared" si="196"/>
        <v>276683.14204613381</v>
      </c>
      <c r="CI198">
        <f t="shared" si="197"/>
        <v>352743.69010266935</v>
      </c>
      <c r="CJ198">
        <f t="shared" si="198"/>
        <v>-1179815.3562707</v>
      </c>
      <c r="CK198">
        <f t="shared" si="199"/>
        <v>-1504148.1</v>
      </c>
      <c r="CL198">
        <f t="shared" si="200"/>
        <v>1202826.3055335975</v>
      </c>
      <c r="CM198">
        <f t="shared" si="201"/>
        <v>1533484.7885157259</v>
      </c>
    </row>
    <row r="199" spans="1:91" x14ac:dyDescent="0.2">
      <c r="A199" s="2" t="s">
        <v>176</v>
      </c>
      <c r="B199" s="2" t="str">
        <f t="shared" si="152"/>
        <v>BINJKOTE  TPP</v>
      </c>
      <c r="C199" s="2" t="str">
        <f>VLOOKUP($A199,'[1]daily coal, energy reqd'!$C$2:$T$599,17,FALSE)</f>
        <v>Chhatisgarh</v>
      </c>
      <c r="D199" s="2" t="str">
        <f>VLOOKUP(C199,'Target PLF'!$I$2:$J$19,2,FALSE)</f>
        <v>WR</v>
      </c>
      <c r="E199" s="2" t="str">
        <f>VLOOKUP(A199,[2]Ownership!$C$2:$D$666,2,FALSE)</f>
        <v>PVT SECTOR</v>
      </c>
      <c r="F199" s="2" t="s">
        <v>542</v>
      </c>
      <c r="G199" s="13">
        <v>2.0917180013689198</v>
      </c>
      <c r="H199" s="2">
        <v>300</v>
      </c>
      <c r="I199" s="2">
        <f>VLOOKUP(A199,'[3]Calculated coal req (reg.)'!$A$2:$I$599,9,FALSE)</f>
        <v>2.9072108171720599</v>
      </c>
      <c r="J199" s="2"/>
      <c r="K199" s="11">
        <v>0.40377928016278608</v>
      </c>
      <c r="L199" s="3">
        <f>VLOOKUP(F199,'Target PLF'!$A$2:$B$11,2,FALSE)</f>
        <v>0.85</v>
      </c>
      <c r="M199" s="3">
        <f t="shared" si="179"/>
        <v>0.4462207198372139</v>
      </c>
      <c r="N199" s="2" t="str">
        <f t="shared" si="158"/>
        <v>0.15</v>
      </c>
      <c r="O199" s="2">
        <f t="shared" si="155"/>
        <v>6.6816087763822534</v>
      </c>
      <c r="P199" s="2">
        <f t="shared" si="159"/>
        <v>731636.16101385676</v>
      </c>
      <c r="Q199" s="2">
        <f t="shared" si="160"/>
        <v>12.890011517693361</v>
      </c>
      <c r="R199" s="2">
        <f t="shared" si="161"/>
        <v>6.12</v>
      </c>
      <c r="S199" s="2">
        <f t="shared" si="162"/>
        <v>1411456.2611874233</v>
      </c>
      <c r="T199" s="2" t="str">
        <f>VLOOKUP(A199,'[4]CEA vs MERIT comp. &amp; NPA marker'!$C$2:$K$735,9,FALSE)</f>
        <v>Not contracted</v>
      </c>
      <c r="U199" s="3">
        <f>VLOOKUP(B199,'[8]Import-Domestic share'!$A$208:$F$406,6,FALSE)</f>
        <v>0</v>
      </c>
      <c r="V199" s="3">
        <f t="shared" si="163"/>
        <v>0</v>
      </c>
      <c r="W199" s="2">
        <f t="shared" si="164"/>
        <v>2875.0856387830254</v>
      </c>
      <c r="X199" s="2">
        <f t="shared" si="165"/>
        <v>3022.5933576044768</v>
      </c>
      <c r="Y199" s="6">
        <f t="shared" si="166"/>
        <v>0.29912152472926801</v>
      </c>
      <c r="Z199" s="2">
        <f t="shared" si="167"/>
        <v>1579489.78686345</v>
      </c>
      <c r="AA199" s="2">
        <f t="shared" si="168"/>
        <v>788807.19640698645</v>
      </c>
      <c r="AB199" s="2" t="s">
        <v>598</v>
      </c>
      <c r="AC199" s="12">
        <f>VLOOKUP(B199,[9]Sheet1!$A$2:$B$137,2,FALSE)</f>
        <v>4066.1018218212434</v>
      </c>
      <c r="AD199" s="12">
        <f t="shared" si="169"/>
        <v>1219830.5465463731</v>
      </c>
      <c r="AE199" s="2"/>
      <c r="AF199" s="7">
        <f>VLOOKUP($B199,'[9]Subsidiary wise dispatch'!$A$3:$R$138,11,FALSE)*$H199*$O199*365</f>
        <v>7831.0019003464467</v>
      </c>
      <c r="AG199" s="7">
        <f>VLOOKUP($B199,'[9]Subsidiary wise dispatch'!$A$3:$R$138,12,FALSE)*$H199*$O199*365</f>
        <v>0</v>
      </c>
      <c r="AH199" s="7">
        <f>VLOOKUP($B199,'[9]Subsidiary wise dispatch'!$A$3:$R$138,13,FALSE)*$H199*$O199*365</f>
        <v>0</v>
      </c>
      <c r="AI199" s="7">
        <f>VLOOKUP($B199,'[9]Subsidiary wise dispatch'!$A$3:$R$138,14,FALSE)*$H199*$O199*365</f>
        <v>90430.044058438609</v>
      </c>
      <c r="AJ199" s="7">
        <f>VLOOKUP($B199,'[9]Subsidiary wise dispatch'!$A$3:$R$138,15,FALSE)*$H199*$O199*365</f>
        <v>0</v>
      </c>
      <c r="AK199" s="7">
        <f>VLOOKUP($B199,'[9]Subsidiary wise dispatch'!$A$3:$R$138,16,FALSE)*$H199*$O199*365</f>
        <v>0</v>
      </c>
      <c r="AL199" s="7">
        <f>VLOOKUP($B199,'[9]Subsidiary wise dispatch'!$A$3:$R$138,17,FALSE)*$H199*$O199*365</f>
        <v>633375.11505507166</v>
      </c>
      <c r="AM199" s="7">
        <f>VLOOKUP($B199,'[9]Subsidiary wise dispatch'!$A$3:$R$138,18,FALSE)*$H199*$O199*365</f>
        <v>0</v>
      </c>
      <c r="AN199" s="15">
        <f t="shared" si="170"/>
        <v>731636.16101385676</v>
      </c>
      <c r="AO199" s="6">
        <v>0.11609507686426573</v>
      </c>
      <c r="AP199" s="11">
        <f t="shared" si="171"/>
        <v>0.33751286328021507</v>
      </c>
      <c r="AQ199" s="11">
        <f t="shared" si="172"/>
        <v>0.71050187040930635</v>
      </c>
      <c r="AR199" s="3"/>
      <c r="AS199" s="3">
        <f t="shared" si="180"/>
        <v>2.0823129205134521</v>
      </c>
      <c r="AT199" s="3">
        <f t="shared" si="181"/>
        <v>2.0671933793342534</v>
      </c>
      <c r="AU199" s="3">
        <f t="shared" si="173"/>
        <v>1.511954117919867E-2</v>
      </c>
      <c r="AV199" s="88">
        <f t="shared" si="182"/>
        <v>0.32699946791110712</v>
      </c>
      <c r="AW199" s="32">
        <f t="shared" si="183"/>
        <v>0.149775724704722</v>
      </c>
      <c r="AX199" s="12">
        <f t="shared" si="174"/>
        <v>220.9608766247656</v>
      </c>
      <c r="AY199" s="12">
        <f t="shared" si="175"/>
        <v>461.76965707568553</v>
      </c>
      <c r="AZ199" s="3">
        <f>VLOOKUP(A199,[5]Analysis!$A$3:$BJ$543,62,FALSE)</f>
        <v>0.5064719600267592</v>
      </c>
      <c r="BA199" s="2"/>
      <c r="BB199" s="2"/>
      <c r="BC199" s="2" t="str">
        <f>VLOOKUP(A199,'[6]FGD status - Jun 2020'!$I$2:$M$449,5,FALSE)</f>
        <v>Feasibility study under progress</v>
      </c>
      <c r="BD199" s="2"/>
      <c r="BE199" s="2"/>
      <c r="BF199" s="2">
        <f t="shared" si="176"/>
        <v>244.13582728796229</v>
      </c>
      <c r="BG199" s="2">
        <f t="shared" si="177"/>
        <v>488.85208903423779</v>
      </c>
      <c r="BH199" s="2"/>
      <c r="BI199" s="2"/>
      <c r="BK199">
        <f t="shared" si="178"/>
        <v>121.13378404883582</v>
      </c>
      <c r="BP199" s="2" t="e">
        <f>VLOOKUP(A199,'[7]Table 2'!$J$2:$N$449,5,FALSE)</f>
        <v>#N/A</v>
      </c>
      <c r="BR199">
        <f t="shared" si="184"/>
        <v>162.44431620679396</v>
      </c>
      <c r="BS199">
        <f t="shared" si="185"/>
        <v>325.27484479270066</v>
      </c>
      <c r="BT199">
        <f>(X199*I199*365*[5]Analysis!BK199)/10^4</f>
        <v>125.3653063152865</v>
      </c>
      <c r="BU199">
        <f>(W199*R199*365*[5]Analysis!BK199)/10^4</f>
        <v>251.02866943145605</v>
      </c>
      <c r="BV199">
        <f>(X199*I199*365*[5]Analysis!BL199)/10^4</f>
        <v>37.079009891507468</v>
      </c>
      <c r="BW199">
        <f>(W199*R199*365*[5]Analysis!BL199)/10^4</f>
        <v>74.246175361244667</v>
      </c>
      <c r="BX199">
        <f t="shared" si="186"/>
        <v>900699.90077686554</v>
      </c>
      <c r="BY199">
        <f t="shared" si="187"/>
        <v>1803541.2212085917</v>
      </c>
      <c r="BZ199">
        <f t="shared" si="188"/>
        <v>2784031.08817922</v>
      </c>
      <c r="CA199">
        <f t="shared" si="189"/>
        <v>5860693.0598278791</v>
      </c>
      <c r="CB199">
        <f t="shared" si="190"/>
        <v>-126593.82320814038</v>
      </c>
      <c r="CC199">
        <f t="shared" si="191"/>
        <v>-560999.28600000008</v>
      </c>
      <c r="CD199">
        <f t="shared" si="192"/>
        <v>-1072889.8716967725</v>
      </c>
      <c r="CE199">
        <f t="shared" si="193"/>
        <v>-2258551.7280000001</v>
      </c>
      <c r="CF199">
        <f t="shared" si="194"/>
        <v>1894755.7532215784</v>
      </c>
      <c r="CG199">
        <f t="shared" si="195"/>
        <v>3988670.22</v>
      </c>
      <c r="CH199">
        <f t="shared" si="196"/>
        <v>45027.247273794259</v>
      </c>
      <c r="CI199">
        <f t="shared" si="197"/>
        <v>94787.330759753328</v>
      </c>
      <c r="CJ199">
        <f t="shared" si="198"/>
        <v>-524955.0572567588</v>
      </c>
      <c r="CK199">
        <f t="shared" si="199"/>
        <v>-1105088.4000000001</v>
      </c>
      <c r="CL199">
        <f t="shared" si="200"/>
        <v>954163.71505915234</v>
      </c>
      <c r="CM199">
        <f t="shared" si="201"/>
        <v>2008620.0497294068</v>
      </c>
    </row>
    <row r="200" spans="1:91" x14ac:dyDescent="0.2">
      <c r="A200" s="2" t="s">
        <v>196</v>
      </c>
      <c r="B200" s="2" t="str">
        <f t="shared" si="152"/>
        <v>KAMALANGA TPS</v>
      </c>
      <c r="C200" s="2" t="str">
        <f>VLOOKUP($A200,'[1]daily coal, energy reqd'!$C$2:$T$599,17,FALSE)</f>
        <v>Odisha</v>
      </c>
      <c r="D200" s="2" t="str">
        <f>VLOOKUP(C200,'Target PLF'!$I$2:$J$19,2,FALSE)</f>
        <v>ER</v>
      </c>
      <c r="E200" s="2" t="str">
        <f>VLOOKUP(A200,[2]Ownership!$C$2:$D$666,2,FALSE)</f>
        <v>PVT SECTOR</v>
      </c>
      <c r="F200" s="2" t="s">
        <v>543</v>
      </c>
      <c r="G200" s="12">
        <v>7.1759069130732298</v>
      </c>
      <c r="H200" s="2">
        <v>350</v>
      </c>
      <c r="I200" s="2">
        <f>VLOOKUP(A200,'[3]Calculated coal req (reg.)'!$A$2:$I$599,9,FALSE)</f>
        <v>5.2874365157052798</v>
      </c>
      <c r="J200" s="2"/>
      <c r="K200" s="11">
        <v>0.6294567280601524</v>
      </c>
      <c r="L200" s="3">
        <f>VLOOKUP(F200,'Target PLF'!$A$2:$B$11,2,FALSE)</f>
        <v>0.85</v>
      </c>
      <c r="M200" s="3">
        <f t="shared" si="179"/>
        <v>0.22054327193984757</v>
      </c>
      <c r="N200" s="2" t="str">
        <f t="shared" si="158"/>
        <v>0.15</v>
      </c>
      <c r="O200" s="2">
        <f t="shared" si="155"/>
        <v>9.7221734959909121</v>
      </c>
      <c r="P200" s="2">
        <f t="shared" si="159"/>
        <v>1242007.6641128391</v>
      </c>
      <c r="Q200" s="2">
        <f t="shared" si="160"/>
        <v>12.790658201471594</v>
      </c>
      <c r="R200" s="2">
        <f t="shared" si="161"/>
        <v>7.14</v>
      </c>
      <c r="S200" s="2">
        <f t="shared" si="162"/>
        <v>1634006.5852379962</v>
      </c>
      <c r="T200" s="2" t="str">
        <f>VLOOKUP(A200,'[4]CEA vs MERIT comp. &amp; NPA marker'!$C$2:$K$735,9,FALSE)</f>
        <v>Contracted</v>
      </c>
      <c r="U200" s="3">
        <f>VLOOKUP(B200,'[8]Import-Domestic share'!$A$208:$F$406,6,FALSE)</f>
        <v>4.5917342400273363E-2</v>
      </c>
      <c r="V200" s="3">
        <f t="shared" si="163"/>
        <v>57029.691176832937</v>
      </c>
      <c r="W200" s="2">
        <f t="shared" si="164"/>
        <v>2877.996779259151</v>
      </c>
      <c r="X200" s="2">
        <f t="shared" si="165"/>
        <v>2950.9020333162325</v>
      </c>
      <c r="Y200" s="6">
        <f t="shared" si="166"/>
        <v>0.2988189584497658</v>
      </c>
      <c r="Z200" s="2">
        <f t="shared" si="167"/>
        <v>2006073.8367510673</v>
      </c>
      <c r="AA200" s="2">
        <f t="shared" si="168"/>
        <v>1523204.9983359426</v>
      </c>
      <c r="AB200" s="2" t="s">
        <v>598</v>
      </c>
      <c r="AC200" s="12">
        <f>VLOOKUP(B200,[9]Sheet1!$A$2:$B$137,2,FALSE)</f>
        <v>3738.8192144385098</v>
      </c>
      <c r="AD200" s="12">
        <f t="shared" si="169"/>
        <v>1308586.7250534785</v>
      </c>
      <c r="AE200" s="2"/>
      <c r="AF200" s="7">
        <f>VLOOKUP($B200,'[9]Subsidiary wise dispatch'!$A$3:$R$138,11,FALSE)*$H200*$O200*365</f>
        <v>0</v>
      </c>
      <c r="AG200" s="7">
        <f>VLOOKUP($B200,'[9]Subsidiary wise dispatch'!$A$3:$R$138,12,FALSE)*$H200*$O200*365</f>
        <v>0</v>
      </c>
      <c r="AH200" s="7">
        <f>VLOOKUP($B200,'[9]Subsidiary wise dispatch'!$A$3:$R$138,13,FALSE)*$H200*$O200*365</f>
        <v>0</v>
      </c>
      <c r="AI200" s="7">
        <f>VLOOKUP($B200,'[9]Subsidiary wise dispatch'!$A$3:$R$138,14,FALSE)*$H200*$O200*365</f>
        <v>1242007.6641128391</v>
      </c>
      <c r="AJ200" s="7">
        <f>VLOOKUP($B200,'[9]Subsidiary wise dispatch'!$A$3:$R$138,15,FALSE)*$H200*$O200*365</f>
        <v>0</v>
      </c>
      <c r="AK200" s="7">
        <f>VLOOKUP($B200,'[9]Subsidiary wise dispatch'!$A$3:$R$138,16,FALSE)*$H200*$O200*365</f>
        <v>0</v>
      </c>
      <c r="AL200" s="7">
        <f>VLOOKUP($B200,'[9]Subsidiary wise dispatch'!$A$3:$R$138,17,FALSE)*$H200*$O200*365</f>
        <v>0</v>
      </c>
      <c r="AM200" s="7">
        <f>VLOOKUP($B200,'[9]Subsidiary wise dispatch'!$A$3:$R$138,18,FALSE)*$H200*$O200*365</f>
        <v>0</v>
      </c>
      <c r="AN200" s="15">
        <f t="shared" si="170"/>
        <v>1242007.6641128391</v>
      </c>
      <c r="AO200" s="6">
        <v>7.5971148628802138E-2</v>
      </c>
      <c r="AP200" s="11">
        <f t="shared" si="171"/>
        <v>0.4016926254000015</v>
      </c>
      <c r="AQ200" s="11">
        <f t="shared" si="172"/>
        <v>0.54243400120964724</v>
      </c>
      <c r="AR200" s="3">
        <f>VLOOKUP(A200,[10]Sheet1!$A$2:$L$542,12,FALSE)</f>
        <v>1.4229028168281801</v>
      </c>
      <c r="AS200" s="3">
        <f t="shared" si="180"/>
        <v>2.1599721300148063</v>
      </c>
      <c r="AT200" s="3">
        <f t="shared" si="181"/>
        <v>2.1524993414739555</v>
      </c>
      <c r="AU200" s="3">
        <f t="shared" si="173"/>
        <v>7.4727885408507611E-3</v>
      </c>
      <c r="AV200" s="88">
        <f t="shared" si="182"/>
        <v>0.16161852054295911</v>
      </c>
      <c r="AW200" s="32">
        <f t="shared" si="183"/>
        <v>7.1364685617981427E-2</v>
      </c>
      <c r="AX200" s="12">
        <f t="shared" si="174"/>
        <v>416.85611622982896</v>
      </c>
      <c r="AY200" s="12">
        <f t="shared" si="175"/>
        <v>560.96285338152745</v>
      </c>
      <c r="AZ200" s="3">
        <f>VLOOKUP(A200,[5]Analysis!$A$3:$BJ$543,62,FALSE)</f>
        <v>0.60742939517601346</v>
      </c>
      <c r="BA200" s="2"/>
      <c r="BB200" s="2"/>
      <c r="BC200" s="2" t="str">
        <f>VLOOKUP(A200,'[6]FGD status - Jun 2020'!$I$2:$M$449,5,FALSE)</f>
        <v>NIT issued</v>
      </c>
      <c r="BD200" s="2"/>
      <c r="BE200" s="2"/>
      <c r="BF200" s="2">
        <f t="shared" si="176"/>
        <v>486.37145682203391</v>
      </c>
      <c r="BG200" s="2">
        <f t="shared" si="177"/>
        <v>640.55531300061682</v>
      </c>
      <c r="BH200" s="2"/>
      <c r="BI200" s="2"/>
      <c r="BK200">
        <f t="shared" si="178"/>
        <v>220.30985482105334</v>
      </c>
      <c r="BL200">
        <f>VLOOKUP(A200,'[11]Daily coal vs energy req.2'!$C$2:$P$599,14,FALSE)</f>
        <v>1.1399999999999999</v>
      </c>
      <c r="BM200">
        <f>VLOOKUP(A200,'[11]Daily coal vs energy req.2'!$C$2:$R$599,16,FALSE)</f>
        <v>1.26</v>
      </c>
      <c r="BN200">
        <f>BL200*H200</f>
        <v>398.99999999999994</v>
      </c>
      <c r="BO200">
        <f>BM200*H200</f>
        <v>441</v>
      </c>
      <c r="BP200" s="2" t="str">
        <f>VLOOKUP(A200,'[7]Table 2'!$J$2:$N$449,5,FALSE)</f>
        <v>Bid opened</v>
      </c>
      <c r="BR200">
        <f t="shared" si="184"/>
        <v>345.93031864156376</v>
      </c>
      <c r="BS200">
        <f t="shared" si="185"/>
        <v>455.59314886960993</v>
      </c>
      <c r="BT200">
        <f>(X200*I200*365*[5]Analysis!BK200)/10^4</f>
        <v>257.8050029514161</v>
      </c>
      <c r="BU200">
        <f>(W200*R200*365*[5]Analysis!BK200)/10^4</f>
        <v>339.53136443838304</v>
      </c>
      <c r="BV200">
        <f>(X200*I200*365*[5]Analysis!BL200)/10^4</f>
        <v>88.125315690147616</v>
      </c>
      <c r="BW200">
        <f>(W200*R200*365*[5]Analysis!BL200)/10^4</f>
        <v>116.0617844312269</v>
      </c>
      <c r="BX200">
        <f t="shared" si="186"/>
        <v>1599277.4844355835</v>
      </c>
      <c r="BY200">
        <f t="shared" si="187"/>
        <v>2106261.9429008095</v>
      </c>
      <c r="BZ200">
        <f t="shared" si="188"/>
        <v>6072718.0687348861</v>
      </c>
      <c r="CA200">
        <f t="shared" si="189"/>
        <v>8200421.2971592527</v>
      </c>
      <c r="CB200">
        <f t="shared" si="190"/>
        <v>-358924.41945140145</v>
      </c>
      <c r="CC200">
        <f t="shared" si="191"/>
        <v>-654499.16700000002</v>
      </c>
      <c r="CD200">
        <f t="shared" si="192"/>
        <v>-1951298.8364765455</v>
      </c>
      <c r="CE200">
        <f t="shared" si="193"/>
        <v>-2634977.0159999998</v>
      </c>
      <c r="CF200">
        <f t="shared" si="194"/>
        <v>3446052.3807735643</v>
      </c>
      <c r="CG200">
        <f t="shared" si="195"/>
        <v>4653448.59</v>
      </c>
      <c r="CH200">
        <f t="shared" si="196"/>
        <v>280942.66630169621</v>
      </c>
      <c r="CI200">
        <f t="shared" si="197"/>
        <v>379376.77954825416</v>
      </c>
      <c r="CJ200">
        <f t="shared" si="198"/>
        <v>-1113877.8135810529</v>
      </c>
      <c r="CK200">
        <f t="shared" si="199"/>
        <v>-1504148.1</v>
      </c>
      <c r="CL200">
        <f t="shared" si="200"/>
        <v>1135602.7264813217</v>
      </c>
      <c r="CM200">
        <f t="shared" si="201"/>
        <v>1533484.7885157259</v>
      </c>
    </row>
    <row r="201" spans="1:91" x14ac:dyDescent="0.2">
      <c r="A201" s="2" t="s">
        <v>263</v>
      </c>
      <c r="B201" s="2" t="str">
        <f t="shared" si="152"/>
        <v>VINDHYACHAL STPS</v>
      </c>
      <c r="C201" s="2" t="str">
        <f>VLOOKUP($A201,'[1]daily coal, energy reqd'!$C$2:$T$599,17,FALSE)</f>
        <v>Madhya Pradesh</v>
      </c>
      <c r="D201" s="2" t="str">
        <f>VLOOKUP(C201,'Target PLF'!$I$2:$J$19,2,FALSE)</f>
        <v>WR</v>
      </c>
      <c r="E201" s="2" t="str">
        <f>VLOOKUP(A201,[2]Ownership!$C$2:$D$666,2,FALSE)</f>
        <v>CENTRAL SECTOR</v>
      </c>
      <c r="F201" s="2" t="s">
        <v>546</v>
      </c>
      <c r="G201" s="12">
        <v>20.2546201232032</v>
      </c>
      <c r="H201" s="2">
        <v>500</v>
      </c>
      <c r="I201" s="2">
        <f>VLOOKUP(A201,'[3]Calculated coal req (reg.)'!$A$2:$I$599,9,FALSE)</f>
        <v>10.5637195958472</v>
      </c>
      <c r="J201" s="2"/>
      <c r="K201" s="11">
        <v>0.88030996632059999</v>
      </c>
      <c r="L201" s="3">
        <f>VLOOKUP(F201,'Target PLF'!$A$2:$B$11,2,FALSE)</f>
        <v>0.7</v>
      </c>
      <c r="M201" s="3">
        <f t="shared" si="179"/>
        <v>-0.18030996632060003</v>
      </c>
      <c r="N201" s="2" t="str">
        <f t="shared" si="158"/>
        <v>0.25</v>
      </c>
      <c r="O201" s="2">
        <f t="shared" si="155"/>
        <v>13.706294496810864</v>
      </c>
      <c r="P201" s="2">
        <f t="shared" si="159"/>
        <v>2501398.7456679828</v>
      </c>
      <c r="Q201" s="2">
        <f t="shared" si="160"/>
        <v>13.284582842402461</v>
      </c>
      <c r="R201" s="2">
        <f t="shared" si="161"/>
        <v>8.4</v>
      </c>
      <c r="S201" s="2">
        <f t="shared" si="162"/>
        <v>1996594.6566081345</v>
      </c>
      <c r="T201" s="2" t="str">
        <f>VLOOKUP(A201,'[4]CEA vs MERIT comp. &amp; NPA marker'!$C$2:$K$735,9,FALSE)</f>
        <v>Contracted</v>
      </c>
      <c r="U201" s="3">
        <f>VLOOKUP(B201,'[8]Import-Domestic share'!$A$208:$F$406,6,FALSE)</f>
        <v>0</v>
      </c>
      <c r="V201" s="3">
        <f t="shared" si="163"/>
        <v>0</v>
      </c>
      <c r="W201" s="2">
        <f t="shared" si="164"/>
        <v>2878.2971844722783</v>
      </c>
      <c r="X201" s="2">
        <f t="shared" si="165"/>
        <v>2818.6919025337179</v>
      </c>
      <c r="Y201" s="6">
        <f t="shared" si="166"/>
        <v>0.29878777099164511</v>
      </c>
      <c r="Z201" s="2">
        <f t="shared" si="167"/>
        <v>1982854.752830667</v>
      </c>
      <c r="AA201" s="2">
        <f t="shared" si="168"/>
        <v>2441970.7424254399</v>
      </c>
      <c r="AB201" s="2" t="s">
        <v>598</v>
      </c>
      <c r="AC201" s="12">
        <f>VLOOKUP(B201,[9]Sheet1!$A$2:$B$137,2,FALSE)</f>
        <v>4450.5827544825906</v>
      </c>
      <c r="AD201" s="12">
        <f t="shared" si="169"/>
        <v>2225291.3772412953</v>
      </c>
      <c r="AE201" s="2" t="s">
        <v>589</v>
      </c>
      <c r="AF201" s="7">
        <f>VLOOKUP($B201,'[9]Subsidiary wise dispatch'!$A$3:$R$138,11,FALSE)*$H201*$O201*365</f>
        <v>0</v>
      </c>
      <c r="AG201" s="7">
        <f>VLOOKUP($B201,'[9]Subsidiary wise dispatch'!$A$3:$R$138,12,FALSE)*$H201*$O201*365</f>
        <v>0</v>
      </c>
      <c r="AH201" s="7">
        <f>VLOOKUP($B201,'[9]Subsidiary wise dispatch'!$A$3:$R$138,13,FALSE)*$H201*$O201*365</f>
        <v>0</v>
      </c>
      <c r="AI201" s="7">
        <f>VLOOKUP($B201,'[9]Subsidiary wise dispatch'!$A$3:$R$138,14,FALSE)*$H201*$O201*365</f>
        <v>0</v>
      </c>
      <c r="AJ201" s="7">
        <f>VLOOKUP($B201,'[9]Subsidiary wise dispatch'!$A$3:$R$138,15,FALSE)*$H201*$O201*365</f>
        <v>2501398.7456679828</v>
      </c>
      <c r="AK201" s="7">
        <f>VLOOKUP($B201,'[9]Subsidiary wise dispatch'!$A$3:$R$138,16,FALSE)*$H201*$O201*365</f>
        <v>0</v>
      </c>
      <c r="AL201" s="7">
        <f>VLOOKUP($B201,'[9]Subsidiary wise dispatch'!$A$3:$R$138,17,FALSE)*$H201*$O201*365</f>
        <v>0</v>
      </c>
      <c r="AM201" s="7">
        <f>VLOOKUP($B201,'[9]Subsidiary wise dispatch'!$A$3:$R$138,18,FALSE)*$H201*$O201*365</f>
        <v>0</v>
      </c>
      <c r="AN201" s="15">
        <f t="shared" si="170"/>
        <v>2501398.7456679828</v>
      </c>
      <c r="AO201" s="6">
        <v>6.5179373950034494E-2</v>
      </c>
      <c r="AP201" s="11">
        <f t="shared" si="171"/>
        <v>0.68853662984103192</v>
      </c>
      <c r="AQ201" s="11">
        <f t="shared" si="172"/>
        <v>0.54750674118028975</v>
      </c>
      <c r="AR201" s="3">
        <f>VLOOKUP(A201,[10]Sheet1!$A$2:$L$542,12,FALSE)</f>
        <v>1.56705606429194</v>
      </c>
      <c r="AS201" s="3">
        <f t="shared" si="180"/>
        <v>1.74167516860506</v>
      </c>
      <c r="AT201" s="3">
        <f t="shared" si="181"/>
        <v>1.7477847100037625</v>
      </c>
      <c r="AU201" s="3">
        <f t="shared" si="173"/>
        <v>-6.109541398702456E-3</v>
      </c>
      <c r="AV201" s="88">
        <f t="shared" si="182"/>
        <v>-0.13213474951906212</v>
      </c>
      <c r="AW201" s="32">
        <f t="shared" si="183"/>
        <v>7.2358617951300067E-2</v>
      </c>
      <c r="AX201" s="12">
        <f t="shared" si="174"/>
        <v>671.54773594907169</v>
      </c>
      <c r="AY201" s="12">
        <f t="shared" si="175"/>
        <v>535.87079208715363</v>
      </c>
      <c r="AZ201" s="3">
        <f>VLOOKUP(A201,[5]Analysis!$A$3:$BJ$543,62,FALSE)</f>
        <v>0.40603530059943072</v>
      </c>
      <c r="BA201" s="2"/>
      <c r="BB201" s="2"/>
      <c r="BC201" s="2" t="str">
        <f>VLOOKUP(A201,'[6]FGD status - Jun 2020'!$I$2:$M$449,5,FALSE)</f>
        <v>Bid Awarded</v>
      </c>
      <c r="BD201" s="2"/>
      <c r="BE201" s="2"/>
      <c r="BF201" s="2">
        <f t="shared" si="176"/>
        <v>755.78994478067364</v>
      </c>
      <c r="BG201" s="2">
        <f t="shared" si="177"/>
        <v>613.69354600109136</v>
      </c>
      <c r="BH201" s="2"/>
      <c r="BI201" s="2"/>
      <c r="BK201">
        <f t="shared" si="178"/>
        <v>440.15498316029999</v>
      </c>
      <c r="BL201">
        <f>VLOOKUP(A201,'[11]Daily coal vs energy req.2'!$C$2:$P$599,14,FALSE)</f>
        <v>1.04</v>
      </c>
      <c r="BM201">
        <f>VLOOKUP(A201,'[11]Daily coal vs energy req.2'!$C$2:$R$599,16,FALSE)</f>
        <v>0.95</v>
      </c>
      <c r="BN201">
        <f>BL201*H201</f>
        <v>520</v>
      </c>
      <c r="BO201">
        <f>BM201*H201</f>
        <v>475</v>
      </c>
      <c r="BP201" s="2" t="str">
        <f>VLOOKUP(A201,'[7]Table 2'!$J$2:$N$449,5,FALSE)</f>
        <v>Bid Awarded</v>
      </c>
      <c r="BR201">
        <f t="shared" si="184"/>
        <v>441.28699602381744</v>
      </c>
      <c r="BS201">
        <f t="shared" si="185"/>
        <v>358.32043448608619</v>
      </c>
      <c r="BT201">
        <f>(X201*I201*365*[5]Analysis!BK201)/10^4</f>
        <v>413.64468170033956</v>
      </c>
      <c r="BU201">
        <f>(W201*R201*365*[5]Analysis!BK201)/10^4</f>
        <v>335.87516379414188</v>
      </c>
      <c r="BV201">
        <f>(X201*I201*365*[5]Analysis!BL201)/10^4</f>
        <v>27.642314323477848</v>
      </c>
      <c r="BW201">
        <f>(W201*R201*365*[5]Analysis!BL201)/10^4</f>
        <v>22.445270691944337</v>
      </c>
      <c r="BX201">
        <f t="shared" si="186"/>
        <v>3052026.7657587542</v>
      </c>
      <c r="BY201">
        <f t="shared" si="187"/>
        <v>2478213.8758306322</v>
      </c>
      <c r="BZ201">
        <f t="shared" si="188"/>
        <v>8110036.4421288734</v>
      </c>
      <c r="CA201">
        <f t="shared" si="189"/>
        <v>6448893.8290887149</v>
      </c>
      <c r="CB201">
        <f t="shared" si="190"/>
        <v>-1002869.5477174374</v>
      </c>
      <c r="CC201">
        <f t="shared" si="191"/>
        <v>-634116.83999999985</v>
      </c>
      <c r="CD201">
        <f t="shared" si="192"/>
        <v>0</v>
      </c>
      <c r="CE201">
        <f t="shared" si="193"/>
        <v>0</v>
      </c>
      <c r="CF201">
        <f t="shared" si="194"/>
        <v>6884835.5824160399</v>
      </c>
      <c r="CG201">
        <f t="shared" si="195"/>
        <v>5474645.4000000013</v>
      </c>
      <c r="CH201">
        <f t="shared" si="196"/>
        <v>1584297.3820879862</v>
      </c>
      <c r="CI201">
        <f t="shared" si="197"/>
        <v>1259792.8114989679</v>
      </c>
      <c r="CJ201">
        <f t="shared" si="198"/>
        <v>-3179151.4123702152</v>
      </c>
      <c r="CK201">
        <f t="shared" si="199"/>
        <v>-2527980.0000000005</v>
      </c>
      <c r="CL201">
        <f t="shared" si="200"/>
        <v>1946523.34817231</v>
      </c>
      <c r="CM201">
        <f t="shared" si="201"/>
        <v>1547825.6476132912</v>
      </c>
    </row>
    <row r="202" spans="1:91" x14ac:dyDescent="0.2">
      <c r="A202" s="2" t="s">
        <v>179</v>
      </c>
      <c r="B202" s="2" t="str">
        <f t="shared" si="152"/>
        <v>BINJKOTE  TPP</v>
      </c>
      <c r="C202" s="2" t="str">
        <f>VLOOKUP($A202,'[1]daily coal, energy reqd'!$C$2:$T$599,17,FALSE)</f>
        <v>Chhatisgarh</v>
      </c>
      <c r="D202" s="2" t="str">
        <f>VLOOKUP(C202,'Target PLF'!$I$2:$J$19,2,FALSE)</f>
        <v>WR</v>
      </c>
      <c r="E202" s="2" t="str">
        <f>VLOOKUP(A202,[2]Ownership!$C$2:$D$666,2,FALSE)</f>
        <v>PVT SECTOR</v>
      </c>
      <c r="F202" s="2" t="s">
        <v>542</v>
      </c>
      <c r="G202" s="12">
        <v>3.0910335386721401</v>
      </c>
      <c r="H202" s="2">
        <v>300</v>
      </c>
      <c r="I202" s="2">
        <f>VLOOKUP(A202,'[3]Calculated coal req (reg.)'!$A$2:$I$599,9,FALSE)</f>
        <v>2.52252431661281</v>
      </c>
      <c r="J202" s="2"/>
      <c r="K202" s="11">
        <v>0.35035059952955694</v>
      </c>
      <c r="L202" s="3">
        <f>VLOOKUP(F202,'Target PLF'!$A$2:$B$11,2,FALSE)</f>
        <v>0.85</v>
      </c>
      <c r="M202" s="3">
        <f t="shared" si="179"/>
        <v>0.49964940047044304</v>
      </c>
      <c r="N202" s="2" t="str">
        <f t="shared" si="158"/>
        <v>0.15</v>
      </c>
      <c r="O202" s="2">
        <f t="shared" si="155"/>
        <v>5.9698928337720254</v>
      </c>
      <c r="P202" s="2">
        <f t="shared" si="159"/>
        <v>653703.26529803674</v>
      </c>
      <c r="Q202" s="2">
        <f t="shared" si="160"/>
        <v>12.92166483733744</v>
      </c>
      <c r="R202" s="2">
        <f t="shared" si="161"/>
        <v>6.12</v>
      </c>
      <c r="S202" s="2">
        <f t="shared" si="162"/>
        <v>1414922.2996884498</v>
      </c>
      <c r="T202" s="2" t="str">
        <f>VLOOKUP(A202,'[4]CEA vs MERIT comp. &amp; NPA marker'!$C$2:$K$735,9,FALSE)</f>
        <v>Not contracted</v>
      </c>
      <c r="U202" s="3">
        <f>VLOOKUP(B202,'[8]Import-Domestic share'!$A$208:$F$406,6,FALSE)</f>
        <v>0</v>
      </c>
      <c r="V202" s="3">
        <f t="shared" si="163"/>
        <v>0</v>
      </c>
      <c r="W202" s="2">
        <f t="shared" si="164"/>
        <v>2882.7209461204657</v>
      </c>
      <c r="X202" s="2">
        <f t="shared" si="165"/>
        <v>3047.8906480132605</v>
      </c>
      <c r="Y202" s="6">
        <f t="shared" si="166"/>
        <v>0.29832925769571234</v>
      </c>
      <c r="Z202" s="2">
        <f t="shared" si="167"/>
        <v>1583684.4062502158</v>
      </c>
      <c r="AA202" s="2">
        <f t="shared" si="168"/>
        <v>690159.32039534708</v>
      </c>
      <c r="AB202" s="2" t="s">
        <v>598</v>
      </c>
      <c r="AC202" s="12">
        <f>VLOOKUP(B202,[9]Sheet1!$A$2:$B$137,2,FALSE)</f>
        <v>4066.1018218212434</v>
      </c>
      <c r="AD202" s="12">
        <f t="shared" si="169"/>
        <v>1219830.5465463731</v>
      </c>
      <c r="AE202" s="2"/>
      <c r="AF202" s="7">
        <f>VLOOKUP($B202,'[9]Subsidiary wise dispatch'!$A$3:$R$138,11,FALSE)*$H202*$O202*365</f>
        <v>6996.8541545538101</v>
      </c>
      <c r="AG202" s="7">
        <f>VLOOKUP($B202,'[9]Subsidiary wise dispatch'!$A$3:$R$138,12,FALSE)*$H202*$O202*365</f>
        <v>0</v>
      </c>
      <c r="AH202" s="7">
        <f>VLOOKUP($B202,'[9]Subsidiary wise dispatch'!$A$3:$R$138,13,FALSE)*$H202*$O202*365</f>
        <v>0</v>
      </c>
      <c r="AI202" s="7">
        <f>VLOOKUP($B202,'[9]Subsidiary wise dispatch'!$A$3:$R$138,14,FALSE)*$H202*$O202*365</f>
        <v>80797.557901087741</v>
      </c>
      <c r="AJ202" s="7">
        <f>VLOOKUP($B202,'[9]Subsidiary wise dispatch'!$A$3:$R$138,15,FALSE)*$H202*$O202*365</f>
        <v>0</v>
      </c>
      <c r="AK202" s="7">
        <f>VLOOKUP($B202,'[9]Subsidiary wise dispatch'!$A$3:$R$138,16,FALSE)*$H202*$O202*365</f>
        <v>0</v>
      </c>
      <c r="AL202" s="7">
        <f>VLOOKUP($B202,'[9]Subsidiary wise dispatch'!$A$3:$R$138,17,FALSE)*$H202*$O202*365</f>
        <v>565908.85324239521</v>
      </c>
      <c r="AM202" s="7">
        <f>VLOOKUP($B202,'[9]Subsidiary wise dispatch'!$A$3:$R$138,18,FALSE)*$H202*$O202*365</f>
        <v>0</v>
      </c>
      <c r="AN202" s="15">
        <f t="shared" si="170"/>
        <v>653703.26529803674</v>
      </c>
      <c r="AO202" s="6">
        <v>0.11609507686426573</v>
      </c>
      <c r="AP202" s="11">
        <f t="shared" si="171"/>
        <v>0.29285265442914354</v>
      </c>
      <c r="AQ202" s="11">
        <f t="shared" si="172"/>
        <v>0.71050187040930635</v>
      </c>
      <c r="AR202" s="3"/>
      <c r="AS202" s="3">
        <f t="shared" si="180"/>
        <v>2.0923053246763139</v>
      </c>
      <c r="AT202" s="3">
        <f t="shared" si="181"/>
        <v>2.0753754302323029</v>
      </c>
      <c r="AU202" s="3">
        <f t="shared" si="173"/>
        <v>1.6929894444011051E-2</v>
      </c>
      <c r="AV202" s="88">
        <f t="shared" si="182"/>
        <v>0.36615307365275007</v>
      </c>
      <c r="AW202" s="32">
        <f t="shared" si="183"/>
        <v>0.16690832599337047</v>
      </c>
      <c r="AX202" s="12">
        <f t="shared" si="174"/>
        <v>192.64302366351788</v>
      </c>
      <c r="AY202" s="12">
        <f t="shared" si="175"/>
        <v>463.59736360529189</v>
      </c>
      <c r="AZ202" s="3">
        <f>VLOOKUP(A202,[5]Analysis!$A$3:$BJ$543,62,FALSE)</f>
        <v>0.5064719600267592</v>
      </c>
      <c r="BA202" s="2"/>
      <c r="BB202" s="2"/>
      <c r="BC202" s="2" t="str">
        <f>VLOOKUP(A202,'[6]FGD status - Jun 2020'!$I$2:$M$449,5,FALSE)</f>
        <v>Feasability study started</v>
      </c>
      <c r="BD202" s="2"/>
      <c r="BE202" s="2"/>
      <c r="BF202" s="2">
        <f t="shared" si="176"/>
        <v>213.60430966235992</v>
      </c>
      <c r="BG202" s="2">
        <f t="shared" si="177"/>
        <v>490.15032373444177</v>
      </c>
      <c r="BH202" s="2"/>
      <c r="BI202" s="2"/>
      <c r="BK202">
        <f t="shared" si="178"/>
        <v>105.10517985886707</v>
      </c>
      <c r="BP202" s="2" t="e">
        <f>VLOOKUP(A202,'[7]Table 2'!$J$2:$N$449,5,FALSE)</f>
        <v>#N/A</v>
      </c>
      <c r="BR202">
        <f t="shared" si="184"/>
        <v>142.12910250570681</v>
      </c>
      <c r="BS202">
        <f t="shared" si="185"/>
        <v>326.13867068213813</v>
      </c>
      <c r="BT202">
        <f>(X202*I202*365*[5]Analysis!BK202)/10^4</f>
        <v>109.68717704633042</v>
      </c>
      <c r="BU202">
        <f>(W202*R202*365*[5]Analysis!BK202)/10^4</f>
        <v>251.69532124027981</v>
      </c>
      <c r="BV202">
        <f>(X202*I202*365*[5]Analysis!BL202)/10^4</f>
        <v>32.441925459376414</v>
      </c>
      <c r="BW202">
        <f>(W202*R202*365*[5]Analysis!BL202)/10^4</f>
        <v>74.443349441858345</v>
      </c>
      <c r="BX202">
        <f t="shared" si="186"/>
        <v>788058.77308399801</v>
      </c>
      <c r="BY202">
        <f t="shared" si="187"/>
        <v>1808330.8495013684</v>
      </c>
      <c r="BZ202">
        <f t="shared" si="188"/>
        <v>2415643.9143169541</v>
      </c>
      <c r="CA202">
        <f t="shared" si="189"/>
        <v>5860693.0598278791</v>
      </c>
      <c r="CB202">
        <f t="shared" si="190"/>
        <v>-95308.182357199315</v>
      </c>
      <c r="CC202">
        <f t="shared" si="191"/>
        <v>-560999.28600000008</v>
      </c>
      <c r="CD202">
        <f t="shared" si="192"/>
        <v>-930923.47290978453</v>
      </c>
      <c r="CE202">
        <f t="shared" si="193"/>
        <v>-2258551.7280000001</v>
      </c>
      <c r="CF202">
        <f t="shared" si="194"/>
        <v>1644038.826944341</v>
      </c>
      <c r="CG202">
        <f t="shared" si="195"/>
        <v>3988670.22</v>
      </c>
      <c r="CH202">
        <f t="shared" si="196"/>
        <v>57734.421191961446</v>
      </c>
      <c r="CI202">
        <f t="shared" si="197"/>
        <v>140071.85396303888</v>
      </c>
      <c r="CJ202">
        <f t="shared" si="198"/>
        <v>-455492.21585077507</v>
      </c>
      <c r="CK202">
        <f t="shared" si="199"/>
        <v>-1105088.4000000001</v>
      </c>
      <c r="CL202">
        <f t="shared" si="200"/>
        <v>827907.33958798368</v>
      </c>
      <c r="CM202">
        <f t="shared" si="201"/>
        <v>2008620.0497294068</v>
      </c>
    </row>
    <row r="203" spans="1:91" x14ac:dyDescent="0.2">
      <c r="A203" s="2" t="s">
        <v>180</v>
      </c>
      <c r="B203" s="2" t="str">
        <f t="shared" ref="B203:B234" si="202">LEFT(A203,LEN(A203)-LEN(RIGHT(A203,1)))</f>
        <v>NAWAPARA TPP</v>
      </c>
      <c r="C203" s="2" t="str">
        <f>VLOOKUP($A203,'[1]daily coal, energy reqd'!$C$2:$T$599,17,FALSE)</f>
        <v>Chhatisgarh</v>
      </c>
      <c r="D203" s="2" t="str">
        <f>VLOOKUP(C203,'Target PLF'!$I$2:$J$19,2,FALSE)</f>
        <v>WR</v>
      </c>
      <c r="E203" s="2" t="str">
        <f>VLOOKUP(A203,[2]Ownership!$C$2:$D$666,2,FALSE)</f>
        <v>PVT SECTOR</v>
      </c>
      <c r="F203" s="2" t="s">
        <v>542</v>
      </c>
      <c r="G203" s="12">
        <v>3.0910335386721401</v>
      </c>
      <c r="H203" s="2">
        <v>300</v>
      </c>
      <c r="I203" s="2">
        <f>VLOOKUP(A203,'[3]Calculated coal req (reg.)'!$A$2:$I$599,9,FALSE)</f>
        <v>3.8804093960308599</v>
      </c>
      <c r="J203" s="2"/>
      <c r="K203" s="11">
        <v>0.53894574944873053</v>
      </c>
      <c r="L203" s="3">
        <f>VLOOKUP(F203,'Target PLF'!$A$2:$B$11,2,FALSE)</f>
        <v>0.85</v>
      </c>
      <c r="M203" s="3">
        <f t="shared" si="179"/>
        <v>0.31105425055126945</v>
      </c>
      <c r="N203" s="2" t="str">
        <f t="shared" si="158"/>
        <v>0.15</v>
      </c>
      <c r="O203" s="2">
        <f t="shared" si="155"/>
        <v>8.5938737331424626</v>
      </c>
      <c r="P203" s="2">
        <f t="shared" si="159"/>
        <v>941029.1737790996</v>
      </c>
      <c r="Q203" s="2">
        <f t="shared" si="160"/>
        <v>12.92166483733744</v>
      </c>
      <c r="R203" s="2">
        <f t="shared" si="161"/>
        <v>6.12</v>
      </c>
      <c r="S203" s="2">
        <f t="shared" si="162"/>
        <v>1414922.2996884498</v>
      </c>
      <c r="T203" s="2" t="str">
        <f>VLOOKUP(A203,'[4]CEA vs MERIT comp. &amp; NPA marker'!$C$2:$K$735,9,FALSE)</f>
        <v>Contracted</v>
      </c>
      <c r="U203" s="3">
        <f>VLOOKUP(B203,'[8]Import-Domestic share'!$A$208:$F$406,6,FALSE)</f>
        <v>3.1688335896360502E-5</v>
      </c>
      <c r="V203" s="3">
        <f t="shared" si="163"/>
        <v>29.819648546986709</v>
      </c>
      <c r="W203" s="2">
        <f t="shared" si="164"/>
        <v>2882.7280904332483</v>
      </c>
      <c r="X203" s="2">
        <f t="shared" si="165"/>
        <v>2985.553667303082</v>
      </c>
      <c r="Y203" s="6">
        <f t="shared" si="166"/>
        <v>0.29832851834137075</v>
      </c>
      <c r="Z203" s="2">
        <f t="shared" si="167"/>
        <v>1551671.8092553706</v>
      </c>
      <c r="AA203" s="2">
        <f t="shared" si="168"/>
        <v>1018936.6827902176</v>
      </c>
      <c r="AB203" s="2" t="s">
        <v>598</v>
      </c>
      <c r="AC203" s="12">
        <f>VLOOKUP(B203,[9]Sheet1!$A$2:$B$137,2,FALSE)</f>
        <v>4150.0000000000009</v>
      </c>
      <c r="AD203" s="12">
        <f t="shared" si="169"/>
        <v>1245000.0000000002</v>
      </c>
      <c r="AE203" s="2"/>
      <c r="AF203" s="7">
        <f>VLOOKUP($B203,'[9]Subsidiary wise dispatch'!$A$3:$R$138,11,FALSE)*$H203*$O203*365</f>
        <v>0</v>
      </c>
      <c r="AG203" s="7">
        <f>VLOOKUP($B203,'[9]Subsidiary wise dispatch'!$A$3:$R$138,12,FALSE)*$H203*$O203*365</f>
        <v>0</v>
      </c>
      <c r="AH203" s="7">
        <f>VLOOKUP($B203,'[9]Subsidiary wise dispatch'!$A$3:$R$138,13,FALSE)*$H203*$O203*365</f>
        <v>0</v>
      </c>
      <c r="AI203" s="7">
        <f>VLOOKUP($B203,'[9]Subsidiary wise dispatch'!$A$3:$R$138,14,FALSE)*$H203*$O203*365</f>
        <v>0</v>
      </c>
      <c r="AJ203" s="7">
        <f>VLOOKUP($B203,'[9]Subsidiary wise dispatch'!$A$3:$R$138,15,FALSE)*$H203*$O203*365</f>
        <v>0</v>
      </c>
      <c r="AK203" s="7">
        <f>VLOOKUP($B203,'[9]Subsidiary wise dispatch'!$A$3:$R$138,16,FALSE)*$H203*$O203*365</f>
        <v>0</v>
      </c>
      <c r="AL203" s="7">
        <f>VLOOKUP($B203,'[9]Subsidiary wise dispatch'!$A$3:$R$138,17,FALSE)*$H203*$O203*365</f>
        <v>941029.1737790996</v>
      </c>
      <c r="AM203" s="7">
        <f>VLOOKUP($B203,'[9]Subsidiary wise dispatch'!$A$3:$R$138,18,FALSE)*$H203*$O203*365</f>
        <v>0</v>
      </c>
      <c r="AN203" s="15">
        <f t="shared" si="170"/>
        <v>941029.1737790996</v>
      </c>
      <c r="AO203" s="6">
        <v>8.9083336269112648E-2</v>
      </c>
      <c r="AP203" s="11">
        <f t="shared" si="171"/>
        <v>0.34567981508844142</v>
      </c>
      <c r="AQ203" s="11">
        <f t="shared" si="172"/>
        <v>0.54519001796696942</v>
      </c>
      <c r="AR203" s="3">
        <f>VLOOKUP(A203,[10]Sheet1!$A$2:$L$542,12,FALSE)</f>
        <v>1.6633223684210501</v>
      </c>
      <c r="AS203" s="3">
        <f t="shared" si="180"/>
        <v>2.0949369694887126</v>
      </c>
      <c r="AT203" s="3">
        <f t="shared" si="181"/>
        <v>2.0843973478595546</v>
      </c>
      <c r="AU203" s="3">
        <f t="shared" si="173"/>
        <v>1.0539621629158002E-2</v>
      </c>
      <c r="AV203" s="88">
        <f t="shared" si="182"/>
        <v>0.2279467758889813</v>
      </c>
      <c r="AW203" s="32">
        <f t="shared" si="183"/>
        <v>0.1037774202404206</v>
      </c>
      <c r="AX203" s="12">
        <f t="shared" si="174"/>
        <v>296.71627816811917</v>
      </c>
      <c r="AY203" s="12">
        <f t="shared" si="175"/>
        <v>465.61267956486728</v>
      </c>
      <c r="AZ203" s="3">
        <f>VLOOKUP(A203,[5]Analysis!$A$3:$BJ$543,62,FALSE)</f>
        <v>0.55163022207890977</v>
      </c>
      <c r="BA203" s="2"/>
      <c r="BB203" s="2"/>
      <c r="BC203" s="2" t="str">
        <f>VLOOKUP(A203,'[6]FGD status - Jun 2020'!$I$2:$M$449,5,FALSE)</f>
        <v>Feasibility study completed</v>
      </c>
      <c r="BD203" s="2"/>
      <c r="BE203" s="2"/>
      <c r="BF203" s="2">
        <f t="shared" si="176"/>
        <v>315.36780012749153</v>
      </c>
      <c r="BG203" s="2">
        <f t="shared" si="177"/>
        <v>480.25292765464161</v>
      </c>
      <c r="BH203" s="2"/>
      <c r="BI203" s="2"/>
      <c r="BK203">
        <f t="shared" si="178"/>
        <v>161.68372483461917</v>
      </c>
      <c r="BL203" t="str">
        <f>VLOOKUP(A203,'[11]Daily coal vs energy req.2'!$C$2:$P$599,14,FALSE)</f>
        <v/>
      </c>
      <c r="BM203" t="str">
        <f>VLOOKUP(A203,'[11]Daily coal vs energy req.2'!$C$2:$R$599,16,FALSE)</f>
        <v/>
      </c>
      <c r="BP203" s="2" t="str">
        <f>VLOOKUP(A203,'[7]Table 2'!$J$2:$N$449,5,FALSE)</f>
        <v>Feasibility study completed</v>
      </c>
      <c r="BR203">
        <f t="shared" si="184"/>
        <v>233.26165147394491</v>
      </c>
      <c r="BS203">
        <f t="shared" si="185"/>
        <v>355.21886186424649</v>
      </c>
      <c r="BT203">
        <f>(X203*I203*365*[5]Analysis!BK203)/10^4</f>
        <v>163.86264670641049</v>
      </c>
      <c r="BU203">
        <f>(W203*R203*365*[5]Analysis!BK203)/10^4</f>
        <v>249.53567162588627</v>
      </c>
      <c r="BV203">
        <f>(X203*I203*365*[5]Analysis!BL203)/10^4</f>
        <v>69.399004767534421</v>
      </c>
      <c r="BW203">
        <f>(W203*R203*365*[5]Analysis!BL203)/10^4</f>
        <v>105.6831902383602</v>
      </c>
      <c r="BX203">
        <f t="shared" si="186"/>
        <v>1187479.9765531204</v>
      </c>
      <c r="BY203">
        <f t="shared" si="187"/>
        <v>1808335.3311287763</v>
      </c>
      <c r="BZ203">
        <f t="shared" si="188"/>
        <v>4047321.9057323863</v>
      </c>
      <c r="CA203">
        <f t="shared" si="189"/>
        <v>6383246.5946552455</v>
      </c>
      <c r="CB203">
        <f t="shared" si="190"/>
        <v>-225535.31737850117</v>
      </c>
      <c r="CC203">
        <f t="shared" si="191"/>
        <v>-560999.28600000008</v>
      </c>
      <c r="CD203">
        <f t="shared" si="192"/>
        <v>-1432043.357312571</v>
      </c>
      <c r="CE203">
        <f t="shared" si="193"/>
        <v>-2258551.7280000001</v>
      </c>
      <c r="CF203">
        <f t="shared" si="194"/>
        <v>2529031.6012020386</v>
      </c>
      <c r="CG203">
        <f t="shared" si="195"/>
        <v>3988670.22</v>
      </c>
      <c r="CH203">
        <f t="shared" si="196"/>
        <v>88813.094483274283</v>
      </c>
      <c r="CI203">
        <f t="shared" si="197"/>
        <v>140071.85396303888</v>
      </c>
      <c r="CJ203">
        <f t="shared" si="198"/>
        <v>-700685.5246412924</v>
      </c>
      <c r="CK203">
        <f t="shared" si="199"/>
        <v>-1105088.4000000001</v>
      </c>
      <c r="CL203">
        <f t="shared" si="200"/>
        <v>977252.04716688779</v>
      </c>
      <c r="CM203">
        <f t="shared" si="201"/>
        <v>1541276.169153413</v>
      </c>
    </row>
    <row r="204" spans="1:91" x14ac:dyDescent="0.2">
      <c r="A204" s="2" t="s">
        <v>272</v>
      </c>
      <c r="B204" s="2" t="str">
        <f t="shared" si="202"/>
        <v>VINDHYACHAL STPS</v>
      </c>
      <c r="C204" s="2" t="str">
        <f>VLOOKUP($A204,'[1]daily coal, energy reqd'!$C$2:$T$599,17,FALSE)</f>
        <v>Madhya Pradesh</v>
      </c>
      <c r="D204" s="2" t="str">
        <f>VLOOKUP(C204,'Target PLF'!$I$2:$J$19,2,FALSE)</f>
        <v>WR</v>
      </c>
      <c r="E204" s="2" t="str">
        <f>VLOOKUP(A204,[2]Ownership!$C$2:$D$666,2,FALSE)</f>
        <v>CENTRAL SECTOR</v>
      </c>
      <c r="F204" s="2" t="s">
        <v>546</v>
      </c>
      <c r="G204" s="12">
        <v>21.177275838466802</v>
      </c>
      <c r="H204" s="2">
        <v>500</v>
      </c>
      <c r="I204" s="2">
        <f>VLOOKUP(A204,'[3]Calculated coal req (reg.)'!$A$2:$I$599,9,FALSE)</f>
        <v>10.260360400444901</v>
      </c>
      <c r="J204" s="2"/>
      <c r="K204" s="11">
        <v>0.85503003337040839</v>
      </c>
      <c r="L204" s="3">
        <f>VLOOKUP(F204,'Target PLF'!$A$2:$B$11,2,FALSE)</f>
        <v>0.7</v>
      </c>
      <c r="M204" s="3">
        <f t="shared" si="179"/>
        <v>-0.15503003337040844</v>
      </c>
      <c r="N204" s="2" t="str">
        <f t="shared" si="158"/>
        <v>0.25</v>
      </c>
      <c r="O204" s="2">
        <f t="shared" si="155"/>
        <v>13.383792325475939</v>
      </c>
      <c r="P204" s="2">
        <f t="shared" si="159"/>
        <v>2442542.099399359</v>
      </c>
      <c r="Q204" s="2">
        <f t="shared" si="160"/>
        <v>13.313807962183436</v>
      </c>
      <c r="R204" s="2">
        <f t="shared" si="161"/>
        <v>8.4</v>
      </c>
      <c r="S204" s="2">
        <f t="shared" si="162"/>
        <v>2000987.0201987459</v>
      </c>
      <c r="T204" s="2" t="str">
        <f>VLOOKUP(A204,'[4]CEA vs MERIT comp. &amp; NPA marker'!$C$2:$K$735,9,FALSE)</f>
        <v>Contracted</v>
      </c>
      <c r="U204" s="3">
        <f>VLOOKUP(B204,'[8]Import-Domestic share'!$A$208:$F$406,6,FALSE)</f>
        <v>0</v>
      </c>
      <c r="V204" s="3">
        <f t="shared" si="163"/>
        <v>0</v>
      </c>
      <c r="W204" s="2">
        <f t="shared" si="164"/>
        <v>2885.3467696030116</v>
      </c>
      <c r="X204" s="2">
        <f t="shared" si="165"/>
        <v>2834.0983054357157</v>
      </c>
      <c r="Y204" s="6">
        <f t="shared" si="166"/>
        <v>0.29805776174290671</v>
      </c>
      <c r="Z204" s="2">
        <f t="shared" si="167"/>
        <v>1987711.2017954814</v>
      </c>
      <c r="AA204" s="2">
        <f t="shared" si="168"/>
        <v>2384808.4945936585</v>
      </c>
      <c r="AB204" s="2" t="s">
        <v>598</v>
      </c>
      <c r="AC204" s="12">
        <f>VLOOKUP(B204,[9]Sheet1!$A$2:$B$137,2,FALSE)</f>
        <v>4450.5827544825906</v>
      </c>
      <c r="AD204" s="12">
        <f t="shared" si="169"/>
        <v>2225291.3772412953</v>
      </c>
      <c r="AE204" s="2" t="s">
        <v>589</v>
      </c>
      <c r="AF204" s="7">
        <f>VLOOKUP($B204,'[9]Subsidiary wise dispatch'!$A$3:$R$138,11,FALSE)*$H204*$O204*365</f>
        <v>0</v>
      </c>
      <c r="AG204" s="7">
        <f>VLOOKUP($B204,'[9]Subsidiary wise dispatch'!$A$3:$R$138,12,FALSE)*$H204*$O204*365</f>
        <v>0</v>
      </c>
      <c r="AH204" s="7">
        <f>VLOOKUP($B204,'[9]Subsidiary wise dispatch'!$A$3:$R$138,13,FALSE)*$H204*$O204*365</f>
        <v>0</v>
      </c>
      <c r="AI204" s="7">
        <f>VLOOKUP($B204,'[9]Subsidiary wise dispatch'!$A$3:$R$138,14,FALSE)*$H204*$O204*365</f>
        <v>0</v>
      </c>
      <c r="AJ204" s="7">
        <f>VLOOKUP($B204,'[9]Subsidiary wise dispatch'!$A$3:$R$138,15,FALSE)*$H204*$O204*365</f>
        <v>2442542.099399359</v>
      </c>
      <c r="AK204" s="7">
        <f>VLOOKUP($B204,'[9]Subsidiary wise dispatch'!$A$3:$R$138,16,FALSE)*$H204*$O204*365</f>
        <v>0</v>
      </c>
      <c r="AL204" s="7">
        <f>VLOOKUP($B204,'[9]Subsidiary wise dispatch'!$A$3:$R$138,17,FALSE)*$H204*$O204*365</f>
        <v>0</v>
      </c>
      <c r="AM204" s="7">
        <f>VLOOKUP($B204,'[9]Subsidiary wise dispatch'!$A$3:$R$138,18,FALSE)*$H204*$O204*365</f>
        <v>0</v>
      </c>
      <c r="AN204" s="15">
        <f t="shared" si="170"/>
        <v>2442542.099399359</v>
      </c>
      <c r="AO204" s="6">
        <v>6.5179373950034494E-2</v>
      </c>
      <c r="AP204" s="11">
        <f t="shared" si="171"/>
        <v>0.66876386740272387</v>
      </c>
      <c r="AQ204" s="11">
        <f t="shared" si="172"/>
        <v>0.54750674118028975</v>
      </c>
      <c r="AR204" s="3">
        <f>VLOOKUP(A204,[10]Sheet1!$A$2:$L$542,12,FALSE)</f>
        <v>1.56705606429194</v>
      </c>
      <c r="AS204" s="3">
        <f t="shared" si="180"/>
        <v>1.750086129146184</v>
      </c>
      <c r="AT204" s="3">
        <f t="shared" si="181"/>
        <v>1.755339096723332</v>
      </c>
      <c r="AU204" s="3">
        <f t="shared" si="173"/>
        <v>-5.2529675771479933E-3</v>
      </c>
      <c r="AV204" s="88">
        <f t="shared" si="182"/>
        <v>-0.11360910905450272</v>
      </c>
      <c r="AW204" s="32">
        <f t="shared" si="183"/>
        <v>6.1914747893132852E-2</v>
      </c>
      <c r="AX204" s="12">
        <f t="shared" si="174"/>
        <v>655.41277621536824</v>
      </c>
      <c r="AY204" s="12">
        <f t="shared" si="175"/>
        <v>538.18696705537354</v>
      </c>
      <c r="AZ204" s="3">
        <f>VLOOKUP(A204,[5]Analysis!$A$3:$BJ$543,62,FALSE)</f>
        <v>0.40603530059943072</v>
      </c>
      <c r="BA204" s="2"/>
      <c r="BB204" s="2"/>
      <c r="BC204" s="2" t="str">
        <f>VLOOKUP(A204,'[6]FGD status - Jun 2020'!$I$2:$M$449,5,FALSE)</f>
        <v>Bid Awarded</v>
      </c>
      <c r="BD204" s="2"/>
      <c r="BE204" s="2"/>
      <c r="BF204" s="2">
        <f t="shared" si="176"/>
        <v>738.09822907673731</v>
      </c>
      <c r="BG204" s="2">
        <f t="shared" si="177"/>
        <v>615.19661695570142</v>
      </c>
      <c r="BH204" s="2"/>
      <c r="BI204" s="2"/>
      <c r="BK204">
        <f t="shared" si="178"/>
        <v>427.51501668520422</v>
      </c>
      <c r="BL204">
        <f>VLOOKUP(A204,'[11]Daily coal vs energy req.2'!$C$2:$P$599,14,FALSE)</f>
        <v>0.96</v>
      </c>
      <c r="BM204">
        <f>VLOOKUP(A204,'[11]Daily coal vs energy req.2'!$C$2:$R$599,16,FALSE)</f>
        <v>1.1100000000000001</v>
      </c>
      <c r="BN204">
        <f>BL204*H204</f>
        <v>480</v>
      </c>
      <c r="BO204">
        <f>BM204*H204</f>
        <v>555</v>
      </c>
      <c r="BP204" s="2" t="str">
        <f>VLOOKUP(A204,'[7]Table 2'!$J$2:$N$449,5,FALSE)</f>
        <v>Bid Awarded</v>
      </c>
      <c r="BR204">
        <f t="shared" si="184"/>
        <v>430.95724219285978</v>
      </c>
      <c r="BS204">
        <f t="shared" si="185"/>
        <v>359.19804032214034</v>
      </c>
      <c r="BT204">
        <f>(X204*I204*365*[5]Analysis!BK204)/10^4</f>
        <v>403.96198591743752</v>
      </c>
      <c r="BU204">
        <f>(W204*R204*365*[5]Analysis!BK204)/10^4</f>
        <v>336.69779620793133</v>
      </c>
      <c r="BV204">
        <f>(X204*I204*365*[5]Analysis!BL204)/10^4</f>
        <v>26.995256275422271</v>
      </c>
      <c r="BW204">
        <f>(W204*R204*365*[5]Analysis!BL204)/10^4</f>
        <v>22.500244114209011</v>
      </c>
      <c r="BX204">
        <f t="shared" si="186"/>
        <v>2980584.1774662132</v>
      </c>
      <c r="BY204">
        <f t="shared" si="187"/>
        <v>2484283.5686281929</v>
      </c>
      <c r="BZ204">
        <f t="shared" si="188"/>
        <v>7877139.865554207</v>
      </c>
      <c r="CA204">
        <f t="shared" si="189"/>
        <v>6448893.8290887149</v>
      </c>
      <c r="CB204">
        <f t="shared" si="190"/>
        <v>-946097.61206475378</v>
      </c>
      <c r="CC204">
        <f t="shared" si="191"/>
        <v>-634116.83999999985</v>
      </c>
      <c r="CD204">
        <f t="shared" si="192"/>
        <v>0</v>
      </c>
      <c r="CE204">
        <f t="shared" si="193"/>
        <v>0</v>
      </c>
      <c r="CF204">
        <f t="shared" si="194"/>
        <v>6687123.1986473612</v>
      </c>
      <c r="CG204">
        <f t="shared" si="195"/>
        <v>5474645.4000000013</v>
      </c>
      <c r="CH204">
        <f t="shared" si="196"/>
        <v>1608897.7589478551</v>
      </c>
      <c r="CI204">
        <f t="shared" si="197"/>
        <v>1317179.9671457903</v>
      </c>
      <c r="CJ204">
        <f t="shared" si="198"/>
        <v>-3087855.4625138934</v>
      </c>
      <c r="CK204">
        <f t="shared" si="199"/>
        <v>-2527980.0000000005</v>
      </c>
      <c r="CL204">
        <f t="shared" si="200"/>
        <v>1890624.8787576661</v>
      </c>
      <c r="CM204">
        <f t="shared" si="201"/>
        <v>1547825.6476132912</v>
      </c>
    </row>
    <row r="205" spans="1:91" x14ac:dyDescent="0.2">
      <c r="A205" s="2" t="s">
        <v>186</v>
      </c>
      <c r="B205" s="2" t="str">
        <f t="shared" si="202"/>
        <v>NAWAPARA TPP</v>
      </c>
      <c r="C205" s="2" t="str">
        <f>VLOOKUP($A205,'[1]daily coal, energy reqd'!$C$2:$T$599,17,FALSE)</f>
        <v>Chhatisgarh</v>
      </c>
      <c r="D205" s="2" t="str">
        <f>VLOOKUP(C205,'Target PLF'!$I$2:$J$19,2,FALSE)</f>
        <v>WR</v>
      </c>
      <c r="E205" s="2" t="str">
        <f>VLOOKUP(A205,[2]Ownership!$C$2:$D$666,2,FALSE)</f>
        <v>PVT SECTOR</v>
      </c>
      <c r="F205" s="2" t="s">
        <v>542</v>
      </c>
      <c r="G205" s="12">
        <v>3.7563312799452402</v>
      </c>
      <c r="H205" s="2">
        <v>300</v>
      </c>
      <c r="I205" s="2">
        <f>VLOOKUP(A205,'[3]Calculated coal req (reg.)'!$A$2:$I$599,9,FALSE)</f>
        <v>4.14535708464431</v>
      </c>
      <c r="J205" s="2"/>
      <c r="K205" s="11">
        <v>0.57574403953393194</v>
      </c>
      <c r="L205" s="3">
        <f>VLOOKUP(F205,'Target PLF'!$A$2:$B$11,2,FALSE)</f>
        <v>0.85</v>
      </c>
      <c r="M205" s="3">
        <f t="shared" si="179"/>
        <v>0.27425596046606804</v>
      </c>
      <c r="N205" s="2" t="str">
        <f t="shared" si="158"/>
        <v>0.15</v>
      </c>
      <c r="O205" s="2">
        <f t="shared" si="155"/>
        <v>9.1269326885397213</v>
      </c>
      <c r="P205" s="2">
        <f t="shared" si="159"/>
        <v>999399.12939509947</v>
      </c>
      <c r="Q205" s="2">
        <f t="shared" si="160"/>
        <v>12.942738143292265</v>
      </c>
      <c r="R205" s="2">
        <f t="shared" si="161"/>
        <v>6.12</v>
      </c>
      <c r="S205" s="2">
        <f t="shared" si="162"/>
        <v>1417229.8266905032</v>
      </c>
      <c r="T205" s="2" t="str">
        <f>VLOOKUP(A205,'[4]CEA vs MERIT comp. &amp; NPA marker'!$C$2:$K$735,9,FALSE)</f>
        <v>Contracted</v>
      </c>
      <c r="U205" s="3">
        <f>VLOOKUP(B205,'[8]Import-Domestic share'!$A$208:$F$406,6,FALSE)</f>
        <v>3.1688335896360502E-5</v>
      </c>
      <c r="V205" s="3">
        <f t="shared" si="163"/>
        <v>31.669295306802169</v>
      </c>
      <c r="W205" s="2">
        <f t="shared" si="164"/>
        <v>2887.8113224414619</v>
      </c>
      <c r="X205" s="2">
        <f t="shared" si="165"/>
        <v>2978.4724443998825</v>
      </c>
      <c r="Y205" s="6">
        <f t="shared" si="166"/>
        <v>0.29780338947938068</v>
      </c>
      <c r="Z205" s="2">
        <f t="shared" si="167"/>
        <v>1554407.9354384907</v>
      </c>
      <c r="AA205" s="2">
        <f t="shared" si="168"/>
        <v>1085926.1746544531</v>
      </c>
      <c r="AB205" s="2" t="s">
        <v>598</v>
      </c>
      <c r="AC205" s="12">
        <f>VLOOKUP(B205,[9]Sheet1!$A$2:$B$137,2,FALSE)</f>
        <v>4150.0000000000009</v>
      </c>
      <c r="AD205" s="12">
        <f t="shared" si="169"/>
        <v>1245000.0000000002</v>
      </c>
      <c r="AE205" s="2"/>
      <c r="AF205" s="7">
        <f>VLOOKUP($B205,'[9]Subsidiary wise dispatch'!$A$3:$R$138,11,FALSE)*$H205*$O205*365</f>
        <v>0</v>
      </c>
      <c r="AG205" s="7">
        <f>VLOOKUP($B205,'[9]Subsidiary wise dispatch'!$A$3:$R$138,12,FALSE)*$H205*$O205*365</f>
        <v>0</v>
      </c>
      <c r="AH205" s="7">
        <f>VLOOKUP($B205,'[9]Subsidiary wise dispatch'!$A$3:$R$138,13,FALSE)*$H205*$O205*365</f>
        <v>0</v>
      </c>
      <c r="AI205" s="7">
        <f>VLOOKUP($B205,'[9]Subsidiary wise dispatch'!$A$3:$R$138,14,FALSE)*$H205*$O205*365</f>
        <v>0</v>
      </c>
      <c r="AJ205" s="7">
        <f>VLOOKUP($B205,'[9]Subsidiary wise dispatch'!$A$3:$R$138,15,FALSE)*$H205*$O205*365</f>
        <v>0</v>
      </c>
      <c r="AK205" s="7">
        <f>VLOOKUP($B205,'[9]Subsidiary wise dispatch'!$A$3:$R$138,16,FALSE)*$H205*$O205*365</f>
        <v>0</v>
      </c>
      <c r="AL205" s="7">
        <f>VLOOKUP($B205,'[9]Subsidiary wise dispatch'!$A$3:$R$138,17,FALSE)*$H205*$O205*365</f>
        <v>999399.12939509947</v>
      </c>
      <c r="AM205" s="7">
        <f>VLOOKUP($B205,'[9]Subsidiary wise dispatch'!$A$3:$R$138,18,FALSE)*$H205*$O205*365</f>
        <v>0</v>
      </c>
      <c r="AN205" s="15">
        <f t="shared" si="170"/>
        <v>999399.12939509947</v>
      </c>
      <c r="AO205" s="6">
        <v>8.9083336269112648E-2</v>
      </c>
      <c r="AP205" s="11">
        <f t="shared" si="171"/>
        <v>0.36928223912691754</v>
      </c>
      <c r="AQ205" s="11">
        <f t="shared" si="172"/>
        <v>0.54519001796696942</v>
      </c>
      <c r="AR205" s="3">
        <f>VLOOKUP(A205,[10]Sheet1!$A$2:$L$542,12,FALSE)</f>
        <v>1.6633223684210501</v>
      </c>
      <c r="AS205" s="3">
        <f t="shared" si="180"/>
        <v>2.0991373412663914</v>
      </c>
      <c r="AT205" s="3">
        <f t="shared" si="181"/>
        <v>2.0898445762656532</v>
      </c>
      <c r="AU205" s="3">
        <f t="shared" si="173"/>
        <v>9.2927650007381679E-3</v>
      </c>
      <c r="AV205" s="88">
        <f t="shared" si="182"/>
        <v>0.200980252948744</v>
      </c>
      <c r="AW205" s="32">
        <f t="shared" si="183"/>
        <v>9.1317268374808871E-2</v>
      </c>
      <c r="AX205" s="12">
        <f t="shared" si="174"/>
        <v>317.61109549799204</v>
      </c>
      <c r="AY205" s="12">
        <f t="shared" si="175"/>
        <v>466.82948144622162</v>
      </c>
      <c r="AZ205" s="3">
        <f>VLOOKUP(A205,[5]Analysis!$A$3:$BJ$543,62,FALSE)</f>
        <v>0.55163022207890977</v>
      </c>
      <c r="BA205" s="2"/>
      <c r="BB205" s="2"/>
      <c r="BC205" s="2" t="e">
        <f>VLOOKUP(A205,'[6]FGD status - Jun 2020'!$I$2:$M$449,5,FALSE)</f>
        <v>#N/A</v>
      </c>
      <c r="BD205" s="2"/>
      <c r="BE205" s="2"/>
      <c r="BF205" s="2">
        <f t="shared" si="176"/>
        <v>336.10150128645944</v>
      </c>
      <c r="BG205" s="2">
        <f t="shared" si="177"/>
        <v>481.09977722813909</v>
      </c>
      <c r="BH205" s="2"/>
      <c r="BI205" s="2"/>
      <c r="BK205">
        <f t="shared" si="178"/>
        <v>172.72321186017959</v>
      </c>
      <c r="BL205" t="str">
        <f>VLOOKUP(A205,'[11]Daily coal vs energy req.2'!$C$2:$P$599,14,FALSE)</f>
        <v/>
      </c>
      <c r="BM205" t="str">
        <f>VLOOKUP(A205,'[11]Daily coal vs energy req.2'!$C$2:$R$599,16,FALSE)</f>
        <v/>
      </c>
      <c r="BP205" s="2" t="e">
        <f>VLOOKUP(A205,'[7]Table 2'!$J$2:$N$449,5,FALSE)</f>
        <v>#N/A</v>
      </c>
      <c r="BR205">
        <f t="shared" si="184"/>
        <v>248.59732420766392</v>
      </c>
      <c r="BS205">
        <f t="shared" si="185"/>
        <v>355.84523377026909</v>
      </c>
      <c r="BT205">
        <f>(X205*I205*365*[5]Analysis!BK205)/10^4</f>
        <v>174.63571594986144</v>
      </c>
      <c r="BU205">
        <f>(W205*R205*365*[5]Analysis!BK205)/10^4</f>
        <v>249.9756880524821</v>
      </c>
      <c r="BV205">
        <f>(X205*I205*365*[5]Analysis!BL205)/10^4</f>
        <v>73.961608257802482</v>
      </c>
      <c r="BW205">
        <f>(W205*R205*365*[5]Analysis!BL205)/10^4</f>
        <v>105.86954571778699</v>
      </c>
      <c r="BX205">
        <f t="shared" si="186"/>
        <v>1265550.2645031181</v>
      </c>
      <c r="BY205">
        <f t="shared" si="187"/>
        <v>1811524.042567529</v>
      </c>
      <c r="BZ205">
        <f t="shared" si="188"/>
        <v>4323666.0938212071</v>
      </c>
      <c r="CA205">
        <f t="shared" si="189"/>
        <v>6383246.5946552455</v>
      </c>
      <c r="CB205">
        <f t="shared" si="190"/>
        <v>-257385.07404074544</v>
      </c>
      <c r="CC205">
        <f t="shared" si="191"/>
        <v>-560999.28600000008</v>
      </c>
      <c r="CD205">
        <f t="shared" si="192"/>
        <v>-1529820.8180883087</v>
      </c>
      <c r="CE205">
        <f t="shared" si="193"/>
        <v>-2258551.7280000001</v>
      </c>
      <c r="CF205">
        <f t="shared" si="194"/>
        <v>2701709.5350958789</v>
      </c>
      <c r="CG205">
        <f t="shared" si="195"/>
        <v>3988670.22</v>
      </c>
      <c r="CH205">
        <f t="shared" si="196"/>
        <v>115297.94618375719</v>
      </c>
      <c r="CI205">
        <f t="shared" si="197"/>
        <v>170220.18036960973</v>
      </c>
      <c r="CJ205">
        <f t="shared" si="198"/>
        <v>-748527.12877422315</v>
      </c>
      <c r="CK205">
        <f t="shared" si="199"/>
        <v>-1105088.4000000001</v>
      </c>
      <c r="CL205">
        <f t="shared" si="200"/>
        <v>1043977.1384303174</v>
      </c>
      <c r="CM205">
        <f t="shared" si="201"/>
        <v>1541276.169153413</v>
      </c>
    </row>
    <row r="206" spans="1:91" x14ac:dyDescent="0.2">
      <c r="A206" s="2" t="s">
        <v>194</v>
      </c>
      <c r="B206" s="2" t="str">
        <f t="shared" si="202"/>
        <v>BANDAKHAR TPP</v>
      </c>
      <c r="C206" s="2" t="str">
        <f>VLOOKUP($A206,'[1]daily coal, energy reqd'!$C$2:$T$599,17,FALSE)</f>
        <v>Chhatisgarh</v>
      </c>
      <c r="D206" s="2" t="str">
        <f>VLOOKUP(C206,'Target PLF'!$I$2:$J$19,2,FALSE)</f>
        <v>WR</v>
      </c>
      <c r="E206" s="2" t="str">
        <f>VLOOKUP(A206,[2]Ownership!$C$2:$D$666,2,FALSE)</f>
        <v>PVT SECTOR</v>
      </c>
      <c r="F206" s="2" t="s">
        <v>542</v>
      </c>
      <c r="G206" s="12">
        <v>4.8432580424366796</v>
      </c>
      <c r="H206" s="2">
        <v>300</v>
      </c>
      <c r="I206" s="2">
        <f>VLOOKUP(A206,'[3]Calculated coal req (reg.)'!$A$2:$I$599,9,FALSE)</f>
        <v>5.9824662298269597</v>
      </c>
      <c r="J206" s="2"/>
      <c r="K206" s="11">
        <v>0.83089808747596661</v>
      </c>
      <c r="L206" s="3">
        <f>VLOOKUP(F206,'Target PLF'!$A$2:$B$11,2,FALSE)</f>
        <v>0.85</v>
      </c>
      <c r="M206" s="3">
        <f t="shared" si="179"/>
        <v>1.9101912524033371E-2</v>
      </c>
      <c r="N206" s="2" t="str">
        <f t="shared" si="158"/>
        <v>0.15</v>
      </c>
      <c r="O206" s="2">
        <f t="shared" si="155"/>
        <v>12.711395908973548</v>
      </c>
      <c r="P206" s="2">
        <f t="shared" si="159"/>
        <v>1391897.8520326035</v>
      </c>
      <c r="Q206" s="2">
        <f t="shared" si="160"/>
        <v>12.977166548494182</v>
      </c>
      <c r="R206" s="2">
        <f t="shared" si="161"/>
        <v>6.12</v>
      </c>
      <c r="S206" s="2">
        <f t="shared" si="162"/>
        <v>1420999.7370601131</v>
      </c>
      <c r="T206" s="2" t="str">
        <f>VLOOKUP(A206,'[4]CEA vs MERIT comp. &amp; NPA marker'!$C$2:$K$735,9,FALSE)</f>
        <v>Contracted</v>
      </c>
      <c r="U206" s="3">
        <f>VLOOKUP(B206,'[8]Import-Domestic share'!$A$208:$F$406,6,FALSE)</f>
        <v>8.0944837960887448E-3</v>
      </c>
      <c r="V206" s="3">
        <f t="shared" si="163"/>
        <v>11266.694609088639</v>
      </c>
      <c r="W206" s="2">
        <f t="shared" si="164"/>
        <v>2897.933828974722</v>
      </c>
      <c r="X206" s="2">
        <f t="shared" si="165"/>
        <v>2904.2483711200871</v>
      </c>
      <c r="Y206" s="6">
        <f t="shared" si="166"/>
        <v>0.29676315980764295</v>
      </c>
      <c r="Z206" s="2">
        <f t="shared" si="167"/>
        <v>1549521.8708582362</v>
      </c>
      <c r="AA206" s="2">
        <f t="shared" si="168"/>
        <v>1518000.2180540792</v>
      </c>
      <c r="AB206" s="2" t="s">
        <v>598</v>
      </c>
      <c r="AC206" s="12">
        <f>VLOOKUP(B206,[9]Sheet1!$A$2:$B$137,2,FALSE)</f>
        <v>4177.6787465273401</v>
      </c>
      <c r="AD206" s="12">
        <f t="shared" si="169"/>
        <v>1253303.6239582021</v>
      </c>
      <c r="AE206" s="2"/>
      <c r="AF206" s="7">
        <f>VLOOKUP($B206,'[9]Subsidiary wise dispatch'!$A$3:$R$138,11,FALSE)*$H206*$O206*365</f>
        <v>0</v>
      </c>
      <c r="AG206" s="7">
        <f>VLOOKUP($B206,'[9]Subsidiary wise dispatch'!$A$3:$R$138,12,FALSE)*$H206*$O206*365</f>
        <v>0</v>
      </c>
      <c r="AH206" s="7">
        <f>VLOOKUP($B206,'[9]Subsidiary wise dispatch'!$A$3:$R$138,13,FALSE)*$H206*$O206*365</f>
        <v>0</v>
      </c>
      <c r="AI206" s="7">
        <f>VLOOKUP($B206,'[9]Subsidiary wise dispatch'!$A$3:$R$138,14,FALSE)*$H206*$O206*365</f>
        <v>0</v>
      </c>
      <c r="AJ206" s="7">
        <f>VLOOKUP($B206,'[9]Subsidiary wise dispatch'!$A$3:$R$138,15,FALSE)*$H206*$O206*365</f>
        <v>0</v>
      </c>
      <c r="AK206" s="7">
        <f>VLOOKUP($B206,'[9]Subsidiary wise dispatch'!$A$3:$R$138,16,FALSE)*$H206*$O206*365</f>
        <v>0</v>
      </c>
      <c r="AL206" s="7">
        <f>VLOOKUP($B206,'[9]Subsidiary wise dispatch'!$A$3:$R$138,17,FALSE)*$H206*$O206*365</f>
        <v>1391897.8520326035</v>
      </c>
      <c r="AM206" s="7">
        <f>VLOOKUP($B206,'[9]Subsidiary wise dispatch'!$A$3:$R$138,18,FALSE)*$H206*$O206*365</f>
        <v>0</v>
      </c>
      <c r="AN206" s="15">
        <f t="shared" si="170"/>
        <v>1391897.8520326035</v>
      </c>
      <c r="AO206" s="6">
        <v>8.8068952930357491E-2</v>
      </c>
      <c r="AP206" s="11">
        <f t="shared" si="171"/>
        <v>0.52686953680208382</v>
      </c>
      <c r="AQ206" s="11">
        <f t="shared" si="172"/>
        <v>0.53898199193378782</v>
      </c>
      <c r="AR206" s="3">
        <f>VLOOKUP(A206,[10]Sheet1!$A$2:$L$542,12,FALSE)</f>
        <v>1.6513321248306001</v>
      </c>
      <c r="AS206" s="3">
        <f t="shared" si="180"/>
        <v>1.8693189211426788</v>
      </c>
      <c r="AT206" s="3">
        <f t="shared" si="181"/>
        <v>1.868671680572779</v>
      </c>
      <c r="AU206" s="3">
        <f t="shared" si="173"/>
        <v>6.4724056989984291E-4</v>
      </c>
      <c r="AV206" s="88">
        <f t="shared" si="182"/>
        <v>1.3998263535862135E-2</v>
      </c>
      <c r="AW206" s="32">
        <f t="shared" si="183"/>
        <v>7.14218575276661E-3</v>
      </c>
      <c r="AX206" s="12">
        <f t="shared" si="174"/>
        <v>408.18451212571142</v>
      </c>
      <c r="AY206" s="12">
        <f t="shared" si="175"/>
        <v>417.42388000634736</v>
      </c>
      <c r="AZ206" s="3">
        <f>VLOOKUP(A206,[5]Analysis!$A$3:$BJ$543,62,FALSE)</f>
        <v>0.43136752933813094</v>
      </c>
      <c r="BA206" s="2"/>
      <c r="BB206" s="2"/>
      <c r="BC206" s="2" t="e">
        <f>VLOOKUP(A206,'[6]FGD status - Jun 2020'!$I$2:$M$449,5,FALSE)</f>
        <v>#N/A</v>
      </c>
      <c r="BD206" s="2"/>
      <c r="BE206" s="2"/>
      <c r="BF206" s="2">
        <f t="shared" si="176"/>
        <v>472.44566214431507</v>
      </c>
      <c r="BG206" s="2">
        <f t="shared" si="177"/>
        <v>482.25611404927827</v>
      </c>
      <c r="BH206" s="2"/>
      <c r="BI206" s="2"/>
      <c r="BK206">
        <f t="shared" si="178"/>
        <v>249.26942624278999</v>
      </c>
      <c r="BL206" t="str">
        <f>VLOOKUP(A206,'[11]Daily coal vs energy req.2'!$C$2:$P$599,14,FALSE)</f>
        <v/>
      </c>
      <c r="BM206" t="str">
        <f>VLOOKUP(A206,'[11]Daily coal vs energy req.2'!$C$2:$R$599,16,FALSE)</f>
        <v/>
      </c>
      <c r="BP206" s="2" t="e">
        <f>VLOOKUP(A206,'[7]Table 2'!$J$2:$N$449,5,FALSE)</f>
        <v>#N/A</v>
      </c>
      <c r="BR206">
        <f t="shared" si="184"/>
        <v>273.56109011120384</v>
      </c>
      <c r="BS206">
        <f t="shared" si="185"/>
        <v>279.2416543170944</v>
      </c>
      <c r="BT206">
        <f>(X206*I206*365*[5]Analysis!BK206)/10^4</f>
        <v>248.5549335366176</v>
      </c>
      <c r="BU206">
        <f>(W206*R206*365*[5]Analysis!BK206)/10^4</f>
        <v>253.71623866985738</v>
      </c>
      <c r="BV206">
        <f>(X206*I206*365*[5]Analysis!BL206)/10^4</f>
        <v>25.006156574586214</v>
      </c>
      <c r="BW206">
        <f>(W206*R206*365*[5]Analysis!BL206)/10^4</f>
        <v>25.525415647237029</v>
      </c>
      <c r="BX206">
        <f t="shared" si="186"/>
        <v>1780893.1998337272</v>
      </c>
      <c r="BY206">
        <f t="shared" si="187"/>
        <v>1817873.8909158434</v>
      </c>
      <c r="BZ206">
        <f t="shared" si="188"/>
        <v>4879438.5730748726</v>
      </c>
      <c r="CA206">
        <f t="shared" si="189"/>
        <v>4991614.3142327396</v>
      </c>
      <c r="CB206">
        <f t="shared" si="190"/>
        <v>-536068.11416474578</v>
      </c>
      <c r="CC206">
        <f t="shared" si="191"/>
        <v>-560999.28600000008</v>
      </c>
      <c r="CD206">
        <f t="shared" si="192"/>
        <v>-2207795.6603067522</v>
      </c>
      <c r="CE206">
        <f t="shared" si="193"/>
        <v>-2258551.7280000001</v>
      </c>
      <c r="CF206">
        <f t="shared" si="194"/>
        <v>3899033.4792592269</v>
      </c>
      <c r="CG206">
        <f t="shared" si="195"/>
        <v>3988670.22</v>
      </c>
      <c r="CH206">
        <f t="shared" si="196"/>
        <v>214542.63066555842</v>
      </c>
      <c r="CI206">
        <f t="shared" si="197"/>
        <v>219474.85355236105</v>
      </c>
      <c r="CJ206">
        <f t="shared" si="198"/>
        <v>-1080253.9271198541</v>
      </c>
      <c r="CK206">
        <f t="shared" si="199"/>
        <v>-1105088.4000000001</v>
      </c>
      <c r="CL206">
        <f t="shared" si="200"/>
        <v>1489483.3627991099</v>
      </c>
      <c r="CM206">
        <f t="shared" si="201"/>
        <v>1523725.8064044632</v>
      </c>
    </row>
    <row r="207" spans="1:91" x14ac:dyDescent="0.2">
      <c r="A207" s="2" t="s">
        <v>286</v>
      </c>
      <c r="B207" s="2" t="str">
        <f t="shared" si="202"/>
        <v>CHANDRAPUR STPS</v>
      </c>
      <c r="C207" s="2" t="str">
        <f>VLOOKUP($A207,'[1]daily coal, energy reqd'!$C$2:$T$599,17,FALSE)</f>
        <v>Maharashtra</v>
      </c>
      <c r="D207" s="2" t="str">
        <f>VLOOKUP(C207,'Target PLF'!$I$2:$J$19,2,FALSE)</f>
        <v>WR</v>
      </c>
      <c r="E207" s="2" t="str">
        <f>VLOOKUP(A207,[2]Ownership!$C$2:$D$666,2,FALSE)</f>
        <v>STATE SECTOR</v>
      </c>
      <c r="F207" s="2" t="s">
        <v>546</v>
      </c>
      <c r="G207" s="12">
        <v>22.590006844626899</v>
      </c>
      <c r="H207" s="2">
        <v>500</v>
      </c>
      <c r="I207" s="2">
        <f>VLOOKUP(A207,'[3]Calculated coal req (reg.)'!$A$2:$I$599,9,FALSE)</f>
        <v>6.7243134122569996</v>
      </c>
      <c r="J207" s="2"/>
      <c r="K207" s="11">
        <v>0.56035945102141671</v>
      </c>
      <c r="L207" s="3">
        <f>VLOOKUP(F207,'Target PLF'!$A$2:$B$11,2,FALSE)</f>
        <v>0.7</v>
      </c>
      <c r="M207" s="3">
        <f t="shared" si="179"/>
        <v>0.13964054897858325</v>
      </c>
      <c r="N207" s="2" t="str">
        <f t="shared" si="158"/>
        <v>0.25</v>
      </c>
      <c r="O207" s="2">
        <f t="shared" si="155"/>
        <v>9.3287003666998345</v>
      </c>
      <c r="P207" s="2">
        <f t="shared" si="159"/>
        <v>1702487.8169227201</v>
      </c>
      <c r="Q207" s="2">
        <f t="shared" si="160"/>
        <v>13.358556216803557</v>
      </c>
      <c r="R207" s="2">
        <f t="shared" si="161"/>
        <v>8.4</v>
      </c>
      <c r="S207" s="2">
        <f t="shared" si="162"/>
        <v>2007712.4196431227</v>
      </c>
      <c r="T207" s="2" t="str">
        <f>VLOOKUP(A207,'[4]CEA vs MERIT comp. &amp; NPA marker'!$C$2:$K$735,9,FALSE)</f>
        <v>Contracted</v>
      </c>
      <c r="U207" s="3">
        <f>VLOOKUP(B207,'[8]Import-Domestic share'!$A$208:$F$406,6,FALSE)</f>
        <v>3.3278847509413102E-2</v>
      </c>
      <c r="V207" s="3">
        <f t="shared" si="163"/>
        <v>56656.832446004802</v>
      </c>
      <c r="W207" s="2">
        <f t="shared" si="164"/>
        <v>2903.6436956591683</v>
      </c>
      <c r="X207" s="2">
        <f t="shared" si="165"/>
        <v>2949.8048395036776</v>
      </c>
      <c r="Y207" s="6">
        <f t="shared" si="166"/>
        <v>0.29617959024575424</v>
      </c>
      <c r="Z207" s="2">
        <f t="shared" si="167"/>
        <v>2128896.4802202205</v>
      </c>
      <c r="AA207" s="2">
        <f t="shared" si="168"/>
        <v>1731303.3348640003</v>
      </c>
      <c r="AB207" s="2" t="s">
        <v>598</v>
      </c>
      <c r="AC207" s="12">
        <f>VLOOKUP(B207,[9]Sheet1!$A$2:$B$137,2,FALSE)</f>
        <v>4181.7775798896982</v>
      </c>
      <c r="AD207" s="12">
        <f t="shared" si="169"/>
        <v>2090888.7899448492</v>
      </c>
      <c r="AE207" s="2"/>
      <c r="AF207" s="7">
        <f>VLOOKUP($B207,'[9]Subsidiary wise dispatch'!$A$3:$R$138,11,FALSE)*$H207*$O207*365</f>
        <v>0</v>
      </c>
      <c r="AG207" s="7">
        <f>VLOOKUP($B207,'[9]Subsidiary wise dispatch'!$A$3:$R$138,12,FALSE)*$H207*$O207*365</f>
        <v>0</v>
      </c>
      <c r="AH207" s="7">
        <f>VLOOKUP($B207,'[9]Subsidiary wise dispatch'!$A$3:$R$138,13,FALSE)*$H207*$O207*365</f>
        <v>0</v>
      </c>
      <c r="AI207" s="7">
        <f>VLOOKUP($B207,'[9]Subsidiary wise dispatch'!$A$3:$R$138,14,FALSE)*$H207*$O207*365</f>
        <v>303.15101434244718</v>
      </c>
      <c r="AJ207" s="7">
        <f>VLOOKUP($B207,'[9]Subsidiary wise dispatch'!$A$3:$R$138,15,FALSE)*$H207*$O207*365</f>
        <v>0</v>
      </c>
      <c r="AK207" s="7">
        <f>VLOOKUP($B207,'[9]Subsidiary wise dispatch'!$A$3:$R$138,16,FALSE)*$H207*$O207*365</f>
        <v>0</v>
      </c>
      <c r="AL207" s="7">
        <f>VLOOKUP($B207,'[9]Subsidiary wise dispatch'!$A$3:$R$138,17,FALSE)*$H207*$O207*365</f>
        <v>16813.18433856473</v>
      </c>
      <c r="AM207" s="7">
        <f>VLOOKUP($B207,'[9]Subsidiary wise dispatch'!$A$3:$R$138,18,FALSE)*$H207*$O207*365</f>
        <v>1685371.4815698124</v>
      </c>
      <c r="AN207" s="15">
        <f t="shared" si="170"/>
        <v>1702487.8169227196</v>
      </c>
      <c r="AO207" s="6">
        <v>7.096074531932961E-2</v>
      </c>
      <c r="AP207" s="11">
        <f t="shared" si="171"/>
        <v>0.47716229149452122</v>
      </c>
      <c r="AQ207" s="11">
        <f t="shared" si="172"/>
        <v>0.59607026068236879</v>
      </c>
      <c r="AR207" s="3">
        <f>VLOOKUP(A207,[10]Sheet1!$A$2:$L$542,12,FALSE)</f>
        <v>2.3100000000000298</v>
      </c>
      <c r="AS207" s="3">
        <f t="shared" si="180"/>
        <v>2.1267243048079782</v>
      </c>
      <c r="AT207" s="3">
        <f t="shared" si="181"/>
        <v>2.121992787563916</v>
      </c>
      <c r="AU207" s="3">
        <f t="shared" si="173"/>
        <v>4.7315172440622888E-3</v>
      </c>
      <c r="AV207" s="88">
        <f t="shared" si="182"/>
        <v>0.10233138710248538</v>
      </c>
      <c r="AW207" s="32">
        <f t="shared" si="183"/>
        <v>4.5892111938427946E-2</v>
      </c>
      <c r="AX207" s="12">
        <f t="shared" si="174"/>
        <v>521.97776799525298</v>
      </c>
      <c r="AY207" s="12">
        <f t="shared" si="175"/>
        <v>650.60298866709672</v>
      </c>
      <c r="AZ207" s="3">
        <f>VLOOKUP(A207,[5]Analysis!$A$3:$BJ$543,62,FALSE)</f>
        <v>0.58478301540750166</v>
      </c>
      <c r="BA207" s="2"/>
      <c r="BB207" s="2"/>
      <c r="BC207" s="2" t="str">
        <f>VLOOKUP(A207,'[6]FGD status - Jun 2020'!$I$2:$M$449,5,FALSE)</f>
        <v>Feasiblity Study Carried Out</v>
      </c>
      <c r="BD207" s="2"/>
      <c r="BE207" s="2"/>
      <c r="BF207" s="2">
        <f t="shared" si="176"/>
        <v>548.14511267866283</v>
      </c>
      <c r="BG207" s="2">
        <f t="shared" si="177"/>
        <v>674.02642710394196</v>
      </c>
      <c r="BH207" s="2"/>
      <c r="BI207" s="2"/>
      <c r="BK207">
        <f t="shared" si="178"/>
        <v>280.17972551070835</v>
      </c>
      <c r="BL207">
        <f>VLOOKUP(A207,'[11]Daily coal vs energy req.2'!$C$2:$P$599,14,FALSE)</f>
        <v>0.77</v>
      </c>
      <c r="BM207">
        <f>VLOOKUP(A207,'[11]Daily coal vs energy req.2'!$C$2:$R$599,16,FALSE)</f>
        <v>0.52</v>
      </c>
      <c r="BN207">
        <f>BL207*H207</f>
        <v>385</v>
      </c>
      <c r="BO207">
        <f>BM207*H207</f>
        <v>260</v>
      </c>
      <c r="BP207" s="2" t="str">
        <f>VLOOKUP(A207,'[7]Table 2'!$J$2:$N$449,5,FALSE)</f>
        <v>Bid opened</v>
      </c>
      <c r="BR207">
        <f t="shared" si="184"/>
        <v>423.37854475099209</v>
      </c>
      <c r="BS207">
        <f t="shared" si="185"/>
        <v>520.60726481067445</v>
      </c>
      <c r="BT207">
        <f>(X207*I207*365*[5]Analysis!BK207)/10^4</f>
        <v>299.41427855373911</v>
      </c>
      <c r="BU207">
        <f>(W207*R207*365*[5]Analysis!BK207)/10^4</f>
        <v>368.17465253181848</v>
      </c>
      <c r="BV207">
        <f>(X207*I207*365*[5]Analysis!BL207)/10^4</f>
        <v>123.96426619725302</v>
      </c>
      <c r="BW207">
        <f>(W207*R207*365*[5]Analysis!BL207)/10^4</f>
        <v>152.43261227885594</v>
      </c>
      <c r="BX207">
        <f t="shared" si="186"/>
        <v>2033129.7551960566</v>
      </c>
      <c r="BY207">
        <f t="shared" si="187"/>
        <v>2500037.2219625441</v>
      </c>
      <c r="BZ207">
        <f t="shared" si="188"/>
        <v>7435066.3048702925</v>
      </c>
      <c r="CA207">
        <f t="shared" si="189"/>
        <v>9287871.2118130941</v>
      </c>
      <c r="CB207">
        <f t="shared" si="190"/>
        <v>-406355.93668250082</v>
      </c>
      <c r="CC207">
        <f t="shared" si="191"/>
        <v>-634116.83999999985</v>
      </c>
      <c r="CD207">
        <f t="shared" si="192"/>
        <v>0</v>
      </c>
      <c r="CE207">
        <f t="shared" si="193"/>
        <v>0</v>
      </c>
      <c r="CF207">
        <f t="shared" si="194"/>
        <v>4382527.5584013201</v>
      </c>
      <c r="CG207">
        <f t="shared" si="195"/>
        <v>5474645.4000000013</v>
      </c>
      <c r="CH207">
        <f t="shared" si="196"/>
        <v>1124760.4767484725</v>
      </c>
      <c r="CI207">
        <f t="shared" si="197"/>
        <v>1405048.7277207349</v>
      </c>
      <c r="CJ207">
        <f t="shared" si="198"/>
        <v>-2023682.1214187443</v>
      </c>
      <c r="CK207">
        <f t="shared" si="199"/>
        <v>-2527980.0000000005</v>
      </c>
      <c r="CL207">
        <f t="shared" si="200"/>
        <v>1348958.7931958372</v>
      </c>
      <c r="CM207">
        <f t="shared" si="201"/>
        <v>1685116.8540405266</v>
      </c>
    </row>
    <row r="208" spans="1:91" x14ac:dyDescent="0.2">
      <c r="A208" s="2" t="s">
        <v>198</v>
      </c>
      <c r="B208" s="2" t="str">
        <f t="shared" si="202"/>
        <v>HALDIA TPP</v>
      </c>
      <c r="C208" s="2" t="str">
        <f>VLOOKUP($A208,'[1]daily coal, energy reqd'!$C$2:$T$599,17,FALSE)</f>
        <v>West Bengal</v>
      </c>
      <c r="D208" s="2" t="str">
        <f>VLOOKUP(C208,'Target PLF'!$I$2:$J$19,2,FALSE)</f>
        <v>ER</v>
      </c>
      <c r="E208" s="2" t="str">
        <f>VLOOKUP(A208,[2]Ownership!$C$2:$D$666,2,FALSE)</f>
        <v>PVT SECTOR</v>
      </c>
      <c r="F208" s="2" t="s">
        <v>543</v>
      </c>
      <c r="G208" s="12">
        <v>5.2539356605065004</v>
      </c>
      <c r="H208" s="2">
        <v>300</v>
      </c>
      <c r="I208" s="2">
        <f>VLOOKUP(A208,'[3]Calculated coal req (reg.)'!$A$2:$I$599,9,FALSE)</f>
        <v>6.2416555868679602</v>
      </c>
      <c r="J208" s="2"/>
      <c r="K208" s="11">
        <v>0.86689660928721668</v>
      </c>
      <c r="L208" s="3">
        <f>VLOOKUP(F208,'Target PLF'!$A$2:$B$11,2,FALSE)</f>
        <v>0.85</v>
      </c>
      <c r="M208" s="3">
        <f t="shared" si="179"/>
        <v>-1.6896609287216702E-2</v>
      </c>
      <c r="N208" s="2" t="str">
        <f t="shared" si="158"/>
        <v>0.15</v>
      </c>
      <c r="O208" s="2">
        <f t="shared" si="155"/>
        <v>13.225262356042375</v>
      </c>
      <c r="P208" s="2">
        <f t="shared" si="159"/>
        <v>1448166.2279866401</v>
      </c>
      <c r="Q208" s="2">
        <f t="shared" si="160"/>
        <v>12.990174762046543</v>
      </c>
      <c r="R208" s="2">
        <f t="shared" si="161"/>
        <v>6.12</v>
      </c>
      <c r="S208" s="2">
        <f t="shared" si="162"/>
        <v>1422424.1364440967</v>
      </c>
      <c r="T208" s="2" t="str">
        <f>VLOOKUP(A208,'[4]CEA vs MERIT comp. &amp; NPA marker'!$C$2:$K$735,9,FALSE)</f>
        <v>Contracted</v>
      </c>
      <c r="U208" s="3">
        <f>VLOOKUP(B208,'[8]Import-Domestic share'!$A$208:$F$406,6,FALSE)</f>
        <v>2.2833310809997152E-2</v>
      </c>
      <c r="V208" s="3">
        <f t="shared" si="163"/>
        <v>33066.42958816015</v>
      </c>
      <c r="W208" s="2">
        <f t="shared" si="164"/>
        <v>2904.3945775983739</v>
      </c>
      <c r="X208" s="2">
        <f t="shared" si="165"/>
        <v>2898.8090451903672</v>
      </c>
      <c r="Y208" s="6">
        <f t="shared" si="166"/>
        <v>0.29610301803797223</v>
      </c>
      <c r="Z208" s="2">
        <f t="shared" si="167"/>
        <v>1684381.7388873352</v>
      </c>
      <c r="AA208" s="2">
        <f t="shared" si="168"/>
        <v>1714560.8128401949</v>
      </c>
      <c r="AB208" s="2" t="s">
        <v>598</v>
      </c>
      <c r="AC208" s="12">
        <f>VLOOKUP(B208,[9]Sheet1!$A$2:$B$137,2,FALSE)</f>
        <v>3851.7614253672486</v>
      </c>
      <c r="AD208" s="12">
        <f t="shared" si="169"/>
        <v>1155528.4276101745</v>
      </c>
      <c r="AE208" s="2"/>
      <c r="AF208" s="7">
        <f>VLOOKUP($B208,'[9]Subsidiary wise dispatch'!$A$3:$R$138,11,FALSE)*$H208*$O208*365</f>
        <v>130569.70150782626</v>
      </c>
      <c r="AG208" s="7">
        <f>VLOOKUP($B208,'[9]Subsidiary wise dispatch'!$A$3:$R$138,12,FALSE)*$H208*$O208*365</f>
        <v>117009.5100636743</v>
      </c>
      <c r="AH208" s="7">
        <f>VLOOKUP($B208,'[9]Subsidiary wise dispatch'!$A$3:$R$138,13,FALSE)*$H208*$O208*365</f>
        <v>40320.837028020178</v>
      </c>
      <c r="AI208" s="7">
        <f>VLOOKUP($B208,'[9]Subsidiary wise dispatch'!$A$3:$R$138,14,FALSE)*$H208*$O208*365</f>
        <v>1160266.1793871194</v>
      </c>
      <c r="AJ208" s="7">
        <f>VLOOKUP($B208,'[9]Subsidiary wise dispatch'!$A$3:$R$138,15,FALSE)*$H208*$O208*365</f>
        <v>0</v>
      </c>
      <c r="AK208" s="7">
        <f>VLOOKUP($B208,'[9]Subsidiary wise dispatch'!$A$3:$R$138,16,FALSE)*$H208*$O208*365</f>
        <v>0</v>
      </c>
      <c r="AL208" s="7">
        <f>VLOOKUP($B208,'[9]Subsidiary wise dispatch'!$A$3:$R$138,17,FALSE)*$H208*$O208*365</f>
        <v>0</v>
      </c>
      <c r="AM208" s="7">
        <f>VLOOKUP($B208,'[9]Subsidiary wise dispatch'!$A$3:$R$138,18,FALSE)*$H208*$O208*365</f>
        <v>0</v>
      </c>
      <c r="AN208" s="15">
        <f t="shared" si="170"/>
        <v>1448166.2279866401</v>
      </c>
      <c r="AO208" s="6">
        <v>7.8501687626901739E-2</v>
      </c>
      <c r="AP208" s="11">
        <f t="shared" si="171"/>
        <v>0.48998049715501468</v>
      </c>
      <c r="AQ208" s="11">
        <f t="shared" si="172"/>
        <v>0.48043032827663867</v>
      </c>
      <c r="AR208" s="3"/>
      <c r="AS208" s="3">
        <f t="shared" si="180"/>
        <v>2.4986524471690355</v>
      </c>
      <c r="AT208" s="3">
        <f t="shared" si="181"/>
        <v>2.4992249642408559</v>
      </c>
      <c r="AU208" s="3">
        <f t="shared" si="173"/>
        <v>-5.7251707182048861E-4</v>
      </c>
      <c r="AV208" s="88">
        <f t="shared" si="182"/>
        <v>-1.2382173217858145E-2</v>
      </c>
      <c r="AW208" s="32">
        <f t="shared" si="183"/>
        <v>4.7264100933356919E-3</v>
      </c>
      <c r="AX208" s="12">
        <f t="shared" si="174"/>
        <v>569.24407223775768</v>
      </c>
      <c r="AY208" s="12">
        <f t="shared" si="175"/>
        <v>558.27687251212251</v>
      </c>
      <c r="AZ208" s="3">
        <f>VLOOKUP(A208,[5]Analysis!$A$3:$BJ$543,62,FALSE)</f>
        <v>0.77720128329942095</v>
      </c>
      <c r="BA208" s="2"/>
      <c r="BB208" s="2"/>
      <c r="BC208" s="2" t="str">
        <f>VLOOKUP(A208,'[6]FGD status - Jun 2020'!$I$2:$M$449,5,FALSE)</f>
        <v>Feasibility Study started</v>
      </c>
      <c r="BD208" s="2"/>
      <c r="BE208" s="2"/>
      <c r="BF208" s="2">
        <f t="shared" si="176"/>
        <v>539.01881932169886</v>
      </c>
      <c r="BG208" s="2">
        <f t="shared" si="177"/>
        <v>529.53120669899693</v>
      </c>
      <c r="BH208" s="2"/>
      <c r="BI208" s="2"/>
      <c r="BK208">
        <f t="shared" si="178"/>
        <v>260.06898278616501</v>
      </c>
      <c r="BL208">
        <f>VLOOKUP(A208,'[11]Daily coal vs energy req.2'!$C$2:$P$599,14,FALSE)</f>
        <v>0.78</v>
      </c>
      <c r="BM208">
        <f>VLOOKUP(A208,'[11]Daily coal vs energy req.2'!$C$2:$R$599,16,FALSE)</f>
        <v>0.93</v>
      </c>
      <c r="BN208">
        <f>BL208*H208</f>
        <v>234</v>
      </c>
      <c r="BO208">
        <f>BM208*H208</f>
        <v>279</v>
      </c>
      <c r="BP208" s="2" t="str">
        <f>VLOOKUP(A208,'[7]Table 2'!$J$2:$N$449,5,FALSE)</f>
        <v>NIT issued</v>
      </c>
      <c r="BR208">
        <f t="shared" si="184"/>
        <v>513.26988295185095</v>
      </c>
      <c r="BS208">
        <f t="shared" si="185"/>
        <v>504.23549371387446</v>
      </c>
      <c r="BT208">
        <f>(X208*I208*365*[5]Analysis!BK208)/10^4</f>
        <v>279.87951603506673</v>
      </c>
      <c r="BU208">
        <f>(W208*R208*365*[5]Analysis!BK208)/10^4</f>
        <v>274.95317889434955</v>
      </c>
      <c r="BV208">
        <f>(X208*I208*365*[5]Analysis!BL208)/10^4</f>
        <v>233.39036691678407</v>
      </c>
      <c r="BW208">
        <f>(W208*R208*365*[5]Analysis!BL208)/10^4</f>
        <v>229.2823148195248</v>
      </c>
      <c r="BX208">
        <f t="shared" si="186"/>
        <v>1854570.1863980226</v>
      </c>
      <c r="BY208">
        <f t="shared" si="187"/>
        <v>1821926.7185274598</v>
      </c>
      <c r="BZ208">
        <f t="shared" si="188"/>
        <v>9172241.016375253</v>
      </c>
      <c r="CA208">
        <f t="shared" si="189"/>
        <v>8993465.6340729687</v>
      </c>
      <c r="CB208">
        <f t="shared" si="190"/>
        <v>-583524.46037605882</v>
      </c>
      <c r="CC208">
        <f t="shared" si="191"/>
        <v>-560999.28600000008</v>
      </c>
      <c r="CD208">
        <f t="shared" si="192"/>
        <v>-2303448.0410623346</v>
      </c>
      <c r="CE208">
        <f t="shared" si="193"/>
        <v>-2258551.7280000001</v>
      </c>
      <c r="CF208">
        <f t="shared" si="194"/>
        <v>4067958.4579798789</v>
      </c>
      <c r="CG208">
        <f t="shared" si="195"/>
        <v>3988670.22</v>
      </c>
      <c r="CH208">
        <f t="shared" si="196"/>
        <v>242817.67048240252</v>
      </c>
      <c r="CI208">
        <f t="shared" si="197"/>
        <v>238084.93158110874</v>
      </c>
      <c r="CJ208">
        <f t="shared" si="198"/>
        <v>-1127055.7493207476</v>
      </c>
      <c r="CK208">
        <f t="shared" si="199"/>
        <v>-1105088.4000000001</v>
      </c>
      <c r="CL208">
        <f t="shared" si="200"/>
        <v>1385196.4245991011</v>
      </c>
      <c r="CM208">
        <f t="shared" si="201"/>
        <v>1358197.6769725014</v>
      </c>
    </row>
    <row r="209" spans="1:91" x14ac:dyDescent="0.2">
      <c r="A209" s="2" t="s">
        <v>201</v>
      </c>
      <c r="B209" s="2" t="str">
        <f t="shared" si="202"/>
        <v>HALDIA TPP</v>
      </c>
      <c r="C209" s="2" t="str">
        <f>VLOOKUP($A209,'[1]daily coal, energy reqd'!$C$2:$T$599,17,FALSE)</f>
        <v>West Bengal</v>
      </c>
      <c r="D209" s="2" t="str">
        <f>VLOOKUP(C209,'Target PLF'!$I$2:$J$19,2,FALSE)</f>
        <v>ER</v>
      </c>
      <c r="E209" s="2" t="str">
        <f>VLOOKUP(A209,[2]Ownership!$C$2:$D$666,2,FALSE)</f>
        <v>PVT SECTOR</v>
      </c>
      <c r="F209" s="2" t="s">
        <v>543</v>
      </c>
      <c r="G209" s="12">
        <v>5.3388090349075901</v>
      </c>
      <c r="H209" s="2">
        <v>300</v>
      </c>
      <c r="I209" s="2">
        <f>VLOOKUP(A209,'[3]Calculated coal req (reg.)'!$A$2:$I$599,9,FALSE)</f>
        <v>6.1706283710352299</v>
      </c>
      <c r="J209" s="2"/>
      <c r="K209" s="11">
        <v>0.85703171819933754</v>
      </c>
      <c r="L209" s="3">
        <f>VLOOKUP(F209,'Target PLF'!$A$2:$B$11,2,FALSE)</f>
        <v>0.85</v>
      </c>
      <c r="M209" s="3">
        <f t="shared" si="179"/>
        <v>-7.0317181993375666E-3</v>
      </c>
      <c r="N209" s="2" t="str">
        <f t="shared" si="158"/>
        <v>0.15</v>
      </c>
      <c r="O209" s="2">
        <f t="shared" si="155"/>
        <v>13.09069753100354</v>
      </c>
      <c r="P209" s="2">
        <f t="shared" si="159"/>
        <v>1433431.3796448878</v>
      </c>
      <c r="Q209" s="2">
        <f t="shared" si="160"/>
        <v>12.992863126180698</v>
      </c>
      <c r="R209" s="2">
        <f t="shared" si="161"/>
        <v>6.12</v>
      </c>
      <c r="S209" s="2">
        <f t="shared" si="162"/>
        <v>1422718.5123167865</v>
      </c>
      <c r="T209" s="2" t="str">
        <f>VLOOKUP(A209,'[4]CEA vs MERIT comp. &amp; NPA marker'!$C$2:$K$735,9,FALSE)</f>
        <v>Contracted</v>
      </c>
      <c r="U209" s="3">
        <f>VLOOKUP(B209,'[8]Import-Domestic share'!$A$208:$F$406,6,FALSE)</f>
        <v>2.2833310809997152E-2</v>
      </c>
      <c r="V209" s="3">
        <f t="shared" si="163"/>
        <v>32729.984216234745</v>
      </c>
      <c r="W209" s="2">
        <f t="shared" si="164"/>
        <v>2905.0430557558002</v>
      </c>
      <c r="X209" s="2">
        <f t="shared" si="165"/>
        <v>2902.718572232583</v>
      </c>
      <c r="Y209" s="6">
        <f t="shared" si="166"/>
        <v>0.29603692044979185</v>
      </c>
      <c r="Z209" s="2">
        <f t="shared" si="167"/>
        <v>1684757.818905822</v>
      </c>
      <c r="AA209" s="2">
        <f t="shared" si="168"/>
        <v>1697335.943965723</v>
      </c>
      <c r="AB209" s="2" t="s">
        <v>598</v>
      </c>
      <c r="AC209" s="12">
        <f>VLOOKUP(B209,[9]Sheet1!$A$2:$B$137,2,FALSE)</f>
        <v>3851.7614253672486</v>
      </c>
      <c r="AD209" s="12">
        <f t="shared" si="169"/>
        <v>1155528.4276101745</v>
      </c>
      <c r="AE209" s="2"/>
      <c r="AF209" s="7">
        <f>VLOOKUP($B209,'[9]Subsidiary wise dispatch'!$A$3:$R$138,11,FALSE)*$H209*$O209*365</f>
        <v>129241.17670689888</v>
      </c>
      <c r="AG209" s="7">
        <f>VLOOKUP($B209,'[9]Subsidiary wise dispatch'!$A$3:$R$138,12,FALSE)*$H209*$O209*365</f>
        <v>115818.95793505022</v>
      </c>
      <c r="AH209" s="7">
        <f>VLOOKUP($B209,'[9]Subsidiary wise dispatch'!$A$3:$R$138,13,FALSE)*$H209*$O209*365</f>
        <v>39910.579277812605</v>
      </c>
      <c r="AI209" s="7">
        <f>VLOOKUP($B209,'[9]Subsidiary wise dispatch'!$A$3:$R$138,14,FALSE)*$H209*$O209*365</f>
        <v>1148460.6657251259</v>
      </c>
      <c r="AJ209" s="7">
        <f>VLOOKUP($B209,'[9]Subsidiary wise dispatch'!$A$3:$R$138,15,FALSE)*$H209*$O209*365</f>
        <v>0</v>
      </c>
      <c r="AK209" s="7">
        <f>VLOOKUP($B209,'[9]Subsidiary wise dispatch'!$A$3:$R$138,16,FALSE)*$H209*$O209*365</f>
        <v>0</v>
      </c>
      <c r="AL209" s="7">
        <f>VLOOKUP($B209,'[9]Subsidiary wise dispatch'!$A$3:$R$138,17,FALSE)*$H209*$O209*365</f>
        <v>0</v>
      </c>
      <c r="AM209" s="7">
        <f>VLOOKUP($B209,'[9]Subsidiary wise dispatch'!$A$3:$R$138,18,FALSE)*$H209*$O209*365</f>
        <v>0</v>
      </c>
      <c r="AN209" s="15">
        <f t="shared" si="170"/>
        <v>1433431.3796448875</v>
      </c>
      <c r="AO209" s="6">
        <v>7.8501687626901739E-2</v>
      </c>
      <c r="AP209" s="11">
        <f t="shared" si="171"/>
        <v>0.48440474084470514</v>
      </c>
      <c r="AQ209" s="11">
        <f t="shared" si="172"/>
        <v>0.48043032827663867</v>
      </c>
      <c r="AR209" s="3"/>
      <c r="AS209" s="3">
        <f t="shared" si="180"/>
        <v>2.4996816185916151</v>
      </c>
      <c r="AT209" s="3">
        <f t="shared" si="181"/>
        <v>2.499919878152745</v>
      </c>
      <c r="AU209" s="3">
        <f t="shared" si="173"/>
        <v>-2.3825956112988322E-4</v>
      </c>
      <c r="AV209" s="88">
        <f t="shared" si="182"/>
        <v>-5.1529837308385553E-3</v>
      </c>
      <c r="AW209" s="32">
        <f t="shared" si="183"/>
        <v>1.9661400608601324E-3</v>
      </c>
      <c r="AX209" s="12">
        <f t="shared" si="174"/>
        <v>562.99813046963902</v>
      </c>
      <c r="AY209" s="12">
        <f t="shared" si="175"/>
        <v>558.43210238176016</v>
      </c>
      <c r="AZ209" s="3">
        <f>VLOOKUP(A209,[5]Analysis!$A$3:$BJ$543,62,FALSE)</f>
        <v>0.77720128329942095</v>
      </c>
      <c r="BA209" s="2"/>
      <c r="BB209" s="2"/>
      <c r="BC209" s="2" t="str">
        <f>VLOOKUP(A209,'[6]FGD status - Jun 2020'!$I$2:$M$449,5,FALSE)</f>
        <v>Feasibility Study started</v>
      </c>
      <c r="BD209" s="2"/>
      <c r="BE209" s="2"/>
      <c r="BF209" s="2">
        <f t="shared" si="176"/>
        <v>533.60371335744367</v>
      </c>
      <c r="BG209" s="2">
        <f t="shared" si="177"/>
        <v>529.6494376803754</v>
      </c>
      <c r="BH209" s="2"/>
      <c r="BI209" s="2"/>
      <c r="BK209">
        <f t="shared" si="178"/>
        <v>257.10951545980129</v>
      </c>
      <c r="BL209">
        <f>VLOOKUP(A209,'[11]Daily coal vs energy req.2'!$C$2:$P$599,14,FALSE)</f>
        <v>0.93</v>
      </c>
      <c r="BM209">
        <f>VLOOKUP(A209,'[11]Daily coal vs energy req.2'!$C$2:$R$599,16,FALSE)</f>
        <v>0.73</v>
      </c>
      <c r="BN209">
        <f>BL209*H209</f>
        <v>279</v>
      </c>
      <c r="BO209">
        <f>BM209*H209</f>
        <v>219</v>
      </c>
      <c r="BP209" s="2" t="str">
        <f>VLOOKUP(A209,'[7]Table 2'!$J$2:$N$449,5,FALSE)</f>
        <v>NIT issued</v>
      </c>
      <c r="BR209">
        <f t="shared" si="184"/>
        <v>508.11345667355749</v>
      </c>
      <c r="BS209">
        <f t="shared" si="185"/>
        <v>504.34807679965581</v>
      </c>
      <c r="BT209">
        <f>(X209*I209*365*[5]Analysis!BK209)/10^4</f>
        <v>277.06778259974527</v>
      </c>
      <c r="BU209">
        <f>(W209*R209*365*[5]Analysis!BK209)/10^4</f>
        <v>275.01456901406783</v>
      </c>
      <c r="BV209">
        <f>(X209*I209*365*[5]Analysis!BL209)/10^4</f>
        <v>231.04567407381214</v>
      </c>
      <c r="BW209">
        <f>(W209*R209*365*[5]Analysis!BL209)/10^4</f>
        <v>229.33350778558781</v>
      </c>
      <c r="BX209">
        <f t="shared" si="186"/>
        <v>1835938.7514322984</v>
      </c>
      <c r="BY209">
        <f t="shared" si="187"/>
        <v>1822333.5088756136</v>
      </c>
      <c r="BZ209">
        <f t="shared" si="188"/>
        <v>9067865.0646308828</v>
      </c>
      <c r="CA209">
        <f t="shared" si="189"/>
        <v>8993465.6340729687</v>
      </c>
      <c r="CB209">
        <f t="shared" si="190"/>
        <v>-570319.53479644738</v>
      </c>
      <c r="CC209">
        <f t="shared" si="191"/>
        <v>-560999.28600000008</v>
      </c>
      <c r="CD209">
        <f t="shared" si="192"/>
        <v>-2277235.8448116737</v>
      </c>
      <c r="CE209">
        <f t="shared" si="193"/>
        <v>-2258551.7280000001</v>
      </c>
      <c r="CF209">
        <f t="shared" si="194"/>
        <v>4021666.9317377997</v>
      </c>
      <c r="CG209">
        <f t="shared" si="195"/>
        <v>3988670.22</v>
      </c>
      <c r="CH209">
        <f t="shared" si="196"/>
        <v>243932.41521695844</v>
      </c>
      <c r="CI209">
        <f t="shared" si="197"/>
        <v>241931.01437371632</v>
      </c>
      <c r="CJ209">
        <f t="shared" si="198"/>
        <v>-1114230.3649578316</v>
      </c>
      <c r="CK209">
        <f t="shared" si="199"/>
        <v>-1105088.4000000001</v>
      </c>
      <c r="CL209">
        <f t="shared" si="200"/>
        <v>1369433.5161765786</v>
      </c>
      <c r="CM209">
        <f t="shared" si="201"/>
        <v>1358197.6769725014</v>
      </c>
    </row>
    <row r="210" spans="1:91" x14ac:dyDescent="0.2">
      <c r="A210" s="2" t="s">
        <v>205</v>
      </c>
      <c r="B210" s="2" t="str">
        <f t="shared" si="202"/>
        <v>DHARIWAL TPS</v>
      </c>
      <c r="C210" s="2" t="str">
        <f>VLOOKUP($A210,'[1]daily coal, energy reqd'!$C$2:$T$599,17,FALSE)</f>
        <v>Maharashtra</v>
      </c>
      <c r="D210" s="2" t="str">
        <f>VLOOKUP(C210,'Target PLF'!$I$2:$J$19,2,FALSE)</f>
        <v>WR</v>
      </c>
      <c r="E210" s="2" t="str">
        <f>VLOOKUP(A210,[2]Ownership!$C$2:$D$666,2,FALSE)</f>
        <v>PVT SECTOR</v>
      </c>
      <c r="F210" s="2" t="s">
        <v>543</v>
      </c>
      <c r="G210" s="12">
        <v>6.00958247775496</v>
      </c>
      <c r="H210" s="2">
        <v>300</v>
      </c>
      <c r="I210" s="2">
        <f>VLOOKUP(A210,'[3]Calculated coal req (reg.)'!$A$2:$I$599,9,FALSE)</f>
        <v>5.6901275964589404</v>
      </c>
      <c r="J210" s="2"/>
      <c r="K210" s="11">
        <v>0.79029549950818612</v>
      </c>
      <c r="L210" s="3">
        <f>VLOOKUP(F210,'Target PLF'!$A$2:$B$11,2,FALSE)</f>
        <v>0.85</v>
      </c>
      <c r="M210" s="3">
        <f t="shared" si="179"/>
        <v>5.9704500491813861E-2</v>
      </c>
      <c r="N210" s="2" t="str">
        <f t="shared" si="158"/>
        <v>0.15</v>
      </c>
      <c r="O210" s="2">
        <f t="shared" si="155"/>
        <v>12.183423248290135</v>
      </c>
      <c r="P210" s="2">
        <f t="shared" si="159"/>
        <v>1334084.8456877696</v>
      </c>
      <c r="Q210" s="2">
        <f t="shared" si="160"/>
        <v>13.014109874982889</v>
      </c>
      <c r="R210" s="2">
        <f t="shared" si="161"/>
        <v>6.12</v>
      </c>
      <c r="S210" s="2">
        <f t="shared" si="162"/>
        <v>1425045.0313106265</v>
      </c>
      <c r="T210" s="2" t="str">
        <f>VLOOKUP(A210,'[4]CEA vs MERIT comp. &amp; NPA marker'!$C$2:$K$735,9,FALSE)</f>
        <v>Not contracted</v>
      </c>
      <c r="U210" s="3">
        <f>VLOOKUP(B210,'[8]Import-Domestic share'!$A$208:$F$406,6,FALSE)</f>
        <v>2.9673684724732544E-2</v>
      </c>
      <c r="V210" s="3">
        <f t="shared" si="163"/>
        <v>39587.213106982344</v>
      </c>
      <c r="W210" s="2">
        <f t="shared" si="164"/>
        <v>2911.7103256696632</v>
      </c>
      <c r="X210" s="2">
        <f t="shared" si="165"/>
        <v>2931.4469140426431</v>
      </c>
      <c r="Y210" s="6">
        <f t="shared" si="166"/>
        <v>0.29535905148882174</v>
      </c>
      <c r="Z210" s="2">
        <f t="shared" si="167"/>
        <v>1542398.2304122944</v>
      </c>
      <c r="AA210" s="2">
        <f t="shared" si="168"/>
        <v>1443779.8245472549</v>
      </c>
      <c r="AB210" s="2" t="s">
        <v>598</v>
      </c>
      <c r="AC210" s="12">
        <f>VLOOKUP(B210,[9]Sheet1!$A$2:$B$137,2,FALSE)</f>
        <v>4216.925562565174</v>
      </c>
      <c r="AD210" s="12">
        <f t="shared" si="169"/>
        <v>1265077.6687695521</v>
      </c>
      <c r="AE210" s="2"/>
      <c r="AF210" s="7">
        <f>VLOOKUP($B210,'[9]Subsidiary wise dispatch'!$A$3:$R$138,11,FALSE)*$H210*$O210*365</f>
        <v>0</v>
      </c>
      <c r="AG210" s="7">
        <f>VLOOKUP($B210,'[9]Subsidiary wise dispatch'!$A$3:$R$138,12,FALSE)*$H210*$O210*365</f>
        <v>0</v>
      </c>
      <c r="AH210" s="7">
        <f>VLOOKUP($B210,'[9]Subsidiary wise dispatch'!$A$3:$R$138,13,FALSE)*$H210*$O210*365</f>
        <v>0</v>
      </c>
      <c r="AI210" s="7">
        <f>VLOOKUP($B210,'[9]Subsidiary wise dispatch'!$A$3:$R$138,14,FALSE)*$H210*$O210*365</f>
        <v>0</v>
      </c>
      <c r="AJ210" s="7">
        <f>VLOOKUP($B210,'[9]Subsidiary wise dispatch'!$A$3:$R$138,15,FALSE)*$H210*$O210*365</f>
        <v>0</v>
      </c>
      <c r="AK210" s="7">
        <f>VLOOKUP($B210,'[9]Subsidiary wise dispatch'!$A$3:$R$138,16,FALSE)*$H210*$O210*365</f>
        <v>0</v>
      </c>
      <c r="AL210" s="7">
        <f>VLOOKUP($B210,'[9]Subsidiary wise dispatch'!$A$3:$R$138,17,FALSE)*$H210*$O210*365</f>
        <v>1069489.2823000273</v>
      </c>
      <c r="AM210" s="7">
        <f>VLOOKUP($B210,'[9]Subsidiary wise dispatch'!$A$3:$R$138,18,FALSE)*$H210*$O210*365</f>
        <v>264595.56338774227</v>
      </c>
      <c r="AN210" s="15">
        <f t="shared" si="170"/>
        <v>1334084.8456877696</v>
      </c>
      <c r="AO210" s="6">
        <v>8.4082972715828666E-2</v>
      </c>
      <c r="AP210" s="11">
        <f t="shared" si="171"/>
        <v>0.47844284344264082</v>
      </c>
      <c r="AQ210" s="11">
        <f t="shared" si="172"/>
        <v>0.51458779302087143</v>
      </c>
      <c r="AR210" s="3">
        <f>VLOOKUP(A210,[10]Sheet1!$A$2:$L$542,12,FALSE)</f>
        <v>1.9895573317595701</v>
      </c>
      <c r="AS210" s="3">
        <f t="shared" si="180"/>
        <v>2.4692081082988673</v>
      </c>
      <c r="AT210" s="3">
        <f t="shared" si="181"/>
        <v>2.4671851079906371</v>
      </c>
      <c r="AU210" s="3">
        <f t="shared" si="173"/>
        <v>2.0230003082302161E-3</v>
      </c>
      <c r="AV210" s="88">
        <f t="shared" si="182"/>
        <v>4.3752652050411033E-2</v>
      </c>
      <c r="AW210" s="32">
        <f t="shared" si="183"/>
        <v>1.6900014057919962E-2</v>
      </c>
      <c r="AX210" s="12">
        <f t="shared" si="174"/>
        <v>512.82898574275191</v>
      </c>
      <c r="AY210" s="12">
        <f t="shared" si="175"/>
        <v>551.11980942294849</v>
      </c>
      <c r="AZ210" s="3">
        <f>VLOOKUP(A210,[5]Analysis!$A$3:$BJ$543,62,FALSE)</f>
        <v>0.74855527340999251</v>
      </c>
      <c r="BA210" s="2"/>
      <c r="BB210" s="2"/>
      <c r="BC210" s="2" t="str">
        <f>VLOOKUP(A210,'[6]FGD status - Jun 2020'!$I$2:$M$449,5,FALSE)</f>
        <v>Feasibility Study completed</v>
      </c>
      <c r="BD210" s="2"/>
      <c r="BE210" s="2"/>
      <c r="BF210" s="2">
        <f t="shared" si="176"/>
        <v>456.00096399811184</v>
      </c>
      <c r="BG210" s="2">
        <f t="shared" si="177"/>
        <v>487.14843356225879</v>
      </c>
      <c r="BH210" s="2"/>
      <c r="BI210" s="2"/>
      <c r="BK210">
        <f t="shared" si="178"/>
        <v>237.08864985245583</v>
      </c>
      <c r="BL210">
        <f>VLOOKUP(A210,'[11]Daily coal vs energy req.2'!$C$2:$P$599,14,FALSE)</f>
        <v>1.18</v>
      </c>
      <c r="BM210">
        <f>VLOOKUP(A210,'[11]Daily coal vs energy req.2'!$C$2:$R$599,16,FALSE)</f>
        <v>1.0900000000000001</v>
      </c>
      <c r="BN210">
        <f>BL210*H210</f>
        <v>354</v>
      </c>
      <c r="BO210">
        <f>BM210*H210</f>
        <v>327</v>
      </c>
      <c r="BP210" s="2" t="str">
        <f>VLOOKUP(A210,'[7]Table 2'!$J$2:$N$449,5,FALSE)</f>
        <v>NIT issued</v>
      </c>
      <c r="BR210">
        <f t="shared" si="184"/>
        <v>455.74380903316501</v>
      </c>
      <c r="BS210">
        <f t="shared" si="185"/>
        <v>486.87371344487519</v>
      </c>
      <c r="BT210">
        <f>(X210*I210*365*[5]Analysis!BK210)/10^4</f>
        <v>250.07477374364333</v>
      </c>
      <c r="BU210">
        <f>(W210*R210*365*[5]Analysis!BK210)/10^4</f>
        <v>267.15630869402406</v>
      </c>
      <c r="BV210">
        <f>(X210*I210*365*[5]Analysis!BL210)/10^4</f>
        <v>205.6690352895217</v>
      </c>
      <c r="BW210">
        <f>(W210*R210*365*[5]Analysis!BL210)/10^4</f>
        <v>219.71740475085107</v>
      </c>
      <c r="BX210">
        <f t="shared" si="186"/>
        <v>1709731.4657727154</v>
      </c>
      <c r="BY210">
        <f t="shared" si="187"/>
        <v>1826515.8872925797</v>
      </c>
      <c r="BZ210">
        <f t="shared" si="188"/>
        <v>8053562.394742256</v>
      </c>
      <c r="CA210">
        <f t="shared" si="189"/>
        <v>8661985.3457232174</v>
      </c>
      <c r="CB210">
        <f t="shared" si="190"/>
        <v>-484957.2704494698</v>
      </c>
      <c r="CC210">
        <f t="shared" si="191"/>
        <v>-560999.28600000008</v>
      </c>
      <c r="CD210">
        <f t="shared" si="192"/>
        <v>-2099909.7247586315</v>
      </c>
      <c r="CE210">
        <f t="shared" si="193"/>
        <v>-2258551.7280000001</v>
      </c>
      <c r="CF210">
        <f t="shared" si="194"/>
        <v>3708503.6751627377</v>
      </c>
      <c r="CG210">
        <f t="shared" si="195"/>
        <v>3988670.22</v>
      </c>
      <c r="CH210">
        <f t="shared" si="196"/>
        <v>253199.03294898439</v>
      </c>
      <c r="CI210">
        <f t="shared" si="197"/>
        <v>272327.475154004</v>
      </c>
      <c r="CJ210">
        <f t="shared" si="198"/>
        <v>-1027466.340092591</v>
      </c>
      <c r="CK210">
        <f t="shared" si="199"/>
        <v>-1105088.4000000001</v>
      </c>
      <c r="CL210">
        <f t="shared" si="200"/>
        <v>1352578.9698974572</v>
      </c>
      <c r="CM210">
        <f t="shared" si="201"/>
        <v>1454762.3327328966</v>
      </c>
    </row>
    <row r="211" spans="1:91" x14ac:dyDescent="0.2">
      <c r="A211" s="2" t="s">
        <v>214</v>
      </c>
      <c r="B211" s="2" t="str">
        <f t="shared" si="202"/>
        <v>GMR WARORA TPS</v>
      </c>
      <c r="C211" s="2" t="str">
        <f>VLOOKUP($A211,'[1]daily coal, energy reqd'!$C$2:$T$599,17,FALSE)</f>
        <v>Maharashtra</v>
      </c>
      <c r="D211" s="2" t="str">
        <f>VLOOKUP(C211,'Target PLF'!$I$2:$J$19,2,FALSE)</f>
        <v>WR</v>
      </c>
      <c r="E211" s="2" t="str">
        <f>VLOOKUP(A211,[2]Ownership!$C$2:$D$666,2,FALSE)</f>
        <v>PVT SECTOR</v>
      </c>
      <c r="F211" s="2" t="s">
        <v>543</v>
      </c>
      <c r="G211" s="12">
        <v>6.7570157426420199</v>
      </c>
      <c r="H211" s="2">
        <v>300</v>
      </c>
      <c r="I211" s="2">
        <f>VLOOKUP(A211,'[3]Calculated coal req (reg.)'!$A$2:$I$599,9,FALSE)</f>
        <v>5.2702625209668597</v>
      </c>
      <c r="J211" s="2"/>
      <c r="K211" s="11">
        <v>0.73198090568984164</v>
      </c>
      <c r="L211" s="3">
        <f>VLOOKUP(F211,'Target PLF'!$A$2:$B$11,2,FALSE)</f>
        <v>0.85</v>
      </c>
      <c r="M211" s="3">
        <f t="shared" si="179"/>
        <v>0.11801909431015833</v>
      </c>
      <c r="N211" s="2" t="str">
        <f t="shared" si="158"/>
        <v>0.15</v>
      </c>
      <c r="O211" s="2">
        <f t="shared" si="155"/>
        <v>11.39574975878266</v>
      </c>
      <c r="P211" s="2">
        <f t="shared" si="159"/>
        <v>1247834.5985867013</v>
      </c>
      <c r="Q211" s="2">
        <f t="shared" si="160"/>
        <v>13.037784823648186</v>
      </c>
      <c r="R211" s="2">
        <f t="shared" si="161"/>
        <v>6.12</v>
      </c>
      <c r="S211" s="2">
        <f t="shared" si="162"/>
        <v>1427637.4381894765</v>
      </c>
      <c r="T211" s="2" t="str">
        <f>VLOOKUP(A211,'[4]CEA vs MERIT comp. &amp; NPA marker'!$C$2:$K$735,9,FALSE)</f>
        <v>Contracted</v>
      </c>
      <c r="U211" s="3">
        <f>VLOOKUP(B211,'[8]Import-Domestic share'!$A$208:$F$406,6,FALSE)</f>
        <v>8.6047411424651186E-3</v>
      </c>
      <c r="V211" s="3">
        <f t="shared" si="163"/>
        <v>10737.293709450434</v>
      </c>
      <c r="W211" s="2">
        <f t="shared" si="164"/>
        <v>2912.671005868358</v>
      </c>
      <c r="X211" s="2">
        <f t="shared" si="165"/>
        <v>2951.6847194973798</v>
      </c>
      <c r="Y211" s="6">
        <f t="shared" si="166"/>
        <v>0.2952616338293268</v>
      </c>
      <c r="Z211" s="2">
        <f t="shared" si="167"/>
        <v>1571936.2035403124</v>
      </c>
      <c r="AA211" s="2">
        <f t="shared" si="168"/>
        <v>1371810.9884241447</v>
      </c>
      <c r="AB211" s="2" t="s">
        <v>598</v>
      </c>
      <c r="AC211" s="12">
        <f>VLOOKUP(B211,[9]Sheet1!$A$2:$B$137,2,FALSE)</f>
        <v>4139.0512402826553</v>
      </c>
      <c r="AD211" s="12">
        <f t="shared" si="169"/>
        <v>1241715.3720847967</v>
      </c>
      <c r="AE211" s="2"/>
      <c r="AF211" s="7">
        <f>VLOOKUP($B211,'[9]Subsidiary wise dispatch'!$A$3:$R$138,11,FALSE)*$H211*$O211*365</f>
        <v>0</v>
      </c>
      <c r="AG211" s="7">
        <f>VLOOKUP($B211,'[9]Subsidiary wise dispatch'!$A$3:$R$138,12,FALSE)*$H211*$O211*365</f>
        <v>0</v>
      </c>
      <c r="AH211" s="7">
        <f>VLOOKUP($B211,'[9]Subsidiary wise dispatch'!$A$3:$R$138,13,FALSE)*$H211*$O211*365</f>
        <v>0</v>
      </c>
      <c r="AI211" s="7">
        <f>VLOOKUP($B211,'[9]Subsidiary wise dispatch'!$A$3:$R$138,14,FALSE)*$H211*$O211*365</f>
        <v>0</v>
      </c>
      <c r="AJ211" s="7">
        <f>VLOOKUP($B211,'[9]Subsidiary wise dispatch'!$A$3:$R$138,15,FALSE)*$H211*$O211*365</f>
        <v>0</v>
      </c>
      <c r="AK211" s="7">
        <f>VLOOKUP($B211,'[9]Subsidiary wise dispatch'!$A$3:$R$138,16,FALSE)*$H211*$O211*365</f>
        <v>0</v>
      </c>
      <c r="AL211" s="7">
        <f>VLOOKUP($B211,'[9]Subsidiary wise dispatch'!$A$3:$R$138,17,FALSE)*$H211*$O211*365</f>
        <v>1213535.8151667223</v>
      </c>
      <c r="AM211" s="7">
        <f>VLOOKUP($B211,'[9]Subsidiary wise dispatch'!$A$3:$R$138,18,FALSE)*$H211*$O211*365</f>
        <v>34298.783419979191</v>
      </c>
      <c r="AN211" s="15">
        <f t="shared" si="170"/>
        <v>1247834.5985867016</v>
      </c>
      <c r="AO211" s="6">
        <v>8.7066312766907406E-2</v>
      </c>
      <c r="AP211" s="11">
        <f t="shared" si="171"/>
        <v>0.45886232501421048</v>
      </c>
      <c r="AQ211" s="11">
        <f t="shared" si="172"/>
        <v>0.53284583413347331</v>
      </c>
      <c r="AR211" s="3">
        <f>VLOOKUP(A211,[10]Sheet1!$A$2:$L$542,12,FALSE)</f>
        <v>1.9006111999999999</v>
      </c>
      <c r="AS211" s="3">
        <f t="shared" si="180"/>
        <v>2.5575514065475691</v>
      </c>
      <c r="AT211" s="3">
        <f t="shared" si="181"/>
        <v>2.5535525009005946</v>
      </c>
      <c r="AU211" s="3">
        <f t="shared" si="173"/>
        <v>3.998905646974471E-3</v>
      </c>
      <c r="AV211" s="88">
        <f t="shared" si="182"/>
        <v>8.6486752692370231E-2</v>
      </c>
      <c r="AW211" s="32">
        <f t="shared" si="183"/>
        <v>3.2252664339109359E-2</v>
      </c>
      <c r="AX211" s="12">
        <f t="shared" si="174"/>
        <v>491.98230730314106</v>
      </c>
      <c r="AY211" s="12">
        <f t="shared" si="175"/>
        <v>570.41255765117489</v>
      </c>
      <c r="AZ211" s="3">
        <f>VLOOKUP(A211,[5]Analysis!$A$3:$BJ$543,62,FALSE)</f>
        <v>0.78679363471938157</v>
      </c>
      <c r="BA211" s="2"/>
      <c r="BB211" s="2"/>
      <c r="BC211" s="2" t="str">
        <f>VLOOKUP(A211,'[6]FGD status - Jun 2020'!$I$2:$M$449,5,FALSE)</f>
        <v>NIT issued</v>
      </c>
      <c r="BD211" s="2"/>
      <c r="BE211" s="2"/>
      <c r="BF211" s="2">
        <f t="shared" si="176"/>
        <v>427.09685207457278</v>
      </c>
      <c r="BG211" s="2">
        <f t="shared" si="177"/>
        <v>489.40343083659894</v>
      </c>
      <c r="BH211" s="2"/>
      <c r="BI211" s="2"/>
      <c r="BK211">
        <f t="shared" si="178"/>
        <v>219.5942717069525</v>
      </c>
      <c r="BP211" s="2" t="str">
        <f>VLOOKUP(A211,'[7]Table 2'!$J$2:$N$449,5,FALSE)</f>
        <v>Bid opened</v>
      </c>
      <c r="BR211">
        <f t="shared" si="184"/>
        <v>446.74110895740176</v>
      </c>
      <c r="BS211">
        <f t="shared" si="185"/>
        <v>511.9134696439404</v>
      </c>
      <c r="BT211">
        <f>(X211*I211*365*[5]Analysis!BK211)/10^4</f>
        <v>224.55085714640072</v>
      </c>
      <c r="BU211">
        <f>(W211*R211*365*[5]Analysis!BK211)/10^4</f>
        <v>257.30922471317888</v>
      </c>
      <c r="BV211">
        <f>(X211*I211*365*[5]Analysis!BL211)/10^4</f>
        <v>222.19025181100102</v>
      </c>
      <c r="BW211">
        <f>(W211*R211*365*[5]Analysis!BL211)/10^4</f>
        <v>254.60424493076155</v>
      </c>
      <c r="BX211">
        <f t="shared" si="186"/>
        <v>1594505.7184649559</v>
      </c>
      <c r="BY211">
        <f t="shared" si="187"/>
        <v>1827118.5219812212</v>
      </c>
      <c r="BZ211">
        <f t="shared" si="188"/>
        <v>7840346.1071348051</v>
      </c>
      <c r="CA211">
        <f t="shared" si="189"/>
        <v>9104464.5280520599</v>
      </c>
      <c r="CB211">
        <f t="shared" si="190"/>
        <v>-416029.34174788801</v>
      </c>
      <c r="CC211">
        <f t="shared" si="191"/>
        <v>-560999.28600000008</v>
      </c>
      <c r="CD211">
        <f t="shared" si="192"/>
        <v>-1944960.8698927022</v>
      </c>
      <c r="CE211">
        <f t="shared" si="193"/>
        <v>-2258551.7280000001</v>
      </c>
      <c r="CF211">
        <f t="shared" si="194"/>
        <v>3434859.3413337646</v>
      </c>
      <c r="CG211">
        <f t="shared" si="195"/>
        <v>3988670.22</v>
      </c>
      <c r="CH211">
        <f t="shared" si="196"/>
        <v>263683.4770937158</v>
      </c>
      <c r="CI211">
        <f t="shared" si="197"/>
        <v>306197.81716632418</v>
      </c>
      <c r="CJ211">
        <f t="shared" si="198"/>
        <v>-951651.30341098597</v>
      </c>
      <c r="CK211">
        <f t="shared" si="199"/>
        <v>-1105088.4000000001</v>
      </c>
      <c r="CL211">
        <f t="shared" si="200"/>
        <v>1297223.9827574736</v>
      </c>
      <c r="CM211">
        <f t="shared" si="201"/>
        <v>1506378.6183120308</v>
      </c>
    </row>
    <row r="212" spans="1:91" x14ac:dyDescent="0.2">
      <c r="A212" s="2" t="s">
        <v>308</v>
      </c>
      <c r="B212" s="2" t="str">
        <f t="shared" si="202"/>
        <v>TALCHER STPS</v>
      </c>
      <c r="C212" s="2" t="str">
        <f>VLOOKUP($A212,'[1]daily coal, energy reqd'!$C$2:$T$599,17,FALSE)</f>
        <v>Odisha</v>
      </c>
      <c r="D212" s="2" t="str">
        <f>VLOOKUP(C212,'Target PLF'!$I$2:$J$19,2,FALSE)</f>
        <v>ER</v>
      </c>
      <c r="E212" s="2" t="str">
        <f>VLOOKUP(A212,[2]Ownership!$C$2:$D$666,2,FALSE)</f>
        <v>CENTRAL SECTOR</v>
      </c>
      <c r="F212" s="2" t="s">
        <v>546</v>
      </c>
      <c r="G212" s="12">
        <v>24.175222450376399</v>
      </c>
      <c r="H212" s="2">
        <v>500</v>
      </c>
      <c r="I212" s="2">
        <f>VLOOKUP(A212,'[3]Calculated coal req (reg.)'!$A$2:$I$599,9,FALSE)</f>
        <v>9.3843866385931403</v>
      </c>
      <c r="J212" s="2"/>
      <c r="K212" s="11">
        <v>0.78203221988276161</v>
      </c>
      <c r="L212" s="3">
        <f>VLOOKUP(F212,'Target PLF'!$A$2:$B$11,2,FALSE)</f>
        <v>0.7</v>
      </c>
      <c r="M212" s="3">
        <f t="shared" si="179"/>
        <v>-8.2032219882761659E-2</v>
      </c>
      <c r="N212" s="2" t="str">
        <f t="shared" si="158"/>
        <v>0.25</v>
      </c>
      <c r="O212" s="2">
        <f t="shared" si="155"/>
        <v>12.463111806010501</v>
      </c>
      <c r="P212" s="2">
        <f t="shared" si="159"/>
        <v>2274517.9045969164</v>
      </c>
      <c r="Q212" s="2">
        <f t="shared" si="160"/>
        <v>13.408767921115674</v>
      </c>
      <c r="R212" s="2">
        <f t="shared" si="161"/>
        <v>8.4</v>
      </c>
      <c r="S212" s="2">
        <f t="shared" si="162"/>
        <v>2015258.9434382673</v>
      </c>
      <c r="T212" s="2" t="str">
        <f>VLOOKUP(A212,'[4]CEA vs MERIT comp. &amp; NPA marker'!$C$2:$K$735,9,FALSE)</f>
        <v>Contracted</v>
      </c>
      <c r="U212" s="3">
        <f>VLOOKUP(B212,'[8]Import-Domestic share'!$A$208:$F$406,6,FALSE)</f>
        <v>2.3401661620630933E-2</v>
      </c>
      <c r="V212" s="3">
        <f t="shared" si="163"/>
        <v>53227.498353443545</v>
      </c>
      <c r="W212" s="2">
        <f t="shared" si="164"/>
        <v>2913.5287272770079</v>
      </c>
      <c r="X212" s="2">
        <f t="shared" si="165"/>
        <v>2886.4112379116996</v>
      </c>
      <c r="Y212" s="6">
        <f t="shared" si="166"/>
        <v>0.29517471097796877</v>
      </c>
      <c r="Z212" s="2">
        <f t="shared" si="167"/>
        <v>2585739.1009199051</v>
      </c>
      <c r="AA212" s="2">
        <f t="shared" si="168"/>
        <v>2861872.0379633196</v>
      </c>
      <c r="AB212" s="2" t="s">
        <v>598</v>
      </c>
      <c r="AC212" s="12">
        <f>VLOOKUP(B212,[9]Sheet1!$A$2:$B$137,2,FALSE)</f>
        <v>3454.6714611127372</v>
      </c>
      <c r="AD212" s="12">
        <f t="shared" si="169"/>
        <v>1727335.7305563686</v>
      </c>
      <c r="AE212" s="2" t="s">
        <v>589</v>
      </c>
      <c r="AF212" s="7">
        <f>VLOOKUP($B212,'[9]Subsidiary wise dispatch'!$A$3:$R$138,11,FALSE)*$H212*$O212*365</f>
        <v>0</v>
      </c>
      <c r="AG212" s="7">
        <f>VLOOKUP($B212,'[9]Subsidiary wise dispatch'!$A$3:$R$138,12,FALSE)*$H212*$O212*365</f>
        <v>0</v>
      </c>
      <c r="AH212" s="7">
        <f>VLOOKUP($B212,'[9]Subsidiary wise dispatch'!$A$3:$R$138,13,FALSE)*$H212*$O212*365</f>
        <v>13353.581134507711</v>
      </c>
      <c r="AI212" s="7">
        <f>VLOOKUP($B212,'[9]Subsidiary wise dispatch'!$A$3:$R$138,14,FALSE)*$H212*$O212*365</f>
        <v>2261164.3234624085</v>
      </c>
      <c r="AJ212" s="7">
        <f>VLOOKUP($B212,'[9]Subsidiary wise dispatch'!$A$3:$R$138,15,FALSE)*$H212*$O212*365</f>
        <v>0</v>
      </c>
      <c r="AK212" s="7">
        <f>VLOOKUP($B212,'[9]Subsidiary wise dispatch'!$A$3:$R$138,16,FALSE)*$H212*$O212*365</f>
        <v>0</v>
      </c>
      <c r="AL212" s="7">
        <f>VLOOKUP($B212,'[9]Subsidiary wise dispatch'!$A$3:$R$138,17,FALSE)*$H212*$O212*365</f>
        <v>0</v>
      </c>
      <c r="AM212" s="7">
        <f>VLOOKUP($B212,'[9]Subsidiary wise dispatch'!$A$3:$R$138,18,FALSE)*$H212*$O212*365</f>
        <v>0</v>
      </c>
      <c r="AN212" s="15">
        <f t="shared" si="170"/>
        <v>2274517.9045969164</v>
      </c>
      <c r="AO212" s="6">
        <v>6.4093993789743203E-2</v>
      </c>
      <c r="AP212" s="11">
        <f t="shared" si="171"/>
        <v>0.60148281893453781</v>
      </c>
      <c r="AQ212" s="11">
        <f t="shared" si="172"/>
        <v>0.53838954783384296</v>
      </c>
      <c r="AR212" s="3">
        <f>VLOOKUP(A212,[10]Sheet1!$A$2:$L$542,12,FALSE)</f>
        <v>1.6920972789181901</v>
      </c>
      <c r="AS212" s="3">
        <f t="shared" si="180"/>
        <v>1.9453745431964196</v>
      </c>
      <c r="AT212" s="3">
        <f t="shared" si="181"/>
        <v>1.948154085856364</v>
      </c>
      <c r="AU212" s="3">
        <f t="shared" si="173"/>
        <v>-2.7795426599444006E-3</v>
      </c>
      <c r="AV212" s="88">
        <f t="shared" si="182"/>
        <v>-6.0114851374485398E-2</v>
      </c>
      <c r="AW212" s="32">
        <f t="shared" si="183"/>
        <v>2.9472632360210749E-2</v>
      </c>
      <c r="AX212" s="12">
        <f t="shared" si="174"/>
        <v>666.34936076345753</v>
      </c>
      <c r="AY212" s="12">
        <f t="shared" si="175"/>
        <v>597.30404272356122</v>
      </c>
      <c r="AZ212" s="3">
        <f>VLOOKUP(A212,[5]Analysis!$A$3:$BJ$543,62,FALSE)</f>
        <v>0.49636627966549751</v>
      </c>
      <c r="BA212" s="2"/>
      <c r="BB212" s="2"/>
      <c r="BC212" s="2" t="str">
        <f>VLOOKUP(A212,'[6]FGD status - Jun 2020'!$I$2:$M$449,5,FALSE)</f>
        <v>Bid Awarded</v>
      </c>
      <c r="BD212" s="2">
        <f>VLOOKUP(A212,'[1]daily coal, energy reqd'!$C$2:$L$599,10,FALSE)</f>
        <v>0</v>
      </c>
      <c r="BE212" s="2" t="str">
        <f>VLOOKUP(A212,'[1]daily coal, energy reqd'!$C$2:$M$599,11,FALSE)</f>
        <v>Y</v>
      </c>
      <c r="BF212" s="2">
        <f t="shared" si="176"/>
        <v>900.05473478650185</v>
      </c>
      <c r="BG212" s="2">
        <f t="shared" si="177"/>
        <v>813.21131407461701</v>
      </c>
      <c r="BH212" s="2"/>
      <c r="BI212" s="2"/>
      <c r="BK212">
        <f t="shared" si="178"/>
        <v>391.01610994138082</v>
      </c>
      <c r="BL212">
        <f>VLOOKUP(A212,'[11]Daily coal vs energy req.2'!$C$2:$P$599,14,FALSE)</f>
        <v>0.72</v>
      </c>
      <c r="BM212">
        <f>VLOOKUP(A212,'[11]Daily coal vs energy req.2'!$C$2:$R$599,16,FALSE)</f>
        <v>0.85</v>
      </c>
      <c r="BN212">
        <f>BL212*H212</f>
        <v>360</v>
      </c>
      <c r="BO212">
        <f>BM212*H212</f>
        <v>425</v>
      </c>
      <c r="BP212" s="2" t="str">
        <f>VLOOKUP(A212,'[7]Table 2'!$J$2:$N$449,5,FALSE)</f>
        <v>Bid Awarded</v>
      </c>
      <c r="BR212">
        <f t="shared" si="184"/>
        <v>490.7487860760852</v>
      </c>
      <c r="BS212">
        <f t="shared" si="185"/>
        <v>443.3979954564885</v>
      </c>
      <c r="BT212">
        <f>(X212*I212*365*[5]Analysis!BK212)/10^4</f>
        <v>440.943487152589</v>
      </c>
      <c r="BU212">
        <f>(W212*R212*365*[5]Analysis!BK212)/10^4</f>
        <v>398.39825152973418</v>
      </c>
      <c r="BV212">
        <f>(X212*I212*365*[5]Analysis!BL212)/10^4</f>
        <v>49.805298923496139</v>
      </c>
      <c r="BW212">
        <f>(W212*R212*365*[5]Analysis!BL212)/10^4</f>
        <v>44.99974392675437</v>
      </c>
      <c r="BX212">
        <f t="shared" si="186"/>
        <v>2776437.9030907229</v>
      </c>
      <c r="BY212">
        <f t="shared" si="187"/>
        <v>2508548.2341855038</v>
      </c>
      <c r="BZ212">
        <f t="shared" si="188"/>
        <v>8807452.5294505954</v>
      </c>
      <c r="CA212">
        <f t="shared" si="189"/>
        <v>7883584.095217553</v>
      </c>
      <c r="CB212">
        <f t="shared" si="190"/>
        <v>-791448.20708715986</v>
      </c>
      <c r="CC212">
        <f t="shared" si="191"/>
        <v>-634116.83999999985</v>
      </c>
      <c r="CD212">
        <f t="shared" si="192"/>
        <v>0</v>
      </c>
      <c r="CE212">
        <f t="shared" si="193"/>
        <v>0</v>
      </c>
      <c r="CF212">
        <f t="shared" si="194"/>
        <v>6116212.9931899281</v>
      </c>
      <c r="CG212">
        <f t="shared" si="195"/>
        <v>5474645.4000000013</v>
      </c>
      <c r="CH212">
        <f t="shared" si="196"/>
        <v>1679856.2090131035</v>
      </c>
      <c r="CI212">
        <f t="shared" si="197"/>
        <v>1503645.6509240211</v>
      </c>
      <c r="CJ212">
        <f t="shared" si="198"/>
        <v>-2824231.1588846059</v>
      </c>
      <c r="CK212">
        <f t="shared" si="199"/>
        <v>-2527980.0000000005</v>
      </c>
      <c r="CL212">
        <f t="shared" si="200"/>
        <v>1700418.3943719713</v>
      </c>
      <c r="CM212">
        <f t="shared" si="201"/>
        <v>1522050.9408663786</v>
      </c>
    </row>
    <row r="213" spans="1:91" x14ac:dyDescent="0.2">
      <c r="A213" s="2" t="s">
        <v>183</v>
      </c>
      <c r="B213" s="2" t="str">
        <f t="shared" si="202"/>
        <v>NABI NAGAR TPP</v>
      </c>
      <c r="C213" s="2" t="str">
        <f>VLOOKUP($A213,'[1]daily coal, energy reqd'!$C$2:$T$599,17,FALSE)</f>
        <v>Bihar</v>
      </c>
      <c r="D213" s="2" t="str">
        <f>VLOOKUP(C213,'Target PLF'!$I$2:$J$19,2,FALSE)</f>
        <v>ER</v>
      </c>
      <c r="E213" s="2" t="str">
        <f>VLOOKUP(A213,[2]Ownership!$C$2:$D$666,2,FALSE)</f>
        <v>CENTRAL SECTOR</v>
      </c>
      <c r="F213" s="2" t="s">
        <v>542</v>
      </c>
      <c r="G213" s="13">
        <v>1.2539356605065</v>
      </c>
      <c r="H213" s="2">
        <v>250</v>
      </c>
      <c r="I213" s="2">
        <f>VLOOKUP(A213,'[3]Calculated coal req (reg.)'!$A$2:$I$599,9,FALSE)</f>
        <v>4.2689236473574601</v>
      </c>
      <c r="J213" s="2"/>
      <c r="K213" s="11">
        <v>0.71148727455957672</v>
      </c>
      <c r="L213" s="3">
        <f>VLOOKUP(F213,'Target PLF'!$A$2:$B$11,2,FALSE)</f>
        <v>0.85</v>
      </c>
      <c r="M213" s="3">
        <f t="shared" si="179"/>
        <v>0.13851272544042326</v>
      </c>
      <c r="N213" s="2" t="str">
        <f t="shared" si="158"/>
        <v>0.15</v>
      </c>
      <c r="O213" s="2">
        <f t="shared" si="155"/>
        <v>12.086451759176301</v>
      </c>
      <c r="P213" s="2">
        <f t="shared" si="159"/>
        <v>1102888.7230248374</v>
      </c>
      <c r="Q213" s="2">
        <f t="shared" si="160"/>
        <v>14.013620862046542</v>
      </c>
      <c r="R213" s="2">
        <f t="shared" si="161"/>
        <v>5.0999999999999996</v>
      </c>
      <c r="S213" s="2">
        <f t="shared" si="162"/>
        <v>1278742.903661747</v>
      </c>
      <c r="T213" s="2" t="str">
        <f>VLOOKUP(A213,'[4]CEA vs MERIT comp. &amp; NPA marker'!$C$2:$K$735,9,FALSE)</f>
        <v>Contracted</v>
      </c>
      <c r="U213" s="3">
        <f>VLOOKUP(B213,'[8]Import-Domestic share'!$A$208:$F$406,6,FALSE)</f>
        <v>0</v>
      </c>
      <c r="V213" s="3">
        <f t="shared" si="163"/>
        <v>0</v>
      </c>
      <c r="W213" s="2">
        <f t="shared" si="164"/>
        <v>2914.9716468097195</v>
      </c>
      <c r="X213" s="2">
        <f t="shared" si="165"/>
        <v>2960.7599646738304</v>
      </c>
      <c r="Y213" s="6">
        <f t="shared" si="166"/>
        <v>0.29502859862847175</v>
      </c>
      <c r="Z213" s="2">
        <f t="shared" si="167"/>
        <v>1268677.3629352674</v>
      </c>
      <c r="AA213" s="2">
        <f t="shared" si="168"/>
        <v>1078619.4980039757</v>
      </c>
      <c r="AB213" s="2" t="s">
        <v>598</v>
      </c>
      <c r="AC213" s="12">
        <f>VLOOKUP(B213,[9]Sheet1!$A$2:$B$137,2,FALSE)</f>
        <v>4277.0682910128971</v>
      </c>
      <c r="AD213" s="12">
        <f t="shared" si="169"/>
        <v>1069267.0727532243</v>
      </c>
      <c r="AE213" s="2"/>
      <c r="AF213" s="7">
        <f>VLOOKUP($B213,'[9]Subsidiary wise dispatch'!$A$3:$R$138,11,FALSE)*$H213*$O213*365</f>
        <v>0</v>
      </c>
      <c r="AG213" s="7">
        <f>VLOOKUP($B213,'[9]Subsidiary wise dispatch'!$A$3:$R$138,12,FALSE)*$H213*$O213*365</f>
        <v>1102888.7230248374</v>
      </c>
      <c r="AH213" s="7">
        <f>VLOOKUP($B213,'[9]Subsidiary wise dispatch'!$A$3:$R$138,13,FALSE)*$H213*$O213*365</f>
        <v>0</v>
      </c>
      <c r="AI213" s="7">
        <f>VLOOKUP($B213,'[9]Subsidiary wise dispatch'!$A$3:$R$138,14,FALSE)*$H213*$O213*365</f>
        <v>0</v>
      </c>
      <c r="AJ213" s="7">
        <f>VLOOKUP($B213,'[9]Subsidiary wise dispatch'!$A$3:$R$138,15,FALSE)*$H213*$O213*365</f>
        <v>0</v>
      </c>
      <c r="AK213" s="7">
        <f>VLOOKUP($B213,'[9]Subsidiary wise dispatch'!$A$3:$R$138,16,FALSE)*$H213*$O213*365</f>
        <v>0</v>
      </c>
      <c r="AL213" s="7">
        <f>VLOOKUP($B213,'[9]Subsidiary wise dispatch'!$A$3:$R$138,17,FALSE)*$H213*$O213*365</f>
        <v>0</v>
      </c>
      <c r="AM213" s="7">
        <f>VLOOKUP($B213,'[9]Subsidiary wise dispatch'!$A$3:$R$138,18,FALSE)*$H213*$O213*365</f>
        <v>0</v>
      </c>
      <c r="AN213" s="15">
        <f t="shared" si="170"/>
        <v>1102888.7230248374</v>
      </c>
      <c r="AO213" s="6">
        <v>7.0000000000000007E-2</v>
      </c>
      <c r="AP213" s="11">
        <f t="shared" si="171"/>
        <v>0.29882465531502223</v>
      </c>
      <c r="AQ213" s="11">
        <f t="shared" si="172"/>
        <v>0.35699999999999998</v>
      </c>
      <c r="AR213" s="3">
        <f>VLOOKUP(A213,[10]Sheet1!$A$2:$L$542,12,FALSE)</f>
        <v>1.97192539109506</v>
      </c>
      <c r="AS213" s="3">
        <f t="shared" si="180"/>
        <v>2.2179182161259967</v>
      </c>
      <c r="AT213" s="3">
        <f t="shared" si="181"/>
        <v>2.2132249135449253</v>
      </c>
      <c r="AU213" s="3">
        <f t="shared" si="173"/>
        <v>4.693302581071368E-3</v>
      </c>
      <c r="AV213" s="88">
        <f t="shared" si="182"/>
        <v>0.10150489545725097</v>
      </c>
      <c r="AW213" s="32">
        <f t="shared" si="183"/>
        <v>4.3649757764864253E-2</v>
      </c>
      <c r="AX213" s="12">
        <f t="shared" si="174"/>
        <v>345.58650850646768</v>
      </c>
      <c r="AY213" s="12">
        <f t="shared" si="175"/>
        <v>411.99181765638787</v>
      </c>
      <c r="AZ213" s="3">
        <f>VLOOKUP(A213,[5]Analysis!$A$3:$BJ$543,62,FALSE)</f>
        <v>0.6378271316668519</v>
      </c>
      <c r="BA213" s="2"/>
      <c r="BB213" s="2"/>
      <c r="BC213" s="2" t="e">
        <f>VLOOKUP(A213,'[6]FGD status - Jun 2020'!$I$2:$M$449,5,FALSE)</f>
        <v>#N/A</v>
      </c>
      <c r="BD213" s="2"/>
      <c r="BE213" s="2"/>
      <c r="BF213" s="2">
        <f t="shared" si="176"/>
        <v>333.83273463223048</v>
      </c>
      <c r="BG213" s="2">
        <f t="shared" si="177"/>
        <v>392.65564382846526</v>
      </c>
      <c r="BH213" s="2"/>
      <c r="BI213" s="2"/>
      <c r="BK213">
        <f t="shared" si="178"/>
        <v>177.87181863989417</v>
      </c>
      <c r="BP213" s="2" t="e">
        <f>VLOOKUP(A213,'[7]Table 2'!$J$2:$N$449,5,FALSE)</f>
        <v>#N/A</v>
      </c>
      <c r="BR213">
        <f t="shared" si="184"/>
        <v>294.2506564863686</v>
      </c>
      <c r="BS213">
        <f t="shared" si="185"/>
        <v>346.09901601437701</v>
      </c>
      <c r="BT213">
        <f>(X213*I213*365*[5]Analysis!BK213)/10^4</f>
        <v>173.44829284451768</v>
      </c>
      <c r="BU213">
        <f>(W213*R213*365*[5]Analysis!BK213)/10^4</f>
        <v>204.01070366224329</v>
      </c>
      <c r="BV213">
        <f>(X213*I213*365*[5]Analysis!BL213)/10^4</f>
        <v>120.80236364185089</v>
      </c>
      <c r="BW213">
        <f>(W213*R213*365*[5]Analysis!BL213)/10^4</f>
        <v>142.08831235213373</v>
      </c>
      <c r="BX213">
        <f t="shared" si="186"/>
        <v>1295523.9683028988</v>
      </c>
      <c r="BY213">
        <f t="shared" si="187"/>
        <v>1523801.4283697808</v>
      </c>
      <c r="BZ213">
        <f t="shared" si="188"/>
        <v>5148296.1905450998</v>
      </c>
      <c r="CA213">
        <f t="shared" si="189"/>
        <v>6150569.2630584128</v>
      </c>
      <c r="CB213">
        <f t="shared" si="190"/>
        <v>-327549.91020378663</v>
      </c>
      <c r="CC213">
        <f t="shared" si="191"/>
        <v>-467499.40499999997</v>
      </c>
      <c r="CD213">
        <f t="shared" si="192"/>
        <v>0</v>
      </c>
      <c r="CE213">
        <f t="shared" si="193"/>
        <v>0</v>
      </c>
      <c r="CF213">
        <f t="shared" si="194"/>
        <v>2782243.239161517</v>
      </c>
      <c r="CG213">
        <f t="shared" si="195"/>
        <v>3323891.85</v>
      </c>
      <c r="CH213">
        <f t="shared" si="196"/>
        <v>39635.959691337652</v>
      </c>
      <c r="CI213">
        <f t="shared" si="197"/>
        <v>47352.309650923926</v>
      </c>
      <c r="CJ213">
        <f t="shared" si="198"/>
        <v>-642366.28583611385</v>
      </c>
      <c r="CK213">
        <f t="shared" si="199"/>
        <v>-767422.50000000012</v>
      </c>
      <c r="CL213">
        <f t="shared" si="200"/>
        <v>844790.44886040164</v>
      </c>
      <c r="CM213">
        <f t="shared" si="201"/>
        <v>1009254.7079999999</v>
      </c>
    </row>
    <row r="214" spans="1:91" x14ac:dyDescent="0.2">
      <c r="A214" s="2" t="s">
        <v>318</v>
      </c>
      <c r="B214" s="2" t="str">
        <f t="shared" si="202"/>
        <v>ANPARA TPS</v>
      </c>
      <c r="C214" s="2" t="str">
        <f>VLOOKUP($A214,'[1]daily coal, energy reqd'!$C$2:$T$599,17,FALSE)</f>
        <v>Uttar Pradesh</v>
      </c>
      <c r="D214" s="2" t="str">
        <f>VLOOKUP(C214,'Target PLF'!$I$2:$J$19,2,FALSE)</f>
        <v>NR</v>
      </c>
      <c r="E214" s="2" t="str">
        <f>VLOOKUP(A214,[2]Ownership!$C$2:$D$666,2,FALSE)</f>
        <v>STATE SECTOR</v>
      </c>
      <c r="F214" s="2" t="s">
        <v>547</v>
      </c>
      <c r="G214" s="12">
        <v>25.842573579739899</v>
      </c>
      <c r="H214" s="2">
        <v>500</v>
      </c>
      <c r="I214" s="2">
        <f>VLOOKUP(A214,'[3]Calculated coal req (reg.)'!$A$2:$I$599,9,FALSE)</f>
        <v>9.3267438039193493</v>
      </c>
      <c r="J214" s="2"/>
      <c r="K214" s="11">
        <v>0.77722865032661248</v>
      </c>
      <c r="L214" s="3">
        <v>0.49249999999999999</v>
      </c>
      <c r="M214" s="3">
        <f t="shared" si="179"/>
        <v>-0.28472865032661249</v>
      </c>
      <c r="N214" s="2" t="str">
        <f t="shared" si="158"/>
        <v>0.25</v>
      </c>
      <c r="O214" s="2">
        <f t="shared" si="155"/>
        <v>12.449091648727519</v>
      </c>
      <c r="P214" s="2">
        <f t="shared" si="159"/>
        <v>2271959.2258927724</v>
      </c>
      <c r="Q214" s="2">
        <f t="shared" si="160"/>
        <v>13.461581268138263</v>
      </c>
      <c r="R214" s="2">
        <f t="shared" si="161"/>
        <v>5.91</v>
      </c>
      <c r="S214" s="2">
        <f t="shared" si="162"/>
        <v>1423463.2368904145</v>
      </c>
      <c r="T214" s="2" t="str">
        <f>VLOOKUP(A214,'[4]CEA vs MERIT comp. &amp; NPA marker'!$C$2:$K$735,9,FALSE)</f>
        <v>Contracted</v>
      </c>
      <c r="U214" s="3">
        <f>VLOOKUP(B214,'[8]Import-Domestic share'!$A$208:$F$406,6,FALSE)</f>
        <v>0</v>
      </c>
      <c r="V214" s="3">
        <f t="shared" si="163"/>
        <v>0</v>
      </c>
      <c r="W214" s="2">
        <f t="shared" si="164"/>
        <v>2989.585673611225</v>
      </c>
      <c r="X214" s="2">
        <f t="shared" si="165"/>
        <v>2895.4625819983767</v>
      </c>
      <c r="Y214" s="6">
        <f t="shared" si="166"/>
        <v>0.28766528003901487</v>
      </c>
      <c r="Z214" s="2">
        <f t="shared" si="167"/>
        <v>1436577.7796169731</v>
      </c>
      <c r="AA214" s="2">
        <f t="shared" si="168"/>
        <v>2195728.628427085</v>
      </c>
      <c r="AB214" s="2" t="s">
        <v>598</v>
      </c>
      <c r="AC214" s="12">
        <f>VLOOKUP(B214,[9]Sheet1!$A$2:$B$137,2,FALSE)</f>
        <v>4489.130228333277</v>
      </c>
      <c r="AD214" s="12">
        <f t="shared" si="169"/>
        <v>2244565.1141666383</v>
      </c>
      <c r="AE214" s="2" t="s">
        <v>589</v>
      </c>
      <c r="AF214" s="7">
        <f>VLOOKUP($B214,'[9]Subsidiary wise dispatch'!$A$3:$R$138,11,FALSE)*$H214*$O214*365</f>
        <v>0</v>
      </c>
      <c r="AG214" s="7">
        <f>VLOOKUP($B214,'[9]Subsidiary wise dispatch'!$A$3:$R$138,12,FALSE)*$H214*$O214*365</f>
        <v>0</v>
      </c>
      <c r="AH214" s="7">
        <f>VLOOKUP($B214,'[9]Subsidiary wise dispatch'!$A$3:$R$138,13,FALSE)*$H214*$O214*365</f>
        <v>0</v>
      </c>
      <c r="AI214" s="7">
        <f>VLOOKUP($B214,'[9]Subsidiary wise dispatch'!$A$3:$R$138,14,FALSE)*$H214*$O214*365</f>
        <v>0</v>
      </c>
      <c r="AJ214" s="7">
        <f>VLOOKUP($B214,'[9]Subsidiary wise dispatch'!$A$3:$R$138,15,FALSE)*$H214*$O214*365</f>
        <v>2271959.2258927724</v>
      </c>
      <c r="AK214" s="7">
        <f>VLOOKUP($B214,'[9]Subsidiary wise dispatch'!$A$3:$R$138,16,FALSE)*$H214*$O214*365</f>
        <v>0</v>
      </c>
      <c r="AL214" s="7">
        <f>VLOOKUP($B214,'[9]Subsidiary wise dispatch'!$A$3:$R$138,17,FALSE)*$H214*$O214*365</f>
        <v>0</v>
      </c>
      <c r="AM214" s="7">
        <f>VLOOKUP($B214,'[9]Subsidiary wise dispatch'!$A$3:$R$138,18,FALSE)*$H214*$O214*365</f>
        <v>0</v>
      </c>
      <c r="AN214" s="15">
        <f t="shared" si="170"/>
        <v>2271959.2258927724</v>
      </c>
      <c r="AO214" s="6">
        <v>9.3255770253987805E-2</v>
      </c>
      <c r="AP214" s="11">
        <f t="shared" si="171"/>
        <v>0.86977267739610709</v>
      </c>
      <c r="AQ214" s="11">
        <f t="shared" si="172"/>
        <v>0.55114160220106789</v>
      </c>
      <c r="AR214" s="3">
        <f>VLOOKUP(A214,[10]Sheet1!$A$2:$L$542,12,FALSE)</f>
        <v>1.48842105263157</v>
      </c>
      <c r="AS214" s="3">
        <f t="shared" si="180"/>
        <v>1.8240538316374488</v>
      </c>
      <c r="AT214" s="3">
        <f t="shared" si="181"/>
        <v>1.8337014485277661</v>
      </c>
      <c r="AU214" s="3">
        <f t="shared" si="173"/>
        <v>-9.6476168903172344E-3</v>
      </c>
      <c r="AV214" s="88">
        <f t="shared" si="182"/>
        <v>-0.20865484953234817</v>
      </c>
      <c r="AW214" s="32">
        <f t="shared" si="183"/>
        <v>0.10910162254552686</v>
      </c>
      <c r="AX214" s="12">
        <f t="shared" si="174"/>
        <v>620.9556211867573</v>
      </c>
      <c r="AY214" s="12">
        <f t="shared" si="175"/>
        <v>395.55690796916707</v>
      </c>
      <c r="AZ214" s="3">
        <f>VLOOKUP(A214,[5]Analysis!$A$3:$BJ$543,62,FALSE)</f>
        <v>0.38158009247456304</v>
      </c>
      <c r="BA214" s="2"/>
      <c r="BB214" s="2"/>
      <c r="BC214" s="2" t="str">
        <f>VLOOKUP(A214,'[6]FGD status - Jun 2020'!$I$2:$M$449,5,FALSE)</f>
        <v>Bid Opened</v>
      </c>
      <c r="BD214" s="2">
        <f>VLOOKUP(A214,'[1]daily coal, energy reqd'!$C$2:$L$599,10,FALSE)</f>
        <v>0</v>
      </c>
      <c r="BE214" s="2" t="str">
        <f>VLOOKUP(A214,'[1]daily coal, energy reqd'!$C$2:$M$599,11,FALSE)</f>
        <v>Y</v>
      </c>
      <c r="BF214" s="2">
        <f t="shared" si="176"/>
        <v>679.57801049818272</v>
      </c>
      <c r="BG214" s="2">
        <f t="shared" si="177"/>
        <v>444.62082279145318</v>
      </c>
      <c r="BH214" s="2"/>
      <c r="BI214" s="2"/>
      <c r="BK214">
        <f t="shared" si="178"/>
        <v>388.61432516330626</v>
      </c>
      <c r="BL214">
        <f>VLOOKUP(A214,'[11]Daily coal vs energy req.2'!$C$2:$P$599,14,FALSE)</f>
        <v>0.76</v>
      </c>
      <c r="BM214">
        <f>VLOOKUP(A214,'[11]Daily coal vs energy req.2'!$C$2:$R$599,16,FALSE)</f>
        <v>0.91</v>
      </c>
      <c r="BN214">
        <f t="shared" ref="BN214:BN224" si="203">BL214*H214</f>
        <v>380</v>
      </c>
      <c r="BO214">
        <f t="shared" ref="BO214:BO224" si="204">BM214*H214</f>
        <v>455</v>
      </c>
      <c r="BP214" s="2" t="str">
        <f>VLOOKUP(A214,'[7]Table 2'!$J$2:$N$449,5,FALSE)</f>
        <v>Bid opened</v>
      </c>
      <c r="BR214">
        <f t="shared" si="184"/>
        <v>376.12013005467099</v>
      </c>
      <c r="BS214">
        <f t="shared" si="185"/>
        <v>246.08041918652299</v>
      </c>
      <c r="BT214">
        <f>(X214*I214*365*[5]Analysis!BK214)/10^4</f>
        <v>371.93380486776095</v>
      </c>
      <c r="BU214">
        <f>(W214*R214*365*[5]Analysis!BK214)/10^4</f>
        <v>243.34147336967411</v>
      </c>
      <c r="BV214">
        <f>(X214*I214*365*[5]Analysis!BL214)/10^4</f>
        <v>4.1863251869099694</v>
      </c>
      <c r="BW214">
        <f>(W214*R214*365*[5]Analysis!BL214)/10^4</f>
        <v>2.7389458168488985</v>
      </c>
      <c r="BX214">
        <f t="shared" si="186"/>
        <v>2768036.8638537023</v>
      </c>
      <c r="BY214">
        <f t="shared" si="187"/>
        <v>1811016.2614318398</v>
      </c>
      <c r="BZ214">
        <f t="shared" si="188"/>
        <v>6729114.2887358358</v>
      </c>
      <c r="CA214">
        <f t="shared" si="189"/>
        <v>4263981.7585336436</v>
      </c>
      <c r="CB214">
        <f t="shared" si="190"/>
        <v>-781755.25489324168</v>
      </c>
      <c r="CC214">
        <f t="shared" si="191"/>
        <v>-313895.92402500001</v>
      </c>
      <c r="CD214">
        <f t="shared" si="192"/>
        <v>0</v>
      </c>
      <c r="CE214">
        <f t="shared" si="193"/>
        <v>0</v>
      </c>
      <c r="CF214">
        <f t="shared" si="194"/>
        <v>6078644.6503697103</v>
      </c>
      <c r="CG214">
        <f t="shared" si="195"/>
        <v>3851804.0850000004</v>
      </c>
      <c r="CH214">
        <f t="shared" si="196"/>
        <v>1784684.888073605</v>
      </c>
      <c r="CI214">
        <f t="shared" si="197"/>
        <v>1130886.3961806979</v>
      </c>
      <c r="CJ214">
        <f t="shared" si="198"/>
        <v>-2806883.547789529</v>
      </c>
      <c r="CK214">
        <f t="shared" si="199"/>
        <v>-1778614.5000000005</v>
      </c>
      <c r="CL214">
        <f t="shared" si="200"/>
        <v>2458885.6289965999</v>
      </c>
      <c r="CM214">
        <f t="shared" si="201"/>
        <v>1558101.5596529157</v>
      </c>
    </row>
    <row r="215" spans="1:91" x14ac:dyDescent="0.2">
      <c r="A215" s="2" t="s">
        <v>314</v>
      </c>
      <c r="B215" s="2" t="str">
        <f t="shared" si="202"/>
        <v>TALCHER STPS</v>
      </c>
      <c r="C215" s="2" t="str">
        <f>VLOOKUP($A215,'[1]daily coal, energy reqd'!$C$2:$T$599,17,FALSE)</f>
        <v>Odisha</v>
      </c>
      <c r="D215" s="2" t="str">
        <f>VLOOKUP(C215,'Target PLF'!$I$2:$J$19,2,FALSE)</f>
        <v>ER</v>
      </c>
      <c r="E215" s="2" t="str">
        <f>VLOOKUP(A215,[2]Ownership!$C$2:$D$666,2,FALSE)</f>
        <v>CENTRAL SECTOR</v>
      </c>
      <c r="F215" s="2" t="s">
        <v>547</v>
      </c>
      <c r="G215" s="12">
        <v>25.2539356605065</v>
      </c>
      <c r="H215" s="2">
        <v>500</v>
      </c>
      <c r="I215" s="2">
        <f>VLOOKUP(A215,'[3]Calculated coal req (reg.)'!$A$2:$I$599,9,FALSE)</f>
        <v>9.2577410869371608</v>
      </c>
      <c r="J215" s="2"/>
      <c r="K215" s="11">
        <v>0.77147842391143018</v>
      </c>
      <c r="L215" s="3">
        <v>0.49249999999999999</v>
      </c>
      <c r="M215" s="3">
        <f t="shared" si="179"/>
        <v>-0.27897842391143018</v>
      </c>
      <c r="N215" s="2" t="str">
        <f t="shared" si="158"/>
        <v>0.25</v>
      </c>
      <c r="O215" s="2">
        <f t="shared" si="155"/>
        <v>12.350441917453447</v>
      </c>
      <c r="P215" s="2">
        <f t="shared" si="159"/>
        <v>2253955.6499352539</v>
      </c>
      <c r="Q215" s="2">
        <f t="shared" si="160"/>
        <v>13.442936162046545</v>
      </c>
      <c r="R215" s="2">
        <f t="shared" si="161"/>
        <v>5.91</v>
      </c>
      <c r="S215" s="2">
        <f t="shared" si="162"/>
        <v>1421491.6540175835</v>
      </c>
      <c r="T215" s="2" t="str">
        <f>VLOOKUP(A215,'[4]CEA vs MERIT comp. &amp; NPA marker'!$C$2:$K$735,9,FALSE)</f>
        <v>Contracted</v>
      </c>
      <c r="U215" s="3">
        <f>VLOOKUP(B215,'[8]Import-Domestic share'!$A$208:$F$406,6,FALSE)</f>
        <v>2.3401661620630933E-2</v>
      </c>
      <c r="V215" s="3">
        <f t="shared" si="163"/>
        <v>52746.307427694075</v>
      </c>
      <c r="W215" s="2">
        <f t="shared" si="164"/>
        <v>2990.3641994713953</v>
      </c>
      <c r="X215" s="2">
        <f t="shared" si="165"/>
        <v>2898.1419671048852</v>
      </c>
      <c r="Y215" s="6">
        <f t="shared" si="166"/>
        <v>0.28759038787048802</v>
      </c>
      <c r="Z215" s="2">
        <f t="shared" si="167"/>
        <v>1867229.4038669558</v>
      </c>
      <c r="AA215" s="2">
        <f t="shared" si="168"/>
        <v>2834724.1169904699</v>
      </c>
      <c r="AB215" s="2" t="s">
        <v>598</v>
      </c>
      <c r="AC215" s="12">
        <f>VLOOKUP(B215,[9]Sheet1!$A$2:$B$137,2,FALSE)</f>
        <v>3454.6714611127372</v>
      </c>
      <c r="AD215" s="12">
        <f t="shared" si="169"/>
        <v>1727335.7305563686</v>
      </c>
      <c r="AE215" s="2" t="s">
        <v>589</v>
      </c>
      <c r="AF215" s="7">
        <f>VLOOKUP($B215,'[9]Subsidiary wise dispatch'!$A$3:$R$138,11,FALSE)*$H215*$O215*365</f>
        <v>0</v>
      </c>
      <c r="AG215" s="7">
        <f>VLOOKUP($B215,'[9]Subsidiary wise dispatch'!$A$3:$R$138,12,FALSE)*$H215*$O215*365</f>
        <v>0</v>
      </c>
      <c r="AH215" s="7">
        <f>VLOOKUP($B215,'[9]Subsidiary wise dispatch'!$A$3:$R$138,13,FALSE)*$H215*$O215*365</f>
        <v>13232.861163309428</v>
      </c>
      <c r="AI215" s="7">
        <f>VLOOKUP($B215,'[9]Subsidiary wise dispatch'!$A$3:$R$138,14,FALSE)*$H215*$O215*365</f>
        <v>2240722.7887719446</v>
      </c>
      <c r="AJ215" s="7">
        <f>VLOOKUP($B215,'[9]Subsidiary wise dispatch'!$A$3:$R$138,15,FALSE)*$H215*$O215*365</f>
        <v>0</v>
      </c>
      <c r="AK215" s="7">
        <f>VLOOKUP($B215,'[9]Subsidiary wise dispatch'!$A$3:$R$138,16,FALSE)*$H215*$O215*365</f>
        <v>0</v>
      </c>
      <c r="AL215" s="7">
        <f>VLOOKUP($B215,'[9]Subsidiary wise dispatch'!$A$3:$R$138,17,FALSE)*$H215*$O215*365</f>
        <v>0</v>
      </c>
      <c r="AM215" s="7">
        <f>VLOOKUP($B215,'[9]Subsidiary wise dispatch'!$A$3:$R$138,18,FALSE)*$H215*$O215*365</f>
        <v>0</v>
      </c>
      <c r="AN215" s="15">
        <f t="shared" si="170"/>
        <v>2253955.6499352539</v>
      </c>
      <c r="AO215" s="6">
        <v>6.4093993789743203E-2</v>
      </c>
      <c r="AP215" s="11">
        <f t="shared" si="171"/>
        <v>0.59336559973320091</v>
      </c>
      <c r="AQ215" s="11">
        <f t="shared" si="172"/>
        <v>0.37879550329738232</v>
      </c>
      <c r="AR215" s="3">
        <f>VLOOKUP(A215,[10]Sheet1!$A$2:$L$542,12,FALSE)</f>
        <v>1.6920972789181901</v>
      </c>
      <c r="AS215" s="3">
        <f t="shared" si="180"/>
        <v>1.9545642749031296</v>
      </c>
      <c r="AT215" s="3">
        <f t="shared" si="181"/>
        <v>1.9640170537206969</v>
      </c>
      <c r="AU215" s="3">
        <f t="shared" si="173"/>
        <v>-9.4527788175673422E-3</v>
      </c>
      <c r="AV215" s="88">
        <f t="shared" si="182"/>
        <v>-0.20444096861077427</v>
      </c>
      <c r="AW215" s="32">
        <f t="shared" si="183"/>
        <v>9.976043883380134E-2</v>
      </c>
      <c r="AX215" s="12">
        <f t="shared" si="174"/>
        <v>660.46202481130376</v>
      </c>
      <c r="AY215" s="12">
        <f t="shared" si="175"/>
        <v>423.6679387433602</v>
      </c>
      <c r="AZ215" s="3">
        <f>VLOOKUP(A215,[5]Analysis!$A$3:$BJ$543,62,FALSE)</f>
        <v>0.49636627966549751</v>
      </c>
      <c r="BA215" s="2"/>
      <c r="BB215" s="2"/>
      <c r="BC215" s="2" t="str">
        <f>VLOOKUP(A215,'[6]FGD status - Jun 2020'!$I$2:$M$449,5,FALSE)</f>
        <v>Bid Awarded</v>
      </c>
      <c r="BD215" s="2">
        <f>VLOOKUP(A215,'[1]daily coal, energy reqd'!$C$2:$L$599,10,FALSE)</f>
        <v>0</v>
      </c>
      <c r="BE215" s="2" t="str">
        <f>VLOOKUP(A215,'[1]daily coal, energy reqd'!$C$2:$M$599,11,FALSE)</f>
        <v>Y</v>
      </c>
      <c r="BF215" s="2">
        <f t="shared" si="176"/>
        <v>891.5167517854826</v>
      </c>
      <c r="BG215" s="2">
        <f t="shared" si="177"/>
        <v>587.24102391351266</v>
      </c>
      <c r="BH215" s="2"/>
      <c r="BI215" s="2"/>
      <c r="BK215">
        <f t="shared" si="178"/>
        <v>385.73921195571506</v>
      </c>
      <c r="BL215">
        <f>VLOOKUP(A215,'[11]Daily coal vs energy req.2'!$C$2:$P$599,14,FALSE)</f>
        <v>0.87</v>
      </c>
      <c r="BM215">
        <f>VLOOKUP(A215,'[11]Daily coal vs energy req.2'!$C$2:$R$599,16,FALSE)</f>
        <v>0.71</v>
      </c>
      <c r="BN215">
        <f t="shared" si="203"/>
        <v>435</v>
      </c>
      <c r="BO215">
        <f t="shared" si="204"/>
        <v>355</v>
      </c>
      <c r="BP215" s="2" t="str">
        <f>VLOOKUP(A215,'[7]Table 2'!$J$2:$N$449,5,FALSE)</f>
        <v>Bid Awarded</v>
      </c>
      <c r="BR215">
        <f t="shared" si="184"/>
        <v>486.09350831202528</v>
      </c>
      <c r="BS215">
        <f t="shared" si="185"/>
        <v>320.18921570141333</v>
      </c>
      <c r="BT215">
        <f>(X215*I215*365*[5]Analysis!BK215)/10^4</f>
        <v>436.76066598381652</v>
      </c>
      <c r="BU215">
        <f>(W215*R215*365*[5]Analysis!BK215)/10^4</f>
        <v>287.69373114281018</v>
      </c>
      <c r="BV215">
        <f>(X215*I215*365*[5]Analysis!BL215)/10^4</f>
        <v>49.332842328208791</v>
      </c>
      <c r="BW215">
        <f>(W215*R215*365*[5]Analysis!BL215)/10^4</f>
        <v>32.495484558603167</v>
      </c>
      <c r="BX215">
        <f t="shared" si="186"/>
        <v>2750100.4163759877</v>
      </c>
      <c r="BY215">
        <f t="shared" si="187"/>
        <v>1811487.8729347847</v>
      </c>
      <c r="BZ215">
        <f t="shared" si="188"/>
        <v>8688592.9036452211</v>
      </c>
      <c r="CA215">
        <f t="shared" si="189"/>
        <v>5546664.5241352068</v>
      </c>
      <c r="CB215">
        <f t="shared" si="190"/>
        <v>-770230.61313695135</v>
      </c>
      <c r="CC215">
        <f t="shared" si="191"/>
        <v>-313895.92402500001</v>
      </c>
      <c r="CD215">
        <f t="shared" si="192"/>
        <v>0</v>
      </c>
      <c r="CE215">
        <f t="shared" si="193"/>
        <v>0</v>
      </c>
      <c r="CF215">
        <f t="shared" si="194"/>
        <v>6033672.5780942291</v>
      </c>
      <c r="CG215">
        <f t="shared" si="195"/>
        <v>3851804.0850000004</v>
      </c>
      <c r="CH215">
        <f t="shared" si="196"/>
        <v>1731130.6182963953</v>
      </c>
      <c r="CI215">
        <f t="shared" si="197"/>
        <v>1105127.2505954823</v>
      </c>
      <c r="CJ215">
        <f t="shared" si="198"/>
        <v>-2786117.1801137389</v>
      </c>
      <c r="CK215">
        <f t="shared" si="199"/>
        <v>-1778614.5000000005</v>
      </c>
      <c r="CL215">
        <f t="shared" si="200"/>
        <v>1677470.6585321471</v>
      </c>
      <c r="CM215">
        <f t="shared" si="201"/>
        <v>1070871.5548238447</v>
      </c>
    </row>
    <row r="216" spans="1:91" x14ac:dyDescent="0.2">
      <c r="A216" s="2" t="s">
        <v>321</v>
      </c>
      <c r="B216" s="2" t="str">
        <f t="shared" si="202"/>
        <v>FARAKKA STPS</v>
      </c>
      <c r="C216" s="2" t="str">
        <f>VLOOKUP($A216,'[1]daily coal, energy reqd'!$C$2:$T$599,17,FALSE)</f>
        <v>West Bengal</v>
      </c>
      <c r="D216" s="2" t="str">
        <f>VLOOKUP(C216,'Target PLF'!$I$2:$J$19,2,FALSE)</f>
        <v>ER</v>
      </c>
      <c r="E216" s="2" t="str">
        <f>VLOOKUP(A216,[2]Ownership!$C$2:$D$666,2,FALSE)</f>
        <v>CENTRAL SECTOR</v>
      </c>
      <c r="F216" s="2" t="s">
        <v>547</v>
      </c>
      <c r="G216" s="12">
        <v>26.2532511978097</v>
      </c>
      <c r="H216" s="2">
        <v>500</v>
      </c>
      <c r="I216" s="2">
        <f>VLOOKUP(A216,'[3]Calculated coal req (reg.)'!$A$2:$I$599,9,FALSE)</f>
        <v>9.3703870841489803</v>
      </c>
      <c r="J216" s="2"/>
      <c r="K216" s="11">
        <v>0.78086559034574843</v>
      </c>
      <c r="L216" s="3">
        <v>0.49249999999999999</v>
      </c>
      <c r="M216" s="3">
        <f t="shared" si="179"/>
        <v>-0.28836559034574843</v>
      </c>
      <c r="N216" s="2" t="str">
        <f t="shared" si="158"/>
        <v>0.25</v>
      </c>
      <c r="O216" s="2">
        <f t="shared" si="155"/>
        <v>12.512701699848124</v>
      </c>
      <c r="P216" s="2">
        <f t="shared" si="159"/>
        <v>2283568.060222283</v>
      </c>
      <c r="Q216" s="2">
        <f t="shared" si="160"/>
        <v>13.474589481690623</v>
      </c>
      <c r="R216" s="2">
        <f t="shared" si="161"/>
        <v>5.91</v>
      </c>
      <c r="S216" s="2">
        <f t="shared" si="162"/>
        <v>1424838.7598249475</v>
      </c>
      <c r="T216" s="2" t="str">
        <f>VLOOKUP(A216,'[4]CEA vs MERIT comp. &amp; NPA marker'!$C$2:$K$735,9,FALSE)</f>
        <v>Contracted</v>
      </c>
      <c r="U216" s="3">
        <f>VLOOKUP(B216,'[8]Import-Domestic share'!$A$208:$F$406,6,FALSE)</f>
        <v>1.1012599888399872E-2</v>
      </c>
      <c r="V216" s="3">
        <f t="shared" si="163"/>
        <v>25148.021365157423</v>
      </c>
      <c r="W216" s="2">
        <f t="shared" si="164"/>
        <v>2995.2063234625584</v>
      </c>
      <c r="X216" s="2">
        <f t="shared" si="165"/>
        <v>2899.8809642232563</v>
      </c>
      <c r="Y216" s="6">
        <f t="shared" si="166"/>
        <v>0.28712546219714552</v>
      </c>
      <c r="Z216" s="2">
        <f t="shared" si="167"/>
        <v>1331894.6985403425</v>
      </c>
      <c r="AA216" s="2">
        <f t="shared" si="168"/>
        <v>2044529.4386422383</v>
      </c>
      <c r="AB216" s="2" t="s">
        <v>598</v>
      </c>
      <c r="AC216" s="12">
        <f>VLOOKUP(B216,[9]Sheet1!$A$2:$B$137,2,FALSE)</f>
        <v>4851.0661749297096</v>
      </c>
      <c r="AD216" s="12">
        <f t="shared" si="169"/>
        <v>2425533.0874648546</v>
      </c>
      <c r="AE216" s="2" t="s">
        <v>589</v>
      </c>
      <c r="AF216" s="7">
        <f>VLOOKUP($B216,'[9]Subsidiary wise dispatch'!$A$3:$R$138,11,FALSE)*$H216*$O216*365</f>
        <v>86945.255411615042</v>
      </c>
      <c r="AG216" s="7">
        <f>VLOOKUP($B216,'[9]Subsidiary wise dispatch'!$A$3:$R$138,12,FALSE)*$H216*$O216*365</f>
        <v>0</v>
      </c>
      <c r="AH216" s="7">
        <f>VLOOKUP($B216,'[9]Subsidiary wise dispatch'!$A$3:$R$138,13,FALSE)*$H216*$O216*365</f>
        <v>2153775.1063231854</v>
      </c>
      <c r="AI216" s="7">
        <f>VLOOKUP($B216,'[9]Subsidiary wise dispatch'!$A$3:$R$138,14,FALSE)*$H216*$O216*365</f>
        <v>1027.1033226926545</v>
      </c>
      <c r="AJ216" s="7">
        <f>VLOOKUP($B216,'[9]Subsidiary wise dispatch'!$A$3:$R$138,15,FALSE)*$H216*$O216*365</f>
        <v>0</v>
      </c>
      <c r="AK216" s="7">
        <f>VLOOKUP($B216,'[9]Subsidiary wise dispatch'!$A$3:$R$138,16,FALSE)*$H216*$O216*365</f>
        <v>41820.595164789578</v>
      </c>
      <c r="AL216" s="7">
        <f>VLOOKUP($B216,'[9]Subsidiary wise dispatch'!$A$3:$R$138,17,FALSE)*$H216*$O216*365</f>
        <v>0</v>
      </c>
      <c r="AM216" s="7">
        <f>VLOOKUP($B216,'[9]Subsidiary wise dispatch'!$A$3:$R$138,18,FALSE)*$H216*$O216*365</f>
        <v>0</v>
      </c>
      <c r="AN216" s="15">
        <f t="shared" si="170"/>
        <v>2283568.0602222825</v>
      </c>
      <c r="AO216" s="6">
        <v>7.0380830688675913E-2</v>
      </c>
      <c r="AP216" s="11">
        <f t="shared" si="171"/>
        <v>0.65949562685684493</v>
      </c>
      <c r="AQ216" s="11">
        <f t="shared" si="172"/>
        <v>0.41595070937007467</v>
      </c>
      <c r="AR216" s="3">
        <f>VLOOKUP(A216,[10]Sheet1!$A$2:$L$542,12,FALSE)</f>
        <v>2.5607556530671198</v>
      </c>
      <c r="AS216" s="3">
        <f t="shared" si="180"/>
        <v>1.9459275462546644</v>
      </c>
      <c r="AT216" s="3">
        <f t="shared" si="181"/>
        <v>1.9556983955766931</v>
      </c>
      <c r="AU216" s="3">
        <f t="shared" si="173"/>
        <v>-9.7708493220287629E-3</v>
      </c>
      <c r="AV216" s="88">
        <f t="shared" si="182"/>
        <v>-0.21132007191717136</v>
      </c>
      <c r="AW216" s="32">
        <f t="shared" si="183"/>
        <v>0.10357488539748837</v>
      </c>
      <c r="AX216" s="12">
        <f t="shared" si="174"/>
        <v>665.54444363317657</v>
      </c>
      <c r="AY216" s="12">
        <f t="shared" si="175"/>
        <v>421.87347940182633</v>
      </c>
      <c r="AZ216" s="3">
        <f>VLOOKUP(A216,[5]Analysis!$A$3:$BJ$543,62,FALSE)</f>
        <v>0.47839090315089317</v>
      </c>
      <c r="BA216" s="2"/>
      <c r="BB216" s="2"/>
      <c r="BC216" s="2" t="str">
        <f>VLOOKUP(A216,'[6]FGD status - Jun 2020'!$I$2:$M$449,5,FALSE)</f>
        <v>NIT issued</v>
      </c>
      <c r="BD216" s="2">
        <f>VLOOKUP(A216,'[1]daily coal, energy reqd'!$C$2:$L$599,10,FALSE)</f>
        <v>0</v>
      </c>
      <c r="BE216" s="2" t="str">
        <f>VLOOKUP(A216,'[1]daily coal, energy reqd'!$C$2:$M$599,11,FALSE)</f>
        <v>Y</v>
      </c>
      <c r="BF216" s="2">
        <f t="shared" si="176"/>
        <v>637.59119014481951</v>
      </c>
      <c r="BG216" s="2">
        <f t="shared" si="177"/>
        <v>415.35441355829289</v>
      </c>
      <c r="BH216" s="2"/>
      <c r="BI216" s="2"/>
      <c r="BK216">
        <f t="shared" si="178"/>
        <v>390.43279517287419</v>
      </c>
      <c r="BL216">
        <f>VLOOKUP(A216,'[11]Daily coal vs energy req.2'!$C$2:$P$599,14,FALSE)</f>
        <v>0.87</v>
      </c>
      <c r="BM216">
        <f>VLOOKUP(A216,'[11]Daily coal vs energy req.2'!$C$2:$R$599,16,FALSE)</f>
        <v>0.89</v>
      </c>
      <c r="BN216">
        <f t="shared" si="203"/>
        <v>435</v>
      </c>
      <c r="BO216">
        <f t="shared" si="204"/>
        <v>445</v>
      </c>
      <c r="BP216" s="2" t="str">
        <f>VLOOKUP(A216,'[7]Table 2'!$J$2:$N$449,5,FALSE)</f>
        <v>Bid Awarded</v>
      </c>
      <c r="BR216">
        <f t="shared" si="184"/>
        <v>474.47515895961055</v>
      </c>
      <c r="BS216">
        <f t="shared" si="185"/>
        <v>309.09359232658795</v>
      </c>
      <c r="BT216">
        <f>(X216*I216*365*[5]Analysis!BK216)/10^4</f>
        <v>391.55002000069811</v>
      </c>
      <c r="BU216">
        <f>(W216*R216*365*[5]Analysis!BK216)/10^4</f>
        <v>255.07257855803863</v>
      </c>
      <c r="BV216">
        <f>(X216*I216*365*[5]Analysis!BL216)/10^4</f>
        <v>82.925138958912456</v>
      </c>
      <c r="BW216">
        <f>(W216*R216*365*[5]Analysis!BL216)/10^4</f>
        <v>54.021013768549295</v>
      </c>
      <c r="BX216">
        <f t="shared" si="186"/>
        <v>2785233.2311045271</v>
      </c>
      <c r="BY216">
        <f t="shared" si="187"/>
        <v>1814421.1105955311</v>
      </c>
      <c r="BZ216">
        <f t="shared" si="188"/>
        <v>8475836.9324453939</v>
      </c>
      <c r="CA216">
        <f t="shared" si="189"/>
        <v>5345797.9719416946</v>
      </c>
      <c r="CB216">
        <f t="shared" si="190"/>
        <v>-789088.61594484397</v>
      </c>
      <c r="CC216">
        <f t="shared" si="191"/>
        <v>-313895.92402500001</v>
      </c>
      <c r="CD216">
        <f t="shared" si="192"/>
        <v>0</v>
      </c>
      <c r="CE216">
        <f t="shared" si="193"/>
        <v>0</v>
      </c>
      <c r="CF216">
        <f t="shared" si="194"/>
        <v>6107088.8745780513</v>
      </c>
      <c r="CG216">
        <f t="shared" si="195"/>
        <v>3851804.0850000004</v>
      </c>
      <c r="CH216">
        <f t="shared" si="196"/>
        <v>1821530.1460292069</v>
      </c>
      <c r="CI216">
        <f t="shared" si="197"/>
        <v>1148857.8931006149</v>
      </c>
      <c r="CJ216">
        <f t="shared" si="198"/>
        <v>-2820017.9929746361</v>
      </c>
      <c r="CK216">
        <f t="shared" si="199"/>
        <v>-1778614.5000000005</v>
      </c>
      <c r="CL216">
        <f t="shared" si="200"/>
        <v>1864423.1549318822</v>
      </c>
      <c r="CM216">
        <f t="shared" si="201"/>
        <v>1175910.9572204133</v>
      </c>
    </row>
    <row r="217" spans="1:91" x14ac:dyDescent="0.2">
      <c r="A217" s="2" t="s">
        <v>326</v>
      </c>
      <c r="B217" s="2" t="str">
        <f t="shared" si="202"/>
        <v>ANPARA TPS</v>
      </c>
      <c r="C217" s="2" t="str">
        <f>VLOOKUP($A217,'[1]daily coal, energy reqd'!$C$2:$T$599,17,FALSE)</f>
        <v>Uttar Pradesh</v>
      </c>
      <c r="D217" s="2" t="str">
        <f>VLOOKUP(C217,'Target PLF'!$I$2:$J$19,2,FALSE)</f>
        <v>NR</v>
      </c>
      <c r="E217" s="2" t="str">
        <f>VLOOKUP(A217,[2]Ownership!$C$2:$D$666,2,FALSE)</f>
        <v>STATE SECTOR</v>
      </c>
      <c r="F217" s="2" t="s">
        <v>547</v>
      </c>
      <c r="G217" s="12">
        <v>26.841889117043099</v>
      </c>
      <c r="H217" s="2">
        <v>500</v>
      </c>
      <c r="I217" s="2">
        <f>VLOOKUP(A217,'[3]Calculated coal req (reg.)'!$A$2:$I$599,9,FALSE)</f>
        <v>11.028828995179801</v>
      </c>
      <c r="J217" s="2"/>
      <c r="K217" s="11">
        <v>0.91906908293165013</v>
      </c>
      <c r="L217" s="3">
        <v>0.49249999999999999</v>
      </c>
      <c r="M217" s="3">
        <f t="shared" si="179"/>
        <v>-0.42656908293165013</v>
      </c>
      <c r="N217" s="2" t="str">
        <f t="shared" si="158"/>
        <v>0.25</v>
      </c>
      <c r="O217" s="2">
        <f t="shared" si="155"/>
        <v>14.45421345933527</v>
      </c>
      <c r="P217" s="2">
        <f t="shared" si="159"/>
        <v>2637893.9563286868</v>
      </c>
      <c r="Q217" s="2">
        <f t="shared" si="160"/>
        <v>13.493234587782341</v>
      </c>
      <c r="R217" s="2">
        <f t="shared" si="161"/>
        <v>5.91</v>
      </c>
      <c r="S217" s="2">
        <f t="shared" si="162"/>
        <v>1426810.3426977783</v>
      </c>
      <c r="T217" s="2" t="str">
        <f>VLOOKUP(A217,'[4]CEA vs MERIT comp. &amp; NPA marker'!$C$2:$K$735,9,FALSE)</f>
        <v>Contracted</v>
      </c>
      <c r="U217" s="3">
        <f>VLOOKUP(B217,'[8]Import-Domestic share'!$A$208:$F$406,6,FALSE)</f>
        <v>0</v>
      </c>
      <c r="V217" s="3">
        <f t="shared" si="163"/>
        <v>0</v>
      </c>
      <c r="W217" s="2">
        <f t="shared" si="164"/>
        <v>2997.2209809486649</v>
      </c>
      <c r="X217" s="2">
        <f t="shared" si="165"/>
        <v>2856.2095273210498</v>
      </c>
      <c r="Y217" s="6">
        <f t="shared" si="166"/>
        <v>0.28693246359425834</v>
      </c>
      <c r="Z217" s="2">
        <f t="shared" si="167"/>
        <v>1440246.753869269</v>
      </c>
      <c r="AA217" s="2">
        <f t="shared" si="168"/>
        <v>2561239.119803125</v>
      </c>
      <c r="AB217" s="2" t="s">
        <v>598</v>
      </c>
      <c r="AC217" s="12">
        <f>VLOOKUP(B217,[9]Sheet1!$A$2:$B$137,2,FALSE)</f>
        <v>4489.130228333277</v>
      </c>
      <c r="AD217" s="12">
        <f t="shared" si="169"/>
        <v>2244565.1141666383</v>
      </c>
      <c r="AE217" s="2" t="s">
        <v>589</v>
      </c>
      <c r="AF217" s="7">
        <f>VLOOKUP($B217,'[9]Subsidiary wise dispatch'!$A$3:$R$138,11,FALSE)*$H217*$O217*365</f>
        <v>0</v>
      </c>
      <c r="AG217" s="7">
        <f>VLOOKUP($B217,'[9]Subsidiary wise dispatch'!$A$3:$R$138,12,FALSE)*$H217*$O217*365</f>
        <v>0</v>
      </c>
      <c r="AH217" s="7">
        <f>VLOOKUP($B217,'[9]Subsidiary wise dispatch'!$A$3:$R$138,13,FALSE)*$H217*$O217*365</f>
        <v>0</v>
      </c>
      <c r="AI217" s="7">
        <f>VLOOKUP($B217,'[9]Subsidiary wise dispatch'!$A$3:$R$138,14,FALSE)*$H217*$O217*365</f>
        <v>0</v>
      </c>
      <c r="AJ217" s="7">
        <f>VLOOKUP($B217,'[9]Subsidiary wise dispatch'!$A$3:$R$138,15,FALSE)*$H217*$O217*365</f>
        <v>2637893.9563286868</v>
      </c>
      <c r="AK217" s="7">
        <f>VLOOKUP($B217,'[9]Subsidiary wise dispatch'!$A$3:$R$138,16,FALSE)*$H217*$O217*365</f>
        <v>0</v>
      </c>
      <c r="AL217" s="7">
        <f>VLOOKUP($B217,'[9]Subsidiary wise dispatch'!$A$3:$R$138,17,FALSE)*$H217*$O217*365</f>
        <v>0</v>
      </c>
      <c r="AM217" s="7">
        <f>VLOOKUP($B217,'[9]Subsidiary wise dispatch'!$A$3:$R$138,18,FALSE)*$H217*$O217*365</f>
        <v>0</v>
      </c>
      <c r="AN217" s="15">
        <f t="shared" si="170"/>
        <v>2637893.9563286868</v>
      </c>
      <c r="AO217" s="6">
        <v>9.3255770253987805E-2</v>
      </c>
      <c r="AP217" s="11">
        <f t="shared" si="171"/>
        <v>1.0285019429450066</v>
      </c>
      <c r="AQ217" s="11">
        <f t="shared" si="172"/>
        <v>0.55114160220106789</v>
      </c>
      <c r="AR217" s="3">
        <f>VLOOKUP(A217,[10]Sheet1!$A$2:$L$542,12,FALSE)</f>
        <v>1.48842105263157</v>
      </c>
      <c r="AS217" s="3">
        <f t="shared" si="180"/>
        <v>1.8274298254289847</v>
      </c>
      <c r="AT217" s="3">
        <f t="shared" si="181"/>
        <v>1.8418834994258151</v>
      </c>
      <c r="AU217" s="3">
        <f t="shared" si="173"/>
        <v>-1.4453673996830396E-2</v>
      </c>
      <c r="AV217" s="88">
        <f t="shared" si="182"/>
        <v>-0.31259835535397185</v>
      </c>
      <c r="AW217" s="32">
        <f t="shared" si="183"/>
        <v>0.16314972931294514</v>
      </c>
      <c r="AX217" s="12">
        <f t="shared" si="174"/>
        <v>735.63600315518556</v>
      </c>
      <c r="AY217" s="12">
        <f t="shared" si="175"/>
        <v>397.32189907863977</v>
      </c>
      <c r="AZ217" s="3">
        <f>VLOOKUP(A217,[5]Analysis!$A$3:$BJ$543,62,FALSE)</f>
        <v>0.38158009247456304</v>
      </c>
      <c r="BA217" s="2"/>
      <c r="BB217" s="2"/>
      <c r="BC217" s="2" t="str">
        <f>VLOOKUP(A217,'[6]FGD status - Jun 2020'!$I$2:$M$449,5,FALSE)</f>
        <v>Bid Opened</v>
      </c>
      <c r="BD217" s="2">
        <f>VLOOKUP(A217,'[1]daily coal, energy reqd'!$C$2:$L$599,10,FALSE)</f>
        <v>0</v>
      </c>
      <c r="BE217" s="2" t="str">
        <f>VLOOKUP(A217,'[1]daily coal, energy reqd'!$C$2:$M$599,11,FALSE)</f>
        <v>Y</v>
      </c>
      <c r="BF217" s="2">
        <f t="shared" si="176"/>
        <v>792.70350757906726</v>
      </c>
      <c r="BG217" s="2">
        <f t="shared" si="177"/>
        <v>445.75637032253877</v>
      </c>
      <c r="BH217" s="2"/>
      <c r="BI217" s="2"/>
      <c r="BK217">
        <f t="shared" si="178"/>
        <v>459.53454146582504</v>
      </c>
      <c r="BL217">
        <f>VLOOKUP(A217,'[11]Daily coal vs energy req.2'!$C$2:$P$599,14,FALSE)</f>
        <v>0.92</v>
      </c>
      <c r="BM217">
        <f>VLOOKUP(A217,'[11]Daily coal vs energy req.2'!$C$2:$R$599,16,FALSE)</f>
        <v>0.99</v>
      </c>
      <c r="BN217">
        <f t="shared" si="203"/>
        <v>460</v>
      </c>
      <c r="BO217">
        <f t="shared" si="204"/>
        <v>495</v>
      </c>
      <c r="BP217" s="2" t="str">
        <f>VLOOKUP(A217,'[7]Table 2'!$J$2:$N$449,5,FALSE)</f>
        <v>Bid opened</v>
      </c>
      <c r="BR217">
        <f t="shared" si="184"/>
        <v>438.73071488417423</v>
      </c>
      <c r="BS217">
        <f t="shared" si="185"/>
        <v>246.70890080081489</v>
      </c>
      <c r="BT217">
        <f>(X217*I217*365*[5]Analysis!BK217)/10^4</f>
        <v>433.84751588675903</v>
      </c>
      <c r="BU217">
        <f>(W217*R217*365*[5]Analysis!BK217)/10^4</f>
        <v>243.96295980290236</v>
      </c>
      <c r="BV217">
        <f>(X217*I217*365*[5]Analysis!BL217)/10^4</f>
        <v>4.8831989974151773</v>
      </c>
      <c r="BW217">
        <f>(W217*R217*365*[5]Analysis!BL217)/10^4</f>
        <v>2.7459409979125589</v>
      </c>
      <c r="BX217">
        <f t="shared" si="186"/>
        <v>3228816.2612507865</v>
      </c>
      <c r="BY217">
        <f t="shared" si="187"/>
        <v>1815641.5397341773</v>
      </c>
      <c r="BZ217">
        <f t="shared" si="188"/>
        <v>7957144.7806148231</v>
      </c>
      <c r="CA217">
        <f t="shared" si="189"/>
        <v>4263981.7585336436</v>
      </c>
      <c r="CB217">
        <f t="shared" si="190"/>
        <v>-1093124.2288914537</v>
      </c>
      <c r="CC217">
        <f t="shared" si="191"/>
        <v>-313895.92402500001</v>
      </c>
      <c r="CD217">
        <f t="shared" si="192"/>
        <v>0</v>
      </c>
      <c r="CE217">
        <f t="shared" si="193"/>
        <v>0</v>
      </c>
      <c r="CF217">
        <f t="shared" si="194"/>
        <v>7187967.6102199666</v>
      </c>
      <c r="CG217">
        <f t="shared" si="195"/>
        <v>3851804.0850000004</v>
      </c>
      <c r="CH217">
        <f t="shared" si="196"/>
        <v>2191988.2325703083</v>
      </c>
      <c r="CI217">
        <f t="shared" si="197"/>
        <v>1174617.0386858308</v>
      </c>
      <c r="CJ217">
        <f t="shared" si="198"/>
        <v>-3319126.0860993615</v>
      </c>
      <c r="CK217">
        <f t="shared" si="199"/>
        <v>-1778614.5000000005</v>
      </c>
      <c r="CL217">
        <f t="shared" si="200"/>
        <v>2907620.2467910233</v>
      </c>
      <c r="CM217">
        <f t="shared" si="201"/>
        <v>1558101.5596529157</v>
      </c>
    </row>
    <row r="218" spans="1:91" x14ac:dyDescent="0.2">
      <c r="A218" s="2" t="s">
        <v>331</v>
      </c>
      <c r="B218" s="2" t="str">
        <f t="shared" si="202"/>
        <v>FARAKKA STPS</v>
      </c>
      <c r="C218" s="2" t="str">
        <f>VLOOKUP($A218,'[1]daily coal, energy reqd'!$C$2:$T$599,17,FALSE)</f>
        <v>West Bengal</v>
      </c>
      <c r="D218" s="2" t="str">
        <f>VLOOKUP(C218,'Target PLF'!$I$2:$J$19,2,FALSE)</f>
        <v>ER</v>
      </c>
      <c r="E218" s="2" t="str">
        <f>VLOOKUP(A218,[2]Ownership!$C$2:$D$666,2,FALSE)</f>
        <v>CENTRAL SECTOR</v>
      </c>
      <c r="F218" s="2" t="s">
        <v>547</v>
      </c>
      <c r="G218" s="12">
        <v>27.671457905544099</v>
      </c>
      <c r="H218" s="2">
        <v>500</v>
      </c>
      <c r="I218" s="2">
        <f>VLOOKUP(A218,'[3]Calculated coal req (reg.)'!$A$2:$I$599,9,FALSE)</f>
        <v>9.0920782465525996</v>
      </c>
      <c r="J218" s="2"/>
      <c r="K218" s="11">
        <v>0.75767318721271659</v>
      </c>
      <c r="L218" s="3">
        <v>0.49249999999999999</v>
      </c>
      <c r="M218" s="3">
        <f t="shared" si="179"/>
        <v>-0.2651731872127166</v>
      </c>
      <c r="N218" s="2" t="str">
        <f t="shared" si="158"/>
        <v>0.25</v>
      </c>
      <c r="O218" s="2">
        <f t="shared" si="155"/>
        <v>12.234940534804799</v>
      </c>
      <c r="P218" s="2">
        <f t="shared" si="159"/>
        <v>2232876.6476018759</v>
      </c>
      <c r="Q218" s="2">
        <f t="shared" si="160"/>
        <v>13.51951117915811</v>
      </c>
      <c r="R218" s="2">
        <f t="shared" si="161"/>
        <v>5.91</v>
      </c>
      <c r="S218" s="2">
        <f t="shared" si="162"/>
        <v>1429588.8990255352</v>
      </c>
      <c r="T218" s="2" t="str">
        <f>VLOOKUP(A218,'[4]CEA vs MERIT comp. &amp; NPA marker'!$C$2:$K$735,9,FALSE)</f>
        <v>Contracted</v>
      </c>
      <c r="U218" s="3">
        <f>VLOOKUP(B218,'[8]Import-Domestic share'!$A$208:$F$406,6,FALSE)</f>
        <v>1.1012599888399872E-2</v>
      </c>
      <c r="V218" s="3">
        <f t="shared" si="163"/>
        <v>24589.777120191098</v>
      </c>
      <c r="W218" s="2">
        <f t="shared" si="164"/>
        <v>3006.0421842866513</v>
      </c>
      <c r="X218" s="2">
        <f t="shared" si="165"/>
        <v>2918.3835655819189</v>
      </c>
      <c r="Y218" s="6">
        <f t="shared" si="166"/>
        <v>0.28609046290016793</v>
      </c>
      <c r="Z218" s="2">
        <f t="shared" si="167"/>
        <v>1336713.1397517803</v>
      </c>
      <c r="AA218" s="2">
        <f t="shared" si="168"/>
        <v>1996462.7017728912</v>
      </c>
      <c r="AB218" s="2" t="s">
        <v>598</v>
      </c>
      <c r="AC218" s="12">
        <f>VLOOKUP(B218,[9]Sheet1!$A$2:$B$137,2,FALSE)</f>
        <v>4851.0661749297096</v>
      </c>
      <c r="AD218" s="12">
        <f t="shared" si="169"/>
        <v>2425533.0874648546</v>
      </c>
      <c r="AE218" s="2" t="s">
        <v>589</v>
      </c>
      <c r="AF218" s="7">
        <f>VLOOKUP($B218,'[9]Subsidiary wise dispatch'!$A$3:$R$138,11,FALSE)*$H218*$O218*365</f>
        <v>85015.215359720183</v>
      </c>
      <c r="AG218" s="7">
        <f>VLOOKUP($B218,'[9]Subsidiary wise dispatch'!$A$3:$R$138,12,FALSE)*$H218*$O218*365</f>
        <v>0</v>
      </c>
      <c r="AH218" s="7">
        <f>VLOOKUP($B218,'[9]Subsidiary wise dispatch'!$A$3:$R$138,13,FALSE)*$H218*$O218*365</f>
        <v>2105964.8813914345</v>
      </c>
      <c r="AI218" s="7">
        <f>VLOOKUP($B218,'[9]Subsidiary wise dispatch'!$A$3:$R$138,14,FALSE)*$H218*$O218*365</f>
        <v>1004.3033373358195</v>
      </c>
      <c r="AJ218" s="7">
        <f>VLOOKUP($B218,'[9]Subsidiary wise dispatch'!$A$3:$R$138,15,FALSE)*$H218*$O218*365</f>
        <v>0</v>
      </c>
      <c r="AK218" s="7">
        <f>VLOOKUP($B218,'[9]Subsidiary wise dispatch'!$A$3:$R$138,16,FALSE)*$H218*$O218*365</f>
        <v>40892.247513385235</v>
      </c>
      <c r="AL218" s="7">
        <f>VLOOKUP($B218,'[9]Subsidiary wise dispatch'!$A$3:$R$138,17,FALSE)*$H218*$O218*365</f>
        <v>0</v>
      </c>
      <c r="AM218" s="7">
        <f>VLOOKUP($B218,'[9]Subsidiary wise dispatch'!$A$3:$R$138,18,FALSE)*$H218*$O218*365</f>
        <v>0</v>
      </c>
      <c r="AN218" s="15">
        <f t="shared" si="170"/>
        <v>2232876.6476018759</v>
      </c>
      <c r="AO218" s="6">
        <v>7.0380830688675913E-2</v>
      </c>
      <c r="AP218" s="11">
        <f t="shared" si="171"/>
        <v>0.63990801967881183</v>
      </c>
      <c r="AQ218" s="11">
        <f t="shared" si="172"/>
        <v>0.41595070937007467</v>
      </c>
      <c r="AR218" s="3">
        <f>VLOOKUP(A218,[10]Sheet1!$A$2:$L$542,12,FALSE)</f>
        <v>2.5607556530671198</v>
      </c>
      <c r="AS218" s="3">
        <f t="shared" si="180"/>
        <v>1.9583251744613466</v>
      </c>
      <c r="AT218" s="3">
        <f t="shared" si="181"/>
        <v>1.9673101828785815</v>
      </c>
      <c r="AU218" s="3">
        <f t="shared" si="173"/>
        <v>-8.9850084172349298E-3</v>
      </c>
      <c r="AV218" s="88">
        <f t="shared" si="182"/>
        <v>-0.19432421505322298</v>
      </c>
      <c r="AW218" s="32">
        <f t="shared" si="183"/>
        <v>9.4641691304901451E-2</v>
      </c>
      <c r="AX218" s="12">
        <f t="shared" si="174"/>
        <v>649.89146872146614</v>
      </c>
      <c r="AY218" s="12">
        <f t="shared" si="175"/>
        <v>424.37831609965326</v>
      </c>
      <c r="AZ218" s="3">
        <f>VLOOKUP(A218,[5]Analysis!$A$3:$BJ$543,62,FALSE)</f>
        <v>0.47839090315089317</v>
      </c>
      <c r="BA218" s="2"/>
      <c r="BB218" s="2"/>
      <c r="BC218" s="2" t="str">
        <f>VLOOKUP(A218,'[6]FGD status - Jun 2020'!$I$2:$M$449,5,FALSE)</f>
        <v>NIT issued</v>
      </c>
      <c r="BD218" s="2">
        <f>VLOOKUP(A218,'[1]daily coal, energy reqd'!$C$2:$L$599,10,FALSE)</f>
        <v>0</v>
      </c>
      <c r="BE218" s="2" t="str">
        <f>VLOOKUP(A218,'[1]daily coal, energy reqd'!$C$2:$M$599,11,FALSE)</f>
        <v>Y</v>
      </c>
      <c r="BF218" s="2">
        <f t="shared" si="176"/>
        <v>622.60146811506127</v>
      </c>
      <c r="BG218" s="2">
        <f t="shared" si="177"/>
        <v>416.85705549074834</v>
      </c>
      <c r="BH218" s="2"/>
      <c r="BI218" s="2"/>
      <c r="BK218">
        <f t="shared" si="178"/>
        <v>378.83659360635829</v>
      </c>
      <c r="BL218">
        <f>VLOOKUP(A218,'[11]Daily coal vs energy req.2'!$C$2:$P$599,14,FALSE)</f>
        <v>0.96</v>
      </c>
      <c r="BM218">
        <f>VLOOKUP(A218,'[11]Daily coal vs energy req.2'!$C$2:$R$599,16,FALSE)</f>
        <v>0.85</v>
      </c>
      <c r="BN218">
        <f t="shared" si="203"/>
        <v>480</v>
      </c>
      <c r="BO218">
        <f t="shared" si="204"/>
        <v>425</v>
      </c>
      <c r="BP218" s="2" t="str">
        <f>VLOOKUP(A218,'[7]Table 2'!$J$2:$N$449,5,FALSE)</f>
        <v>Bid Awarded</v>
      </c>
      <c r="BR218">
        <f t="shared" si="184"/>
        <v>463.32028283716215</v>
      </c>
      <c r="BS218">
        <f t="shared" si="185"/>
        <v>310.21181083522072</v>
      </c>
      <c r="BT218">
        <f>(X218*I218*365*[5]Analysis!BK218)/10^4</f>
        <v>382.34470780178953</v>
      </c>
      <c r="BU218">
        <f>(W218*R218*365*[5]Analysis!BK218)/10^4</f>
        <v>255.99536338913575</v>
      </c>
      <c r="BV218">
        <f>(X218*I218*365*[5]Analysis!BL218)/10^4</f>
        <v>80.975575035372614</v>
      </c>
      <c r="BW218">
        <f>(W218*R218*365*[5]Analysis!BL218)/10^4</f>
        <v>54.216447446084977</v>
      </c>
      <c r="BX218">
        <f t="shared" si="186"/>
        <v>2719752.6025017081</v>
      </c>
      <c r="BY218">
        <f t="shared" si="187"/>
        <v>1820985.2041862463</v>
      </c>
      <c r="BZ218">
        <f t="shared" si="188"/>
        <v>8224097.0306524681</v>
      </c>
      <c r="CA218">
        <f t="shared" si="189"/>
        <v>5345797.9719416946</v>
      </c>
      <c r="CB218">
        <f t="shared" si="190"/>
        <v>-742911.43622007268</v>
      </c>
      <c r="CC218">
        <f t="shared" si="191"/>
        <v>-313895.92402500001</v>
      </c>
      <c r="CD218">
        <f t="shared" si="192"/>
        <v>0</v>
      </c>
      <c r="CE218">
        <f t="shared" si="193"/>
        <v>0</v>
      </c>
      <c r="CF218">
        <f t="shared" si="194"/>
        <v>5925702.8986820541</v>
      </c>
      <c r="CG218">
        <f t="shared" si="195"/>
        <v>3851804.0850000004</v>
      </c>
      <c r="CH218">
        <f t="shared" si="196"/>
        <v>1862906.0072752419</v>
      </c>
      <c r="CI218">
        <f t="shared" si="197"/>
        <v>1210919.4624640637</v>
      </c>
      <c r="CJ218">
        <f t="shared" si="198"/>
        <v>-2736260.9483000054</v>
      </c>
      <c r="CK218">
        <f t="shared" si="199"/>
        <v>-1778614.5000000005</v>
      </c>
      <c r="CL218">
        <f t="shared" si="200"/>
        <v>1809048.1275848669</v>
      </c>
      <c r="CM218">
        <f t="shared" si="201"/>
        <v>1175910.9572204133</v>
      </c>
    </row>
    <row r="219" spans="1:91" x14ac:dyDescent="0.2">
      <c r="A219" s="2" t="s">
        <v>333</v>
      </c>
      <c r="B219" s="2" t="str">
        <f t="shared" si="202"/>
        <v>CHANDRAPUR STPS</v>
      </c>
      <c r="C219" s="2" t="str">
        <f>VLOOKUP($A219,'[1]daily coal, energy reqd'!$C$2:$T$599,17,FALSE)</f>
        <v>Maharashtra</v>
      </c>
      <c r="D219" s="2" t="str">
        <f>VLOOKUP(C219,'Target PLF'!$I$2:$J$19,2,FALSE)</f>
        <v>WR</v>
      </c>
      <c r="E219" s="2" t="str">
        <f>VLOOKUP(A219,[2]Ownership!$C$2:$D$666,2,FALSE)</f>
        <v>STATE SECTOR</v>
      </c>
      <c r="F219" s="2" t="s">
        <v>547</v>
      </c>
      <c r="G219" s="12">
        <v>28.175222450376399</v>
      </c>
      <c r="H219" s="2">
        <v>500</v>
      </c>
      <c r="I219" s="2">
        <f>VLOOKUP(A219,'[3]Calculated coal req (reg.)'!$A$2:$I$599,9,FALSE)</f>
        <v>5.87552139255257</v>
      </c>
      <c r="J219" s="2"/>
      <c r="K219" s="11">
        <v>0.4896267827127142</v>
      </c>
      <c r="L219" s="3">
        <v>0.49249999999999999</v>
      </c>
      <c r="M219" s="3">
        <f t="shared" si="179"/>
        <v>2.8732172872857897E-3</v>
      </c>
      <c r="N219" s="2" t="str">
        <f t="shared" si="158"/>
        <v>0.25</v>
      </c>
      <c r="O219" s="2">
        <f t="shared" si="155"/>
        <v>8.5214872370324777</v>
      </c>
      <c r="P219" s="2">
        <f t="shared" si="159"/>
        <v>1555171.4207584271</v>
      </c>
      <c r="Q219" s="2">
        <f t="shared" si="160"/>
        <v>13.535467921115673</v>
      </c>
      <c r="R219" s="2">
        <f t="shared" si="161"/>
        <v>5.91</v>
      </c>
      <c r="S219" s="2">
        <f t="shared" si="162"/>
        <v>1431276.2071585625</v>
      </c>
      <c r="T219" s="2" t="str">
        <f>VLOOKUP(A219,'[4]CEA vs MERIT comp. &amp; NPA marker'!$C$2:$K$735,9,FALSE)</f>
        <v>Contracted</v>
      </c>
      <c r="U219" s="3">
        <f>VLOOKUP(B219,'[8]Import-Domestic share'!$A$208:$F$406,6,FALSE)</f>
        <v>3.3278847509413102E-2</v>
      </c>
      <c r="V219" s="3">
        <f t="shared" si="163"/>
        <v>51754.312562417028</v>
      </c>
      <c r="W219" s="2">
        <f t="shared" si="164"/>
        <v>3014.9112661478748</v>
      </c>
      <c r="X219" s="2">
        <f t="shared" si="165"/>
        <v>3015.8610690343939</v>
      </c>
      <c r="Y219" s="6">
        <f t="shared" si="166"/>
        <v>0.28524885944614031</v>
      </c>
      <c r="Z219" s="2">
        <f t="shared" si="167"/>
        <v>1555227.5828936917</v>
      </c>
      <c r="AA219" s="2">
        <f t="shared" si="168"/>
        <v>1546641.565623173</v>
      </c>
      <c r="AB219" s="2" t="s">
        <v>598</v>
      </c>
      <c r="AC219" s="12">
        <f>VLOOKUP(B219,[9]Sheet1!$A$2:$B$137,2,FALSE)</f>
        <v>4181.7775798896982</v>
      </c>
      <c r="AD219" s="12">
        <f t="shared" si="169"/>
        <v>2090888.7899448492</v>
      </c>
      <c r="AE219" s="2"/>
      <c r="AF219" s="7">
        <f>VLOOKUP($B219,'[9]Subsidiary wise dispatch'!$A$3:$R$138,11,FALSE)*$H219*$O219*365</f>
        <v>0</v>
      </c>
      <c r="AG219" s="7">
        <f>VLOOKUP($B219,'[9]Subsidiary wise dispatch'!$A$3:$R$138,12,FALSE)*$H219*$O219*365</f>
        <v>0</v>
      </c>
      <c r="AH219" s="7">
        <f>VLOOKUP($B219,'[9]Subsidiary wise dispatch'!$A$3:$R$138,13,FALSE)*$H219*$O219*365</f>
        <v>0</v>
      </c>
      <c r="AI219" s="7">
        <f>VLOOKUP($B219,'[9]Subsidiary wise dispatch'!$A$3:$R$138,14,FALSE)*$H219*$O219*365</f>
        <v>276.91933474828636</v>
      </c>
      <c r="AJ219" s="7">
        <f>VLOOKUP($B219,'[9]Subsidiary wise dispatch'!$A$3:$R$138,15,FALSE)*$H219*$O219*365</f>
        <v>0</v>
      </c>
      <c r="AK219" s="7">
        <f>VLOOKUP($B219,'[9]Subsidiary wise dispatch'!$A$3:$R$138,16,FALSE)*$H219*$O219*365</f>
        <v>0</v>
      </c>
      <c r="AL219" s="7">
        <f>VLOOKUP($B219,'[9]Subsidiary wise dispatch'!$A$3:$R$138,17,FALSE)*$H219*$O219*365</f>
        <v>15358.33825967751</v>
      </c>
      <c r="AM219" s="7">
        <f>VLOOKUP($B219,'[9]Subsidiary wise dispatch'!$A$3:$R$138,18,FALSE)*$H219*$O219*365</f>
        <v>1539536.1631640012</v>
      </c>
      <c r="AN219" s="15">
        <f t="shared" si="170"/>
        <v>1555171.4207584269</v>
      </c>
      <c r="AO219" s="6">
        <v>7.096074531932961E-2</v>
      </c>
      <c r="AP219" s="11">
        <f t="shared" si="171"/>
        <v>0.41693137715519579</v>
      </c>
      <c r="AQ219" s="11">
        <f t="shared" si="172"/>
        <v>0.41937800483723803</v>
      </c>
      <c r="AR219" s="3">
        <f>VLOOKUP(A219,[10]Sheet1!$A$2:$L$542,12,FALSE)</f>
        <v>2.3100000000000298</v>
      </c>
      <c r="AS219" s="3">
        <f t="shared" si="180"/>
        <v>2.174850797287649</v>
      </c>
      <c r="AT219" s="3">
        <f t="shared" si="181"/>
        <v>2.1747534424917809</v>
      </c>
      <c r="AU219" s="3">
        <f t="shared" si="173"/>
        <v>9.7354795868032085E-5</v>
      </c>
      <c r="AV219" s="88">
        <f t="shared" si="182"/>
        <v>2.1055510924687724E-3</v>
      </c>
      <c r="AW219" s="32">
        <f t="shared" si="183"/>
        <v>9.2337198446222114E-4</v>
      </c>
      <c r="AX219" s="12">
        <f t="shared" si="174"/>
        <v>466.4109570551862</v>
      </c>
      <c r="AY219" s="12">
        <f t="shared" si="175"/>
        <v>469.1269388471145</v>
      </c>
      <c r="AZ219" s="3">
        <f>VLOOKUP(A219,[5]Analysis!$A$3:$BJ$543,62,FALSE)</f>
        <v>0.58478301540750166</v>
      </c>
      <c r="BA219" s="2"/>
      <c r="BB219" s="2"/>
      <c r="BC219" s="2" t="str">
        <f>VLOOKUP(A219,'[6]FGD status - Jun 2020'!$I$2:$M$449,5,FALSE)</f>
        <v>Feasiblity Study Carried Out</v>
      </c>
      <c r="BD219" s="2">
        <f>VLOOKUP(A219,'[1]daily coal, energy reqd'!$C$2:$L$599,10,FALSE)</f>
        <v>0</v>
      </c>
      <c r="BE219" s="2" t="str">
        <f>VLOOKUP(A219,'[1]daily coal, energy reqd'!$C$2:$M$599,11,FALSE)</f>
        <v>Y</v>
      </c>
      <c r="BF219" s="2">
        <f t="shared" si="176"/>
        <v>489.67965242706242</v>
      </c>
      <c r="BG219" s="2">
        <f t="shared" si="177"/>
        <v>492.39805728970833</v>
      </c>
      <c r="BH219" s="2"/>
      <c r="BI219" s="2"/>
      <c r="BK219">
        <f t="shared" si="178"/>
        <v>244.8133913563571</v>
      </c>
      <c r="BL219">
        <f>VLOOKUP(A219,'[11]Daily coal vs energy req.2'!$C$2:$P$599,14,FALSE)</f>
        <v>0.56999999999999995</v>
      </c>
      <c r="BM219">
        <f>VLOOKUP(A219,'[11]Daily coal vs energy req.2'!$C$2:$R$599,16,FALSE)</f>
        <v>0.61</v>
      </c>
      <c r="BN219">
        <f t="shared" si="203"/>
        <v>285</v>
      </c>
      <c r="BO219">
        <f t="shared" si="204"/>
        <v>305</v>
      </c>
      <c r="BP219" s="2" t="str">
        <f>VLOOKUP(A219,'[7]Table 2'!$J$2:$N$449,5,FALSE)</f>
        <v>Bid opened</v>
      </c>
      <c r="BR219">
        <f t="shared" si="184"/>
        <v>378.22075549595877</v>
      </c>
      <c r="BS219">
        <f t="shared" si="185"/>
        <v>380.32040806636445</v>
      </c>
      <c r="BT219">
        <f>(X219*I219*365*[5]Analysis!BK219)/10^4</f>
        <v>267.47858634989859</v>
      </c>
      <c r="BU219">
        <f>(W219*R219*365*[5]Analysis!BK219)/10^4</f>
        <v>268.9634654666504</v>
      </c>
      <c r="BV219">
        <f>(X219*I219*365*[5]Analysis!BL219)/10^4</f>
        <v>110.74216914606019</v>
      </c>
      <c r="BW219">
        <f>(W219*R219*365*[5]Analysis!BL219)/10^4</f>
        <v>111.35694259971406</v>
      </c>
      <c r="BX219">
        <f t="shared" si="186"/>
        <v>1816275.0133779997</v>
      </c>
      <c r="BY219">
        <f t="shared" si="187"/>
        <v>1826357.8722507285</v>
      </c>
      <c r="BZ219">
        <f t="shared" si="188"/>
        <v>6496557.8567001177</v>
      </c>
      <c r="CA219">
        <f t="shared" si="189"/>
        <v>6534680.8168827835</v>
      </c>
      <c r="CB219">
        <f t="shared" si="190"/>
        <v>-310244.10512520338</v>
      </c>
      <c r="CC219">
        <f t="shared" si="191"/>
        <v>-313895.92402500001</v>
      </c>
      <c r="CD219">
        <f t="shared" si="192"/>
        <v>0</v>
      </c>
      <c r="CE219">
        <f t="shared" si="193"/>
        <v>0</v>
      </c>
      <c r="CF219">
        <f t="shared" si="194"/>
        <v>3829332.8767070859</v>
      </c>
      <c r="CG219">
        <f t="shared" si="195"/>
        <v>3851804.0850000004</v>
      </c>
      <c r="CH219">
        <f t="shared" si="196"/>
        <v>1225771.4531787552</v>
      </c>
      <c r="CI219">
        <f t="shared" si="197"/>
        <v>1232964.4986858291</v>
      </c>
      <c r="CJ219">
        <f t="shared" si="198"/>
        <v>-1768238.1630886963</v>
      </c>
      <c r="CK219">
        <f t="shared" si="199"/>
        <v>-1778614.5000000005</v>
      </c>
      <c r="CL219">
        <f t="shared" si="200"/>
        <v>1178683.3481983333</v>
      </c>
      <c r="CM219">
        <f t="shared" si="201"/>
        <v>1185600.0723070847</v>
      </c>
    </row>
    <row r="220" spans="1:91" x14ac:dyDescent="0.2">
      <c r="A220" s="2" t="s">
        <v>348</v>
      </c>
      <c r="B220" s="2" t="str">
        <f t="shared" si="202"/>
        <v>CHANDRAPUR STPS</v>
      </c>
      <c r="C220" s="2" t="str">
        <f>VLOOKUP($A220,'[1]daily coal, energy reqd'!$C$2:$T$599,17,FALSE)</f>
        <v>Maharashtra</v>
      </c>
      <c r="D220" s="2" t="str">
        <f>VLOOKUP(C220,'Target PLF'!$I$2:$J$19,2,FALSE)</f>
        <v>WR</v>
      </c>
      <c r="E220" s="2" t="str">
        <f>VLOOKUP(A220,[2]Ownership!$C$2:$D$666,2,FALSE)</f>
        <v>STATE SECTOR</v>
      </c>
      <c r="F220" s="2" t="s">
        <v>547</v>
      </c>
      <c r="G220" s="12">
        <v>29.177275838466802</v>
      </c>
      <c r="H220" s="2">
        <v>500</v>
      </c>
      <c r="I220" s="2">
        <f>VLOOKUP(A220,'[3]Calculated coal req (reg.)'!$A$2:$I$599,9,FALSE)</f>
        <v>7.3519675039285204</v>
      </c>
      <c r="J220" s="2"/>
      <c r="K220" s="11">
        <v>0.61266395866071</v>
      </c>
      <c r="L220" s="3">
        <v>0.49249999999999999</v>
      </c>
      <c r="M220" s="3">
        <f t="shared" si="179"/>
        <v>-0.12016395866071</v>
      </c>
      <c r="N220" s="2" t="str">
        <f t="shared" si="158"/>
        <v>0.25</v>
      </c>
      <c r="O220" s="2">
        <f t="shared" si="155"/>
        <v>10.265080418217494</v>
      </c>
      <c r="P220" s="2">
        <f t="shared" si="159"/>
        <v>1873377.1763246928</v>
      </c>
      <c r="Q220" s="2">
        <f t="shared" si="160"/>
        <v>13.567207962183437</v>
      </c>
      <c r="R220" s="2">
        <f t="shared" si="161"/>
        <v>5.91</v>
      </c>
      <c r="S220" s="2">
        <f t="shared" si="162"/>
        <v>1434632.4831188237</v>
      </c>
      <c r="T220" s="2" t="str">
        <f>VLOOKUP(A220,'[4]CEA vs MERIT comp. &amp; NPA marker'!$C$2:$K$735,9,FALSE)</f>
        <v>Contracted</v>
      </c>
      <c r="U220" s="3">
        <f>VLOOKUP(B220,'[8]Import-Domestic share'!$A$208:$F$406,6,FALSE)</f>
        <v>3.3278847509413102E-2</v>
      </c>
      <c r="V220" s="3">
        <f t="shared" si="163"/>
        <v>62343.833378524345</v>
      </c>
      <c r="W220" s="2">
        <f t="shared" si="164"/>
        <v>3022.5674921355549</v>
      </c>
      <c r="X220" s="2">
        <f t="shared" si="165"/>
        <v>2982.8447481243338</v>
      </c>
      <c r="Y220" s="6">
        <f t="shared" si="166"/>
        <v>0.28452631818400803</v>
      </c>
      <c r="Z220" s="2">
        <f t="shared" si="167"/>
        <v>1559177.0105171858</v>
      </c>
      <c r="AA220" s="2">
        <f t="shared" si="168"/>
        <v>1914106.7864228978</v>
      </c>
      <c r="AB220" s="2" t="s">
        <v>598</v>
      </c>
      <c r="AC220" s="12">
        <f>VLOOKUP(B220,[9]Sheet1!$A$2:$B$137,2,FALSE)</f>
        <v>4181.7775798896982</v>
      </c>
      <c r="AD220" s="12">
        <f t="shared" si="169"/>
        <v>2090888.7899448492</v>
      </c>
      <c r="AE220" s="2"/>
      <c r="AF220" s="7">
        <f>VLOOKUP($B220,'[9]Subsidiary wise dispatch'!$A$3:$R$138,11,FALSE)*$H220*$O220*365</f>
        <v>0</v>
      </c>
      <c r="AG220" s="7">
        <f>VLOOKUP($B220,'[9]Subsidiary wise dispatch'!$A$3:$R$138,12,FALSE)*$H220*$O220*365</f>
        <v>0</v>
      </c>
      <c r="AH220" s="7">
        <f>VLOOKUP($B220,'[9]Subsidiary wise dispatch'!$A$3:$R$138,13,FALSE)*$H220*$O220*365</f>
        <v>0</v>
      </c>
      <c r="AI220" s="7">
        <f>VLOOKUP($B220,'[9]Subsidiary wise dispatch'!$A$3:$R$138,14,FALSE)*$H220*$O220*365</f>
        <v>333.58017931390532</v>
      </c>
      <c r="AJ220" s="7">
        <f>VLOOKUP($B220,'[9]Subsidiary wise dispatch'!$A$3:$R$138,15,FALSE)*$H220*$O220*365</f>
        <v>0</v>
      </c>
      <c r="AK220" s="7">
        <f>VLOOKUP($B220,'[9]Subsidiary wise dispatch'!$A$3:$R$138,16,FALSE)*$H220*$O220*365</f>
        <v>0</v>
      </c>
      <c r="AL220" s="7">
        <f>VLOOKUP($B220,'[9]Subsidiary wise dispatch'!$A$3:$R$138,17,FALSE)*$H220*$O220*365</f>
        <v>18500.82889764179</v>
      </c>
      <c r="AM220" s="7">
        <f>VLOOKUP($B220,'[9]Subsidiary wise dispatch'!$A$3:$R$138,18,FALSE)*$H220*$O220*365</f>
        <v>1854542.7672477367</v>
      </c>
      <c r="AN220" s="15">
        <f t="shared" si="170"/>
        <v>1873377.1763246923</v>
      </c>
      <c r="AO220" s="6">
        <v>7.096074531932961E-2</v>
      </c>
      <c r="AP220" s="11">
        <f t="shared" si="171"/>
        <v>0.52170109364225914</v>
      </c>
      <c r="AQ220" s="11">
        <f t="shared" si="172"/>
        <v>0.41937800483723803</v>
      </c>
      <c r="AR220" s="3">
        <f>VLOOKUP(A220,[10]Sheet1!$A$2:$L$542,12,FALSE)</f>
        <v>2.3100000000000298</v>
      </c>
      <c r="AS220" s="3">
        <f t="shared" si="180"/>
        <v>2.1788863287064837</v>
      </c>
      <c r="AT220" s="3">
        <f t="shared" si="181"/>
        <v>2.1829579099676337</v>
      </c>
      <c r="AU220" s="3">
        <f t="shared" si="173"/>
        <v>-4.0715812611500368E-3</v>
      </c>
      <c r="AV220" s="88">
        <f t="shared" si="182"/>
        <v>-8.8058552185741504E-2</v>
      </c>
      <c r="AW220" s="32">
        <f t="shared" si="183"/>
        <v>3.8545824909760724E-2</v>
      </c>
      <c r="AX220" s="12">
        <f t="shared" si="174"/>
        <v>584.69720414425274</v>
      </c>
      <c r="AY220" s="12">
        <f t="shared" si="175"/>
        <v>470.8967655486681</v>
      </c>
      <c r="AZ220" s="3">
        <f>VLOOKUP(A220,[5]Analysis!$A$3:$BJ$543,62,FALSE)</f>
        <v>0.58478301540750166</v>
      </c>
      <c r="BA220" s="2"/>
      <c r="BB220" s="2"/>
      <c r="BC220" s="2" t="str">
        <f>VLOOKUP(A220,'[6]FGD status - Jun 2020'!$I$2:$M$449,5,FALSE)</f>
        <v>Feasiblity Study Carried Out</v>
      </c>
      <c r="BD220" s="2">
        <f>VLOOKUP(A220,'[1]daily coal, energy reqd'!$C$2:$L$599,10,FALSE)</f>
        <v>0</v>
      </c>
      <c r="BE220" s="2" t="str">
        <f>VLOOKUP(A220,'[1]daily coal, energy reqd'!$C$2:$M$599,11,FALSE)</f>
        <v>Y</v>
      </c>
      <c r="BF220" s="2">
        <f t="shared" si="176"/>
        <v>606.02221401323152</v>
      </c>
      <c r="BG220" s="2">
        <f t="shared" si="177"/>
        <v>493.64847909974105</v>
      </c>
      <c r="BH220" s="2"/>
      <c r="BI220" s="2"/>
      <c r="BK220">
        <f t="shared" si="178"/>
        <v>306.33197933035501</v>
      </c>
      <c r="BL220">
        <f>VLOOKUP(A220,'[11]Daily coal vs energy req.2'!$C$2:$P$599,14,FALSE)</f>
        <v>0.99</v>
      </c>
      <c r="BM220">
        <f>VLOOKUP(A220,'[11]Daily coal vs energy req.2'!$C$2:$R$599,16,FALSE)</f>
        <v>0.76</v>
      </c>
      <c r="BN220">
        <f t="shared" si="203"/>
        <v>495</v>
      </c>
      <c r="BO220">
        <f t="shared" si="204"/>
        <v>380</v>
      </c>
      <c r="BP220" s="2" t="str">
        <f>VLOOKUP(A220,'[7]Table 2'!$J$2:$N$449,5,FALSE)</f>
        <v>Bid opened</v>
      </c>
      <c r="BR220">
        <f t="shared" si="184"/>
        <v>468.08189496000921</v>
      </c>
      <c r="BS220">
        <f t="shared" si="185"/>
        <v>381.28621393421122</v>
      </c>
      <c r="BT220">
        <f>(X220*I220*365*[5]Analysis!BK220)/10^4</f>
        <v>331.02859042124339</v>
      </c>
      <c r="BU220">
        <f>(W220*R220*365*[5]Analysis!BK220)/10^4</f>
        <v>269.64648559303487</v>
      </c>
      <c r="BV220">
        <f>(X220*I220*365*[5]Analysis!BL220)/10^4</f>
        <v>137.05330453876581</v>
      </c>
      <c r="BW220">
        <f>(W220*R220*365*[5]Analysis!BL220)/10^4</f>
        <v>111.63972834117631</v>
      </c>
      <c r="BX220">
        <f t="shared" si="186"/>
        <v>2247802.2098910804</v>
      </c>
      <c r="BY220">
        <f t="shared" si="187"/>
        <v>1830995.8225484157</v>
      </c>
      <c r="BZ220">
        <f t="shared" si="188"/>
        <v>8129062.7773717949</v>
      </c>
      <c r="CA220">
        <f t="shared" si="189"/>
        <v>6534680.8168827835</v>
      </c>
      <c r="CB220">
        <f t="shared" si="190"/>
        <v>-485755.66278354905</v>
      </c>
      <c r="CC220">
        <f t="shared" si="191"/>
        <v>-313895.92402500001</v>
      </c>
      <c r="CD220">
        <f t="shared" si="192"/>
        <v>0</v>
      </c>
      <c r="CE220">
        <f t="shared" si="193"/>
        <v>0</v>
      </c>
      <c r="CF220">
        <f t="shared" si="194"/>
        <v>4791597.0328966379</v>
      </c>
      <c r="CG220">
        <f t="shared" si="195"/>
        <v>3851804.0850000004</v>
      </c>
      <c r="CH220">
        <f t="shared" si="196"/>
        <v>1588342.1369771725</v>
      </c>
      <c r="CI220">
        <f t="shared" si="197"/>
        <v>1276814.9511704312</v>
      </c>
      <c r="CJ220">
        <f t="shared" si="198"/>
        <v>-2212574.6203072886</v>
      </c>
      <c r="CK220">
        <f t="shared" si="199"/>
        <v>-1778614.5000000005</v>
      </c>
      <c r="CL220">
        <f t="shared" si="200"/>
        <v>1474871.9465747869</v>
      </c>
      <c r="CM220">
        <f t="shared" si="201"/>
        <v>1185600.0723070847</v>
      </c>
    </row>
    <row r="221" spans="1:91" x14ac:dyDescent="0.2">
      <c r="A221" s="2" t="s">
        <v>352</v>
      </c>
      <c r="B221" s="2" t="str">
        <f t="shared" si="202"/>
        <v>RAMAGUNDEM STPS</v>
      </c>
      <c r="C221" s="2" t="str">
        <f>VLOOKUP($A221,'[1]daily coal, energy reqd'!$C$2:$T$599,17,FALSE)</f>
        <v>Telangana</v>
      </c>
      <c r="D221" s="2" t="str">
        <f>VLOOKUP(C221,'Target PLF'!$I$2:$J$19,2,FALSE)</f>
        <v>SR</v>
      </c>
      <c r="E221" s="2" t="str">
        <f>VLOOKUP(A221,[2]Ownership!$C$2:$D$666,2,FALSE)</f>
        <v>CENTRAL SECTOR</v>
      </c>
      <c r="F221" s="2" t="s">
        <v>548</v>
      </c>
      <c r="G221" s="12">
        <v>30.590006844626899</v>
      </c>
      <c r="H221" s="2">
        <v>500</v>
      </c>
      <c r="I221" s="2">
        <f>VLOOKUP(A221,'[3]Calculated coal req (reg.)'!$A$2:$I$599,9,FALSE)</f>
        <v>9.6423740407928893</v>
      </c>
      <c r="J221" s="2"/>
      <c r="K221" s="11">
        <v>0.80353117006607411</v>
      </c>
      <c r="L221" s="3">
        <v>0.49249999999999999</v>
      </c>
      <c r="M221" s="3">
        <f t="shared" si="179"/>
        <v>-0.31103117006607411</v>
      </c>
      <c r="N221" s="2" t="str">
        <f t="shared" si="158"/>
        <v>0.25</v>
      </c>
      <c r="O221" s="2">
        <f t="shared" si="155"/>
        <v>12.965421445283866</v>
      </c>
      <c r="P221" s="2">
        <f t="shared" si="159"/>
        <v>2366189.4137643054</v>
      </c>
      <c r="Q221" s="2">
        <f t="shared" si="160"/>
        <v>13.611956216803557</v>
      </c>
      <c r="R221" s="2">
        <f t="shared" si="161"/>
        <v>5.91</v>
      </c>
      <c r="S221" s="2">
        <f t="shared" si="162"/>
        <v>1439364.2820136172</v>
      </c>
      <c r="T221" s="2" t="str">
        <f>VLOOKUP(A221,'[4]CEA vs MERIT comp. &amp; NPA marker'!$C$2:$K$735,9,FALSE)</f>
        <v>Contracted</v>
      </c>
      <c r="U221" s="3">
        <f>VLOOKUP(B221,'[8]Import-Domestic share'!$A$208:$F$406,6,FALSE)</f>
        <v>0</v>
      </c>
      <c r="V221" s="3">
        <f t="shared" si="163"/>
        <v>0</v>
      </c>
      <c r="W221" s="2">
        <f t="shared" si="164"/>
        <v>3025.8586131266247</v>
      </c>
      <c r="X221" s="2">
        <f t="shared" si="165"/>
        <v>2923.0406660004787</v>
      </c>
      <c r="Y221" s="6">
        <f t="shared" si="166"/>
        <v>0.28421684882075854</v>
      </c>
      <c r="Z221" s="2">
        <f t="shared" si="167"/>
        <v>1522919.0171036164</v>
      </c>
      <c r="AA221" s="2">
        <f t="shared" si="168"/>
        <v>2400266.8630142594</v>
      </c>
      <c r="AB221" s="2" t="s">
        <v>598</v>
      </c>
      <c r="AC221" s="12"/>
      <c r="AD221" s="12">
        <f t="shared" si="169"/>
        <v>0</v>
      </c>
      <c r="AE221" s="2" t="s">
        <v>589</v>
      </c>
      <c r="AF221" s="7"/>
      <c r="AG221" s="7"/>
      <c r="AH221" s="7"/>
      <c r="AI221" s="7"/>
      <c r="AJ221" s="7"/>
      <c r="AK221" s="7"/>
      <c r="AL221" s="7"/>
      <c r="AM221" s="7"/>
      <c r="AN221" s="15">
        <f t="shared" si="170"/>
        <v>0</v>
      </c>
      <c r="AO221" s="6">
        <v>6.1716058959159902E-2</v>
      </c>
      <c r="AP221" s="11">
        <f t="shared" si="171"/>
        <v>0.59508932480784682</v>
      </c>
      <c r="AQ221" s="11">
        <f t="shared" si="172"/>
        <v>0.36474190844863502</v>
      </c>
      <c r="AR221" s="3">
        <f>VLOOKUP(A221,[10]Sheet1!$A$2:$L$542,12,FALSE)</f>
        <v>2.5167695715852698</v>
      </c>
      <c r="AS221" s="3">
        <f t="shared" si="180"/>
        <v>2.109640785624439</v>
      </c>
      <c r="AT221" s="3">
        <f t="shared" si="181"/>
        <v>2.120179625204869</v>
      </c>
      <c r="AU221" s="3">
        <f t="shared" si="173"/>
        <v>-1.0538839580430004E-2</v>
      </c>
      <c r="AV221" s="88">
        <f t="shared" si="182"/>
        <v>-0.22792986204782045</v>
      </c>
      <c r="AW221" s="32">
        <f t="shared" si="183"/>
        <v>0.10304646362012963</v>
      </c>
      <c r="AX221" s="12">
        <f t="shared" si="174"/>
        <v>742.48101245465989</v>
      </c>
      <c r="AY221" s="12">
        <f t="shared" si="175"/>
        <v>457.35454785106833</v>
      </c>
      <c r="AZ221" s="3">
        <f>VLOOKUP(A221,[5]Analysis!$A$3:$BJ$543,62,FALSE)</f>
        <v>0.55969234867751261</v>
      </c>
      <c r="BA221" s="2"/>
      <c r="BB221" s="2"/>
      <c r="BC221" s="2" t="str">
        <f>VLOOKUP(A221,'[6]FGD status - Jun 2020'!$I$2:$M$449,5,FALSE)</f>
        <v>Bid Awarded</v>
      </c>
      <c r="BD221" s="2">
        <f>VLOOKUP(A221,'[1]daily coal, energy reqd'!$C$2:$L$599,10,FALSE)</f>
        <v>0</v>
      </c>
      <c r="BE221" s="2" t="str">
        <f>VLOOKUP(A221,'[1]daily coal, energy reqd'!$C$2:$M$599,11,FALSE)</f>
        <v>Y</v>
      </c>
      <c r="BF221" s="2">
        <f t="shared" si="176"/>
        <v>742.88259410291323</v>
      </c>
      <c r="BG221" s="2">
        <f t="shared" si="177"/>
        <v>471.34343579356926</v>
      </c>
      <c r="BH221" s="2"/>
      <c r="BI221" s="2"/>
      <c r="BK221">
        <f t="shared" si="178"/>
        <v>401.76558503303704</v>
      </c>
      <c r="BL221">
        <f>VLOOKUP(A221,'[11]Daily coal vs energy req.2'!$C$2:$P$599,14,FALSE)</f>
        <v>0.97</v>
      </c>
      <c r="BM221">
        <f>VLOOKUP(A221,'[11]Daily coal vs energy req.2'!$C$2:$R$599,16,FALSE)</f>
        <v>0.88</v>
      </c>
      <c r="BN221">
        <f t="shared" si="203"/>
        <v>485</v>
      </c>
      <c r="BO221">
        <f t="shared" si="204"/>
        <v>440</v>
      </c>
      <c r="BP221" s="2" t="str">
        <f>VLOOKUP(A221,'[7]Table 2'!$J$2:$N$449,5,FALSE)</f>
        <v>Bid Awarded</v>
      </c>
      <c r="BR221">
        <f t="shared" si="184"/>
        <v>575.78595374848157</v>
      </c>
      <c r="BS221">
        <f t="shared" si="185"/>
        <v>365.3241196870602</v>
      </c>
      <c r="BT221">
        <f>(X221*I221*365*[5]Analysis!BK221)/10^4</f>
        <v>386.60565609092339</v>
      </c>
      <c r="BU221">
        <f>(W221*R221*365*[5]Analysis!BK221)/10^4</f>
        <v>245.29318587571987</v>
      </c>
      <c r="BV221">
        <f>(X221*I221*365*[5]Analysis!BL221)/10^4</f>
        <v>189.18029765755816</v>
      </c>
      <c r="BW221">
        <f>(W221*R221*365*[5]Analysis!BL221)/10^4</f>
        <v>120.03093381134032</v>
      </c>
      <c r="BX221">
        <f t="shared" si="186"/>
        <v>2888967.7723975601</v>
      </c>
      <c r="BY221">
        <f t="shared" si="187"/>
        <v>1832989.5013667813</v>
      </c>
      <c r="BZ221">
        <f t="shared" si="188"/>
        <v>10204118.47926224</v>
      </c>
      <c r="CA221">
        <f t="shared" si="189"/>
        <v>6254304.1741907857</v>
      </c>
      <c r="CB221">
        <f t="shared" si="190"/>
        <v>-835561.96643206081</v>
      </c>
      <c r="CC221">
        <f t="shared" si="191"/>
        <v>-313895.92402500001</v>
      </c>
      <c r="CD221">
        <f t="shared" si="192"/>
        <v>0</v>
      </c>
      <c r="CE221">
        <f t="shared" si="193"/>
        <v>0</v>
      </c>
      <c r="CF221">
        <f t="shared" si="194"/>
        <v>6284354.6056555007</v>
      </c>
      <c r="CG221">
        <f t="shared" si="195"/>
        <v>3851804.0850000004</v>
      </c>
      <c r="CH221">
        <f t="shared" si="196"/>
        <v>2184033.4518022519</v>
      </c>
      <c r="CI221">
        <f t="shared" si="197"/>
        <v>1338636.9005749456</v>
      </c>
      <c r="CJ221">
        <f t="shared" si="198"/>
        <v>-2901872.4675766206</v>
      </c>
      <c r="CK221">
        <f t="shared" si="199"/>
        <v>-1778614.5000000005</v>
      </c>
      <c r="CL221">
        <f t="shared" si="200"/>
        <v>1682343.7051620746</v>
      </c>
      <c r="CM221">
        <f t="shared" si="201"/>
        <v>1031141.4238282631</v>
      </c>
    </row>
    <row r="222" spans="1:91" x14ac:dyDescent="0.2">
      <c r="A222" s="2" t="s">
        <v>353</v>
      </c>
      <c r="B222" s="2" t="str">
        <f t="shared" si="202"/>
        <v>RIHAND STPS</v>
      </c>
      <c r="C222" s="2" t="str">
        <f>VLOOKUP($A222,'[1]daily coal, energy reqd'!$C$2:$T$599,17,FALSE)</f>
        <v>Uttar Pradesh</v>
      </c>
      <c r="D222" s="2" t="str">
        <f>VLOOKUP(C222,'Target PLF'!$I$2:$J$19,2,FALSE)</f>
        <v>NR</v>
      </c>
      <c r="E222" s="2" t="str">
        <f>VLOOKUP(A222,[2]Ownership!$C$2:$D$666,2,FALSE)</f>
        <v>CENTRAL SECTOR</v>
      </c>
      <c r="F222" s="2" t="s">
        <v>548</v>
      </c>
      <c r="G222" s="12">
        <v>30.841889117043099</v>
      </c>
      <c r="H222" s="2">
        <v>500</v>
      </c>
      <c r="I222" s="2">
        <f>VLOOKUP(A222,'[3]Calculated coal req (reg.)'!$A$2:$I$599,9,FALSE)</f>
        <v>9.9785291158122398</v>
      </c>
      <c r="J222" s="2"/>
      <c r="K222" s="11">
        <v>0.83154409298435328</v>
      </c>
      <c r="L222" s="3">
        <v>0.49249999999999999</v>
      </c>
      <c r="M222" s="3">
        <f t="shared" si="179"/>
        <v>-0.33904409298435328</v>
      </c>
      <c r="N222" s="2" t="str">
        <f t="shared" si="158"/>
        <v>0.25</v>
      </c>
      <c r="O222" s="2">
        <f t="shared" si="155"/>
        <v>13.363152016701543</v>
      </c>
      <c r="P222" s="2">
        <f t="shared" si="159"/>
        <v>2438775.2430480313</v>
      </c>
      <c r="Q222" s="2">
        <f t="shared" si="160"/>
        <v>13.619934587782341</v>
      </c>
      <c r="R222" s="2">
        <f t="shared" si="161"/>
        <v>5.91</v>
      </c>
      <c r="S222" s="2">
        <f t="shared" si="162"/>
        <v>1440207.9360801314</v>
      </c>
      <c r="T222" s="2" t="str">
        <f>VLOOKUP(A222,'[4]CEA vs MERIT comp. &amp; NPA marker'!$C$2:$K$735,9,FALSE)</f>
        <v>Contracted</v>
      </c>
      <c r="U222" s="3">
        <f>VLOOKUP(B222,'[8]Import-Domestic share'!$A$208:$F$406,6,FALSE)</f>
        <v>0</v>
      </c>
      <c r="V222" s="3">
        <f t="shared" si="163"/>
        <v>0</v>
      </c>
      <c r="W222" s="2">
        <f t="shared" si="164"/>
        <v>3027.7831289486649</v>
      </c>
      <c r="X222" s="2">
        <f t="shared" si="165"/>
        <v>2915.7049162779158</v>
      </c>
      <c r="Y222" s="6">
        <f t="shared" si="166"/>
        <v>0.28403619525372586</v>
      </c>
      <c r="Z222" s="2">
        <f t="shared" si="167"/>
        <v>1467070.7726095964</v>
      </c>
      <c r="AA222" s="2">
        <f t="shared" si="168"/>
        <v>2385332.4559312733</v>
      </c>
      <c r="AB222" s="2" t="s">
        <v>598</v>
      </c>
      <c r="AC222" s="12">
        <f>VLOOKUP(B222,[9]Sheet1!$A$2:$B$137,2,FALSE)</f>
        <v>4451.988614696289</v>
      </c>
      <c r="AD222" s="12">
        <f t="shared" si="169"/>
        <v>2225994.3073481447</v>
      </c>
      <c r="AE222" s="2" t="s">
        <v>589</v>
      </c>
      <c r="AF222" s="7">
        <f>VLOOKUP($B222,'[9]Subsidiary wise dispatch'!$A$3:$R$138,11,FALSE)*$H222*$O222*365</f>
        <v>0</v>
      </c>
      <c r="AG222" s="7">
        <f>VLOOKUP($B222,'[9]Subsidiary wise dispatch'!$A$3:$R$138,12,FALSE)*$H222*$O222*365</f>
        <v>0</v>
      </c>
      <c r="AH222" s="7">
        <f>VLOOKUP($B222,'[9]Subsidiary wise dispatch'!$A$3:$R$138,13,FALSE)*$H222*$O222*365</f>
        <v>0</v>
      </c>
      <c r="AI222" s="7">
        <f>VLOOKUP($B222,'[9]Subsidiary wise dispatch'!$A$3:$R$138,14,FALSE)*$H222*$O222*365</f>
        <v>0</v>
      </c>
      <c r="AJ222" s="7">
        <f>VLOOKUP($B222,'[9]Subsidiary wise dispatch'!$A$3:$R$138,15,FALSE)*$H222*$O222*365</f>
        <v>2438775.2430480313</v>
      </c>
      <c r="AK222" s="7">
        <f>VLOOKUP($B222,'[9]Subsidiary wise dispatch'!$A$3:$R$138,16,FALSE)*$H222*$O222*365</f>
        <v>0</v>
      </c>
      <c r="AL222" s="7">
        <f>VLOOKUP($B222,'[9]Subsidiary wise dispatch'!$A$3:$R$138,17,FALSE)*$H222*$O222*365</f>
        <v>0</v>
      </c>
      <c r="AM222" s="7">
        <f>VLOOKUP($B222,'[9]Subsidiary wise dispatch'!$A$3:$R$138,18,FALSE)*$H222*$O222*365</f>
        <v>0</v>
      </c>
      <c r="AN222" s="15">
        <f t="shared" si="170"/>
        <v>2438775.2430480313</v>
      </c>
      <c r="AO222" s="6">
        <v>6.6356788102148762E-2</v>
      </c>
      <c r="AP222" s="11">
        <f t="shared" si="171"/>
        <v>0.66214314210907466</v>
      </c>
      <c r="AQ222" s="11">
        <f t="shared" si="172"/>
        <v>0.39216861768369921</v>
      </c>
      <c r="AR222" s="3">
        <f>VLOOKUP(A222,[10]Sheet1!$A$2:$L$542,12,FALSE)</f>
        <v>1.3827146645111901</v>
      </c>
      <c r="AS222" s="3">
        <f t="shared" si="180"/>
        <v>1.9087618982462145</v>
      </c>
      <c r="AT222" s="3">
        <f t="shared" si="181"/>
        <v>1.9202499150449661</v>
      </c>
      <c r="AU222" s="3">
        <f t="shared" si="173"/>
        <v>-1.1488016798751666E-2</v>
      </c>
      <c r="AV222" s="88">
        <f t="shared" si="182"/>
        <v>-0.24845829222079377</v>
      </c>
      <c r="AW222" s="32">
        <f t="shared" si="183"/>
        <v>0.12414868278739861</v>
      </c>
      <c r="AX222" s="12">
        <f t="shared" si="174"/>
        <v>695.20222045330559</v>
      </c>
      <c r="AY222" s="12">
        <f t="shared" si="175"/>
        <v>414.22671042392483</v>
      </c>
      <c r="AZ222" s="3">
        <f>VLOOKUP(A222,[5]Analysis!$A$3:$BJ$543,62,FALSE)</f>
        <v>0.44592395047407901</v>
      </c>
      <c r="BA222" s="2"/>
      <c r="BB222" s="2"/>
      <c r="BC222" s="2" t="str">
        <f>VLOOKUP(A222,'[6]FGD status - Jun 2020'!$I$2:$M$449,5,FALSE)</f>
        <v>NIT issued</v>
      </c>
      <c r="BD222" s="2">
        <f>VLOOKUP(A222,'[1]daily coal, energy reqd'!$C$2:$L$599,10,FALSE)</f>
        <v>0</v>
      </c>
      <c r="BE222" s="2" t="str">
        <f>VLOOKUP(A222,'[1]daily coal, energy reqd'!$C$2:$M$599,11,FALSE)</f>
        <v>Y</v>
      </c>
      <c r="BF222" s="2">
        <f t="shared" si="176"/>
        <v>738.26039511072918</v>
      </c>
      <c r="BG222" s="2">
        <f t="shared" si="177"/>
        <v>454.05840412267008</v>
      </c>
      <c r="BH222" s="2"/>
      <c r="BI222" s="2"/>
      <c r="BK222">
        <f t="shared" si="178"/>
        <v>415.77204649217663</v>
      </c>
      <c r="BL222">
        <f>VLOOKUP(A222,'[11]Daily coal vs energy req.2'!$C$2:$P$599,14,FALSE)</f>
        <v>0.93</v>
      </c>
      <c r="BM222">
        <f>VLOOKUP(A222,'[11]Daily coal vs energy req.2'!$C$2:$R$599,16,FALSE)</f>
        <v>0.78</v>
      </c>
      <c r="BN222">
        <f t="shared" si="203"/>
        <v>465</v>
      </c>
      <c r="BO222">
        <f t="shared" si="204"/>
        <v>390</v>
      </c>
      <c r="BP222" s="2" t="str">
        <f>VLOOKUP(A222,'[7]Table 2'!$J$2:$N$449,5,FALSE)</f>
        <v>NIT issued</v>
      </c>
      <c r="BR222">
        <f t="shared" si="184"/>
        <v>473.54773236055996</v>
      </c>
      <c r="BS222">
        <f t="shared" si="185"/>
        <v>291.24998314354292</v>
      </c>
      <c r="BT222">
        <f>(X222*I222*365*[5]Analysis!BK222)/10^4</f>
        <v>404.05073956913191</v>
      </c>
      <c r="BU222">
        <f>(W222*R222*365*[5]Analysis!BK222)/10^4</f>
        <v>248.50667218282473</v>
      </c>
      <c r="BV222">
        <f>(X222*I222*365*[5]Analysis!BL222)/10^4</f>
        <v>69.496992791428127</v>
      </c>
      <c r="BW222">
        <f>(W222*R222*365*[5]Analysis!BL222)/10^4</f>
        <v>42.743310960718183</v>
      </c>
      <c r="BX222">
        <f t="shared" si="186"/>
        <v>2982180.7560200971</v>
      </c>
      <c r="BY222">
        <f t="shared" si="187"/>
        <v>1834155.3249388775</v>
      </c>
      <c r="BZ222">
        <f t="shared" si="188"/>
        <v>8413360.0700521749</v>
      </c>
      <c r="CA222">
        <f t="shared" si="189"/>
        <v>4982994.7316800468</v>
      </c>
      <c r="CB222">
        <f t="shared" si="190"/>
        <v>-894836.66868597385</v>
      </c>
      <c r="CC222">
        <f t="shared" si="191"/>
        <v>-313895.92402500001</v>
      </c>
      <c r="CD222">
        <f t="shared" si="192"/>
        <v>0</v>
      </c>
      <c r="CE222">
        <f t="shared" si="193"/>
        <v>0</v>
      </c>
      <c r="CF222">
        <f t="shared" si="194"/>
        <v>6503441.4907913748</v>
      </c>
      <c r="CG222">
        <f t="shared" si="195"/>
        <v>3851804.0850000004</v>
      </c>
      <c r="CH222">
        <f t="shared" si="196"/>
        <v>2278784.4003023319</v>
      </c>
      <c r="CI222">
        <f t="shared" si="197"/>
        <v>1349659.4186858307</v>
      </c>
      <c r="CJ222">
        <f t="shared" si="198"/>
        <v>-3003038.3374036942</v>
      </c>
      <c r="CK222">
        <f t="shared" si="199"/>
        <v>-1778614.5000000005</v>
      </c>
      <c r="CL222">
        <f t="shared" si="200"/>
        <v>1871907.7970406068</v>
      </c>
      <c r="CM222">
        <f t="shared" si="201"/>
        <v>1108677.9376109957</v>
      </c>
    </row>
    <row r="223" spans="1:91" x14ac:dyDescent="0.2">
      <c r="A223" s="2" t="s">
        <v>355</v>
      </c>
      <c r="B223" s="2" t="str">
        <f t="shared" si="202"/>
        <v>RAMAGUNDEM STPS</v>
      </c>
      <c r="C223" s="2" t="str">
        <f>VLOOKUP($A223,'[1]daily coal, energy reqd'!$C$2:$T$599,17,FALSE)</f>
        <v>Telangana</v>
      </c>
      <c r="D223" s="2" t="str">
        <f>VLOOKUP(C223,'Target PLF'!$I$2:$J$19,2,FALSE)</f>
        <v>SR</v>
      </c>
      <c r="E223" s="2" t="str">
        <f>VLOOKUP(A223,[2]Ownership!$C$2:$D$666,2,FALSE)</f>
        <v>CENTRAL SECTOR</v>
      </c>
      <c r="F223" s="2" t="s">
        <v>548</v>
      </c>
      <c r="G223" s="12">
        <v>31.175906913073199</v>
      </c>
      <c r="H223" s="2">
        <v>500</v>
      </c>
      <c r="I223" s="2">
        <f>VLOOKUP(A223,'[3]Calculated coal req (reg.)'!$A$2:$I$599,9,FALSE)</f>
        <v>9.4802998766336994</v>
      </c>
      <c r="J223" s="2"/>
      <c r="K223" s="11">
        <v>0.79002498971947488</v>
      </c>
      <c r="L223" s="3">
        <v>0.49249999999999999</v>
      </c>
      <c r="M223" s="3">
        <f t="shared" si="179"/>
        <v>-0.29752498971947489</v>
      </c>
      <c r="N223" s="2" t="str">
        <f t="shared" si="158"/>
        <v>0.25</v>
      </c>
      <c r="O223" s="2">
        <f t="shared" si="155"/>
        <v>12.796064290935565</v>
      </c>
      <c r="P223" s="2">
        <f t="shared" si="159"/>
        <v>2335281.7330957404</v>
      </c>
      <c r="Q223" s="2">
        <f t="shared" si="160"/>
        <v>13.630514601471594</v>
      </c>
      <c r="R223" s="2">
        <f t="shared" si="161"/>
        <v>5.91</v>
      </c>
      <c r="S223" s="2">
        <f t="shared" si="162"/>
        <v>1441326.6947335515</v>
      </c>
      <c r="T223" s="2" t="str">
        <f>VLOOKUP(A223,'[4]CEA vs MERIT comp. &amp; NPA marker'!$C$2:$K$735,9,FALSE)</f>
        <v>Contracted</v>
      </c>
      <c r="U223" s="3">
        <f>VLOOKUP(B223,'[8]Import-Domestic share'!$A$208:$F$406,6,FALSE)</f>
        <v>0</v>
      </c>
      <c r="V223" s="3">
        <f t="shared" si="163"/>
        <v>0</v>
      </c>
      <c r="W223" s="2">
        <f t="shared" si="164"/>
        <v>3030.3352042778915</v>
      </c>
      <c r="X223" s="2">
        <f t="shared" si="165"/>
        <v>2931.9820113963374</v>
      </c>
      <c r="Y223" s="6">
        <f t="shared" si="166"/>
        <v>0.2837969868105506</v>
      </c>
      <c r="Z223" s="2">
        <f t="shared" si="167"/>
        <v>1525172.0919057524</v>
      </c>
      <c r="AA223" s="2">
        <f t="shared" si="168"/>
        <v>2367140.7083155657</v>
      </c>
      <c r="AB223" s="2" t="s">
        <v>598</v>
      </c>
      <c r="AC223" s="12"/>
      <c r="AD223" s="12">
        <f t="shared" si="169"/>
        <v>0</v>
      </c>
      <c r="AE223" s="2" t="s">
        <v>589</v>
      </c>
      <c r="AF223" s="7"/>
      <c r="AG223" s="7"/>
      <c r="AH223" s="7"/>
      <c r="AI223" s="7"/>
      <c r="AJ223" s="7"/>
      <c r="AK223" s="7"/>
      <c r="AL223" s="7"/>
      <c r="AM223" s="7"/>
      <c r="AN223" s="15">
        <f t="shared" si="170"/>
        <v>0</v>
      </c>
      <c r="AO223" s="6">
        <v>6.1716058959159902E-2</v>
      </c>
      <c r="AP223" s="11">
        <f t="shared" si="171"/>
        <v>0.58508674613684175</v>
      </c>
      <c r="AQ223" s="11">
        <f t="shared" si="172"/>
        <v>0.36474190844863502</v>
      </c>
      <c r="AR223" s="3">
        <f>VLOOKUP(A223,[10]Sheet1!$A$2:$L$542,12,FALSE)</f>
        <v>2.5167695715852698</v>
      </c>
      <c r="AS223" s="3">
        <f t="shared" si="180"/>
        <v>2.1148955705843253</v>
      </c>
      <c r="AT223" s="3">
        <f t="shared" si="181"/>
        <v>2.1249767728546844</v>
      </c>
      <c r="AU223" s="3">
        <f t="shared" si="173"/>
        <v>-1.0081202270359135E-2</v>
      </c>
      <c r="AV223" s="88">
        <f t="shared" si="182"/>
        <v>-0.2180322629662256</v>
      </c>
      <c r="AW223" s="32">
        <f t="shared" si="183"/>
        <v>9.8326869462595543E-2</v>
      </c>
      <c r="AX223" s="12">
        <f t="shared" si="174"/>
        <v>731.8193139169864</v>
      </c>
      <c r="AY223" s="12">
        <f t="shared" si="175"/>
        <v>458.38936455634831</v>
      </c>
      <c r="AZ223" s="3">
        <f>VLOOKUP(A223,[5]Analysis!$A$3:$BJ$543,62,FALSE)</f>
        <v>0.55969234867751261</v>
      </c>
      <c r="BA223" s="2"/>
      <c r="BB223" s="2"/>
      <c r="BC223" s="2" t="str">
        <f>VLOOKUP(A223,'[6]FGD status - Jun 2020'!$I$2:$M$449,5,FALSE)</f>
        <v>Bid Awarded</v>
      </c>
      <c r="BD223" s="2">
        <f>VLOOKUP(A223,'[1]daily coal, energy reqd'!$C$2:$L$599,10,FALSE)</f>
        <v>0</v>
      </c>
      <c r="BE223" s="2" t="str">
        <f>VLOOKUP(A223,'[1]daily coal, energy reqd'!$C$2:$M$599,11,FALSE)</f>
        <v>Y</v>
      </c>
      <c r="BF223" s="2">
        <f t="shared" si="176"/>
        <v>732.63004922366758</v>
      </c>
      <c r="BG223" s="2">
        <f t="shared" si="177"/>
        <v>472.04076244483042</v>
      </c>
      <c r="BH223" s="2"/>
      <c r="BI223" s="2"/>
      <c r="BK223">
        <f t="shared" si="178"/>
        <v>395.01249485973744</v>
      </c>
      <c r="BL223">
        <f>VLOOKUP(A223,'[11]Daily coal vs energy req.2'!$C$2:$P$599,14,FALSE)</f>
        <v>0.79</v>
      </c>
      <c r="BM223">
        <f>VLOOKUP(A223,'[11]Daily coal vs energy req.2'!$C$2:$R$599,16,FALSE)</f>
        <v>0.76</v>
      </c>
      <c r="BN223">
        <f t="shared" si="203"/>
        <v>395</v>
      </c>
      <c r="BO223">
        <f t="shared" si="204"/>
        <v>380</v>
      </c>
      <c r="BP223" s="2" t="str">
        <f>VLOOKUP(A223,'[7]Table 2'!$J$2:$N$449,5,FALSE)</f>
        <v>Bid Awarded</v>
      </c>
      <c r="BR223">
        <f t="shared" si="184"/>
        <v>567.83951459577247</v>
      </c>
      <c r="BS223">
        <f t="shared" si="185"/>
        <v>365.86459659977544</v>
      </c>
      <c r="BT223">
        <f>(X223*I223*365*[5]Analysis!BK223)/10^4</f>
        <v>381.27009987907161</v>
      </c>
      <c r="BU223">
        <f>(W223*R223*365*[5]Analysis!BK223)/10^4</f>
        <v>245.65608363326666</v>
      </c>
      <c r="BV223">
        <f>(X223*I223*365*[5]Analysis!BL223)/10^4</f>
        <v>186.56941471670081</v>
      </c>
      <c r="BW223">
        <f>(W223*R223*365*[5]Analysis!BL223)/10^4</f>
        <v>120.20851296650875</v>
      </c>
      <c r="BX223">
        <f t="shared" si="186"/>
        <v>2849097.0418456243</v>
      </c>
      <c r="BY223">
        <f t="shared" si="187"/>
        <v>1835701.3083714398</v>
      </c>
      <c r="BZ223">
        <f t="shared" si="188"/>
        <v>10032602.215061005</v>
      </c>
      <c r="CA223">
        <f t="shared" si="189"/>
        <v>6254304.1741907857</v>
      </c>
      <c r="CB223">
        <f t="shared" si="190"/>
        <v>-807708.89296953403</v>
      </c>
      <c r="CC223">
        <f t="shared" si="191"/>
        <v>-313895.92402500001</v>
      </c>
      <c r="CD223">
        <f t="shared" si="192"/>
        <v>0</v>
      </c>
      <c r="CE223">
        <f t="shared" si="193"/>
        <v>0</v>
      </c>
      <c r="CF223">
        <f t="shared" si="194"/>
        <v>6178723.8226468163</v>
      </c>
      <c r="CG223">
        <f t="shared" si="195"/>
        <v>3851804.0850000004</v>
      </c>
      <c r="CH223">
        <f t="shared" si="196"/>
        <v>2188451.4100775202</v>
      </c>
      <c r="CI223">
        <f t="shared" si="197"/>
        <v>1364276.2361806966</v>
      </c>
      <c r="CJ223">
        <f t="shared" si="198"/>
        <v>-2853096.2478729123</v>
      </c>
      <c r="CK223">
        <f t="shared" si="199"/>
        <v>-1778614.5000000005</v>
      </c>
      <c r="CL223">
        <f t="shared" si="200"/>
        <v>1654065.9751456818</v>
      </c>
      <c r="CM223">
        <f t="shared" si="201"/>
        <v>1031141.4238282631</v>
      </c>
    </row>
    <row r="224" spans="1:91" x14ac:dyDescent="0.2">
      <c r="A224" s="2" t="s">
        <v>356</v>
      </c>
      <c r="B224" s="2" t="str">
        <f t="shared" si="202"/>
        <v>KORBA STPS</v>
      </c>
      <c r="C224" s="2" t="str">
        <f>VLOOKUP($A224,'[1]daily coal, energy reqd'!$C$2:$T$599,17,FALSE)</f>
        <v>Chhatisgarh</v>
      </c>
      <c r="D224" s="2" t="str">
        <f>VLOOKUP(C224,'Target PLF'!$I$2:$J$19,2,FALSE)</f>
        <v>WR</v>
      </c>
      <c r="E224" s="2" t="str">
        <f>VLOOKUP(A224,[2]Ownership!$C$2:$D$666,2,FALSE)</f>
        <v>CENTRAL SECTOR</v>
      </c>
      <c r="F224" s="2" t="s">
        <v>548</v>
      </c>
      <c r="G224" s="12">
        <v>31.2525667351129</v>
      </c>
      <c r="H224" s="2">
        <v>500</v>
      </c>
      <c r="I224" s="2">
        <f>VLOOKUP(A224,'[3]Calculated coal req (reg.)'!$A$2:$I$599,9,FALSE)</f>
        <v>10.5807828837715</v>
      </c>
      <c r="J224" s="2"/>
      <c r="K224" s="11">
        <v>0.88173190698095838</v>
      </c>
      <c r="L224" s="3">
        <v>0.49249999999999999</v>
      </c>
      <c r="M224" s="3">
        <f t="shared" si="179"/>
        <v>-0.38923190698095839</v>
      </c>
      <c r="N224" s="2" t="str">
        <f t="shared" si="158"/>
        <v>0.25</v>
      </c>
      <c r="O224" s="2">
        <f t="shared" si="155"/>
        <v>14.07443834273287</v>
      </c>
      <c r="P224" s="2">
        <f t="shared" si="159"/>
        <v>2568584.9975487487</v>
      </c>
      <c r="Q224" s="2">
        <f t="shared" si="160"/>
        <v>13.632942801334702</v>
      </c>
      <c r="R224" s="2">
        <f t="shared" si="161"/>
        <v>5.91</v>
      </c>
      <c r="S224" s="2">
        <f t="shared" si="162"/>
        <v>1441583.4590146644</v>
      </c>
      <c r="T224" s="2" t="str">
        <f>VLOOKUP(A224,'[4]CEA vs MERIT comp. &amp; NPA marker'!$C$2:$K$735,9,FALSE)</f>
        <v>Contracted</v>
      </c>
      <c r="U224" s="3">
        <f>VLOOKUP(B224,'[8]Import-Domestic share'!$A$208:$F$406,6,FALSE)</f>
        <v>0</v>
      </c>
      <c r="V224" s="3">
        <f t="shared" si="163"/>
        <v>0</v>
      </c>
      <c r="W224" s="2">
        <f t="shared" si="164"/>
        <v>3030.920926484599</v>
      </c>
      <c r="X224" s="2">
        <f t="shared" si="165"/>
        <v>2902.2520679156155</v>
      </c>
      <c r="Y224" s="6">
        <f t="shared" si="166"/>
        <v>0.28374214334831471</v>
      </c>
      <c r="Z224" s="2">
        <f t="shared" si="167"/>
        <v>1573185.0713355551</v>
      </c>
      <c r="AA224" s="2">
        <f t="shared" si="168"/>
        <v>2696936.1307874192</v>
      </c>
      <c r="AB224" s="2" t="s">
        <v>598</v>
      </c>
      <c r="AC224" s="12">
        <f>VLOOKUP(B224,[9]Sheet1!$A$2:$B$137,2,FALSE)</f>
        <v>4155.9961352898499</v>
      </c>
      <c r="AD224" s="12">
        <f t="shared" si="169"/>
        <v>2077998.0676449249</v>
      </c>
      <c r="AE224" s="2" t="s">
        <v>589</v>
      </c>
      <c r="AF224" s="7">
        <f>VLOOKUP($B224,'[9]Subsidiary wise dispatch'!$A$3:$R$138,11,FALSE)*$H224*$O224*365</f>
        <v>0</v>
      </c>
      <c r="AG224" s="7">
        <f>VLOOKUP($B224,'[9]Subsidiary wise dispatch'!$A$3:$R$138,12,FALSE)*$H224*$O224*365</f>
        <v>0</v>
      </c>
      <c r="AH224" s="7">
        <f>VLOOKUP($B224,'[9]Subsidiary wise dispatch'!$A$3:$R$138,13,FALSE)*$H224*$O224*365</f>
        <v>0</v>
      </c>
      <c r="AI224" s="7">
        <f>VLOOKUP($B224,'[9]Subsidiary wise dispatch'!$A$3:$R$138,14,FALSE)*$H224*$O224*365</f>
        <v>0</v>
      </c>
      <c r="AJ224" s="7">
        <f>VLOOKUP($B224,'[9]Subsidiary wise dispatch'!$A$3:$R$138,15,FALSE)*$H224*$O224*365</f>
        <v>0</v>
      </c>
      <c r="AK224" s="7">
        <f>VLOOKUP($B224,'[9]Subsidiary wise dispatch'!$A$3:$R$138,16,FALSE)*$H224*$O224*365</f>
        <v>0</v>
      </c>
      <c r="AL224" s="7">
        <f>VLOOKUP($B224,'[9]Subsidiary wise dispatch'!$A$3:$R$138,17,FALSE)*$H224*$O224*365</f>
        <v>2568584.9975487487</v>
      </c>
      <c r="AM224" s="7">
        <f>VLOOKUP($B224,'[9]Subsidiary wise dispatch'!$A$3:$R$138,18,FALSE)*$H224*$O224*365</f>
        <v>0</v>
      </c>
      <c r="AN224" s="15">
        <f t="shared" si="170"/>
        <v>2568584.9975487487</v>
      </c>
      <c r="AO224" s="6">
        <v>6.2610933454142856E-2</v>
      </c>
      <c r="AP224" s="11">
        <f t="shared" si="171"/>
        <v>0.66247269302855116</v>
      </c>
      <c r="AQ224" s="11">
        <f t="shared" si="172"/>
        <v>0.37003061671398429</v>
      </c>
      <c r="AR224" s="3">
        <f>VLOOKUP(A224,[10]Sheet1!$A$2:$L$542,12,FALSE)</f>
        <v>1.31693546675523</v>
      </c>
      <c r="AS224" s="3">
        <f t="shared" si="180"/>
        <v>1.8005007003644173</v>
      </c>
      <c r="AT224" s="3">
        <f t="shared" si="181"/>
        <v>1.8136892583677382</v>
      </c>
      <c r="AU224" s="3">
        <f t="shared" si="173"/>
        <v>-1.318855800332086E-2</v>
      </c>
      <c r="AV224" s="88">
        <f t="shared" si="182"/>
        <v>-0.28523692607378592</v>
      </c>
      <c r="AW224" s="32">
        <f t="shared" si="183"/>
        <v>0.15109595237336096</v>
      </c>
      <c r="AX224" s="12">
        <f t="shared" si="174"/>
        <v>695.35080523115653</v>
      </c>
      <c r="AY224" s="12">
        <f t="shared" si="175"/>
        <v>391.23997836879664</v>
      </c>
      <c r="AZ224" s="3">
        <f>VLOOKUP(A224,[5]Analysis!$A$3:$BJ$543,62,FALSE)</f>
        <v>0.3933883912010035</v>
      </c>
      <c r="BA224" s="2"/>
      <c r="BB224" s="2"/>
      <c r="BC224" s="2" t="str">
        <f>VLOOKUP(A224,'[6]FGD status - Jun 2020'!$I$2:$M$449,5,FALSE)</f>
        <v>Bid Awarded</v>
      </c>
      <c r="BD224" s="2">
        <f>VLOOKUP(A224,'[1]daily coal, energy reqd'!$C$2:$L$599,10,FALSE)</f>
        <v>0</v>
      </c>
      <c r="BE224" s="2" t="str">
        <f>VLOOKUP(A224,'[1]daily coal, energy reqd'!$C$2:$M$599,11,FALSE)</f>
        <v>Y</v>
      </c>
      <c r="BF224" s="2">
        <f t="shared" si="176"/>
        <v>834.70173247870628</v>
      </c>
      <c r="BG224" s="2">
        <f t="shared" si="177"/>
        <v>486.90077957835427</v>
      </c>
      <c r="BH224" s="2"/>
      <c r="BI224" s="2"/>
      <c r="BK224">
        <f t="shared" si="178"/>
        <v>440.86595349047917</v>
      </c>
      <c r="BL224">
        <f>VLOOKUP(A224,'[11]Daily coal vs energy req.2'!$C$2:$P$599,14,FALSE)</f>
        <v>0.71</v>
      </c>
      <c r="BM224">
        <f>VLOOKUP(A224,'[11]Daily coal vs energy req.2'!$C$2:$R$599,16,FALSE)</f>
        <v>0.68</v>
      </c>
      <c r="BN224">
        <f t="shared" si="203"/>
        <v>355</v>
      </c>
      <c r="BO224">
        <f t="shared" si="204"/>
        <v>340</v>
      </c>
      <c r="BP224" s="2" t="str">
        <f>VLOOKUP(A224,'[7]Table 2'!$J$2:$N$449,5,FALSE)</f>
        <v>Bid Awarded</v>
      </c>
      <c r="BR224">
        <f t="shared" si="184"/>
        <v>440.92765274540159</v>
      </c>
      <c r="BS224">
        <f t="shared" si="185"/>
        <v>257.20327334395074</v>
      </c>
      <c r="BT224">
        <f>(X224*I224*365*[5]Analysis!BK224)/10^4</f>
        <v>433.68302599889824</v>
      </c>
      <c r="BU224">
        <f>(W224*R224*365*[5]Analysis!BK224)/10^4</f>
        <v>252.97731540787242</v>
      </c>
      <c r="BV224">
        <f>(X224*I224*365*[5]Analysis!BL224)/10^4</f>
        <v>7.2446267465033625</v>
      </c>
      <c r="BW224">
        <f>(W224*R224*365*[5]Analysis!BL224)/10^4</f>
        <v>4.2259579360782871</v>
      </c>
      <c r="BX224">
        <f t="shared" si="186"/>
        <v>3147580.1479706788</v>
      </c>
      <c r="BY224">
        <f t="shared" si="187"/>
        <v>1836056.1242412077</v>
      </c>
      <c r="BZ224">
        <f t="shared" si="188"/>
        <v>7870122.4757633228</v>
      </c>
      <c r="CA224">
        <f t="shared" si="189"/>
        <v>4395934.057308808</v>
      </c>
      <c r="CB224">
        <f t="shared" si="190"/>
        <v>-1006111.9799241023</v>
      </c>
      <c r="CC224">
        <f t="shared" si="191"/>
        <v>-313895.92402500001</v>
      </c>
      <c r="CD224">
        <f t="shared" si="192"/>
        <v>0</v>
      </c>
      <c r="CE224">
        <f t="shared" si="193"/>
        <v>0</v>
      </c>
      <c r="CF224">
        <f t="shared" si="194"/>
        <v>6895956.4694093307</v>
      </c>
      <c r="CG224">
        <f t="shared" si="195"/>
        <v>3851804.0850000004</v>
      </c>
      <c r="CH224">
        <f t="shared" si="196"/>
        <v>2448495.0563719189</v>
      </c>
      <c r="CI224">
        <f t="shared" si="197"/>
        <v>1367630.9156057481</v>
      </c>
      <c r="CJ224">
        <f t="shared" si="198"/>
        <v>-3184286.6088710334</v>
      </c>
      <c r="CK224">
        <f t="shared" si="199"/>
        <v>-1778614.5000000005</v>
      </c>
      <c r="CL224">
        <f t="shared" si="200"/>
        <v>1872839.4519902072</v>
      </c>
      <c r="CM224">
        <f t="shared" si="201"/>
        <v>1046092.8347975689</v>
      </c>
    </row>
    <row r="225" spans="1:91" x14ac:dyDescent="0.2">
      <c r="A225" s="2" t="s">
        <v>211</v>
      </c>
      <c r="B225" s="2" t="str">
        <f t="shared" si="202"/>
        <v>DHARIWAL TPS</v>
      </c>
      <c r="C225" s="2" t="str">
        <f>VLOOKUP($A225,'[1]daily coal, energy reqd'!$C$2:$T$599,17,FALSE)</f>
        <v>Maharashtra</v>
      </c>
      <c r="D225" s="2" t="str">
        <f>VLOOKUP(C225,'Target PLF'!$I$2:$J$19,2,FALSE)</f>
        <v>WR</v>
      </c>
      <c r="E225" s="2" t="str">
        <f>VLOOKUP(A225,[2]Ownership!$C$2:$D$666,2,FALSE)</f>
        <v>PVT SECTOR</v>
      </c>
      <c r="F225" s="2" t="s">
        <v>543</v>
      </c>
      <c r="G225" s="12">
        <v>6.5051334702258696</v>
      </c>
      <c r="H225" s="2">
        <v>300</v>
      </c>
      <c r="I225" s="2">
        <f>VLOOKUP(A225,'[3]Calculated coal req (reg.)'!$A$2:$I$599,9,FALSE)</f>
        <v>2.5500808437092499</v>
      </c>
      <c r="J225" s="2"/>
      <c r="K225" s="11">
        <v>0.35417789495961804</v>
      </c>
      <c r="L225" s="3">
        <v>0.49249999999999999</v>
      </c>
      <c r="M225" s="3">
        <f t="shared" si="179"/>
        <v>0.13832210504038195</v>
      </c>
      <c r="N225" s="2" t="str">
        <f t="shared" si="158"/>
        <v>0.25</v>
      </c>
      <c r="O225" s="2">
        <f t="shared" si="155"/>
        <v>6.1023750586110577</v>
      </c>
      <c r="P225" s="2">
        <f t="shared" si="159"/>
        <v>668210.0689179108</v>
      </c>
      <c r="Q225" s="2">
        <f t="shared" si="160"/>
        <v>13.000896752669405</v>
      </c>
      <c r="R225" s="2">
        <f t="shared" si="161"/>
        <v>3.5459999999999998</v>
      </c>
      <c r="S225" s="2">
        <f t="shared" si="162"/>
        <v>824849.54205943563</v>
      </c>
      <c r="T225" s="2" t="str">
        <f>VLOOKUP(A225,'[4]CEA vs MERIT comp. &amp; NPA marker'!$C$2:$K$735,9,FALSE)</f>
        <v>Contracted</v>
      </c>
      <c r="U225" s="3">
        <f>VLOOKUP(B225,'[8]Import-Domestic share'!$A$208:$F$406,6,FALSE)</f>
        <v>2.9673684724732544E-2</v>
      </c>
      <c r="V225" s="3">
        <f t="shared" si="163"/>
        <v>19828.25491496189</v>
      </c>
      <c r="W225" s="2">
        <f t="shared" si="164"/>
        <v>3033.6758053630242</v>
      </c>
      <c r="X225" s="2">
        <f t="shared" si="165"/>
        <v>3079.4011096127497</v>
      </c>
      <c r="Y225" s="6">
        <f t="shared" si="166"/>
        <v>0.28348447730626519</v>
      </c>
      <c r="Z225" s="2">
        <f t="shared" si="167"/>
        <v>931118.22816593165</v>
      </c>
      <c r="AA225" s="2">
        <f t="shared" si="168"/>
        <v>679699.79717982677</v>
      </c>
      <c r="AB225" s="2" t="s">
        <v>598</v>
      </c>
      <c r="AC225" s="12">
        <f>VLOOKUP(B225,[9]Sheet1!$A$2:$B$137,2,FALSE)</f>
        <v>4216.925562565174</v>
      </c>
      <c r="AD225" s="12">
        <f t="shared" si="169"/>
        <v>1265077.6687695521</v>
      </c>
      <c r="AE225" s="2"/>
      <c r="AF225" s="7">
        <f>VLOOKUP($B225,'[9]Subsidiary wise dispatch'!$A$3:$R$138,11,FALSE)*$H225*$O225*365</f>
        <v>0</v>
      </c>
      <c r="AG225" s="7">
        <f>VLOOKUP($B225,'[9]Subsidiary wise dispatch'!$A$3:$R$138,12,FALSE)*$H225*$O225*365</f>
        <v>0</v>
      </c>
      <c r="AH225" s="7">
        <f>VLOOKUP($B225,'[9]Subsidiary wise dispatch'!$A$3:$R$138,13,FALSE)*$H225*$O225*365</f>
        <v>0</v>
      </c>
      <c r="AI225" s="7">
        <f>VLOOKUP($B225,'[9]Subsidiary wise dispatch'!$A$3:$R$138,14,FALSE)*$H225*$O225*365</f>
        <v>0</v>
      </c>
      <c r="AJ225" s="7">
        <f>VLOOKUP($B225,'[9]Subsidiary wise dispatch'!$A$3:$R$138,15,FALSE)*$H225*$O225*365</f>
        <v>0</v>
      </c>
      <c r="AK225" s="7">
        <f>VLOOKUP($B225,'[9]Subsidiary wise dispatch'!$A$3:$R$138,16,FALSE)*$H225*$O225*365</f>
        <v>0</v>
      </c>
      <c r="AL225" s="7">
        <f>VLOOKUP($B225,'[9]Subsidiary wise dispatch'!$A$3:$R$138,17,FALSE)*$H225*$O225*365</f>
        <v>535680.70227515651</v>
      </c>
      <c r="AM225" s="7">
        <f>VLOOKUP($B225,'[9]Subsidiary wise dispatch'!$A$3:$R$138,18,FALSE)*$H225*$O225*365</f>
        <v>132529.36664275426</v>
      </c>
      <c r="AN225" s="15">
        <f t="shared" si="170"/>
        <v>668210.0689179108</v>
      </c>
      <c r="AO225" s="6">
        <v>8.4082972715828666E-2</v>
      </c>
      <c r="AP225" s="11">
        <f t="shared" si="171"/>
        <v>0.21441837800476221</v>
      </c>
      <c r="AQ225" s="11">
        <f t="shared" si="172"/>
        <v>0.29815822125032843</v>
      </c>
      <c r="AR225" s="3">
        <f>VLOOKUP(A225,[10]Sheet1!$A$2:$L$542,12,FALSE)</f>
        <v>1.9895573317595701</v>
      </c>
      <c r="AS225" s="3">
        <f t="shared" si="180"/>
        <v>2.4880427206685543</v>
      </c>
      <c r="AT225" s="3">
        <f t="shared" si="181"/>
        <v>2.4833558769829573</v>
      </c>
      <c r="AU225" s="3">
        <f t="shared" si="173"/>
        <v>4.6868436855969087E-3</v>
      </c>
      <c r="AV225" s="88">
        <f t="shared" si="182"/>
        <v>0.1013652050156927</v>
      </c>
      <c r="AW225" s="32">
        <f t="shared" si="183"/>
        <v>3.88571950662156E-2</v>
      </c>
      <c r="AX225" s="12">
        <f t="shared" si="174"/>
        <v>231.58191793121006</v>
      </c>
      <c r="AY225" s="12">
        <f t="shared" si="175"/>
        <v>321.41826780202717</v>
      </c>
      <c r="AZ225" s="3">
        <f>VLOOKUP(A225,[5]Analysis!$A$3:$BJ$543,62,FALSE)</f>
        <v>0.74855527340999251</v>
      </c>
      <c r="BA225" s="2"/>
      <c r="BB225" s="2"/>
      <c r="BC225" s="2" t="str">
        <f>VLOOKUP(A225,'[6]FGD status - Jun 2020'!$I$2:$M$449,5,FALSE)</f>
        <v>Feasibility Study completed</v>
      </c>
      <c r="BD225" s="2"/>
      <c r="BE225" s="2"/>
      <c r="BF225" s="2">
        <f t="shared" si="176"/>
        <v>214.67522781080226</v>
      </c>
      <c r="BG225" s="2">
        <f t="shared" si="177"/>
        <v>294.08279740508436</v>
      </c>
      <c r="BH225" s="2"/>
      <c r="BI225" s="2"/>
      <c r="BK225">
        <f t="shared" si="178"/>
        <v>106.25336848788541</v>
      </c>
      <c r="BL225" t="str">
        <f>VLOOKUP(A225,'[11]Daily coal vs energy req.2'!$C$2:$P$599,14,FALSE)</f>
        <v/>
      </c>
      <c r="BM225" t="str">
        <f>VLOOKUP(A225,'[11]Daily coal vs energy req.2'!$C$2:$R$599,16,FALSE)</f>
        <v/>
      </c>
      <c r="BP225" s="2" t="str">
        <f>VLOOKUP(A225,'[7]Table 2'!$J$2:$N$449,5,FALSE)</f>
        <v>NIT issued</v>
      </c>
      <c r="BR225">
        <f t="shared" si="184"/>
        <v>214.55416490734126</v>
      </c>
      <c r="BS225">
        <f t="shared" si="185"/>
        <v>293.91695378318695</v>
      </c>
      <c r="BT225">
        <f>(X225*I225*365*[5]Analysis!BK225)/10^4</f>
        <v>117.7297051138992</v>
      </c>
      <c r="BU225">
        <f>(W225*R225*365*[5]Analysis!BK225)/10^4</f>
        <v>161.27748585917178</v>
      </c>
      <c r="BV225">
        <f>(X225*I225*365*[5]Analysis!BL225)/10^4</f>
        <v>96.824459793442074</v>
      </c>
      <c r="BW225">
        <f>(W225*R225*365*[5]Analysis!BL225)/10^4</f>
        <v>132.63946792401518</v>
      </c>
      <c r="BX225">
        <f t="shared" si="186"/>
        <v>804903.98242134927</v>
      </c>
      <c r="BY225">
        <f t="shared" si="187"/>
        <v>1102634.9765962716</v>
      </c>
      <c r="BZ225">
        <f t="shared" si="188"/>
        <v>3609274.9834344801</v>
      </c>
      <c r="CA225">
        <f t="shared" si="189"/>
        <v>5018856.2150219809</v>
      </c>
      <c r="CB225">
        <f t="shared" si="190"/>
        <v>-97401.885026156509</v>
      </c>
      <c r="CC225">
        <f t="shared" si="191"/>
        <v>-188337.55441499996</v>
      </c>
      <c r="CD225">
        <f t="shared" si="192"/>
        <v>-941093.05491817382</v>
      </c>
      <c r="CE225">
        <f t="shared" si="193"/>
        <v>-1308631.4423999998</v>
      </c>
      <c r="CF225">
        <f t="shared" si="194"/>
        <v>1661998.6143620196</v>
      </c>
      <c r="CG225">
        <f t="shared" si="195"/>
        <v>2311082.4509999999</v>
      </c>
      <c r="CH225">
        <f t="shared" si="196"/>
        <v>122830.40900975889</v>
      </c>
      <c r="CI225">
        <f t="shared" si="197"/>
        <v>170801.10672689931</v>
      </c>
      <c r="CJ225">
        <f t="shared" si="198"/>
        <v>-460468.09794857929</v>
      </c>
      <c r="CK225">
        <f t="shared" si="199"/>
        <v>-640301.22</v>
      </c>
      <c r="CL225">
        <f t="shared" si="200"/>
        <v>606170.18902809499</v>
      </c>
      <c r="CM225">
        <f t="shared" si="201"/>
        <v>842906.41043641348</v>
      </c>
    </row>
    <row r="226" spans="1:91" x14ac:dyDescent="0.2">
      <c r="A226" s="2" t="s">
        <v>220</v>
      </c>
      <c r="B226" s="2" t="str">
        <f t="shared" si="202"/>
        <v>GMR WARORA TPS</v>
      </c>
      <c r="C226" s="2" t="str">
        <f>VLOOKUP($A226,'[1]daily coal, energy reqd'!$C$2:$T$599,17,FALSE)</f>
        <v>Maharashtra</v>
      </c>
      <c r="D226" s="2" t="str">
        <f>VLOOKUP(C226,'Target PLF'!$I$2:$J$19,2,FALSE)</f>
        <v>WR</v>
      </c>
      <c r="E226" s="2" t="str">
        <f>VLOOKUP(A226,[2]Ownership!$C$2:$D$666,2,FALSE)</f>
        <v>PVT SECTOR</v>
      </c>
      <c r="F226" s="2" t="s">
        <v>543</v>
      </c>
      <c r="G226" s="12">
        <v>7.2525667351129304</v>
      </c>
      <c r="H226" s="2">
        <v>300</v>
      </c>
      <c r="I226" s="2">
        <f>VLOOKUP(A226,'[3]Calculated coal req (reg.)'!$A$2:$I$599,9,FALSE)</f>
        <v>5.5939891599131304</v>
      </c>
      <c r="J226" s="2"/>
      <c r="K226" s="11">
        <v>0.77694293887682364</v>
      </c>
      <c r="L226" s="3">
        <v>0.49249999999999999</v>
      </c>
      <c r="M226" s="3">
        <f t="shared" si="179"/>
        <v>-0.28444293887682365</v>
      </c>
      <c r="N226" s="2" t="str">
        <f t="shared" si="158"/>
        <v>0.25</v>
      </c>
      <c r="O226" s="2">
        <f t="shared" si="155"/>
        <v>12.008106892809613</v>
      </c>
      <c r="P226" s="2">
        <f t="shared" si="159"/>
        <v>1314887.7047626527</v>
      </c>
      <c r="Q226" s="2">
        <f t="shared" si="160"/>
        <v>13.024571701334702</v>
      </c>
      <c r="R226" s="2">
        <f t="shared" si="161"/>
        <v>3.5459999999999998</v>
      </c>
      <c r="S226" s="2">
        <f t="shared" si="162"/>
        <v>826351.61310394574</v>
      </c>
      <c r="T226" s="2" t="str">
        <f>VLOOKUP(A226,'[4]CEA vs MERIT comp. &amp; NPA marker'!$C$2:$K$735,9,FALSE)</f>
        <v>Contracted</v>
      </c>
      <c r="U226" s="3">
        <f>VLOOKUP(B226,'[8]Import-Domestic share'!$A$208:$F$406,6,FALSE)</f>
        <v>8.6047411424651186E-3</v>
      </c>
      <c r="V226" s="3">
        <f t="shared" si="163"/>
        <v>11314.268330892724</v>
      </c>
      <c r="W226" s="2">
        <f t="shared" si="164"/>
        <v>3034.636485561718</v>
      </c>
      <c r="X226" s="2">
        <f t="shared" si="165"/>
        <v>2940.6078419256801</v>
      </c>
      <c r="Y226" s="6">
        <f t="shared" si="166"/>
        <v>0.28339473412770627</v>
      </c>
      <c r="Z226" s="2">
        <f t="shared" si="167"/>
        <v>948937.19088857027</v>
      </c>
      <c r="AA226" s="2">
        <f t="shared" si="168"/>
        <v>1450610.4211481139</v>
      </c>
      <c r="AB226" s="2" t="s">
        <v>598</v>
      </c>
      <c r="AC226" s="12">
        <f>VLOOKUP(B226,[9]Sheet1!$A$2:$B$137,2,FALSE)</f>
        <v>4139.0512402826553</v>
      </c>
      <c r="AD226" s="12">
        <f t="shared" si="169"/>
        <v>1241715.3720847967</v>
      </c>
      <c r="AE226" s="2"/>
      <c r="AF226" s="7">
        <f>VLOOKUP($B226,'[9]Subsidiary wise dispatch'!$A$3:$R$138,11,FALSE)*$H226*$O226*365</f>
        <v>0</v>
      </c>
      <c r="AG226" s="7">
        <f>VLOOKUP($B226,'[9]Subsidiary wise dispatch'!$A$3:$R$138,12,FALSE)*$H226*$O226*365</f>
        <v>0</v>
      </c>
      <c r="AH226" s="7">
        <f>VLOOKUP($B226,'[9]Subsidiary wise dispatch'!$A$3:$R$138,13,FALSE)*$H226*$O226*365</f>
        <v>0</v>
      </c>
      <c r="AI226" s="7">
        <f>VLOOKUP($B226,'[9]Subsidiary wise dispatch'!$A$3:$R$138,14,FALSE)*$H226*$O226*365</f>
        <v>0</v>
      </c>
      <c r="AJ226" s="7">
        <f>VLOOKUP($B226,'[9]Subsidiary wise dispatch'!$A$3:$R$138,15,FALSE)*$H226*$O226*365</f>
        <v>0</v>
      </c>
      <c r="AK226" s="7">
        <f>VLOOKUP($B226,'[9]Subsidiary wise dispatch'!$A$3:$R$138,16,FALSE)*$H226*$O226*365</f>
        <v>0</v>
      </c>
      <c r="AL226" s="7">
        <f>VLOOKUP($B226,'[9]Subsidiary wise dispatch'!$A$3:$R$138,17,FALSE)*$H226*$O226*365</f>
        <v>1278745.8565895639</v>
      </c>
      <c r="AM226" s="7">
        <f>VLOOKUP($B226,'[9]Subsidiary wise dispatch'!$A$3:$R$138,18,FALSE)*$H226*$O226*365</f>
        <v>36141.848173088794</v>
      </c>
      <c r="AN226" s="15">
        <f t="shared" si="170"/>
        <v>1314887.7047626527</v>
      </c>
      <c r="AO226" s="6">
        <v>8.7066312766907406E-2</v>
      </c>
      <c r="AP226" s="11">
        <f t="shared" si="171"/>
        <v>0.48704800981168622</v>
      </c>
      <c r="AQ226" s="11">
        <f t="shared" si="172"/>
        <v>0.30873714507145367</v>
      </c>
      <c r="AR226" s="3">
        <f>VLOOKUP(A226,[10]Sheet1!$A$2:$L$542,12,FALSE)</f>
        <v>1.9006111999999999</v>
      </c>
      <c r="AS226" s="3">
        <f t="shared" si="180"/>
        <v>2.5600853339202208</v>
      </c>
      <c r="AT226" s="3">
        <f t="shared" si="181"/>
        <v>2.5697232698929149</v>
      </c>
      <c r="AU226" s="3">
        <f t="shared" si="173"/>
        <v>-9.6379359726941338E-3</v>
      </c>
      <c r="AV226" s="88">
        <f t="shared" si="182"/>
        <v>-0.20844547446771391</v>
      </c>
      <c r="AW226" s="32">
        <f t="shared" si="183"/>
        <v>7.7656606153275659E-2</v>
      </c>
      <c r="AX226" s="12">
        <f t="shared" si="174"/>
        <v>522.71977063368399</v>
      </c>
      <c r="AY226" s="12">
        <f t="shared" si="175"/>
        <v>332.5967130989701</v>
      </c>
      <c r="AZ226" s="3">
        <f>VLOOKUP(A226,[5]Analysis!$A$3:$BJ$543,62,FALSE)</f>
        <v>0.78679363471938157</v>
      </c>
      <c r="BA226" s="2"/>
      <c r="BB226" s="2"/>
      <c r="BC226" s="2" t="str">
        <f>VLOOKUP(A226,'[6]FGD status - Jun 2020'!$I$2:$M$449,5,FALSE)</f>
        <v>NIT issued</v>
      </c>
      <c r="BD226" s="2"/>
      <c r="BE226" s="2"/>
      <c r="BF226" s="2">
        <f t="shared" si="176"/>
        <v>451.63010770939616</v>
      </c>
      <c r="BG226" s="2">
        <f t="shared" si="177"/>
        <v>295.44018123850088</v>
      </c>
      <c r="BH226" s="2"/>
      <c r="BI226" s="2"/>
      <c r="BK226">
        <f t="shared" si="178"/>
        <v>233.08288166304709</v>
      </c>
      <c r="BP226" s="2" t="str">
        <f>VLOOKUP(A226,'[7]Table 2'!$J$2:$N$449,5,FALSE)</f>
        <v>Bid opened</v>
      </c>
      <c r="BR226">
        <f t="shared" si="184"/>
        <v>472.40276807616948</v>
      </c>
      <c r="BS226">
        <f t="shared" si="185"/>
        <v>309.02890891365905</v>
      </c>
      <c r="BT226">
        <f>(X226*I226*365*[5]Analysis!BK226)/10^4</f>
        <v>237.44948553626648</v>
      </c>
      <c r="BU226">
        <f>(W226*R226*365*[5]Analysis!BK226)/10^4</f>
        <v>155.33091759011586</v>
      </c>
      <c r="BV226">
        <f>(X226*I226*365*[5]Analysis!BL226)/10^4</f>
        <v>234.95328253990306</v>
      </c>
      <c r="BW226">
        <f>(W226*R226*365*[5]Analysis!BL226)/10^4</f>
        <v>153.69799132354319</v>
      </c>
      <c r="BX226">
        <f t="shared" si="186"/>
        <v>1686097.1601069993</v>
      </c>
      <c r="BY226">
        <f t="shared" si="187"/>
        <v>1102984.1502246896</v>
      </c>
      <c r="BZ226">
        <f t="shared" si="188"/>
        <v>8321940.5027347775</v>
      </c>
      <c r="CA226">
        <f t="shared" si="189"/>
        <v>5275233.8589007528</v>
      </c>
      <c r="CB226">
        <f t="shared" si="190"/>
        <v>-468708.36578904628</v>
      </c>
      <c r="CC226">
        <f t="shared" si="191"/>
        <v>-188337.55441499996</v>
      </c>
      <c r="CD226">
        <f t="shared" si="192"/>
        <v>-2064430.3731266453</v>
      </c>
      <c r="CE226">
        <f t="shared" si="193"/>
        <v>-1308631.4423999998</v>
      </c>
      <c r="CF226">
        <f t="shared" si="194"/>
        <v>3645846.0740438434</v>
      </c>
      <c r="CG226">
        <f t="shared" si="195"/>
        <v>2311082.4509999999</v>
      </c>
      <c r="CH226">
        <f t="shared" si="196"/>
        <v>300406.33827212529</v>
      </c>
      <c r="CI226">
        <f t="shared" si="197"/>
        <v>190425.98136344951</v>
      </c>
      <c r="CJ226">
        <f t="shared" si="198"/>
        <v>-1010106.622605514</v>
      </c>
      <c r="CK226">
        <f t="shared" si="199"/>
        <v>-640301.22</v>
      </c>
      <c r="CL226">
        <f t="shared" si="200"/>
        <v>1376906.1538500686</v>
      </c>
      <c r="CM226">
        <f t="shared" si="201"/>
        <v>872813.49355138256</v>
      </c>
    </row>
    <row r="227" spans="1:91" x14ac:dyDescent="0.2">
      <c r="A227" s="2" t="s">
        <v>184</v>
      </c>
      <c r="B227" s="2" t="str">
        <f t="shared" si="202"/>
        <v>BONGAIGAON TPS</v>
      </c>
      <c r="C227" s="2" t="str">
        <f>VLOOKUP($A227,'[1]daily coal, energy reqd'!$C$2:$T$599,17,FALSE)</f>
        <v>Assam</v>
      </c>
      <c r="D227" s="2" t="str">
        <f>VLOOKUP(C227,'Target PLF'!$I$2:$J$19,2,FALSE)</f>
        <v>NER</v>
      </c>
      <c r="E227" s="2" t="str">
        <f>VLOOKUP(A227,[2]Ownership!$C$2:$D$666,2,FALSE)</f>
        <v>CENTRAL SECTOR</v>
      </c>
      <c r="F227" s="2" t="s">
        <v>542</v>
      </c>
      <c r="G227" s="13">
        <v>1.3388090349075901</v>
      </c>
      <c r="H227" s="2">
        <v>250</v>
      </c>
      <c r="I227" s="2">
        <f>VLOOKUP(A227,'[3]Calculated coal req (reg.)'!$A$2:$I$599,9,FALSE)</f>
        <v>2.9789465217763298</v>
      </c>
      <c r="J227" s="2"/>
      <c r="K227" s="11">
        <v>0.49649108696272165</v>
      </c>
      <c r="L227" s="3">
        <v>0.49249999999999999</v>
      </c>
      <c r="M227" s="3">
        <f t="shared" si="179"/>
        <v>-3.9910869627216572E-3</v>
      </c>
      <c r="N227" s="2" t="str">
        <f t="shared" si="158"/>
        <v>0.25</v>
      </c>
      <c r="O227" s="2">
        <f t="shared" si="155"/>
        <v>9.068923966419133</v>
      </c>
      <c r="P227" s="2">
        <f t="shared" si="159"/>
        <v>827539.31193574599</v>
      </c>
      <c r="Q227" s="2">
        <f t="shared" si="160"/>
        <v>13.987399526180697</v>
      </c>
      <c r="R227" s="2">
        <f t="shared" si="161"/>
        <v>2.9550000000000001</v>
      </c>
      <c r="S227" s="2">
        <f t="shared" si="162"/>
        <v>739532.32568384043</v>
      </c>
      <c r="T227" s="2" t="str">
        <f>VLOOKUP(A227,'[4]CEA vs MERIT comp. &amp; NPA marker'!$C$2:$K$735,9,FALSE)</f>
        <v>Not contracted</v>
      </c>
      <c r="U227" s="3">
        <f>VLOOKUP(B227,'[8]Import-Domestic share'!$A$208:$F$406,6,FALSE)</f>
        <v>7.979458010659737E-3</v>
      </c>
      <c r="V227" s="3">
        <f t="shared" si="163"/>
        <v>6603.3151917615342</v>
      </c>
      <c r="W227" s="2">
        <f t="shared" si="164"/>
        <v>3035.5983424606134</v>
      </c>
      <c r="X227" s="2">
        <f t="shared" si="165"/>
        <v>3034.2790040540422</v>
      </c>
      <c r="Y227" s="6">
        <f t="shared" si="166"/>
        <v>0.28330493793289402</v>
      </c>
      <c r="Z227" s="2">
        <f t="shared" si="167"/>
        <v>544953.98631289799</v>
      </c>
      <c r="AA227" s="2">
        <f t="shared" si="168"/>
        <v>549131.37775415438</v>
      </c>
      <c r="AB227" s="2" t="s">
        <v>598</v>
      </c>
      <c r="AC227" s="12">
        <f>VLOOKUP(B227,[9]Sheet1!$A$2:$B$137,2,FALSE)</f>
        <v>6008.0677716880546</v>
      </c>
      <c r="AD227" s="12">
        <f t="shared" si="169"/>
        <v>1502016.9429220136</v>
      </c>
      <c r="AE227" s="2"/>
      <c r="AF227" s="7">
        <f>VLOOKUP($B227,'[9]Subsidiary wise dispatch'!$A$3:$R$138,11,FALSE)*$H227*$O227*365</f>
        <v>0</v>
      </c>
      <c r="AG227" s="7">
        <f>VLOOKUP($B227,'[9]Subsidiary wise dispatch'!$A$3:$R$138,12,FALSE)*$H227*$O227*365</f>
        <v>27018.178268550757</v>
      </c>
      <c r="AH227" s="7">
        <f>VLOOKUP($B227,'[9]Subsidiary wise dispatch'!$A$3:$R$138,13,FALSE)*$H227*$O227*365</f>
        <v>524102.94404210645</v>
      </c>
      <c r="AI227" s="7">
        <f>VLOOKUP($B227,'[9]Subsidiary wise dispatch'!$A$3:$R$138,14,FALSE)*$H227*$O227*365</f>
        <v>0</v>
      </c>
      <c r="AJ227" s="7">
        <f>VLOOKUP($B227,'[9]Subsidiary wise dispatch'!$A$3:$R$138,15,FALSE)*$H227*$O227*365</f>
        <v>0</v>
      </c>
      <c r="AK227" s="7">
        <f>VLOOKUP($B227,'[9]Subsidiary wise dispatch'!$A$3:$R$138,16,FALSE)*$H227*$O227*365</f>
        <v>276418.18962508865</v>
      </c>
      <c r="AL227" s="7">
        <f>VLOOKUP($B227,'[9]Subsidiary wise dispatch'!$A$3:$R$138,17,FALSE)*$H227*$O227*365</f>
        <v>0</v>
      </c>
      <c r="AM227" s="7">
        <f>VLOOKUP($B227,'[9]Subsidiary wise dispatch'!$A$3:$R$138,18,FALSE)*$H227*$O227*365</f>
        <v>0</v>
      </c>
      <c r="AN227" s="15">
        <f t="shared" si="170"/>
        <v>827539.31193574588</v>
      </c>
      <c r="AO227" s="6">
        <v>0.06</v>
      </c>
      <c r="AP227" s="11">
        <f t="shared" si="171"/>
        <v>0.17873679130657977</v>
      </c>
      <c r="AQ227" s="11">
        <f t="shared" si="172"/>
        <v>0.17729999999999999</v>
      </c>
      <c r="AR227" s="3">
        <f>VLOOKUP(A227,[10]Sheet1!$A$2:$L$542,12,FALSE)</f>
        <v>2.9718826799528202</v>
      </c>
      <c r="AS227" s="3">
        <f t="shared" si="180"/>
        <v>2.8182143716462384</v>
      </c>
      <c r="AT227" s="3">
        <f t="shared" si="181"/>
        <v>2.8183496038329117</v>
      </c>
      <c r="AU227" s="3">
        <f t="shared" si="173"/>
        <v>-1.3523218667321757E-4</v>
      </c>
      <c r="AV227" s="88">
        <f t="shared" si="182"/>
        <v>-2.9247483480216848E-3</v>
      </c>
      <c r="AW227" s="32">
        <f t="shared" si="183"/>
        <v>9.8981688171542194E-4</v>
      </c>
      <c r="AX227" s="12">
        <f t="shared" si="174"/>
        <v>306.4288113513004</v>
      </c>
      <c r="AY227" s="12">
        <f t="shared" si="175"/>
        <v>303.98014239540828</v>
      </c>
      <c r="AZ227" s="3">
        <f>VLOOKUP(A227,[5]Analysis!$A$3:$BJ$543,62,FALSE)</f>
        <v>0.96594611350932336</v>
      </c>
      <c r="BA227" s="2"/>
      <c r="BB227" s="2"/>
      <c r="BC227" s="2" t="str">
        <f>VLOOKUP(A227,'[6]FGD status - Jun 2020'!$I$2:$M$449,5,FALSE)</f>
        <v>Bid Awarded</v>
      </c>
      <c r="BD227" s="2"/>
      <c r="BE227" s="2"/>
      <c r="BF227" s="2">
        <f t="shared" si="176"/>
        <v>170.89210765162309</v>
      </c>
      <c r="BG227" s="2">
        <f t="shared" si="177"/>
        <v>169.59208500348777</v>
      </c>
      <c r="BH227" s="2"/>
      <c r="BI227" s="2"/>
      <c r="BK227">
        <f t="shared" si="178"/>
        <v>124.12277174068041</v>
      </c>
      <c r="BP227" s="2" t="str">
        <f>VLOOKUP(A227,'[7]Table 2'!$J$2:$N$449,5,FALSE)</f>
        <v>Bid Awarded</v>
      </c>
      <c r="BR227">
        <f t="shared" si="184"/>
        <v>318.68673196730174</v>
      </c>
      <c r="BS227">
        <f t="shared" si="185"/>
        <v>316.26239549611552</v>
      </c>
      <c r="BT227">
        <f>(X227*I227*365*[5]Analysis!BK227)/10^4</f>
        <v>216.07833111744989</v>
      </c>
      <c r="BU227">
        <f>(W227*R227*365*[5]Analysis!BK227)/10^4</f>
        <v>214.43456460251747</v>
      </c>
      <c r="BV227">
        <f>(X227*I227*365*[5]Analysis!BL227)/10^4</f>
        <v>102.6084008498518</v>
      </c>
      <c r="BW227">
        <f>(W227*R227*365*[5]Analysis!BL227)/10^4</f>
        <v>101.82783089359798</v>
      </c>
      <c r="BX227">
        <f t="shared" si="186"/>
        <v>926492.87573563796</v>
      </c>
      <c r="BY227">
        <f t="shared" si="187"/>
        <v>919444.79295203893</v>
      </c>
      <c r="BZ227">
        <f t="shared" si="188"/>
        <v>5440737.2693919335</v>
      </c>
      <c r="CA227">
        <f t="shared" si="189"/>
        <v>5397001.42769475</v>
      </c>
      <c r="CB227">
        <f t="shared" si="190"/>
        <v>-159501.996630593</v>
      </c>
      <c r="CC227">
        <f t="shared" si="191"/>
        <v>-156947.96201250001</v>
      </c>
      <c r="CD227">
        <f t="shared" si="192"/>
        <v>0</v>
      </c>
      <c r="CE227">
        <f t="shared" si="193"/>
        <v>0</v>
      </c>
      <c r="CF227">
        <f t="shared" si="194"/>
        <v>1941509.0324153316</v>
      </c>
      <c r="CG227">
        <f t="shared" si="195"/>
        <v>1925902.0425000002</v>
      </c>
      <c r="CH227">
        <f t="shared" si="196"/>
        <v>29530.92691449948</v>
      </c>
      <c r="CI227">
        <f t="shared" si="197"/>
        <v>29293.539979465957</v>
      </c>
      <c r="CJ227">
        <f t="shared" si="198"/>
        <v>-448256.97786429332</v>
      </c>
      <c r="CK227">
        <f t="shared" si="199"/>
        <v>-444653.62500000012</v>
      </c>
      <c r="CL227">
        <f t="shared" si="200"/>
        <v>505296.77344251855</v>
      </c>
      <c r="CM227">
        <f t="shared" si="201"/>
        <v>501234.90120000002</v>
      </c>
    </row>
    <row r="228" spans="1:91" x14ac:dyDescent="0.2">
      <c r="A228" s="2" t="s">
        <v>357</v>
      </c>
      <c r="B228" s="2" t="str">
        <f t="shared" si="202"/>
        <v>RAMAGUNDEM STPS</v>
      </c>
      <c r="C228" s="2" t="str">
        <f>VLOOKUP($A228,'[1]daily coal, energy reqd'!$C$2:$T$599,17,FALSE)</f>
        <v>Telangana</v>
      </c>
      <c r="D228" s="2" t="str">
        <f>VLOOKUP(C228,'Target PLF'!$I$2:$J$19,2,FALSE)</f>
        <v>SR</v>
      </c>
      <c r="E228" s="2" t="str">
        <f>VLOOKUP(A228,[2]Ownership!$C$2:$D$666,2,FALSE)</f>
        <v>CENTRAL SECTOR</v>
      </c>
      <c r="F228" s="2" t="s">
        <v>548</v>
      </c>
      <c r="G228" s="12">
        <v>31.923340177960299</v>
      </c>
      <c r="H228" s="2">
        <v>500</v>
      </c>
      <c r="I228" s="2">
        <f>VLOOKUP(A228,'[3]Calculated coal req (reg.)'!$A$2:$I$599,9,FALSE)</f>
        <v>9.0403742888924192</v>
      </c>
      <c r="J228" s="2"/>
      <c r="K228" s="11">
        <v>0.75336452407436827</v>
      </c>
      <c r="L228" s="3">
        <v>0.49249999999999999</v>
      </c>
      <c r="M228" s="3">
        <f t="shared" si="179"/>
        <v>-0.26086452407436828</v>
      </c>
      <c r="N228" s="2" t="str">
        <f t="shared" si="158"/>
        <v>0.25</v>
      </c>
      <c r="O228" s="2">
        <f t="shared" si="155"/>
        <v>12.309671182940802</v>
      </c>
      <c r="P228" s="2">
        <f t="shared" si="159"/>
        <v>2246514.9908866961</v>
      </c>
      <c r="Q228" s="2">
        <f t="shared" si="160"/>
        <v>13.654189550136893</v>
      </c>
      <c r="R228" s="2">
        <f t="shared" si="161"/>
        <v>5.91</v>
      </c>
      <c r="S228" s="2">
        <f t="shared" si="162"/>
        <v>1443830.1464744019</v>
      </c>
      <c r="T228" s="2" t="str">
        <f>VLOOKUP(A228,'[4]CEA vs MERIT comp. &amp; NPA marker'!$C$2:$K$735,9,FALSE)</f>
        <v>Contracted</v>
      </c>
      <c r="U228" s="3">
        <f>VLOOKUP(B228,'[8]Import-Domestic share'!$A$208:$F$406,6,FALSE)</f>
        <v>0</v>
      </c>
      <c r="V228" s="3">
        <f t="shared" si="163"/>
        <v>0</v>
      </c>
      <c r="W228" s="2">
        <f t="shared" si="164"/>
        <v>3036.0459957932921</v>
      </c>
      <c r="X228" s="2">
        <f t="shared" si="165"/>
        <v>2949.8116970325996</v>
      </c>
      <c r="Y228" s="6">
        <f t="shared" si="166"/>
        <v>0.28326316570684545</v>
      </c>
      <c r="Z228" s="2">
        <f t="shared" si="167"/>
        <v>1528046.3415365142</v>
      </c>
      <c r="AA228" s="2">
        <f t="shared" si="168"/>
        <v>2271022.3204313074</v>
      </c>
      <c r="AB228" s="2" t="s">
        <v>598</v>
      </c>
      <c r="AC228" s="12"/>
      <c r="AD228" s="12">
        <f t="shared" si="169"/>
        <v>0</v>
      </c>
      <c r="AE228" s="2" t="s">
        <v>589</v>
      </c>
      <c r="AF228" s="7"/>
      <c r="AG228" s="7"/>
      <c r="AH228" s="7"/>
      <c r="AI228" s="7"/>
      <c r="AJ228" s="7"/>
      <c r="AK228" s="7"/>
      <c r="AL228" s="7"/>
      <c r="AM228" s="7"/>
      <c r="AN228" s="15">
        <f t="shared" si="170"/>
        <v>0</v>
      </c>
      <c r="AO228" s="6">
        <v>6.1716058959159902E-2</v>
      </c>
      <c r="AP228" s="11">
        <f t="shared" si="171"/>
        <v>0.55793627262615786</v>
      </c>
      <c r="AQ228" s="11">
        <f t="shared" si="172"/>
        <v>0.36474190844863502</v>
      </c>
      <c r="AR228" s="3">
        <f>VLOOKUP(A228,[10]Sheet1!$A$2:$L$542,12,FALSE)</f>
        <v>2.5167695715852698</v>
      </c>
      <c r="AS228" s="3">
        <f t="shared" si="180"/>
        <v>2.1222574829718988</v>
      </c>
      <c r="AT228" s="3">
        <f t="shared" si="181"/>
        <v>2.1310964985948693</v>
      </c>
      <c r="AU228" s="3">
        <f t="shared" si="173"/>
        <v>-8.8390156229705141E-3</v>
      </c>
      <c r="AV228" s="88">
        <f t="shared" si="182"/>
        <v>-0.19116674053217858</v>
      </c>
      <c r="AW228" s="32">
        <f t="shared" si="183"/>
        <v>8.5912160221900041E-2</v>
      </c>
      <c r="AX228" s="12">
        <f t="shared" si="174"/>
        <v>700.28907239660737</v>
      </c>
      <c r="AY228" s="12">
        <f t="shared" si="175"/>
        <v>459.7094811943922</v>
      </c>
      <c r="AZ228" s="3">
        <f>VLOOKUP(A228,[5]Analysis!$A$3:$BJ$543,62,FALSE)</f>
        <v>0.55969234867751261</v>
      </c>
      <c r="BA228" s="2"/>
      <c r="BB228" s="2"/>
      <c r="BC228" s="2" t="str">
        <f>VLOOKUP(A228,'[6]FGD status - Jun 2020'!$I$2:$M$449,5,FALSE)</f>
        <v>Bid Awarded</v>
      </c>
      <c r="BD228" s="2">
        <f>VLOOKUP(A228,'[1]daily coal, energy reqd'!$C$2:$L$599,10,FALSE)</f>
        <v>0</v>
      </c>
      <c r="BE228" s="2" t="str">
        <f>VLOOKUP(A228,'[1]daily coal, energy reqd'!$C$2:$M$599,11,FALSE)</f>
        <v>Y</v>
      </c>
      <c r="BF228" s="2">
        <f t="shared" si="176"/>
        <v>702.88140817348972</v>
      </c>
      <c r="BG228" s="2">
        <f t="shared" si="177"/>
        <v>472.93034270555114</v>
      </c>
      <c r="BH228" s="2"/>
      <c r="BI228" s="2"/>
      <c r="BK228">
        <f t="shared" si="178"/>
        <v>376.68226203718416</v>
      </c>
      <c r="BL228">
        <f>VLOOKUP(A228,'[11]Daily coal vs energy req.2'!$C$2:$P$599,14,FALSE)</f>
        <v>0.87</v>
      </c>
      <c r="BM228">
        <f>VLOOKUP(A228,'[11]Daily coal vs energy req.2'!$C$2:$R$599,16,FALSE)</f>
        <v>0.87</v>
      </c>
      <c r="BN228">
        <f t="shared" ref="BN228:BN233" si="205">BL228*H228</f>
        <v>435</v>
      </c>
      <c r="BO228">
        <f t="shared" ref="BO228:BO233" si="206">BM228*H228</f>
        <v>435</v>
      </c>
      <c r="BP228" s="2" t="str">
        <f>VLOOKUP(A228,'[7]Table 2'!$J$2:$N$449,5,FALSE)</f>
        <v>Bid Awarded</v>
      </c>
      <c r="BR228">
        <f t="shared" si="184"/>
        <v>544.78223771814896</v>
      </c>
      <c r="BS228">
        <f t="shared" si="185"/>
        <v>366.55408350244477</v>
      </c>
      <c r="BT228">
        <f>(X228*I228*365*[5]Analysis!BK228)/10^4</f>
        <v>365.7885244830216</v>
      </c>
      <c r="BU228">
        <f>(W228*R228*365*[5]Analysis!BK228)/10^4</f>
        <v>246.11903264172585</v>
      </c>
      <c r="BV228">
        <f>(X228*I228*365*[5]Analysis!BL228)/10^4</f>
        <v>178.99371323512739</v>
      </c>
      <c r="BW228">
        <f>(W228*R228*365*[5]Analysis!BL228)/10^4</f>
        <v>120.43505086071892</v>
      </c>
      <c r="BX228">
        <f t="shared" si="186"/>
        <v>2733408.6868500817</v>
      </c>
      <c r="BY228">
        <f t="shared" si="187"/>
        <v>1839160.7631016818</v>
      </c>
      <c r="BZ228">
        <f t="shared" si="188"/>
        <v>9567047.4875240121</v>
      </c>
      <c r="CA228">
        <f t="shared" si="189"/>
        <v>6254304.1741907857</v>
      </c>
      <c r="CB228">
        <f t="shared" si="190"/>
        <v>-734486.02607744792</v>
      </c>
      <c r="CC228">
        <f t="shared" si="191"/>
        <v>-313895.92402500001</v>
      </c>
      <c r="CD228">
        <f t="shared" si="192"/>
        <v>0</v>
      </c>
      <c r="CE228">
        <f t="shared" si="193"/>
        <v>0</v>
      </c>
      <c r="CF228">
        <f t="shared" si="194"/>
        <v>5892005.1803527568</v>
      </c>
      <c r="CG228">
        <f t="shared" si="195"/>
        <v>3851804.0850000004</v>
      </c>
      <c r="CH228">
        <f t="shared" si="196"/>
        <v>2136930.8790738713</v>
      </c>
      <c r="CI228">
        <f t="shared" si="197"/>
        <v>1396984.3605749484</v>
      </c>
      <c r="CJ228">
        <f t="shared" si="198"/>
        <v>-2720700.6422421741</v>
      </c>
      <c r="CK228">
        <f t="shared" si="199"/>
        <v>-1778614.5000000005</v>
      </c>
      <c r="CL228">
        <f t="shared" si="200"/>
        <v>1577310.3919101437</v>
      </c>
      <c r="CM228">
        <f t="shared" si="201"/>
        <v>1031141.4238282631</v>
      </c>
    </row>
    <row r="229" spans="1:91" x14ac:dyDescent="0.2">
      <c r="A229" s="2" t="s">
        <v>363</v>
      </c>
      <c r="B229" s="2" t="str">
        <f t="shared" si="202"/>
        <v>KORBA STPS</v>
      </c>
      <c r="C229" s="2" t="str">
        <f>VLOOKUP($A229,'[1]daily coal, energy reqd'!$C$2:$T$599,17,FALSE)</f>
        <v>Chhatisgarh</v>
      </c>
      <c r="D229" s="2" t="str">
        <f>VLOOKUP(C229,'Target PLF'!$I$2:$J$19,2,FALSE)</f>
        <v>WR</v>
      </c>
      <c r="E229" s="2" t="str">
        <f>VLOOKUP(A229,[2]Ownership!$C$2:$D$666,2,FALSE)</f>
        <v>CENTRAL SECTOR</v>
      </c>
      <c r="F229" s="2" t="s">
        <v>548</v>
      </c>
      <c r="G229" s="12">
        <v>32.175222450376403</v>
      </c>
      <c r="H229" s="2">
        <v>500</v>
      </c>
      <c r="I229" s="2">
        <f>VLOOKUP(A229,'[3]Calculated coal req (reg.)'!$A$2:$I$599,9,FALSE)</f>
        <v>9.9898367339371799</v>
      </c>
      <c r="J229" s="2"/>
      <c r="K229" s="11">
        <v>0.83248639449476503</v>
      </c>
      <c r="L229" s="3">
        <v>0.49249999999999999</v>
      </c>
      <c r="M229" s="3">
        <f t="shared" si="179"/>
        <v>-0.33998639449476503</v>
      </c>
      <c r="N229" s="2" t="str">
        <f t="shared" si="158"/>
        <v>0.25</v>
      </c>
      <c r="O229" s="2">
        <f t="shared" si="155"/>
        <v>13.418495873639687</v>
      </c>
      <c r="P229" s="2">
        <f t="shared" si="159"/>
        <v>2448875.4969392428</v>
      </c>
      <c r="Q229" s="2">
        <f t="shared" si="160"/>
        <v>13.662167921115673</v>
      </c>
      <c r="R229" s="2">
        <f t="shared" si="161"/>
        <v>5.91</v>
      </c>
      <c r="S229" s="2">
        <f t="shared" si="162"/>
        <v>1444673.8005409155</v>
      </c>
      <c r="T229" s="2" t="str">
        <f>VLOOKUP(A229,'[4]CEA vs MERIT comp. &amp; NPA marker'!$C$2:$K$735,9,FALSE)</f>
        <v>Contracted</v>
      </c>
      <c r="U229" s="3">
        <f>VLOOKUP(B229,'[8]Import-Domestic share'!$A$208:$F$406,6,FALSE)</f>
        <v>0</v>
      </c>
      <c r="V229" s="3">
        <f t="shared" si="163"/>
        <v>0</v>
      </c>
      <c r="W229" s="2">
        <f t="shared" si="164"/>
        <v>3037.9705116153314</v>
      </c>
      <c r="X229" s="2">
        <f t="shared" si="165"/>
        <v>2925.5808012035236</v>
      </c>
      <c r="Y229" s="6">
        <f t="shared" si="166"/>
        <v>0.28308372208087235</v>
      </c>
      <c r="Z229" s="2">
        <f t="shared" si="167"/>
        <v>1576844.1249221626</v>
      </c>
      <c r="AA229" s="2">
        <f t="shared" si="168"/>
        <v>2566777.4621698484</v>
      </c>
      <c r="AB229" s="2" t="s">
        <v>598</v>
      </c>
      <c r="AC229" s="12">
        <f>VLOOKUP(B229,[9]Sheet1!$A$2:$B$137,2,FALSE)</f>
        <v>4155.9961352898499</v>
      </c>
      <c r="AD229" s="12">
        <f t="shared" si="169"/>
        <v>2077998.0676449249</v>
      </c>
      <c r="AE229" s="2" t="s">
        <v>589</v>
      </c>
      <c r="AF229" s="7">
        <f>VLOOKUP($B229,'[9]Subsidiary wise dispatch'!$A$3:$R$138,11,FALSE)*$H229*$O229*365</f>
        <v>0</v>
      </c>
      <c r="AG229" s="7">
        <f>VLOOKUP($B229,'[9]Subsidiary wise dispatch'!$A$3:$R$138,12,FALSE)*$H229*$O229*365</f>
        <v>0</v>
      </c>
      <c r="AH229" s="7">
        <f>VLOOKUP($B229,'[9]Subsidiary wise dispatch'!$A$3:$R$138,13,FALSE)*$H229*$O229*365</f>
        <v>0</v>
      </c>
      <c r="AI229" s="7">
        <f>VLOOKUP($B229,'[9]Subsidiary wise dispatch'!$A$3:$R$138,14,FALSE)*$H229*$O229*365</f>
        <v>0</v>
      </c>
      <c r="AJ229" s="7">
        <f>VLOOKUP($B229,'[9]Subsidiary wise dispatch'!$A$3:$R$138,15,FALSE)*$H229*$O229*365</f>
        <v>0</v>
      </c>
      <c r="AK229" s="7">
        <f>VLOOKUP($B229,'[9]Subsidiary wise dispatch'!$A$3:$R$138,16,FALSE)*$H229*$O229*365</f>
        <v>0</v>
      </c>
      <c r="AL229" s="7">
        <f>VLOOKUP($B229,'[9]Subsidiary wise dispatch'!$A$3:$R$138,17,FALSE)*$H229*$O229*365</f>
        <v>2448875.4969392428</v>
      </c>
      <c r="AM229" s="7">
        <f>VLOOKUP($B229,'[9]Subsidiary wise dispatch'!$A$3:$R$138,18,FALSE)*$H229*$O229*365</f>
        <v>0</v>
      </c>
      <c r="AN229" s="15">
        <f t="shared" si="170"/>
        <v>2448875.4969392428</v>
      </c>
      <c r="AO229" s="6">
        <v>6.2610933454142856E-2</v>
      </c>
      <c r="AP229" s="11">
        <f t="shared" si="171"/>
        <v>0.6254730029662926</v>
      </c>
      <c r="AQ229" s="11">
        <f t="shared" si="172"/>
        <v>0.37003061671398429</v>
      </c>
      <c r="AR229" s="3">
        <f>VLOOKUP(A229,[10]Sheet1!$A$2:$L$542,12,FALSE)</f>
        <v>1.31693546675523</v>
      </c>
      <c r="AS229" s="3">
        <f t="shared" si="180"/>
        <v>1.8097236997700965</v>
      </c>
      <c r="AT229" s="3">
        <f t="shared" si="181"/>
        <v>1.8212436450873069</v>
      </c>
      <c r="AU229" s="3">
        <f t="shared" si="173"/>
        <v>-1.1519945317210345E-2</v>
      </c>
      <c r="AV229" s="88">
        <f t="shared" si="182"/>
        <v>-0.24914882961365373</v>
      </c>
      <c r="AW229" s="32">
        <f t="shared" si="183"/>
        <v>0.13130672064836818</v>
      </c>
      <c r="AX229" s="12">
        <f t="shared" si="174"/>
        <v>659.87781673976042</v>
      </c>
      <c r="AY229" s="12">
        <f t="shared" si="175"/>
        <v>392.86957290000839</v>
      </c>
      <c r="AZ229" s="3">
        <f>VLOOKUP(A229,[5]Analysis!$A$3:$BJ$543,62,FALSE)</f>
        <v>0.3933883912010035</v>
      </c>
      <c r="BA229" s="2"/>
      <c r="BB229" s="2"/>
      <c r="BC229" s="2" t="str">
        <f>VLOOKUP(A229,'[6]FGD status - Jun 2020'!$I$2:$M$449,5,FALSE)</f>
        <v>Bid Awarded</v>
      </c>
      <c r="BD229" s="2">
        <f>VLOOKUP(A229,'[1]daily coal, energy reqd'!$C$2:$L$599,10,FALSE)</f>
        <v>0</v>
      </c>
      <c r="BE229" s="2" t="str">
        <f>VLOOKUP(A229,'[1]daily coal, energy reqd'!$C$2:$M$599,11,FALSE)</f>
        <v>Y</v>
      </c>
      <c r="BF229" s="2">
        <f t="shared" si="176"/>
        <v>794.4176245415681</v>
      </c>
      <c r="BG229" s="2">
        <f t="shared" si="177"/>
        <v>488.0332566634093</v>
      </c>
      <c r="BH229" s="2"/>
      <c r="BI229" s="2"/>
      <c r="BK229">
        <f t="shared" si="178"/>
        <v>416.24319724738251</v>
      </c>
      <c r="BL229">
        <f>VLOOKUP(A229,'[11]Daily coal vs energy req.2'!$C$2:$P$599,14,FALSE)</f>
        <v>0.83</v>
      </c>
      <c r="BM229">
        <f>VLOOKUP(A229,'[11]Daily coal vs energy req.2'!$C$2:$R$599,16,FALSE)</f>
        <v>0.85</v>
      </c>
      <c r="BN229">
        <f t="shared" si="205"/>
        <v>415</v>
      </c>
      <c r="BO229">
        <f t="shared" si="206"/>
        <v>425</v>
      </c>
      <c r="BP229" s="2" t="str">
        <f>VLOOKUP(A229,'[7]Table 2'!$J$2:$N$449,5,FALSE)</f>
        <v>Bid Awarded</v>
      </c>
      <c r="BR229">
        <f t="shared" si="184"/>
        <v>419.64774345023568</v>
      </c>
      <c r="BS229">
        <f t="shared" si="185"/>
        <v>257.80149956473315</v>
      </c>
      <c r="BT229">
        <f>(X229*I229*365*[5]Analysis!BK229)/10^4</f>
        <v>412.75275456174148</v>
      </c>
      <c r="BU229">
        <f>(W229*R229*365*[5]Analysis!BK229)/10^4</f>
        <v>253.56571252029082</v>
      </c>
      <c r="BV229">
        <f>(X229*I229*365*[5]Analysis!BL229)/10^4</f>
        <v>6.8949888884941668</v>
      </c>
      <c r="BW229">
        <f>(W229*R229*365*[5]Analysis!BL229)/10^4</f>
        <v>4.2357870444423353</v>
      </c>
      <c r="BX229">
        <f t="shared" si="186"/>
        <v>2995672.6419863431</v>
      </c>
      <c r="BY229">
        <f t="shared" si="187"/>
        <v>1840326.5866737776</v>
      </c>
      <c r="BZ229">
        <f t="shared" si="188"/>
        <v>7430569.1244786857</v>
      </c>
      <c r="CA229">
        <f t="shared" si="189"/>
        <v>4395934.057308808</v>
      </c>
      <c r="CB229">
        <f t="shared" si="190"/>
        <v>-896865.86643970234</v>
      </c>
      <c r="CC229">
        <f t="shared" si="191"/>
        <v>-313895.92402500001</v>
      </c>
      <c r="CD229">
        <f t="shared" si="192"/>
        <v>0</v>
      </c>
      <c r="CE229">
        <f t="shared" si="193"/>
        <v>0</v>
      </c>
      <c r="CF229">
        <f t="shared" si="194"/>
        <v>6510811.1574047869</v>
      </c>
      <c r="CG229">
        <f t="shared" si="195"/>
        <v>3851804.0850000004</v>
      </c>
      <c r="CH229">
        <f t="shared" si="196"/>
        <v>2379993.035250749</v>
      </c>
      <c r="CI229">
        <f t="shared" si="197"/>
        <v>1408006.8786858295</v>
      </c>
      <c r="CJ229">
        <f t="shared" si="198"/>
        <v>-3006441.3650783948</v>
      </c>
      <c r="CK229">
        <f t="shared" si="199"/>
        <v>-1778614.5000000005</v>
      </c>
      <c r="CL229">
        <f t="shared" si="200"/>
        <v>1768239.7001978396</v>
      </c>
      <c r="CM229">
        <f t="shared" si="201"/>
        <v>1046092.8347975689</v>
      </c>
    </row>
    <row r="230" spans="1:91" x14ac:dyDescent="0.2">
      <c r="A230" s="2" t="s">
        <v>362</v>
      </c>
      <c r="B230" s="2" t="str">
        <f t="shared" si="202"/>
        <v>RIHAND STPS</v>
      </c>
      <c r="C230" s="2" t="str">
        <f>VLOOKUP($A230,'[1]daily coal, energy reqd'!$C$2:$T$599,17,FALSE)</f>
        <v>Uttar Pradesh</v>
      </c>
      <c r="D230" s="2" t="str">
        <f>VLOOKUP(C230,'Target PLF'!$I$2:$J$19,2,FALSE)</f>
        <v>NR</v>
      </c>
      <c r="E230" s="2" t="str">
        <f>VLOOKUP(A230,[2]Ownership!$C$2:$D$666,2,FALSE)</f>
        <v>CENTRAL SECTOR</v>
      </c>
      <c r="F230" s="2" t="s">
        <v>548</v>
      </c>
      <c r="G230" s="12">
        <v>32.175222450376403</v>
      </c>
      <c r="H230" s="2">
        <v>500</v>
      </c>
      <c r="I230" s="2">
        <f>VLOOKUP(A230,'[3]Calculated coal req (reg.)'!$A$2:$I$599,9,FALSE)</f>
        <v>10.4964854874022</v>
      </c>
      <c r="J230" s="2"/>
      <c r="K230" s="11">
        <v>0.87470712395018335</v>
      </c>
      <c r="L230" s="3">
        <v>0.49249999999999999</v>
      </c>
      <c r="M230" s="3">
        <f t="shared" si="179"/>
        <v>-0.38220712395018336</v>
      </c>
      <c r="N230" s="2" t="str">
        <f t="shared" si="158"/>
        <v>0.25</v>
      </c>
      <c r="O230" s="2">
        <f t="shared" si="155"/>
        <v>14.005925548771758</v>
      </c>
      <c r="P230" s="2">
        <f t="shared" si="159"/>
        <v>2556081.4126508459</v>
      </c>
      <c r="Q230" s="2">
        <f t="shared" si="160"/>
        <v>13.662167921115673</v>
      </c>
      <c r="R230" s="2">
        <f t="shared" si="161"/>
        <v>5.91</v>
      </c>
      <c r="S230" s="2">
        <f t="shared" si="162"/>
        <v>1444673.8005409155</v>
      </c>
      <c r="T230" s="2" t="str">
        <f>VLOOKUP(A230,'[4]CEA vs MERIT comp. &amp; NPA marker'!$C$2:$K$735,9,FALSE)</f>
        <v>Contracted</v>
      </c>
      <c r="U230" s="3">
        <f>VLOOKUP(B230,'[8]Import-Domestic share'!$A$208:$F$406,6,FALSE)</f>
        <v>0</v>
      </c>
      <c r="V230" s="3">
        <f t="shared" si="163"/>
        <v>0</v>
      </c>
      <c r="W230" s="2">
        <f t="shared" si="164"/>
        <v>3037.9705116153314</v>
      </c>
      <c r="X230" s="2">
        <f t="shared" si="165"/>
        <v>2911.6238440025709</v>
      </c>
      <c r="Y230" s="6">
        <f t="shared" si="166"/>
        <v>0.28308372208087235</v>
      </c>
      <c r="Z230" s="2">
        <f t="shared" si="167"/>
        <v>1472006.9291053379</v>
      </c>
      <c r="AA230" s="2">
        <f t="shared" si="168"/>
        <v>2505636.0932052191</v>
      </c>
      <c r="AB230" s="2" t="s">
        <v>598</v>
      </c>
      <c r="AC230" s="12">
        <f>VLOOKUP(B230,[9]Sheet1!$A$2:$B$137,2,FALSE)</f>
        <v>4451.988614696289</v>
      </c>
      <c r="AD230" s="12">
        <f t="shared" si="169"/>
        <v>2225994.3073481447</v>
      </c>
      <c r="AE230" s="2" t="s">
        <v>589</v>
      </c>
      <c r="AF230" s="7">
        <f>VLOOKUP($B230,'[9]Subsidiary wise dispatch'!$A$3:$R$138,11,FALSE)*$H230*$O230*365</f>
        <v>0</v>
      </c>
      <c r="AG230" s="7">
        <f>VLOOKUP($B230,'[9]Subsidiary wise dispatch'!$A$3:$R$138,12,FALSE)*$H230*$O230*365</f>
        <v>0</v>
      </c>
      <c r="AH230" s="7">
        <f>VLOOKUP($B230,'[9]Subsidiary wise dispatch'!$A$3:$R$138,13,FALSE)*$H230*$O230*365</f>
        <v>0</v>
      </c>
      <c r="AI230" s="7">
        <f>VLOOKUP($B230,'[9]Subsidiary wise dispatch'!$A$3:$R$138,14,FALSE)*$H230*$O230*365</f>
        <v>0</v>
      </c>
      <c r="AJ230" s="7">
        <f>VLOOKUP($B230,'[9]Subsidiary wise dispatch'!$A$3:$R$138,15,FALSE)*$H230*$O230*365</f>
        <v>2556081.4126508459</v>
      </c>
      <c r="AK230" s="7">
        <f>VLOOKUP($B230,'[9]Subsidiary wise dispatch'!$A$3:$R$138,16,FALSE)*$H230*$O230*365</f>
        <v>0</v>
      </c>
      <c r="AL230" s="7">
        <f>VLOOKUP($B230,'[9]Subsidiary wise dispatch'!$A$3:$R$138,17,FALSE)*$H230*$O230*365</f>
        <v>0</v>
      </c>
      <c r="AM230" s="7">
        <f>VLOOKUP($B230,'[9]Subsidiary wise dispatch'!$A$3:$R$138,18,FALSE)*$H230*$O230*365</f>
        <v>0</v>
      </c>
      <c r="AN230" s="15">
        <f t="shared" si="170"/>
        <v>2556081.4126508459</v>
      </c>
      <c r="AO230" s="6">
        <v>6.6356788102148762E-2</v>
      </c>
      <c r="AP230" s="11">
        <f t="shared" si="171"/>
        <v>0.69651306330482743</v>
      </c>
      <c r="AQ230" s="11">
        <f t="shared" si="172"/>
        <v>0.39216861768369921</v>
      </c>
      <c r="AR230" s="3">
        <f>VLOOKUP(A230,[10]Sheet1!$A$2:$L$542,12,FALSE)</f>
        <v>1.3827146645111901</v>
      </c>
      <c r="AS230" s="3">
        <f t="shared" si="180"/>
        <v>1.918216255004658</v>
      </c>
      <c r="AT230" s="3">
        <f t="shared" si="181"/>
        <v>1.9311667884349659</v>
      </c>
      <c r="AU230" s="3">
        <f t="shared" si="173"/>
        <v>-1.2950533430307942E-2</v>
      </c>
      <c r="AV230" s="88">
        <f t="shared" si="182"/>
        <v>-0.28008902457317336</v>
      </c>
      <c r="AW230" s="32">
        <f t="shared" si="183"/>
        <v>0.13926401178485306</v>
      </c>
      <c r="AX230" s="12">
        <f t="shared" si="174"/>
        <v>734.91031150597178</v>
      </c>
      <c r="AY230" s="12">
        <f t="shared" si="175"/>
        <v>416.58164376724864</v>
      </c>
      <c r="AZ230" s="3">
        <f>VLOOKUP(A230,[5]Analysis!$A$3:$BJ$543,62,FALSE)</f>
        <v>0.44592395047407901</v>
      </c>
      <c r="BA230" s="2"/>
      <c r="BB230" s="2"/>
      <c r="BC230" s="2" t="str">
        <f>VLOOKUP(A230,'[6]FGD status - Jun 2020'!$I$2:$M$449,5,FALSE)</f>
        <v>NIT issued</v>
      </c>
      <c r="BD230" s="2">
        <f>VLOOKUP(A230,'[1]daily coal, energy reqd'!$C$2:$L$599,10,FALSE)</f>
        <v>0</v>
      </c>
      <c r="BE230" s="2" t="str">
        <f>VLOOKUP(A230,'[1]daily coal, energy reqd'!$C$2:$M$599,11,FALSE)</f>
        <v>Y</v>
      </c>
      <c r="BF230" s="2">
        <f t="shared" si="176"/>
        <v>775.49437084701526</v>
      </c>
      <c r="BG230" s="2">
        <f t="shared" si="177"/>
        <v>455.58614455810215</v>
      </c>
      <c r="BH230" s="2"/>
      <c r="BI230" s="2"/>
      <c r="BK230">
        <f t="shared" si="178"/>
        <v>437.35356197509168</v>
      </c>
      <c r="BL230">
        <f>VLOOKUP(A230,'[11]Daily coal vs energy req.2'!$C$2:$P$599,14,FALSE)</f>
        <v>1.24</v>
      </c>
      <c r="BM230">
        <f>VLOOKUP(A230,'[11]Daily coal vs energy req.2'!$C$2:$R$599,16,FALSE)</f>
        <v>0.88</v>
      </c>
      <c r="BN230">
        <f t="shared" si="205"/>
        <v>620</v>
      </c>
      <c r="BO230">
        <f t="shared" si="206"/>
        <v>440</v>
      </c>
      <c r="BP230" s="2" t="str">
        <f>VLOOKUP(A230,'[7]Table 2'!$J$2:$N$449,5,FALSE)</f>
        <v>NIT issued</v>
      </c>
      <c r="BR230">
        <f t="shared" si="184"/>
        <v>497.43099210665792</v>
      </c>
      <c r="BS230">
        <f t="shared" si="185"/>
        <v>292.22993279765626</v>
      </c>
      <c r="BT230">
        <f>(X230*I230*365*[5]Analysis!BK230)/10^4</f>
        <v>424.42893611465979</v>
      </c>
      <c r="BU230">
        <f>(W230*R230*365*[5]Analysis!BK230)/10^4</f>
        <v>249.34280623104681</v>
      </c>
      <c r="BV230">
        <f>(X230*I230*365*[5]Analysis!BL230)/10^4</f>
        <v>73.002055991998134</v>
      </c>
      <c r="BW230">
        <f>(W230*R230*365*[5]Analysis!BL230)/10^4</f>
        <v>42.887126566609467</v>
      </c>
      <c r="BX230">
        <f t="shared" si="186"/>
        <v>3132586.2858930873</v>
      </c>
      <c r="BY230">
        <f t="shared" si="187"/>
        <v>1840326.5866737776</v>
      </c>
      <c r="BZ230">
        <f t="shared" si="188"/>
        <v>8850073.0769680608</v>
      </c>
      <c r="CA230">
        <f t="shared" si="189"/>
        <v>4982994.7316800468</v>
      </c>
      <c r="CB230">
        <f t="shared" si="190"/>
        <v>-990144.39623593842</v>
      </c>
      <c r="CC230">
        <f t="shared" si="191"/>
        <v>-313895.92402500001</v>
      </c>
      <c r="CD230">
        <f t="shared" si="192"/>
        <v>0</v>
      </c>
      <c r="CE230">
        <f t="shared" si="193"/>
        <v>0</v>
      </c>
      <c r="CF230">
        <f t="shared" si="194"/>
        <v>6841016.1892587161</v>
      </c>
      <c r="CG230">
        <f t="shared" si="195"/>
        <v>3851804.0850000004</v>
      </c>
      <c r="CH230">
        <f t="shared" si="196"/>
        <v>2500697.761131688</v>
      </c>
      <c r="CI230">
        <f t="shared" si="197"/>
        <v>1408006.8786858295</v>
      </c>
      <c r="CJ230">
        <f t="shared" si="198"/>
        <v>-3158917.3074336923</v>
      </c>
      <c r="CK230">
        <f t="shared" si="199"/>
        <v>-1778614.5000000005</v>
      </c>
      <c r="CL230">
        <f t="shared" si="200"/>
        <v>1969073.0765375325</v>
      </c>
      <c r="CM230">
        <f t="shared" si="201"/>
        <v>1108677.9376109957</v>
      </c>
    </row>
    <row r="231" spans="1:91" x14ac:dyDescent="0.2">
      <c r="A231" s="2" t="s">
        <v>218</v>
      </c>
      <c r="B231" s="2" t="str">
        <f t="shared" si="202"/>
        <v>BUTIBORI TPP</v>
      </c>
      <c r="C231" s="2" t="str">
        <f>VLOOKUP($A231,'[1]daily coal, energy reqd'!$C$2:$T$599,17,FALSE)</f>
        <v>Maharashtra</v>
      </c>
      <c r="D231" s="2" t="str">
        <f>VLOOKUP(C231,'Target PLF'!$I$2:$J$19,2,FALSE)</f>
        <v>WR</v>
      </c>
      <c r="E231" s="2" t="str">
        <f>VLOOKUP(A231,[2]Ownership!$C$2:$D$666,2,FALSE)</f>
        <v>PVT SECTOR</v>
      </c>
      <c r="F231" s="2" t="s">
        <v>543</v>
      </c>
      <c r="G231" s="12">
        <v>7.1759069130732298</v>
      </c>
      <c r="H231" s="2">
        <v>300</v>
      </c>
      <c r="I231" s="2">
        <f>VLOOKUP(A231,'[3]Calculated coal req (reg.)'!$A$2:$I$599,9,FALSE)</f>
        <v>3.0672454606352701</v>
      </c>
      <c r="J231" s="2"/>
      <c r="K231" s="11">
        <v>0.42600631397712085</v>
      </c>
      <c r="L231" s="3">
        <v>0.49249999999999999</v>
      </c>
      <c r="M231" s="3">
        <f t="shared" si="179"/>
        <v>6.6493686022879139E-2</v>
      </c>
      <c r="N231" s="2" t="str">
        <f t="shared" si="158"/>
        <v>0.25</v>
      </c>
      <c r="O231" s="2">
        <f t="shared" si="155"/>
        <v>7.1229921497294697</v>
      </c>
      <c r="P231" s="2">
        <f t="shared" si="159"/>
        <v>779967.64039537695</v>
      </c>
      <c r="Q231" s="2">
        <f t="shared" si="160"/>
        <v>13.022143501471595</v>
      </c>
      <c r="R231" s="2">
        <f t="shared" si="161"/>
        <v>3.5459999999999998</v>
      </c>
      <c r="S231" s="2">
        <f t="shared" si="162"/>
        <v>826197.554535278</v>
      </c>
      <c r="T231" s="2" t="str">
        <f>VLOOKUP(A231,'[4]CEA vs MERIT comp. &amp; NPA marker'!$C$2:$K$735,9,FALSE)</f>
        <v>Contracted</v>
      </c>
      <c r="U231" s="3">
        <f>VLOOKUP(B231,'[8]Import-Domestic share'!$A$208:$F$406,6,FALSE)</f>
        <v>3.243283978724501E-2</v>
      </c>
      <c r="V231" s="3">
        <f t="shared" si="163"/>
        <v>25296.565520178792</v>
      </c>
      <c r="W231" s="2">
        <f t="shared" si="164"/>
        <v>3039.422941631829</v>
      </c>
      <c r="X231" s="2">
        <f t="shared" si="165"/>
        <v>3061.4038392128355</v>
      </c>
      <c r="Y231" s="6">
        <f t="shared" si="166"/>
        <v>0.28294844663450375</v>
      </c>
      <c r="Z231" s="2">
        <f t="shared" si="167"/>
        <v>940827.06237663375</v>
      </c>
      <c r="AA231" s="2">
        <f t="shared" si="168"/>
        <v>819688.96332239942</v>
      </c>
      <c r="AB231" s="2" t="s">
        <v>598</v>
      </c>
      <c r="AC231" s="12">
        <f>VLOOKUP(B231,[9]Sheet1!$A$2:$B$137,2,FALSE)</f>
        <v>4181.3154366406134</v>
      </c>
      <c r="AD231" s="12">
        <f t="shared" si="169"/>
        <v>1254394.6309921839</v>
      </c>
      <c r="AE231" s="2"/>
      <c r="AF231" s="7">
        <f>VLOOKUP($B231,'[9]Subsidiary wise dispatch'!$A$3:$R$138,11,FALSE)*$H231*$O231*365</f>
        <v>0</v>
      </c>
      <c r="AG231" s="7">
        <f>VLOOKUP($B231,'[9]Subsidiary wise dispatch'!$A$3:$R$138,12,FALSE)*$H231*$O231*365</f>
        <v>0</v>
      </c>
      <c r="AH231" s="7">
        <f>VLOOKUP($B231,'[9]Subsidiary wise dispatch'!$A$3:$R$138,13,FALSE)*$H231*$O231*365</f>
        <v>0</v>
      </c>
      <c r="AI231" s="7">
        <f>VLOOKUP($B231,'[9]Subsidiary wise dispatch'!$A$3:$R$138,14,FALSE)*$H231*$O231*365</f>
        <v>0</v>
      </c>
      <c r="AJ231" s="7">
        <f>VLOOKUP($B231,'[9]Subsidiary wise dispatch'!$A$3:$R$138,15,FALSE)*$H231*$O231*365</f>
        <v>0</v>
      </c>
      <c r="AK231" s="7">
        <f>VLOOKUP($B231,'[9]Subsidiary wise dispatch'!$A$3:$R$138,16,FALSE)*$H231*$O231*365</f>
        <v>0</v>
      </c>
      <c r="AL231" s="7">
        <f>VLOOKUP($B231,'[9]Subsidiary wise dispatch'!$A$3:$R$138,17,FALSE)*$H231*$O231*365</f>
        <v>0</v>
      </c>
      <c r="AM231" s="7">
        <f>VLOOKUP($B231,'[9]Subsidiary wise dispatch'!$A$3:$R$138,18,FALSE)*$H231*$O231*365</f>
        <v>779967.64039537695</v>
      </c>
      <c r="AN231" s="15">
        <f t="shared" si="170"/>
        <v>779967.64039537695</v>
      </c>
      <c r="AO231" s="6">
        <v>8.5770417782561448E-2</v>
      </c>
      <c r="AP231" s="11">
        <f t="shared" si="171"/>
        <v>0.26307892460035226</v>
      </c>
      <c r="AQ231" s="11">
        <f t="shared" si="172"/>
        <v>0.3041419014569629</v>
      </c>
      <c r="AR231" s="3">
        <f>VLOOKUP(A231,[10]Sheet1!$A$2:$L$542,12,FALSE)</f>
        <v>2.4630549450549402</v>
      </c>
      <c r="AS231" s="3">
        <f t="shared" si="180"/>
        <v>2.0304880410451278</v>
      </c>
      <c r="AT231" s="3">
        <f t="shared" si="181"/>
        <v>2.0282349990430748</v>
      </c>
      <c r="AU231" s="3">
        <f t="shared" si="173"/>
        <v>2.2530420020530073E-3</v>
      </c>
      <c r="AV231" s="88">
        <f t="shared" si="182"/>
        <v>4.8727902991286293E-2</v>
      </c>
      <c r="AW231" s="32">
        <f t="shared" si="183"/>
        <v>2.2888517464654388E-2</v>
      </c>
      <c r="AX231" s="12">
        <f t="shared" si="174"/>
        <v>227.32219077710025</v>
      </c>
      <c r="AY231" s="12">
        <f t="shared" si="175"/>
        <v>262.51242769114612</v>
      </c>
      <c r="AZ231" s="3">
        <f>VLOOKUP(A231,[5]Analysis!$A$3:$BJ$543,62,FALSE)</f>
        <v>0.50238916630832064</v>
      </c>
      <c r="BA231" s="2"/>
      <c r="BB231" s="2"/>
      <c r="BC231" s="2" t="str">
        <f>VLOOKUP(A231,'[6]FGD status - Jun 2020'!$I$2:$M$449,5,FALSE)</f>
        <v>NIT issued</v>
      </c>
      <c r="BD231" s="2"/>
      <c r="BE231" s="2"/>
      <c r="BF231" s="2">
        <f t="shared" si="176"/>
        <v>259.37225614803447</v>
      </c>
      <c r="BG231" s="2">
        <f t="shared" si="177"/>
        <v>297.70370071187057</v>
      </c>
      <c r="BH231" s="2"/>
      <c r="BI231" s="2"/>
      <c r="BK231">
        <f t="shared" si="178"/>
        <v>127.80189419313626</v>
      </c>
      <c r="BL231">
        <f>VLOOKUP(A231,'[11]Daily coal vs energy req.2'!$C$2:$P$599,14,FALSE)</f>
        <v>0.73</v>
      </c>
      <c r="BM231">
        <f>VLOOKUP(A231,'[11]Daily coal vs energy req.2'!$C$2:$R$599,16,FALSE)</f>
        <v>0.93</v>
      </c>
      <c r="BN231">
        <f t="shared" si="205"/>
        <v>219</v>
      </c>
      <c r="BO231">
        <f t="shared" si="206"/>
        <v>279</v>
      </c>
      <c r="BP231" s="2" t="str">
        <f>VLOOKUP(A231,'[7]Table 2'!$J$2:$N$449,5,FALSE)</f>
        <v>NIT issued</v>
      </c>
      <c r="BR231">
        <f t="shared" si="184"/>
        <v>172.18776341115736</v>
      </c>
      <c r="BS231">
        <f t="shared" si="185"/>
        <v>197.6346088285743</v>
      </c>
      <c r="BT231">
        <f>(X231*I231*365*[5]Analysis!BK231)/10^4</f>
        <v>141.44228899833823</v>
      </c>
      <c r="BU231">
        <f>(W231*R231*365*[5]Analysis!BK231)/10^4</f>
        <v>162.34540076611151</v>
      </c>
      <c r="BV231">
        <f>(X231*I231*365*[5]Analysis!BL231)/10^4</f>
        <v>30.745474412819149</v>
      </c>
      <c r="BW231">
        <f>(W231*R231*365*[5]Analysis!BL231)/10^4</f>
        <v>35.289208062462805</v>
      </c>
      <c r="BX231">
        <f t="shared" si="186"/>
        <v>962482.89547218813</v>
      </c>
      <c r="BY231">
        <f t="shared" si="187"/>
        <v>1104723.8594802127</v>
      </c>
      <c r="BZ231">
        <f t="shared" si="188"/>
        <v>2913606.8282301174</v>
      </c>
      <c r="CA231">
        <f t="shared" si="189"/>
        <v>3368380.5047556134</v>
      </c>
      <c r="CB231">
        <f t="shared" si="190"/>
        <v>-140914.77418537356</v>
      </c>
      <c r="CC231">
        <f t="shared" si="191"/>
        <v>-188337.55441499996</v>
      </c>
      <c r="CD231">
        <f t="shared" si="192"/>
        <v>-1131949.7606728668</v>
      </c>
      <c r="CE231">
        <f t="shared" si="193"/>
        <v>-1308631.4423999998</v>
      </c>
      <c r="CF231">
        <f t="shared" si="194"/>
        <v>1999057.2918735433</v>
      </c>
      <c r="CG231">
        <f t="shared" si="195"/>
        <v>2311082.4509999999</v>
      </c>
      <c r="CH231">
        <f t="shared" si="196"/>
        <v>162975.02870305465</v>
      </c>
      <c r="CI231">
        <f t="shared" si="197"/>
        <v>188413.17370841868</v>
      </c>
      <c r="CJ231">
        <f t="shared" si="198"/>
        <v>-553852.51282691071</v>
      </c>
      <c r="CK231">
        <f t="shared" si="199"/>
        <v>-640301.22</v>
      </c>
      <c r="CL231">
        <f t="shared" si="200"/>
        <v>743735.69531787816</v>
      </c>
      <c r="CM231">
        <f t="shared" si="201"/>
        <v>859822.53766249819</v>
      </c>
    </row>
    <row r="232" spans="1:91" x14ac:dyDescent="0.2">
      <c r="A232" s="2" t="s">
        <v>228</v>
      </c>
      <c r="B232" s="2" t="str">
        <f t="shared" si="202"/>
        <v>ROSA TPP PH-I</v>
      </c>
      <c r="C232" s="2" t="str">
        <f>VLOOKUP($A232,'[1]daily coal, energy reqd'!$C$2:$T$599,17,FALSE)</f>
        <v>Uttar Pradesh</v>
      </c>
      <c r="D232" s="2" t="str">
        <f>VLOOKUP(C232,'Target PLF'!$I$2:$J$19,2,FALSE)</f>
        <v>NR</v>
      </c>
      <c r="E232" s="2" t="str">
        <f>VLOOKUP(A232,[2]Ownership!$C$2:$D$666,2,FALSE)</f>
        <v>PVT SECTOR</v>
      </c>
      <c r="F232" s="2" t="s">
        <v>543</v>
      </c>
      <c r="G232" s="12">
        <v>8.1752224503764506</v>
      </c>
      <c r="H232" s="2">
        <v>300</v>
      </c>
      <c r="I232" s="2">
        <f>VLOOKUP(A232,'[3]Calculated coal req (reg.)'!$A$2:$I$599,9,FALSE)</f>
        <v>3.8816387893073401</v>
      </c>
      <c r="J232" s="2"/>
      <c r="K232" s="11">
        <v>0.53911649851490839</v>
      </c>
      <c r="L232" s="3">
        <v>0.49249999999999999</v>
      </c>
      <c r="M232" s="3">
        <f t="shared" si="179"/>
        <v>-4.66164985149084E-2</v>
      </c>
      <c r="N232" s="2" t="str">
        <f t="shared" si="158"/>
        <v>0.25</v>
      </c>
      <c r="O232" s="2">
        <f t="shared" si="155"/>
        <v>8.7283813999031494</v>
      </c>
      <c r="P232" s="2">
        <f t="shared" si="159"/>
        <v>955757.7632893949</v>
      </c>
      <c r="Q232" s="2">
        <f t="shared" si="160"/>
        <v>13.053796821115675</v>
      </c>
      <c r="R232" s="2">
        <f t="shared" si="161"/>
        <v>3.5459999999999998</v>
      </c>
      <c r="S232" s="2">
        <f t="shared" si="162"/>
        <v>828205.81801969651</v>
      </c>
      <c r="T232" s="2" t="str">
        <f>VLOOKUP(A232,'[4]CEA vs MERIT comp. &amp; NPA marker'!$C$2:$K$735,9,FALSE)</f>
        <v>Contracted</v>
      </c>
      <c r="U232" s="3">
        <f>VLOOKUP(B232,'[8]Import-Domestic share'!$A$208:$F$406,6,FALSE)</f>
        <v>0</v>
      </c>
      <c r="V232" s="3">
        <f t="shared" si="163"/>
        <v>0</v>
      </c>
      <c r="W232" s="2">
        <f t="shared" si="164"/>
        <v>3039.7460836153318</v>
      </c>
      <c r="X232" s="2">
        <f t="shared" si="165"/>
        <v>3024.3360117614607</v>
      </c>
      <c r="Y232" s="6">
        <f t="shared" si="166"/>
        <v>0.28291836763456119</v>
      </c>
      <c r="Z232" s="2">
        <f t="shared" si="167"/>
        <v>889531.73746195959</v>
      </c>
      <c r="AA232" s="2">
        <f t="shared" si="168"/>
        <v>968792.05575226853</v>
      </c>
      <c r="AB232" s="2" t="s">
        <v>598</v>
      </c>
      <c r="AC232" s="12">
        <f>VLOOKUP(B232,[9]Sheet1!$A$2:$B$137,2,FALSE)</f>
        <v>4422.9034140906479</v>
      </c>
      <c r="AD232" s="12">
        <f t="shared" si="169"/>
        <v>1326871.0242271943</v>
      </c>
      <c r="AE232" s="2"/>
      <c r="AF232" s="7">
        <f>VLOOKUP($B232,'[9]Subsidiary wise dispatch'!$A$3:$R$138,11,FALSE)*$H232*$O232*365</f>
        <v>0</v>
      </c>
      <c r="AG232" s="7">
        <f>VLOOKUP($B232,'[9]Subsidiary wise dispatch'!$A$3:$R$138,12,FALSE)*$H232*$O232*365</f>
        <v>955757.7632893949</v>
      </c>
      <c r="AH232" s="7">
        <f>VLOOKUP($B232,'[9]Subsidiary wise dispatch'!$A$3:$R$138,13,FALSE)*$H232*$O232*365</f>
        <v>0</v>
      </c>
      <c r="AI232" s="7">
        <f>VLOOKUP($B232,'[9]Subsidiary wise dispatch'!$A$3:$R$138,14,FALSE)*$H232*$O232*365</f>
        <v>0</v>
      </c>
      <c r="AJ232" s="7">
        <f>VLOOKUP($B232,'[9]Subsidiary wise dispatch'!$A$3:$R$138,15,FALSE)*$H232*$O232*365</f>
        <v>0</v>
      </c>
      <c r="AK232" s="7">
        <f>VLOOKUP($B232,'[9]Subsidiary wise dispatch'!$A$3:$R$138,16,FALSE)*$H232*$O232*365</f>
        <v>0</v>
      </c>
      <c r="AL232" s="7">
        <f>VLOOKUP($B232,'[9]Subsidiary wise dispatch'!$A$3:$R$138,17,FALSE)*$H232*$O232*365</f>
        <v>0</v>
      </c>
      <c r="AM232" s="7">
        <f>VLOOKUP($B232,'[9]Subsidiary wise dispatch'!$A$3:$R$138,18,FALSE)*$H232*$O232*365</f>
        <v>0</v>
      </c>
      <c r="AN232" s="15">
        <f t="shared" si="170"/>
        <v>955757.7632893949</v>
      </c>
      <c r="AO232" s="6">
        <v>9.6241360115922034E-2</v>
      </c>
      <c r="AP232" s="11">
        <f t="shared" si="171"/>
        <v>0.37357419656165936</v>
      </c>
      <c r="AQ232" s="11">
        <f t="shared" si="172"/>
        <v>0.34127186297105949</v>
      </c>
      <c r="AR232" s="3">
        <f>VLOOKUP(A232,[10]Sheet1!$A$2:$L$542,12,FALSE)</f>
        <v>2.9649890350877199</v>
      </c>
      <c r="AS232" s="3">
        <f t="shared" si="180"/>
        <v>2.7708392889611591</v>
      </c>
      <c r="AT232" s="3">
        <f t="shared" si="181"/>
        <v>2.7724188213261809</v>
      </c>
      <c r="AU232" s="3">
        <f t="shared" si="173"/>
        <v>-1.5795323650218407E-3</v>
      </c>
      <c r="AV232" s="88">
        <f t="shared" si="182"/>
        <v>-3.4161502441695177E-2</v>
      </c>
      <c r="AW232" s="32">
        <f t="shared" si="183"/>
        <v>1.1758881219303392E-2</v>
      </c>
      <c r="AX232" s="12">
        <f t="shared" si="174"/>
        <v>392.57200009834679</v>
      </c>
      <c r="AY232" s="12">
        <f t="shared" si="175"/>
        <v>358.83139562542624</v>
      </c>
      <c r="AZ232" s="3">
        <f>VLOOKUP(A232,[5]Analysis!$A$3:$BJ$543,62,FALSE)</f>
        <v>0.87638697866454418</v>
      </c>
      <c r="BA232" s="2"/>
      <c r="BB232" s="2"/>
      <c r="BC232" s="2" t="str">
        <f>VLOOKUP(A232,'[6]FGD status - Jun 2020'!$I$2:$M$449,5,FALSE)</f>
        <v>Bid Awarded</v>
      </c>
      <c r="BD232" s="2"/>
      <c r="BE232" s="2"/>
      <c r="BF232" s="2">
        <f t="shared" si="176"/>
        <v>299.8411412553271</v>
      </c>
      <c r="BG232" s="2">
        <f t="shared" si="177"/>
        <v>275.31007274447649</v>
      </c>
      <c r="BH232" s="2"/>
      <c r="BI232" s="2"/>
      <c r="BK232">
        <f t="shared" si="178"/>
        <v>161.73494955447251</v>
      </c>
      <c r="BL232">
        <f>VLOOKUP(A232,'[11]Daily coal vs energy req.2'!$C$2:$P$599,14,FALSE)</f>
        <v>0.98</v>
      </c>
      <c r="BM232">
        <f>VLOOKUP(A232,'[11]Daily coal vs energy req.2'!$C$2:$R$599,16,FALSE)</f>
        <v>1.02</v>
      </c>
      <c r="BN232">
        <f t="shared" si="205"/>
        <v>294</v>
      </c>
      <c r="BO232">
        <f t="shared" si="206"/>
        <v>306</v>
      </c>
      <c r="BP232" s="2" t="str">
        <f>VLOOKUP(A232,'[7]Table 2'!$J$2:$N$449,5,FALSE)</f>
        <v>Bid Awarded</v>
      </c>
      <c r="BR232">
        <f t="shared" si="184"/>
        <v>375.52075079538679</v>
      </c>
      <c r="BS232">
        <f t="shared" si="185"/>
        <v>344.79806468753424</v>
      </c>
      <c r="BT232">
        <f>(X232*I232*365*[5]Analysis!BK232)/10^4</f>
        <v>164.10339181109185</v>
      </c>
      <c r="BU232">
        <f>(W232*R232*365*[5]Analysis!BK232)/10^4</f>
        <v>150.67751059103318</v>
      </c>
      <c r="BV232">
        <f>(X232*I232*365*[5]Analysis!BL232)/10^4</f>
        <v>211.41735898429491</v>
      </c>
      <c r="BW232">
        <f>(W232*R232*365*[5]Analysis!BL232)/10^4</f>
        <v>194.12055409650102</v>
      </c>
      <c r="BX232">
        <f t="shared" si="186"/>
        <v>1203286.4474531154</v>
      </c>
      <c r="BY232">
        <f t="shared" si="187"/>
        <v>1104841.3102812464</v>
      </c>
      <c r="BZ232">
        <f t="shared" si="188"/>
        <v>6432105.8625525208</v>
      </c>
      <c r="CA232">
        <f t="shared" si="189"/>
        <v>5875932.4673487358</v>
      </c>
      <c r="CB232">
        <f t="shared" si="190"/>
        <v>-225678.24844435349</v>
      </c>
      <c r="CC232">
        <f t="shared" si="191"/>
        <v>-188337.55441499996</v>
      </c>
      <c r="CD232">
        <f t="shared" si="192"/>
        <v>-1432497.0580166536</v>
      </c>
      <c r="CE232">
        <f t="shared" si="193"/>
        <v>-1308631.4423999998</v>
      </c>
      <c r="CF232">
        <f t="shared" si="194"/>
        <v>2529832.8502789284</v>
      </c>
      <c r="CG232">
        <f t="shared" si="195"/>
        <v>2311082.4509999999</v>
      </c>
      <c r="CH232">
        <f t="shared" si="196"/>
        <v>234968.92792460666</v>
      </c>
      <c r="CI232">
        <f t="shared" si="197"/>
        <v>214651.55921149885</v>
      </c>
      <c r="CJ232">
        <f t="shared" si="198"/>
        <v>-700907.51618522638</v>
      </c>
      <c r="CK232">
        <f t="shared" si="199"/>
        <v>-640301.22</v>
      </c>
      <c r="CL232">
        <f t="shared" si="200"/>
        <v>1056110.6909444595</v>
      </c>
      <c r="CM232">
        <f t="shared" si="201"/>
        <v>964790.57258115592</v>
      </c>
    </row>
    <row r="233" spans="1:91" x14ac:dyDescent="0.2">
      <c r="A233" s="2" t="s">
        <v>364</v>
      </c>
      <c r="B233" s="2" t="str">
        <f t="shared" si="202"/>
        <v>SINGRAULI STPS</v>
      </c>
      <c r="C233" s="2" t="str">
        <f>VLOOKUP($A233,'[1]daily coal, energy reqd'!$C$2:$T$599,17,FALSE)</f>
        <v>Uttar Pradesh</v>
      </c>
      <c r="D233" s="2" t="str">
        <f>VLOOKUP(C233,'Target PLF'!$I$2:$J$19,2,FALSE)</f>
        <v>NR</v>
      </c>
      <c r="E233" s="2" t="str">
        <f>VLOOKUP(A233,[2]Ownership!$C$2:$D$666,2,FALSE)</f>
        <v>CENTRAL SECTOR</v>
      </c>
      <c r="F233" s="2" t="s">
        <v>548</v>
      </c>
      <c r="G233" s="12">
        <v>32.5065023956194</v>
      </c>
      <c r="H233" s="2">
        <v>500</v>
      </c>
      <c r="I233" s="2">
        <f>VLOOKUP(A233,'[3]Calculated coal req (reg.)'!$A$2:$I$599,9,FALSE)</f>
        <v>10.589602573405999</v>
      </c>
      <c r="J233" s="2"/>
      <c r="K233" s="11">
        <v>0.88246688111716654</v>
      </c>
      <c r="L233" s="3">
        <v>0.49249999999999999</v>
      </c>
      <c r="M233" s="3">
        <f t="shared" si="179"/>
        <v>-0.38996688111716654</v>
      </c>
      <c r="N233" s="2" t="str">
        <f t="shared" si="158"/>
        <v>0.25</v>
      </c>
      <c r="O233" s="2">
        <f t="shared" si="155"/>
        <v>14.124382670428718</v>
      </c>
      <c r="P233" s="2">
        <f t="shared" si="159"/>
        <v>2577699.8373532412</v>
      </c>
      <c r="Q233" s="2">
        <f t="shared" si="160"/>
        <v>13.672661213381245</v>
      </c>
      <c r="R233" s="2">
        <f t="shared" si="161"/>
        <v>5.91</v>
      </c>
      <c r="S233" s="2">
        <f t="shared" si="162"/>
        <v>1445783.3890414389</v>
      </c>
      <c r="T233" s="2" t="str">
        <f>VLOOKUP(A233,'[4]CEA vs MERIT comp. &amp; NPA marker'!$C$2:$K$735,9,FALSE)</f>
        <v>Contracted</v>
      </c>
      <c r="U233" s="3">
        <f>VLOOKUP(B233,'[8]Import-Domestic share'!$A$208:$F$406,6,FALSE)</f>
        <v>0</v>
      </c>
      <c r="V233" s="3">
        <f t="shared" si="163"/>
        <v>0</v>
      </c>
      <c r="W233" s="2">
        <f t="shared" si="164"/>
        <v>3040.5016682943183</v>
      </c>
      <c r="X233" s="2">
        <f t="shared" si="165"/>
        <v>2911.5898484431596</v>
      </c>
      <c r="Y233" s="6">
        <f t="shared" si="166"/>
        <v>0.28284806055786471</v>
      </c>
      <c r="Z233" s="2">
        <f t="shared" si="167"/>
        <v>1474011.5311352664</v>
      </c>
      <c r="AA233" s="2">
        <f t="shared" si="168"/>
        <v>2529169.9430785654</v>
      </c>
      <c r="AB233" s="2" t="s">
        <v>598</v>
      </c>
      <c r="AC233" s="12">
        <f>VLOOKUP(B233,[9]Sheet1!$A$2:$B$137,2,FALSE)</f>
        <v>4449.6383069062995</v>
      </c>
      <c r="AD233" s="12">
        <f t="shared" si="169"/>
        <v>2224819.1534531498</v>
      </c>
      <c r="AE233" s="2" t="s">
        <v>589</v>
      </c>
      <c r="AF233" s="7">
        <f>VLOOKUP($B233,'[9]Subsidiary wise dispatch'!$A$3:$R$138,11,FALSE)*$H233*$O233*365</f>
        <v>0</v>
      </c>
      <c r="AG233" s="7">
        <f>VLOOKUP($B233,'[9]Subsidiary wise dispatch'!$A$3:$R$138,12,FALSE)*$H233*$O233*365</f>
        <v>0</v>
      </c>
      <c r="AH233" s="7">
        <f>VLOOKUP($B233,'[9]Subsidiary wise dispatch'!$A$3:$R$138,13,FALSE)*$H233*$O233*365</f>
        <v>0</v>
      </c>
      <c r="AI233" s="7">
        <f>VLOOKUP($B233,'[9]Subsidiary wise dispatch'!$A$3:$R$138,14,FALSE)*$H233*$O233*365</f>
        <v>0</v>
      </c>
      <c r="AJ233" s="7">
        <f>VLOOKUP($B233,'[9]Subsidiary wise dispatch'!$A$3:$R$138,15,FALSE)*$H233*$O233*365</f>
        <v>2577699.8373532412</v>
      </c>
      <c r="AK233" s="7">
        <f>VLOOKUP($B233,'[9]Subsidiary wise dispatch'!$A$3:$R$138,16,FALSE)*$H233*$O233*365</f>
        <v>0</v>
      </c>
      <c r="AL233" s="7">
        <f>VLOOKUP($B233,'[9]Subsidiary wise dispatch'!$A$3:$R$138,17,FALSE)*$H233*$O233*365</f>
        <v>0</v>
      </c>
      <c r="AM233" s="7">
        <f>VLOOKUP($B233,'[9]Subsidiary wise dispatch'!$A$3:$R$138,18,FALSE)*$H233*$O233*365</f>
        <v>0</v>
      </c>
      <c r="AN233" s="15">
        <f t="shared" si="170"/>
        <v>2577699.8373532412</v>
      </c>
      <c r="AO233" s="6">
        <v>7.690693382449007E-2</v>
      </c>
      <c r="AP233" s="11">
        <f t="shared" si="171"/>
        <v>0.81441386434058494</v>
      </c>
      <c r="AQ233" s="11">
        <f t="shared" si="172"/>
        <v>0.45451997890273632</v>
      </c>
      <c r="AR233" s="3">
        <f>VLOOKUP(A233,[10]Sheet1!$A$2:$L$542,12,FALSE)</f>
        <v>1.42529597105324</v>
      </c>
      <c r="AS233" s="3">
        <f t="shared" si="180"/>
        <v>1.8774436129563739</v>
      </c>
      <c r="AT233" s="3">
        <f t="shared" si="181"/>
        <v>1.8906570744911175</v>
      </c>
      <c r="AU233" s="3">
        <f t="shared" si="173"/>
        <v>-1.3213461534743676E-2</v>
      </c>
      <c r="AV233" s="88">
        <f t="shared" si="182"/>
        <v>-0.28577552982028198</v>
      </c>
      <c r="AW233" s="32">
        <f t="shared" si="183"/>
        <v>0.14517723270332478</v>
      </c>
      <c r="AX233" s="12">
        <f t="shared" si="174"/>
        <v>725.67043260434275</v>
      </c>
      <c r="AY233" s="12">
        <f t="shared" si="175"/>
        <v>407.84309082385147</v>
      </c>
      <c r="AZ233" s="3">
        <f>VLOOKUP(A233,[5]Analysis!$A$3:$BJ$543,62,FALSE)</f>
        <v>0.40729034272837178</v>
      </c>
      <c r="BA233" s="2"/>
      <c r="BB233" s="2"/>
      <c r="BC233" s="2" t="str">
        <f>VLOOKUP(A233,'[6]FGD status - Jun 2020'!$I$2:$M$449,5,FALSE)</f>
        <v>Bid Awarded</v>
      </c>
      <c r="BD233" s="2">
        <f>VLOOKUP(A233,'[1]daily coal, energy reqd'!$C$2:$L$599,10,FALSE)</f>
        <v>0</v>
      </c>
      <c r="BE233" s="2" t="str">
        <f>VLOOKUP(A233,'[1]daily coal, energy reqd'!$C$2:$M$599,11,FALSE)</f>
        <v>Y</v>
      </c>
      <c r="BF233" s="2">
        <f t="shared" si="176"/>
        <v>782.77809738281599</v>
      </c>
      <c r="BG233" s="2">
        <f t="shared" si="177"/>
        <v>456.20656888636495</v>
      </c>
      <c r="BH233" s="2"/>
      <c r="BI233" s="2"/>
      <c r="BK233">
        <f t="shared" si="178"/>
        <v>441.23344055858325</v>
      </c>
      <c r="BL233">
        <f>VLOOKUP(A233,'[11]Daily coal vs energy req.2'!$C$2:$P$599,14,FALSE)</f>
        <v>0.99</v>
      </c>
      <c r="BM233">
        <f>VLOOKUP(A233,'[11]Daily coal vs energy req.2'!$C$2:$R$599,16,FALSE)</f>
        <v>0.87</v>
      </c>
      <c r="BN233">
        <f t="shared" si="205"/>
        <v>495</v>
      </c>
      <c r="BO233">
        <f t="shared" si="206"/>
        <v>435</v>
      </c>
      <c r="BP233" s="2" t="str">
        <f>VLOOKUP(A233,'[7]Table 2'!$J$2:$N$449,5,FALSE)</f>
        <v>Bid Awarded</v>
      </c>
      <c r="BR233">
        <f t="shared" si="184"/>
        <v>458.36013111554354</v>
      </c>
      <c r="BS233">
        <f t="shared" si="185"/>
        <v>267.13433018842272</v>
      </c>
      <c r="BT233">
        <f>(X233*I233*365*[5]Analysis!BK233)/10^4</f>
        <v>428.41532779041557</v>
      </c>
      <c r="BU233">
        <f>(W233*R233*365*[5]Analysis!BK233)/10^4</f>
        <v>249.68236515949735</v>
      </c>
      <c r="BV233">
        <f>(X233*I233*365*[5]Analysis!BL233)/10^4</f>
        <v>29.94480332512796</v>
      </c>
      <c r="BW233">
        <f>(W233*R233*365*[5]Analysis!BL233)/10^4</f>
        <v>17.451965028925368</v>
      </c>
      <c r="BX233">
        <f t="shared" si="186"/>
        <v>3160339.3835570877</v>
      </c>
      <c r="BY233">
        <f t="shared" si="187"/>
        <v>1841859.8981109909</v>
      </c>
      <c r="BZ233">
        <f t="shared" si="188"/>
        <v>8155036.74684304</v>
      </c>
      <c r="CA233">
        <f t="shared" si="189"/>
        <v>4551281.961693177</v>
      </c>
      <c r="CB233">
        <f t="shared" si="190"/>
        <v>-1007789.9831160124</v>
      </c>
      <c r="CC233">
        <f t="shared" si="191"/>
        <v>-313895.92402500001</v>
      </c>
      <c r="CD233">
        <f t="shared" si="192"/>
        <v>0</v>
      </c>
      <c r="CE233">
        <f t="shared" si="193"/>
        <v>0</v>
      </c>
      <c r="CF233">
        <f t="shared" si="194"/>
        <v>6901704.6448006332</v>
      </c>
      <c r="CG233">
        <f t="shared" si="195"/>
        <v>3851804.0850000004</v>
      </c>
      <c r="CH233">
        <f t="shared" si="196"/>
        <v>2548858.0057523828</v>
      </c>
      <c r="CI233">
        <f t="shared" si="197"/>
        <v>1422503.8862012301</v>
      </c>
      <c r="CJ233">
        <f t="shared" si="198"/>
        <v>-3186940.8944665357</v>
      </c>
      <c r="CK233">
        <f t="shared" si="199"/>
        <v>-1778614.5000000005</v>
      </c>
      <c r="CL233">
        <f t="shared" si="200"/>
        <v>2302383.8287008642</v>
      </c>
      <c r="CM233">
        <f t="shared" si="201"/>
        <v>1284947.9792371073</v>
      </c>
    </row>
    <row r="234" spans="1:91" x14ac:dyDescent="0.2">
      <c r="A234" s="2" t="s">
        <v>193</v>
      </c>
      <c r="B234" s="2" t="str">
        <f t="shared" si="202"/>
        <v>BARAUNI TPS</v>
      </c>
      <c r="C234" s="2" t="str">
        <f>VLOOKUP($A234,'[1]daily coal, energy reqd'!$C$2:$T$599,17,FALSE)</f>
        <v>Bihar</v>
      </c>
      <c r="D234" s="2" t="str">
        <f>VLOOKUP(C234,'Target PLF'!$I$2:$J$19,2,FALSE)</f>
        <v>ER</v>
      </c>
      <c r="E234" s="2" t="str">
        <f>VLOOKUP(A234,[2]Ownership!$C$2:$D$666,2,FALSE)</f>
        <v>CENTRAL SECTOR</v>
      </c>
      <c r="F234" s="2" t="s">
        <v>542</v>
      </c>
      <c r="G234" s="13">
        <v>2.3381245722108099</v>
      </c>
      <c r="H234" s="2">
        <v>250</v>
      </c>
      <c r="I234" s="2">
        <f>VLOOKUP(A234,'[3]Calculated coal req (reg.)'!$A$2:$I$599,9,FALSE)</f>
        <v>7.2098014888337406E-2</v>
      </c>
      <c r="J234" s="2"/>
      <c r="K234" s="11">
        <v>1.20163358147229E-2</v>
      </c>
      <c r="L234" s="3">
        <v>0.49249999999999999</v>
      </c>
      <c r="M234" s="3">
        <f t="shared" si="179"/>
        <v>0.4804836641852771</v>
      </c>
      <c r="N234" s="2" t="str">
        <f t="shared" si="158"/>
        <v>0.25</v>
      </c>
      <c r="O234" s="2">
        <f t="shared" si="155"/>
        <v>2.3599347309157617</v>
      </c>
      <c r="P234" s="2">
        <f t="shared" si="159"/>
        <v>215344.04419606325</v>
      </c>
      <c r="Q234" s="2">
        <f t="shared" si="160"/>
        <v>14.019052845824776</v>
      </c>
      <c r="R234" s="2">
        <f t="shared" si="161"/>
        <v>2.9550000000000001</v>
      </c>
      <c r="S234" s="2">
        <f t="shared" si="162"/>
        <v>741205.87858752243</v>
      </c>
      <c r="T234" s="2" t="str">
        <f>VLOOKUP(A234,'[4]CEA vs MERIT comp. &amp; NPA marker'!$C$2:$K$735,9,FALSE)</f>
        <v>Not contracted</v>
      </c>
      <c r="U234" s="3">
        <v>0</v>
      </c>
      <c r="V234" s="3">
        <f t="shared" si="163"/>
        <v>0</v>
      </c>
      <c r="W234" s="2">
        <f t="shared" si="164"/>
        <v>3041.4346363045856</v>
      </c>
      <c r="X234" s="2">
        <f t="shared" si="165"/>
        <v>3200.26869775471</v>
      </c>
      <c r="Y234" s="6">
        <f t="shared" si="166"/>
        <v>0.28276129617729356</v>
      </c>
      <c r="Z234" s="2">
        <f t="shared" si="167"/>
        <v>569648.88056160312</v>
      </c>
      <c r="AA234" s="2">
        <f t="shared" si="168"/>
        <v>14624.499988569451</v>
      </c>
      <c r="AB234" s="2" t="s">
        <v>598</v>
      </c>
      <c r="AC234" s="12">
        <f>VLOOKUP(B234,[9]Sheet1!$A$2:$B$137,2,FALSE)</f>
        <v>5758.6620017898322</v>
      </c>
      <c r="AD234" s="12">
        <f t="shared" si="169"/>
        <v>1439665.5004474581</v>
      </c>
      <c r="AE234" s="2"/>
      <c r="AF234" s="7">
        <f>VLOOKUP($B234,'[9]Subsidiary wise dispatch'!$A$3:$R$138,11,FALSE)*$H234*$O234*365</f>
        <v>0</v>
      </c>
      <c r="AG234" s="7">
        <f>VLOOKUP($B234,'[9]Subsidiary wise dispatch'!$A$3:$R$138,12,FALSE)*$H234*$O234*365</f>
        <v>0</v>
      </c>
      <c r="AH234" s="7">
        <f>VLOOKUP($B234,'[9]Subsidiary wise dispatch'!$A$3:$R$138,13,FALSE)*$H234*$O234*365</f>
        <v>215344.04419606325</v>
      </c>
      <c r="AI234" s="7">
        <f>VLOOKUP($B234,'[9]Subsidiary wise dispatch'!$A$3:$R$138,14,FALSE)*$H234*$O234*365</f>
        <v>0</v>
      </c>
      <c r="AJ234" s="7">
        <f>VLOOKUP($B234,'[9]Subsidiary wise dispatch'!$A$3:$R$138,15,FALSE)*$H234*$O234*365</f>
        <v>0</v>
      </c>
      <c r="AK234" s="7">
        <f>VLOOKUP($B234,'[9]Subsidiary wise dispatch'!$A$3:$R$138,16,FALSE)*$H234*$O234*365</f>
        <v>0</v>
      </c>
      <c r="AL234" s="7">
        <f>VLOOKUP($B234,'[9]Subsidiary wise dispatch'!$A$3:$R$138,17,FALSE)*$H234*$O234*365</f>
        <v>0</v>
      </c>
      <c r="AM234" s="7">
        <f>VLOOKUP($B234,'[9]Subsidiary wise dispatch'!$A$3:$R$138,18,FALSE)*$H234*$O234*365</f>
        <v>0</v>
      </c>
      <c r="AN234" s="15">
        <f t="shared" si="170"/>
        <v>215344.04419606325</v>
      </c>
      <c r="AO234" s="6">
        <v>0.09</v>
      </c>
      <c r="AP234" s="11">
        <f t="shared" si="171"/>
        <v>6.4888213399503661E-3</v>
      </c>
      <c r="AQ234" s="11">
        <f t="shared" si="172"/>
        <v>0.26595000000000002</v>
      </c>
      <c r="AR234" s="3"/>
      <c r="AS234" s="3">
        <f t="shared" si="180"/>
        <v>2.5014977568621899</v>
      </c>
      <c r="AT234" s="3">
        <f t="shared" si="181"/>
        <v>2.485217265563552</v>
      </c>
      <c r="AU234" s="3">
        <f t="shared" si="173"/>
        <v>1.6280491298637845E-2</v>
      </c>
      <c r="AV234" s="88">
        <f t="shared" si="182"/>
        <v>0.35210803878825481</v>
      </c>
      <c r="AW234" s="32">
        <f t="shared" si="183"/>
        <v>0.13425058909941612</v>
      </c>
      <c r="AX234" s="12">
        <f t="shared" si="174"/>
        <v>6.5828853218848362</v>
      </c>
      <c r="AY234" s="12">
        <f t="shared" si="175"/>
        <v>268.04932122052082</v>
      </c>
      <c r="AZ234" s="3">
        <f>VLOOKUP(A234,[5]Analysis!$A$3:$BJ$543,62,FALSE)</f>
        <v>0.74067390631266761</v>
      </c>
      <c r="BA234" s="2"/>
      <c r="BB234" s="2"/>
      <c r="BC234" s="2" t="str">
        <f>VLOOKUP(A234,'[6]FGD status - Jun 2020'!$I$2:$M$449,5,FALSE)</f>
        <v>NIT issued</v>
      </c>
      <c r="BD234" s="2"/>
      <c r="BE234" s="2"/>
      <c r="BF234" s="2">
        <f t="shared" si="176"/>
        <v>4.526282746462245</v>
      </c>
      <c r="BG234" s="2">
        <f t="shared" si="177"/>
        <v>176.30632853381618</v>
      </c>
      <c r="BH234" s="2"/>
      <c r="BI234" s="2"/>
      <c r="BK234">
        <f t="shared" si="178"/>
        <v>3.0040839536807251</v>
      </c>
      <c r="BP234" s="2" t="str">
        <f>VLOOKUP(A234,'[7]Table 2'!$J$2:$N$449,5,FALSE)</f>
        <v>NIT issued</v>
      </c>
      <c r="BR234">
        <f t="shared" si="184"/>
        <v>6.2377743500905405</v>
      </c>
      <c r="BS234">
        <f t="shared" si="185"/>
        <v>242.97180611318396</v>
      </c>
      <c r="BT234">
        <f>(X234*I234*365*[5]Analysis!BK234)/10^4</f>
        <v>4.8296543686911297</v>
      </c>
      <c r="BU234">
        <f>(W234*R234*365*[5]Analysis!BK234)/10^4</f>
        <v>188.12316364830997</v>
      </c>
      <c r="BV234">
        <f>(X234*I234*365*[5]Analysis!BL234)/10^4</f>
        <v>1.4081199813994094</v>
      </c>
      <c r="BW234">
        <f>(W234*R234*365*[5]Analysis!BL234)/10^4</f>
        <v>54.848642464873961</v>
      </c>
      <c r="BX234">
        <f t="shared" si="186"/>
        <v>23650.134572283423</v>
      </c>
      <c r="BY234">
        <f t="shared" si="187"/>
        <v>921212.53340370511</v>
      </c>
      <c r="BZ234">
        <f t="shared" si="188"/>
        <v>100970.03351163167</v>
      </c>
      <c r="CA234">
        <f t="shared" si="189"/>
        <v>4138344.8558045588</v>
      </c>
      <c r="CB234">
        <f t="shared" si="190"/>
        <v>-93.430209943620298</v>
      </c>
      <c r="CC234">
        <f t="shared" si="191"/>
        <v>-156947.96201250001</v>
      </c>
      <c r="CD234">
        <f t="shared" si="192"/>
        <v>0</v>
      </c>
      <c r="CE234">
        <f t="shared" si="193"/>
        <v>0</v>
      </c>
      <c r="CF234">
        <f t="shared" si="194"/>
        <v>46989.412566377134</v>
      </c>
      <c r="CG234">
        <f t="shared" si="195"/>
        <v>1925902.0425000002</v>
      </c>
      <c r="CH234">
        <f t="shared" si="196"/>
        <v>1248.2072212444957</v>
      </c>
      <c r="CI234">
        <f t="shared" si="197"/>
        <v>51158.861232032752</v>
      </c>
      <c r="CJ234">
        <f t="shared" si="198"/>
        <v>-10848.948790322574</v>
      </c>
      <c r="CK234">
        <f t="shared" si="199"/>
        <v>-444653.62500000012</v>
      </c>
      <c r="CL234">
        <f t="shared" si="200"/>
        <v>18344.183436178642</v>
      </c>
      <c r="CM234">
        <f t="shared" si="201"/>
        <v>751852.35179999983</v>
      </c>
    </row>
    <row r="235" spans="1:91" x14ac:dyDescent="0.2">
      <c r="A235" s="2" t="s">
        <v>230</v>
      </c>
      <c r="B235" s="2" t="str">
        <f t="shared" ref="B235:B264" si="207">LEFT(A235,LEN(A235)-LEN(RIGHT(A235,1)))</f>
        <v>ROSA TPP PH-I</v>
      </c>
      <c r="C235" s="2" t="str">
        <f>VLOOKUP($A235,'[1]daily coal, energy reqd'!$C$2:$T$599,17,FALSE)</f>
        <v>Uttar Pradesh</v>
      </c>
      <c r="D235" s="2" t="str">
        <f>VLOOKUP(C235,'Target PLF'!$I$2:$J$19,2,FALSE)</f>
        <v>NR</v>
      </c>
      <c r="E235" s="2" t="str">
        <f>VLOOKUP(A235,[2]Ownership!$C$2:$D$666,2,FALSE)</f>
        <v>PVT SECTOR</v>
      </c>
      <c r="F235" s="2" t="s">
        <v>543</v>
      </c>
      <c r="G235" s="12">
        <v>8.4243668720054696</v>
      </c>
      <c r="H235" s="2">
        <v>300</v>
      </c>
      <c r="I235" s="2">
        <f>VLOOKUP(A235,'[3]Calculated coal req (reg.)'!$A$2:$I$599,9,FALSE)</f>
        <v>3.8556876647774398</v>
      </c>
      <c r="J235" s="2"/>
      <c r="K235" s="11">
        <v>0.53551217566353326</v>
      </c>
      <c r="L235" s="3">
        <v>0.49249999999999999</v>
      </c>
      <c r="M235" s="3">
        <f t="shared" si="179"/>
        <v>-4.301217566353327E-2</v>
      </c>
      <c r="N235" s="2" t="str">
        <f t="shared" si="158"/>
        <v>0.25</v>
      </c>
      <c r="O235" s="2">
        <f t="shared" si="155"/>
        <v>8.6861250243302113</v>
      </c>
      <c r="P235" s="2">
        <f t="shared" si="159"/>
        <v>951130.69016415812</v>
      </c>
      <c r="Q235" s="2">
        <f t="shared" si="160"/>
        <v>13.061688470670774</v>
      </c>
      <c r="R235" s="2">
        <f t="shared" si="161"/>
        <v>3.5459999999999998</v>
      </c>
      <c r="S235" s="2">
        <f t="shared" si="162"/>
        <v>828706.50836786651</v>
      </c>
      <c r="T235" s="2" t="str">
        <f>VLOOKUP(A235,'[4]CEA vs MERIT comp. &amp; NPA marker'!$C$2:$K$735,9,FALSE)</f>
        <v>Contracted</v>
      </c>
      <c r="U235" s="3">
        <f>VLOOKUP(B235,'[8]Import-Domestic share'!$A$208:$F$406,6,FALSE)</f>
        <v>0</v>
      </c>
      <c r="V235" s="3">
        <f t="shared" si="163"/>
        <v>0</v>
      </c>
      <c r="W235" s="2">
        <f t="shared" si="164"/>
        <v>3041.6496807871317</v>
      </c>
      <c r="X235" s="2">
        <f t="shared" si="165"/>
        <v>3027.431094263427</v>
      </c>
      <c r="Y235" s="6">
        <f t="shared" si="166"/>
        <v>0.28274130496758765</v>
      </c>
      <c r="Z235" s="2">
        <f t="shared" si="167"/>
        <v>890088.79389137193</v>
      </c>
      <c r="AA235" s="2">
        <f t="shared" si="168"/>
        <v>963299.91549408785</v>
      </c>
      <c r="AB235" s="2" t="s">
        <v>598</v>
      </c>
      <c r="AC235" s="12">
        <f>VLOOKUP(B235,[9]Sheet1!$A$2:$B$137,2,FALSE)</f>
        <v>4422.9034140906479</v>
      </c>
      <c r="AD235" s="12">
        <f t="shared" si="169"/>
        <v>1326871.0242271943</v>
      </c>
      <c r="AE235" s="2"/>
      <c r="AF235" s="7">
        <f>VLOOKUP($B235,'[9]Subsidiary wise dispatch'!$A$3:$R$138,11,FALSE)*$H235*$O235*365</f>
        <v>0</v>
      </c>
      <c r="AG235" s="7">
        <f>VLOOKUP($B235,'[9]Subsidiary wise dispatch'!$A$3:$R$138,12,FALSE)*$H235*$O235*365</f>
        <v>951130.69016415812</v>
      </c>
      <c r="AH235" s="7">
        <f>VLOOKUP($B235,'[9]Subsidiary wise dispatch'!$A$3:$R$138,13,FALSE)*$H235*$O235*365</f>
        <v>0</v>
      </c>
      <c r="AI235" s="7">
        <f>VLOOKUP($B235,'[9]Subsidiary wise dispatch'!$A$3:$R$138,14,FALSE)*$H235*$O235*365</f>
        <v>0</v>
      </c>
      <c r="AJ235" s="7">
        <f>VLOOKUP($B235,'[9]Subsidiary wise dispatch'!$A$3:$R$138,15,FALSE)*$H235*$O235*365</f>
        <v>0</v>
      </c>
      <c r="AK235" s="7">
        <f>VLOOKUP($B235,'[9]Subsidiary wise dispatch'!$A$3:$R$138,16,FALSE)*$H235*$O235*365</f>
        <v>0</v>
      </c>
      <c r="AL235" s="7">
        <f>VLOOKUP($B235,'[9]Subsidiary wise dispatch'!$A$3:$R$138,17,FALSE)*$H235*$O235*365</f>
        <v>0</v>
      </c>
      <c r="AM235" s="7">
        <f>VLOOKUP($B235,'[9]Subsidiary wise dispatch'!$A$3:$R$138,18,FALSE)*$H235*$O235*365</f>
        <v>0</v>
      </c>
      <c r="AN235" s="15">
        <f t="shared" si="170"/>
        <v>951130.69016415812</v>
      </c>
      <c r="AO235" s="6">
        <v>9.6241360115922034E-2</v>
      </c>
      <c r="AP235" s="11">
        <f t="shared" si="171"/>
        <v>0.37107662504036404</v>
      </c>
      <c r="AQ235" s="11">
        <f t="shared" si="172"/>
        <v>0.34127186297105949</v>
      </c>
      <c r="AR235" s="3">
        <f>VLOOKUP(A235,[10]Sheet1!$A$2:$L$542,12,FALSE)</f>
        <v>2.9649890350877199</v>
      </c>
      <c r="AS235" s="3">
        <f t="shared" si="180"/>
        <v>2.7730013247875624</v>
      </c>
      <c r="AT235" s="3">
        <f t="shared" si="181"/>
        <v>2.7744587299062426</v>
      </c>
      <c r="AU235" s="3">
        <f t="shared" si="173"/>
        <v>-1.4574051186801995E-3</v>
      </c>
      <c r="AV235" s="88">
        <f t="shared" si="182"/>
        <v>-3.1520182569750449E-2</v>
      </c>
      <c r="AW235" s="32">
        <f t="shared" si="183"/>
        <v>1.0841241647575967E-2</v>
      </c>
      <c r="AX235" s="12">
        <f t="shared" si="174"/>
        <v>390.25168558741399</v>
      </c>
      <c r="AY235" s="12">
        <f t="shared" si="175"/>
        <v>359.09541895303505</v>
      </c>
      <c r="AZ235" s="3">
        <f>VLOOKUP(A235,[5]Analysis!$A$3:$BJ$543,62,FALSE)</f>
        <v>0.87638697866454418</v>
      </c>
      <c r="BA235" s="2"/>
      <c r="BB235" s="2"/>
      <c r="BC235" s="2" t="str">
        <f>VLOOKUP(A235,'[6]FGD status - Jun 2020'!$I$2:$M$449,5,FALSE)</f>
        <v>Bid Awarded</v>
      </c>
      <c r="BD235" s="2"/>
      <c r="BE235" s="2"/>
      <c r="BF235" s="2">
        <f t="shared" si="176"/>
        <v>298.14132384542017</v>
      </c>
      <c r="BG235" s="2">
        <f t="shared" si="177"/>
        <v>275.48248170937961</v>
      </c>
      <c r="BH235" s="2"/>
      <c r="BI235" s="2"/>
      <c r="BK235">
        <f t="shared" si="178"/>
        <v>160.65365269905999</v>
      </c>
      <c r="BL235">
        <f>VLOOKUP(A235,'[11]Daily coal vs energy req.2'!$C$2:$P$599,14,FALSE)</f>
        <v>1.07</v>
      </c>
      <c r="BM235">
        <f>VLOOKUP(A235,'[11]Daily coal vs energy req.2'!$C$2:$R$599,16,FALSE)</f>
        <v>1.1100000000000001</v>
      </c>
      <c r="BN235">
        <f t="shared" ref="BN235:BN240" si="208">BL235*H235</f>
        <v>321</v>
      </c>
      <c r="BO235">
        <f t="shared" ref="BO235:BO240" si="209">BM235*H235</f>
        <v>333.00000000000006</v>
      </c>
      <c r="BP235" s="2" t="str">
        <f>VLOOKUP(A235,'[7]Table 2'!$J$2:$N$449,5,FALSE)</f>
        <v>Bid Awarded</v>
      </c>
      <c r="BR235">
        <f t="shared" si="184"/>
        <v>373.39190114082999</v>
      </c>
      <c r="BS235">
        <f t="shared" si="185"/>
        <v>345.01398950583371</v>
      </c>
      <c r="BT235">
        <f>(X235*I235*365*[5]Analysis!BK235)/10^4</f>
        <v>163.17307984236925</v>
      </c>
      <c r="BU235">
        <f>(W235*R235*365*[5]Analysis!BK235)/10^4</f>
        <v>150.77187021026617</v>
      </c>
      <c r="BV235">
        <f>(X235*I235*365*[5]Analysis!BL235)/10^4</f>
        <v>210.21882129846071</v>
      </c>
      <c r="BW235">
        <f>(W235*R235*365*[5]Analysis!BL235)/10^4</f>
        <v>194.24211929556753</v>
      </c>
      <c r="BX235">
        <f t="shared" si="186"/>
        <v>1196464.9444268041</v>
      </c>
      <c r="BY235">
        <f t="shared" si="187"/>
        <v>1105533.2012272947</v>
      </c>
      <c r="BZ235">
        <f t="shared" si="188"/>
        <v>6389103.3089175932</v>
      </c>
      <c r="CA235">
        <f t="shared" si="189"/>
        <v>5875932.4673487358</v>
      </c>
      <c r="CB235">
        <f t="shared" si="190"/>
        <v>-222670.74199741666</v>
      </c>
      <c r="CC235">
        <f t="shared" si="191"/>
        <v>-188337.55441499996</v>
      </c>
      <c r="CD235">
        <f t="shared" si="192"/>
        <v>-1422919.9408351914</v>
      </c>
      <c r="CE235">
        <f t="shared" si="193"/>
        <v>-1308631.4423999998</v>
      </c>
      <c r="CF235">
        <f t="shared" si="194"/>
        <v>2512919.3735488756</v>
      </c>
      <c r="CG235">
        <f t="shared" si="195"/>
        <v>2311082.4509999999</v>
      </c>
      <c r="CH235">
        <f t="shared" si="196"/>
        <v>240510.95076988259</v>
      </c>
      <c r="CI235">
        <f t="shared" si="197"/>
        <v>221193.18409034889</v>
      </c>
      <c r="CJ235">
        <f t="shared" si="198"/>
        <v>-696221.52162886236</v>
      </c>
      <c r="CK235">
        <f t="shared" si="199"/>
        <v>-640301.22</v>
      </c>
      <c r="CL235">
        <f t="shared" si="200"/>
        <v>1049049.9463606109</v>
      </c>
      <c r="CM235">
        <f t="shared" si="201"/>
        <v>964790.57258115592</v>
      </c>
    </row>
    <row r="236" spans="1:91" x14ac:dyDescent="0.2">
      <c r="A236" s="2" t="s">
        <v>202</v>
      </c>
      <c r="B236" s="2" t="str">
        <f t="shared" si="207"/>
        <v>GOINDWAL SAHIB</v>
      </c>
      <c r="C236" s="2" t="str">
        <f>VLOOKUP($A236,'[1]daily coal, energy reqd'!$C$2:$T$599,17,FALSE)</f>
        <v>Punjab</v>
      </c>
      <c r="D236" s="2" t="str">
        <f>VLOOKUP(C236,'Target PLF'!$I$2:$J$19,2,FALSE)</f>
        <v>NR</v>
      </c>
      <c r="E236" s="2" t="str">
        <f>VLOOKUP(A236,[2]Ownership!$C$2:$D$666,2,FALSE)</f>
        <v>PVT SECTOR</v>
      </c>
      <c r="F236" s="2" t="s">
        <v>542</v>
      </c>
      <c r="G236" s="12">
        <v>4.1752224503764497</v>
      </c>
      <c r="H236" s="2">
        <v>270</v>
      </c>
      <c r="I236" s="2">
        <f>VLOOKUP(A236,'[3]Calculated coal req (reg.)'!$A$2:$I$599,9,FALSE)</f>
        <v>2.6949425783498402</v>
      </c>
      <c r="J236" s="2"/>
      <c r="K236" s="11">
        <v>0.41588620036262963</v>
      </c>
      <c r="L236" s="3">
        <v>0.49249999999999999</v>
      </c>
      <c r="M236" s="3">
        <f t="shared" si="179"/>
        <v>7.6613799637370361E-2</v>
      </c>
      <c r="N236" s="2" t="str">
        <f t="shared" si="158"/>
        <v>0.25</v>
      </c>
      <c r="O236" s="2">
        <f t="shared" si="155"/>
        <v>7.043378292621048</v>
      </c>
      <c r="P236" s="2">
        <f t="shared" si="159"/>
        <v>694124.93073780427</v>
      </c>
      <c r="Q236" s="2">
        <f t="shared" si="160"/>
        <v>13.083333821115673</v>
      </c>
      <c r="R236" s="2">
        <f t="shared" si="161"/>
        <v>3.1914000000000002</v>
      </c>
      <c r="S236" s="2">
        <f t="shared" si="162"/>
        <v>747071.82932346198</v>
      </c>
      <c r="T236" s="2" t="str">
        <f>VLOOKUP(A236,'[4]CEA vs MERIT comp. &amp; NPA marker'!$C$2:$K$735,9,FALSE)</f>
        <v>Contracted</v>
      </c>
      <c r="U236" s="3">
        <f>VLOOKUP(B236,'[8]Import-Domestic share'!$A$208:$F$406,6,FALSE)</f>
        <v>2.8896222955628895E-2</v>
      </c>
      <c r="V236" s="3">
        <f t="shared" si="163"/>
        <v>20057.588757660058</v>
      </c>
      <c r="W236" s="2">
        <f t="shared" si="164"/>
        <v>3043.4710198995267</v>
      </c>
      <c r="X236" s="2">
        <f t="shared" si="165"/>
        <v>3068.7973355822119</v>
      </c>
      <c r="Y236" s="6">
        <f t="shared" si="166"/>
        <v>0.28257210086015244</v>
      </c>
      <c r="Z236" s="2">
        <f t="shared" si="167"/>
        <v>848784.54499481805</v>
      </c>
      <c r="AA236" s="2">
        <f t="shared" si="168"/>
        <v>722711.18511408381</v>
      </c>
      <c r="AB236" s="2" t="s">
        <v>598</v>
      </c>
      <c r="AC236" s="12">
        <f>VLOOKUP(B236,[9]Sheet1!$A$2:$B$137,2,FALSE)</f>
        <v>4176.8205095355825</v>
      </c>
      <c r="AD236" s="12">
        <f t="shared" si="169"/>
        <v>1127741.5375746072</v>
      </c>
      <c r="AE236" s="2"/>
      <c r="AF236" s="7">
        <f>VLOOKUP($B236,'[9]Subsidiary wise dispatch'!$A$3:$R$138,11,FALSE)*$H236*$O236*365</f>
        <v>2062.0070952843539</v>
      </c>
      <c r="AG236" s="7">
        <f>VLOOKUP($B236,'[9]Subsidiary wise dispatch'!$A$3:$R$138,12,FALSE)*$H236*$O236*365</f>
        <v>640823.29566731793</v>
      </c>
      <c r="AH236" s="7">
        <f>VLOOKUP($B236,'[9]Subsidiary wise dispatch'!$A$3:$R$138,13,FALSE)*$H236*$O236*365</f>
        <v>0</v>
      </c>
      <c r="AI236" s="7">
        <f>VLOOKUP($B236,'[9]Subsidiary wise dispatch'!$A$3:$R$138,14,FALSE)*$H236*$O236*365</f>
        <v>0</v>
      </c>
      <c r="AJ236" s="7">
        <f>VLOOKUP($B236,'[9]Subsidiary wise dispatch'!$A$3:$R$138,15,FALSE)*$H236*$O236*365</f>
        <v>51239.62797520202</v>
      </c>
      <c r="AK236" s="7">
        <f>VLOOKUP($B236,'[9]Subsidiary wise dispatch'!$A$3:$R$138,16,FALSE)*$H236*$O236*365</f>
        <v>0</v>
      </c>
      <c r="AL236" s="7">
        <f>VLOOKUP($B236,'[9]Subsidiary wise dispatch'!$A$3:$R$138,17,FALSE)*$H236*$O236*365</f>
        <v>0</v>
      </c>
      <c r="AM236" s="7">
        <f>VLOOKUP($B236,'[9]Subsidiary wise dispatch'!$A$3:$R$138,18,FALSE)*$H236*$O236*365</f>
        <v>0</v>
      </c>
      <c r="AN236" s="15">
        <f t="shared" si="170"/>
        <v>694124.93073780439</v>
      </c>
      <c r="AO236" s="6">
        <v>0.10288394721047496</v>
      </c>
      <c r="AP236" s="11">
        <f t="shared" si="171"/>
        <v>0.27726632996620626</v>
      </c>
      <c r="AQ236" s="11">
        <f t="shared" si="172"/>
        <v>0.32834382912750981</v>
      </c>
      <c r="AR236" s="3">
        <f>VLOOKUP(A236,[10]Sheet1!$A$2:$L$542,12,FALSE)</f>
        <v>2.9400000000000199</v>
      </c>
      <c r="AS236" s="3">
        <f t="shared" si="180"/>
        <v>3.4236015868119343</v>
      </c>
      <c r="AT236" s="3">
        <f t="shared" si="181"/>
        <v>3.4210056394544588</v>
      </c>
      <c r="AU236" s="3">
        <f t="shared" si="173"/>
        <v>2.595947357475481E-3</v>
      </c>
      <c r="AV236" s="88">
        <f t="shared" si="182"/>
        <v>5.6144124650257747E-2</v>
      </c>
      <c r="AW236" s="32">
        <f t="shared" si="183"/>
        <v>1.5640890429264712E-2</v>
      </c>
      <c r="AX236" s="12">
        <f t="shared" si="174"/>
        <v>336.76395359760289</v>
      </c>
      <c r="AY236" s="12">
        <f t="shared" si="175"/>
        <v>398.49960501805606</v>
      </c>
      <c r="AZ236" s="3">
        <f>VLOOKUP(A236,[5]Analysis!$A$3:$BJ$543,62,FALSE)</f>
        <v>1.2153928022611009</v>
      </c>
      <c r="BA236" s="2"/>
      <c r="BB236" s="2"/>
      <c r="BC236" s="2" t="str">
        <f>VLOOKUP(A236,'[6]FGD status - Jun 2020'!$I$2:$M$449,5,FALSE)</f>
        <v>Bid opened</v>
      </c>
      <c r="BD236" s="2"/>
      <c r="BE236" s="2"/>
      <c r="BF236" s="2">
        <f t="shared" si="176"/>
        <v>228.13985378043677</v>
      </c>
      <c r="BG236" s="2">
        <f t="shared" si="177"/>
        <v>267.93771284395575</v>
      </c>
      <c r="BH236" s="2"/>
      <c r="BI236" s="2"/>
      <c r="BK236">
        <f t="shared" si="178"/>
        <v>112.28927409791</v>
      </c>
      <c r="BL236">
        <f>VLOOKUP(A236,'[11]Daily coal vs energy req.2'!$C$2:$P$599,14,FALSE)</f>
        <v>0.86</v>
      </c>
      <c r="BM236">
        <f>VLOOKUP(A236,'[11]Daily coal vs energy req.2'!$C$2:$R$599,16,FALSE)</f>
        <v>1.06</v>
      </c>
      <c r="BN236">
        <f t="shared" si="208"/>
        <v>232.2</v>
      </c>
      <c r="BO236">
        <f t="shared" si="209"/>
        <v>286.2</v>
      </c>
      <c r="BP236" s="2" t="str">
        <f>VLOOKUP(A236,'[7]Table 2'!$J$2:$N$449,5,FALSE)</f>
        <v>Bid opened</v>
      </c>
      <c r="BR236">
        <f t="shared" si="184"/>
        <v>366.8827130667492</v>
      </c>
      <c r="BS236">
        <f t="shared" si="185"/>
        <v>430.88357159944644</v>
      </c>
      <c r="BT236">
        <f>(X236*I236*365*[5]Analysis!BK236)/10^4</f>
        <v>124.22689542135855</v>
      </c>
      <c r="BU236">
        <f>(W236*R236*365*[5]Analysis!BK236)/10^4</f>
        <v>145.89765742963019</v>
      </c>
      <c r="BV236">
        <f>(X236*I236*365*[5]Analysis!BL236)/10^4</f>
        <v>242.65581764539061</v>
      </c>
      <c r="BW236">
        <f>(W236*R236*365*[5]Analysis!BL236)/10^4</f>
        <v>284.98591416981617</v>
      </c>
      <c r="BX236">
        <f t="shared" si="186"/>
        <v>847698.84190867224</v>
      </c>
      <c r="BY236">
        <f t="shared" si="187"/>
        <v>995575.67482300336</v>
      </c>
      <c r="BZ236">
        <f t="shared" si="188"/>
        <v>6193103.3049636697</v>
      </c>
      <c r="CA236">
        <f t="shared" si="189"/>
        <v>7333985.5350696584</v>
      </c>
      <c r="CB236">
        <f t="shared" si="190"/>
        <v>-120869.29440301185</v>
      </c>
      <c r="CC236">
        <f t="shared" si="191"/>
        <v>-169503.7989735</v>
      </c>
      <c r="CD236">
        <f t="shared" si="192"/>
        <v>-994553.46686156979</v>
      </c>
      <c r="CE236">
        <f t="shared" si="193"/>
        <v>-1177768.2981600002</v>
      </c>
      <c r="CF236">
        <f t="shared" si="194"/>
        <v>1756411.308312749</v>
      </c>
      <c r="CG236">
        <f t="shared" si="195"/>
        <v>2079974.2059000002</v>
      </c>
      <c r="CH236">
        <f t="shared" si="196"/>
        <v>83315.321122852387</v>
      </c>
      <c r="CI236">
        <f t="shared" si="197"/>
        <v>98663.518090348967</v>
      </c>
      <c r="CJ236">
        <f t="shared" si="198"/>
        <v>-437963.20323536766</v>
      </c>
      <c r="CK236">
        <f t="shared" si="199"/>
        <v>-518643.98820000014</v>
      </c>
      <c r="CL236">
        <f t="shared" si="200"/>
        <v>783844.11453298351</v>
      </c>
      <c r="CM236">
        <f t="shared" si="201"/>
        <v>928242.45207195182</v>
      </c>
    </row>
    <row r="237" spans="1:91" x14ac:dyDescent="0.2">
      <c r="A237" s="2" t="s">
        <v>223</v>
      </c>
      <c r="B237" s="2" t="str">
        <f t="shared" si="207"/>
        <v>BUTIBORI TPP</v>
      </c>
      <c r="C237" s="2" t="str">
        <f>VLOOKUP($A237,'[1]daily coal, energy reqd'!$C$2:$T$599,17,FALSE)</f>
        <v>Maharashtra</v>
      </c>
      <c r="D237" s="2" t="str">
        <f>VLOOKUP(C237,'Target PLF'!$I$2:$J$19,2,FALSE)</f>
        <v>WR</v>
      </c>
      <c r="E237" s="2" t="str">
        <f>VLOOKUP(A237,[2]Ownership!$C$2:$D$666,2,FALSE)</f>
        <v>PVT SECTOR</v>
      </c>
      <c r="F237" s="2" t="s">
        <v>543</v>
      </c>
      <c r="G237" s="12">
        <v>7.7563312799452397</v>
      </c>
      <c r="H237" s="2">
        <v>300</v>
      </c>
      <c r="I237" s="2">
        <f>VLOOKUP(A237,'[3]Calculated coal req (reg.)'!$A$2:$I$599,9,FALSE)</f>
        <v>1.64824715782968</v>
      </c>
      <c r="J237" s="2"/>
      <c r="K237" s="11">
        <v>0.22892321636523333</v>
      </c>
      <c r="L237" s="3">
        <v>0.49249999999999999</v>
      </c>
      <c r="M237" s="3">
        <f t="shared" si="179"/>
        <v>0.26357678363476666</v>
      </c>
      <c r="N237" s="2" t="str">
        <f t="shared" si="158"/>
        <v>0.25</v>
      </c>
      <c r="O237" s="2">
        <f t="shared" si="155"/>
        <v>4.3993008295466662</v>
      </c>
      <c r="P237" s="2">
        <f t="shared" si="159"/>
        <v>481723.44083535997</v>
      </c>
      <c r="Q237" s="2">
        <f t="shared" si="160"/>
        <v>13.040528443292265</v>
      </c>
      <c r="R237" s="2">
        <f t="shared" si="161"/>
        <v>3.5459999999999998</v>
      </c>
      <c r="S237" s="2">
        <f t="shared" si="162"/>
        <v>827363.99798376218</v>
      </c>
      <c r="T237" s="2" t="str">
        <f>VLOOKUP(A237,'[4]CEA vs MERIT comp. &amp; NPA marker'!$C$2:$K$735,9,FALSE)</f>
        <v>Contracted</v>
      </c>
      <c r="U237" s="3">
        <f>VLOOKUP(B237,'[8]Import-Domestic share'!$A$208:$F$406,6,FALSE)</f>
        <v>3.243283978724501E-2</v>
      </c>
      <c r="V237" s="3">
        <f t="shared" si="163"/>
        <v>15623.659178373631</v>
      </c>
      <c r="W237" s="2">
        <f t="shared" si="164"/>
        <v>3043.8576954826162</v>
      </c>
      <c r="X237" s="2">
        <f t="shared" si="165"/>
        <v>3130.9885891409017</v>
      </c>
      <c r="Y237" s="6">
        <f t="shared" si="166"/>
        <v>0.28253620439494409</v>
      </c>
      <c r="Z237" s="2">
        <f t="shared" si="167"/>
        <v>942199.80204397335</v>
      </c>
      <c r="AA237" s="2">
        <f t="shared" si="168"/>
        <v>450488.54584841442</v>
      </c>
      <c r="AB237" s="2" t="s">
        <v>598</v>
      </c>
      <c r="AC237" s="12">
        <f>VLOOKUP(B237,[9]Sheet1!$A$2:$B$137,2,FALSE)</f>
        <v>4181.3154366406134</v>
      </c>
      <c r="AD237" s="12">
        <f t="shared" si="169"/>
        <v>1254394.6309921839</v>
      </c>
      <c r="AE237" s="2"/>
      <c r="AF237" s="7">
        <f>VLOOKUP($B237,'[9]Subsidiary wise dispatch'!$A$3:$R$138,11,FALSE)*$H237*$O237*365</f>
        <v>0</v>
      </c>
      <c r="AG237" s="7">
        <f>VLOOKUP($B237,'[9]Subsidiary wise dispatch'!$A$3:$R$138,12,FALSE)*$H237*$O237*365</f>
        <v>0</v>
      </c>
      <c r="AH237" s="7">
        <f>VLOOKUP($B237,'[9]Subsidiary wise dispatch'!$A$3:$R$138,13,FALSE)*$H237*$O237*365</f>
        <v>0</v>
      </c>
      <c r="AI237" s="7">
        <f>VLOOKUP($B237,'[9]Subsidiary wise dispatch'!$A$3:$R$138,14,FALSE)*$H237*$O237*365</f>
        <v>0</v>
      </c>
      <c r="AJ237" s="7">
        <f>VLOOKUP($B237,'[9]Subsidiary wise dispatch'!$A$3:$R$138,15,FALSE)*$H237*$O237*365</f>
        <v>0</v>
      </c>
      <c r="AK237" s="7">
        <f>VLOOKUP($B237,'[9]Subsidiary wise dispatch'!$A$3:$R$138,16,FALSE)*$H237*$O237*365</f>
        <v>0</v>
      </c>
      <c r="AL237" s="7">
        <f>VLOOKUP($B237,'[9]Subsidiary wise dispatch'!$A$3:$R$138,17,FALSE)*$H237*$O237*365</f>
        <v>0</v>
      </c>
      <c r="AM237" s="7">
        <f>VLOOKUP($B237,'[9]Subsidiary wise dispatch'!$A$3:$R$138,18,FALSE)*$H237*$O237*365</f>
        <v>481723.44083535997</v>
      </c>
      <c r="AN237" s="15">
        <f t="shared" si="170"/>
        <v>481723.44083535997</v>
      </c>
      <c r="AO237" s="6">
        <v>8.5770417782561448E-2</v>
      </c>
      <c r="AP237" s="11">
        <f t="shared" si="171"/>
        <v>0.14137084733597116</v>
      </c>
      <c r="AQ237" s="11">
        <f t="shared" si="172"/>
        <v>0.3041419014569629</v>
      </c>
      <c r="AR237" s="3">
        <f>VLOOKUP(A237,[10]Sheet1!$A$2:$L$542,12,FALSE)</f>
        <v>2.4630549450549402</v>
      </c>
      <c r="AS237" s="3">
        <f t="shared" si="180"/>
        <v>2.0419182301372585</v>
      </c>
      <c r="AT237" s="3">
        <f t="shared" si="181"/>
        <v>2.032987313537284</v>
      </c>
      <c r="AU237" s="3">
        <f t="shared" si="173"/>
        <v>8.93091659997447E-3</v>
      </c>
      <c r="AV237" s="88">
        <f t="shared" si="182"/>
        <v>0.19315433858322972</v>
      </c>
      <c r="AW237" s="32">
        <f t="shared" si="183"/>
        <v>9.0220763625226894E-2</v>
      </c>
      <c r="AX237" s="12">
        <f t="shared" si="174"/>
        <v>122.84388605606867</v>
      </c>
      <c r="AY237" s="12">
        <f t="shared" si="175"/>
        <v>263.12751500381711</v>
      </c>
      <c r="AZ237" s="3">
        <f>VLOOKUP(A237,[5]Analysis!$A$3:$BJ$543,62,FALSE)</f>
        <v>0.50238916630832064</v>
      </c>
      <c r="BA237" s="2"/>
      <c r="BB237" s="2"/>
      <c r="BC237" s="2" t="str">
        <f>VLOOKUP(A237,'[6]FGD status - Jun 2020'!$I$2:$M$449,5,FALSE)</f>
        <v>NIT issued</v>
      </c>
      <c r="BD237" s="2"/>
      <c r="BE237" s="2"/>
      <c r="BF237" s="2">
        <f t="shared" si="176"/>
        <v>142.54703397731785</v>
      </c>
      <c r="BG237" s="2">
        <f t="shared" si="177"/>
        <v>298.13807350515384</v>
      </c>
      <c r="BH237" s="2"/>
      <c r="BI237" s="2"/>
      <c r="BK237">
        <f t="shared" si="178"/>
        <v>68.676964909570003</v>
      </c>
      <c r="BL237">
        <f>VLOOKUP(A237,'[11]Daily coal vs energy req.2'!$C$2:$P$599,14,FALSE)</f>
        <v>0.91</v>
      </c>
      <c r="BM237">
        <f>VLOOKUP(A237,'[11]Daily coal vs energy req.2'!$C$2:$R$599,16,FALSE)</f>
        <v>0.73</v>
      </c>
      <c r="BN237">
        <f t="shared" si="208"/>
        <v>273</v>
      </c>
      <c r="BO237">
        <f t="shared" si="209"/>
        <v>219</v>
      </c>
      <c r="BP237" s="2" t="str">
        <f>VLOOKUP(A237,'[7]Table 2'!$J$2:$N$449,5,FALSE)</f>
        <v>NIT issued</v>
      </c>
      <c r="BR237">
        <f t="shared" si="184"/>
        <v>94.631767198107141</v>
      </c>
      <c r="BS237">
        <f t="shared" si="185"/>
        <v>197.92297305408115</v>
      </c>
      <c r="BT237">
        <f>(X237*I237*365*[5]Analysis!BK237)/10^4</f>
        <v>77.734523634510609</v>
      </c>
      <c r="BU237">
        <f>(W237*R237*365*[5]Analysis!BK237)/10^4</f>
        <v>162.5822752995447</v>
      </c>
      <c r="BV237">
        <f>(X237*I237*365*[5]Analysis!BL237)/10^4</f>
        <v>16.897243563596536</v>
      </c>
      <c r="BW237">
        <f>(W237*R237*365*[5]Analysis!BL237)/10^4</f>
        <v>35.340697754536471</v>
      </c>
      <c r="BX237">
        <f t="shared" si="186"/>
        <v>528965.91193298681</v>
      </c>
      <c r="BY237">
        <f t="shared" si="187"/>
        <v>1106335.7372885891</v>
      </c>
      <c r="BZ237">
        <f t="shared" si="188"/>
        <v>1565686.2925697528</v>
      </c>
      <c r="CA237">
        <f t="shared" si="189"/>
        <v>3368380.5047556134</v>
      </c>
      <c r="CB237">
        <f t="shared" si="190"/>
        <v>-40691.540839008841</v>
      </c>
      <c r="CC237">
        <f t="shared" si="191"/>
        <v>-188337.55441499996</v>
      </c>
      <c r="CD237">
        <f t="shared" si="192"/>
        <v>-608276.38341295952</v>
      </c>
      <c r="CE237">
        <f t="shared" si="193"/>
        <v>-1308631.4423999998</v>
      </c>
      <c r="CF237">
        <f t="shared" si="194"/>
        <v>1074234.3715089681</v>
      </c>
      <c r="CG237">
        <f t="shared" si="195"/>
        <v>2311082.4509999999</v>
      </c>
      <c r="CH237">
        <f t="shared" si="196"/>
        <v>94661.726885871467</v>
      </c>
      <c r="CI237">
        <f t="shared" si="197"/>
        <v>203653.00309650911</v>
      </c>
      <c r="CJ237">
        <f t="shared" si="198"/>
        <v>-297623.98928930535</v>
      </c>
      <c r="CK237">
        <f t="shared" si="199"/>
        <v>-640301.22</v>
      </c>
      <c r="CL237">
        <f t="shared" si="200"/>
        <v>399661.60573607322</v>
      </c>
      <c r="CM237">
        <f t="shared" si="201"/>
        <v>859822.53766249819</v>
      </c>
    </row>
    <row r="238" spans="1:91" x14ac:dyDescent="0.2">
      <c r="A238" s="2" t="s">
        <v>203</v>
      </c>
      <c r="B238" s="2" t="str">
        <f t="shared" si="207"/>
        <v>GOINDWAL SAHIB</v>
      </c>
      <c r="C238" s="2" t="str">
        <f>VLOOKUP($A238,'[1]daily coal, energy reqd'!$C$2:$T$599,17,FALSE)</f>
        <v>Punjab</v>
      </c>
      <c r="D238" s="2" t="str">
        <f>VLOOKUP(C238,'Target PLF'!$I$2:$J$19,2,FALSE)</f>
        <v>NR</v>
      </c>
      <c r="E238" s="2" t="str">
        <f>VLOOKUP(A238,[2]Ownership!$C$2:$D$666,2,FALSE)</f>
        <v>PVT SECTOR</v>
      </c>
      <c r="F238" s="2" t="s">
        <v>542</v>
      </c>
      <c r="G238" s="12">
        <v>4.2546201232032796</v>
      </c>
      <c r="H238" s="2">
        <v>270</v>
      </c>
      <c r="I238" s="2">
        <f>VLOOKUP(A238,'[3]Calculated coal req (reg.)'!$A$2:$I$599,9,FALSE)</f>
        <v>2.5576797035108099</v>
      </c>
      <c r="J238" s="2"/>
      <c r="K238" s="11">
        <v>0.39470365794919904</v>
      </c>
      <c r="L238" s="3">
        <v>0.49249999999999999</v>
      </c>
      <c r="M238" s="3">
        <f t="shared" si="179"/>
        <v>9.7796342050800955E-2</v>
      </c>
      <c r="N238" s="2" t="str">
        <f t="shared" si="158"/>
        <v>0.25</v>
      </c>
      <c r="O238" s="2">
        <f t="shared" si="155"/>
        <v>6.7511741465470543</v>
      </c>
      <c r="P238" s="2">
        <f t="shared" si="159"/>
        <v>665328.2121422122</v>
      </c>
      <c r="Q238" s="2">
        <f t="shared" si="160"/>
        <v>13.085848742402463</v>
      </c>
      <c r="R238" s="2">
        <f t="shared" si="161"/>
        <v>3.1914000000000002</v>
      </c>
      <c r="S238" s="2">
        <f t="shared" si="162"/>
        <v>747215.43391782721</v>
      </c>
      <c r="T238" s="2" t="str">
        <f>VLOOKUP(A238,'[4]CEA vs MERIT comp. &amp; NPA marker'!$C$2:$K$735,9,FALSE)</f>
        <v>Contracted</v>
      </c>
      <c r="U238" s="3">
        <f>VLOOKUP(B238,'[8]Import-Domestic share'!$A$208:$F$406,6,FALSE)</f>
        <v>2.8896222955628895E-2</v>
      </c>
      <c r="V238" s="3">
        <f t="shared" si="163"/>
        <v>19225.472356731323</v>
      </c>
      <c r="W238" s="2">
        <f t="shared" si="164"/>
        <v>3044.0776607564744</v>
      </c>
      <c r="X238" s="2">
        <f t="shared" si="165"/>
        <v>3076.4063149038184</v>
      </c>
      <c r="Y238" s="6">
        <f t="shared" si="166"/>
        <v>0.28251578830820107</v>
      </c>
      <c r="Z238" s="2">
        <f t="shared" si="167"/>
        <v>848953.72925199429</v>
      </c>
      <c r="AA238" s="2">
        <f t="shared" si="168"/>
        <v>687601.63868611096</v>
      </c>
      <c r="AB238" s="2" t="s">
        <v>598</v>
      </c>
      <c r="AC238" s="12">
        <f>VLOOKUP(B238,[9]Sheet1!$A$2:$B$137,2,FALSE)</f>
        <v>4176.8205095355825</v>
      </c>
      <c r="AD238" s="12">
        <f t="shared" si="169"/>
        <v>1127741.5375746072</v>
      </c>
      <c r="AE238" s="2"/>
      <c r="AF238" s="7">
        <f>VLOOKUP($B238,'[9]Subsidiary wise dispatch'!$A$3:$R$138,11,FALSE)*$H238*$O238*365</f>
        <v>1976.4619211585632</v>
      </c>
      <c r="AG238" s="7">
        <f>VLOOKUP($B238,'[9]Subsidiary wise dispatch'!$A$3:$R$138,12,FALSE)*$H238*$O238*365</f>
        <v>614237.86803368316</v>
      </c>
      <c r="AH238" s="7">
        <f>VLOOKUP($B238,'[9]Subsidiary wise dispatch'!$A$3:$R$138,13,FALSE)*$H238*$O238*365</f>
        <v>0</v>
      </c>
      <c r="AI238" s="7">
        <f>VLOOKUP($B238,'[9]Subsidiary wise dispatch'!$A$3:$R$138,14,FALSE)*$H238*$O238*365</f>
        <v>0</v>
      </c>
      <c r="AJ238" s="7">
        <f>VLOOKUP($B238,'[9]Subsidiary wise dispatch'!$A$3:$R$138,15,FALSE)*$H238*$O238*365</f>
        <v>49113.882187370516</v>
      </c>
      <c r="AK238" s="7">
        <f>VLOOKUP($B238,'[9]Subsidiary wise dispatch'!$A$3:$R$138,16,FALSE)*$H238*$O238*365</f>
        <v>0</v>
      </c>
      <c r="AL238" s="7">
        <f>VLOOKUP($B238,'[9]Subsidiary wise dispatch'!$A$3:$R$138,17,FALSE)*$H238*$O238*365</f>
        <v>0</v>
      </c>
      <c r="AM238" s="7">
        <f>VLOOKUP($B238,'[9]Subsidiary wise dispatch'!$A$3:$R$138,18,FALSE)*$H238*$O238*365</f>
        <v>0</v>
      </c>
      <c r="AN238" s="15">
        <f t="shared" si="170"/>
        <v>665328.21214221232</v>
      </c>
      <c r="AO238" s="6">
        <v>0.10288394721047496</v>
      </c>
      <c r="AP238" s="11">
        <f t="shared" si="171"/>
        <v>0.2631441835973094</v>
      </c>
      <c r="AQ238" s="11">
        <f t="shared" si="172"/>
        <v>0.32834382912750981</v>
      </c>
      <c r="AR238" s="3">
        <f>VLOOKUP(A238,[10]Sheet1!$A$2:$L$542,12,FALSE)</f>
        <v>2.9400000000000199</v>
      </c>
      <c r="AS238" s="3">
        <f t="shared" si="180"/>
        <v>3.4249694072608454</v>
      </c>
      <c r="AT238" s="3">
        <f t="shared" si="181"/>
        <v>3.4216557202107425</v>
      </c>
      <c r="AU238" s="3">
        <f t="shared" si="173"/>
        <v>3.3136870501029314E-3</v>
      </c>
      <c r="AV238" s="88">
        <f t="shared" si="182"/>
        <v>7.1667115381667965E-2</v>
      </c>
      <c r="AW238" s="32">
        <f t="shared" si="183"/>
        <v>1.9957383615356549E-2</v>
      </c>
      <c r="AX238" s="12">
        <f t="shared" si="174"/>
        <v>319.73907794052275</v>
      </c>
      <c r="AY238" s="12">
        <f t="shared" si="175"/>
        <v>398.57533039004062</v>
      </c>
      <c r="AZ238" s="3">
        <f>VLOOKUP(A238,[5]Analysis!$A$3:$BJ$543,62,FALSE)</f>
        <v>1.2153928022611009</v>
      </c>
      <c r="BA238" s="2"/>
      <c r="BB238" s="2"/>
      <c r="BC238" s="2" t="str">
        <f>VLOOKUP(A238,'[6]FGD status - Jun 2020'!$I$2:$M$449,5,FALSE)</f>
        <v>Bid opened</v>
      </c>
      <c r="BD238" s="2"/>
      <c r="BE238" s="2"/>
      <c r="BF238" s="2">
        <f t="shared" si="176"/>
        <v>217.05674485206066</v>
      </c>
      <c r="BG238" s="2">
        <f t="shared" si="177"/>
        <v>267.99111961624482</v>
      </c>
      <c r="BH238" s="2"/>
      <c r="BI238" s="2"/>
      <c r="BK238">
        <f t="shared" si="178"/>
        <v>106.56998764628374</v>
      </c>
      <c r="BL238">
        <f>VLOOKUP(A238,'[11]Daily coal vs energy req.2'!$C$2:$P$599,14,FALSE)</f>
        <v>0.99</v>
      </c>
      <c r="BM238">
        <f>VLOOKUP(A238,'[11]Daily coal vs energy req.2'!$C$2:$R$599,16,FALSE)</f>
        <v>0.96</v>
      </c>
      <c r="BN238">
        <f t="shared" si="208"/>
        <v>267.3</v>
      </c>
      <c r="BO238">
        <f t="shared" si="209"/>
        <v>259.2</v>
      </c>
      <c r="BP238" s="2" t="str">
        <f>VLOOKUP(A238,'[7]Table 2'!$J$2:$N$449,5,FALSE)</f>
        <v>Bid opened</v>
      </c>
      <c r="BR238">
        <f t="shared" si="184"/>
        <v>349.05943052546087</v>
      </c>
      <c r="BS238">
        <f t="shared" si="185"/>
        <v>430.96945760835223</v>
      </c>
      <c r="BT238">
        <f>(X238*I238*365*[5]Analysis!BK238)/10^4</f>
        <v>118.19191209435967</v>
      </c>
      <c r="BU238">
        <f>(W238*R238*365*[5]Analysis!BK238)/10^4</f>
        <v>145.92673852793902</v>
      </c>
      <c r="BV238">
        <f>(X238*I238*365*[5]Analysis!BL238)/10^4</f>
        <v>230.86751843110119</v>
      </c>
      <c r="BW238">
        <f>(W238*R238*365*[5]Analysis!BL238)/10^4</f>
        <v>285.04271908041312</v>
      </c>
      <c r="BX238">
        <f t="shared" si="186"/>
        <v>806517.35411665309</v>
      </c>
      <c r="BY238">
        <f t="shared" si="187"/>
        <v>995774.11827016668</v>
      </c>
      <c r="BZ238">
        <f t="shared" si="188"/>
        <v>5877666.8386568688</v>
      </c>
      <c r="CA238">
        <f t="shared" si="189"/>
        <v>7333985.5350696584</v>
      </c>
      <c r="CB238">
        <f t="shared" si="190"/>
        <v>-108870.26225354949</v>
      </c>
      <c r="CC238">
        <f t="shared" si="191"/>
        <v>-169503.7989735</v>
      </c>
      <c r="CD238">
        <f t="shared" si="192"/>
        <v>-943897.37157432479</v>
      </c>
      <c r="CE238">
        <f t="shared" si="193"/>
        <v>-1177768.2981600002</v>
      </c>
      <c r="CF238">
        <f t="shared" si="194"/>
        <v>1666951.1218450977</v>
      </c>
      <c r="CG238">
        <f t="shared" si="195"/>
        <v>2079974.2059000002</v>
      </c>
      <c r="CH238">
        <f t="shared" si="196"/>
        <v>80575.439760874797</v>
      </c>
      <c r="CI238">
        <f t="shared" si="197"/>
        <v>100539.74236878837</v>
      </c>
      <c r="CJ238">
        <f t="shared" si="198"/>
        <v>-415656.20165665227</v>
      </c>
      <c r="CK238">
        <f t="shared" si="199"/>
        <v>-518643.98820000014</v>
      </c>
      <c r="CL238">
        <f t="shared" si="200"/>
        <v>743920.18537367193</v>
      </c>
      <c r="CM238">
        <f t="shared" si="201"/>
        <v>928242.45207195182</v>
      </c>
    </row>
    <row r="239" spans="1:91" x14ac:dyDescent="0.2">
      <c r="A239" s="2" t="s">
        <v>189</v>
      </c>
      <c r="B239" s="2" t="str">
        <f t="shared" si="207"/>
        <v>BALCO TPS</v>
      </c>
      <c r="C239" s="2" t="str">
        <f>VLOOKUP($A239,'[1]daily coal, energy reqd'!$C$2:$T$599,17,FALSE)</f>
        <v>Chhatisgarh</v>
      </c>
      <c r="D239" s="2" t="str">
        <f>VLOOKUP(C239,'Target PLF'!$I$2:$J$19,2,FALSE)</f>
        <v>WR</v>
      </c>
      <c r="E239" s="2" t="str">
        <f>VLOOKUP(A239,[2]Ownership!$C$2:$D$666,2,FALSE)</f>
        <v>PVT SECTOR</v>
      </c>
      <c r="F239" s="2" t="s">
        <v>542</v>
      </c>
      <c r="G239" s="12">
        <v>4.1752224503764497</v>
      </c>
      <c r="H239" s="2">
        <v>300</v>
      </c>
      <c r="I239" s="2">
        <f>VLOOKUP(A239,'[3]Calculated coal req (reg.)'!$A$2:$I$599,9,FALSE)</f>
        <v>3.49828641630029</v>
      </c>
      <c r="J239" s="2"/>
      <c r="K239" s="11">
        <v>0.4858731133750403</v>
      </c>
      <c r="L239" s="3">
        <v>0.49249999999999999</v>
      </c>
      <c r="M239" s="3">
        <f t="shared" si="179"/>
        <v>6.6268866249596936E-3</v>
      </c>
      <c r="N239" s="2" t="str">
        <f t="shared" si="158"/>
        <v>0.25</v>
      </c>
      <c r="O239" s="2">
        <f t="shared" si="155"/>
        <v>7.8608902094366222</v>
      </c>
      <c r="P239" s="2">
        <f t="shared" si="159"/>
        <v>860767.47793331009</v>
      </c>
      <c r="Q239" s="2">
        <f t="shared" si="160"/>
        <v>12.927096821115674</v>
      </c>
      <c r="R239" s="2">
        <f t="shared" si="161"/>
        <v>3.5459999999999998</v>
      </c>
      <c r="S239" s="2">
        <f t="shared" si="162"/>
        <v>820167.26199028455</v>
      </c>
      <c r="T239" s="2" t="str">
        <f>VLOOKUP(A239,'[4]CEA vs MERIT comp. &amp; NPA marker'!$C$2:$K$735,9,FALSE)</f>
        <v>Contracted</v>
      </c>
      <c r="U239" s="3">
        <f>VLOOKUP(B239,'[8]Import-Domestic share'!$A$208:$F$406,6,FALSE)</f>
        <v>0.15516494069953726</v>
      </c>
      <c r="V239" s="3">
        <f t="shared" si="163"/>
        <v>133560.93466961232</v>
      </c>
      <c r="W239" s="2">
        <f t="shared" si="164"/>
        <v>3044.1667404197101</v>
      </c>
      <c r="X239" s="2">
        <f t="shared" si="165"/>
        <v>3046.3573982835874</v>
      </c>
      <c r="Y239" s="6">
        <f t="shared" si="166"/>
        <v>0.28250752121463252</v>
      </c>
      <c r="Z239" s="2">
        <f t="shared" si="167"/>
        <v>950839.09462769201</v>
      </c>
      <c r="AA239" s="2">
        <f t="shared" si="168"/>
        <v>938720.01753107295</v>
      </c>
      <c r="AB239" s="2" t="s">
        <v>598</v>
      </c>
      <c r="AC239" s="12">
        <f>VLOOKUP(B239,[9]Sheet1!$A$2:$B$137,2,FALSE)</f>
        <v>4143.7448173085222</v>
      </c>
      <c r="AD239" s="12">
        <f t="shared" si="169"/>
        <v>1243123.4451925566</v>
      </c>
      <c r="AE239" s="2"/>
      <c r="AF239" s="7">
        <f>VLOOKUP($B239,'[9]Subsidiary wise dispatch'!$A$3:$R$138,11,FALSE)*$H239*$O239*365</f>
        <v>0</v>
      </c>
      <c r="AG239" s="7">
        <f>VLOOKUP($B239,'[9]Subsidiary wise dispatch'!$A$3:$R$138,12,FALSE)*$H239*$O239*365</f>
        <v>0</v>
      </c>
      <c r="AH239" s="7">
        <f>VLOOKUP($B239,'[9]Subsidiary wise dispatch'!$A$3:$R$138,13,FALSE)*$H239*$O239*365</f>
        <v>0</v>
      </c>
      <c r="AI239" s="7">
        <f>VLOOKUP($B239,'[9]Subsidiary wise dispatch'!$A$3:$R$138,14,FALSE)*$H239*$O239*365</f>
        <v>0</v>
      </c>
      <c r="AJ239" s="7">
        <f>VLOOKUP($B239,'[9]Subsidiary wise dispatch'!$A$3:$R$138,15,FALSE)*$H239*$O239*365</f>
        <v>0</v>
      </c>
      <c r="AK239" s="7">
        <f>VLOOKUP($B239,'[9]Subsidiary wise dispatch'!$A$3:$R$138,16,FALSE)*$H239*$O239*365</f>
        <v>0</v>
      </c>
      <c r="AL239" s="7">
        <f>VLOOKUP($B239,'[9]Subsidiary wise dispatch'!$A$3:$R$138,17,FALSE)*$H239*$O239*365</f>
        <v>860767.47793331009</v>
      </c>
      <c r="AM239" s="7">
        <f>VLOOKUP($B239,'[9]Subsidiary wise dispatch'!$A$3:$R$138,18,FALSE)*$H239*$O239*365</f>
        <v>0</v>
      </c>
      <c r="AN239" s="15">
        <f t="shared" si="170"/>
        <v>860767.47793331009</v>
      </c>
      <c r="AO239" s="6">
        <v>9.4685999964455439E-2</v>
      </c>
      <c r="AP239" s="11">
        <f t="shared" si="171"/>
        <v>0.33123874748946419</v>
      </c>
      <c r="AQ239" s="11">
        <f t="shared" si="172"/>
        <v>0.33575655587395897</v>
      </c>
      <c r="AR239" s="3">
        <f>VLOOKUP(A239,[10]Sheet1!$A$2:$L$542,12,FALSE)</f>
        <v>2.0554190436769999</v>
      </c>
      <c r="AS239" s="3">
        <f t="shared" si="180"/>
        <v>2.2217284521033509</v>
      </c>
      <c r="AT239" s="3">
        <f t="shared" si="181"/>
        <v>2.2215039096723035</v>
      </c>
      <c r="AU239" s="3">
        <f t="shared" si="173"/>
        <v>2.2454243104741423E-4</v>
      </c>
      <c r="AV239" s="88">
        <f t="shared" si="182"/>
        <v>4.8563150565029628E-3</v>
      </c>
      <c r="AW239" s="32">
        <f t="shared" si="183"/>
        <v>2.0847609081436416E-3</v>
      </c>
      <c r="AX239" s="12">
        <f t="shared" si="174"/>
        <v>283.68684996158731</v>
      </c>
      <c r="AY239" s="12">
        <f t="shared" si="175"/>
        <v>287.52702952497657</v>
      </c>
      <c r="AZ239" s="3">
        <f>VLOOKUP(A239,[5]Analysis!$A$3:$BJ$543,62,FALSE)</f>
        <v>0.60276890078034084</v>
      </c>
      <c r="BA239" s="2"/>
      <c r="BB239" s="2"/>
      <c r="BC239" s="2" t="str">
        <f>VLOOKUP(A239,'[6]FGD status - Jun 2020'!$I$2:$M$449,5,FALSE)</f>
        <v>Tender specification made</v>
      </c>
      <c r="BD239" s="2"/>
      <c r="BE239" s="2"/>
      <c r="BF239" s="2">
        <f t="shared" si="176"/>
        <v>321.64606012421262</v>
      </c>
      <c r="BG239" s="2">
        <f t="shared" si="177"/>
        <v>325.79857986137705</v>
      </c>
      <c r="BH239" s="2"/>
      <c r="BI239" s="2"/>
      <c r="BK239">
        <f t="shared" si="178"/>
        <v>145.76193401251209</v>
      </c>
      <c r="BL239">
        <f>VLOOKUP(A239,'[11]Daily coal vs energy req.2'!$C$2:$P$599,14,FALSE)</f>
        <v>0.93</v>
      </c>
      <c r="BM239">
        <f>VLOOKUP(A239,'[11]Daily coal vs energy req.2'!$C$2:$R$599,16,FALSE)</f>
        <v>1.2</v>
      </c>
      <c r="BN239">
        <f t="shared" si="208"/>
        <v>279</v>
      </c>
      <c r="BO239">
        <f t="shared" si="209"/>
        <v>360</v>
      </c>
      <c r="BP239" s="2" t="str">
        <f>VLOOKUP(A239,'[7]Table 2'!$J$2:$N$449,5,FALSE)</f>
        <v>Tender specification made</v>
      </c>
      <c r="BR239">
        <f t="shared" si="184"/>
        <v>234.46602396613517</v>
      </c>
      <c r="BS239">
        <f t="shared" si="185"/>
        <v>237.49303070714063</v>
      </c>
      <c r="BT239">
        <f>(X239*I239*365*[5]Analysis!BK239)/10^4</f>
        <v>203.72212115882928</v>
      </c>
      <c r="BU239">
        <f>(W239*R239*365*[5]Analysis!BK239)/10^4</f>
        <v>206.35221750971368</v>
      </c>
      <c r="BV239">
        <f>(X239*I239*365*[5]Analysis!BL239)/10^4</f>
        <v>30.743902807305915</v>
      </c>
      <c r="BW239">
        <f>(W239*R239*365*[5]Analysis!BL239)/10^4</f>
        <v>31.140813197426969</v>
      </c>
      <c r="BX239">
        <f t="shared" si="186"/>
        <v>1092345.6473251651</v>
      </c>
      <c r="BY239">
        <f t="shared" si="187"/>
        <v>1106448.0643066498</v>
      </c>
      <c r="BZ239">
        <f t="shared" si="188"/>
        <v>3987019.4039141014</v>
      </c>
      <c r="CA239">
        <f t="shared" si="189"/>
        <v>4041398.8804356977</v>
      </c>
      <c r="CB239">
        <f t="shared" si="190"/>
        <v>-183303.26119699411</v>
      </c>
      <c r="CC239">
        <f t="shared" si="191"/>
        <v>-188337.55441499996</v>
      </c>
      <c r="CD239">
        <f t="shared" si="192"/>
        <v>-1291023.0115316908</v>
      </c>
      <c r="CE239">
        <f t="shared" si="193"/>
        <v>-1308631.4423999998</v>
      </c>
      <c r="CF239">
        <f t="shared" si="194"/>
        <v>2279985.4329620083</v>
      </c>
      <c r="CG239">
        <f t="shared" si="195"/>
        <v>2311082.4509999999</v>
      </c>
      <c r="CH239">
        <f t="shared" si="196"/>
        <v>108151.04503348551</v>
      </c>
      <c r="CI239">
        <f t="shared" si="197"/>
        <v>109626.13121149884</v>
      </c>
      <c r="CJ239">
        <f t="shared" si="198"/>
        <v>-631685.57819134346</v>
      </c>
      <c r="CK239">
        <f t="shared" si="199"/>
        <v>-640301.22</v>
      </c>
      <c r="CL239">
        <f t="shared" si="200"/>
        <v>936426.51365760481</v>
      </c>
      <c r="CM239">
        <f t="shared" si="201"/>
        <v>949198.55674414034</v>
      </c>
    </row>
    <row r="240" spans="1:91" x14ac:dyDescent="0.2">
      <c r="A240" s="2" t="s">
        <v>368</v>
      </c>
      <c r="B240" s="2" t="str">
        <f t="shared" si="207"/>
        <v>KORBA STPS</v>
      </c>
      <c r="C240" s="2" t="str">
        <f>VLOOKUP($A240,'[1]daily coal, energy reqd'!$C$2:$T$599,17,FALSE)</f>
        <v>Chhatisgarh</v>
      </c>
      <c r="D240" s="2" t="str">
        <f>VLOOKUP(C240,'Target PLF'!$I$2:$J$19,2,FALSE)</f>
        <v>WR</v>
      </c>
      <c r="E240" s="2" t="str">
        <f>VLOOKUP(A240,[2]Ownership!$C$2:$D$666,2,FALSE)</f>
        <v>CENTRAL SECTOR</v>
      </c>
      <c r="F240" s="2" t="s">
        <v>548</v>
      </c>
      <c r="G240" s="12">
        <v>33.0102669404517</v>
      </c>
      <c r="H240" s="2">
        <v>500</v>
      </c>
      <c r="I240" s="2">
        <f>VLOOKUP(A240,'[3]Calculated coal req (reg.)'!$A$2:$I$599,9,FALSE)</f>
        <v>10.4864221127531</v>
      </c>
      <c r="J240" s="2"/>
      <c r="K240" s="11">
        <v>0.87386850939609162</v>
      </c>
      <c r="L240" s="3">
        <v>0.49249999999999999</v>
      </c>
      <c r="M240" s="3">
        <f t="shared" si="179"/>
        <v>-0.38136850939609163</v>
      </c>
      <c r="N240" s="2" t="str">
        <f t="shared" si="158"/>
        <v>0.25</v>
      </c>
      <c r="O240" s="2">
        <f t="shared" ref="O240:O303" si="210">(13.9133*K240)+(-0.289097*N240)+(-0.0052079*H240)+(0.031675*G240)+3.492937+IF(E240="Pvt Sector",-0.8897511,0)</f>
        <v>14.020707687119449</v>
      </c>
      <c r="P240" s="2">
        <f t="shared" si="159"/>
        <v>2558779.1528992997</v>
      </c>
      <c r="Q240" s="2">
        <f t="shared" si="160"/>
        <v>13.688617955338808</v>
      </c>
      <c r="R240" s="2">
        <f t="shared" si="161"/>
        <v>5.91</v>
      </c>
      <c r="S240" s="2">
        <f t="shared" si="162"/>
        <v>1447470.6971744662</v>
      </c>
      <c r="T240" s="2" t="str">
        <f>VLOOKUP(A240,'[4]CEA vs MERIT comp. &amp; NPA marker'!$C$2:$K$735,9,FALSE)</f>
        <v>Contracted</v>
      </c>
      <c r="U240" s="3">
        <f>VLOOKUP(B240,'[8]Import-Domestic share'!$A$208:$F$406,6,FALSE)</f>
        <v>0</v>
      </c>
      <c r="V240" s="3">
        <f t="shared" si="163"/>
        <v>0</v>
      </c>
      <c r="W240" s="2">
        <f t="shared" si="164"/>
        <v>3044.3506999383976</v>
      </c>
      <c r="X240" s="2">
        <f t="shared" si="165"/>
        <v>2918.2812541451203</v>
      </c>
      <c r="Y240" s="6">
        <f t="shared" si="166"/>
        <v>0.28249045026823028</v>
      </c>
      <c r="Z240" s="2">
        <f t="shared" si="167"/>
        <v>1580155.731283929</v>
      </c>
      <c r="AA240" s="2">
        <f t="shared" si="168"/>
        <v>2687646.8958714688</v>
      </c>
      <c r="AB240" s="2" t="s">
        <v>598</v>
      </c>
      <c r="AC240" s="12">
        <f>VLOOKUP(B240,[9]Sheet1!$A$2:$B$137,2,FALSE)</f>
        <v>4155.9961352898499</v>
      </c>
      <c r="AD240" s="12">
        <f t="shared" si="169"/>
        <v>2077998.0676449249</v>
      </c>
      <c r="AE240" s="2" t="s">
        <v>589</v>
      </c>
      <c r="AF240" s="7">
        <f>VLOOKUP($B240,'[9]Subsidiary wise dispatch'!$A$3:$R$138,11,FALSE)*$H240*$O240*365</f>
        <v>0</v>
      </c>
      <c r="AG240" s="7">
        <f>VLOOKUP($B240,'[9]Subsidiary wise dispatch'!$A$3:$R$138,12,FALSE)*$H240*$O240*365</f>
        <v>0</v>
      </c>
      <c r="AH240" s="7">
        <f>VLOOKUP($B240,'[9]Subsidiary wise dispatch'!$A$3:$R$138,13,FALSE)*$H240*$O240*365</f>
        <v>0</v>
      </c>
      <c r="AI240" s="7">
        <f>VLOOKUP($B240,'[9]Subsidiary wise dispatch'!$A$3:$R$138,14,FALSE)*$H240*$O240*365</f>
        <v>0</v>
      </c>
      <c r="AJ240" s="7">
        <f>VLOOKUP($B240,'[9]Subsidiary wise dispatch'!$A$3:$R$138,15,FALSE)*$H240*$O240*365</f>
        <v>0</v>
      </c>
      <c r="AK240" s="7">
        <f>VLOOKUP($B240,'[9]Subsidiary wise dispatch'!$A$3:$R$138,16,FALSE)*$H240*$O240*365</f>
        <v>0</v>
      </c>
      <c r="AL240" s="7">
        <f>VLOOKUP($B240,'[9]Subsidiary wise dispatch'!$A$3:$R$138,17,FALSE)*$H240*$O240*365</f>
        <v>2558779.1528992997</v>
      </c>
      <c r="AM240" s="7">
        <f>VLOOKUP($B240,'[9]Subsidiary wise dispatch'!$A$3:$R$138,18,FALSE)*$H240*$O240*365</f>
        <v>0</v>
      </c>
      <c r="AN240" s="15">
        <f t="shared" si="170"/>
        <v>2558779.1528992997</v>
      </c>
      <c r="AO240" s="6">
        <v>6.2610933454142856E-2</v>
      </c>
      <c r="AP240" s="11">
        <f t="shared" si="171"/>
        <v>0.65656467707363653</v>
      </c>
      <c r="AQ240" s="11">
        <f t="shared" si="172"/>
        <v>0.37003061671398429</v>
      </c>
      <c r="AR240" s="3">
        <f>VLOOKUP(A240,[10]Sheet1!$A$2:$L$542,12,FALSE)</f>
        <v>1.31693546675523</v>
      </c>
      <c r="AS240" s="3">
        <f t="shared" si="180"/>
        <v>1.8151585831233727</v>
      </c>
      <c r="AT240" s="3">
        <f t="shared" si="181"/>
        <v>1.8280807013171836</v>
      </c>
      <c r="AU240" s="3">
        <f t="shared" si="173"/>
        <v>-1.2922118193810839E-2</v>
      </c>
      <c r="AV240" s="88">
        <f t="shared" si="182"/>
        <v>-0.27947447105564388</v>
      </c>
      <c r="AW240" s="32">
        <f t="shared" si="183"/>
        <v>0.14684796983587631</v>
      </c>
      <c r="AX240" s="12">
        <f t="shared" si="174"/>
        <v>694.75994730397611</v>
      </c>
      <c r="AY240" s="12">
        <f t="shared" si="175"/>
        <v>394.3444284846363</v>
      </c>
      <c r="AZ240" s="3">
        <f>VLOOKUP(A240,[5]Analysis!$A$3:$BJ$543,62,FALSE)</f>
        <v>0.3933883912010035</v>
      </c>
      <c r="BA240" s="2"/>
      <c r="BB240" s="2"/>
      <c r="BC240" s="2" t="str">
        <f>VLOOKUP(A240,'[6]FGD status - Jun 2020'!$I$2:$M$449,5,FALSE)</f>
        <v>Bid Awarded</v>
      </c>
      <c r="BD240" s="2">
        <f>VLOOKUP(A240,'[1]daily coal, energy reqd'!$C$2:$L$599,10,FALSE)</f>
        <v>0</v>
      </c>
      <c r="BE240" s="2" t="str">
        <f>VLOOKUP(A240,'[1]daily coal, energy reqd'!$C$2:$M$599,11,FALSE)</f>
        <v>Y</v>
      </c>
      <c r="BF240" s="2">
        <f t="shared" si="176"/>
        <v>831.82671427221953</v>
      </c>
      <c r="BG240" s="2">
        <f t="shared" si="177"/>
        <v>489.05819883237598</v>
      </c>
      <c r="BH240" s="2"/>
      <c r="BI240" s="2"/>
      <c r="BK240">
        <f t="shared" si="178"/>
        <v>436.93425469804583</v>
      </c>
      <c r="BL240">
        <f>VLOOKUP(A240,'[11]Daily coal vs energy req.2'!$C$2:$P$599,14,FALSE)</f>
        <v>0.72</v>
      </c>
      <c r="BM240">
        <f>VLOOKUP(A240,'[11]Daily coal vs energy req.2'!$C$2:$R$599,16,FALSE)</f>
        <v>0.93</v>
      </c>
      <c r="BN240">
        <f t="shared" si="208"/>
        <v>360</v>
      </c>
      <c r="BO240">
        <f t="shared" si="209"/>
        <v>465</v>
      </c>
      <c r="BP240" s="2" t="str">
        <f>VLOOKUP(A240,'[7]Table 2'!$J$2:$N$449,5,FALSE)</f>
        <v>Bid Awarded</v>
      </c>
      <c r="BR240">
        <f t="shared" si="184"/>
        <v>439.40893656205077</v>
      </c>
      <c r="BS240">
        <f t="shared" si="185"/>
        <v>258.34292092182108</v>
      </c>
      <c r="BT240">
        <f>(X240*I240*365*[5]Analysis!BK240)/10^4</f>
        <v>432.18926296106622</v>
      </c>
      <c r="BU240">
        <f>(W240*R240*365*[5]Analysis!BK240)/10^4</f>
        <v>254.09823809681185</v>
      </c>
      <c r="BV240">
        <f>(X240*I240*365*[5]Analysis!BL240)/10^4</f>
        <v>7.21967360098449</v>
      </c>
      <c r="BW240">
        <f>(W240*R240*365*[5]Analysis!BL240)/10^4</f>
        <v>4.2446828250092032</v>
      </c>
      <c r="BX240">
        <f t="shared" si="186"/>
        <v>3136738.7301567746</v>
      </c>
      <c r="BY240">
        <f t="shared" si="187"/>
        <v>1844191.545255183</v>
      </c>
      <c r="BZ240">
        <f t="shared" si="188"/>
        <v>7799935.7199268248</v>
      </c>
      <c r="CA240">
        <f t="shared" si="189"/>
        <v>4395934.057308808</v>
      </c>
      <c r="CB240">
        <f t="shared" si="190"/>
        <v>-988246.7291540252</v>
      </c>
      <c r="CC240">
        <f t="shared" si="191"/>
        <v>-313895.92402500001</v>
      </c>
      <c r="CD240">
        <f t="shared" si="192"/>
        <v>0</v>
      </c>
      <c r="CE240">
        <f t="shared" si="193"/>
        <v>0</v>
      </c>
      <c r="CF240">
        <f t="shared" si="194"/>
        <v>6834457.4502431005</v>
      </c>
      <c r="CG240">
        <f t="shared" si="195"/>
        <v>3851804.0850000004</v>
      </c>
      <c r="CH240">
        <f t="shared" si="196"/>
        <v>2563138.7077919059</v>
      </c>
      <c r="CI240">
        <f t="shared" si="197"/>
        <v>1444548.922422996</v>
      </c>
      <c r="CJ240">
        <f t="shared" si="198"/>
        <v>-3155888.7348330459</v>
      </c>
      <c r="CK240">
        <f t="shared" si="199"/>
        <v>-1778614.5000000005</v>
      </c>
      <c r="CL240">
        <f t="shared" si="200"/>
        <v>1856137.2309329617</v>
      </c>
      <c r="CM240">
        <f t="shared" si="201"/>
        <v>1046092.8347975689</v>
      </c>
    </row>
    <row r="241" spans="1:91" x14ac:dyDescent="0.2">
      <c r="A241" s="2" t="s">
        <v>199</v>
      </c>
      <c r="B241" s="2" t="str">
        <f t="shared" si="207"/>
        <v>NABI NAGAR TPP</v>
      </c>
      <c r="C241" s="2" t="str">
        <f>VLOOKUP($A241,'[1]daily coal, energy reqd'!$C$2:$T$599,17,FALSE)</f>
        <v>Bihar</v>
      </c>
      <c r="D241" s="2" t="str">
        <f>VLOOKUP(C241,'Target PLF'!$I$2:$J$19,2,FALSE)</f>
        <v>ER</v>
      </c>
      <c r="E241" s="2" t="str">
        <f>VLOOKUP(A241,[2]Ownership!$C$2:$D$666,2,FALSE)</f>
        <v>CENTRAL SECTOR</v>
      </c>
      <c r="F241" s="2" t="s">
        <v>542</v>
      </c>
      <c r="G241" s="12">
        <v>3.0910335386721401</v>
      </c>
      <c r="H241" s="2">
        <v>250</v>
      </c>
      <c r="I241" s="2">
        <f>VLOOKUP(A241,'[3]Calculated coal req (reg.)'!$A$2:$I$599,9,FALSE)</f>
        <v>2.8774564948708399</v>
      </c>
      <c r="J241" s="2"/>
      <c r="K241" s="11">
        <v>0.47957608247847333</v>
      </c>
      <c r="L241" s="3">
        <v>0.49249999999999999</v>
      </c>
      <c r="M241" s="3">
        <f t="shared" si="179"/>
        <v>1.2923917521526662E-2</v>
      </c>
      <c r="N241" s="2" t="str">
        <f t="shared" si="158"/>
        <v>0.25</v>
      </c>
      <c r="O241" s="2">
        <f t="shared" si="210"/>
        <v>8.8890821456851832</v>
      </c>
      <c r="P241" s="2">
        <f t="shared" si="159"/>
        <v>811128.74579377298</v>
      </c>
      <c r="Q241" s="2">
        <f t="shared" si="160"/>
        <v>14.042901237337439</v>
      </c>
      <c r="R241" s="2">
        <f t="shared" si="161"/>
        <v>2.9550000000000001</v>
      </c>
      <c r="S241" s="2">
        <f t="shared" si="162"/>
        <v>742466.77461084444</v>
      </c>
      <c r="T241" s="2" t="str">
        <f>VLOOKUP(A241,'[4]CEA vs MERIT comp. &amp; NPA marker'!$C$2:$K$735,9,FALSE)</f>
        <v>Contracted</v>
      </c>
      <c r="U241" s="3">
        <f>VLOOKUP(B241,'[8]Import-Domestic share'!$A$208:$F$406,6,FALSE)</f>
        <v>0</v>
      </c>
      <c r="V241" s="3">
        <f t="shared" si="163"/>
        <v>0</v>
      </c>
      <c r="W241" s="2">
        <f t="shared" si="164"/>
        <v>3047.1872651204653</v>
      </c>
      <c r="X241" s="2">
        <f t="shared" si="165"/>
        <v>3051.4595400442577</v>
      </c>
      <c r="Y241" s="6">
        <f t="shared" si="166"/>
        <v>0.28222748560417121</v>
      </c>
      <c r="Z241" s="2">
        <f t="shared" si="167"/>
        <v>768428.22720021789</v>
      </c>
      <c r="AA241" s="2">
        <f t="shared" si="168"/>
        <v>749312.64556536684</v>
      </c>
      <c r="AB241" s="2" t="s">
        <v>598</v>
      </c>
      <c r="AC241" s="12">
        <f>VLOOKUP(B241,[9]Sheet1!$A$2:$B$137,2,FALSE)</f>
        <v>4277.0682910128971</v>
      </c>
      <c r="AD241" s="12">
        <f t="shared" si="169"/>
        <v>1069267.0727532243</v>
      </c>
      <c r="AE241" s="2"/>
      <c r="AF241" s="7">
        <f>VLOOKUP($B241,'[9]Subsidiary wise dispatch'!$A$3:$R$138,11,FALSE)*$H241*$O241*365</f>
        <v>0</v>
      </c>
      <c r="AG241" s="7">
        <f>VLOOKUP($B241,'[9]Subsidiary wise dispatch'!$A$3:$R$138,12,FALSE)*$H241*$O241*365</f>
        <v>811128.74579377298</v>
      </c>
      <c r="AH241" s="7">
        <f>VLOOKUP($B241,'[9]Subsidiary wise dispatch'!$A$3:$R$138,13,FALSE)*$H241*$O241*365</f>
        <v>0</v>
      </c>
      <c r="AI241" s="7">
        <f>VLOOKUP($B241,'[9]Subsidiary wise dispatch'!$A$3:$R$138,14,FALSE)*$H241*$O241*365</f>
        <v>0</v>
      </c>
      <c r="AJ241" s="7">
        <f>VLOOKUP($B241,'[9]Subsidiary wise dispatch'!$A$3:$R$138,15,FALSE)*$H241*$O241*365</f>
        <v>0</v>
      </c>
      <c r="AK241" s="7">
        <f>VLOOKUP($B241,'[9]Subsidiary wise dispatch'!$A$3:$R$138,16,FALSE)*$H241*$O241*365</f>
        <v>0</v>
      </c>
      <c r="AL241" s="7">
        <f>VLOOKUP($B241,'[9]Subsidiary wise dispatch'!$A$3:$R$138,17,FALSE)*$H241*$O241*365</f>
        <v>0</v>
      </c>
      <c r="AM241" s="7">
        <f>VLOOKUP($B241,'[9]Subsidiary wise dispatch'!$A$3:$R$138,18,FALSE)*$H241*$O241*365</f>
        <v>0</v>
      </c>
      <c r="AN241" s="15">
        <f t="shared" si="170"/>
        <v>811128.74579377298</v>
      </c>
      <c r="AO241" s="6">
        <v>7.0000000000000007E-2</v>
      </c>
      <c r="AP241" s="11">
        <f t="shared" si="171"/>
        <v>0.2014219546409588</v>
      </c>
      <c r="AQ241" s="11">
        <f t="shared" si="172"/>
        <v>0.20685000000000003</v>
      </c>
      <c r="AR241" s="3">
        <f>VLOOKUP(A241,[10]Sheet1!$A$2:$L$542,12,FALSE)</f>
        <v>1.97192539109506</v>
      </c>
      <c r="AS241" s="3">
        <f t="shared" si="180"/>
        <v>2.2408177138403427</v>
      </c>
      <c r="AT241" s="3">
        <f t="shared" si="181"/>
        <v>2.2403798056606541</v>
      </c>
      <c r="AU241" s="3">
        <f t="shared" si="173"/>
        <v>4.379081796885842E-4</v>
      </c>
      <c r="AV241" s="88">
        <f t="shared" si="182"/>
        <v>9.4709052381251688E-3</v>
      </c>
      <c r="AW241" s="32">
        <f t="shared" si="183"/>
        <v>4.0311164101589133E-3</v>
      </c>
      <c r="AX241" s="12">
        <f t="shared" si="174"/>
        <v>235.3467251846705</v>
      </c>
      <c r="AY241" s="12">
        <f t="shared" si="175"/>
        <v>241.641764889044</v>
      </c>
      <c r="AZ241" s="3">
        <f>VLOOKUP(A241,[5]Analysis!$A$3:$BJ$543,62,FALSE)</f>
        <v>0.6378271316668519</v>
      </c>
      <c r="BA241" s="2"/>
      <c r="BB241" s="2"/>
      <c r="BC241" s="2" t="str">
        <f>VLOOKUP(A241,'[6]FGD status - Jun 2020'!$I$2:$M$449,5,FALSE)</f>
        <v>Bid Awarded</v>
      </c>
      <c r="BD241" s="2"/>
      <c r="BE241" s="2"/>
      <c r="BF241" s="2">
        <f t="shared" si="176"/>
        <v>231.91226380248102</v>
      </c>
      <c r="BG241" s="2">
        <f t="shared" si="177"/>
        <v>237.82853631846743</v>
      </c>
      <c r="BH241" s="2"/>
      <c r="BI241" s="2"/>
      <c r="BK241">
        <f t="shared" si="178"/>
        <v>119.89402061961833</v>
      </c>
      <c r="BL241" t="str">
        <f>VLOOKUP(A241,'[11]Daily coal vs energy req.2'!$C$2:$P$599,14,FALSE)</f>
        <v/>
      </c>
      <c r="BM241" t="str">
        <f>VLOOKUP(A241,'[11]Daily coal vs energy req.2'!$C$2:$R$599,16,FALSE)</f>
        <v/>
      </c>
      <c r="BP241" s="2" t="str">
        <f>VLOOKUP(A241,'[7]Table 2'!$J$2:$N$449,5,FALSE)</f>
        <v>Bid Awarded</v>
      </c>
      <c r="BR241">
        <f t="shared" si="184"/>
        <v>204.41475263442169</v>
      </c>
      <c r="BS241">
        <f t="shared" si="185"/>
        <v>209.62954103346561</v>
      </c>
      <c r="BT241">
        <f>(X241*I241*365*[5]Analysis!BK241)/10^4</f>
        <v>120.49383440650818</v>
      </c>
      <c r="BU241">
        <f>(W241*R241*365*[5]Analysis!BK241)/10^4</f>
        <v>123.56773118607735</v>
      </c>
      <c r="BV241">
        <f>(X241*I241*365*[5]Analysis!BL241)/10^4</f>
        <v>83.920918227913504</v>
      </c>
      <c r="BW241">
        <f>(W241*R241*365*[5]Analysis!BL241)/10^4</f>
        <v>86.061809847388247</v>
      </c>
      <c r="BX241">
        <f t="shared" si="186"/>
        <v>899995.31241443323</v>
      </c>
      <c r="BY241">
        <f t="shared" si="187"/>
        <v>922954.93276417512</v>
      </c>
      <c r="BZ241">
        <f t="shared" si="188"/>
        <v>3470195.1908118408</v>
      </c>
      <c r="CA241">
        <f t="shared" si="189"/>
        <v>3563712.1906544338</v>
      </c>
      <c r="CB241">
        <f t="shared" si="190"/>
        <v>-148818.95222554877</v>
      </c>
      <c r="CC241">
        <f t="shared" si="191"/>
        <v>-156947.96201250001</v>
      </c>
      <c r="CD241">
        <f t="shared" si="192"/>
        <v>0</v>
      </c>
      <c r="CE241">
        <f t="shared" si="193"/>
        <v>0</v>
      </c>
      <c r="CF241">
        <f t="shared" si="194"/>
        <v>1875363.5670648534</v>
      </c>
      <c r="CG241">
        <f t="shared" si="195"/>
        <v>1925902.0425000002</v>
      </c>
      <c r="CH241">
        <f t="shared" si="196"/>
        <v>65857.951950089235</v>
      </c>
      <c r="CI241">
        <f t="shared" si="197"/>
        <v>67632.733408624175</v>
      </c>
      <c r="CJ241">
        <f t="shared" si="198"/>
        <v>-432985.26606568974</v>
      </c>
      <c r="CK241">
        <f t="shared" si="199"/>
        <v>-444653.62500000012</v>
      </c>
      <c r="CL241">
        <f t="shared" si="200"/>
        <v>569428.72833599465</v>
      </c>
      <c r="CM241">
        <f t="shared" si="201"/>
        <v>584774.0514</v>
      </c>
    </row>
    <row r="242" spans="1:91" x14ac:dyDescent="0.2">
      <c r="A242" s="2" t="s">
        <v>372</v>
      </c>
      <c r="B242" s="2" t="str">
        <f t="shared" si="207"/>
        <v>SINGRAULI STPS</v>
      </c>
      <c r="C242" s="2" t="str">
        <f>VLOOKUP($A242,'[1]daily coal, energy reqd'!$C$2:$T$599,17,FALSE)</f>
        <v>Uttar Pradesh</v>
      </c>
      <c r="D242" s="2" t="str">
        <f>VLOOKUP(C242,'Target PLF'!$I$2:$J$19,2,FALSE)</f>
        <v>NR</v>
      </c>
      <c r="E242" s="2" t="str">
        <f>VLOOKUP(A242,[2]Ownership!$C$2:$D$666,2,FALSE)</f>
        <v>CENTRAL SECTOR</v>
      </c>
      <c r="F242" s="2" t="s">
        <v>548</v>
      </c>
      <c r="G242" s="12">
        <v>33.423682409308597</v>
      </c>
      <c r="H242" s="2">
        <v>500</v>
      </c>
      <c r="I242" s="2">
        <f>VLOOKUP(A242,'[3]Calculated coal req (reg.)'!$A$2:$I$599,9,FALSE)</f>
        <v>10.4032334560446</v>
      </c>
      <c r="J242" s="2"/>
      <c r="K242" s="11">
        <v>0.86693612133705</v>
      </c>
      <c r="L242" s="3">
        <v>0.49249999999999999</v>
      </c>
      <c r="M242" s="3">
        <f t="shared" si="179"/>
        <v>-0.37443612133705001</v>
      </c>
      <c r="N242" s="2" t="str">
        <f t="shared" si="158"/>
        <v>0.25</v>
      </c>
      <c r="O242" s="2">
        <f t="shared" si="210"/>
        <v>13.937350227313628</v>
      </c>
      <c r="P242" s="2">
        <f t="shared" si="159"/>
        <v>2543566.4164847368</v>
      </c>
      <c r="Q242" s="2">
        <f t="shared" si="160"/>
        <v>13.70171289031485</v>
      </c>
      <c r="R242" s="2">
        <f t="shared" si="161"/>
        <v>5.91</v>
      </c>
      <c r="S242" s="2">
        <f t="shared" si="162"/>
        <v>1448855.390261896</v>
      </c>
      <c r="T242" s="2" t="str">
        <f>VLOOKUP(A242,'[4]CEA vs MERIT comp. &amp; NPA marker'!$C$2:$K$735,9,FALSE)</f>
        <v>Contracted</v>
      </c>
      <c r="U242" s="3">
        <f>VLOOKUP(B242,'[8]Import-Domestic share'!$A$208:$F$406,6,FALSE)</f>
        <v>0</v>
      </c>
      <c r="V242" s="3">
        <f t="shared" si="163"/>
        <v>0</v>
      </c>
      <c r="W242" s="2">
        <f t="shared" si="164"/>
        <v>3047.5094161245711</v>
      </c>
      <c r="X242" s="2">
        <f t="shared" si="165"/>
        <v>2923.731618170837</v>
      </c>
      <c r="Y242" s="6">
        <f t="shared" si="166"/>
        <v>0.28219765144930609</v>
      </c>
      <c r="Z242" s="2">
        <f t="shared" si="167"/>
        <v>1477408.8327111194</v>
      </c>
      <c r="AA242" s="2">
        <f t="shared" si="168"/>
        <v>2495019.8372069914</v>
      </c>
      <c r="AB242" s="2" t="s">
        <v>598</v>
      </c>
      <c r="AC242" s="12">
        <f>VLOOKUP(B242,[9]Sheet1!$A$2:$B$137,2,FALSE)</f>
        <v>4449.6383069062995</v>
      </c>
      <c r="AD242" s="12">
        <f t="shared" si="169"/>
        <v>2224819.1534531498</v>
      </c>
      <c r="AE242" s="2" t="s">
        <v>589</v>
      </c>
      <c r="AF242" s="7">
        <f>VLOOKUP($B242,'[9]Subsidiary wise dispatch'!$A$3:$R$138,11,FALSE)*$H242*$O242*365</f>
        <v>0</v>
      </c>
      <c r="AG242" s="7">
        <f>VLOOKUP($B242,'[9]Subsidiary wise dispatch'!$A$3:$R$138,12,FALSE)*$H242*$O242*365</f>
        <v>0</v>
      </c>
      <c r="AH242" s="7">
        <f>VLOOKUP($B242,'[9]Subsidiary wise dispatch'!$A$3:$R$138,13,FALSE)*$H242*$O242*365</f>
        <v>0</v>
      </c>
      <c r="AI242" s="7">
        <f>VLOOKUP($B242,'[9]Subsidiary wise dispatch'!$A$3:$R$138,14,FALSE)*$H242*$O242*365</f>
        <v>0</v>
      </c>
      <c r="AJ242" s="7">
        <f>VLOOKUP($B242,'[9]Subsidiary wise dispatch'!$A$3:$R$138,15,FALSE)*$H242*$O242*365</f>
        <v>2543566.4164847368</v>
      </c>
      <c r="AK242" s="7">
        <f>VLOOKUP($B242,'[9]Subsidiary wise dispatch'!$A$3:$R$138,16,FALSE)*$H242*$O242*365</f>
        <v>0</v>
      </c>
      <c r="AL242" s="7">
        <f>VLOOKUP($B242,'[9]Subsidiary wise dispatch'!$A$3:$R$138,17,FALSE)*$H242*$O242*365</f>
        <v>0</v>
      </c>
      <c r="AM242" s="7">
        <f>VLOOKUP($B242,'[9]Subsidiary wise dispatch'!$A$3:$R$138,18,FALSE)*$H242*$O242*365</f>
        <v>0</v>
      </c>
      <c r="AN242" s="15">
        <f t="shared" si="170"/>
        <v>2543566.4164847368</v>
      </c>
      <c r="AO242" s="6">
        <v>7.690693382449007E-2</v>
      </c>
      <c r="AP242" s="11">
        <f t="shared" si="171"/>
        <v>0.80008078696474316</v>
      </c>
      <c r="AQ242" s="11">
        <f t="shared" si="172"/>
        <v>0.45451997890273632</v>
      </c>
      <c r="AR242" s="3">
        <f>VLOOKUP(A242,[10]Sheet1!$A$2:$L$542,12,FALSE)</f>
        <v>1.42529597105324</v>
      </c>
      <c r="AS242" s="3">
        <f t="shared" si="180"/>
        <v>1.8854794037648224</v>
      </c>
      <c r="AT242" s="3">
        <f t="shared" si="181"/>
        <v>1.89816662805508</v>
      </c>
      <c r="AU242" s="3">
        <f t="shared" si="173"/>
        <v>-1.2687224290257593E-2</v>
      </c>
      <c r="AV242" s="88">
        <f t="shared" si="182"/>
        <v>-0.27439427843821701</v>
      </c>
      <c r="AW242" s="32">
        <f t="shared" si="183"/>
        <v>0.13880133276735723</v>
      </c>
      <c r="AX242" s="12">
        <f t="shared" si="174"/>
        <v>715.95050810841656</v>
      </c>
      <c r="AY242" s="12">
        <f t="shared" si="175"/>
        <v>409.4630141709016</v>
      </c>
      <c r="AZ242" s="3">
        <f>VLOOKUP(A242,[5]Analysis!$A$3:$BJ$543,62,FALSE)</f>
        <v>0.40729034272837178</v>
      </c>
      <c r="BA242" s="2"/>
      <c r="BB242" s="2"/>
      <c r="BC242" s="2" t="str">
        <f>VLOOKUP(A242,'[6]FGD status - Jun 2020'!$I$2:$M$449,5,FALSE)</f>
        <v>Bid Awarded</v>
      </c>
      <c r="BD242" s="2">
        <f>VLOOKUP(A242,'[1]daily coal, energy reqd'!$C$2:$L$599,10,FALSE)</f>
        <v>0</v>
      </c>
      <c r="BE242" s="2" t="str">
        <f>VLOOKUP(A242,'[1]daily coal, energy reqd'!$C$2:$M$599,11,FALSE)</f>
        <v>Y</v>
      </c>
      <c r="BF242" s="2">
        <f t="shared" si="176"/>
        <v>772.20863961556392</v>
      </c>
      <c r="BG242" s="2">
        <f t="shared" si="177"/>
        <v>457.25803372409143</v>
      </c>
      <c r="BH242" s="2"/>
      <c r="BI242" s="2"/>
      <c r="BK242">
        <f t="shared" si="178"/>
        <v>433.46806066852503</v>
      </c>
      <c r="BL242">
        <f>VLOOKUP(A242,'[11]Daily coal vs energy req.2'!$C$2:$P$599,14,FALSE)</f>
        <v>0.91</v>
      </c>
      <c r="BM242">
        <f>VLOOKUP(A242,'[11]Daily coal vs energy req.2'!$C$2:$R$599,16,FALSE)</f>
        <v>0.84</v>
      </c>
      <c r="BN242">
        <f>BL242*H242</f>
        <v>455</v>
      </c>
      <c r="BO242">
        <f>BM242*H242</f>
        <v>420</v>
      </c>
      <c r="BP242" s="2" t="str">
        <f>VLOOKUP(A242,'[7]Table 2'!$J$2:$N$449,5,FALSE)</f>
        <v>Bid Awarded</v>
      </c>
      <c r="BR242">
        <f t="shared" si="184"/>
        <v>452.1711254903023</v>
      </c>
      <c r="BS242">
        <f t="shared" si="185"/>
        <v>267.7500213561944</v>
      </c>
      <c r="BT242">
        <f>(X242*I242*365*[5]Analysis!BK242)/10^4</f>
        <v>422.63065173846184</v>
      </c>
      <c r="BU242">
        <f>(W242*R242*365*[5]Analysis!BK242)/10^4</f>
        <v>250.25783304065143</v>
      </c>
      <c r="BV242">
        <f>(X242*I242*365*[5]Analysis!BL242)/10^4</f>
        <v>29.540473751840437</v>
      </c>
      <c r="BW242">
        <f>(W242*R242*365*[5]Analysis!BL242)/10^4</f>
        <v>17.492188315542968</v>
      </c>
      <c r="BX242">
        <f t="shared" si="186"/>
        <v>3117666.9151316523</v>
      </c>
      <c r="BY242">
        <f t="shared" si="187"/>
        <v>1846105.016552862</v>
      </c>
      <c r="BZ242">
        <f t="shared" si="188"/>
        <v>8011514.1745818527</v>
      </c>
      <c r="CA242">
        <f t="shared" si="189"/>
        <v>4551281.961693177</v>
      </c>
      <c r="CB242">
        <f t="shared" si="190"/>
        <v>-972629.42366739665</v>
      </c>
      <c r="CC242">
        <f t="shared" si="191"/>
        <v>-313895.92402500001</v>
      </c>
      <c r="CD242">
        <f t="shared" si="192"/>
        <v>0</v>
      </c>
      <c r="CE242">
        <f t="shared" si="193"/>
        <v>0</v>
      </c>
      <c r="CF242">
        <f t="shared" si="194"/>
        <v>6780239.7839596039</v>
      </c>
      <c r="CG242">
        <f t="shared" si="195"/>
        <v>3851804.0850000004</v>
      </c>
      <c r="CH242">
        <f t="shared" si="196"/>
        <v>2574651.0605487823</v>
      </c>
      <c r="CI242">
        <f t="shared" si="197"/>
        <v>1462640.2293223778</v>
      </c>
      <c r="CJ242">
        <f t="shared" si="198"/>
        <v>-3130853.1085966229</v>
      </c>
      <c r="CK242">
        <f t="shared" si="199"/>
        <v>-1778614.5000000005</v>
      </c>
      <c r="CL242">
        <f t="shared" si="200"/>
        <v>2261863.5883039553</v>
      </c>
      <c r="CM242">
        <f t="shared" si="201"/>
        <v>1284947.9792371073</v>
      </c>
    </row>
    <row r="243" spans="1:91" x14ac:dyDescent="0.2">
      <c r="A243" s="2" t="s">
        <v>200</v>
      </c>
      <c r="B243" s="2" t="str">
        <f t="shared" si="207"/>
        <v>BONGAIGAON TPS</v>
      </c>
      <c r="C243" s="2" t="str">
        <f>VLOOKUP($A243,'[1]daily coal, energy reqd'!$C$2:$T$599,17,FALSE)</f>
        <v>Assam</v>
      </c>
      <c r="D243" s="2" t="str">
        <f>VLOOKUP(C243,'Target PLF'!$I$2:$J$19,2,FALSE)</f>
        <v>NER</v>
      </c>
      <c r="E243" s="2" t="str">
        <f>VLOOKUP(A243,[2]Ownership!$C$2:$D$666,2,FALSE)</f>
        <v>CENTRAL SECTOR</v>
      </c>
      <c r="F243" s="2" t="s">
        <v>542</v>
      </c>
      <c r="G243" s="12">
        <v>3.1074606433949299</v>
      </c>
      <c r="H243" s="2">
        <v>250</v>
      </c>
      <c r="I243" s="2">
        <f>VLOOKUP(A243,'[3]Calculated coal req (reg.)'!$A$2:$I$599,9,FALSE)</f>
        <v>3.56990141991984</v>
      </c>
      <c r="J243" s="2"/>
      <c r="K243" s="11">
        <v>0.59498356998664004</v>
      </c>
      <c r="L243" s="3">
        <v>0.49249999999999999</v>
      </c>
      <c r="M243" s="3">
        <f t="shared" si="179"/>
        <v>-0.10248356998664004</v>
      </c>
      <c r="N243" s="2" t="str">
        <f t="shared" si="158"/>
        <v>0.25</v>
      </c>
      <c r="O243" s="2">
        <f t="shared" si="210"/>
        <v>10.495301470174654</v>
      </c>
      <c r="P243" s="2">
        <f t="shared" si="159"/>
        <v>957696.25915343722</v>
      </c>
      <c r="Q243" s="2">
        <f t="shared" si="160"/>
        <v>14.043421565879534</v>
      </c>
      <c r="R243" s="2">
        <f t="shared" si="161"/>
        <v>2.9550000000000001</v>
      </c>
      <c r="S243" s="2">
        <f t="shared" si="162"/>
        <v>742494.28506953525</v>
      </c>
      <c r="T243" s="2" t="str">
        <f>VLOOKUP(A243,'[4]CEA vs MERIT comp. &amp; NPA marker'!$C$2:$K$735,9,FALSE)</f>
        <v>Not contracted</v>
      </c>
      <c r="U243" s="3">
        <f>VLOOKUP(B243,'[8]Import-Domestic share'!$A$208:$F$406,6,FALSE)</f>
        <v>7.979458010659737E-3</v>
      </c>
      <c r="V243" s="3">
        <f t="shared" si="163"/>
        <v>7641.8970868807583</v>
      </c>
      <c r="W243" s="2">
        <f t="shared" si="164"/>
        <v>3049.1117905153706</v>
      </c>
      <c r="X243" s="2">
        <f t="shared" si="165"/>
        <v>3015.2336738046033</v>
      </c>
      <c r="Y243" s="6">
        <f t="shared" si="166"/>
        <v>0.28204935046170942</v>
      </c>
      <c r="Z243" s="2">
        <f t="shared" si="167"/>
        <v>547379.93551812228</v>
      </c>
      <c r="AA243" s="2">
        <f t="shared" si="168"/>
        <v>653935.98984412046</v>
      </c>
      <c r="AB243" s="2" t="s">
        <v>598</v>
      </c>
      <c r="AC243" s="12">
        <f>VLOOKUP(B243,[9]Sheet1!$A$2:$B$137,2,FALSE)</f>
        <v>6008.0677716880546</v>
      </c>
      <c r="AD243" s="12">
        <f t="shared" si="169"/>
        <v>1502016.9429220136</v>
      </c>
      <c r="AE243" s="2"/>
      <c r="AF243" s="7">
        <f>VLOOKUP($B243,'[9]Subsidiary wise dispatch'!$A$3:$R$138,11,FALSE)*$H243*$O243*365</f>
        <v>0</v>
      </c>
      <c r="AG243" s="7">
        <f>VLOOKUP($B243,'[9]Subsidiary wise dispatch'!$A$3:$R$138,12,FALSE)*$H243*$O243*365</f>
        <v>31267.648417095166</v>
      </c>
      <c r="AH243" s="7">
        <f>VLOOKUP($B243,'[9]Subsidiary wise dispatch'!$A$3:$R$138,13,FALSE)*$H243*$O243*365</f>
        <v>606534.84575413249</v>
      </c>
      <c r="AI243" s="7">
        <f>VLOOKUP($B243,'[9]Subsidiary wise dispatch'!$A$3:$R$138,14,FALSE)*$H243*$O243*365</f>
        <v>0</v>
      </c>
      <c r="AJ243" s="7">
        <f>VLOOKUP($B243,'[9]Subsidiary wise dispatch'!$A$3:$R$138,15,FALSE)*$H243*$O243*365</f>
        <v>0</v>
      </c>
      <c r="AK243" s="7">
        <f>VLOOKUP($B243,'[9]Subsidiary wise dispatch'!$A$3:$R$138,16,FALSE)*$H243*$O243*365</f>
        <v>319893.76498220942</v>
      </c>
      <c r="AL243" s="7">
        <f>VLOOKUP($B243,'[9]Subsidiary wise dispatch'!$A$3:$R$138,17,FALSE)*$H243*$O243*365</f>
        <v>0</v>
      </c>
      <c r="AM243" s="7">
        <f>VLOOKUP($B243,'[9]Subsidiary wise dispatch'!$A$3:$R$138,18,FALSE)*$H243*$O243*365</f>
        <v>0</v>
      </c>
      <c r="AN243" s="15">
        <f t="shared" si="170"/>
        <v>957696.2591534371</v>
      </c>
      <c r="AO243" s="6">
        <v>0.06</v>
      </c>
      <c r="AP243" s="11">
        <f t="shared" si="171"/>
        <v>0.2141940851951904</v>
      </c>
      <c r="AQ243" s="11">
        <f t="shared" si="172"/>
        <v>0.17729999999999999</v>
      </c>
      <c r="AR243" s="3">
        <f>VLOOKUP(A243,[10]Sheet1!$A$2:$L$542,12,FALSE)</f>
        <v>2.9718826799528202</v>
      </c>
      <c r="AS243" s="3">
        <f t="shared" si="180"/>
        <v>2.8293582061307156</v>
      </c>
      <c r="AT243" s="3">
        <f t="shared" si="181"/>
        <v>2.832830713093569</v>
      </c>
      <c r="AU243" s="3">
        <f t="shared" si="173"/>
        <v>-3.4725069628533944E-3</v>
      </c>
      <c r="AV243" s="88">
        <f t="shared" si="182"/>
        <v>-7.5102009757609556E-2</v>
      </c>
      <c r="AW243" s="32">
        <f t="shared" si="183"/>
        <v>2.5316519710918108E-2</v>
      </c>
      <c r="AX243" s="12">
        <f t="shared" si="174"/>
        <v>368.66934052976814</v>
      </c>
      <c r="AY243" s="12">
        <f t="shared" si="175"/>
        <v>305.54203863748961</v>
      </c>
      <c r="AZ243" s="3">
        <f>VLOOKUP(A243,[5]Analysis!$A$3:$BJ$543,62,FALSE)</f>
        <v>0.96594611350932336</v>
      </c>
      <c r="BA243" s="2"/>
      <c r="BB243" s="2"/>
      <c r="BC243" s="2" t="str">
        <f>VLOOKUP(A243,'[6]FGD status - Jun 2020'!$I$2:$M$449,5,FALSE)</f>
        <v>Bid Awarded</v>
      </c>
      <c r="BD243" s="2"/>
      <c r="BE243" s="2"/>
      <c r="BF243" s="2">
        <f t="shared" si="176"/>
        <v>203.50776535618701</v>
      </c>
      <c r="BG243" s="2">
        <f t="shared" si="177"/>
        <v>170.34705110000203</v>
      </c>
      <c r="BH243" s="2"/>
      <c r="BI243" s="2"/>
      <c r="BK243">
        <f t="shared" si="178"/>
        <v>148.74589249666002</v>
      </c>
      <c r="BP243" s="2" t="str">
        <f>VLOOKUP(A243,'[7]Table 2'!$J$2:$N$449,5,FALSE)</f>
        <v>Bid Awarded</v>
      </c>
      <c r="BR243">
        <f t="shared" si="184"/>
        <v>379.50977117997832</v>
      </c>
      <c r="BS243">
        <f t="shared" si="185"/>
        <v>317.67028777008005</v>
      </c>
      <c r="BT243">
        <f>(X243*I243*365*[5]Analysis!BK243)/10^4</f>
        <v>257.31801726765593</v>
      </c>
      <c r="BU243">
        <f>(W243*R243*365*[5]Analysis!BK243)/10^4</f>
        <v>215.38915411766123</v>
      </c>
      <c r="BV243">
        <f>(X243*I243*365*[5]Analysis!BL243)/10^4</f>
        <v>122.1917539123223</v>
      </c>
      <c r="BW243">
        <f>(W243*R243*365*[5]Analysis!BL243)/10^4</f>
        <v>102.28113365241879</v>
      </c>
      <c r="BX243">
        <f t="shared" si="186"/>
        <v>1103318.9147842799</v>
      </c>
      <c r="BY243">
        <f t="shared" si="187"/>
        <v>923537.84744972421</v>
      </c>
      <c r="BZ243">
        <f t="shared" si="188"/>
        <v>6520055.1810615547</v>
      </c>
      <c r="CA243">
        <f t="shared" si="189"/>
        <v>5397001.42769475</v>
      </c>
      <c r="CB243">
        <f t="shared" si="190"/>
        <v>-229062.05753048451</v>
      </c>
      <c r="CC243">
        <f t="shared" si="191"/>
        <v>-156947.96201250001</v>
      </c>
      <c r="CD243">
        <f t="shared" si="192"/>
        <v>0</v>
      </c>
      <c r="CE243">
        <f t="shared" si="193"/>
        <v>0</v>
      </c>
      <c r="CF243">
        <f t="shared" si="194"/>
        <v>2326660.0460735261</v>
      </c>
      <c r="CG243">
        <f t="shared" si="195"/>
        <v>1925902.0425000002</v>
      </c>
      <c r="CH243">
        <f t="shared" si="196"/>
        <v>82140.548384418682</v>
      </c>
      <c r="CI243">
        <f t="shared" si="197"/>
        <v>67992.163347022477</v>
      </c>
      <c r="CJ243">
        <f t="shared" si="198"/>
        <v>-537180.91616243799</v>
      </c>
      <c r="CK243">
        <f t="shared" si="199"/>
        <v>-444653.62500000012</v>
      </c>
      <c r="CL243">
        <f t="shared" si="200"/>
        <v>605536.10338655184</v>
      </c>
      <c r="CM243">
        <f t="shared" si="201"/>
        <v>501234.90120000002</v>
      </c>
    </row>
    <row r="244" spans="1:91" x14ac:dyDescent="0.2">
      <c r="A244" s="2" t="s">
        <v>195</v>
      </c>
      <c r="B244" s="2" t="str">
        <f t="shared" si="207"/>
        <v>BALCO TPS</v>
      </c>
      <c r="C244" s="2" t="str">
        <f>VLOOKUP($A244,'[1]daily coal, energy reqd'!$C$2:$T$599,17,FALSE)</f>
        <v>Chhatisgarh</v>
      </c>
      <c r="D244" s="2" t="str">
        <f>VLOOKUP(C244,'Target PLF'!$I$2:$J$19,2,FALSE)</f>
        <v>WR</v>
      </c>
      <c r="E244" s="2" t="str">
        <f>VLOOKUP(A244,[2]Ownership!$C$2:$D$666,2,FALSE)</f>
        <v>PVT SECTOR</v>
      </c>
      <c r="F244" s="2" t="s">
        <v>542</v>
      </c>
      <c r="G244" s="12">
        <v>4.9253935660506496</v>
      </c>
      <c r="H244" s="2">
        <v>300</v>
      </c>
      <c r="I244" s="2">
        <f>VLOOKUP(A244,'[3]Calculated coal req (reg.)'!$A$2:$I$599,9,FALSE)</f>
        <v>4.3834208762424201</v>
      </c>
      <c r="J244" s="2"/>
      <c r="K244" s="11">
        <v>0.60880845503366954</v>
      </c>
      <c r="L244" s="3">
        <v>0.49249999999999999</v>
      </c>
      <c r="M244" s="3">
        <f t="shared" si="179"/>
        <v>-0.11630845503366954</v>
      </c>
      <c r="N244" s="2" t="str">
        <f t="shared" si="158"/>
        <v>0.25</v>
      </c>
      <c r="O244" s="2">
        <f t="shared" si="210"/>
        <v>9.5950881686246099</v>
      </c>
      <c r="P244" s="2">
        <f t="shared" si="159"/>
        <v>1050662.1544643948</v>
      </c>
      <c r="Q244" s="2">
        <f t="shared" si="160"/>
        <v>12.950858491204654</v>
      </c>
      <c r="R244" s="2">
        <f t="shared" si="161"/>
        <v>3.5459999999999998</v>
      </c>
      <c r="S244" s="2">
        <f t="shared" si="162"/>
        <v>821674.83512653306</v>
      </c>
      <c r="T244" s="2" t="str">
        <f>VLOOKUP(A244,'[4]CEA vs MERIT comp. &amp; NPA marker'!$C$2:$K$735,9,FALSE)</f>
        <v>Contracted</v>
      </c>
      <c r="U244" s="3">
        <f>VLOOKUP(B244,'[8]Import-Domestic share'!$A$208:$F$406,6,FALSE)</f>
        <v>0.15516494069953726</v>
      </c>
      <c r="V244" s="3">
        <f t="shared" si="163"/>
        <v>163025.93089271587</v>
      </c>
      <c r="W244" s="2">
        <f t="shared" si="164"/>
        <v>3049.8984505853505</v>
      </c>
      <c r="X244" s="2">
        <f t="shared" si="165"/>
        <v>3011.4502250347246</v>
      </c>
      <c r="Y244" s="6">
        <f t="shared" si="166"/>
        <v>0.28197660149469728</v>
      </c>
      <c r="Z244" s="2">
        <f t="shared" si="167"/>
        <v>952629.38227265014</v>
      </c>
      <c r="AA244" s="2">
        <f t="shared" si="168"/>
        <v>1162756.3577517825</v>
      </c>
      <c r="AB244" s="2" t="s">
        <v>598</v>
      </c>
      <c r="AC244" s="12">
        <f>VLOOKUP(B244,[9]Sheet1!$A$2:$B$137,2,FALSE)</f>
        <v>4143.7448173085222</v>
      </c>
      <c r="AD244" s="12">
        <f t="shared" si="169"/>
        <v>1243123.4451925566</v>
      </c>
      <c r="AE244" s="2"/>
      <c r="AF244" s="7">
        <f>VLOOKUP($B244,'[9]Subsidiary wise dispatch'!$A$3:$R$138,11,FALSE)*$H244*$O244*365</f>
        <v>0</v>
      </c>
      <c r="AG244" s="7">
        <f>VLOOKUP($B244,'[9]Subsidiary wise dispatch'!$A$3:$R$138,12,FALSE)*$H244*$O244*365</f>
        <v>0</v>
      </c>
      <c r="AH244" s="7">
        <f>VLOOKUP($B244,'[9]Subsidiary wise dispatch'!$A$3:$R$138,13,FALSE)*$H244*$O244*365</f>
        <v>0</v>
      </c>
      <c r="AI244" s="7">
        <f>VLOOKUP($B244,'[9]Subsidiary wise dispatch'!$A$3:$R$138,14,FALSE)*$H244*$O244*365</f>
        <v>0</v>
      </c>
      <c r="AJ244" s="7">
        <f>VLOOKUP($B244,'[9]Subsidiary wise dispatch'!$A$3:$R$138,15,FALSE)*$H244*$O244*365</f>
        <v>0</v>
      </c>
      <c r="AK244" s="7">
        <f>VLOOKUP($B244,'[9]Subsidiary wise dispatch'!$A$3:$R$138,16,FALSE)*$H244*$O244*365</f>
        <v>0</v>
      </c>
      <c r="AL244" s="7">
        <f>VLOOKUP($B244,'[9]Subsidiary wise dispatch'!$A$3:$R$138,17,FALSE)*$H244*$O244*365</f>
        <v>1050662.1544643948</v>
      </c>
      <c r="AM244" s="7">
        <f>VLOOKUP($B244,'[9]Subsidiary wise dispatch'!$A$3:$R$138,18,FALSE)*$H244*$O244*365</f>
        <v>0</v>
      </c>
      <c r="AN244" s="15">
        <f t="shared" si="170"/>
        <v>1050662.1544643948</v>
      </c>
      <c r="AO244" s="6">
        <v>9.4685999964455439E-2</v>
      </c>
      <c r="AP244" s="11">
        <f t="shared" si="171"/>
        <v>0.41504858893208302</v>
      </c>
      <c r="AQ244" s="11">
        <f t="shared" si="172"/>
        <v>0.33575655587395897</v>
      </c>
      <c r="AR244" s="3">
        <f>VLOOKUP(A244,[10]Sheet1!$A$2:$L$542,12,FALSE)</f>
        <v>2.0554190436769999</v>
      </c>
      <c r="AS244" s="3">
        <f t="shared" si="180"/>
        <v>2.2237051088713522</v>
      </c>
      <c r="AT244" s="3">
        <f t="shared" si="181"/>
        <v>2.2276460519902912</v>
      </c>
      <c r="AU244" s="3">
        <f t="shared" si="173"/>
        <v>-3.9409431189389998E-3</v>
      </c>
      <c r="AV244" s="88">
        <f t="shared" si="182"/>
        <v>-8.5233162017773714E-2</v>
      </c>
      <c r="AW244" s="32">
        <f t="shared" si="183"/>
        <v>3.6557103985831473E-2</v>
      </c>
      <c r="AX244" s="12">
        <f t="shared" si="174"/>
        <v>355.7813919844267</v>
      </c>
      <c r="AY244" s="12">
        <f t="shared" si="175"/>
        <v>288.32200086305136</v>
      </c>
      <c r="AZ244" s="3">
        <f>VLOOKUP(A244,[5]Analysis!$A$3:$BJ$543,62,FALSE)</f>
        <v>0.60276890078034084</v>
      </c>
      <c r="BA244" s="2"/>
      <c r="BB244" s="2"/>
      <c r="BC244" s="2" t="str">
        <f>VLOOKUP(A244,'[6]FGD status - Jun 2020'!$I$2:$M$449,5,FALSE)</f>
        <v>Tender specification made</v>
      </c>
      <c r="BD244" s="2"/>
      <c r="BE244" s="2"/>
      <c r="BF244" s="2">
        <f t="shared" si="176"/>
        <v>398.41059567355023</v>
      </c>
      <c r="BG244" s="2">
        <f t="shared" si="177"/>
        <v>326.41200980506181</v>
      </c>
      <c r="BH244" s="2"/>
      <c r="BI244" s="2"/>
      <c r="BK244">
        <f t="shared" si="178"/>
        <v>182.64253651010085</v>
      </c>
      <c r="BL244">
        <f>VLOOKUP(A244,'[11]Daily coal vs energy req.2'!$C$2:$P$599,14,FALSE)</f>
        <v>1.24</v>
      </c>
      <c r="BM244">
        <f>VLOOKUP(A244,'[11]Daily coal vs energy req.2'!$C$2:$R$599,16,FALSE)</f>
        <v>1.53</v>
      </c>
      <c r="BN244">
        <f t="shared" ref="BN244:BN249" si="211">BL244*H244</f>
        <v>372</v>
      </c>
      <c r="BO244">
        <f t="shared" ref="BO244:BO249" si="212">BM244*H244</f>
        <v>459</v>
      </c>
      <c r="BP244" s="2" t="str">
        <f>VLOOKUP(A244,'[7]Table 2'!$J$2:$N$449,5,FALSE)</f>
        <v>Tender specification made</v>
      </c>
      <c r="BR244">
        <f t="shared" si="184"/>
        <v>290.42404013120046</v>
      </c>
      <c r="BS244">
        <f t="shared" si="185"/>
        <v>237.94019452385888</v>
      </c>
      <c r="BT244">
        <f>(X244*I244*365*[5]Analysis!BK244)/10^4</f>
        <v>252.34275094625499</v>
      </c>
      <c r="BU244">
        <f>(W244*R244*365*[5]Analysis!BK244)/10^4</f>
        <v>206.74074783793077</v>
      </c>
      <c r="BV244">
        <f>(X244*I244*365*[5]Analysis!BL244)/10^4</f>
        <v>38.081289184945426</v>
      </c>
      <c r="BW244">
        <f>(W244*R244*365*[5]Analysis!BL244)/10^4</f>
        <v>31.19944668592813</v>
      </c>
      <c r="BX244">
        <f t="shared" si="186"/>
        <v>1353046.5128786699</v>
      </c>
      <c r="BY244">
        <f t="shared" si="187"/>
        <v>1108531.3403420043</v>
      </c>
      <c r="BZ244">
        <f t="shared" si="188"/>
        <v>4995812.8092849925</v>
      </c>
      <c r="CA244">
        <f t="shared" si="189"/>
        <v>4041398.8804356977</v>
      </c>
      <c r="CB244">
        <f t="shared" si="190"/>
        <v>-287796.69847461389</v>
      </c>
      <c r="CC244">
        <f t="shared" si="191"/>
        <v>-188337.55441499996</v>
      </c>
      <c r="CD244">
        <f t="shared" si="192"/>
        <v>-1617676.927220358</v>
      </c>
      <c r="CE244">
        <f t="shared" si="193"/>
        <v>-1308631.4423999998</v>
      </c>
      <c r="CF244">
        <f t="shared" si="194"/>
        <v>2856866.0638553016</v>
      </c>
      <c r="CG244">
        <f t="shared" si="195"/>
        <v>2311082.4509999999</v>
      </c>
      <c r="CH244">
        <f t="shared" si="196"/>
        <v>159863.69538882532</v>
      </c>
      <c r="CI244">
        <f t="shared" si="197"/>
        <v>129322.89183572892</v>
      </c>
      <c r="CJ244">
        <f t="shared" si="198"/>
        <v>-791514.30762309383</v>
      </c>
      <c r="CK244">
        <f t="shared" si="199"/>
        <v>-640301.22</v>
      </c>
      <c r="CL244">
        <f t="shared" si="200"/>
        <v>1173360.6230489116</v>
      </c>
      <c r="CM244">
        <f t="shared" si="201"/>
        <v>949198.55674414034</v>
      </c>
    </row>
    <row r="245" spans="1:91" x14ac:dyDescent="0.2">
      <c r="A245" s="2" t="s">
        <v>210</v>
      </c>
      <c r="B245" s="2" t="str">
        <f t="shared" si="207"/>
        <v>AMRAVATI TPS</v>
      </c>
      <c r="C245" s="2" t="str">
        <f>VLOOKUP($A245,'[1]daily coal, energy reqd'!$C$2:$T$599,17,FALSE)</f>
        <v>Maharashtra</v>
      </c>
      <c r="D245" s="2" t="str">
        <f>VLOOKUP(C245,'Target PLF'!$I$2:$J$19,2,FALSE)</f>
        <v>WR</v>
      </c>
      <c r="E245" s="2" t="str">
        <f>VLOOKUP(A245,[2]Ownership!$C$2:$D$666,2,FALSE)</f>
        <v>PVT SECTOR</v>
      </c>
      <c r="F245" s="2" t="s">
        <v>543</v>
      </c>
      <c r="G245" s="12">
        <v>5.1772758384667998</v>
      </c>
      <c r="H245" s="2">
        <v>270</v>
      </c>
      <c r="I245" s="2">
        <f>VLOOKUP(A245,'[3]Calculated coal req (reg.)'!$A$2:$I$599,9,FALSE)</f>
        <v>2.0065316246589</v>
      </c>
      <c r="J245" s="2"/>
      <c r="K245" s="11">
        <v>0.30964994207699076</v>
      </c>
      <c r="L245" s="3">
        <v>0.49249999999999999</v>
      </c>
      <c r="M245" s="3">
        <f t="shared" si="179"/>
        <v>0.18285005792300923</v>
      </c>
      <c r="N245" s="2" t="str">
        <f t="shared" si="158"/>
        <v>0.25</v>
      </c>
      <c r="O245" s="2">
        <f t="shared" si="210"/>
        <v>5.5970214012832313</v>
      </c>
      <c r="P245" s="2">
        <f t="shared" si="159"/>
        <v>551586.45909646247</v>
      </c>
      <c r="Q245" s="2">
        <f t="shared" si="160"/>
        <v>13.115073862183435</v>
      </c>
      <c r="R245" s="2">
        <f t="shared" si="161"/>
        <v>3.1914000000000002</v>
      </c>
      <c r="S245" s="2">
        <f t="shared" si="162"/>
        <v>748884.21834200283</v>
      </c>
      <c r="T245" s="2" t="str">
        <f>VLOOKUP(A245,'[4]CEA vs MERIT comp. &amp; NPA marker'!$C$2:$K$735,9,FALSE)</f>
        <v>Contracted</v>
      </c>
      <c r="U245" s="3">
        <f>VLOOKUP(B245,'[8]Import-Domestic share'!$A$208:$F$406,6,FALSE)</f>
        <v>2.8792014074136132E-2</v>
      </c>
      <c r="V245" s="3">
        <f t="shared" si="163"/>
        <v>15881.285093408262</v>
      </c>
      <c r="W245" s="2">
        <f t="shared" si="164"/>
        <v>3051.1037514113041</v>
      </c>
      <c r="X245" s="2">
        <f t="shared" si="165"/>
        <v>3111.5487144789831</v>
      </c>
      <c r="Y245" s="6">
        <f t="shared" si="166"/>
        <v>0.28186521012345206</v>
      </c>
      <c r="Z245" s="2">
        <f t="shared" si="167"/>
        <v>855261.86856829829</v>
      </c>
      <c r="AA245" s="2">
        <f t="shared" si="168"/>
        <v>548382.39850929799</v>
      </c>
      <c r="AB245" s="2" t="s">
        <v>598</v>
      </c>
      <c r="AC245" s="12">
        <f>VLOOKUP(B245,[9]Sheet1!$A$2:$B$137,2,FALSE)</f>
        <v>4155.5830998548772</v>
      </c>
      <c r="AD245" s="12">
        <f t="shared" si="169"/>
        <v>1122007.4369608168</v>
      </c>
      <c r="AE245" s="2"/>
      <c r="AF245" s="7">
        <f>VLOOKUP($B245,'[9]Subsidiary wise dispatch'!$A$3:$R$138,11,FALSE)*$H245*$O245*365</f>
        <v>0</v>
      </c>
      <c r="AG245" s="7">
        <f>VLOOKUP($B245,'[9]Subsidiary wise dispatch'!$A$3:$R$138,12,FALSE)*$H245*$O245*365</f>
        <v>0</v>
      </c>
      <c r="AH245" s="7">
        <f>VLOOKUP($B245,'[9]Subsidiary wise dispatch'!$A$3:$R$138,13,FALSE)*$H245*$O245*365</f>
        <v>0</v>
      </c>
      <c r="AI245" s="7">
        <f>VLOOKUP($B245,'[9]Subsidiary wise dispatch'!$A$3:$R$138,14,FALSE)*$H245*$O245*365</f>
        <v>0</v>
      </c>
      <c r="AJ245" s="7">
        <f>VLOOKUP($B245,'[9]Subsidiary wise dispatch'!$A$3:$R$138,15,FALSE)*$H245*$O245*365</f>
        <v>0</v>
      </c>
      <c r="AK245" s="7">
        <f>VLOOKUP($B245,'[9]Subsidiary wise dispatch'!$A$3:$R$138,16,FALSE)*$H245*$O245*365</f>
        <v>0</v>
      </c>
      <c r="AL245" s="7">
        <f>VLOOKUP($B245,'[9]Subsidiary wise dispatch'!$A$3:$R$138,17,FALSE)*$H245*$O245*365</f>
        <v>546530.33613051195</v>
      </c>
      <c r="AM245" s="7">
        <f>VLOOKUP($B245,'[9]Subsidiary wise dispatch'!$A$3:$R$138,18,FALSE)*$H245*$O245*365</f>
        <v>5056.1229659504916</v>
      </c>
      <c r="AN245" s="15">
        <f t="shared" si="170"/>
        <v>551586.45909646247</v>
      </c>
      <c r="AO245" s="6">
        <v>8.9360960918391241E-2</v>
      </c>
      <c r="AP245" s="11">
        <f t="shared" si="171"/>
        <v>0.17930559409266006</v>
      </c>
      <c r="AQ245" s="11">
        <f t="shared" si="172"/>
        <v>0.28518657067495384</v>
      </c>
      <c r="AR245" s="3">
        <f>VLOOKUP(A245,[10]Sheet1!$A$2:$L$542,12,FALSE)</f>
        <v>3.0295164835164798</v>
      </c>
      <c r="AS245" s="3">
        <f t="shared" si="180"/>
        <v>2.7034326136524993</v>
      </c>
      <c r="AT245" s="3">
        <f t="shared" si="181"/>
        <v>2.6972370049380623</v>
      </c>
      <c r="AU245" s="3">
        <f t="shared" si="173"/>
        <v>6.1956087144370287E-3</v>
      </c>
      <c r="AV245" s="88">
        <f t="shared" si="182"/>
        <v>0.13399617944713962</v>
      </c>
      <c r="AW245" s="32">
        <f t="shared" si="183"/>
        <v>4.7273444171421895E-2</v>
      </c>
      <c r="AX245" s="12">
        <f t="shared" si="174"/>
        <v>197.99509075662223</v>
      </c>
      <c r="AY245" s="12">
        <f t="shared" si="175"/>
        <v>314.19061948091564</v>
      </c>
      <c r="AZ245" s="3">
        <f>VLOOKUP(A245,[5]Analysis!$A$3:$BJ$543,62,FALSE)</f>
        <v>0.84848666721700461</v>
      </c>
      <c r="BA245" s="2"/>
      <c r="BB245" s="2"/>
      <c r="BC245" s="2" t="e">
        <f>VLOOKUP(A245,'[6]FGD status - Jun 2020'!$I$2:$M$449,5,FALSE)</f>
        <v>#N/A</v>
      </c>
      <c r="BD245" s="2"/>
      <c r="BE245" s="2"/>
      <c r="BF245" s="2">
        <f t="shared" si="176"/>
        <v>173.09688994461348</v>
      </c>
      <c r="BG245" s="2">
        <f t="shared" si="177"/>
        <v>269.96338675316008</v>
      </c>
      <c r="BH245" s="2"/>
      <c r="BI245" s="2"/>
      <c r="BK245">
        <f t="shared" si="178"/>
        <v>83.6054843607875</v>
      </c>
      <c r="BL245">
        <f>VLOOKUP(A245,'[11]Daily coal vs energy req.2'!$C$2:$P$599,14,FALSE)</f>
        <v>1.19</v>
      </c>
      <c r="BM245">
        <f>VLOOKUP(A245,'[11]Daily coal vs energy req.2'!$C$2:$R$599,16,FALSE)</f>
        <v>1.1399999999999999</v>
      </c>
      <c r="BN245">
        <f t="shared" si="211"/>
        <v>321.3</v>
      </c>
      <c r="BO245">
        <f t="shared" si="212"/>
        <v>307.79999999999995</v>
      </c>
      <c r="BP245" s="2" t="e">
        <f>VLOOKUP(A245,'[7]Table 2'!$J$2:$N$449,5,FALSE)</f>
        <v>#N/A</v>
      </c>
      <c r="BR245">
        <f t="shared" si="184"/>
        <v>193.35726770421687</v>
      </c>
      <c r="BS245">
        <f t="shared" si="185"/>
        <v>301.56164480754251</v>
      </c>
      <c r="BT245">
        <f>(X245*I245*365*[5]Analysis!BK245)/10^4</f>
        <v>93.90335629619041</v>
      </c>
      <c r="BU245">
        <f>(W245*R245*365*[5]Analysis!BK245)/10^4</f>
        <v>146.45247584355639</v>
      </c>
      <c r="BV245">
        <f>(X245*I245*365*[5]Analysis!BL245)/10^4</f>
        <v>99.453911408026457</v>
      </c>
      <c r="BW245">
        <f>(W245*R245*365*[5]Analysis!BL245)/10^4</f>
        <v>155.10916896398618</v>
      </c>
      <c r="BX245">
        <f t="shared" si="186"/>
        <v>639950.6419700546</v>
      </c>
      <c r="BY245">
        <f t="shared" si="187"/>
        <v>998072.48250603862</v>
      </c>
      <c r="BZ245">
        <f t="shared" si="188"/>
        <v>3219090.4498834792</v>
      </c>
      <c r="CA245">
        <f t="shared" si="189"/>
        <v>5119981.7314140573</v>
      </c>
      <c r="CB245">
        <f t="shared" si="190"/>
        <v>-67005.271728925931</v>
      </c>
      <c r="CC245">
        <f t="shared" si="191"/>
        <v>-169503.7989735</v>
      </c>
      <c r="CD245">
        <f t="shared" si="192"/>
        <v>-740499.25950326887</v>
      </c>
      <c r="CE245">
        <f t="shared" si="193"/>
        <v>-1177768.2981600002</v>
      </c>
      <c r="CF245">
        <f t="shared" si="194"/>
        <v>1307743.9439158777</v>
      </c>
      <c r="CG245">
        <f t="shared" si="195"/>
        <v>2079974.2059000002</v>
      </c>
      <c r="CH245">
        <f t="shared" si="196"/>
        <v>76920.668630696411</v>
      </c>
      <c r="CI245">
        <f t="shared" si="197"/>
        <v>122342.76243203277</v>
      </c>
      <c r="CJ245">
        <f t="shared" si="198"/>
        <v>-326087.47391819186</v>
      </c>
      <c r="CK245">
        <f t="shared" si="199"/>
        <v>-518643.98820000014</v>
      </c>
      <c r="CL245">
        <f t="shared" si="200"/>
        <v>506904.80394608993</v>
      </c>
      <c r="CM245">
        <f t="shared" si="201"/>
        <v>806234.98350720399</v>
      </c>
    </row>
    <row r="246" spans="1:91" x14ac:dyDescent="0.2">
      <c r="A246" s="2" t="s">
        <v>209</v>
      </c>
      <c r="B246" s="2" t="str">
        <f t="shared" si="207"/>
        <v>AMRAVATI TPS</v>
      </c>
      <c r="C246" s="2" t="str">
        <f>VLOOKUP($A246,'[1]daily coal, energy reqd'!$C$2:$T$599,17,FALSE)</f>
        <v>Maharashtra</v>
      </c>
      <c r="D246" s="2" t="str">
        <f>VLOOKUP(C246,'Target PLF'!$I$2:$J$19,2,FALSE)</f>
        <v>WR</v>
      </c>
      <c r="E246" s="2" t="str">
        <f>VLOOKUP(A246,[2]Ownership!$C$2:$D$666,2,FALSE)</f>
        <v>PVT SECTOR</v>
      </c>
      <c r="F246" s="2" t="s">
        <v>543</v>
      </c>
      <c r="G246" s="12">
        <v>5.1772758384667998</v>
      </c>
      <c r="H246" s="2">
        <v>270</v>
      </c>
      <c r="I246" s="2">
        <f>VLOOKUP(A246,'[3]Calculated coal req (reg.)'!$A$2:$I$599,9,FALSE)</f>
        <v>2.1416718251547602</v>
      </c>
      <c r="J246" s="2"/>
      <c r="K246" s="11">
        <v>0.33050491128931481</v>
      </c>
      <c r="L246" s="3">
        <v>0.49249999999999999</v>
      </c>
      <c r="M246" s="3">
        <f t="shared" si="179"/>
        <v>0.16199508871068519</v>
      </c>
      <c r="N246" s="2" t="str">
        <f t="shared" si="158"/>
        <v>0.25</v>
      </c>
      <c r="O246" s="2">
        <f t="shared" si="210"/>
        <v>5.8871828444250598</v>
      </c>
      <c r="P246" s="2">
        <f t="shared" si="159"/>
        <v>580181.86931808956</v>
      </c>
      <c r="Q246" s="2">
        <f t="shared" si="160"/>
        <v>13.115073862183435</v>
      </c>
      <c r="R246" s="2">
        <f t="shared" si="161"/>
        <v>3.1914000000000002</v>
      </c>
      <c r="S246" s="2">
        <f t="shared" si="162"/>
        <v>748884.21834200283</v>
      </c>
      <c r="T246" s="2" t="str">
        <f>VLOOKUP(A246,'[4]CEA vs MERIT comp. &amp; NPA marker'!$C$2:$K$735,9,FALSE)</f>
        <v>Contracted</v>
      </c>
      <c r="U246" s="3">
        <f>VLOOKUP(B246,'[8]Import-Domestic share'!$A$208:$F$406,6,FALSE)</f>
        <v>2.8792014074136132E-2</v>
      </c>
      <c r="V246" s="3">
        <f t="shared" si="163"/>
        <v>16704.604546965049</v>
      </c>
      <c r="W246" s="2">
        <f t="shared" si="164"/>
        <v>3051.1037514113041</v>
      </c>
      <c r="X246" s="2">
        <f t="shared" si="165"/>
        <v>3104.6546622805017</v>
      </c>
      <c r="Y246" s="6">
        <f t="shared" si="166"/>
        <v>0.28186521012345206</v>
      </c>
      <c r="Z246" s="2">
        <f t="shared" si="167"/>
        <v>855261.86856829829</v>
      </c>
      <c r="AA246" s="2">
        <f t="shared" si="168"/>
        <v>584019.18789806135</v>
      </c>
      <c r="AB246" s="2" t="s">
        <v>598</v>
      </c>
      <c r="AC246" s="12">
        <f>VLOOKUP(B246,[9]Sheet1!$A$2:$B$137,2,FALSE)</f>
        <v>4155.5830998548772</v>
      </c>
      <c r="AD246" s="12">
        <f t="shared" si="169"/>
        <v>1122007.4369608168</v>
      </c>
      <c r="AE246" s="2"/>
      <c r="AF246" s="7">
        <f>VLOOKUP($B246,'[9]Subsidiary wise dispatch'!$A$3:$R$138,11,FALSE)*$H246*$O246*365</f>
        <v>0</v>
      </c>
      <c r="AG246" s="7">
        <f>VLOOKUP($B246,'[9]Subsidiary wise dispatch'!$A$3:$R$138,12,FALSE)*$H246*$O246*365</f>
        <v>0</v>
      </c>
      <c r="AH246" s="7">
        <f>VLOOKUP($B246,'[9]Subsidiary wise dispatch'!$A$3:$R$138,13,FALSE)*$H246*$O246*365</f>
        <v>0</v>
      </c>
      <c r="AI246" s="7">
        <f>VLOOKUP($B246,'[9]Subsidiary wise dispatch'!$A$3:$R$138,14,FALSE)*$H246*$O246*365</f>
        <v>0</v>
      </c>
      <c r="AJ246" s="7">
        <f>VLOOKUP($B246,'[9]Subsidiary wise dispatch'!$A$3:$R$138,15,FALSE)*$H246*$O246*365</f>
        <v>0</v>
      </c>
      <c r="AK246" s="7">
        <f>VLOOKUP($B246,'[9]Subsidiary wise dispatch'!$A$3:$R$138,16,FALSE)*$H246*$O246*365</f>
        <v>0</v>
      </c>
      <c r="AL246" s="7">
        <f>VLOOKUP($B246,'[9]Subsidiary wise dispatch'!$A$3:$R$138,17,FALSE)*$H246*$O246*365</f>
        <v>574863.62622943136</v>
      </c>
      <c r="AM246" s="7">
        <f>VLOOKUP($B246,'[9]Subsidiary wise dispatch'!$A$3:$R$138,18,FALSE)*$H246*$O246*365</f>
        <v>5318.2430886583261</v>
      </c>
      <c r="AN246" s="15">
        <f t="shared" si="170"/>
        <v>580181.86931808968</v>
      </c>
      <c r="AO246" s="6">
        <v>8.9360960918391241E-2</v>
      </c>
      <c r="AP246" s="11">
        <f t="shared" si="171"/>
        <v>0.19138185226767415</v>
      </c>
      <c r="AQ246" s="11">
        <f t="shared" si="172"/>
        <v>0.28518657067495384</v>
      </c>
      <c r="AR246" s="3">
        <f>VLOOKUP(A246,[10]Sheet1!$A$2:$L$542,12,FALSE)</f>
        <v>3.0295164835164798</v>
      </c>
      <c r="AS246" s="3">
        <f t="shared" si="180"/>
        <v>2.7027259733021549</v>
      </c>
      <c r="AT246" s="3">
        <f t="shared" si="181"/>
        <v>2.6972370049380623</v>
      </c>
      <c r="AU246" s="3">
        <f t="shared" si="173"/>
        <v>5.4889683640926279E-3</v>
      </c>
      <c r="AV246" s="88">
        <f t="shared" si="182"/>
        <v>0.11871324090896432</v>
      </c>
      <c r="AW246" s="32">
        <f t="shared" si="183"/>
        <v>4.1892620141040705E-2</v>
      </c>
      <c r="AX246" s="12">
        <f t="shared" si="174"/>
        <v>211.27485048693489</v>
      </c>
      <c r="AY246" s="12">
        <f t="shared" si="175"/>
        <v>314.19061948091564</v>
      </c>
      <c r="AZ246" s="3">
        <f>VLOOKUP(A246,[5]Analysis!$A$3:$BJ$543,62,FALSE)</f>
        <v>0.84848666721700461</v>
      </c>
      <c r="BA246" s="2"/>
      <c r="BB246" s="2"/>
      <c r="BC246" s="2" t="e">
        <f>VLOOKUP(A246,'[6]FGD status - Jun 2020'!$I$2:$M$449,5,FALSE)</f>
        <v>#N/A</v>
      </c>
      <c r="BD246" s="2"/>
      <c r="BE246" s="2"/>
      <c r="BF246" s="2">
        <f t="shared" si="176"/>
        <v>184.34564159596965</v>
      </c>
      <c r="BG246" s="2">
        <f t="shared" si="177"/>
        <v>269.96338675316008</v>
      </c>
      <c r="BH246" s="2"/>
      <c r="BI246" s="2"/>
      <c r="BK246">
        <f t="shared" si="178"/>
        <v>89.236326048115004</v>
      </c>
      <c r="BL246">
        <f>VLOOKUP(A246,'[11]Daily coal vs energy req.2'!$C$2:$P$599,14,FALSE)</f>
        <v>1.06</v>
      </c>
      <c r="BM246">
        <f>VLOOKUP(A246,'[11]Daily coal vs energy req.2'!$C$2:$R$599,16,FALSE)</f>
        <v>0.74</v>
      </c>
      <c r="BN246">
        <f t="shared" si="211"/>
        <v>286.2</v>
      </c>
      <c r="BO246">
        <f t="shared" si="212"/>
        <v>199.8</v>
      </c>
      <c r="BP246" s="2" t="e">
        <f>VLOOKUP(A246,'[7]Table 2'!$J$2:$N$449,5,FALSE)</f>
        <v>#N/A</v>
      </c>
      <c r="BR246">
        <f t="shared" si="184"/>
        <v>205.9226458868375</v>
      </c>
      <c r="BS246">
        <f t="shared" si="185"/>
        <v>301.56164480754251</v>
      </c>
      <c r="BT246">
        <f>(X246*I246*365*[5]Analysis!BK246)/10^4</f>
        <v>100.0056931697336</v>
      </c>
      <c r="BU246">
        <f>(W246*R246*365*[5]Analysis!BK246)/10^4</f>
        <v>146.45247584355639</v>
      </c>
      <c r="BV246">
        <f>(X246*I246*365*[5]Analysis!BL246)/10^4</f>
        <v>105.91695271710392</v>
      </c>
      <c r="BW246">
        <f>(W246*R246*365*[5]Analysis!BL246)/10^4</f>
        <v>155.10916896398618</v>
      </c>
      <c r="BX246">
        <f t="shared" si="186"/>
        <v>681538.02024675545</v>
      </c>
      <c r="BY246">
        <f t="shared" si="187"/>
        <v>998072.48250603862</v>
      </c>
      <c r="BZ246">
        <f t="shared" si="188"/>
        <v>3435896.6658759709</v>
      </c>
      <c r="CA246">
        <f t="shared" si="189"/>
        <v>5119981.7314140573</v>
      </c>
      <c r="CB246">
        <f t="shared" si="190"/>
        <v>-76334.84032114505</v>
      </c>
      <c r="CC246">
        <f t="shared" si="191"/>
        <v>-169503.7989735</v>
      </c>
      <c r="CD246">
        <f t="shared" si="192"/>
        <v>-790371.99371114338</v>
      </c>
      <c r="CE246">
        <f t="shared" si="193"/>
        <v>-1177768.2981600002</v>
      </c>
      <c r="CF246">
        <f t="shared" si="194"/>
        <v>1395820.6911777516</v>
      </c>
      <c r="CG246">
        <f t="shared" si="195"/>
        <v>2079974.2059000002</v>
      </c>
      <c r="CH246">
        <f t="shared" si="196"/>
        <v>82101.286993885704</v>
      </c>
      <c r="CI246">
        <f t="shared" si="197"/>
        <v>122342.76243203277</v>
      </c>
      <c r="CJ246">
        <f t="shared" si="198"/>
        <v>-348049.51332137559</v>
      </c>
      <c r="CK246">
        <f t="shared" si="199"/>
        <v>-518643.98820000014</v>
      </c>
      <c r="CL246">
        <f t="shared" si="200"/>
        <v>541044.91716221464</v>
      </c>
      <c r="CM246">
        <f t="shared" si="201"/>
        <v>806234.98350720399</v>
      </c>
    </row>
    <row r="247" spans="1:91" x14ac:dyDescent="0.2">
      <c r="A247" s="2" t="s">
        <v>213</v>
      </c>
      <c r="B247" s="2" t="str">
        <f t="shared" si="207"/>
        <v>AMRAVATI TPS</v>
      </c>
      <c r="C247" s="2" t="str">
        <f>VLOOKUP($A247,'[1]daily coal, energy reqd'!$C$2:$T$599,17,FALSE)</f>
        <v>Maharashtra</v>
      </c>
      <c r="D247" s="2" t="str">
        <f>VLOOKUP(C247,'Target PLF'!$I$2:$J$19,2,FALSE)</f>
        <v>WR</v>
      </c>
      <c r="E247" s="2" t="str">
        <f>VLOOKUP(A247,[2]Ownership!$C$2:$D$666,2,FALSE)</f>
        <v>PVT SECTOR</v>
      </c>
      <c r="F247" s="2" t="s">
        <v>543</v>
      </c>
      <c r="G247" s="12">
        <v>5.3388090349075901</v>
      </c>
      <c r="H247" s="2">
        <v>270</v>
      </c>
      <c r="I247" s="2">
        <f>VLOOKUP(A247,'[3]Calculated coal req (reg.)'!$A$2:$I$599,9,FALSE)</f>
        <v>2.3744707541576302</v>
      </c>
      <c r="J247" s="2"/>
      <c r="K247" s="11">
        <v>0.36643067193790591</v>
      </c>
      <c r="L247" s="3">
        <v>0.49249999999999999</v>
      </c>
      <c r="M247" s="3">
        <f t="shared" si="179"/>
        <v>0.12606932806209409</v>
      </c>
      <c r="N247" s="2" t="str">
        <f t="shared" si="158"/>
        <v>0.25</v>
      </c>
      <c r="O247" s="2">
        <f t="shared" si="210"/>
        <v>6.3921452940543642</v>
      </c>
      <c r="P247" s="2">
        <f t="shared" si="159"/>
        <v>629945.91872905754</v>
      </c>
      <c r="Q247" s="2">
        <f t="shared" si="160"/>
        <v>13.120190426180697</v>
      </c>
      <c r="R247" s="2">
        <f t="shared" si="161"/>
        <v>3.1914000000000002</v>
      </c>
      <c r="S247" s="2">
        <f t="shared" si="162"/>
        <v>749176.37941329775</v>
      </c>
      <c r="T247" s="2" t="str">
        <f>VLOOKUP(A247,'[4]CEA vs MERIT comp. &amp; NPA marker'!$C$2:$K$735,9,FALSE)</f>
        <v>Contracted</v>
      </c>
      <c r="U247" s="3">
        <f>VLOOKUP(B247,'[8]Import-Domestic share'!$A$208:$F$406,6,FALSE)</f>
        <v>2.8792014074136132E-2</v>
      </c>
      <c r="V247" s="3">
        <f t="shared" si="163"/>
        <v>18137.411757991642</v>
      </c>
      <c r="W247" s="2">
        <f t="shared" si="164"/>
        <v>3052.3379517754379</v>
      </c>
      <c r="X247" s="2">
        <f t="shared" si="165"/>
        <v>3094.0128408361184</v>
      </c>
      <c r="Y247" s="6">
        <f t="shared" si="166"/>
        <v>0.28175123907880784</v>
      </c>
      <c r="Z247" s="2">
        <f t="shared" si="167"/>
        <v>855607.83009423083</v>
      </c>
      <c r="AA247" s="2">
        <f t="shared" si="168"/>
        <v>645282.41449212842</v>
      </c>
      <c r="AB247" s="2" t="s">
        <v>598</v>
      </c>
      <c r="AC247" s="12">
        <f>VLOOKUP(B247,[9]Sheet1!$A$2:$B$137,2,FALSE)</f>
        <v>4155.5830998548772</v>
      </c>
      <c r="AD247" s="12">
        <f t="shared" si="169"/>
        <v>1122007.4369608168</v>
      </c>
      <c r="AE247" s="2"/>
      <c r="AF247" s="7">
        <f>VLOOKUP($B247,'[9]Subsidiary wise dispatch'!$A$3:$R$138,11,FALSE)*$H247*$O247*365</f>
        <v>0</v>
      </c>
      <c r="AG247" s="7">
        <f>VLOOKUP($B247,'[9]Subsidiary wise dispatch'!$A$3:$R$138,12,FALSE)*$H247*$O247*365</f>
        <v>0</v>
      </c>
      <c r="AH247" s="7">
        <f>VLOOKUP($B247,'[9]Subsidiary wise dispatch'!$A$3:$R$138,13,FALSE)*$H247*$O247*365</f>
        <v>0</v>
      </c>
      <c r="AI247" s="7">
        <f>VLOOKUP($B247,'[9]Subsidiary wise dispatch'!$A$3:$R$138,14,FALSE)*$H247*$O247*365</f>
        <v>0</v>
      </c>
      <c r="AJ247" s="7">
        <f>VLOOKUP($B247,'[9]Subsidiary wise dispatch'!$A$3:$R$138,15,FALSE)*$H247*$O247*365</f>
        <v>0</v>
      </c>
      <c r="AK247" s="7">
        <f>VLOOKUP($B247,'[9]Subsidiary wise dispatch'!$A$3:$R$138,16,FALSE)*$H247*$O247*365</f>
        <v>0</v>
      </c>
      <c r="AL247" s="7">
        <f>VLOOKUP($B247,'[9]Subsidiary wise dispatch'!$A$3:$R$138,17,FALSE)*$H247*$O247*365</f>
        <v>624171.51296824508</v>
      </c>
      <c r="AM247" s="7">
        <f>VLOOKUP($B247,'[9]Subsidiary wise dispatch'!$A$3:$R$138,18,FALSE)*$H247*$O247*365</f>
        <v>5774.4057608124804</v>
      </c>
      <c r="AN247" s="15">
        <f t="shared" si="170"/>
        <v>629945.91872905754</v>
      </c>
      <c r="AO247" s="6">
        <v>8.9360960918391241E-2</v>
      </c>
      <c r="AP247" s="11">
        <f t="shared" si="171"/>
        <v>0.21218498826414298</v>
      </c>
      <c r="AQ247" s="11">
        <f t="shared" si="172"/>
        <v>0.28518657067495384</v>
      </c>
      <c r="AR247" s="3">
        <f>VLOOKUP(A247,[10]Sheet1!$A$2:$L$542,12,FALSE)</f>
        <v>3.0295164835164798</v>
      </c>
      <c r="AS247" s="3">
        <f t="shared" si="180"/>
        <v>2.7028312591571519</v>
      </c>
      <c r="AT247" s="3">
        <f t="shared" si="181"/>
        <v>2.6985595830284317</v>
      </c>
      <c r="AU247" s="3">
        <f t="shared" si="173"/>
        <v>4.2716761287202587E-3</v>
      </c>
      <c r="AV247" s="88">
        <f t="shared" si="182"/>
        <v>9.2386124990463794E-2</v>
      </c>
      <c r="AW247" s="32">
        <f t="shared" si="183"/>
        <v>3.2600795393057963E-2</v>
      </c>
      <c r="AX247" s="12">
        <f t="shared" si="174"/>
        <v>234.24947290764703</v>
      </c>
      <c r="AY247" s="12">
        <f t="shared" si="175"/>
        <v>314.34468144460823</v>
      </c>
      <c r="AZ247" s="3">
        <f>VLOOKUP(A247,[5]Analysis!$A$3:$BJ$543,62,FALSE)</f>
        <v>0.84848666721700461</v>
      </c>
      <c r="BA247" s="2"/>
      <c r="BB247" s="2"/>
      <c r="BC247" s="2" t="e">
        <f>VLOOKUP(A247,'[6]FGD status - Jun 2020'!$I$2:$M$449,5,FALSE)</f>
        <v>#N/A</v>
      </c>
      <c r="BD247" s="2"/>
      <c r="BE247" s="2"/>
      <c r="BF247" s="2">
        <f t="shared" si="176"/>
        <v>203.68337749017769</v>
      </c>
      <c r="BG247" s="2">
        <f t="shared" si="177"/>
        <v>270.07258949989705</v>
      </c>
      <c r="BH247" s="2"/>
      <c r="BI247" s="2"/>
      <c r="BK247">
        <f t="shared" si="178"/>
        <v>98.93628142323459</v>
      </c>
      <c r="BL247">
        <f>VLOOKUP(A247,'[11]Daily coal vs energy req.2'!$C$2:$P$599,14,FALSE)</f>
        <v>1.06</v>
      </c>
      <c r="BM247">
        <f>VLOOKUP(A247,'[11]Daily coal vs energy req.2'!$C$2:$R$599,16,FALSE)</f>
        <v>1.19</v>
      </c>
      <c r="BN247">
        <f t="shared" si="211"/>
        <v>286.2</v>
      </c>
      <c r="BO247">
        <f t="shared" si="212"/>
        <v>321.3</v>
      </c>
      <c r="BP247" s="2" t="e">
        <f>VLOOKUP(A247,'[7]Table 2'!$J$2:$N$449,5,FALSE)</f>
        <v>#N/A</v>
      </c>
      <c r="BR247">
        <f t="shared" si="184"/>
        <v>227.52379526211647</v>
      </c>
      <c r="BS247">
        <f t="shared" si="185"/>
        <v>301.68362934892633</v>
      </c>
      <c r="BT247">
        <f>(X247*I247*365*[5]Analysis!BK247)/10^4</f>
        <v>110.49622424869452</v>
      </c>
      <c r="BU247">
        <f>(W247*R247*365*[5]Analysis!BK247)/10^4</f>
        <v>146.51171725707135</v>
      </c>
      <c r="BV247">
        <f>(X247*I247*365*[5]Analysis!BL247)/10^4</f>
        <v>117.02757101342196</v>
      </c>
      <c r="BW247">
        <f>(W247*R247*365*[5]Analysis!BL247)/10^4</f>
        <v>155.17191209185498</v>
      </c>
      <c r="BX247">
        <f t="shared" si="186"/>
        <v>753030.90786423674</v>
      </c>
      <c r="BY247">
        <f t="shared" si="187"/>
        <v>998476.21227785363</v>
      </c>
      <c r="BZ247">
        <f t="shared" si="188"/>
        <v>3809377.3525926005</v>
      </c>
      <c r="CA247">
        <f t="shared" si="189"/>
        <v>5119981.7314140573</v>
      </c>
      <c r="CB247">
        <f t="shared" si="190"/>
        <v>-93831.920316342716</v>
      </c>
      <c r="CC247">
        <f t="shared" si="191"/>
        <v>-169503.7989735</v>
      </c>
      <c r="CD247">
        <f t="shared" si="192"/>
        <v>-876285.13478565018</v>
      </c>
      <c r="CE247">
        <f t="shared" si="193"/>
        <v>-1177768.2981600002</v>
      </c>
      <c r="CF247">
        <f t="shared" si="194"/>
        <v>1547545.8799623337</v>
      </c>
      <c r="CG247">
        <f t="shared" si="195"/>
        <v>2079974.2059000002</v>
      </c>
      <c r="CH247">
        <f t="shared" si="196"/>
        <v>93865.705580731781</v>
      </c>
      <c r="CI247">
        <f t="shared" si="197"/>
        <v>126159.90837782322</v>
      </c>
      <c r="CJ247">
        <f t="shared" si="198"/>
        <v>-385882.36567041901</v>
      </c>
      <c r="CK247">
        <f t="shared" si="199"/>
        <v>-518643.98820000014</v>
      </c>
      <c r="CL247">
        <f t="shared" si="200"/>
        <v>599856.29796221573</v>
      </c>
      <c r="CM247">
        <f t="shared" si="201"/>
        <v>806234.98350720399</v>
      </c>
    </row>
    <row r="248" spans="1:91" x14ac:dyDescent="0.2">
      <c r="A248" s="2" t="s">
        <v>252</v>
      </c>
      <c r="B248" s="2" t="str">
        <f t="shared" si="207"/>
        <v>ROSA TPP PH-I</v>
      </c>
      <c r="C248" s="2" t="str">
        <f>VLOOKUP($A248,'[1]daily coal, energy reqd'!$C$2:$T$599,17,FALSE)</f>
        <v>Uttar Pradesh</v>
      </c>
      <c r="D248" s="2" t="str">
        <f>VLOOKUP(C248,'Target PLF'!$I$2:$J$19,2,FALSE)</f>
        <v>NR</v>
      </c>
      <c r="E248" s="2" t="str">
        <f>VLOOKUP(A248,[2]Ownership!$C$2:$D$666,2,FALSE)</f>
        <v>PVT SECTOR</v>
      </c>
      <c r="F248" s="2" t="s">
        <v>543</v>
      </c>
      <c r="G248" s="12">
        <v>9.9247091033538606</v>
      </c>
      <c r="H248" s="2">
        <v>300</v>
      </c>
      <c r="I248" s="2">
        <f>VLOOKUP(A248,'[3]Calculated coal req (reg.)'!$A$2:$I$599,9,FALSE)</f>
        <v>4.1355756758234499</v>
      </c>
      <c r="J248" s="2"/>
      <c r="K248" s="11">
        <v>0.5743855105310347</v>
      </c>
      <c r="L248" s="3">
        <v>0.49249999999999999</v>
      </c>
      <c r="M248" s="3">
        <f t="shared" si="179"/>
        <v>-8.1885510531034711E-2</v>
      </c>
      <c r="N248" s="2" t="str">
        <f t="shared" si="158"/>
        <v>0.25</v>
      </c>
      <c r="O248" s="2">
        <f t="shared" si="210"/>
        <v>9.2745047345201783</v>
      </c>
      <c r="P248" s="2">
        <f t="shared" si="159"/>
        <v>1015558.2684299595</v>
      </c>
      <c r="Q248" s="2">
        <f t="shared" si="160"/>
        <v>13.109211810848734</v>
      </c>
      <c r="R248" s="2">
        <f t="shared" si="161"/>
        <v>3.5459999999999998</v>
      </c>
      <c r="S248" s="2">
        <f t="shared" si="162"/>
        <v>831721.65464036318</v>
      </c>
      <c r="T248" s="2" t="str">
        <f>VLOOKUP(A248,'[4]CEA vs MERIT comp. &amp; NPA marker'!$C$2:$K$735,9,FALSE)</f>
        <v>Contracted</v>
      </c>
      <c r="U248" s="3">
        <f>VLOOKUP(B248,'[8]Import-Domestic share'!$A$208:$F$406,6,FALSE)</f>
        <v>0</v>
      </c>
      <c r="V248" s="3">
        <f t="shared" si="163"/>
        <v>0</v>
      </c>
      <c r="W248" s="2">
        <f t="shared" si="164"/>
        <v>3053.1131011184116</v>
      </c>
      <c r="X248" s="2">
        <f t="shared" si="165"/>
        <v>3026.0441096395548</v>
      </c>
      <c r="Y248" s="6">
        <f t="shared" si="166"/>
        <v>0.2816797057681768</v>
      </c>
      <c r="Z248" s="2">
        <f t="shared" si="167"/>
        <v>893443.37546629494</v>
      </c>
      <c r="AA248" s="2">
        <f t="shared" si="168"/>
        <v>1032753.4050331524</v>
      </c>
      <c r="AB248" s="2" t="s">
        <v>598</v>
      </c>
      <c r="AC248" s="12">
        <f>VLOOKUP(B248,[9]Sheet1!$A$2:$B$137,2,FALSE)</f>
        <v>4422.9034140906479</v>
      </c>
      <c r="AD248" s="12">
        <f t="shared" si="169"/>
        <v>1326871.0242271943</v>
      </c>
      <c r="AE248" s="2"/>
      <c r="AF248" s="7">
        <f>VLOOKUP($B248,'[9]Subsidiary wise dispatch'!$A$3:$R$138,11,FALSE)*$H248*$O248*365</f>
        <v>0</v>
      </c>
      <c r="AG248" s="7">
        <f>VLOOKUP($B248,'[9]Subsidiary wise dispatch'!$A$3:$R$138,12,FALSE)*$H248*$O248*365</f>
        <v>1015558.2684299595</v>
      </c>
      <c r="AH248" s="7">
        <f>VLOOKUP($B248,'[9]Subsidiary wise dispatch'!$A$3:$R$138,13,FALSE)*$H248*$O248*365</f>
        <v>0</v>
      </c>
      <c r="AI248" s="7">
        <f>VLOOKUP($B248,'[9]Subsidiary wise dispatch'!$A$3:$R$138,14,FALSE)*$H248*$O248*365</f>
        <v>0</v>
      </c>
      <c r="AJ248" s="7">
        <f>VLOOKUP($B248,'[9]Subsidiary wise dispatch'!$A$3:$R$138,15,FALSE)*$H248*$O248*365</f>
        <v>0</v>
      </c>
      <c r="AK248" s="7">
        <f>VLOOKUP($B248,'[9]Subsidiary wise dispatch'!$A$3:$R$138,16,FALSE)*$H248*$O248*365</f>
        <v>0</v>
      </c>
      <c r="AL248" s="7">
        <f>VLOOKUP($B248,'[9]Subsidiary wise dispatch'!$A$3:$R$138,17,FALSE)*$H248*$O248*365</f>
        <v>0</v>
      </c>
      <c r="AM248" s="7">
        <f>VLOOKUP($B248,'[9]Subsidiary wise dispatch'!$A$3:$R$138,18,FALSE)*$H248*$O248*365</f>
        <v>0</v>
      </c>
      <c r="AN248" s="15">
        <f t="shared" si="170"/>
        <v>1015558.2684299595</v>
      </c>
      <c r="AO248" s="6">
        <v>9.6241360115922034E-2</v>
      </c>
      <c r="AP248" s="11">
        <f t="shared" si="171"/>
        <v>0.3980134279035723</v>
      </c>
      <c r="AQ248" s="11">
        <f t="shared" si="172"/>
        <v>0.34127186297105949</v>
      </c>
      <c r="AR248" s="3">
        <f>VLOOKUP(A248,[10]Sheet1!$A$2:$L$542,12,FALSE)</f>
        <v>2.9649890350877199</v>
      </c>
      <c r="AS248" s="3">
        <f t="shared" si="180"/>
        <v>2.7839684429156351</v>
      </c>
      <c r="AT248" s="3">
        <f t="shared" si="181"/>
        <v>2.7867430145422181</v>
      </c>
      <c r="AU248" s="3">
        <f t="shared" si="173"/>
        <v>-2.7745716265830112E-3</v>
      </c>
      <c r="AV248" s="88">
        <f t="shared" si="182"/>
        <v>-6.000733982735286E-2</v>
      </c>
      <c r="AW248" s="32">
        <f t="shared" si="183"/>
        <v>2.0557980226539593E-2</v>
      </c>
      <c r="AX248" s="12">
        <f t="shared" si="174"/>
        <v>420.2358943795424</v>
      </c>
      <c r="AY248" s="12">
        <f t="shared" si="175"/>
        <v>360.68536162918474</v>
      </c>
      <c r="AZ248" s="3">
        <f>VLOOKUP(A248,[5]Analysis!$A$3:$BJ$543,62,FALSE)</f>
        <v>0.87638697866454418</v>
      </c>
      <c r="BA248" s="2"/>
      <c r="BB248" s="2"/>
      <c r="BC248" s="2" t="str">
        <f>VLOOKUP(A248,'[6]FGD status - Jun 2020'!$I$2:$M$449,5,FALSE)</f>
        <v>Bid Awarded</v>
      </c>
      <c r="BD248" s="2"/>
      <c r="BE248" s="2"/>
      <c r="BF248" s="2">
        <f t="shared" si="176"/>
        <v>319.63717885776066</v>
      </c>
      <c r="BG248" s="2">
        <f t="shared" si="177"/>
        <v>276.52072470681827</v>
      </c>
      <c r="BH248" s="2"/>
      <c r="BI248" s="2"/>
      <c r="BK248">
        <f t="shared" si="178"/>
        <v>172.31565315931041</v>
      </c>
      <c r="BL248">
        <f>VLOOKUP(A248,'[11]Daily coal vs energy req.2'!$C$2:$P$599,14,FALSE)</f>
        <v>1.02</v>
      </c>
      <c r="BM248">
        <f>VLOOKUP(A248,'[11]Daily coal vs energy req.2'!$C$2:$R$599,16,FALSE)</f>
        <v>1</v>
      </c>
      <c r="BN248">
        <f t="shared" si="211"/>
        <v>306</v>
      </c>
      <c r="BO248">
        <f t="shared" si="212"/>
        <v>300</v>
      </c>
      <c r="BP248" s="2" t="str">
        <f>VLOOKUP(A248,'[7]Table 2'!$J$2:$N$449,5,FALSE)</f>
        <v>Bid Awarded</v>
      </c>
      <c r="BR248">
        <f t="shared" si="184"/>
        <v>400.31328884442445</v>
      </c>
      <c r="BS248">
        <f t="shared" si="185"/>
        <v>346.31428401603313</v>
      </c>
      <c r="BT248">
        <f>(X248*I248*365*[5]Analysis!BK248)/10^4</f>
        <v>174.93778532153061</v>
      </c>
      <c r="BU248">
        <f>(W248*R248*365*[5]Analysis!BK248)/10^4</f>
        <v>151.34010176344958</v>
      </c>
      <c r="BV248">
        <f>(X248*I248*365*[5]Analysis!BL248)/10^4</f>
        <v>225.37550352289378</v>
      </c>
      <c r="BW248">
        <f>(W248*R248*365*[5]Analysis!BL248)/10^4</f>
        <v>194.97418225258352</v>
      </c>
      <c r="BX248">
        <f t="shared" si="186"/>
        <v>1282729.5274139026</v>
      </c>
      <c r="BY248">
        <f t="shared" si="187"/>
        <v>1109699.7532980032</v>
      </c>
      <c r="BZ248">
        <f t="shared" si="188"/>
        <v>6852894.3555410886</v>
      </c>
      <c r="CA248">
        <f t="shared" si="189"/>
        <v>5875932.4673487358</v>
      </c>
      <c r="CB248">
        <f t="shared" si="190"/>
        <v>-256171.85244183283</v>
      </c>
      <c r="CC248">
        <f t="shared" si="191"/>
        <v>-188337.55441499996</v>
      </c>
      <c r="CD248">
        <f t="shared" si="192"/>
        <v>-1526211.0439388596</v>
      </c>
      <c r="CE248">
        <f t="shared" si="193"/>
        <v>-1308631.4423999998</v>
      </c>
      <c r="CF248">
        <f t="shared" si="194"/>
        <v>2695334.5654760404</v>
      </c>
      <c r="CG248">
        <f t="shared" si="195"/>
        <v>2311082.4509999999</v>
      </c>
      <c r="CH248">
        <f t="shared" si="196"/>
        <v>303913.15286016656</v>
      </c>
      <c r="CI248">
        <f t="shared" si="197"/>
        <v>260586.70533880882</v>
      </c>
      <c r="CJ248">
        <f t="shared" si="198"/>
        <v>-746760.8997834404</v>
      </c>
      <c r="CK248">
        <f t="shared" si="199"/>
        <v>-640301.22</v>
      </c>
      <c r="CL248">
        <f t="shared" si="200"/>
        <v>1125201.4732742265</v>
      </c>
      <c r="CM248">
        <f t="shared" si="201"/>
        <v>964790.57258115592</v>
      </c>
    </row>
    <row r="249" spans="1:91" x14ac:dyDescent="0.2">
      <c r="A249" s="2" t="s">
        <v>254</v>
      </c>
      <c r="B249" s="2" t="str">
        <f t="shared" si="207"/>
        <v>PATHADI TPS</v>
      </c>
      <c r="C249" s="2" t="str">
        <f>VLOOKUP($A249,'[1]daily coal, energy reqd'!$C$2:$T$599,17,FALSE)</f>
        <v>Chhatisgarh</v>
      </c>
      <c r="D249" s="2" t="str">
        <f>VLOOKUP(C249,'Target PLF'!$I$2:$J$19,2,FALSE)</f>
        <v>WR</v>
      </c>
      <c r="E249" s="2" t="str">
        <f>VLOOKUP(A249,[2]Ownership!$C$2:$D$666,2,FALSE)</f>
        <v>PVT SECTOR</v>
      </c>
      <c r="F249" s="2" t="s">
        <v>544</v>
      </c>
      <c r="G249" s="12">
        <v>10.17659137577</v>
      </c>
      <c r="H249" s="2">
        <v>300</v>
      </c>
      <c r="I249" s="2">
        <f>VLOOKUP(A249,'[3]Calculated coal req (reg.)'!$A$2:$I$599,9,FALSE)</f>
        <v>5.1927271951596596</v>
      </c>
      <c r="J249" s="2"/>
      <c r="K249" s="11">
        <v>0.72121211043884159</v>
      </c>
      <c r="L249" s="3">
        <v>0.49249999999999999</v>
      </c>
      <c r="M249" s="3">
        <f t="shared" si="179"/>
        <v>-0.2287121104388416</v>
      </c>
      <c r="N249" s="2" t="str">
        <f t="shared" si="158"/>
        <v>0.25</v>
      </c>
      <c r="O249" s="2">
        <f t="shared" si="210"/>
        <v>11.325325637996251</v>
      </c>
      <c r="P249" s="2">
        <f t="shared" si="159"/>
        <v>1240123.1573605894</v>
      </c>
      <c r="Q249" s="2">
        <f t="shared" si="160"/>
        <v>13.117190181827516</v>
      </c>
      <c r="R249" s="2">
        <f t="shared" si="161"/>
        <v>3.5459999999999998</v>
      </c>
      <c r="S249" s="2">
        <f t="shared" si="162"/>
        <v>832227.84708027123</v>
      </c>
      <c r="T249" s="2" t="str">
        <f>VLOOKUP(A249,'[4]CEA vs MERIT comp. &amp; NPA marker'!$C$2:$K$735,9,FALSE)</f>
        <v>Contracted</v>
      </c>
      <c r="U249" s="3">
        <f>VLOOKUP(B249,'[8]Import-Domestic share'!$A$208:$F$406,6,FALSE)</f>
        <v>0</v>
      </c>
      <c r="V249" s="3">
        <f t="shared" si="163"/>
        <v>0</v>
      </c>
      <c r="W249" s="2">
        <f t="shared" si="164"/>
        <v>3055.0376169404512</v>
      </c>
      <c r="X249" s="2">
        <f t="shared" si="165"/>
        <v>2979.4319801381512</v>
      </c>
      <c r="Y249" s="6">
        <f t="shared" si="166"/>
        <v>0.28150226211003904</v>
      </c>
      <c r="Z249" s="2">
        <f t="shared" si="167"/>
        <v>953731.55625000235</v>
      </c>
      <c r="AA249" s="2">
        <f t="shared" si="168"/>
        <v>1362071.2972245293</v>
      </c>
      <c r="AB249" s="2" t="s">
        <v>598</v>
      </c>
      <c r="AC249" s="12">
        <f>VLOOKUP(B249,[9]Sheet1!$A$2:$B$137,2,FALSE)</f>
        <v>4145.9303839930444</v>
      </c>
      <c r="AD249" s="12">
        <f t="shared" si="169"/>
        <v>1243779.1151979133</v>
      </c>
      <c r="AE249" s="2"/>
      <c r="AF249" s="7">
        <f>VLOOKUP($B249,'[9]Subsidiary wise dispatch'!$A$3:$R$138,11,FALSE)*$H249*$O249*365</f>
        <v>0</v>
      </c>
      <c r="AG249" s="7">
        <f>VLOOKUP($B249,'[9]Subsidiary wise dispatch'!$A$3:$R$138,12,FALSE)*$H249*$O249*365</f>
        <v>0</v>
      </c>
      <c r="AH249" s="7">
        <f>VLOOKUP($B249,'[9]Subsidiary wise dispatch'!$A$3:$R$138,13,FALSE)*$H249*$O249*365</f>
        <v>0</v>
      </c>
      <c r="AI249" s="7">
        <f>VLOOKUP($B249,'[9]Subsidiary wise dispatch'!$A$3:$R$138,14,FALSE)*$H249*$O249*365</f>
        <v>0</v>
      </c>
      <c r="AJ249" s="7">
        <f>VLOOKUP($B249,'[9]Subsidiary wise dispatch'!$A$3:$R$138,15,FALSE)*$H249*$O249*365</f>
        <v>0</v>
      </c>
      <c r="AK249" s="7">
        <f>VLOOKUP($B249,'[9]Subsidiary wise dispatch'!$A$3:$R$138,16,FALSE)*$H249*$O249*365</f>
        <v>0</v>
      </c>
      <c r="AL249" s="7">
        <f>VLOOKUP($B249,'[9]Subsidiary wise dispatch'!$A$3:$R$138,17,FALSE)*$H249*$O249*365</f>
        <v>1240123.1573605894</v>
      </c>
      <c r="AM249" s="7">
        <f>VLOOKUP($B249,'[9]Subsidiary wise dispatch'!$A$3:$R$138,18,FALSE)*$H249*$O249*365</f>
        <v>0</v>
      </c>
      <c r="AN249" s="15">
        <f t="shared" si="170"/>
        <v>1240123.1573605894</v>
      </c>
      <c r="AO249" s="6">
        <v>8.7832676734947532E-2</v>
      </c>
      <c r="AP249" s="11">
        <f t="shared" si="171"/>
        <v>0.4560911291052292</v>
      </c>
      <c r="AQ249" s="11">
        <f t="shared" si="172"/>
        <v>0.31145467170212393</v>
      </c>
      <c r="AR249" s="3">
        <f>VLOOKUP(A249,[10]Sheet1!$A$2:$L$542,12,FALSE)</f>
        <v>2.0314259453038699</v>
      </c>
      <c r="AS249" s="3">
        <f t="shared" si="180"/>
        <v>2.0103880766631552</v>
      </c>
      <c r="AT249" s="3">
        <f t="shared" si="181"/>
        <v>2.0181376544353911</v>
      </c>
      <c r="AU249" s="3">
        <f t="shared" si="173"/>
        <v>-7.7495777722358383E-3</v>
      </c>
      <c r="AV249" s="88">
        <f t="shared" si="182"/>
        <v>-0.1676048087717919</v>
      </c>
      <c r="AW249" s="32">
        <f t="shared" si="183"/>
        <v>7.9514613549083513E-2</v>
      </c>
      <c r="AX249" s="12">
        <f t="shared" si="174"/>
        <v>381.03798460574228</v>
      </c>
      <c r="AY249" s="12">
        <f t="shared" si="175"/>
        <v>261.20553847591822</v>
      </c>
      <c r="AZ249" s="3">
        <f>VLOOKUP(A249,[5]Analysis!$A$3:$BJ$543,62,FALSE)</f>
        <v>0.48136799587982382</v>
      </c>
      <c r="BA249" s="2"/>
      <c r="BB249" s="2"/>
      <c r="BC249" s="2" t="str">
        <f>VLOOKUP(A249,'[6]FGD status - Jun 2020'!$I$2:$M$449,5,FALSE)</f>
        <v>Tender specification made</v>
      </c>
      <c r="BD249" s="2"/>
      <c r="BE249" s="2"/>
      <c r="BF249" s="2">
        <f t="shared" si="176"/>
        <v>421.56106649099183</v>
      </c>
      <c r="BG249" s="2">
        <f t="shared" si="177"/>
        <v>295.17991665937569</v>
      </c>
      <c r="BH249" s="2"/>
      <c r="BI249" s="2"/>
      <c r="BK249">
        <f t="shared" si="178"/>
        <v>216.36363313165248</v>
      </c>
      <c r="BL249">
        <f>VLOOKUP(A249,'[11]Daily coal vs energy req.2'!$C$2:$P$599,14,FALSE)</f>
        <v>1.89</v>
      </c>
      <c r="BM249">
        <f>VLOOKUP(A249,'[11]Daily coal vs energy req.2'!$C$2:$R$599,16,FALSE)</f>
        <v>1.62</v>
      </c>
      <c r="BN249">
        <f t="shared" si="211"/>
        <v>567</v>
      </c>
      <c r="BO249">
        <f t="shared" si="212"/>
        <v>486.00000000000006</v>
      </c>
      <c r="BP249" s="2" t="str">
        <f>VLOOKUP(A249,'[7]Table 2'!$J$2:$N$449,5,FALSE)</f>
        <v>Tender specification made</v>
      </c>
      <c r="BR249">
        <f t="shared" si="184"/>
        <v>271.8310477568603</v>
      </c>
      <c r="BS249">
        <f t="shared" si="185"/>
        <v>190.33794247224535</v>
      </c>
      <c r="BT249">
        <f>(X249*I249*365*[5]Analysis!BK249)/10^4</f>
        <v>219.02899184865421</v>
      </c>
      <c r="BU249">
        <f>(W249*R249*365*[5]Analysis!BK249)/10^4</f>
        <v>153.36558496265778</v>
      </c>
      <c r="BV249">
        <f>(X249*I249*365*[5]Analysis!BL249)/10^4</f>
        <v>52.802055908206114</v>
      </c>
      <c r="BW249">
        <f>(W249*R249*365*[5]Analysis!BL249)/10^4</f>
        <v>36.972357509587596</v>
      </c>
      <c r="BX249">
        <f t="shared" si="186"/>
        <v>1585816.1906126568</v>
      </c>
      <c r="BY249">
        <f t="shared" si="187"/>
        <v>1110399.2474412611</v>
      </c>
      <c r="BZ249">
        <f t="shared" si="188"/>
        <v>4726230.1669862363</v>
      </c>
      <c r="CA249">
        <f t="shared" si="189"/>
        <v>3227439.3670738372</v>
      </c>
      <c r="CB249">
        <f t="shared" si="190"/>
        <v>-403878.26178518194</v>
      </c>
      <c r="CC249">
        <f t="shared" si="191"/>
        <v>-188337.55441499996</v>
      </c>
      <c r="CD249">
        <f t="shared" si="192"/>
        <v>-1916346.8921013796</v>
      </c>
      <c r="CE249">
        <f t="shared" si="193"/>
        <v>-1308631.4423999998</v>
      </c>
      <c r="CF249">
        <f t="shared" si="194"/>
        <v>3384326.19671854</v>
      </c>
      <c r="CG249">
        <f t="shared" si="195"/>
        <v>2311082.4509999999</v>
      </c>
      <c r="CH249">
        <f t="shared" si="196"/>
        <v>391285.34383587161</v>
      </c>
      <c r="CI249">
        <f t="shared" si="197"/>
        <v>267200.21620533825</v>
      </c>
      <c r="CJ249">
        <f t="shared" si="198"/>
        <v>-937650.74962997972</v>
      </c>
      <c r="CK249">
        <f t="shared" si="199"/>
        <v>-640301.22</v>
      </c>
      <c r="CL249">
        <f t="shared" si="200"/>
        <v>1289389.6899901635</v>
      </c>
      <c r="CM249">
        <f t="shared" si="201"/>
        <v>880496.06090745924</v>
      </c>
    </row>
    <row r="250" spans="1:91" x14ac:dyDescent="0.2">
      <c r="A250" s="2" t="s">
        <v>206</v>
      </c>
      <c r="B250" s="2" t="str">
        <f t="shared" si="207"/>
        <v>NABI NAGAR TPP</v>
      </c>
      <c r="C250" s="2" t="str">
        <f>VLOOKUP($A250,'[1]daily coal, energy reqd'!$C$2:$T$599,17,FALSE)</f>
        <v>Bihar</v>
      </c>
      <c r="D250" s="2" t="str">
        <f>VLOOKUP(C250,'Target PLF'!$I$2:$J$19,2,FALSE)</f>
        <v>ER</v>
      </c>
      <c r="E250" s="2" t="str">
        <f>VLOOKUP(A250,[2]Ownership!$C$2:$D$666,2,FALSE)</f>
        <v>CENTRAL SECTOR</v>
      </c>
      <c r="F250" s="2" t="s">
        <v>542</v>
      </c>
      <c r="G250" s="12">
        <v>4.1752224503764497</v>
      </c>
      <c r="H250" s="2">
        <v>250</v>
      </c>
      <c r="I250" s="2">
        <f>VLOOKUP(A250,'[3]Calculated coal req (reg.)'!$A$2:$I$599,9,FALSE)</f>
        <v>4.1204956376573598</v>
      </c>
      <c r="J250" s="2"/>
      <c r="K250" s="11">
        <v>0.68674927294289334</v>
      </c>
      <c r="L250" s="3">
        <v>0.49249999999999999</v>
      </c>
      <c r="M250" s="3">
        <f t="shared" si="179"/>
        <v>-0.19424927294289335</v>
      </c>
      <c r="N250" s="2" t="str">
        <f t="shared" si="158"/>
        <v>0.25</v>
      </c>
      <c r="O250" s="2">
        <f t="shared" si="210"/>
        <v>11.805886580352031</v>
      </c>
      <c r="P250" s="2">
        <f t="shared" si="159"/>
        <v>1077287.1504571228</v>
      </c>
      <c r="Q250" s="2">
        <f t="shared" si="160"/>
        <v>14.077242921115673</v>
      </c>
      <c r="R250" s="2">
        <f t="shared" si="161"/>
        <v>2.9550000000000001</v>
      </c>
      <c r="S250" s="2">
        <f t="shared" si="162"/>
        <v>744282.46488442842</v>
      </c>
      <c r="T250" s="2" t="str">
        <f>VLOOKUP(A250,'[4]CEA vs MERIT comp. &amp; NPA marker'!$C$2:$K$735,9,FALSE)</f>
        <v>Contracted</v>
      </c>
      <c r="U250" s="3">
        <f>VLOOKUP(B250,'[8]Import-Domestic share'!$A$208:$F$406,6,FALSE)</f>
        <v>0</v>
      </c>
      <c r="V250" s="3">
        <f t="shared" si="163"/>
        <v>0</v>
      </c>
      <c r="W250" s="2">
        <f t="shared" si="164"/>
        <v>3055.4710506153315</v>
      </c>
      <c r="X250" s="2">
        <f t="shared" si="165"/>
        <v>2991.2578353594718</v>
      </c>
      <c r="Y250" s="6">
        <f t="shared" si="166"/>
        <v>0.2814623296224022</v>
      </c>
      <c r="Z250" s="2">
        <f t="shared" si="167"/>
        <v>770517.20107956871</v>
      </c>
      <c r="AA250" s="2">
        <f t="shared" si="168"/>
        <v>1051840.7395963476</v>
      </c>
      <c r="AB250" s="2" t="s">
        <v>598</v>
      </c>
      <c r="AC250" s="12">
        <f>VLOOKUP(B250,[9]Sheet1!$A$2:$B$137,2,FALSE)</f>
        <v>4277.0682910128971</v>
      </c>
      <c r="AD250" s="12">
        <f t="shared" si="169"/>
        <v>1069267.0727532243</v>
      </c>
      <c r="AE250" s="2"/>
      <c r="AF250" s="7">
        <f>VLOOKUP($B250,'[9]Subsidiary wise dispatch'!$A$3:$R$138,11,FALSE)*$H250*$O250*365</f>
        <v>0</v>
      </c>
      <c r="AG250" s="7">
        <f>VLOOKUP($B250,'[9]Subsidiary wise dispatch'!$A$3:$R$138,12,FALSE)*$H250*$O250*365</f>
        <v>1077287.1504571228</v>
      </c>
      <c r="AH250" s="7">
        <f>VLOOKUP($B250,'[9]Subsidiary wise dispatch'!$A$3:$R$138,13,FALSE)*$H250*$O250*365</f>
        <v>0</v>
      </c>
      <c r="AI250" s="7">
        <f>VLOOKUP($B250,'[9]Subsidiary wise dispatch'!$A$3:$R$138,14,FALSE)*$H250*$O250*365</f>
        <v>0</v>
      </c>
      <c r="AJ250" s="7">
        <f>VLOOKUP($B250,'[9]Subsidiary wise dispatch'!$A$3:$R$138,15,FALSE)*$H250*$O250*365</f>
        <v>0</v>
      </c>
      <c r="AK250" s="7">
        <f>VLOOKUP($B250,'[9]Subsidiary wise dispatch'!$A$3:$R$138,16,FALSE)*$H250*$O250*365</f>
        <v>0</v>
      </c>
      <c r="AL250" s="7">
        <f>VLOOKUP($B250,'[9]Subsidiary wise dispatch'!$A$3:$R$138,17,FALSE)*$H250*$O250*365</f>
        <v>0</v>
      </c>
      <c r="AM250" s="7">
        <f>VLOOKUP($B250,'[9]Subsidiary wise dispatch'!$A$3:$R$138,18,FALSE)*$H250*$O250*365</f>
        <v>0</v>
      </c>
      <c r="AN250" s="15">
        <f t="shared" si="170"/>
        <v>1077287.1504571228</v>
      </c>
      <c r="AO250" s="6">
        <v>7.0000000000000007E-2</v>
      </c>
      <c r="AP250" s="11">
        <f t="shared" si="171"/>
        <v>0.28843469463601523</v>
      </c>
      <c r="AQ250" s="11">
        <f t="shared" si="172"/>
        <v>0.20685000000000003</v>
      </c>
      <c r="AR250" s="3">
        <f>VLOOKUP(A250,[10]Sheet1!$A$2:$L$542,12,FALSE)</f>
        <v>1.97192539109506</v>
      </c>
      <c r="AS250" s="3">
        <f t="shared" si="180"/>
        <v>2.2426749159068664</v>
      </c>
      <c r="AT250" s="3">
        <f t="shared" si="181"/>
        <v>2.2492567704705926</v>
      </c>
      <c r="AU250" s="3">
        <f t="shared" si="173"/>
        <v>-6.5818545637261749E-3</v>
      </c>
      <c r="AV250" s="88">
        <f t="shared" si="182"/>
        <v>-0.1423497521980111</v>
      </c>
      <c r="AW250" s="32">
        <f t="shared" si="183"/>
        <v>6.0538376146854395E-2</v>
      </c>
      <c r="AX250" s="12">
        <f t="shared" si="174"/>
        <v>337.29402558024077</v>
      </c>
      <c r="AY250" s="12">
        <f t="shared" si="175"/>
        <v>242.59921212103194</v>
      </c>
      <c r="AZ250" s="3">
        <f>VLOOKUP(A250,[5]Analysis!$A$3:$BJ$543,62,FALSE)</f>
        <v>0.6378271316668519</v>
      </c>
      <c r="BA250" s="2"/>
      <c r="BB250" s="2"/>
      <c r="BC250" s="2" t="str">
        <f>VLOOKUP(A250,'[6]FGD status - Jun 2020'!$I$2:$M$449,5,FALSE)</f>
        <v>Bid Awarded</v>
      </c>
      <c r="BD250" s="2"/>
      <c r="BE250" s="2"/>
      <c r="BF250" s="2">
        <f t="shared" si="176"/>
        <v>325.54470890506957</v>
      </c>
      <c r="BG250" s="2">
        <f t="shared" si="177"/>
        <v>238.47507373412651</v>
      </c>
      <c r="BH250" s="2"/>
      <c r="BI250" s="2"/>
      <c r="BK250">
        <f t="shared" si="178"/>
        <v>171.68731823572332</v>
      </c>
      <c r="BL250" t="str">
        <f>VLOOKUP(A250,'[11]Daily coal vs energy req.2'!$C$2:$P$599,14,FALSE)</f>
        <v/>
      </c>
      <c r="BM250" t="str">
        <f>VLOOKUP(A250,'[11]Daily coal vs energy req.2'!$C$2:$R$599,16,FALSE)</f>
        <v/>
      </c>
      <c r="BP250" s="2" t="str">
        <f>VLOOKUP(A250,'[7]Table 2'!$J$2:$N$449,5,FALSE)</f>
        <v>Bid Awarded</v>
      </c>
      <c r="BR250">
        <f t="shared" si="184"/>
        <v>286.94533032091721</v>
      </c>
      <c r="BS250">
        <f t="shared" si="185"/>
        <v>210.19941941645359</v>
      </c>
      <c r="BT250">
        <f>(X250*I250*365*[5]Analysis!BK250)/10^4</f>
        <v>169.14211264019713</v>
      </c>
      <c r="BU250">
        <f>(W250*R250*365*[5]Analysis!BK250)/10^4</f>
        <v>123.90365034370492</v>
      </c>
      <c r="BV250">
        <f>(X250*I250*365*[5]Analysis!BL250)/10^4</f>
        <v>117.80321768072005</v>
      </c>
      <c r="BW250">
        <f>(W250*R250*365*[5]Analysis!BL250)/10^4</f>
        <v>86.295769072748669</v>
      </c>
      <c r="BX250">
        <f t="shared" si="186"/>
        <v>1263360.1483249776</v>
      </c>
      <c r="BY250">
        <f t="shared" si="187"/>
        <v>925463.98784325132</v>
      </c>
      <c r="BZ250">
        <f t="shared" si="188"/>
        <v>4969292.9054003209</v>
      </c>
      <c r="CA250">
        <f t="shared" si="189"/>
        <v>3563712.1906544338</v>
      </c>
      <c r="CB250">
        <f t="shared" si="190"/>
        <v>-305168.44705997786</v>
      </c>
      <c r="CC250">
        <f t="shared" si="191"/>
        <v>-156947.96201250001</v>
      </c>
      <c r="CD250">
        <f t="shared" si="192"/>
        <v>0</v>
      </c>
      <c r="CE250">
        <f t="shared" si="193"/>
        <v>0</v>
      </c>
      <c r="CF250">
        <f t="shared" si="194"/>
        <v>2685506.2486215397</v>
      </c>
      <c r="CG250">
        <f t="shared" si="195"/>
        <v>1925902.0425000002</v>
      </c>
      <c r="CH250">
        <f t="shared" si="196"/>
        <v>127386.91354490534</v>
      </c>
      <c r="CI250">
        <f t="shared" si="197"/>
        <v>91355.109342915704</v>
      </c>
      <c r="CJ250">
        <f t="shared" si="198"/>
        <v>-620031.58107649139</v>
      </c>
      <c r="CK250">
        <f t="shared" si="199"/>
        <v>-444653.62500000012</v>
      </c>
      <c r="CL250">
        <f t="shared" si="200"/>
        <v>815417.57286257891</v>
      </c>
      <c r="CM250">
        <f t="shared" si="201"/>
        <v>584774.0514</v>
      </c>
    </row>
    <row r="251" spans="1:91" x14ac:dyDescent="0.2">
      <c r="A251" s="2" t="s">
        <v>207</v>
      </c>
      <c r="B251" s="2" t="str">
        <f t="shared" si="207"/>
        <v>PARLI TPS</v>
      </c>
      <c r="C251" s="2" t="str">
        <f>VLOOKUP($A251,'[1]daily coal, energy reqd'!$C$2:$T$599,17,FALSE)</f>
        <v>Maharashtra</v>
      </c>
      <c r="D251" s="2" t="str">
        <f>VLOOKUP(C251,'Target PLF'!$I$2:$J$19,2,FALSE)</f>
        <v>WR</v>
      </c>
      <c r="E251" s="2" t="str">
        <f>VLOOKUP(A251,[2]Ownership!$C$2:$D$666,2,FALSE)</f>
        <v>STATE SECTOR</v>
      </c>
      <c r="F251" s="2" t="s">
        <v>542</v>
      </c>
      <c r="G251" s="12">
        <v>4.1752224503764497</v>
      </c>
      <c r="H251" s="2">
        <v>250</v>
      </c>
      <c r="I251" s="2">
        <f>VLOOKUP(A251,'[3]Calculated coal req (reg.)'!$A$2:$I$599,9,FALSE)</f>
        <v>3.0476580397972999</v>
      </c>
      <c r="J251" s="2"/>
      <c r="K251" s="11">
        <v>0.50794300663288328</v>
      </c>
      <c r="L251" s="3">
        <v>0.49249999999999999</v>
      </c>
      <c r="M251" s="3">
        <f t="shared" si="179"/>
        <v>-1.5443006632883283E-2</v>
      </c>
      <c r="N251" s="2" t="str">
        <f t="shared" si="158"/>
        <v>0.25</v>
      </c>
      <c r="O251" s="2">
        <f t="shared" si="210"/>
        <v>9.3181013553009677</v>
      </c>
      <c r="P251" s="2">
        <f t="shared" si="159"/>
        <v>850276.74867121328</v>
      </c>
      <c r="Q251" s="2">
        <f t="shared" si="160"/>
        <v>14.077242921115673</v>
      </c>
      <c r="R251" s="2">
        <f t="shared" si="161"/>
        <v>2.9550000000000001</v>
      </c>
      <c r="S251" s="2">
        <f t="shared" si="162"/>
        <v>744282.46488442842</v>
      </c>
      <c r="T251" s="2" t="str">
        <f>VLOOKUP(A251,'[4]CEA vs MERIT comp. &amp; NPA marker'!$C$2:$K$735,9,FALSE)</f>
        <v>Contracted</v>
      </c>
      <c r="U251" s="3">
        <f>VLOOKUP(B251,'[8]Import-Domestic share'!$A$208:$F$406,6,FALSE)</f>
        <v>0</v>
      </c>
      <c r="V251" s="3">
        <f t="shared" si="163"/>
        <v>0</v>
      </c>
      <c r="W251" s="2">
        <f t="shared" si="164"/>
        <v>3055.4710506153315</v>
      </c>
      <c r="X251" s="2">
        <f t="shared" si="165"/>
        <v>3050.3660373810912</v>
      </c>
      <c r="Y251" s="6">
        <f t="shared" si="166"/>
        <v>0.2814623296224022</v>
      </c>
      <c r="Z251" s="2">
        <f t="shared" si="167"/>
        <v>784665.87011855212</v>
      </c>
      <c r="AA251" s="2">
        <f t="shared" si="168"/>
        <v>807918.02397471585</v>
      </c>
      <c r="AB251" s="2" t="s">
        <v>598</v>
      </c>
      <c r="AC251" s="12">
        <f>VLOOKUP(B251,[9]Sheet1!$A$2:$B$137,2,FALSE)</f>
        <v>4199.9465172602941</v>
      </c>
      <c r="AD251" s="12">
        <f t="shared" si="169"/>
        <v>1049986.6293150736</v>
      </c>
      <c r="AE251" s="2"/>
      <c r="AF251" s="7">
        <f>VLOOKUP($B251,'[9]Subsidiary wise dispatch'!$A$3:$R$138,11,FALSE)*$H251*$O251*365</f>
        <v>0</v>
      </c>
      <c r="AG251" s="7">
        <f>VLOOKUP($B251,'[9]Subsidiary wise dispatch'!$A$3:$R$138,12,FALSE)*$H251*$O251*365</f>
        <v>0</v>
      </c>
      <c r="AH251" s="7">
        <f>VLOOKUP($B251,'[9]Subsidiary wise dispatch'!$A$3:$R$138,13,FALSE)*$H251*$O251*365</f>
        <v>0</v>
      </c>
      <c r="AI251" s="7">
        <f>VLOOKUP($B251,'[9]Subsidiary wise dispatch'!$A$3:$R$138,14,FALSE)*$H251*$O251*365</f>
        <v>1136.9417197535222</v>
      </c>
      <c r="AJ251" s="7">
        <f>VLOOKUP($B251,'[9]Subsidiary wise dispatch'!$A$3:$R$138,15,FALSE)*$H251*$O251*365</f>
        <v>0</v>
      </c>
      <c r="AK251" s="7">
        <f>VLOOKUP($B251,'[9]Subsidiary wise dispatch'!$A$3:$R$138,16,FALSE)*$H251*$O251*365</f>
        <v>0</v>
      </c>
      <c r="AL251" s="7">
        <f>VLOOKUP($B251,'[9]Subsidiary wise dispatch'!$A$3:$R$138,17,FALSE)*$H251*$O251*365</f>
        <v>0</v>
      </c>
      <c r="AM251" s="7">
        <f>VLOOKUP($B251,'[9]Subsidiary wise dispatch'!$A$3:$R$138,18,FALSE)*$H251*$O251*365</f>
        <v>849139.80695145961</v>
      </c>
      <c r="AN251" s="15">
        <f t="shared" si="170"/>
        <v>850276.74867121316</v>
      </c>
      <c r="AO251" s="6">
        <v>0.10765374232246352</v>
      </c>
      <c r="AP251" s="11">
        <f t="shared" si="171"/>
        <v>0.32809179330332283</v>
      </c>
      <c r="AQ251" s="11">
        <f t="shared" si="172"/>
        <v>0.31811680856287972</v>
      </c>
      <c r="AR251" s="3">
        <f>VLOOKUP(A251,[10]Sheet1!$A$2:$L$542,12,FALSE)</f>
        <v>3.02</v>
      </c>
      <c r="AS251" s="3">
        <f t="shared" si="180"/>
        <v>2.5239739030251833</v>
      </c>
      <c r="AT251" s="3">
        <f t="shared" si="181"/>
        <v>2.5244971668816927</v>
      </c>
      <c r="AU251" s="3">
        <f t="shared" si="173"/>
        <v>-5.2326385650935947E-4</v>
      </c>
      <c r="AV251" s="88">
        <f t="shared" si="182"/>
        <v>-1.1316944120709528E-2</v>
      </c>
      <c r="AW251" s="32">
        <f t="shared" si="183"/>
        <v>4.2764627048096993E-3</v>
      </c>
      <c r="AX251" s="12">
        <f t="shared" si="174"/>
        <v>280.76564155945437</v>
      </c>
      <c r="AY251" s="12">
        <f t="shared" si="175"/>
        <v>272.28595317694214</v>
      </c>
      <c r="AZ251" s="3">
        <f>VLOOKUP(A251,[5]Analysis!$A$3:$BJ$543,62,FALSE)</f>
        <v>0.72709778385672752</v>
      </c>
      <c r="BA251" s="2"/>
      <c r="BB251" s="2"/>
      <c r="BC251" s="2" t="str">
        <f>VLOOKUP(A251,'[6]FGD status - Jun 2020'!$I$2:$M$449,5,FALSE)</f>
        <v>Feasiblity Study Carried Out</v>
      </c>
      <c r="BD251" s="2"/>
      <c r="BE251" s="2"/>
      <c r="BF251" s="2">
        <f t="shared" si="176"/>
        <v>250.05062842017455</v>
      </c>
      <c r="BG251" s="2">
        <f t="shared" si="177"/>
        <v>242.85408680169186</v>
      </c>
      <c r="BH251" s="2"/>
      <c r="BI251" s="2"/>
      <c r="BK251">
        <f t="shared" si="178"/>
        <v>126.98575165822082</v>
      </c>
      <c r="BL251" t="str">
        <f>VLOOKUP(A251,'[11]Daily coal vs energy req.2'!$C$2:$P$599,14,FALSE)</f>
        <v/>
      </c>
      <c r="BM251" t="str">
        <f>VLOOKUP(A251,'[11]Daily coal vs energy req.2'!$C$2:$R$599,16,FALSE)</f>
        <v/>
      </c>
      <c r="BP251" s="2" t="str">
        <f>VLOOKUP(A251,'[7]Table 2'!$J$2:$N$449,5,FALSE)</f>
        <v>Feasiblity Study Carried Ou</v>
      </c>
      <c r="BR251">
        <f t="shared" si="184"/>
        <v>246.71972823788266</v>
      </c>
      <c r="BS251">
        <f t="shared" si="185"/>
        <v>239.61905105269625</v>
      </c>
      <c r="BT251">
        <f>(X251*I251*365*[5]Analysis!BK251)/10^4</f>
        <v>129.89010080172841</v>
      </c>
      <c r="BU251">
        <f>(W251*R251*365*[5]Analysis!BK251)/10^4</f>
        <v>126.15181978978143</v>
      </c>
      <c r="BV251">
        <f>(X251*I251*365*[5]Analysis!BL251)/10^4</f>
        <v>116.82962743615427</v>
      </c>
      <c r="BW251">
        <f>(W251*R251*365*[5]Analysis!BL251)/10^4</f>
        <v>113.46723126291484</v>
      </c>
      <c r="BX251">
        <f t="shared" si="186"/>
        <v>952888.43926028418</v>
      </c>
      <c r="BY251">
        <f t="shared" si="187"/>
        <v>925463.98784325132</v>
      </c>
      <c r="BZ251">
        <f t="shared" si="188"/>
        <v>4189876.3357878891</v>
      </c>
      <c r="CA251">
        <f t="shared" si="189"/>
        <v>4062491.3985023987</v>
      </c>
      <c r="CB251">
        <f t="shared" si="190"/>
        <v>-166944.90975143615</v>
      </c>
      <c r="CC251">
        <f t="shared" si="191"/>
        <v>-156947.96201250001</v>
      </c>
      <c r="CD251">
        <f t="shared" si="192"/>
        <v>0</v>
      </c>
      <c r="CE251">
        <f t="shared" si="193"/>
        <v>0</v>
      </c>
      <c r="CF251">
        <f t="shared" si="194"/>
        <v>1986291.3176606316</v>
      </c>
      <c r="CG251">
        <f t="shared" si="195"/>
        <v>1925902.0425000002</v>
      </c>
      <c r="CH251">
        <f t="shared" si="196"/>
        <v>94219.67291556632</v>
      </c>
      <c r="CI251">
        <f t="shared" si="197"/>
        <v>91355.109342915704</v>
      </c>
      <c r="CJ251">
        <f t="shared" si="198"/>
        <v>-458596.34353849874</v>
      </c>
      <c r="CK251">
        <f t="shared" si="199"/>
        <v>-444653.62500000012</v>
      </c>
      <c r="CL251">
        <f t="shared" si="200"/>
        <v>927529.93570739881</v>
      </c>
      <c r="CM251">
        <f t="shared" si="201"/>
        <v>899330.21494683763</v>
      </c>
    </row>
    <row r="252" spans="1:91" x14ac:dyDescent="0.2">
      <c r="A252" s="2" t="s">
        <v>257</v>
      </c>
      <c r="B252" s="2" t="str">
        <f t="shared" si="207"/>
        <v>ROSA TPP PH-I</v>
      </c>
      <c r="C252" s="2" t="str">
        <f>VLOOKUP($A252,'[1]daily coal, energy reqd'!$C$2:$T$599,17,FALSE)</f>
        <v>Uttar Pradesh</v>
      </c>
      <c r="D252" s="2" t="str">
        <f>VLOOKUP(C252,'Target PLF'!$I$2:$J$19,2,FALSE)</f>
        <v>NR</v>
      </c>
      <c r="E252" s="2" t="str">
        <f>VLOOKUP(A252,[2]Ownership!$C$2:$D$666,2,FALSE)</f>
        <v>PVT SECTOR</v>
      </c>
      <c r="F252" s="2" t="s">
        <v>544</v>
      </c>
      <c r="G252" s="12">
        <v>10.2532511978097</v>
      </c>
      <c r="H252" s="2">
        <v>300</v>
      </c>
      <c r="I252" s="2">
        <f>VLOOKUP(A252,'[3]Calculated coal req (reg.)'!$A$2:$I$599,9,FALSE)</f>
        <v>3.8772071014217802</v>
      </c>
      <c r="J252" s="2"/>
      <c r="K252" s="11">
        <v>0.53850098630858056</v>
      </c>
      <c r="L252" s="3">
        <v>0.49249999999999999</v>
      </c>
      <c r="M252" s="3">
        <f t="shared" si="179"/>
        <v>-4.6000986308580571E-2</v>
      </c>
      <c r="N252" s="2" t="str">
        <f t="shared" si="158"/>
        <v>0.25</v>
      </c>
      <c r="O252" s="2">
        <f t="shared" si="210"/>
        <v>8.7856391544977956</v>
      </c>
      <c r="P252" s="2">
        <f t="shared" si="159"/>
        <v>962027.48741750862</v>
      </c>
      <c r="Q252" s="2">
        <f t="shared" si="160"/>
        <v>13.119618381690623</v>
      </c>
      <c r="R252" s="2">
        <f t="shared" si="161"/>
        <v>3.5459999999999998</v>
      </c>
      <c r="S252" s="2">
        <f t="shared" si="162"/>
        <v>832381.90564893896</v>
      </c>
      <c r="T252" s="2" t="str">
        <f>VLOOKUP(A252,'[4]CEA vs MERIT comp. &amp; NPA marker'!$C$2:$K$735,9,FALSE)</f>
        <v>Contracted</v>
      </c>
      <c r="U252" s="3">
        <f>VLOOKUP(B252,'[8]Import-Domestic share'!$A$208:$F$406,6,FALSE)</f>
        <v>0</v>
      </c>
      <c r="V252" s="3">
        <f t="shared" si="163"/>
        <v>0</v>
      </c>
      <c r="W252" s="2">
        <f t="shared" si="164"/>
        <v>3055.6233391471592</v>
      </c>
      <c r="X252" s="2">
        <f t="shared" si="165"/>
        <v>3040.4167379019482</v>
      </c>
      <c r="Y252" s="6">
        <f t="shared" si="166"/>
        <v>0.28144830188397191</v>
      </c>
      <c r="Z252" s="2">
        <f t="shared" si="167"/>
        <v>894177.95537321235</v>
      </c>
      <c r="AA252" s="2">
        <f t="shared" si="168"/>
        <v>972831.27310005901</v>
      </c>
      <c r="AB252" s="2" t="s">
        <v>598</v>
      </c>
      <c r="AC252" s="12">
        <f>VLOOKUP(B252,[9]Sheet1!$A$2:$B$137,2,FALSE)</f>
        <v>4422.9034140906479</v>
      </c>
      <c r="AD252" s="12">
        <f t="shared" si="169"/>
        <v>1326871.0242271943</v>
      </c>
      <c r="AE252" s="2"/>
      <c r="AF252" s="7">
        <f>VLOOKUP($B252,'[9]Subsidiary wise dispatch'!$A$3:$R$138,11,FALSE)*$H252*$O252*365</f>
        <v>0</v>
      </c>
      <c r="AG252" s="7">
        <f>VLOOKUP($B252,'[9]Subsidiary wise dispatch'!$A$3:$R$138,12,FALSE)*$H252*$O252*365</f>
        <v>962027.48741750862</v>
      </c>
      <c r="AH252" s="7">
        <f>VLOOKUP($B252,'[9]Subsidiary wise dispatch'!$A$3:$R$138,13,FALSE)*$H252*$O252*365</f>
        <v>0</v>
      </c>
      <c r="AI252" s="7">
        <f>VLOOKUP($B252,'[9]Subsidiary wise dispatch'!$A$3:$R$138,14,FALSE)*$H252*$O252*365</f>
        <v>0</v>
      </c>
      <c r="AJ252" s="7">
        <f>VLOOKUP($B252,'[9]Subsidiary wise dispatch'!$A$3:$R$138,15,FALSE)*$H252*$O252*365</f>
        <v>0</v>
      </c>
      <c r="AK252" s="7">
        <f>VLOOKUP($B252,'[9]Subsidiary wise dispatch'!$A$3:$R$138,16,FALSE)*$H252*$O252*365</f>
        <v>0</v>
      </c>
      <c r="AL252" s="7">
        <f>VLOOKUP($B252,'[9]Subsidiary wise dispatch'!$A$3:$R$138,17,FALSE)*$H252*$O252*365</f>
        <v>0</v>
      </c>
      <c r="AM252" s="7">
        <f>VLOOKUP($B252,'[9]Subsidiary wise dispatch'!$A$3:$R$138,18,FALSE)*$H252*$O252*365</f>
        <v>0</v>
      </c>
      <c r="AN252" s="15">
        <f t="shared" si="170"/>
        <v>962027.48741750862</v>
      </c>
      <c r="AO252" s="6">
        <v>9.6241360115922034E-2</v>
      </c>
      <c r="AP252" s="11">
        <f t="shared" si="171"/>
        <v>0.37314768489194378</v>
      </c>
      <c r="AQ252" s="11">
        <f t="shared" si="172"/>
        <v>0.34127186297105949</v>
      </c>
      <c r="AR252" s="3">
        <f>VLOOKUP(A252,[10]Sheet1!$A$2:$L$542,12,FALSE)</f>
        <v>2.9649890350877199</v>
      </c>
      <c r="AS252" s="3">
        <f t="shared" si="180"/>
        <v>2.787874327250929</v>
      </c>
      <c r="AT252" s="3">
        <f t="shared" si="181"/>
        <v>2.7894330038785631</v>
      </c>
      <c r="AU252" s="3">
        <f t="shared" si="173"/>
        <v>-1.5586766276340924E-3</v>
      </c>
      <c r="AV252" s="88">
        <f t="shared" si="182"/>
        <v>-3.3710442786654013E-2</v>
      </c>
      <c r="AW252" s="32">
        <f t="shared" si="183"/>
        <v>1.1532717183390464E-2</v>
      </c>
      <c r="AX252" s="12">
        <f t="shared" si="174"/>
        <v>394.53456409134009</v>
      </c>
      <c r="AY252" s="12">
        <f t="shared" si="175"/>
        <v>361.03352425899851</v>
      </c>
      <c r="AZ252" s="3">
        <f>VLOOKUP(A252,[5]Analysis!$A$3:$BJ$543,62,FALSE)</f>
        <v>0.87638697866454418</v>
      </c>
      <c r="BA252" s="2"/>
      <c r="BB252" s="2"/>
      <c r="BC252" s="2" t="str">
        <f>VLOOKUP(A252,'[6]FGD status - Jun 2020'!$I$2:$M$449,5,FALSE)</f>
        <v>Bid Awarded</v>
      </c>
      <c r="BD252" s="2"/>
      <c r="BE252" s="2"/>
      <c r="BF252" s="2">
        <f t="shared" si="176"/>
        <v>301.09127902446829</v>
      </c>
      <c r="BG252" s="2">
        <f t="shared" si="177"/>
        <v>276.74807718800923</v>
      </c>
      <c r="BH252" s="2"/>
      <c r="BI252" s="2"/>
      <c r="BK252">
        <f t="shared" si="178"/>
        <v>161.55029589257418</v>
      </c>
      <c r="BL252">
        <f>VLOOKUP(A252,'[11]Daily coal vs energy req.2'!$C$2:$P$599,14,FALSE)</f>
        <v>1.1100000000000001</v>
      </c>
      <c r="BM252">
        <f>VLOOKUP(A252,'[11]Daily coal vs energy req.2'!$C$2:$R$599,16,FALSE)</f>
        <v>1.27</v>
      </c>
      <c r="BN252">
        <f t="shared" ref="BN252:BN259" si="213">BL252*H252</f>
        <v>333.00000000000006</v>
      </c>
      <c r="BO252">
        <f t="shared" ref="BO252:BO259" si="214">BM252*H252</f>
        <v>381</v>
      </c>
      <c r="BP252" s="2" t="str">
        <f>VLOOKUP(A252,'[7]Table 2'!$J$2:$N$449,5,FALSE)</f>
        <v>Bid Awarded</v>
      </c>
      <c r="BR252">
        <f t="shared" si="184"/>
        <v>377.08642210953712</v>
      </c>
      <c r="BS252">
        <f t="shared" si="185"/>
        <v>346.59902004016436</v>
      </c>
      <c r="BT252">
        <f>(X252*I252*365*[5]Analysis!BK252)/10^4</f>
        <v>164.78759360971202</v>
      </c>
      <c r="BU252">
        <f>(W252*R252*365*[5]Analysis!BK252)/10^4</f>
        <v>151.46453203057004</v>
      </c>
      <c r="BV252">
        <f>(X252*I252*365*[5]Analysis!BL252)/10^4</f>
        <v>212.29882849982508</v>
      </c>
      <c r="BW252">
        <f>(W252*R252*365*[5]Analysis!BL252)/10^4</f>
        <v>195.13448800959432</v>
      </c>
      <c r="BX252">
        <f t="shared" si="186"/>
        <v>1208303.3501661955</v>
      </c>
      <c r="BY252">
        <f t="shared" si="187"/>
        <v>1110612.1369631221</v>
      </c>
      <c r="BZ252">
        <f t="shared" si="188"/>
        <v>6424762.2926901644</v>
      </c>
      <c r="CA252">
        <f t="shared" si="189"/>
        <v>5875932.4673487358</v>
      </c>
      <c r="CB252">
        <f t="shared" si="190"/>
        <v>-225163.22647355881</v>
      </c>
      <c r="CC252">
        <f t="shared" si="191"/>
        <v>-188337.55441499996</v>
      </c>
      <c r="CD252">
        <f t="shared" si="192"/>
        <v>-1430861.5684199398</v>
      </c>
      <c r="CE252">
        <f t="shared" si="193"/>
        <v>-1308631.4423999998</v>
      </c>
      <c r="CF252">
        <f t="shared" si="194"/>
        <v>2526944.5265054861</v>
      </c>
      <c r="CG252">
        <f t="shared" si="195"/>
        <v>2311082.4509999999</v>
      </c>
      <c r="CH252">
        <f t="shared" si="196"/>
        <v>294358.33274299325</v>
      </c>
      <c r="CI252">
        <f t="shared" si="197"/>
        <v>269213.02386036905</v>
      </c>
      <c r="CJ252">
        <f t="shared" si="198"/>
        <v>-700107.28630373091</v>
      </c>
      <c r="CK252">
        <f t="shared" si="199"/>
        <v>-640301.22</v>
      </c>
      <c r="CL252">
        <f t="shared" si="200"/>
        <v>1054904.9236876601</v>
      </c>
      <c r="CM252">
        <f t="shared" si="201"/>
        <v>964790.57258115592</v>
      </c>
    </row>
    <row r="253" spans="1:91" x14ac:dyDescent="0.2">
      <c r="A253" s="2" t="s">
        <v>222</v>
      </c>
      <c r="B253" s="2" t="str">
        <f t="shared" si="207"/>
        <v>AMRAVATI TPS</v>
      </c>
      <c r="C253" s="2" t="str">
        <f>VLOOKUP($A253,'[1]daily coal, energy reqd'!$C$2:$T$599,17,FALSE)</f>
        <v>Maharashtra</v>
      </c>
      <c r="D253" s="2" t="str">
        <f>VLOOKUP(C253,'Target PLF'!$I$2:$J$19,2,FALSE)</f>
        <v>WR</v>
      </c>
      <c r="E253" s="2" t="str">
        <f>VLOOKUP(A253,[2]Ownership!$C$2:$D$666,2,FALSE)</f>
        <v>PVT SECTOR</v>
      </c>
      <c r="F253" s="2" t="s">
        <v>543</v>
      </c>
      <c r="G253" s="12">
        <v>6.2532511978097096</v>
      </c>
      <c r="H253" s="2">
        <v>270</v>
      </c>
      <c r="I253" s="2">
        <f>VLOOKUP(A253,'[3]Calculated coal req (reg.)'!$A$2:$I$599,9,FALSE)</f>
        <v>2.68161387098103</v>
      </c>
      <c r="J253" s="2"/>
      <c r="K253" s="11">
        <v>0.41382930107731941</v>
      </c>
      <c r="L253" s="3">
        <v>0.49249999999999999</v>
      </c>
      <c r="M253" s="3">
        <f t="shared" si="179"/>
        <v>7.8670698922680582E-2</v>
      </c>
      <c r="N253" s="2" t="str">
        <f t="shared" si="158"/>
        <v>0.25</v>
      </c>
      <c r="O253" s="2">
        <f t="shared" si="210"/>
        <v>7.0805815963696901</v>
      </c>
      <c r="P253" s="2">
        <f t="shared" si="159"/>
        <v>697791.31632223295</v>
      </c>
      <c r="Q253" s="2">
        <f t="shared" si="160"/>
        <v>13.149155381690623</v>
      </c>
      <c r="R253" s="2">
        <f t="shared" si="161"/>
        <v>3.1914000000000002</v>
      </c>
      <c r="S253" s="2">
        <f t="shared" si="162"/>
        <v>750830.30818978033</v>
      </c>
      <c r="T253" s="2" t="str">
        <f>VLOOKUP(A253,'[4]CEA vs MERIT comp. &amp; NPA marker'!$C$2:$K$735,9,FALSE)</f>
        <v>Contracted</v>
      </c>
      <c r="U253" s="3">
        <f>VLOOKUP(B253,'[8]Import-Domestic share'!$A$208:$F$406,6,FALSE)</f>
        <v>2.8792014074136132E-2</v>
      </c>
      <c r="V253" s="3">
        <f t="shared" si="163"/>
        <v>20090.817400359709</v>
      </c>
      <c r="W253" s="2">
        <f t="shared" si="164"/>
        <v>3059.3247809554518</v>
      </c>
      <c r="X253" s="2">
        <f t="shared" si="165"/>
        <v>3085.3310483031614</v>
      </c>
      <c r="Y253" s="6">
        <f t="shared" si="166"/>
        <v>0.28110778082587723</v>
      </c>
      <c r="Z253" s="2">
        <f t="shared" si="167"/>
        <v>857566.32415629027</v>
      </c>
      <c r="AA253" s="2">
        <f t="shared" si="168"/>
        <v>726706.26792069315</v>
      </c>
      <c r="AB253" s="2" t="s">
        <v>598</v>
      </c>
      <c r="AC253" s="12">
        <f>VLOOKUP(B253,[9]Sheet1!$A$2:$B$137,2,FALSE)</f>
        <v>4155.5830998548772</v>
      </c>
      <c r="AD253" s="12">
        <f t="shared" si="169"/>
        <v>1122007.4369608168</v>
      </c>
      <c r="AE253" s="2"/>
      <c r="AF253" s="7">
        <f>VLOOKUP($B253,'[9]Subsidiary wise dispatch'!$A$3:$R$138,11,FALSE)*$H253*$O253*365</f>
        <v>0</v>
      </c>
      <c r="AG253" s="7">
        <f>VLOOKUP($B253,'[9]Subsidiary wise dispatch'!$A$3:$R$138,12,FALSE)*$H253*$O253*365</f>
        <v>0</v>
      </c>
      <c r="AH253" s="7">
        <f>VLOOKUP($B253,'[9]Subsidiary wise dispatch'!$A$3:$R$138,13,FALSE)*$H253*$O253*365</f>
        <v>0</v>
      </c>
      <c r="AI253" s="7">
        <f>VLOOKUP($B253,'[9]Subsidiary wise dispatch'!$A$3:$R$138,14,FALSE)*$H253*$O253*365</f>
        <v>0</v>
      </c>
      <c r="AJ253" s="7">
        <f>VLOOKUP($B253,'[9]Subsidiary wise dispatch'!$A$3:$R$138,15,FALSE)*$H253*$O253*365</f>
        <v>0</v>
      </c>
      <c r="AK253" s="7">
        <f>VLOOKUP($B253,'[9]Subsidiary wise dispatch'!$A$3:$R$138,16,FALSE)*$H253*$O253*365</f>
        <v>0</v>
      </c>
      <c r="AL253" s="7">
        <f>VLOOKUP($B253,'[9]Subsidiary wise dispatch'!$A$3:$R$138,17,FALSE)*$H253*$O253*365</f>
        <v>691395.00502467691</v>
      </c>
      <c r="AM253" s="7">
        <f>VLOOKUP($B253,'[9]Subsidiary wise dispatch'!$A$3:$R$138,18,FALSE)*$H253*$O253*365</f>
        <v>6396.3112975560962</v>
      </c>
      <c r="AN253" s="15">
        <f t="shared" si="170"/>
        <v>697791.31632223306</v>
      </c>
      <c r="AO253" s="6">
        <v>8.9360960918391241E-2</v>
      </c>
      <c r="AP253" s="11">
        <f t="shared" si="171"/>
        <v>0.23963159232295167</v>
      </c>
      <c r="AQ253" s="11">
        <f t="shared" si="172"/>
        <v>0.28518657067495384</v>
      </c>
      <c r="AR253" s="3">
        <f>VLOOKUP(A253,[10]Sheet1!$A$2:$L$542,12,FALSE)</f>
        <v>3.0295164835164798</v>
      </c>
      <c r="AS253" s="3">
        <f t="shared" si="180"/>
        <v>2.7087123624177321</v>
      </c>
      <c r="AT253" s="3">
        <f t="shared" si="181"/>
        <v>2.7060467200145921</v>
      </c>
      <c r="AU253" s="3">
        <f t="shared" si="173"/>
        <v>2.6656424031399339E-3</v>
      </c>
      <c r="AV253" s="88">
        <f t="shared" si="182"/>
        <v>5.7651461584518789E-2</v>
      </c>
      <c r="AW253" s="32">
        <f t="shared" si="183"/>
        <v>2.0299615398181231E-2</v>
      </c>
      <c r="AX253" s="12">
        <f t="shared" si="174"/>
        <v>265.12580348983727</v>
      </c>
      <c r="AY253" s="12">
        <f t="shared" si="175"/>
        <v>315.21682883229181</v>
      </c>
      <c r="AZ253" s="3">
        <f>VLOOKUP(A253,[5]Analysis!$A$3:$BJ$543,62,FALSE)</f>
        <v>0.84848666721700461</v>
      </c>
      <c r="BA253" s="2"/>
      <c r="BB253" s="2"/>
      <c r="BC253" s="2" t="e">
        <f>VLOOKUP(A253,'[6]FGD status - Jun 2020'!$I$2:$M$449,5,FALSE)</f>
        <v>#N/A</v>
      </c>
      <c r="BD253" s="2"/>
      <c r="BE253" s="2"/>
      <c r="BF253" s="2">
        <f t="shared" si="176"/>
        <v>229.38481472467646</v>
      </c>
      <c r="BG253" s="2">
        <f t="shared" si="177"/>
        <v>270.69078810006926</v>
      </c>
      <c r="BH253" s="2"/>
      <c r="BI253" s="2"/>
      <c r="BK253">
        <f t="shared" si="178"/>
        <v>111.73391129087624</v>
      </c>
      <c r="BL253">
        <f>VLOOKUP(A253,'[11]Daily coal vs energy req.2'!$C$2:$P$599,14,FALSE)</f>
        <v>1.21</v>
      </c>
      <c r="BM253">
        <f>VLOOKUP(A253,'[11]Daily coal vs energy req.2'!$C$2:$R$599,16,FALSE)</f>
        <v>1.19</v>
      </c>
      <c r="BN253">
        <f t="shared" si="213"/>
        <v>326.7</v>
      </c>
      <c r="BO253">
        <f t="shared" si="214"/>
        <v>321.3</v>
      </c>
      <c r="BP253" s="2" t="e">
        <f>VLOOKUP(A253,'[7]Table 2'!$J$2:$N$449,5,FALSE)</f>
        <v>#N/A</v>
      </c>
      <c r="BR253">
        <f t="shared" si="184"/>
        <v>256.23349467568903</v>
      </c>
      <c r="BS253">
        <f t="shared" si="185"/>
        <v>302.37418590523481</v>
      </c>
      <c r="BT253">
        <f>(X253*I253*365*[5]Analysis!BK253)/10^4</f>
        <v>124.43900056736526</v>
      </c>
      <c r="BU253">
        <f>(W253*R253*365*[5]Analysis!BK253)/10^4</f>
        <v>146.84708390307145</v>
      </c>
      <c r="BV253">
        <f>(X253*I253*365*[5]Analysis!BL253)/10^4</f>
        <v>131.79449410832379</v>
      </c>
      <c r="BW253">
        <f>(W253*R253*365*[5]Analysis!BL253)/10^4</f>
        <v>155.52710200216336</v>
      </c>
      <c r="BX253">
        <f t="shared" si="186"/>
        <v>848050.81990906538</v>
      </c>
      <c r="BY253">
        <f t="shared" si="187"/>
        <v>1000761.7333589761</v>
      </c>
      <c r="BZ253">
        <f t="shared" si="188"/>
        <v>4302128.8557151742</v>
      </c>
      <c r="CA253">
        <f t="shared" si="189"/>
        <v>5119981.7314140573</v>
      </c>
      <c r="CB253">
        <f t="shared" si="190"/>
        <v>-119676.65487877505</v>
      </c>
      <c r="CC253">
        <f t="shared" si="191"/>
        <v>-169503.7989735</v>
      </c>
      <c r="CD253">
        <f t="shared" si="192"/>
        <v>-989634.58204787155</v>
      </c>
      <c r="CE253">
        <f t="shared" si="193"/>
        <v>-1177768.2981600002</v>
      </c>
      <c r="CF253">
        <f t="shared" si="194"/>
        <v>1747724.409921725</v>
      </c>
      <c r="CG253">
        <f t="shared" si="195"/>
        <v>2079974.2059000002</v>
      </c>
      <c r="CH253">
        <f t="shared" si="196"/>
        <v>124164.61773891539</v>
      </c>
      <c r="CI253">
        <f t="shared" si="197"/>
        <v>147768.83627433243</v>
      </c>
      <c r="CJ253">
        <f t="shared" si="198"/>
        <v>-435797.11501474015</v>
      </c>
      <c r="CK253">
        <f t="shared" si="199"/>
        <v>-518643.98820000014</v>
      </c>
      <c r="CL253">
        <f t="shared" si="200"/>
        <v>677449.05528704647</v>
      </c>
      <c r="CM253">
        <f t="shared" si="201"/>
        <v>806234.98350720399</v>
      </c>
    </row>
    <row r="254" spans="1:91" x14ac:dyDescent="0.2">
      <c r="A254" s="2" t="s">
        <v>235</v>
      </c>
      <c r="B254" s="2" t="str">
        <f t="shared" si="207"/>
        <v>MAHADEV PRASAD STPP</v>
      </c>
      <c r="C254" s="2" t="str">
        <f>VLOOKUP($A254,'[1]daily coal, energy reqd'!$C$2:$T$599,17,FALSE)</f>
        <v>Jharkhand</v>
      </c>
      <c r="D254" s="2" t="str">
        <f>VLOOKUP(C254,'Target PLF'!$I$2:$J$19,2,FALSE)</f>
        <v>ER</v>
      </c>
      <c r="E254" s="2" t="str">
        <f>VLOOKUP(A254,[2]Ownership!$C$2:$D$666,2,FALSE)</f>
        <v>PVT SECTOR</v>
      </c>
      <c r="F254" s="2" t="s">
        <v>543</v>
      </c>
      <c r="G254" s="12">
        <v>7.1759069130732298</v>
      </c>
      <c r="H254" s="2">
        <v>270</v>
      </c>
      <c r="I254" s="2">
        <f>VLOOKUP(A254,'[3]Calculated coal req (reg.)'!$A$2:$I$599,9,FALSE)</f>
        <v>2.8430944202199901</v>
      </c>
      <c r="J254" s="2"/>
      <c r="K254" s="11">
        <v>0.43874913892283801</v>
      </c>
      <c r="L254" s="3">
        <v>0.49249999999999999</v>
      </c>
      <c r="M254" s="3">
        <f t="shared" si="179"/>
        <v>5.3750861077161982E-2</v>
      </c>
      <c r="N254" s="2" t="str">
        <f t="shared" si="158"/>
        <v>0.25</v>
      </c>
      <c r="O254" s="2">
        <f t="shared" si="210"/>
        <v>7.4565238960467166</v>
      </c>
      <c r="P254" s="2">
        <f t="shared" si="159"/>
        <v>734840.4299554039</v>
      </c>
      <c r="Q254" s="2">
        <f t="shared" si="160"/>
        <v>13.178380501471594</v>
      </c>
      <c r="R254" s="2">
        <f t="shared" si="161"/>
        <v>3.1914000000000002</v>
      </c>
      <c r="S254" s="2">
        <f t="shared" si="162"/>
        <v>752499.09261395596</v>
      </c>
      <c r="T254" s="2" t="str">
        <f>VLOOKUP(A254,'[4]CEA vs MERIT comp. &amp; NPA marker'!$C$2:$K$735,9,FALSE)</f>
        <v>Contracted</v>
      </c>
      <c r="U254" s="3">
        <f>VLOOKUP(B254,'[8]Import-Domestic share'!$A$208:$F$406,6,FALSE)</f>
        <v>1.6422389830472372E-3</v>
      </c>
      <c r="V254" s="3">
        <f t="shared" si="163"/>
        <v>1206.783600391957</v>
      </c>
      <c r="W254" s="2">
        <f t="shared" si="164"/>
        <v>3060.2532972531581</v>
      </c>
      <c r="X254" s="2">
        <f t="shared" si="165"/>
        <v>3078.021783900469</v>
      </c>
      <c r="Y254" s="6">
        <f t="shared" si="166"/>
        <v>0.28102248946906594</v>
      </c>
      <c r="Z254" s="2">
        <f t="shared" si="167"/>
        <v>841995.99473790196</v>
      </c>
      <c r="AA254" s="2">
        <f t="shared" si="168"/>
        <v>754456.80915973883</v>
      </c>
      <c r="AB254" s="2" t="s">
        <v>598</v>
      </c>
      <c r="AC254" s="12">
        <f>VLOOKUP(B254,[9]Sheet1!$A$2:$B$137,2,FALSE)</f>
        <v>4233.7133886263427</v>
      </c>
      <c r="AD254" s="12">
        <f t="shared" si="169"/>
        <v>1143102.6149291126</v>
      </c>
      <c r="AE254" s="2"/>
      <c r="AF254" s="7">
        <f>VLOOKUP($B254,'[9]Subsidiary wise dispatch'!$A$3:$R$138,11,FALSE)*$H254*$O254*365</f>
        <v>262485.72325241915</v>
      </c>
      <c r="AG254" s="7">
        <f>VLOOKUP($B254,'[9]Subsidiary wise dispatch'!$A$3:$R$138,12,FALSE)*$H254*$O254*365</f>
        <v>472354.70670298469</v>
      </c>
      <c r="AH254" s="7">
        <f>VLOOKUP($B254,'[9]Subsidiary wise dispatch'!$A$3:$R$138,13,FALSE)*$H254*$O254*365</f>
        <v>0</v>
      </c>
      <c r="AI254" s="7">
        <f>VLOOKUP($B254,'[9]Subsidiary wise dispatch'!$A$3:$R$138,14,FALSE)*$H254*$O254*365</f>
        <v>0</v>
      </c>
      <c r="AJ254" s="7">
        <f>VLOOKUP($B254,'[9]Subsidiary wise dispatch'!$A$3:$R$138,15,FALSE)*$H254*$O254*365</f>
        <v>0</v>
      </c>
      <c r="AK254" s="7">
        <f>VLOOKUP($B254,'[9]Subsidiary wise dispatch'!$A$3:$R$138,16,FALSE)*$H254*$O254*365</f>
        <v>0</v>
      </c>
      <c r="AL254" s="7">
        <f>VLOOKUP($B254,'[9]Subsidiary wise dispatch'!$A$3:$R$138,17,FALSE)*$H254*$O254*365</f>
        <v>0</v>
      </c>
      <c r="AM254" s="7">
        <f>VLOOKUP($B254,'[9]Subsidiary wise dispatch'!$A$3:$R$138,18,FALSE)*$H254*$O254*365</f>
        <v>0</v>
      </c>
      <c r="AN254" s="15">
        <f t="shared" si="170"/>
        <v>734840.42995540379</v>
      </c>
      <c r="AO254" s="6">
        <v>8.795755336381729E-2</v>
      </c>
      <c r="AP254" s="11">
        <f t="shared" si="171"/>
        <v>0.25007162918487097</v>
      </c>
      <c r="AQ254" s="11">
        <f t="shared" si="172"/>
        <v>0.28070773580528652</v>
      </c>
      <c r="AR254" s="3">
        <f>VLOOKUP(A254,[10]Sheet1!$A$2:$L$542,12,FALSE)</f>
        <v>1.87919577604358</v>
      </c>
      <c r="AS254" s="3">
        <f t="shared" si="180"/>
        <v>2.1670586840987358</v>
      </c>
      <c r="AT254" s="3">
        <f t="shared" si="181"/>
        <v>2.165237414217386</v>
      </c>
      <c r="AU254" s="3">
        <f t="shared" si="173"/>
        <v>1.8212698813497852E-3</v>
      </c>
      <c r="AV254" s="88">
        <f t="shared" si="182"/>
        <v>3.9389706014565845E-2</v>
      </c>
      <c r="AW254" s="32">
        <f t="shared" si="183"/>
        <v>1.7336141567776926E-2</v>
      </c>
      <c r="AX254" s="12">
        <f t="shared" si="174"/>
        <v>224.88206453633924</v>
      </c>
      <c r="AY254" s="12">
        <f t="shared" si="175"/>
        <v>252.22006195626787</v>
      </c>
      <c r="AZ254" s="3">
        <f>VLOOKUP(A254,[5]Analysis!$A$3:$BJ$543,62,FALSE)</f>
        <v>0.56089776205080277</v>
      </c>
      <c r="BA254" s="2"/>
      <c r="BB254" s="2"/>
      <c r="BC254" s="2" t="str">
        <f>VLOOKUP(A254,'[6]FGD status - Jun 2020'!$I$2:$M$449,5,FALSE)</f>
        <v>Complies with new Norms</v>
      </c>
      <c r="BD254" s="2"/>
      <c r="BE254" s="2"/>
      <c r="BF254" s="2">
        <f t="shared" si="176"/>
        <v>233.76903248955384</v>
      </c>
      <c r="BG254" s="2">
        <f t="shared" si="177"/>
        <v>260.89311761819363</v>
      </c>
      <c r="BH254" s="2"/>
      <c r="BI254" s="2"/>
      <c r="BK254">
        <f t="shared" si="178"/>
        <v>118.46226750916627</v>
      </c>
      <c r="BL254">
        <f>VLOOKUP(A254,'[11]Daily coal vs energy req.2'!$C$2:$P$599,14,FALSE)</f>
        <v>0.41</v>
      </c>
      <c r="BM254">
        <f>VLOOKUP(A254,'[11]Daily coal vs energy req.2'!$C$2:$R$599,16,FALSE)</f>
        <v>0.4</v>
      </c>
      <c r="BN254">
        <f t="shared" si="213"/>
        <v>110.69999999999999</v>
      </c>
      <c r="BO254">
        <f t="shared" si="214"/>
        <v>108</v>
      </c>
      <c r="BP254" s="2" t="str">
        <f>VLOOKUP(A254,'[7]Table 2'!$J$2:$N$449,5,FALSE)</f>
        <v>Complies with new Norms</v>
      </c>
      <c r="BR254">
        <f t="shared" si="184"/>
        <v>179.15937708352706</v>
      </c>
      <c r="BS254">
        <f t="shared" si="185"/>
        <v>199.947135598226</v>
      </c>
      <c r="BT254">
        <f>(X254*I254*365*[5]Analysis!BK254)/10^4</f>
        <v>124.07942080910713</v>
      </c>
      <c r="BU254">
        <f>(W254*R254*365*[5]Analysis!BK254)/10^4</f>
        <v>138.47628397313179</v>
      </c>
      <c r="BV254">
        <f>(X254*I254*365*[5]Analysis!BL254)/10^4</f>
        <v>55.079956274419942</v>
      </c>
      <c r="BW254">
        <f>(W254*R254*365*[5]Analysis!BL254)/10^4</f>
        <v>61.470851625094248</v>
      </c>
      <c r="BX254">
        <f t="shared" si="186"/>
        <v>896988.42231010774</v>
      </c>
      <c r="BY254">
        <f t="shared" si="187"/>
        <v>1001065.4682175072</v>
      </c>
      <c r="BZ254">
        <f t="shared" si="188"/>
        <v>3015207.0404235935</v>
      </c>
      <c r="CA254">
        <f t="shared" si="189"/>
        <v>3384598.0212163618</v>
      </c>
      <c r="CB254">
        <f t="shared" si="190"/>
        <v>-134523.92208385395</v>
      </c>
      <c r="CC254">
        <f t="shared" si="191"/>
        <v>-169503.7989735</v>
      </c>
      <c r="CD254">
        <f t="shared" si="192"/>
        <v>-1049228.0744534342</v>
      </c>
      <c r="CE254">
        <f t="shared" si="193"/>
        <v>-1177768.2981600002</v>
      </c>
      <c r="CF254">
        <f t="shared" si="194"/>
        <v>1852968.3082646474</v>
      </c>
      <c r="CG254">
        <f t="shared" si="195"/>
        <v>2079974.2059000002</v>
      </c>
      <c r="CH254">
        <f t="shared" si="196"/>
        <v>151064.98670793709</v>
      </c>
      <c r="CI254">
        <f t="shared" si="197"/>
        <v>169571.85633757681</v>
      </c>
      <c r="CJ254">
        <f t="shared" si="198"/>
        <v>-462039.80351321131</v>
      </c>
      <c r="CK254">
        <f t="shared" si="199"/>
        <v>-518643.98820000014</v>
      </c>
      <c r="CL254">
        <f t="shared" si="200"/>
        <v>706963.49885731435</v>
      </c>
      <c r="CM254">
        <f t="shared" si="201"/>
        <v>793573.12026192038</v>
      </c>
    </row>
    <row r="255" spans="1:91" x14ac:dyDescent="0.2">
      <c r="A255" s="2" t="s">
        <v>261</v>
      </c>
      <c r="B255" s="2" t="str">
        <f t="shared" si="207"/>
        <v>PATHADI TPS</v>
      </c>
      <c r="C255" s="2" t="str">
        <f>VLOOKUP($A255,'[1]daily coal, energy reqd'!$C$2:$T$599,17,FALSE)</f>
        <v>Chhatisgarh</v>
      </c>
      <c r="D255" s="2" t="str">
        <f>VLOOKUP(C255,'Target PLF'!$I$2:$J$19,2,FALSE)</f>
        <v>WR</v>
      </c>
      <c r="E255" s="2" t="str">
        <f>VLOOKUP(A255,[2]Ownership!$C$2:$D$666,2,FALSE)</f>
        <v>PVT SECTOR</v>
      </c>
      <c r="F255" s="2" t="s">
        <v>544</v>
      </c>
      <c r="G255" s="12">
        <v>10.924024640657001</v>
      </c>
      <c r="H255" s="2">
        <v>300</v>
      </c>
      <c r="I255" s="2">
        <f>VLOOKUP(A255,'[3]Calculated coal req (reg.)'!$A$2:$I$599,9,FALSE)</f>
        <v>5.4394364381656297</v>
      </c>
      <c r="J255" s="2"/>
      <c r="K255" s="11">
        <v>0.75547728307855966</v>
      </c>
      <c r="L255" s="3">
        <v>0.49249999999999999</v>
      </c>
      <c r="M255" s="3">
        <f t="shared" si="179"/>
        <v>-0.26297728307855966</v>
      </c>
      <c r="N255" s="2" t="str">
        <f t="shared" si="158"/>
        <v>0.25</v>
      </c>
      <c r="O255" s="2">
        <f t="shared" si="210"/>
        <v>11.825742213149734</v>
      </c>
      <c r="P255" s="2">
        <f t="shared" si="159"/>
        <v>1294918.7723398961</v>
      </c>
      <c r="Q255" s="2">
        <f t="shared" si="160"/>
        <v>13.140865130492811</v>
      </c>
      <c r="R255" s="2">
        <f t="shared" si="161"/>
        <v>3.5459999999999998</v>
      </c>
      <c r="S255" s="2">
        <f t="shared" si="162"/>
        <v>833729.91812478134</v>
      </c>
      <c r="T255" s="2" t="str">
        <f>VLOOKUP(A255,'[4]CEA vs MERIT comp. &amp; NPA marker'!$C$2:$K$735,9,FALSE)</f>
        <v>Contracted</v>
      </c>
      <c r="U255" s="3">
        <f>VLOOKUP(B255,'[8]Import-Domestic share'!$A$208:$F$406,6,FALSE)</f>
        <v>0</v>
      </c>
      <c r="V255" s="3">
        <f t="shared" si="163"/>
        <v>0</v>
      </c>
      <c r="W255" s="2">
        <f t="shared" si="164"/>
        <v>3060.7484084558514</v>
      </c>
      <c r="X255" s="2">
        <f t="shared" si="165"/>
        <v>2973.8156924158325</v>
      </c>
      <c r="Y255" s="6">
        <f t="shared" si="166"/>
        <v>0.28097703085431652</v>
      </c>
      <c r="Z255" s="2">
        <f t="shared" si="167"/>
        <v>955514.36967567017</v>
      </c>
      <c r="AA255" s="2">
        <f t="shared" si="168"/>
        <v>1424094.5162903725</v>
      </c>
      <c r="AB255" s="2" t="s">
        <v>598</v>
      </c>
      <c r="AC255" s="12">
        <f>VLOOKUP(B255,[9]Sheet1!$A$2:$B$137,2,FALSE)</f>
        <v>4145.9303839930444</v>
      </c>
      <c r="AD255" s="12">
        <f t="shared" si="169"/>
        <v>1243779.1151979133</v>
      </c>
      <c r="AE255" s="2"/>
      <c r="AF255" s="7">
        <f>VLOOKUP($B255,'[9]Subsidiary wise dispatch'!$A$3:$R$138,11,FALSE)*$H255*$O255*365</f>
        <v>0</v>
      </c>
      <c r="AG255" s="7">
        <f>VLOOKUP($B255,'[9]Subsidiary wise dispatch'!$A$3:$R$138,12,FALSE)*$H255*$O255*365</f>
        <v>0</v>
      </c>
      <c r="AH255" s="7">
        <f>VLOOKUP($B255,'[9]Subsidiary wise dispatch'!$A$3:$R$138,13,FALSE)*$H255*$O255*365</f>
        <v>0</v>
      </c>
      <c r="AI255" s="7">
        <f>VLOOKUP($B255,'[9]Subsidiary wise dispatch'!$A$3:$R$138,14,FALSE)*$H255*$O255*365</f>
        <v>0</v>
      </c>
      <c r="AJ255" s="7">
        <f>VLOOKUP($B255,'[9]Subsidiary wise dispatch'!$A$3:$R$138,15,FALSE)*$H255*$O255*365</f>
        <v>0</v>
      </c>
      <c r="AK255" s="7">
        <f>VLOOKUP($B255,'[9]Subsidiary wise dispatch'!$A$3:$R$138,16,FALSE)*$H255*$O255*365</f>
        <v>0</v>
      </c>
      <c r="AL255" s="7">
        <f>VLOOKUP($B255,'[9]Subsidiary wise dispatch'!$A$3:$R$138,17,FALSE)*$H255*$O255*365</f>
        <v>1294918.7723398961</v>
      </c>
      <c r="AM255" s="7">
        <f>VLOOKUP($B255,'[9]Subsidiary wise dispatch'!$A$3:$R$138,18,FALSE)*$H255*$O255*365</f>
        <v>0</v>
      </c>
      <c r="AN255" s="15">
        <f t="shared" si="170"/>
        <v>1294918.7723398961</v>
      </c>
      <c r="AO255" s="6">
        <v>8.7832676734947532E-2</v>
      </c>
      <c r="AP255" s="11">
        <f t="shared" si="171"/>
        <v>0.47776026229369617</v>
      </c>
      <c r="AQ255" s="11">
        <f t="shared" si="172"/>
        <v>0.31145467170212393</v>
      </c>
      <c r="AR255" s="3">
        <f>VLOOKUP(A255,[10]Sheet1!$A$2:$L$542,12,FALSE)</f>
        <v>2.0314259453038699</v>
      </c>
      <c r="AS255" s="3">
        <f t="shared" si="180"/>
        <v>2.015346776781473</v>
      </c>
      <c r="AT255" s="3">
        <f t="shared" si="181"/>
        <v>2.024257380175575</v>
      </c>
      <c r="AU255" s="3">
        <f t="shared" si="173"/>
        <v>-8.9106033941019902E-3</v>
      </c>
      <c r="AV255" s="88">
        <f t="shared" si="182"/>
        <v>-0.19271501258563009</v>
      </c>
      <c r="AW255" s="32">
        <f t="shared" si="183"/>
        <v>9.1202373362794367E-2</v>
      </c>
      <c r="AX255" s="12">
        <f t="shared" si="174"/>
        <v>400.1258003005151</v>
      </c>
      <c r="AY255" s="12">
        <f t="shared" si="175"/>
        <v>261.99760845874448</v>
      </c>
      <c r="AZ255" s="3">
        <f>VLOOKUP(A255,[5]Analysis!$A$3:$BJ$543,62,FALSE)</f>
        <v>0.48136799587982382</v>
      </c>
      <c r="BA255" s="2"/>
      <c r="BB255" s="2"/>
      <c r="BC255" s="2" t="str">
        <f>VLOOKUP(A255,'[6]FGD status - Jun 2020'!$I$2:$M$449,5,FALSE)</f>
        <v>Tender specification made</v>
      </c>
      <c r="BD255" s="2"/>
      <c r="BE255" s="2"/>
      <c r="BF255" s="2">
        <f t="shared" si="176"/>
        <v>440.75725279187031</v>
      </c>
      <c r="BG255" s="2">
        <f t="shared" si="177"/>
        <v>295.73169741461993</v>
      </c>
      <c r="BH255" s="2"/>
      <c r="BI255" s="2"/>
      <c r="BK255">
        <f t="shared" si="178"/>
        <v>226.6431849235679</v>
      </c>
      <c r="BL255">
        <f>VLOOKUP(A255,'[11]Daily coal vs energy req.2'!$C$2:$P$599,14,FALSE)</f>
        <v>1.69</v>
      </c>
      <c r="BM255">
        <f>VLOOKUP(A255,'[11]Daily coal vs energy req.2'!$C$2:$R$599,16,FALSE)</f>
        <v>1.64</v>
      </c>
      <c r="BN255">
        <f t="shared" si="213"/>
        <v>507</v>
      </c>
      <c r="BO255">
        <f t="shared" si="214"/>
        <v>491.99999999999994</v>
      </c>
      <c r="BP255" s="2" t="str">
        <f>VLOOKUP(A255,'[7]Table 2'!$J$2:$N$449,5,FALSE)</f>
        <v>Tender specification made</v>
      </c>
      <c r="BR255">
        <f t="shared" si="184"/>
        <v>284.2091344680893</v>
      </c>
      <c r="BS255">
        <f t="shared" si="185"/>
        <v>190.69374179232636</v>
      </c>
      <c r="BT255">
        <f>(X255*I255*365*[5]Analysis!BK255)/10^4</f>
        <v>229.00268644957669</v>
      </c>
      <c r="BU255">
        <f>(W255*R255*365*[5]Analysis!BK255)/10^4</f>
        <v>153.65227173747931</v>
      </c>
      <c r="BV255">
        <f>(X255*I255*365*[5]Analysis!BL255)/10^4</f>
        <v>55.206448018512582</v>
      </c>
      <c r="BW255">
        <f>(W255*R255*365*[5]Analysis!BL255)/10^4</f>
        <v>37.041470054847039</v>
      </c>
      <c r="BX255">
        <f t="shared" si="186"/>
        <v>1658027.847365832</v>
      </c>
      <c r="BY255">
        <f t="shared" si="187"/>
        <v>1112474.920279406</v>
      </c>
      <c r="BZ255">
        <f t="shared" si="188"/>
        <v>4950775.8869801601</v>
      </c>
      <c r="CA255">
        <f t="shared" si="189"/>
        <v>3227439.3670738372</v>
      </c>
      <c r="CB255">
        <f t="shared" si="190"/>
        <v>-443166.86027875979</v>
      </c>
      <c r="CC255">
        <f t="shared" si="191"/>
        <v>-188337.55441499996</v>
      </c>
      <c r="CD255">
        <f t="shared" si="192"/>
        <v>-2007393.5566609721</v>
      </c>
      <c r="CE255">
        <f t="shared" si="193"/>
        <v>-1308631.4423999998</v>
      </c>
      <c r="CF255">
        <f t="shared" si="194"/>
        <v>3545117.3422376011</v>
      </c>
      <c r="CG255">
        <f t="shared" si="195"/>
        <v>2311082.4509999999</v>
      </c>
      <c r="CH255">
        <f t="shared" si="196"/>
        <v>439979.37126495392</v>
      </c>
      <c r="CI255">
        <f t="shared" si="197"/>
        <v>286825.09084188688</v>
      </c>
      <c r="CJ255">
        <f t="shared" si="198"/>
        <v>-982199.03763956786</v>
      </c>
      <c r="CK255">
        <f t="shared" si="199"/>
        <v>-640301.22</v>
      </c>
      <c r="CL255">
        <f t="shared" si="200"/>
        <v>1350649.28295582</v>
      </c>
      <c r="CM255">
        <f t="shared" si="201"/>
        <v>880496.06090745924</v>
      </c>
    </row>
    <row r="256" spans="1:91" x14ac:dyDescent="0.2">
      <c r="A256" s="2" t="s">
        <v>238</v>
      </c>
      <c r="B256" s="2" t="str">
        <f t="shared" si="207"/>
        <v>MAHADEV PRASAD STPP</v>
      </c>
      <c r="C256" s="2" t="str">
        <f>VLOOKUP($A256,'[1]daily coal, energy reqd'!$C$2:$T$599,17,FALSE)</f>
        <v>Jharkhand</v>
      </c>
      <c r="D256" s="2" t="str">
        <f>VLOOKUP(C256,'Target PLF'!$I$2:$J$19,2,FALSE)</f>
        <v>ER</v>
      </c>
      <c r="E256" s="2" t="str">
        <f>VLOOKUP(A256,[2]Ownership!$C$2:$D$666,2,FALSE)</f>
        <v>PVT SECTOR</v>
      </c>
      <c r="F256" s="2" t="s">
        <v>543</v>
      </c>
      <c r="G256" s="12">
        <v>7.5044490075290797</v>
      </c>
      <c r="H256" s="2">
        <v>270</v>
      </c>
      <c r="I256" s="2">
        <f>VLOOKUP(A256,'[3]Calculated coal req (reg.)'!$A$2:$I$599,9,FALSE)</f>
        <v>4.82982407456256</v>
      </c>
      <c r="J256" s="2"/>
      <c r="K256" s="11">
        <v>0.74534322138311104</v>
      </c>
      <c r="L256" s="3">
        <v>0.49249999999999999</v>
      </c>
      <c r="M256" s="3">
        <f t="shared" si="179"/>
        <v>-0.25284322138311105</v>
      </c>
      <c r="N256" s="2" t="str">
        <f t="shared" si="158"/>
        <v>0.25</v>
      </c>
      <c r="O256" s="2">
        <f t="shared" si="210"/>
        <v>11.732665914383121</v>
      </c>
      <c r="P256" s="2">
        <f t="shared" si="159"/>
        <v>1156254.2258624567</v>
      </c>
      <c r="Q256" s="2">
        <f t="shared" si="160"/>
        <v>13.188787072313483</v>
      </c>
      <c r="R256" s="2">
        <f t="shared" si="161"/>
        <v>3.1914000000000002</v>
      </c>
      <c r="S256" s="2">
        <f t="shared" si="162"/>
        <v>753093.31852167437</v>
      </c>
      <c r="T256" s="2" t="str">
        <f>VLOOKUP(A256,'[4]CEA vs MERIT comp. &amp; NPA marker'!$C$2:$K$735,9,FALSE)</f>
        <v>Contracted</v>
      </c>
      <c r="U256" s="3">
        <f>VLOOKUP(B256,'[8]Import-Domestic share'!$A$208:$F$406,6,FALSE)</f>
        <v>1.6422389830472372E-3</v>
      </c>
      <c r="V256" s="3">
        <f t="shared" si="163"/>
        <v>1898.845764024431</v>
      </c>
      <c r="W256" s="2">
        <f t="shared" si="164"/>
        <v>3062.7635352819052</v>
      </c>
      <c r="X256" s="2">
        <f t="shared" si="165"/>
        <v>2979.1808481774247</v>
      </c>
      <c r="Y256" s="6">
        <f t="shared" si="166"/>
        <v>0.28079216370872823</v>
      </c>
      <c r="Z256" s="2">
        <f t="shared" si="167"/>
        <v>842686.65990863834</v>
      </c>
      <c r="AA256" s="2">
        <f t="shared" si="168"/>
        <v>1240508.0582226515</v>
      </c>
      <c r="AB256" s="2" t="s">
        <v>598</v>
      </c>
      <c r="AC256" s="12">
        <f>VLOOKUP(B256,[9]Sheet1!$A$2:$B$137,2,FALSE)</f>
        <v>4233.7133886263427</v>
      </c>
      <c r="AD256" s="12">
        <f t="shared" si="169"/>
        <v>1143102.6149291126</v>
      </c>
      <c r="AE256" s="2"/>
      <c r="AF256" s="7">
        <f>VLOOKUP($B256,'[9]Subsidiary wise dispatch'!$A$3:$R$138,11,FALSE)*$H256*$O256*365</f>
        <v>413015.14501262782</v>
      </c>
      <c r="AG256" s="7">
        <f>VLOOKUP($B256,'[9]Subsidiary wise dispatch'!$A$3:$R$138,12,FALSE)*$H256*$O256*365</f>
        <v>743239.08084982866</v>
      </c>
      <c r="AH256" s="7">
        <f>VLOOKUP($B256,'[9]Subsidiary wise dispatch'!$A$3:$R$138,13,FALSE)*$H256*$O256*365</f>
        <v>0</v>
      </c>
      <c r="AI256" s="7">
        <f>VLOOKUP($B256,'[9]Subsidiary wise dispatch'!$A$3:$R$138,14,FALSE)*$H256*$O256*365</f>
        <v>0</v>
      </c>
      <c r="AJ256" s="7">
        <f>VLOOKUP($B256,'[9]Subsidiary wise dispatch'!$A$3:$R$138,15,FALSE)*$H256*$O256*365</f>
        <v>0</v>
      </c>
      <c r="AK256" s="7">
        <f>VLOOKUP($B256,'[9]Subsidiary wise dispatch'!$A$3:$R$138,16,FALSE)*$H256*$O256*365</f>
        <v>0</v>
      </c>
      <c r="AL256" s="7">
        <f>VLOOKUP($B256,'[9]Subsidiary wise dispatch'!$A$3:$R$138,17,FALSE)*$H256*$O256*365</f>
        <v>0</v>
      </c>
      <c r="AM256" s="7">
        <f>VLOOKUP($B256,'[9]Subsidiary wise dispatch'!$A$3:$R$138,18,FALSE)*$H256*$O256*365</f>
        <v>0</v>
      </c>
      <c r="AN256" s="15">
        <f t="shared" si="170"/>
        <v>1156254.2258624565</v>
      </c>
      <c r="AO256" s="6">
        <v>8.795755336381729E-2</v>
      </c>
      <c r="AP256" s="11">
        <f t="shared" si="171"/>
        <v>0.42481950877618585</v>
      </c>
      <c r="AQ256" s="11">
        <f t="shared" si="172"/>
        <v>0.28070773580528652</v>
      </c>
      <c r="AR256" s="3">
        <f>VLOOKUP(A256,[10]Sheet1!$A$2:$L$542,12,FALSE)</f>
        <v>1.87919577604358</v>
      </c>
      <c r="AS256" s="3">
        <f t="shared" si="180"/>
        <v>2.1593601781255218</v>
      </c>
      <c r="AT256" s="3">
        <f t="shared" si="181"/>
        <v>2.1679274035537306</v>
      </c>
      <c r="AU256" s="3">
        <f t="shared" si="173"/>
        <v>-8.5672254282087579E-3</v>
      </c>
      <c r="AV256" s="88">
        <f t="shared" si="182"/>
        <v>-0.18528856949397143</v>
      </c>
      <c r="AW256" s="32">
        <f t="shared" si="183"/>
        <v>8.1839679112342148E-2</v>
      </c>
      <c r="AX256" s="12">
        <f t="shared" si="174"/>
        <v>380.67053674962557</v>
      </c>
      <c r="AY256" s="12">
        <f t="shared" si="175"/>
        <v>252.53340832310022</v>
      </c>
      <c r="AZ256" s="3">
        <f>VLOOKUP(A256,[5]Analysis!$A$3:$BJ$543,62,FALSE)</f>
        <v>0.56089776205080277</v>
      </c>
      <c r="BA256" s="2"/>
      <c r="BB256" s="2"/>
      <c r="BC256" s="2" t="str">
        <f>VLOOKUP(A256,'[6]FGD status - Jun 2020'!$I$2:$M$449,5,FALSE)</f>
        <v>Complies with new Norms</v>
      </c>
      <c r="BD256" s="2"/>
      <c r="BE256" s="2"/>
      <c r="BF256" s="2">
        <f t="shared" si="176"/>
        <v>384.37239222372125</v>
      </c>
      <c r="BG256" s="2">
        <f t="shared" si="177"/>
        <v>261.1071207616169</v>
      </c>
      <c r="BH256" s="2"/>
      <c r="BI256" s="2"/>
      <c r="BK256">
        <f t="shared" si="178"/>
        <v>201.24266977343999</v>
      </c>
      <c r="BL256">
        <f>VLOOKUP(A256,'[11]Daily coal vs energy req.2'!$C$2:$P$599,14,FALSE)</f>
        <v>0.91</v>
      </c>
      <c r="BM256">
        <f>VLOOKUP(A256,'[11]Daily coal vs energy req.2'!$C$2:$R$599,16,FALSE)</f>
        <v>0.74</v>
      </c>
      <c r="BN256">
        <f t="shared" si="213"/>
        <v>245.70000000000002</v>
      </c>
      <c r="BO256">
        <f t="shared" si="214"/>
        <v>199.8</v>
      </c>
      <c r="BP256" s="2" t="str">
        <f>VLOOKUP(A256,'[7]Table 2'!$J$2:$N$449,5,FALSE)</f>
        <v>Complies with new Norms</v>
      </c>
      <c r="BR256">
        <f t="shared" si="184"/>
        <v>294.58101282933734</v>
      </c>
      <c r="BS256">
        <f t="shared" si="185"/>
        <v>200.11114650018902</v>
      </c>
      <c r="BT256">
        <f>(X256*I256*365*[5]Analysis!BK256)/10^4</f>
        <v>204.01634593864128</v>
      </c>
      <c r="BU256">
        <f>(W256*R256*365*[5]Analysis!BK256)/10^4</f>
        <v>138.58987209814777</v>
      </c>
      <c r="BV256">
        <f>(X256*I256*365*[5]Analysis!BL256)/10^4</f>
        <v>90.564666890696103</v>
      </c>
      <c r="BW256">
        <f>(W256*R256*365*[5]Analysis!BL256)/10^4</f>
        <v>61.521274402041279</v>
      </c>
      <c r="BX256">
        <f t="shared" si="186"/>
        <v>1474864.2367578109</v>
      </c>
      <c r="BY256">
        <f t="shared" si="187"/>
        <v>1001886.613516114</v>
      </c>
      <c r="BZ256">
        <f t="shared" si="188"/>
        <v>5122207.4968940234</v>
      </c>
      <c r="CA256">
        <f t="shared" si="189"/>
        <v>3384598.0212163618</v>
      </c>
      <c r="CB256">
        <f t="shared" si="190"/>
        <v>-388221.49588879308</v>
      </c>
      <c r="CC256">
        <f t="shared" si="191"/>
        <v>-169503.7989735</v>
      </c>
      <c r="CD256">
        <f t="shared" si="192"/>
        <v>-1782419.5277024952</v>
      </c>
      <c r="CE256">
        <f t="shared" si="193"/>
        <v>-1177768.2981600002</v>
      </c>
      <c r="CF256">
        <f t="shared" si="194"/>
        <v>3147806.4467396638</v>
      </c>
      <c r="CG256">
        <f t="shared" si="195"/>
        <v>2079974.2059000002</v>
      </c>
      <c r="CH256">
        <f t="shared" si="196"/>
        <v>268377.35003156686</v>
      </c>
      <c r="CI256">
        <f t="shared" si="197"/>
        <v>177335.54300698129</v>
      </c>
      <c r="CJ256">
        <f t="shared" si="198"/>
        <v>-784909.1998293855</v>
      </c>
      <c r="CK256">
        <f t="shared" si="199"/>
        <v>-518643.98820000014</v>
      </c>
      <c r="CL256">
        <f t="shared" si="200"/>
        <v>1200983.4433686635</v>
      </c>
      <c r="CM256">
        <f t="shared" si="201"/>
        <v>793573.12026192038</v>
      </c>
    </row>
    <row r="257" spans="1:91" x14ac:dyDescent="0.2">
      <c r="A257" s="2" t="s">
        <v>217</v>
      </c>
      <c r="B257" s="2" t="str">
        <f t="shared" si="207"/>
        <v>BONGAIGAON TPS</v>
      </c>
      <c r="C257" s="2" t="str">
        <f>VLOOKUP($A257,'[1]daily coal, energy reqd'!$C$2:$T$599,17,FALSE)</f>
        <v>Assam</v>
      </c>
      <c r="D257" s="2" t="str">
        <f>VLOOKUP(C257,'Target PLF'!$I$2:$J$19,2,FALSE)</f>
        <v>NER</v>
      </c>
      <c r="E257" s="2" t="str">
        <f>VLOOKUP(A257,[2]Ownership!$C$2:$D$666,2,FALSE)</f>
        <v>CENTRAL SECTOR</v>
      </c>
      <c r="F257" s="2" t="s">
        <v>542</v>
      </c>
      <c r="G257" s="12">
        <v>4.9253935660506496</v>
      </c>
      <c r="H257" s="2">
        <v>250</v>
      </c>
      <c r="I257" s="2">
        <f>VLOOKUP(A257,'[3]Calculated coal req (reg.)'!$A$2:$I$599,9,FALSE)</f>
        <v>3.9807899540195701</v>
      </c>
      <c r="J257" s="2"/>
      <c r="K257" s="11">
        <v>0.66346499233659506</v>
      </c>
      <c r="L257" s="3">
        <v>0.49249999999999999</v>
      </c>
      <c r="M257" s="3">
        <f t="shared" si="179"/>
        <v>-0.17096499233659507</v>
      </c>
      <c r="N257" s="2" t="str">
        <f t="shared" si="158"/>
        <v>0.25</v>
      </c>
      <c r="O257" s="2">
        <f t="shared" si="210"/>
        <v>11.505687069081402</v>
      </c>
      <c r="P257" s="2">
        <f t="shared" si="159"/>
        <v>1049893.9450536778</v>
      </c>
      <c r="Q257" s="2">
        <f t="shared" si="160"/>
        <v>14.101004591204653</v>
      </c>
      <c r="R257" s="2">
        <f t="shared" si="161"/>
        <v>2.9550000000000001</v>
      </c>
      <c r="S257" s="2">
        <f t="shared" si="162"/>
        <v>745538.77583130193</v>
      </c>
      <c r="T257" s="2" t="str">
        <f>VLOOKUP(A257,'[4]CEA vs MERIT comp. &amp; NPA marker'!$C$2:$K$735,9,FALSE)</f>
        <v>Contracted</v>
      </c>
      <c r="U257" s="3">
        <f>VLOOKUP(B257,'[8]Import-Domestic share'!$A$208:$F$406,6,FALSE)</f>
        <v>7.979458010659737E-3</v>
      </c>
      <c r="V257" s="3">
        <f t="shared" si="163"/>
        <v>8377.5846502017248</v>
      </c>
      <c r="W257" s="2">
        <f t="shared" si="164"/>
        <v>3063.0017742744399</v>
      </c>
      <c r="X257" s="2">
        <f t="shared" si="165"/>
        <v>3006.4856715997412</v>
      </c>
      <c r="Y257" s="6">
        <f t="shared" si="166"/>
        <v>0.28077032381207673</v>
      </c>
      <c r="Z257" s="2">
        <f t="shared" si="167"/>
        <v>549873.48083123192</v>
      </c>
      <c r="AA257" s="2">
        <f t="shared" si="168"/>
        <v>727087.10534261633</v>
      </c>
      <c r="AB257" s="2" t="s">
        <v>598</v>
      </c>
      <c r="AC257" s="12">
        <f>VLOOKUP(B257,[9]Sheet1!$A$2:$B$137,2,FALSE)</f>
        <v>6008.0677716880546</v>
      </c>
      <c r="AD257" s="12">
        <f t="shared" si="169"/>
        <v>1502016.9429220136</v>
      </c>
      <c r="AE257" s="2"/>
      <c r="AF257" s="7">
        <f>VLOOKUP($B257,'[9]Subsidiary wise dispatch'!$A$3:$R$138,11,FALSE)*$H257*$O257*365</f>
        <v>0</v>
      </c>
      <c r="AG257" s="7">
        <f>VLOOKUP($B257,'[9]Subsidiary wise dispatch'!$A$3:$R$138,12,FALSE)*$H257*$O257*365</f>
        <v>34277.793648472361</v>
      </c>
      <c r="AH257" s="7">
        <f>VLOOKUP($B257,'[9]Subsidiary wise dispatch'!$A$3:$R$138,13,FALSE)*$H257*$O257*365</f>
        <v>664926.12447315187</v>
      </c>
      <c r="AI257" s="7">
        <f>VLOOKUP($B257,'[9]Subsidiary wise dispatch'!$A$3:$R$138,14,FALSE)*$H257*$O257*365</f>
        <v>0</v>
      </c>
      <c r="AJ257" s="7">
        <f>VLOOKUP($B257,'[9]Subsidiary wise dispatch'!$A$3:$R$138,15,FALSE)*$H257*$O257*365</f>
        <v>0</v>
      </c>
      <c r="AK257" s="7">
        <f>VLOOKUP($B257,'[9]Subsidiary wise dispatch'!$A$3:$R$138,16,FALSE)*$H257*$O257*365</f>
        <v>350690.02693205368</v>
      </c>
      <c r="AL257" s="7">
        <f>VLOOKUP($B257,'[9]Subsidiary wise dispatch'!$A$3:$R$138,17,FALSE)*$H257*$O257*365</f>
        <v>0</v>
      </c>
      <c r="AM257" s="7">
        <f>VLOOKUP($B257,'[9]Subsidiary wise dispatch'!$A$3:$R$138,18,FALSE)*$H257*$O257*365</f>
        <v>0</v>
      </c>
      <c r="AN257" s="15">
        <f t="shared" si="170"/>
        <v>1049893.945053678</v>
      </c>
      <c r="AO257" s="6">
        <v>0.06</v>
      </c>
      <c r="AP257" s="11">
        <f t="shared" si="171"/>
        <v>0.23884739724117421</v>
      </c>
      <c r="AQ257" s="11">
        <f t="shared" si="172"/>
        <v>0.17729999999999999</v>
      </c>
      <c r="AR257" s="3">
        <f>VLOOKUP(A257,[10]Sheet1!$A$2:$L$542,12,FALSE)</f>
        <v>2.9718826799528202</v>
      </c>
      <c r="AS257" s="3">
        <f t="shared" si="180"/>
        <v>2.8419224202305213</v>
      </c>
      <c r="AT257" s="3">
        <f t="shared" si="181"/>
        <v>2.8477153207546779</v>
      </c>
      <c r="AU257" s="3">
        <f t="shared" si="173"/>
        <v>-5.7929005241565967E-3</v>
      </c>
      <c r="AV257" s="88">
        <f t="shared" si="182"/>
        <v>-0.1252865656841036</v>
      </c>
      <c r="AW257" s="32">
        <f t="shared" si="183"/>
        <v>4.2046772392278858E-2</v>
      </c>
      <c r="AX257" s="12">
        <f t="shared" si="174"/>
        <v>412.92801205031748</v>
      </c>
      <c r="AY257" s="12">
        <f t="shared" si="175"/>
        <v>307.14745520829769</v>
      </c>
      <c r="AZ257" s="3">
        <f>VLOOKUP(A257,[5]Analysis!$A$3:$BJ$543,62,FALSE)</f>
        <v>0.96594611350932336</v>
      </c>
      <c r="BA257" s="2"/>
      <c r="BB257" s="2"/>
      <c r="BC257" s="2" t="str">
        <f>VLOOKUP(A257,'[6]FGD status - Jun 2020'!$I$2:$M$449,5,FALSE)</f>
        <v>Bid Awarded</v>
      </c>
      <c r="BD257" s="2"/>
      <c r="BE257" s="2"/>
      <c r="BF257" s="2">
        <f t="shared" si="176"/>
        <v>226.27271525894403</v>
      </c>
      <c r="BG257" s="2">
        <f t="shared" si="177"/>
        <v>171.12305340353987</v>
      </c>
      <c r="BH257" s="2"/>
      <c r="BI257" s="2"/>
      <c r="BK257">
        <f t="shared" si="178"/>
        <v>165.86624808414876</v>
      </c>
      <c r="BL257">
        <f>VLOOKUP(A257,'[11]Daily coal vs energy req.2'!$C$2:$P$599,14,FALSE)</f>
        <v>0.12</v>
      </c>
      <c r="BM257">
        <f>VLOOKUP(A257,'[11]Daily coal vs energy req.2'!$C$2:$R$599,16,FALSE)</f>
        <v>0.13</v>
      </c>
      <c r="BN257">
        <f t="shared" si="213"/>
        <v>30</v>
      </c>
      <c r="BO257">
        <f t="shared" si="214"/>
        <v>32.5</v>
      </c>
      <c r="BP257" s="2" t="str">
        <f>VLOOKUP(A257,'[7]Table 2'!$J$2:$N$449,5,FALSE)</f>
        <v>Bid Awarded</v>
      </c>
      <c r="BR257">
        <f t="shared" si="184"/>
        <v>421.96279951232617</v>
      </c>
      <c r="BS257">
        <f t="shared" si="185"/>
        <v>319.11740924053277</v>
      </c>
      <c r="BT257">
        <f>(X257*I257*365*[5]Analysis!BK257)/10^4</f>
        <v>286.1023330008781</v>
      </c>
      <c r="BU257">
        <f>(W257*R257*365*[5]Analysis!BK257)/10^4</f>
        <v>216.37034210226719</v>
      </c>
      <c r="BV257">
        <f>(X257*I257*365*[5]Analysis!BL257)/10^4</f>
        <v>135.86046651144804</v>
      </c>
      <c r="BW257">
        <f>(W257*R257*365*[5]Analysis!BL257)/10^4</f>
        <v>102.74706713826554</v>
      </c>
      <c r="BX257">
        <f t="shared" si="186"/>
        <v>1226739.2657368232</v>
      </c>
      <c r="BY257">
        <f t="shared" si="187"/>
        <v>927744.94990554941</v>
      </c>
      <c r="BZ257">
        <f t="shared" si="188"/>
        <v>7270500.5296773398</v>
      </c>
      <c r="CA257">
        <f t="shared" si="189"/>
        <v>5397001.42769475</v>
      </c>
      <c r="CB257">
        <f t="shared" si="190"/>
        <v>-284825.74082453141</v>
      </c>
      <c r="CC257">
        <f t="shared" si="191"/>
        <v>-156947.96201250001</v>
      </c>
      <c r="CD257">
        <f t="shared" si="192"/>
        <v>0</v>
      </c>
      <c r="CE257">
        <f t="shared" si="193"/>
        <v>0</v>
      </c>
      <c r="CF257">
        <f t="shared" si="194"/>
        <v>2594453.9773975536</v>
      </c>
      <c r="CG257">
        <f t="shared" si="195"/>
        <v>1925902.0425000002</v>
      </c>
      <c r="CH257">
        <f t="shared" si="196"/>
        <v>145179.71478974316</v>
      </c>
      <c r="CI257">
        <f t="shared" si="197"/>
        <v>107769.0765297741</v>
      </c>
      <c r="CJ257">
        <f t="shared" si="198"/>
        <v>-599009.36833109497</v>
      </c>
      <c r="CK257">
        <f t="shared" si="199"/>
        <v>-444653.62500000012</v>
      </c>
      <c r="CL257">
        <f t="shared" si="200"/>
        <v>675232.10128627811</v>
      </c>
      <c r="CM257">
        <f t="shared" si="201"/>
        <v>501234.90120000002</v>
      </c>
    </row>
    <row r="258" spans="1:91" x14ac:dyDescent="0.2">
      <c r="A258" s="2" t="s">
        <v>234</v>
      </c>
      <c r="B258" s="2" t="str">
        <f t="shared" si="207"/>
        <v>AMRAVATI TPS</v>
      </c>
      <c r="C258" s="2" t="str">
        <f>VLOOKUP($A258,'[1]daily coal, energy reqd'!$C$2:$T$599,17,FALSE)</f>
        <v>Maharashtra</v>
      </c>
      <c r="D258" s="2" t="str">
        <f>VLOOKUP(C258,'Target PLF'!$I$2:$J$19,2,FALSE)</f>
        <v>WR</v>
      </c>
      <c r="E258" s="2" t="str">
        <f>VLOOKUP(A258,[2]Ownership!$C$2:$D$666,2,FALSE)</f>
        <v>PVT SECTOR</v>
      </c>
      <c r="F258" s="2" t="s">
        <v>543</v>
      </c>
      <c r="G258" s="12">
        <v>7.1759069130732298</v>
      </c>
      <c r="H258" s="2">
        <v>270</v>
      </c>
      <c r="I258" s="2">
        <f>VLOOKUP(A258,'[3]Calculated coal req (reg.)'!$A$2:$I$599,9,FALSE)</f>
        <v>2.0636880899411998</v>
      </c>
      <c r="J258" s="2"/>
      <c r="K258" s="11">
        <v>0.31847038425018515</v>
      </c>
      <c r="L258" s="3">
        <v>0.49249999999999999</v>
      </c>
      <c r="M258" s="3">
        <f t="shared" si="179"/>
        <v>0.17402961574981485</v>
      </c>
      <c r="N258" s="2" t="str">
        <f t="shared" si="158"/>
        <v>0.25</v>
      </c>
      <c r="O258" s="2">
        <f t="shared" si="210"/>
        <v>5.783049498659695</v>
      </c>
      <c r="P258" s="2">
        <f t="shared" si="159"/>
        <v>569919.52809291298</v>
      </c>
      <c r="Q258" s="2">
        <f t="shared" si="160"/>
        <v>13.178380501471594</v>
      </c>
      <c r="R258" s="2">
        <f t="shared" si="161"/>
        <v>3.1914000000000002</v>
      </c>
      <c r="S258" s="2">
        <f t="shared" si="162"/>
        <v>752499.09261395596</v>
      </c>
      <c r="T258" s="2" t="str">
        <f>VLOOKUP(A258,'[4]CEA vs MERIT comp. &amp; NPA marker'!$C$2:$K$735,9,FALSE)</f>
        <v>Contracted</v>
      </c>
      <c r="U258" s="3">
        <f>VLOOKUP(B258,'[8]Import-Domestic share'!$A$208:$F$406,6,FALSE)</f>
        <v>2.8792014074136132E-2</v>
      </c>
      <c r="V258" s="3">
        <f t="shared" si="163"/>
        <v>16409.131073976172</v>
      </c>
      <c r="W258" s="2">
        <f t="shared" si="164"/>
        <v>3066.3743660861842</v>
      </c>
      <c r="X258" s="2">
        <f t="shared" si="165"/>
        <v>3123.9035450001397</v>
      </c>
      <c r="Y258" s="6">
        <f t="shared" si="166"/>
        <v>0.28046151491204735</v>
      </c>
      <c r="Z258" s="2">
        <f t="shared" si="167"/>
        <v>859542.40948238003</v>
      </c>
      <c r="AA258" s="2">
        <f t="shared" si="168"/>
        <v>566242.63563901815</v>
      </c>
      <c r="AB258" s="2" t="s">
        <v>598</v>
      </c>
      <c r="AC258" s="12">
        <f>VLOOKUP(B258,[9]Sheet1!$A$2:$B$137,2,FALSE)</f>
        <v>4155.5830998548772</v>
      </c>
      <c r="AD258" s="12">
        <f t="shared" si="169"/>
        <v>1122007.4369608168</v>
      </c>
      <c r="AE258" s="2"/>
      <c r="AF258" s="7">
        <f>VLOOKUP($B258,'[9]Subsidiary wise dispatch'!$A$3:$R$138,11,FALSE)*$H258*$O258*365</f>
        <v>0</v>
      </c>
      <c r="AG258" s="7">
        <f>VLOOKUP($B258,'[9]Subsidiary wise dispatch'!$A$3:$R$138,12,FALSE)*$H258*$O258*365</f>
        <v>0</v>
      </c>
      <c r="AH258" s="7">
        <f>VLOOKUP($B258,'[9]Subsidiary wise dispatch'!$A$3:$R$138,13,FALSE)*$H258*$O258*365</f>
        <v>0</v>
      </c>
      <c r="AI258" s="7">
        <f>VLOOKUP($B258,'[9]Subsidiary wise dispatch'!$A$3:$R$138,14,FALSE)*$H258*$O258*365</f>
        <v>0</v>
      </c>
      <c r="AJ258" s="7">
        <f>VLOOKUP($B258,'[9]Subsidiary wise dispatch'!$A$3:$R$138,15,FALSE)*$H258*$O258*365</f>
        <v>0</v>
      </c>
      <c r="AK258" s="7">
        <f>VLOOKUP($B258,'[9]Subsidiary wise dispatch'!$A$3:$R$138,16,FALSE)*$H258*$O258*365</f>
        <v>0</v>
      </c>
      <c r="AL258" s="7">
        <f>VLOOKUP($B258,'[9]Subsidiary wise dispatch'!$A$3:$R$138,17,FALSE)*$H258*$O258*365</f>
        <v>564695.35486093315</v>
      </c>
      <c r="AM258" s="7">
        <f>VLOOKUP($B258,'[9]Subsidiary wise dispatch'!$A$3:$R$138,18,FALSE)*$H258*$O258*365</f>
        <v>5224.1732319797702</v>
      </c>
      <c r="AN258" s="15">
        <f t="shared" si="170"/>
        <v>569919.52809291286</v>
      </c>
      <c r="AO258" s="6">
        <v>8.9360960918391241E-2</v>
      </c>
      <c r="AP258" s="11">
        <f t="shared" si="171"/>
        <v>0.18441315075298503</v>
      </c>
      <c r="AQ258" s="11">
        <f t="shared" si="172"/>
        <v>0.28518657067495384</v>
      </c>
      <c r="AR258" s="3">
        <f>VLOOKUP(A258,[10]Sheet1!$A$2:$L$542,12,FALSE)</f>
        <v>3.0295164835164798</v>
      </c>
      <c r="AS258" s="3">
        <f t="shared" si="180"/>
        <v>2.7194978475728413</v>
      </c>
      <c r="AT258" s="3">
        <f t="shared" si="181"/>
        <v>2.7136011067341612</v>
      </c>
      <c r="AU258" s="3">
        <f t="shared" si="173"/>
        <v>5.8967408386800813E-3</v>
      </c>
      <c r="AV258" s="88">
        <f t="shared" si="182"/>
        <v>0.12753238301377931</v>
      </c>
      <c r="AW258" s="32">
        <f t="shared" si="183"/>
        <v>4.4727243407697251E-2</v>
      </c>
      <c r="AX258" s="12">
        <f t="shared" si="174"/>
        <v>204.84512913097325</v>
      </c>
      <c r="AY258" s="12">
        <f t="shared" si="175"/>
        <v>316.09680987914624</v>
      </c>
      <c r="AZ258" s="3">
        <f>VLOOKUP(A258,[5]Analysis!$A$3:$BJ$543,62,FALSE)</f>
        <v>0.84848666721700461</v>
      </c>
      <c r="BA258" s="2"/>
      <c r="BB258" s="2"/>
      <c r="BC258" s="2" t="e">
        <f>VLOOKUP(A258,'[6]FGD status - Jun 2020'!$I$2:$M$449,5,FALSE)</f>
        <v>#N/A</v>
      </c>
      <c r="BD258" s="2"/>
      <c r="BE258" s="2"/>
      <c r="BF258" s="2">
        <f t="shared" si="176"/>
        <v>178.73447333392687</v>
      </c>
      <c r="BG258" s="2">
        <f t="shared" si="177"/>
        <v>271.31453938227872</v>
      </c>
      <c r="BH258" s="2"/>
      <c r="BI258" s="2"/>
      <c r="BK258">
        <f t="shared" si="178"/>
        <v>85.987003747549991</v>
      </c>
      <c r="BL258">
        <f>VLOOKUP(A258,'[11]Daily coal vs energy req.2'!$C$2:$P$599,14,FALSE)</f>
        <v>1.1100000000000001</v>
      </c>
      <c r="BM258">
        <f>VLOOKUP(A258,'[11]Daily coal vs energy req.2'!$C$2:$R$599,16,FALSE)</f>
        <v>1.23</v>
      </c>
      <c r="BN258">
        <f t="shared" si="213"/>
        <v>299.70000000000005</v>
      </c>
      <c r="BO258">
        <f t="shared" si="214"/>
        <v>332.1</v>
      </c>
      <c r="BP258" s="2" t="e">
        <f>VLOOKUP(A258,'[7]Table 2'!$J$2:$N$449,5,FALSE)</f>
        <v>#N/A</v>
      </c>
      <c r="BR258">
        <f t="shared" si="184"/>
        <v>199.65471025769722</v>
      </c>
      <c r="BS258">
        <f t="shared" si="185"/>
        <v>303.07094506534236</v>
      </c>
      <c r="BT258">
        <f>(X258*I258*365*[5]Analysis!BK258)/10^4</f>
        <v>96.961689706025624</v>
      </c>
      <c r="BU258">
        <f>(W258*R258*365*[5]Analysis!BK258)/10^4</f>
        <v>147.18546282433496</v>
      </c>
      <c r="BV258">
        <f>(X258*I258*365*[5]Analysis!BL258)/10^4</f>
        <v>102.69302055167161</v>
      </c>
      <c r="BW258">
        <f>(W258*R258*365*[5]Analysis!BL258)/10^4</f>
        <v>155.8854822410074</v>
      </c>
      <c r="BX258">
        <f t="shared" si="186"/>
        <v>660793.16034404282</v>
      </c>
      <c r="BY258">
        <f t="shared" si="187"/>
        <v>1003067.7830725635</v>
      </c>
      <c r="BZ258">
        <f t="shared" si="188"/>
        <v>3310786.9022484529</v>
      </c>
      <c r="CA258">
        <f t="shared" si="189"/>
        <v>5119981.7314140573</v>
      </c>
      <c r="CB258">
        <f t="shared" si="190"/>
        <v>-70876.958113800036</v>
      </c>
      <c r="CC258">
        <f t="shared" si="191"/>
        <v>-169503.7989735</v>
      </c>
      <c r="CD258">
        <f t="shared" si="192"/>
        <v>-761592.5329394961</v>
      </c>
      <c r="CE258">
        <f t="shared" si="193"/>
        <v>-1177768.2981600002</v>
      </c>
      <c r="CF258">
        <f t="shared" si="194"/>
        <v>1344995.2986465925</v>
      </c>
      <c r="CG258">
        <f t="shared" si="195"/>
        <v>2079974.2059000002</v>
      </c>
      <c r="CH258">
        <f t="shared" si="196"/>
        <v>109652.00862100565</v>
      </c>
      <c r="CI258">
        <f t="shared" si="197"/>
        <v>169571.85633757681</v>
      </c>
      <c r="CJ258">
        <f t="shared" si="198"/>
        <v>-335376.14256061427</v>
      </c>
      <c r="CK258">
        <f t="shared" si="199"/>
        <v>-518643.98820000014</v>
      </c>
      <c r="CL258">
        <f t="shared" si="200"/>
        <v>521344.09135732171</v>
      </c>
      <c r="CM258">
        <f t="shared" si="201"/>
        <v>806234.98350720399</v>
      </c>
    </row>
    <row r="259" spans="1:91" x14ac:dyDescent="0.2">
      <c r="A259" s="2" t="s">
        <v>264</v>
      </c>
      <c r="B259" s="2" t="str">
        <f t="shared" si="207"/>
        <v>SAGARDIGHI TPS</v>
      </c>
      <c r="C259" s="2" t="str">
        <f>VLOOKUP($A259,'[1]daily coal, energy reqd'!$C$2:$T$599,17,FALSE)</f>
        <v>West Bengal</v>
      </c>
      <c r="D259" s="2" t="str">
        <f>VLOOKUP(C259,'Target PLF'!$I$2:$J$19,2,FALSE)</f>
        <v>ER</v>
      </c>
      <c r="E259" s="2" t="str">
        <f>VLOOKUP(A259,[2]Ownership!$C$2:$D$666,2,FALSE)</f>
        <v>STATE SECTOR</v>
      </c>
      <c r="F259" s="2" t="s">
        <v>544</v>
      </c>
      <c r="G259" s="12">
        <v>11.841204654346299</v>
      </c>
      <c r="H259" s="2">
        <v>300</v>
      </c>
      <c r="I259" s="2">
        <f>VLOOKUP(A259,'[3]Calculated coal req (reg.)'!$A$2:$I$599,9,FALSE)</f>
        <v>4.2402802000459001</v>
      </c>
      <c r="J259" s="2"/>
      <c r="K259" s="11">
        <v>0.58892780556193058</v>
      </c>
      <c r="L259" s="3">
        <v>0.49249999999999999</v>
      </c>
      <c r="M259" s="3">
        <f t="shared" si="179"/>
        <v>-9.6427805561930591E-2</v>
      </c>
      <c r="N259" s="2" t="str">
        <f t="shared" ref="N259:N322" si="215">IF(L259&gt;0.75,"0.15","0.25")</f>
        <v>0.25</v>
      </c>
      <c r="O259" s="2">
        <f t="shared" si="210"/>
        <v>10.427292144551229</v>
      </c>
      <c r="P259" s="2">
        <f t="shared" ref="P259:P322" si="216">(O259*H259*365)</f>
        <v>1141788.4898283596</v>
      </c>
      <c r="Q259" s="2">
        <f t="shared" ref="Q259:Q322" si="217">(13.9133*0.85)+(-0.289097*N259)+(-0.0052079*H259)+(0.031675*G259)+3.492937+IF(E259="Pvt Sector",-0.8897511,0)</f>
        <v>14.059667907426419</v>
      </c>
      <c r="R259" s="2">
        <f t="shared" ref="R259:R322" si="218">(H259*24*L259)/1000</f>
        <v>3.5459999999999998</v>
      </c>
      <c r="S259" s="2">
        <f t="shared" ref="S259:S277" si="219">(H259*L259*Q259*365)/0.85</f>
        <v>892023.9007795559</v>
      </c>
      <c r="T259" s="2" t="str">
        <f>VLOOKUP(A259,'[4]CEA vs MERIT comp. &amp; NPA marker'!$C$2:$K$735,9,FALSE)</f>
        <v>Contracted</v>
      </c>
      <c r="U259" s="3">
        <f>VLOOKUP(B259,'[8]Import-Domestic share'!$A$208:$F$406,6,FALSE)</f>
        <v>6.5371616889120401E-4</v>
      </c>
      <c r="V259" s="3">
        <f t="shared" ref="V259:V322" si="220">(U259*O259*H259*365)</f>
        <v>746.40559725466869</v>
      </c>
      <c r="W259" s="2">
        <f t="shared" ref="W259:W322" si="221">3417.812+(7.640537*G259)+(-0.9257423*H259)+(-330.5712*L259)+(225.4556*U259)</f>
        <v>3067.9035402571917</v>
      </c>
      <c r="X259" s="2">
        <f t="shared" ref="X259:X322" si="222">3417.812+(7.640537*G259)+(-0.9257423*H259)+(-330.5712*K259)+(225.4556*U259)</f>
        <v>3036.0272848592176</v>
      </c>
      <c r="Y259" s="6">
        <f t="shared" ref="Y259:Y322" si="223">860/W259</f>
        <v>0.28032172091300617</v>
      </c>
      <c r="Z259" s="2">
        <f t="shared" ref="Z259:Z277" si="224">(W259*R259*365*10^6)/((IF(AC259,AC259,4286)*1000))</f>
        <v>679235.10129849322</v>
      </c>
      <c r="AA259" s="2">
        <f t="shared" ref="AA259:AA322" si="225">(X259*I259*365*10^6)/((IF(AC259,AC259,4286))*1000)</f>
        <v>803785.03379542078</v>
      </c>
      <c r="AB259" s="2" t="s">
        <v>598</v>
      </c>
      <c r="AC259" s="12">
        <f>VLOOKUP(B259,[9]Sheet1!$A$2:$B$137,2,FALSE)</f>
        <v>5845.9241366186579</v>
      </c>
      <c r="AD259" s="12">
        <f t="shared" ref="AD259:AD322" si="226">AC259*H259</f>
        <v>1753777.2409855975</v>
      </c>
      <c r="AE259" s="2"/>
      <c r="AF259" s="7">
        <f>VLOOKUP($B259,'[9]Subsidiary wise dispatch'!$A$3:$R$138,11,FALSE)*$H259*$O259*365</f>
        <v>136654.37644978345</v>
      </c>
      <c r="AG259" s="7">
        <f>VLOOKUP($B259,'[9]Subsidiary wise dispatch'!$A$3:$R$138,12,FALSE)*$H259*$O259*365</f>
        <v>30846.271561187365</v>
      </c>
      <c r="AH259" s="7">
        <f>VLOOKUP($B259,'[9]Subsidiary wise dispatch'!$A$3:$R$138,13,FALSE)*$H259*$O259*365</f>
        <v>974287.84181738878</v>
      </c>
      <c r="AI259" s="7">
        <f>VLOOKUP($B259,'[9]Subsidiary wise dispatch'!$A$3:$R$138,14,FALSE)*$H259*$O259*365</f>
        <v>0</v>
      </c>
      <c r="AJ259" s="7">
        <f>VLOOKUP($B259,'[9]Subsidiary wise dispatch'!$A$3:$R$138,15,FALSE)*$H259*$O259*365</f>
        <v>0</v>
      </c>
      <c r="AK259" s="7">
        <f>VLOOKUP($B259,'[9]Subsidiary wise dispatch'!$A$3:$R$138,16,FALSE)*$H259*$O259*365</f>
        <v>0</v>
      </c>
      <c r="AL259" s="7">
        <f>VLOOKUP($B259,'[9]Subsidiary wise dispatch'!$A$3:$R$138,17,FALSE)*$H259*$O259*365</f>
        <v>0</v>
      </c>
      <c r="AM259" s="7">
        <f>VLOOKUP($B259,'[9]Subsidiary wise dispatch'!$A$3:$R$138,18,FALSE)*$H259*$O259*365</f>
        <v>0</v>
      </c>
      <c r="AN259" s="15">
        <f t="shared" ref="AN259:AN322" si="227">SUM(AF259:AM259)</f>
        <v>1141788.4898283596</v>
      </c>
      <c r="AO259" s="6">
        <v>9.5849721553511083E-2</v>
      </c>
      <c r="AP259" s="11">
        <f t="shared" ref="AP259:AP322" si="228">AO259*I259</f>
        <v>0.40642967648326578</v>
      </c>
      <c r="AQ259" s="11">
        <f t="shared" ref="AQ259:AQ277" si="229">AO259*R259</f>
        <v>0.33988311262875026</v>
      </c>
      <c r="AR259" s="3">
        <f>VLOOKUP(A259,[10]Sheet1!$A$2:$L$542,12,FALSE)</f>
        <v>3.1498451327433599</v>
      </c>
      <c r="AS259" s="3">
        <f t="shared" si="180"/>
        <v>2.5785847008548308</v>
      </c>
      <c r="AT259" s="3">
        <f t="shared" si="181"/>
        <v>2.5818520170331234</v>
      </c>
      <c r="AU259" s="3">
        <f t="shared" ref="AU259:AU277" si="230">AS259-AT259</f>
        <v>-3.2673161782925675E-3</v>
      </c>
      <c r="AV259" s="88">
        <f t="shared" si="182"/>
        <v>-7.066422447189398E-2</v>
      </c>
      <c r="AW259" s="32">
        <f t="shared" si="183"/>
        <v>2.6137170623582211E-2</v>
      </c>
      <c r="AX259" s="12">
        <f t="shared" ref="AX259:AX322" si="231">(AS259*I259*365)/10</f>
        <v>399.0881402679247</v>
      </c>
      <c r="AY259" s="12">
        <f t="shared" ref="AY259:AY322" si="232">(AT259*R259*365)/10</f>
        <v>334.1665247125801</v>
      </c>
      <c r="AZ259" s="3">
        <f>VLOOKUP(A259,[5]Analysis!$A$3:$BJ$543,62,FALSE)</f>
        <v>0.76030263836138412</v>
      </c>
      <c r="BA259" s="2"/>
      <c r="BB259" s="2"/>
      <c r="BC259" s="2" t="str">
        <f>VLOOKUP(A259,'[6]FGD status - Jun 2020'!$I$2:$M$449,5,FALSE)</f>
        <v>Tender specification made</v>
      </c>
      <c r="BD259" s="2"/>
      <c r="BE259" s="2"/>
      <c r="BF259" s="2">
        <f t="shared" ref="BF259:BF322" si="233">((AA259*(1-U259)*3095)+(AA259*U259*5231))/10^7</f>
        <v>248.88370349717522</v>
      </c>
      <c r="BG259" s="2">
        <f t="shared" ref="BG259:BG322" si="234">((Z259*(1-U259)*3095)+(Z259*U259*5231))/10^7</f>
        <v>210.31810801229059</v>
      </c>
      <c r="BH259" s="2"/>
      <c r="BI259" s="2"/>
      <c r="BK259">
        <f t="shared" ref="BK259:BK322" si="235">K259*H259</f>
        <v>176.67834166857918</v>
      </c>
      <c r="BL259">
        <f>VLOOKUP(A259,'[11]Daily coal vs energy req.2'!$C$2:$P$599,14,FALSE)</f>
        <v>1</v>
      </c>
      <c r="BM259">
        <f>VLOOKUP(A259,'[11]Daily coal vs energy req.2'!$C$2:$R$599,16,FALSE)</f>
        <v>1.02</v>
      </c>
      <c r="BN259">
        <f t="shared" si="213"/>
        <v>300</v>
      </c>
      <c r="BO259">
        <f t="shared" si="214"/>
        <v>306</v>
      </c>
      <c r="BP259" s="2" t="str">
        <f>VLOOKUP(A259,'[7]Table 2'!$J$2:$N$449,5,FALSE)</f>
        <v>Tender specification made</v>
      </c>
      <c r="BR259">
        <f t="shared" si="184"/>
        <v>357.25604677916846</v>
      </c>
      <c r="BS259">
        <f t="shared" si="185"/>
        <v>301.89769269243408</v>
      </c>
      <c r="BT259">
        <f>(X259*I259*365*[5]Analysis!BK259)/10^4</f>
        <v>304.00534560835621</v>
      </c>
      <c r="BU259">
        <f>(W259*R259*365*[5]Analysis!BK259)/10^4</f>
        <v>256.89841566785293</v>
      </c>
      <c r="BV259">
        <f>(X259*I259*365*[5]Analysis!BL259)/10^4</f>
        <v>53.250701170812164</v>
      </c>
      <c r="BW259">
        <f>(W259*R259*365*[5]Analysis!BL259)/10^4</f>
        <v>44.999277024581048</v>
      </c>
      <c r="BX259">
        <f t="shared" si="186"/>
        <v>1319544.6542357346</v>
      </c>
      <c r="BY259">
        <f t="shared" si="187"/>
        <v>1115075.5602595801</v>
      </c>
      <c r="BZ259">
        <f t="shared" si="188"/>
        <v>6095694.6209247997</v>
      </c>
      <c r="CA259">
        <f t="shared" si="189"/>
        <v>5097619.050166863</v>
      </c>
      <c r="CB259">
        <f t="shared" si="190"/>
        <v>-269307.5792541501</v>
      </c>
      <c r="CC259">
        <f t="shared" si="191"/>
        <v>-188337.55441499996</v>
      </c>
      <c r="CD259">
        <f t="shared" si="192"/>
        <v>0</v>
      </c>
      <c r="CE259">
        <f t="shared" si="193"/>
        <v>0</v>
      </c>
      <c r="CF259">
        <f t="shared" si="194"/>
        <v>2763575.0585586154</v>
      </c>
      <c r="CG259">
        <f t="shared" si="195"/>
        <v>2311082.4509999999</v>
      </c>
      <c r="CH259">
        <f t="shared" si="196"/>
        <v>371780.13485520054</v>
      </c>
      <c r="CI259">
        <f t="shared" si="197"/>
        <v>310906.89671457798</v>
      </c>
      <c r="CJ259">
        <f t="shared" si="198"/>
        <v>-765667.39572228829</v>
      </c>
      <c r="CK259">
        <f t="shared" si="199"/>
        <v>-640301.22</v>
      </c>
      <c r="CL259">
        <f t="shared" si="200"/>
        <v>1148994.5783239575</v>
      </c>
      <c r="CM259">
        <f t="shared" si="201"/>
        <v>960864.51425843267</v>
      </c>
    </row>
    <row r="260" spans="1:91" x14ac:dyDescent="0.2">
      <c r="A260" s="2" t="s">
        <v>227</v>
      </c>
      <c r="B260" s="2" t="str">
        <f t="shared" si="207"/>
        <v>CHHABRA TPS</v>
      </c>
      <c r="C260" s="2" t="str">
        <f>VLOOKUP($A260,'[1]daily coal, energy reqd'!$C$2:$T$599,17,FALSE)</f>
        <v>Rajasthan</v>
      </c>
      <c r="D260" s="2" t="str">
        <f>VLOOKUP(C260,'Target PLF'!$I$2:$J$19,2,FALSE)</f>
        <v>NR</v>
      </c>
      <c r="E260" s="2" t="str">
        <f>VLOOKUP(A260,[2]Ownership!$C$2:$D$666,2,FALSE)</f>
        <v>STATE SECTOR</v>
      </c>
      <c r="F260" s="2" t="s">
        <v>543</v>
      </c>
      <c r="G260" s="12">
        <v>5.9247091033538597</v>
      </c>
      <c r="H260" s="2">
        <v>250</v>
      </c>
      <c r="I260" s="2">
        <f>VLOOKUP(A260,'[3]Calculated coal req (reg.)'!$A$2:$I$599,9,FALSE)</f>
        <v>4.9204921306999196</v>
      </c>
      <c r="J260" s="2"/>
      <c r="K260" s="11">
        <v>0.8200820217833199</v>
      </c>
      <c r="L260" s="3">
        <v>0.49249999999999999</v>
      </c>
      <c r="M260" s="3">
        <f t="shared" ref="M260:M323" si="236">L260-K260</f>
        <v>-0.32758202178331991</v>
      </c>
      <c r="N260" s="2" t="str">
        <f t="shared" si="215"/>
        <v>0.25</v>
      </c>
      <c r="O260" s="2">
        <f t="shared" si="210"/>
        <v>13.716400104526597</v>
      </c>
      <c r="P260" s="2">
        <f t="shared" si="216"/>
        <v>1251621.5095380521</v>
      </c>
      <c r="Q260" s="2">
        <f t="shared" si="217"/>
        <v>14.132657910848733</v>
      </c>
      <c r="R260" s="2">
        <f t="shared" si="218"/>
        <v>2.9550000000000001</v>
      </c>
      <c r="S260" s="2">
        <f t="shared" si="219"/>
        <v>747212.32873498392</v>
      </c>
      <c r="T260" s="2" t="str">
        <f>VLOOKUP(A260,'[4]CEA vs MERIT comp. &amp; NPA marker'!$C$2:$K$735,9,FALSE)</f>
        <v>Contracted</v>
      </c>
      <c r="U260" s="3">
        <f>VLOOKUP(B260,'[8]Import-Domestic share'!$A$208:$F$406,6,FALSE)</f>
        <v>0</v>
      </c>
      <c r="V260" s="3">
        <f t="shared" si="220"/>
        <v>0</v>
      </c>
      <c r="W260" s="2">
        <f t="shared" si="221"/>
        <v>3068.8380681184117</v>
      </c>
      <c r="X260" s="2">
        <f t="shared" si="222"/>
        <v>2960.5488860790738</v>
      </c>
      <c r="Y260" s="6">
        <f t="shared" si="223"/>
        <v>0.28023635685909276</v>
      </c>
      <c r="Z260" s="2">
        <f t="shared" si="224"/>
        <v>746848.39532913908</v>
      </c>
      <c r="AA260" s="2">
        <f t="shared" si="225"/>
        <v>1199725.1759334174</v>
      </c>
      <c r="AB260" s="2" t="s">
        <v>598</v>
      </c>
      <c r="AC260" s="12">
        <f>VLOOKUP(B260,[9]Sheet1!$A$2:$B$137,2,FALSE)</f>
        <v>4431.9195703193527</v>
      </c>
      <c r="AD260" s="12">
        <f t="shared" si="226"/>
        <v>1107979.8925798382</v>
      </c>
      <c r="AE260" s="2"/>
      <c r="AF260" s="7">
        <f>VLOOKUP($B260,'[9]Subsidiary wise dispatch'!$A$3:$R$138,11,FALSE)*$H260*$O260*365</f>
        <v>0</v>
      </c>
      <c r="AG260" s="7">
        <f>VLOOKUP($B260,'[9]Subsidiary wise dispatch'!$A$3:$R$138,12,FALSE)*$H260*$O260*365</f>
        <v>0</v>
      </c>
      <c r="AH260" s="7">
        <f>VLOOKUP($B260,'[9]Subsidiary wise dispatch'!$A$3:$R$138,13,FALSE)*$H260*$O260*365</f>
        <v>0</v>
      </c>
      <c r="AI260" s="7">
        <f>VLOOKUP($B260,'[9]Subsidiary wise dispatch'!$A$3:$R$138,14,FALSE)*$H260*$O260*365</f>
        <v>0</v>
      </c>
      <c r="AJ260" s="7">
        <f>VLOOKUP($B260,'[9]Subsidiary wise dispatch'!$A$3:$R$138,15,FALSE)*$H260*$O260*365</f>
        <v>0</v>
      </c>
      <c r="AK260" s="7">
        <f>VLOOKUP($B260,'[9]Subsidiary wise dispatch'!$A$3:$R$138,16,FALSE)*$H260*$O260*365</f>
        <v>0</v>
      </c>
      <c r="AL260" s="7">
        <f>VLOOKUP($B260,'[9]Subsidiary wise dispatch'!$A$3:$R$138,17,FALSE)*$H260*$O260*365</f>
        <v>1251621.5095380521</v>
      </c>
      <c r="AM260" s="7">
        <f>VLOOKUP($B260,'[9]Subsidiary wise dispatch'!$A$3:$R$138,18,FALSE)*$H260*$O260*365</f>
        <v>0</v>
      </c>
      <c r="AN260" s="15">
        <f t="shared" si="227"/>
        <v>1251621.5095380521</v>
      </c>
      <c r="AO260" s="6">
        <v>7.836973135416922E-2</v>
      </c>
      <c r="AP260" s="11">
        <f t="shared" si="228"/>
        <v>0.38561764641325641</v>
      </c>
      <c r="AQ260" s="11">
        <f t="shared" si="229"/>
        <v>0.23158255615157006</v>
      </c>
      <c r="AR260" s="3">
        <f>VLOOKUP(A260,[10]Sheet1!$A$2:$L$542,12,FALSE)</f>
        <v>2.3395933263816402</v>
      </c>
      <c r="AS260" s="3">
        <f t="shared" ref="AS260:AS323" si="237">0.6517435+(0.0001025*X260)+(1.890785*AZ260)+(0.0074045*G260 )+(-0.0006019*H260)+(2.827044*AO260)</f>
        <v>2.6398177892000168</v>
      </c>
      <c r="AT260" s="3">
        <f t="shared" ref="AT260:AT277" si="238">0.6517435+(0.0001025*W260)+(1.890785*AZ260)+(0.0074045*G260)+(-0.0006019*H260)+(2.827044*AO260)</f>
        <v>2.6509174303590486</v>
      </c>
      <c r="AU260" s="3">
        <f t="shared" si="230"/>
        <v>-1.1099641159031837E-2</v>
      </c>
      <c r="AV260" s="88">
        <f t="shared" ref="AV260:AV323" si="239">0.73282*M260</f>
        <v>-0.24005865720325251</v>
      </c>
      <c r="AW260" s="32">
        <f t="shared" ref="AW260:AW323" si="240">ABS(AU260-AV260)/AS260</f>
        <v>8.6732886254852287E-2</v>
      </c>
      <c r="AX260" s="12">
        <f t="shared" si="231"/>
        <v>474.10589702577244</v>
      </c>
      <c r="AY260" s="12">
        <f t="shared" si="232"/>
        <v>285.9213267449511</v>
      </c>
      <c r="AZ260" s="3">
        <f>VLOOKUP(A260,[5]Analysis!$A$3:$BJ$543,62,FALSE)</f>
        <v>0.83016780914525568</v>
      </c>
      <c r="BA260" s="2"/>
      <c r="BB260" s="2"/>
      <c r="BC260" s="2" t="str">
        <f>VLOOKUP(A260,'[6]FGD status - Jun 2020'!$I$2:$M$449,5,FALSE)</f>
        <v>Tender specification made</v>
      </c>
      <c r="BD260" s="2"/>
      <c r="BE260" s="2"/>
      <c r="BF260" s="2">
        <f t="shared" si="233"/>
        <v>371.31494195139271</v>
      </c>
      <c r="BG260" s="2">
        <f t="shared" si="234"/>
        <v>231.14957835436854</v>
      </c>
      <c r="BH260" s="2"/>
      <c r="BI260" s="2"/>
      <c r="BK260">
        <f t="shared" si="235"/>
        <v>205.02050544582997</v>
      </c>
      <c r="BL260" t="str">
        <f>VLOOKUP(A260,'[11]Daily coal vs energy req.2'!$C$2:$P$599,14,FALSE)</f>
        <v/>
      </c>
      <c r="BM260" t="str">
        <f>VLOOKUP(A260,'[11]Daily coal vs energy req.2'!$C$2:$R$599,16,FALSE)</f>
        <v/>
      </c>
      <c r="BP260" s="2" t="str">
        <f>VLOOKUP(A260,'[7]Table 2'!$J$2:$N$449,5,FALSE)</f>
        <v>Tender specification made</v>
      </c>
      <c r="BR260">
        <f t="shared" ref="BR260:BR323" si="241">(X260*I260*365*AZ260)/10^4</f>
        <v>441.40732091367317</v>
      </c>
      <c r="BS260">
        <f t="shared" ref="BS260:BS277" si="242">(W260*R260*365*AZ260)/10^4</f>
        <v>274.78322196116596</v>
      </c>
      <c r="BT260">
        <f>(X260*I260*365*[5]Analysis!BK260)/10^4</f>
        <v>203.22108283490812</v>
      </c>
      <c r="BU260">
        <f>(W260*R260*365*[5]Analysis!BK260)/10^4</f>
        <v>126.50842264289069</v>
      </c>
      <c r="BV260">
        <f>(X260*I260*365*[5]Analysis!BL260)/10^4</f>
        <v>238.18623807876511</v>
      </c>
      <c r="BW260">
        <f>(W260*R260*365*[5]Analysis!BL260)/10^4</f>
        <v>148.27479931827529</v>
      </c>
      <c r="BX260">
        <f t="shared" ref="BX260:BX323" si="243">0.0001025*((X260*I260*10^6))</f>
        <v>1493154.1433917107</v>
      </c>
      <c r="BY260">
        <f t="shared" ref="BY260:BY277" si="244">0.0001025*((W260*R260*10^6))</f>
        <v>929512.69035721547</v>
      </c>
      <c r="BZ260">
        <f t="shared" ref="BZ260:BZ323" si="245">(1.890785*AZ260*I260*10^6)</f>
        <v>7723543.1800177544</v>
      </c>
      <c r="CA260">
        <f t="shared" ref="CA260:CA277" si="246">(1.890785*AZ260*R260*10^6)</f>
        <v>4638371.4251984749</v>
      </c>
      <c r="CB260">
        <f t="shared" ref="CB260:CB323" si="247">(-0.107843*I260*K260*10^6)</f>
        <v>-435168.84302888706</v>
      </c>
      <c r="CC260">
        <f t="shared" ref="CC260:CC277" si="248">(-0.107843*R260*L260*10^6)</f>
        <v>-156947.96201250001</v>
      </c>
      <c r="CD260">
        <f t="shared" ref="CD260:CD323" si="249">IF(E260="PVT SECTOR",-0.3690444,0)*I260*10^6</f>
        <v>0</v>
      </c>
      <c r="CE260">
        <f t="shared" ref="CE260:CE277" si="250">IF(E260="PVT SECTOR",-0.3690444,0)*R260*10^6</f>
        <v>0</v>
      </c>
      <c r="CF260">
        <f t="shared" ref="CF260:CF323" si="251" xml:space="preserve"> 0.6517435*I260*10^6</f>
        <v>3206898.762984823</v>
      </c>
      <c r="CG260">
        <f t="shared" ref="CG260:CG277" si="252" xml:space="preserve"> 0.6517435*R260*10^6</f>
        <v>1925902.0425000002</v>
      </c>
      <c r="CH260">
        <f t="shared" ref="CH260:CH323" si="253">0.0074045*(G260*I260*10^6)</f>
        <v>215859.57162640628</v>
      </c>
      <c r="CI260">
        <f t="shared" ref="CI260:CI277" si="254">0.0074045*(G260*R260*10^6)</f>
        <v>129634.39778234069</v>
      </c>
      <c r="CJ260">
        <f t="shared" ref="CJ260:CJ323" si="255">-0.0006019*H260*I260*10^6</f>
        <v>-740411.05336707062</v>
      </c>
      <c r="CK260">
        <f t="shared" ref="CK260:CK277" si="256">-0.0006019*H260*R260*10^6</f>
        <v>-444653.62500000012</v>
      </c>
      <c r="CL260">
        <f t="shared" ref="CL260:CL323" si="257">2.827044*AO260*I260*10^6</f>
        <v>1090158.0535867182</v>
      </c>
      <c r="CM260">
        <f t="shared" ref="CM260:CM277" si="258">2.827044*AO260*R260*10^6</f>
        <v>654694.07587295922</v>
      </c>
    </row>
    <row r="261" spans="1:91" x14ac:dyDescent="0.2">
      <c r="A261" s="2" t="s">
        <v>268</v>
      </c>
      <c r="B261" s="2" t="str">
        <f t="shared" si="207"/>
        <v>YAMUNA NAGAR TPS</v>
      </c>
      <c r="C261" s="2" t="str">
        <f>VLOOKUP($A261,'[1]daily coal, energy reqd'!$C$2:$T$599,17,FALSE)</f>
        <v>Haryana</v>
      </c>
      <c r="D261" s="2" t="str">
        <f>VLOOKUP(C261,'Target PLF'!$I$2:$J$19,2,FALSE)</f>
        <v>NR</v>
      </c>
      <c r="E261" s="2" t="str">
        <f>VLOOKUP(A261,[2]Ownership!$C$2:$D$666,2,FALSE)</f>
        <v>STATE SECTOR</v>
      </c>
      <c r="F261" s="2" t="s">
        <v>544</v>
      </c>
      <c r="G261" s="12">
        <v>12.175222450376401</v>
      </c>
      <c r="H261" s="2">
        <v>300</v>
      </c>
      <c r="I261" s="2">
        <f>VLOOKUP(A261,'[3]Calculated coal req (reg.)'!$A$2:$I$599,9,FALSE)</f>
        <v>4.6943063942299199</v>
      </c>
      <c r="J261" s="2"/>
      <c r="K261" s="11">
        <v>0.65198699919859993</v>
      </c>
      <c r="L261" s="3">
        <v>0.49249999999999999</v>
      </c>
      <c r="M261" s="3">
        <f t="shared" si="236"/>
        <v>-0.15948699919859993</v>
      </c>
      <c r="N261" s="2" t="str">
        <f t="shared" si="215"/>
        <v>0.25</v>
      </c>
      <c r="O261" s="2">
        <f t="shared" si="210"/>
        <v>11.315233637065553</v>
      </c>
      <c r="P261" s="2">
        <f t="shared" si="216"/>
        <v>1239018.083258678</v>
      </c>
      <c r="Q261" s="2">
        <f t="shared" si="217"/>
        <v>14.070247921115673</v>
      </c>
      <c r="R261" s="2">
        <f t="shared" si="218"/>
        <v>3.5459999999999998</v>
      </c>
      <c r="S261" s="2">
        <f t="shared" si="219"/>
        <v>892695.15597160812</v>
      </c>
      <c r="T261" s="2" t="str">
        <f>VLOOKUP(A261,'[4]CEA vs MERIT comp. &amp; NPA marker'!$C$2:$K$735,9,FALSE)</f>
        <v>Contracted</v>
      </c>
      <c r="U261" s="3">
        <f>VLOOKUP(B261,'[8]Import-Domestic share'!$A$208:$F$406,6,FALSE)</f>
        <v>0</v>
      </c>
      <c r="V261" s="3">
        <f t="shared" si="220"/>
        <v>0</v>
      </c>
      <c r="W261" s="2">
        <f t="shared" si="221"/>
        <v>3070.3082316153314</v>
      </c>
      <c r="X261" s="2">
        <f t="shared" si="222"/>
        <v>3017.5864229058511</v>
      </c>
      <c r="Y261" s="6">
        <f t="shared" si="223"/>
        <v>0.28010217057182635</v>
      </c>
      <c r="Z261" s="2">
        <f t="shared" si="224"/>
        <v>936930.83228579198</v>
      </c>
      <c r="AA261" s="2">
        <f t="shared" si="225"/>
        <v>1219040.0440905346</v>
      </c>
      <c r="AB261" s="2" t="s">
        <v>598</v>
      </c>
      <c r="AC261" s="12">
        <f>VLOOKUP(B261,[9]Sheet1!$A$2:$B$137,2,FALSE)</f>
        <v>4241.3688440613269</v>
      </c>
      <c r="AD261" s="12">
        <f t="shared" si="226"/>
        <v>1272410.6532183981</v>
      </c>
      <c r="AE261" s="2"/>
      <c r="AF261" s="7">
        <f>VLOOKUP($B261,'[9]Subsidiary wise dispatch'!$A$3:$R$138,11,FALSE)*$H261*$O261*365</f>
        <v>161192.81686497829</v>
      </c>
      <c r="AG261" s="7">
        <f>VLOOKUP($B261,'[9]Subsidiary wise dispatch'!$A$3:$R$138,12,FALSE)*$H261*$O261*365</f>
        <v>1036672.1489306622</v>
      </c>
      <c r="AH261" s="7">
        <f>VLOOKUP($B261,'[9]Subsidiary wise dispatch'!$A$3:$R$138,13,FALSE)*$H261*$O261*365</f>
        <v>19829.021321850487</v>
      </c>
      <c r="AI261" s="7">
        <f>VLOOKUP($B261,'[9]Subsidiary wise dispatch'!$A$3:$R$138,14,FALSE)*$H261*$O261*365</f>
        <v>0</v>
      </c>
      <c r="AJ261" s="7">
        <f>VLOOKUP($B261,'[9]Subsidiary wise dispatch'!$A$3:$R$138,15,FALSE)*$H261*$O261*365</f>
        <v>21324.096141187158</v>
      </c>
      <c r="AK261" s="7">
        <f>VLOOKUP($B261,'[9]Subsidiary wise dispatch'!$A$3:$R$138,16,FALSE)*$H261*$O261*365</f>
        <v>0</v>
      </c>
      <c r="AL261" s="7">
        <f>VLOOKUP($B261,'[9]Subsidiary wise dispatch'!$A$3:$R$138,17,FALSE)*$H261*$O261*365</f>
        <v>0</v>
      </c>
      <c r="AM261" s="7">
        <f>VLOOKUP($B261,'[9]Subsidiary wise dispatch'!$A$3:$R$138,18,FALSE)*$H261*$O261*365</f>
        <v>0</v>
      </c>
      <c r="AN261" s="15">
        <f t="shared" si="227"/>
        <v>1239018.0832586782</v>
      </c>
      <c r="AO261" s="6">
        <v>8.7483637832043534E-2</v>
      </c>
      <c r="AP261" s="11">
        <f t="shared" si="228"/>
        <v>0.41067500046545646</v>
      </c>
      <c r="AQ261" s="11">
        <f t="shared" si="229"/>
        <v>0.31021697975242635</v>
      </c>
      <c r="AR261" s="3">
        <f>VLOOKUP(A261,[10]Sheet1!$A$2:$L$542,12,FALSE)</f>
        <v>3.4771920088790198</v>
      </c>
      <c r="AS261" s="3">
        <f t="shared" si="237"/>
        <v>3.1747403260014537</v>
      </c>
      <c r="AT261" s="3">
        <f t="shared" si="238"/>
        <v>3.1801443113941756</v>
      </c>
      <c r="AU261" s="3">
        <f t="shared" si="230"/>
        <v>-5.4039853927219106E-3</v>
      </c>
      <c r="AV261" s="88">
        <f t="shared" si="239"/>
        <v>-0.11687526275271801</v>
      </c>
      <c r="AW261" s="32">
        <f t="shared" si="240"/>
        <v>3.5111935438320648E-2</v>
      </c>
      <c r="AX261" s="12">
        <f t="shared" si="231"/>
        <v>543.96693915143942</v>
      </c>
      <c r="AY261" s="12">
        <f t="shared" si="232"/>
        <v>411.60289807943673</v>
      </c>
      <c r="AZ261" s="3">
        <f>VLOOKUP(A261,[5]Analysis!$A$3:$BJ$543,62,FALSE)</f>
        <v>1.0877982899105609</v>
      </c>
      <c r="BA261" s="2"/>
      <c r="BB261" s="2"/>
      <c r="BC261" s="2" t="str">
        <f>VLOOKUP(A261,'[6]FGD status - Jun 2020'!$I$2:$M$449,5,FALSE)</f>
        <v>Retendering to be done</v>
      </c>
      <c r="BD261" s="2"/>
      <c r="BE261" s="2"/>
      <c r="BF261" s="2">
        <f t="shared" si="233"/>
        <v>377.29289364602045</v>
      </c>
      <c r="BG261" s="2">
        <f t="shared" si="234"/>
        <v>289.98009259245265</v>
      </c>
      <c r="BH261" s="2"/>
      <c r="BI261" s="2"/>
      <c r="BK261">
        <f t="shared" si="235"/>
        <v>195.59609975957997</v>
      </c>
      <c r="BL261">
        <f>VLOOKUP(A261,'[11]Daily coal vs energy req.2'!$C$2:$P$599,14,FALSE)</f>
        <v>1.1299999999999999</v>
      </c>
      <c r="BM261">
        <f>VLOOKUP(A261,'[11]Daily coal vs energy req.2'!$C$2:$R$599,16,FALSE)</f>
        <v>0.89</v>
      </c>
      <c r="BN261">
        <f>BL261*H261</f>
        <v>338.99999999999994</v>
      </c>
      <c r="BO261">
        <f>BM261*H261</f>
        <v>267</v>
      </c>
      <c r="BP261" s="2" t="str">
        <f>VLOOKUP(A261,'[7]Table 2'!$J$2:$N$449,5,FALSE)</f>
        <v>NIT issued</v>
      </c>
      <c r="BR261">
        <f t="shared" si="241"/>
        <v>562.43506058472485</v>
      </c>
      <c r="BS261">
        <f t="shared" si="242"/>
        <v>432.27681647939374</v>
      </c>
      <c r="BT261">
        <f>(X261*I261*365*[5]Analysis!BK261)/10^4</f>
        <v>201.17211146230966</v>
      </c>
      <c r="BU261">
        <f>(W261*R261*365*[5]Analysis!BK261)/10^4</f>
        <v>154.61703226138951</v>
      </c>
      <c r="BV261">
        <f>(X261*I261*365*[5]Analysis!BL261)/10^4</f>
        <v>361.26294912241531</v>
      </c>
      <c r="BW261">
        <f>(W261*R261*365*[5]Analysis!BL261)/10^4</f>
        <v>277.65978421800435</v>
      </c>
      <c r="BX261">
        <f t="shared" si="243"/>
        <v>1451961.2121193039</v>
      </c>
      <c r="BY261">
        <f t="shared" si="244"/>
        <v>1115949.5814040664</v>
      </c>
      <c r="BZ261">
        <f t="shared" si="245"/>
        <v>9655215.0743408371</v>
      </c>
      <c r="CA261">
        <f t="shared" si="246"/>
        <v>7293386.8772809617</v>
      </c>
      <c r="CB261">
        <f t="shared" si="247"/>
        <v>-330067.16944554972</v>
      </c>
      <c r="CC261">
        <f t="shared" si="248"/>
        <v>-188337.55441499996</v>
      </c>
      <c r="CD261">
        <f t="shared" si="249"/>
        <v>0</v>
      </c>
      <c r="CE261">
        <f t="shared" si="250"/>
        <v>0</v>
      </c>
      <c r="CF261">
        <f t="shared" si="251"/>
        <v>3059483.6794477878</v>
      </c>
      <c r="CG261">
        <f t="shared" si="252"/>
        <v>2311082.4509999999</v>
      </c>
      <c r="CH261">
        <f t="shared" si="253"/>
        <v>423198.45605050458</v>
      </c>
      <c r="CI261">
        <f t="shared" si="254"/>
        <v>319676.98721149756</v>
      </c>
      <c r="CJ261">
        <f t="shared" si="255"/>
        <v>-847650.90560609673</v>
      </c>
      <c r="CK261">
        <f t="shared" si="256"/>
        <v>-640301.22</v>
      </c>
      <c r="CL261">
        <f t="shared" si="257"/>
        <v>1160996.2960158659</v>
      </c>
      <c r="CM261">
        <f t="shared" si="258"/>
        <v>876997.05130721838</v>
      </c>
    </row>
    <row r="262" spans="1:91" x14ac:dyDescent="0.2">
      <c r="A262" s="2" t="s">
        <v>229</v>
      </c>
      <c r="B262" s="2" t="str">
        <f t="shared" si="207"/>
        <v>D.P.L. TPS</v>
      </c>
      <c r="C262" s="2" t="str">
        <f>VLOOKUP($A262,'[1]daily coal, energy reqd'!$C$2:$T$599,17,FALSE)</f>
        <v>West Bengal</v>
      </c>
      <c r="D262" s="2" t="str">
        <f>VLOOKUP(C262,'Target PLF'!$I$2:$J$19,2,FALSE)</f>
        <v>ER</v>
      </c>
      <c r="E262" s="2" t="str">
        <f>VLOOKUP(A262,[2]Ownership!$C$2:$D$666,2,FALSE)</f>
        <v>STATE SECTOR</v>
      </c>
      <c r="F262" s="2" t="s">
        <v>543</v>
      </c>
      <c r="G262" s="12">
        <v>6.1765913757700197</v>
      </c>
      <c r="H262" s="2">
        <v>250</v>
      </c>
      <c r="I262" s="2">
        <f>VLOOKUP(A262,'[3]Calculated coal req (reg.)'!$A$2:$I$599,9,FALSE)</f>
        <v>3.3640397429128401</v>
      </c>
      <c r="J262" s="2"/>
      <c r="K262" s="11">
        <v>0.56067329048547332</v>
      </c>
      <c r="L262" s="3">
        <v>0.49249999999999999</v>
      </c>
      <c r="M262" s="3">
        <f t="shared" si="236"/>
        <v>-6.8173290485473326E-2</v>
      </c>
      <c r="N262" s="2" t="str">
        <f t="shared" si="215"/>
        <v>0.25</v>
      </c>
      <c r="O262" s="2">
        <f t="shared" si="210"/>
        <v>10.115146974339051</v>
      </c>
      <c r="P262" s="2">
        <f t="shared" si="216"/>
        <v>923007.16140843846</v>
      </c>
      <c r="Q262" s="2">
        <f t="shared" si="217"/>
        <v>14.140636281827515</v>
      </c>
      <c r="R262" s="2">
        <f t="shared" si="218"/>
        <v>2.9550000000000001</v>
      </c>
      <c r="S262" s="2">
        <f t="shared" si="219"/>
        <v>747634.1557682408</v>
      </c>
      <c r="T262" s="2" t="str">
        <f>VLOOKUP(A262,'[4]CEA vs MERIT comp. &amp; NPA marker'!$C$2:$K$735,9,FALSE)</f>
        <v>Not contracted</v>
      </c>
      <c r="U262" s="3">
        <f>VLOOKUP(B262,'[8]Import-Domestic share'!$A$208:$F$406,6,FALSE)</f>
        <v>0</v>
      </c>
      <c r="V262" s="3">
        <f t="shared" si="220"/>
        <v>0</v>
      </c>
      <c r="W262" s="2">
        <f t="shared" si="221"/>
        <v>3070.7625839404513</v>
      </c>
      <c r="X262" s="2">
        <f t="shared" si="222"/>
        <v>3048.2264574967198</v>
      </c>
      <c r="Y262" s="6">
        <f t="shared" si="223"/>
        <v>0.28006072644549235</v>
      </c>
      <c r="Z262" s="2">
        <f t="shared" si="224"/>
        <v>697469.84300645313</v>
      </c>
      <c r="AA262" s="2">
        <f t="shared" si="225"/>
        <v>788188.4295025469</v>
      </c>
      <c r="AB262" s="2" t="s">
        <v>598</v>
      </c>
      <c r="AC262" s="12">
        <f>VLOOKUP(B262,[9]Sheet1!$A$2:$B$137,2,FALSE)</f>
        <v>4748.6608735611362</v>
      </c>
      <c r="AD262" s="12">
        <f t="shared" si="226"/>
        <v>1187165.2183902841</v>
      </c>
      <c r="AE262" s="2"/>
      <c r="AF262" s="7">
        <f>VLOOKUP($B262,'[9]Subsidiary wise dispatch'!$A$3:$R$138,11,FALSE)*$H262*$O262*365</f>
        <v>507109.86857167812</v>
      </c>
      <c r="AG262" s="7">
        <f>VLOOKUP($B262,'[9]Subsidiary wise dispatch'!$A$3:$R$138,12,FALSE)*$H262*$O262*365</f>
        <v>0</v>
      </c>
      <c r="AH262" s="7">
        <f>VLOOKUP($B262,'[9]Subsidiary wise dispatch'!$A$3:$R$138,13,FALSE)*$H262*$O262*365</f>
        <v>259268.49043857798</v>
      </c>
      <c r="AI262" s="7">
        <f>VLOOKUP($B262,'[9]Subsidiary wise dispatch'!$A$3:$R$138,14,FALSE)*$H262*$O262*365</f>
        <v>156628.80239818222</v>
      </c>
      <c r="AJ262" s="7">
        <f>VLOOKUP($B262,'[9]Subsidiary wise dispatch'!$A$3:$R$138,15,FALSE)*$H262*$O262*365</f>
        <v>0</v>
      </c>
      <c r="AK262" s="7">
        <f>VLOOKUP($B262,'[9]Subsidiary wise dispatch'!$A$3:$R$138,16,FALSE)*$H262*$O262*365</f>
        <v>0</v>
      </c>
      <c r="AL262" s="7">
        <f>VLOOKUP($B262,'[9]Subsidiary wise dispatch'!$A$3:$R$138,17,FALSE)*$H262*$O262*365</f>
        <v>0</v>
      </c>
      <c r="AM262" s="7">
        <f>VLOOKUP($B262,'[9]Subsidiary wise dispatch'!$A$3:$R$138,18,FALSE)*$H262*$O262*365</f>
        <v>0</v>
      </c>
      <c r="AN262" s="15">
        <f t="shared" si="227"/>
        <v>923007.16140843835</v>
      </c>
      <c r="AO262" s="6">
        <v>0.12054583600181658</v>
      </c>
      <c r="AP262" s="11">
        <f t="shared" si="228"/>
        <v>0.40552098315276441</v>
      </c>
      <c r="AQ262" s="11">
        <f t="shared" si="229"/>
        <v>0.35621294538536802</v>
      </c>
      <c r="AR262" s="3"/>
      <c r="AS262" s="3">
        <f t="shared" si="237"/>
        <v>2.3937167856194463</v>
      </c>
      <c r="AT262" s="3">
        <f t="shared" si="238"/>
        <v>2.3960267385799288</v>
      </c>
      <c r="AU262" s="3">
        <f t="shared" si="230"/>
        <v>-2.3099529604824198E-3</v>
      </c>
      <c r="AV262" s="88">
        <f t="shared" si="239"/>
        <v>-4.9958750733564566E-2</v>
      </c>
      <c r="AW262" s="32">
        <f t="shared" si="240"/>
        <v>1.9905779187971723E-2</v>
      </c>
      <c r="AX262" s="12">
        <f t="shared" si="231"/>
        <v>293.91838160370082</v>
      </c>
      <c r="AY262" s="12">
        <f t="shared" si="232"/>
        <v>258.42945395638469</v>
      </c>
      <c r="AZ262" s="3">
        <f>VLOOKUP(A262,[5]Analysis!$A$3:$BJ$543,62,FALSE)</f>
        <v>0.6312098522519608</v>
      </c>
      <c r="BA262" s="2"/>
      <c r="BB262" s="2"/>
      <c r="BC262" s="2" t="str">
        <f>VLOOKUP(A262,'[6]FGD status - Jun 2020'!$I$2:$M$449,5,FALSE)</f>
        <v>Feasibility Study started</v>
      </c>
      <c r="BD262" s="2"/>
      <c r="BE262" s="2"/>
      <c r="BF262" s="2">
        <f t="shared" si="233"/>
        <v>243.94431893103828</v>
      </c>
      <c r="BG262" s="2">
        <f t="shared" si="234"/>
        <v>215.86691641049723</v>
      </c>
      <c r="BH262" s="2"/>
      <c r="BI262" s="2"/>
      <c r="BK262">
        <f t="shared" si="235"/>
        <v>140.16832262136833</v>
      </c>
      <c r="BP262" s="2" t="str">
        <f>VLOOKUP(A262,'[7]Table 2'!$J$2:$N$449,5,FALSE)</f>
        <v>NIT issued</v>
      </c>
      <c r="BR262">
        <f t="shared" si="241"/>
        <v>236.25172032543401</v>
      </c>
      <c r="BS262">
        <f t="shared" si="242"/>
        <v>209.05971734370971</v>
      </c>
      <c r="BT262">
        <f>(X262*I262*365*[5]Analysis!BK262)/10^4</f>
        <v>177.24761867534079</v>
      </c>
      <c r="BU262">
        <f>(W262*R262*365*[5]Analysis!BK262)/10^4</f>
        <v>156.84684542855004</v>
      </c>
      <c r="BV262">
        <f>(X262*I262*365*[5]Analysis!BL262)/10^4</f>
        <v>59.004101650093261</v>
      </c>
      <c r="BW262">
        <f>(W262*R262*365*[5]Analysis!BL262)/10^4</f>
        <v>52.212871915159674</v>
      </c>
      <c r="BX262">
        <f t="shared" si="243"/>
        <v>1051071.3822127818</v>
      </c>
      <c r="BY262">
        <f t="shared" si="244"/>
        <v>930095.60214326333</v>
      </c>
      <c r="BZ262">
        <f t="shared" si="245"/>
        <v>4014921.285785004</v>
      </c>
      <c r="CA262">
        <f t="shared" si="246"/>
        <v>3526739.666048611</v>
      </c>
      <c r="CB262">
        <f t="shared" si="247"/>
        <v>-203405.61907872625</v>
      </c>
      <c r="CC262">
        <f t="shared" si="248"/>
        <v>-156947.96201250001</v>
      </c>
      <c r="CD262">
        <f t="shared" si="249"/>
        <v>0</v>
      </c>
      <c r="CE262">
        <f t="shared" si="250"/>
        <v>0</v>
      </c>
      <c r="CF262">
        <f t="shared" si="251"/>
        <v>2192491.0361851146</v>
      </c>
      <c r="CG262">
        <f t="shared" si="252"/>
        <v>1925902.0425000002</v>
      </c>
      <c r="CH262">
        <f t="shared" si="253"/>
        <v>153852.91393717771</v>
      </c>
      <c r="CI262">
        <f t="shared" si="254"/>
        <v>135145.6568377823</v>
      </c>
      <c r="CJ262">
        <f t="shared" si="255"/>
        <v>-506203.88031480968</v>
      </c>
      <c r="CK262">
        <f t="shared" si="256"/>
        <v>-444653.62500000012</v>
      </c>
      <c r="CL262">
        <f t="shared" si="257"/>
        <v>1146425.6622961238</v>
      </c>
      <c r="CM262">
        <f t="shared" si="258"/>
        <v>1007029.6699740322</v>
      </c>
    </row>
    <row r="263" spans="1:91" x14ac:dyDescent="0.2">
      <c r="A263" s="2" t="s">
        <v>274</v>
      </c>
      <c r="B263" s="2" t="str">
        <f t="shared" si="207"/>
        <v>D.P.L. TPS</v>
      </c>
      <c r="C263" s="2" t="str">
        <f>VLOOKUP($A263,'[1]daily coal, energy reqd'!$C$2:$T$599,17,FALSE)</f>
        <v>West Bengal</v>
      </c>
      <c r="D263" s="2" t="str">
        <f>VLOOKUP(C263,'Target PLF'!$I$2:$J$19,2,FALSE)</f>
        <v>ER</v>
      </c>
      <c r="E263" s="2" t="str">
        <f>VLOOKUP(A263,[2]Ownership!$C$2:$D$666,2,FALSE)</f>
        <v>STATE SECTOR</v>
      </c>
      <c r="F263" s="2" t="s">
        <v>544</v>
      </c>
      <c r="G263" s="12">
        <v>12.4435318275154</v>
      </c>
      <c r="H263" s="2">
        <v>300</v>
      </c>
      <c r="I263" s="2">
        <f>VLOOKUP(A263,'[3]Calculated coal req (reg.)'!$A$2:$I$599,9,FALSE)</f>
        <v>2.9058792822713002</v>
      </c>
      <c r="J263" s="2"/>
      <c r="K263" s="11">
        <v>0.4035943447599028</v>
      </c>
      <c r="L263" s="3">
        <v>0.49249999999999999</v>
      </c>
      <c r="M263" s="3">
        <f t="shared" si="236"/>
        <v>8.8905655240097192E-2</v>
      </c>
      <c r="N263" s="2" t="str">
        <f t="shared" si="215"/>
        <v>0.25</v>
      </c>
      <c r="O263" s="2">
        <f t="shared" si="210"/>
        <v>7.8677708175845051</v>
      </c>
      <c r="P263" s="2">
        <f t="shared" si="216"/>
        <v>861520.9045255034</v>
      </c>
      <c r="Q263" s="2">
        <f t="shared" si="217"/>
        <v>14.078746620636551</v>
      </c>
      <c r="R263" s="2">
        <f t="shared" si="218"/>
        <v>3.5459999999999998</v>
      </c>
      <c r="S263" s="2">
        <f t="shared" si="219"/>
        <v>893234.36096194515</v>
      </c>
      <c r="T263" s="2" t="str">
        <f>VLOOKUP(A263,'[4]CEA vs MERIT comp. &amp; NPA marker'!$C$2:$K$735,9,FALSE)</f>
        <v>Not contracted</v>
      </c>
      <c r="U263" s="3">
        <f>VLOOKUP(B263,'[8]Import-Domestic share'!$A$208:$F$406,6,FALSE)</f>
        <v>0</v>
      </c>
      <c r="V263" s="3">
        <f t="shared" si="220"/>
        <v>0</v>
      </c>
      <c r="W263" s="2">
        <f t="shared" si="221"/>
        <v>3072.3582593388087</v>
      </c>
      <c r="X263" s="2">
        <f t="shared" si="222"/>
        <v>3101.747908478314</v>
      </c>
      <c r="Y263" s="6">
        <f t="shared" si="223"/>
        <v>0.27991527270165345</v>
      </c>
      <c r="Z263" s="2">
        <f t="shared" si="224"/>
        <v>837398.72721160133</v>
      </c>
      <c r="AA263" s="2">
        <f t="shared" si="225"/>
        <v>692796.6446781453</v>
      </c>
      <c r="AB263" s="2" t="s">
        <v>598</v>
      </c>
      <c r="AC263" s="12">
        <f>VLOOKUP(B263,[9]Sheet1!$A$2:$B$137,2,FALSE)</f>
        <v>4748.6608735611362</v>
      </c>
      <c r="AD263" s="12">
        <f t="shared" si="226"/>
        <v>1424598.2620683408</v>
      </c>
      <c r="AE263" s="2"/>
      <c r="AF263" s="7">
        <f>VLOOKUP($B263,'[9]Subsidiary wise dispatch'!$A$3:$R$138,11,FALSE)*$H263*$O263*365</f>
        <v>473328.67060210777</v>
      </c>
      <c r="AG263" s="7">
        <f>VLOOKUP($B263,'[9]Subsidiary wise dispatch'!$A$3:$R$138,12,FALSE)*$H263*$O263*365</f>
        <v>0</v>
      </c>
      <c r="AH263" s="7">
        <f>VLOOKUP($B263,'[9]Subsidiary wise dispatch'!$A$3:$R$138,13,FALSE)*$H263*$O263*365</f>
        <v>241997.28207608624</v>
      </c>
      <c r="AI263" s="7">
        <f>VLOOKUP($B263,'[9]Subsidiary wise dispatch'!$A$3:$R$138,14,FALSE)*$H263*$O263*365</f>
        <v>146194.95184730928</v>
      </c>
      <c r="AJ263" s="7">
        <f>VLOOKUP($B263,'[9]Subsidiary wise dispatch'!$A$3:$R$138,15,FALSE)*$H263*$O263*365</f>
        <v>0</v>
      </c>
      <c r="AK263" s="7">
        <f>VLOOKUP($B263,'[9]Subsidiary wise dispatch'!$A$3:$R$138,16,FALSE)*$H263*$O263*365</f>
        <v>0</v>
      </c>
      <c r="AL263" s="7">
        <f>VLOOKUP($B263,'[9]Subsidiary wise dispatch'!$A$3:$R$138,17,FALSE)*$H263*$O263*365</f>
        <v>0</v>
      </c>
      <c r="AM263" s="7">
        <f>VLOOKUP($B263,'[9]Subsidiary wise dispatch'!$A$3:$R$138,18,FALSE)*$H263*$O263*365</f>
        <v>0</v>
      </c>
      <c r="AN263" s="15">
        <f t="shared" si="227"/>
        <v>861520.90452550328</v>
      </c>
      <c r="AO263" s="6">
        <v>0.12054583600181658</v>
      </c>
      <c r="AP263" s="11">
        <f t="shared" si="228"/>
        <v>0.35029164740175261</v>
      </c>
      <c r="AQ263" s="11">
        <f t="shared" si="229"/>
        <v>0.42745553446244156</v>
      </c>
      <c r="AR263" s="3"/>
      <c r="AS263" s="3">
        <f t="shared" si="237"/>
        <v>2.4155112949200079</v>
      </c>
      <c r="AT263" s="3">
        <f t="shared" si="238"/>
        <v>2.412498855883209</v>
      </c>
      <c r="AU263" s="3">
        <f t="shared" si="230"/>
        <v>3.0124390367989307E-3</v>
      </c>
      <c r="AV263" s="88">
        <f t="shared" si="239"/>
        <v>6.515184227304803E-2</v>
      </c>
      <c r="AW263" s="32">
        <f t="shared" si="240"/>
        <v>2.5725155318848097E-2</v>
      </c>
      <c r="AX263" s="12">
        <f t="shared" si="231"/>
        <v>256.20022432201358</v>
      </c>
      <c r="AY263" s="12">
        <f t="shared" si="232"/>
        <v>312.24731441810786</v>
      </c>
      <c r="AZ263" s="3">
        <f>VLOOKUP(A263,[5]Analysis!$A$3:$BJ$543,62,FALSE)</f>
        <v>0.6312098522519608</v>
      </c>
      <c r="BA263" s="2"/>
      <c r="BB263" s="2"/>
      <c r="BC263" s="2" t="str">
        <f>VLOOKUP(A263,'[6]FGD status - Jun 2020'!$I$2:$M$449,5,FALSE)</f>
        <v>Feasibility Study started</v>
      </c>
      <c r="BD263" s="2"/>
      <c r="BE263" s="2"/>
      <c r="BF263" s="2">
        <f t="shared" si="233"/>
        <v>214.42056152788595</v>
      </c>
      <c r="BG263" s="2">
        <f t="shared" si="234"/>
        <v>259.17490607199062</v>
      </c>
      <c r="BH263" s="2"/>
      <c r="BI263" s="2"/>
      <c r="BK263">
        <f t="shared" si="235"/>
        <v>121.07830342797084</v>
      </c>
      <c r="BP263" s="2" t="str">
        <f>VLOOKUP(A263,'[7]Table 2'!$J$2:$N$449,5,FALSE)</f>
        <v>NIT issued</v>
      </c>
      <c r="BR263">
        <f t="shared" si="241"/>
        <v>207.65897216253339</v>
      </c>
      <c r="BS263">
        <f t="shared" si="242"/>
        <v>251.00202248202422</v>
      </c>
      <c r="BT263">
        <f>(X263*I263*365*[5]Analysis!BK263)/10^4</f>
        <v>155.79593774672466</v>
      </c>
      <c r="BU263">
        <f>(W263*R263*365*[5]Analysis!BK263)/10^4</f>
        <v>188.31401822746244</v>
      </c>
      <c r="BV263">
        <f>(X263*I263*365*[5]Analysis!BL263)/10^4</f>
        <v>51.863034415808741</v>
      </c>
      <c r="BW263">
        <f>(W263*R263*365*[5]Analysis!BL263)/10^4</f>
        <v>62.68800425456179</v>
      </c>
      <c r="BX263">
        <f t="shared" si="243"/>
        <v>923863.76107273565</v>
      </c>
      <c r="BY263">
        <f t="shared" si="244"/>
        <v>1116694.6947305801</v>
      </c>
      <c r="BZ263">
        <f t="shared" si="245"/>
        <v>3468114.9676937605</v>
      </c>
      <c r="CA263">
        <f t="shared" si="246"/>
        <v>4232087.5992583334</v>
      </c>
      <c r="CB263">
        <f t="shared" si="247"/>
        <v>-126477.88700515739</v>
      </c>
      <c r="CC263">
        <f t="shared" si="248"/>
        <v>-188337.55441499996</v>
      </c>
      <c r="CD263">
        <f t="shared" si="249"/>
        <v>0</v>
      </c>
      <c r="CE263">
        <f t="shared" si="250"/>
        <v>0</v>
      </c>
      <c r="CF263">
        <f t="shared" si="251"/>
        <v>1893887.9340049853</v>
      </c>
      <c r="CG263">
        <f t="shared" si="252"/>
        <v>2311082.4509999999</v>
      </c>
      <c r="CH263">
        <f t="shared" si="253"/>
        <v>267742.28719137929</v>
      </c>
      <c r="CI263">
        <f t="shared" si="254"/>
        <v>326721.81400410674</v>
      </c>
      <c r="CJ263">
        <f t="shared" si="255"/>
        <v>-524714.62199972873</v>
      </c>
      <c r="CK263">
        <f t="shared" si="256"/>
        <v>-640301.22</v>
      </c>
      <c r="CL263">
        <f t="shared" si="257"/>
        <v>990289.90003724024</v>
      </c>
      <c r="CM263">
        <f t="shared" si="258"/>
        <v>1208435.6039688385</v>
      </c>
    </row>
    <row r="264" spans="1:91" x14ac:dyDescent="0.2">
      <c r="A264" s="2" t="s">
        <v>273</v>
      </c>
      <c r="B264" s="2" t="str">
        <f t="shared" si="207"/>
        <v>SAGARDIGHI TPS</v>
      </c>
      <c r="C264" s="2" t="str">
        <f>VLOOKUP($A264,'[1]daily coal, energy reqd'!$C$2:$T$599,17,FALSE)</f>
        <v>West Bengal</v>
      </c>
      <c r="D264" s="2" t="str">
        <f>VLOOKUP(C264,'Target PLF'!$I$2:$J$19,2,FALSE)</f>
        <v>ER</v>
      </c>
      <c r="E264" s="2" t="str">
        <f>VLOOKUP(A264,[2]Ownership!$C$2:$D$666,2,FALSE)</f>
        <v>STATE SECTOR</v>
      </c>
      <c r="F264" s="2" t="s">
        <v>544</v>
      </c>
      <c r="G264" s="12">
        <v>12.4243668720054</v>
      </c>
      <c r="H264" s="2">
        <v>300</v>
      </c>
      <c r="I264" s="2">
        <f>VLOOKUP(A264,'[3]Calculated coal req (reg.)'!$A$2:$I$599,9,FALSE)</f>
        <v>2.9892881674523699</v>
      </c>
      <c r="J264" s="2"/>
      <c r="K264" s="11">
        <v>0.41517891214616254</v>
      </c>
      <c r="L264" s="3">
        <v>0.49249999999999999</v>
      </c>
      <c r="M264" s="3">
        <f t="shared" si="236"/>
        <v>7.7321087853837456E-2</v>
      </c>
      <c r="N264" s="2" t="str">
        <f t="shared" si="215"/>
        <v>0.25</v>
      </c>
      <c r="O264" s="2">
        <f t="shared" si="210"/>
        <v>8.0283433290339747</v>
      </c>
      <c r="P264" s="2">
        <f t="shared" si="216"/>
        <v>879103.59452922025</v>
      </c>
      <c r="Q264" s="2">
        <f t="shared" si="217"/>
        <v>14.078139570670771</v>
      </c>
      <c r="R264" s="2">
        <f t="shared" si="218"/>
        <v>3.5459999999999998</v>
      </c>
      <c r="S264" s="2">
        <f t="shared" si="219"/>
        <v>893195.84631977824</v>
      </c>
      <c r="T264" s="2" t="str">
        <f>VLOOKUP(A264,'[4]CEA vs MERIT comp. &amp; NPA marker'!$C$2:$K$735,9,FALSE)</f>
        <v>Contracted</v>
      </c>
      <c r="U264" s="3">
        <f>VLOOKUP(B264,'[8]Import-Domestic share'!$A$208:$F$406,6,FALSE)</f>
        <v>6.5371616889120401E-4</v>
      </c>
      <c r="V264" s="3">
        <f t="shared" si="220"/>
        <v>574.68423387412827</v>
      </c>
      <c r="W264" s="2">
        <f t="shared" si="221"/>
        <v>3072.3592127582183</v>
      </c>
      <c r="X264" s="2">
        <f t="shared" si="222"/>
        <v>3097.9193375553668</v>
      </c>
      <c r="Y264" s="6">
        <f t="shared" si="223"/>
        <v>0.27991518583789976</v>
      </c>
      <c r="Z264" s="2">
        <f t="shared" si="224"/>
        <v>680221.58901653078</v>
      </c>
      <c r="AA264" s="2">
        <f t="shared" si="225"/>
        <v>578199.32180370064</v>
      </c>
      <c r="AB264" s="2" t="s">
        <v>598</v>
      </c>
      <c r="AC264" s="12">
        <f>VLOOKUP(B264,[9]Sheet1!$A$2:$B$137,2,FALSE)</f>
        <v>5845.9241366186579</v>
      </c>
      <c r="AD264" s="12">
        <f t="shared" si="226"/>
        <v>1753777.2409855975</v>
      </c>
      <c r="AE264" s="2"/>
      <c r="AF264" s="7">
        <f>VLOOKUP($B264,'[9]Subsidiary wise dispatch'!$A$3:$R$138,11,FALSE)*$H264*$O264*365</f>
        <v>105215.06795292094</v>
      </c>
      <c r="AG264" s="7">
        <f>VLOOKUP($B264,'[9]Subsidiary wise dispatch'!$A$3:$R$138,12,FALSE)*$H264*$O264*365</f>
        <v>23749.642292628709</v>
      </c>
      <c r="AH264" s="7">
        <f>VLOOKUP($B264,'[9]Subsidiary wise dispatch'!$A$3:$R$138,13,FALSE)*$H264*$O264*365</f>
        <v>750138.88428367057</v>
      </c>
      <c r="AI264" s="7">
        <f>VLOOKUP($B264,'[9]Subsidiary wise dispatch'!$A$3:$R$138,14,FALSE)*$H264*$O264*365</f>
        <v>0</v>
      </c>
      <c r="AJ264" s="7">
        <f>VLOOKUP($B264,'[9]Subsidiary wise dispatch'!$A$3:$R$138,15,FALSE)*$H264*$O264*365</f>
        <v>0</v>
      </c>
      <c r="AK264" s="7">
        <f>VLOOKUP($B264,'[9]Subsidiary wise dispatch'!$A$3:$R$138,16,FALSE)*$H264*$O264*365</f>
        <v>0</v>
      </c>
      <c r="AL264" s="7">
        <f>VLOOKUP($B264,'[9]Subsidiary wise dispatch'!$A$3:$R$138,17,FALSE)*$H264*$O264*365</f>
        <v>0</v>
      </c>
      <c r="AM264" s="7">
        <f>VLOOKUP($B264,'[9]Subsidiary wise dispatch'!$A$3:$R$138,18,FALSE)*$H264*$O264*365</f>
        <v>0</v>
      </c>
      <c r="AN264" s="15">
        <f t="shared" si="227"/>
        <v>879103.59452922025</v>
      </c>
      <c r="AO264" s="6">
        <v>9.5849721553511083E-2</v>
      </c>
      <c r="AP264" s="11">
        <f t="shared" si="228"/>
        <v>0.28652243849351505</v>
      </c>
      <c r="AQ264" s="11">
        <f t="shared" si="229"/>
        <v>0.33988311262875026</v>
      </c>
      <c r="AR264" s="3">
        <f>VLOOKUP(A264,[10]Sheet1!$A$2:$L$542,12,FALSE)</f>
        <v>3.1498451327433599</v>
      </c>
      <c r="AS264" s="3">
        <f t="shared" si="237"/>
        <v>2.5892466608968432</v>
      </c>
      <c r="AT264" s="3">
        <f t="shared" si="238"/>
        <v>2.586626748105135</v>
      </c>
      <c r="AU264" s="3">
        <f t="shared" si="230"/>
        <v>2.6199127917081455E-3</v>
      </c>
      <c r="AV264" s="88">
        <f t="shared" si="239"/>
        <v>5.6662439601049164E-2</v>
      </c>
      <c r="AW264" s="32">
        <f t="shared" si="240"/>
        <v>2.087191136537845E-2</v>
      </c>
      <c r="AX264" s="12">
        <f t="shared" si="231"/>
        <v>282.51016082025893</v>
      </c>
      <c r="AY264" s="12">
        <f t="shared" si="232"/>
        <v>334.78451338049956</v>
      </c>
      <c r="AZ264" s="3">
        <f>VLOOKUP(A264,[5]Analysis!$A$3:$BJ$543,62,FALSE)</f>
        <v>0.76030263836138412</v>
      </c>
      <c r="BA264" s="2"/>
      <c r="BB264" s="2"/>
      <c r="BC264" s="2" t="str">
        <f>VLOOKUP(A264,'[6]FGD status - Jun 2020'!$I$2:$M$449,5,FALSE)</f>
        <v>Tender specification made</v>
      </c>
      <c r="BD264" s="2"/>
      <c r="BE264" s="2"/>
      <c r="BF264" s="2">
        <f t="shared" si="233"/>
        <v>179.0334262514852</v>
      </c>
      <c r="BG264" s="2">
        <f t="shared" si="234"/>
        <v>210.62356370802598</v>
      </c>
      <c r="BH264" s="2"/>
      <c r="BI264" s="2"/>
      <c r="BK264">
        <f t="shared" si="235"/>
        <v>124.55367364384877</v>
      </c>
      <c r="BL264">
        <f>VLOOKUP(A264,'[11]Daily coal vs energy req.2'!$C$2:$P$599,14,FALSE)</f>
        <v>0.82</v>
      </c>
      <c r="BM264">
        <f>VLOOKUP(A264,'[11]Daily coal vs energy req.2'!$C$2:$R$599,16,FALSE)</f>
        <v>0.98</v>
      </c>
      <c r="BN264">
        <f>BL264*H264</f>
        <v>245.99999999999997</v>
      </c>
      <c r="BO264">
        <f>BM264*H264</f>
        <v>294</v>
      </c>
      <c r="BP264" s="2" t="str">
        <f>VLOOKUP(A264,'[7]Table 2'!$J$2:$N$449,5,FALSE)</f>
        <v>Tender specification made</v>
      </c>
      <c r="BR264">
        <f t="shared" si="241"/>
        <v>256.99060728040536</v>
      </c>
      <c r="BS264">
        <f t="shared" si="242"/>
        <v>302.33615408139292</v>
      </c>
      <c r="BT264">
        <f>(X264*I264*365*[5]Analysis!BK264)/10^4</f>
        <v>218.68494344246471</v>
      </c>
      <c r="BU264">
        <f>(W264*R264*365*[5]Analysis!BK264)/10^4</f>
        <v>257.27152231583858</v>
      </c>
      <c r="BV264">
        <f>(X264*I264*365*[5]Analysis!BL264)/10^4</f>
        <v>38.3056638379406</v>
      </c>
      <c r="BW264">
        <f>(W264*R264*365*[5]Analysis!BL264)/10^4</f>
        <v>45.064631765554324</v>
      </c>
      <c r="BX264">
        <f t="shared" si="243"/>
        <v>949208.7959963046</v>
      </c>
      <c r="BY264">
        <f t="shared" si="244"/>
        <v>1116695.0412651657</v>
      </c>
      <c r="BZ264">
        <f t="shared" si="245"/>
        <v>4297307.4757032124</v>
      </c>
      <c r="CA264">
        <f t="shared" si="246"/>
        <v>5097619.050166863</v>
      </c>
      <c r="CB264">
        <f t="shared" si="247"/>
        <v>-133842.80518377692</v>
      </c>
      <c r="CC264">
        <f t="shared" si="248"/>
        <v>-188337.55441499996</v>
      </c>
      <c r="CD264">
        <f t="shared" si="249"/>
        <v>0</v>
      </c>
      <c r="CE264">
        <f t="shared" si="250"/>
        <v>0</v>
      </c>
      <c r="CF264">
        <f t="shared" si="251"/>
        <v>1948249.1327639937</v>
      </c>
      <c r="CG264">
        <f t="shared" si="252"/>
        <v>2311082.4509999999</v>
      </c>
      <c r="CH264">
        <f t="shared" si="253"/>
        <v>275003.22535939346</v>
      </c>
      <c r="CI264">
        <f t="shared" si="254"/>
        <v>326218.61209034704</v>
      </c>
      <c r="CJ264">
        <f t="shared" si="255"/>
        <v>-539775.76439687447</v>
      </c>
      <c r="CK264">
        <f t="shared" si="256"/>
        <v>-640301.22</v>
      </c>
      <c r="CL264">
        <f t="shared" si="257"/>
        <v>810011.54060846067</v>
      </c>
      <c r="CM264">
        <f t="shared" si="258"/>
        <v>960864.51425843267</v>
      </c>
    </row>
    <row r="265" spans="1:91" x14ac:dyDescent="0.2">
      <c r="A265" s="2" t="s">
        <v>237</v>
      </c>
      <c r="B265" s="2" t="s">
        <v>583</v>
      </c>
      <c r="C265" s="2" t="str">
        <f>VLOOKUP($A265,'[1]daily coal, energy reqd'!$C$2:$T$599,17,FALSE)</f>
        <v>Madhya Pradesh</v>
      </c>
      <c r="D265" s="2" t="str">
        <f>VLOOKUP(C265,'Target PLF'!$I$2:$J$19,2,FALSE)</f>
        <v>WR</v>
      </c>
      <c r="E265" s="2" t="str">
        <f>VLOOKUP(A265,[2]Ownership!$C$2:$D$666,2,FALSE)</f>
        <v>STATE SECTOR</v>
      </c>
      <c r="F265" s="2" t="s">
        <v>543</v>
      </c>
      <c r="G265" s="12">
        <v>6.4229979466118996</v>
      </c>
      <c r="H265" s="2">
        <v>250</v>
      </c>
      <c r="I265" s="2">
        <f>VLOOKUP(A265,'[3]Calculated coal req (reg.)'!$A$2:$I$599,9,FALSE)</f>
        <v>4.542180419958</v>
      </c>
      <c r="J265" s="2"/>
      <c r="K265" s="11">
        <v>0.75703006999300004</v>
      </c>
      <c r="L265" s="3">
        <v>0.49249999999999999</v>
      </c>
      <c r="M265" s="3">
        <f t="shared" si="236"/>
        <v>-0.26453006999300005</v>
      </c>
      <c r="N265" s="2" t="str">
        <f t="shared" si="215"/>
        <v>0.25</v>
      </c>
      <c r="O265" s="2">
        <f t="shared" si="210"/>
        <v>12.854922682792537</v>
      </c>
      <c r="P265" s="2">
        <f t="shared" si="216"/>
        <v>1173011.6948048191</v>
      </c>
      <c r="Q265" s="2">
        <f t="shared" si="217"/>
        <v>14.14844120995893</v>
      </c>
      <c r="R265" s="2">
        <f t="shared" si="218"/>
        <v>2.9550000000000001</v>
      </c>
      <c r="S265" s="2">
        <f t="shared" si="219"/>
        <v>748046.81264860067</v>
      </c>
      <c r="T265" s="2" t="str">
        <f>VLOOKUP(A265,'[4]CEA vs MERIT comp. &amp; NPA marker'!$C$2:$K$735,9,FALSE)</f>
        <v>Contracted</v>
      </c>
      <c r="U265" s="3">
        <f>VLOOKUP(B265,'[8]Import-Domestic share'!$A$208:$F$406,6,FALSE)</f>
        <v>0</v>
      </c>
      <c r="V265" s="3">
        <f t="shared" si="220"/>
        <v>0</v>
      </c>
      <c r="W265" s="2">
        <f t="shared" si="221"/>
        <v>3072.6452624620119</v>
      </c>
      <c r="X265" s="2">
        <f t="shared" si="222"/>
        <v>2985.1992397883423</v>
      </c>
      <c r="Y265" s="6">
        <f t="shared" si="223"/>
        <v>0.27988912697032575</v>
      </c>
      <c r="Z265" s="2">
        <f t="shared" si="224"/>
        <v>752652.69600632112</v>
      </c>
      <c r="AA265" s="2">
        <f t="shared" si="225"/>
        <v>1123989.9183194821</v>
      </c>
      <c r="AB265" s="2" t="s">
        <v>598</v>
      </c>
      <c r="AC265" s="12">
        <f>VLOOKUP(B265,[9]Sheet1!$A$2:$B$137,2,FALSE)</f>
        <v>4403.1973598778304</v>
      </c>
      <c r="AD265" s="12">
        <f t="shared" si="226"/>
        <v>1100799.3399694576</v>
      </c>
      <c r="AE265" s="2"/>
      <c r="AF265" s="7">
        <f>VLOOKUP($B265,'[9]Subsidiary wise dispatch'!$A$3:$R$138,11,FALSE)*$H265*$O265*365</f>
        <v>0</v>
      </c>
      <c r="AG265" s="7">
        <f>VLOOKUP($B265,'[9]Subsidiary wise dispatch'!$A$3:$R$138,12,FALSE)*$H265*$O265*365</f>
        <v>0</v>
      </c>
      <c r="AH265" s="7">
        <f>VLOOKUP($B265,'[9]Subsidiary wise dispatch'!$A$3:$R$138,13,FALSE)*$H265*$O265*365</f>
        <v>0</v>
      </c>
      <c r="AI265" s="7">
        <f>VLOOKUP($B265,'[9]Subsidiary wise dispatch'!$A$3:$R$138,14,FALSE)*$H265*$O265*365</f>
        <v>0</v>
      </c>
      <c r="AJ265" s="7">
        <f>VLOOKUP($B265,'[9]Subsidiary wise dispatch'!$A$3:$R$138,15,FALSE)*$H265*$O265*365</f>
        <v>0</v>
      </c>
      <c r="AK265" s="7">
        <f>VLOOKUP($B265,'[9]Subsidiary wise dispatch'!$A$3:$R$138,16,FALSE)*$H265*$O265*365</f>
        <v>0</v>
      </c>
      <c r="AL265" s="7">
        <f>VLOOKUP($B265,'[9]Subsidiary wise dispatch'!$A$3:$R$138,17,FALSE)*$H265*$O265*365</f>
        <v>390456.14218223223</v>
      </c>
      <c r="AM265" s="7">
        <f>VLOOKUP($B265,'[9]Subsidiary wise dispatch'!$A$3:$R$138,18,FALSE)*$H265*$O265*365</f>
        <v>782555.55262258672</v>
      </c>
      <c r="AN265" s="15">
        <f t="shared" si="227"/>
        <v>1173011.6948048188</v>
      </c>
      <c r="AO265" s="6">
        <v>0.1003219631047786</v>
      </c>
      <c r="AP265" s="11">
        <f t="shared" si="228"/>
        <v>0.45568045650627426</v>
      </c>
      <c r="AQ265" s="11">
        <f t="shared" si="229"/>
        <v>0.2964514009746208</v>
      </c>
      <c r="AR265" s="3">
        <f>VLOOKUP(A265,[10]Sheet1!$A$2:$L$542,12,FALSE)</f>
        <v>2.0588377192982401</v>
      </c>
      <c r="AS265" s="3">
        <f t="shared" si="237"/>
        <v>2.3006956863524781</v>
      </c>
      <c r="AT265" s="3">
        <f t="shared" si="238"/>
        <v>2.3096589036765294</v>
      </c>
      <c r="AU265" s="3">
        <f t="shared" si="230"/>
        <v>-8.9632173240512536E-3</v>
      </c>
      <c r="AV265" s="88">
        <f t="shared" si="239"/>
        <v>-0.19385292589227029</v>
      </c>
      <c r="AW265" s="32">
        <f t="shared" si="240"/>
        <v>8.0362522373110146E-2</v>
      </c>
      <c r="AX265" s="12">
        <f t="shared" si="231"/>
        <v>381.43138380737014</v>
      </c>
      <c r="AY265" s="12">
        <f t="shared" si="232"/>
        <v>249.11403520329128</v>
      </c>
      <c r="AZ265" s="3">
        <f>VLOOKUP(A265,[5]Analysis!$A$3:$BJ$543,62,FALSE)</f>
        <v>0.61470266165370446</v>
      </c>
      <c r="BA265" s="2"/>
      <c r="BB265" s="2"/>
      <c r="BC265" s="2" t="str">
        <f>VLOOKUP(A265,'[6]FGD status - Jun 2020'!$I$2:$M$449,5,FALSE)</f>
        <v>Feasbility Study completed</v>
      </c>
      <c r="BD265" s="2"/>
      <c r="BE265" s="2"/>
      <c r="BF265" s="2">
        <f t="shared" si="233"/>
        <v>347.87487971987974</v>
      </c>
      <c r="BG265" s="2">
        <f t="shared" si="234"/>
        <v>232.9460094139564</v>
      </c>
      <c r="BH265" s="2"/>
      <c r="BI265" s="2"/>
      <c r="BK265">
        <f t="shared" si="235"/>
        <v>189.25751749825002</v>
      </c>
      <c r="BL265" t="str">
        <f>VLOOKUP(A265,'[11]Daily coal vs energy req.2'!$C$2:$P$599,14,FALSE)</f>
        <v/>
      </c>
      <c r="BM265" t="str">
        <f>VLOOKUP(A265,'[11]Daily coal vs energy req.2'!$C$2:$R$599,16,FALSE)</f>
        <v/>
      </c>
      <c r="BP265" s="2" t="str">
        <f>VLOOKUP(A265,'[7]Table 2'!$J$2:$N$449,5,FALSE)</f>
        <v>Feasbility Study completed</v>
      </c>
      <c r="BR265">
        <f t="shared" si="241"/>
        <v>304.22553342269708</v>
      </c>
      <c r="BS265">
        <f t="shared" si="242"/>
        <v>203.71727912551444</v>
      </c>
      <c r="BT265">
        <f>(X265*I265*365*[5]Analysis!BK265)/10^4</f>
        <v>187.18075258250926</v>
      </c>
      <c r="BU265">
        <f>(W265*R265*365*[5]Analysis!BK265)/10^4</f>
        <v>125.34106914620344</v>
      </c>
      <c r="BV265">
        <f>(X265*I265*365*[5]Analysis!BL265)/10^4</f>
        <v>117.04478084018783</v>
      </c>
      <c r="BW265">
        <f>(W265*R265*365*[5]Analysis!BL265)/10^4</f>
        <v>78.376209979311014</v>
      </c>
      <c r="BX265">
        <f t="shared" si="243"/>
        <v>1389829.6375056116</v>
      </c>
      <c r="BY265">
        <f t="shared" si="244"/>
        <v>930665.84193396254</v>
      </c>
      <c r="BZ265">
        <f t="shared" si="245"/>
        <v>5279242.6353536798</v>
      </c>
      <c r="CA265">
        <f t="shared" si="246"/>
        <v>3434509.5405995287</v>
      </c>
      <c r="CB265">
        <f t="shared" si="247"/>
        <v>-370825.39836978208</v>
      </c>
      <c r="CC265">
        <f t="shared" si="248"/>
        <v>-156947.96201250001</v>
      </c>
      <c r="CD265">
        <f t="shared" si="249"/>
        <v>0</v>
      </c>
      <c r="CE265">
        <f t="shared" si="250"/>
        <v>0</v>
      </c>
      <c r="CF265">
        <f t="shared" si="251"/>
        <v>2960336.564534897</v>
      </c>
      <c r="CG265">
        <f t="shared" si="252"/>
        <v>1925902.0425000002</v>
      </c>
      <c r="CH265">
        <f t="shared" si="253"/>
        <v>216021.95964772685</v>
      </c>
      <c r="CI265">
        <f t="shared" si="254"/>
        <v>140537.10591375746</v>
      </c>
      <c r="CJ265">
        <f t="shared" si="255"/>
        <v>-683484.59869318013</v>
      </c>
      <c r="CK265">
        <f t="shared" si="256"/>
        <v>-444653.62500000012</v>
      </c>
      <c r="CL265">
        <f t="shared" si="257"/>
        <v>1288228.7004833238</v>
      </c>
      <c r="CM265">
        <f t="shared" si="258"/>
        <v>838081.15441689582</v>
      </c>
    </row>
    <row r="266" spans="1:91" x14ac:dyDescent="0.2">
      <c r="A266" s="2" t="s">
        <v>276</v>
      </c>
      <c r="B266" s="2" t="str">
        <f>LEFT(A266,LEN(A266)-LEN(RIGHT(A266,1)))</f>
        <v>YAMUNA NAGAR TPS</v>
      </c>
      <c r="C266" s="2" t="str">
        <f>VLOOKUP($A266,'[1]daily coal, energy reqd'!$C$2:$T$599,17,FALSE)</f>
        <v>Haryana</v>
      </c>
      <c r="D266" s="2" t="str">
        <f>VLOOKUP(C266,'Target PLF'!$I$2:$J$19,2,FALSE)</f>
        <v>NR</v>
      </c>
      <c r="E266" s="2" t="str">
        <f>VLOOKUP(A266,[2]Ownership!$C$2:$D$666,2,FALSE)</f>
        <v>STATE SECTOR</v>
      </c>
      <c r="F266" s="2" t="s">
        <v>544</v>
      </c>
      <c r="G266" s="12">
        <v>12.5065023956194</v>
      </c>
      <c r="H266" s="2">
        <v>300</v>
      </c>
      <c r="I266" s="2">
        <f>VLOOKUP(A266,'[3]Calculated coal req (reg.)'!$A$2:$I$599,9,FALSE)</f>
        <v>4.0484654114801204</v>
      </c>
      <c r="J266" s="2"/>
      <c r="K266" s="11">
        <v>0.56228686270557227</v>
      </c>
      <c r="L266" s="3">
        <v>0.49249999999999999</v>
      </c>
      <c r="M266" s="3">
        <f t="shared" si="236"/>
        <v>-6.9786862705572272E-2</v>
      </c>
      <c r="N266" s="2" t="str">
        <f t="shared" si="215"/>
        <v>0.25</v>
      </c>
      <c r="O266" s="2">
        <f t="shared" si="210"/>
        <v>10.077702020262683</v>
      </c>
      <c r="P266" s="2">
        <f t="shared" si="216"/>
        <v>1103508.3712187638</v>
      </c>
      <c r="Q266" s="2">
        <f t="shared" si="217"/>
        <v>14.080741213381245</v>
      </c>
      <c r="R266" s="2">
        <f t="shared" si="218"/>
        <v>3.5459999999999998</v>
      </c>
      <c r="S266" s="2">
        <f t="shared" si="219"/>
        <v>893360.90907192219</v>
      </c>
      <c r="T266" s="2" t="str">
        <f>VLOOKUP(A266,'[4]CEA vs MERIT comp. &amp; NPA marker'!$C$2:$K$735,9,FALSE)</f>
        <v>Contracted</v>
      </c>
      <c r="U266" s="3">
        <f>VLOOKUP(B266,'[8]Import-Domestic share'!$A$208:$F$406,6,FALSE)</f>
        <v>0</v>
      </c>
      <c r="V266" s="3">
        <f t="shared" si="220"/>
        <v>0</v>
      </c>
      <c r="W266" s="2">
        <f t="shared" si="221"/>
        <v>3072.8393882943183</v>
      </c>
      <c r="X266" s="2">
        <f t="shared" si="222"/>
        <v>3049.7698613455022</v>
      </c>
      <c r="Y266" s="6">
        <f t="shared" si="223"/>
        <v>0.27987144504723743</v>
      </c>
      <c r="Z266" s="2">
        <f t="shared" si="224"/>
        <v>937703.23640778509</v>
      </c>
      <c r="AA266" s="2">
        <f t="shared" si="225"/>
        <v>1062537.6409035181</v>
      </c>
      <c r="AB266" s="2" t="s">
        <v>598</v>
      </c>
      <c r="AC266" s="12">
        <f>VLOOKUP(B266,[9]Sheet1!$A$2:$B$137,2,FALSE)</f>
        <v>4241.3688440613269</v>
      </c>
      <c r="AD266" s="12">
        <f t="shared" si="226"/>
        <v>1272410.6532183981</v>
      </c>
      <c r="AE266" s="2"/>
      <c r="AF266" s="7">
        <f>VLOOKUP($B266,'[9]Subsidiary wise dispatch'!$A$3:$R$138,11,FALSE)*$H266*$O266*365</f>
        <v>143563.37909371738</v>
      </c>
      <c r="AG266" s="7">
        <f>VLOOKUP($B266,'[9]Subsidiary wise dispatch'!$A$3:$R$138,12,FALSE)*$H266*$O266*365</f>
        <v>923292.73479658738</v>
      </c>
      <c r="AH266" s="7">
        <f>VLOOKUP($B266,'[9]Subsidiary wise dispatch'!$A$3:$R$138,13,FALSE)*$H266*$O266*365</f>
        <v>17660.348397973321</v>
      </c>
      <c r="AI266" s="7">
        <f>VLOOKUP($B266,'[9]Subsidiary wise dispatch'!$A$3:$R$138,14,FALSE)*$H266*$O266*365</f>
        <v>0</v>
      </c>
      <c r="AJ266" s="7">
        <f>VLOOKUP($B266,'[9]Subsidiary wise dispatch'!$A$3:$R$138,15,FALSE)*$H266*$O266*365</f>
        <v>18991.908930485704</v>
      </c>
      <c r="AK266" s="7">
        <f>VLOOKUP($B266,'[9]Subsidiary wise dispatch'!$A$3:$R$138,16,FALSE)*$H266*$O266*365</f>
        <v>0</v>
      </c>
      <c r="AL266" s="7">
        <f>VLOOKUP($B266,'[9]Subsidiary wise dispatch'!$A$3:$R$138,17,FALSE)*$H266*$O266*365</f>
        <v>0</v>
      </c>
      <c r="AM266" s="7">
        <f>VLOOKUP($B266,'[9]Subsidiary wise dispatch'!$A$3:$R$138,18,FALSE)*$H266*$O266*365</f>
        <v>0</v>
      </c>
      <c r="AN266" s="15">
        <f t="shared" si="227"/>
        <v>1103508.3712187635</v>
      </c>
      <c r="AO266" s="6">
        <v>8.7483637832043534E-2</v>
      </c>
      <c r="AP266" s="11">
        <f t="shared" si="228"/>
        <v>0.35417448183348194</v>
      </c>
      <c r="AQ266" s="11">
        <f t="shared" si="229"/>
        <v>0.31021697975242635</v>
      </c>
      <c r="AR266" s="3">
        <f>VLOOKUP(A266,[10]Sheet1!$A$2:$L$542,12,FALSE)</f>
        <v>3.4771920088790198</v>
      </c>
      <c r="AS266" s="3">
        <f t="shared" si="237"/>
        <v>3.1804920907960694</v>
      </c>
      <c r="AT266" s="3">
        <f t="shared" si="238"/>
        <v>3.1828567173083231</v>
      </c>
      <c r="AU266" s="3">
        <f t="shared" si="230"/>
        <v>-2.3646265122536647E-3</v>
      </c>
      <c r="AV266" s="88">
        <f t="shared" si="239"/>
        <v>-5.1141208727897472E-2</v>
      </c>
      <c r="AW266" s="32">
        <f t="shared" si="240"/>
        <v>1.5336174662026953E-2</v>
      </c>
      <c r="AX266" s="12">
        <f t="shared" si="231"/>
        <v>469.97809606920021</v>
      </c>
      <c r="AY266" s="12">
        <f t="shared" si="232"/>
        <v>411.95396206449897</v>
      </c>
      <c r="AZ266" s="3">
        <f>VLOOKUP(A266,[5]Analysis!$A$3:$BJ$543,62,FALSE)</f>
        <v>1.0877982899105609</v>
      </c>
      <c r="BA266" s="2"/>
      <c r="BB266" s="2"/>
      <c r="BC266" s="2" t="str">
        <f>VLOOKUP(A266,'[6]FGD status - Jun 2020'!$I$2:$M$449,5,FALSE)</f>
        <v>Retendering to be done</v>
      </c>
      <c r="BD266" s="2"/>
      <c r="BE266" s="2"/>
      <c r="BF266" s="2">
        <f t="shared" si="233"/>
        <v>328.85539985963885</v>
      </c>
      <c r="BG266" s="2">
        <f t="shared" si="234"/>
        <v>290.21915166820952</v>
      </c>
      <c r="BH266" s="2"/>
      <c r="BI266" s="2"/>
      <c r="BK266">
        <f t="shared" si="235"/>
        <v>168.68605881167167</v>
      </c>
      <c r="BL266">
        <f>VLOOKUP(A266,'[11]Daily coal vs energy req.2'!$C$2:$P$599,14,FALSE)</f>
        <v>0.8</v>
      </c>
      <c r="BM266">
        <f>VLOOKUP(A266,'[11]Daily coal vs energy req.2'!$C$2:$R$599,16,FALSE)</f>
        <v>0.78</v>
      </c>
      <c r="BN266">
        <f>BL266*H266</f>
        <v>240</v>
      </c>
      <c r="BO266">
        <f>BM266*H266</f>
        <v>234</v>
      </c>
      <c r="BP266" s="2" t="str">
        <f>VLOOKUP(A266,'[7]Table 2'!$J$2:$N$449,5,FALSE)</f>
        <v>NIT issued</v>
      </c>
      <c r="BR266">
        <f t="shared" si="241"/>
        <v>490.22870522761764</v>
      </c>
      <c r="BS266">
        <f t="shared" si="242"/>
        <v>432.63318472279559</v>
      </c>
      <c r="BT266">
        <f>(X266*I266*365*[5]Analysis!BK266)/10^4</f>
        <v>175.34529875777176</v>
      </c>
      <c r="BU266">
        <f>(W266*R266*365*[5]Analysis!BK266)/10^4</f>
        <v>154.74449826948072</v>
      </c>
      <c r="BV266">
        <f>(X266*I266*365*[5]Analysis!BL266)/10^4</f>
        <v>314.88340646984597</v>
      </c>
      <c r="BW266">
        <f>(W266*R266*365*[5]Analysis!BL266)/10^4</f>
        <v>277.88868645331496</v>
      </c>
      <c r="BX266">
        <f t="shared" si="243"/>
        <v>1265555.9991547582</v>
      </c>
      <c r="BY266">
        <f t="shared" si="244"/>
        <v>1116869.5682663943</v>
      </c>
      <c r="BZ266">
        <f t="shared" si="245"/>
        <v>8326854.0623843707</v>
      </c>
      <c r="CA266">
        <f t="shared" si="246"/>
        <v>7293386.8772809617</v>
      </c>
      <c r="CB266">
        <f t="shared" si="247"/>
        <v>-245493.68818960956</v>
      </c>
      <c r="CC266">
        <f t="shared" si="248"/>
        <v>-188337.55441499996</v>
      </c>
      <c r="CD266">
        <f t="shared" si="249"/>
        <v>0</v>
      </c>
      <c r="CE266">
        <f t="shared" si="250"/>
        <v>0</v>
      </c>
      <c r="CF266">
        <f t="shared" si="251"/>
        <v>2638561.0169069944</v>
      </c>
      <c r="CG266">
        <f t="shared" si="252"/>
        <v>2311082.4509999999</v>
      </c>
      <c r="CH266">
        <f t="shared" si="253"/>
        <v>374905.6981583648</v>
      </c>
      <c r="CI266">
        <f t="shared" si="254"/>
        <v>328375.19172073813</v>
      </c>
      <c r="CJ266">
        <f t="shared" si="255"/>
        <v>-731031.3993509654</v>
      </c>
      <c r="CK266">
        <f t="shared" si="256"/>
        <v>-640301.22</v>
      </c>
      <c r="CL266">
        <f t="shared" si="257"/>
        <v>1001266.8438204542</v>
      </c>
      <c r="CM266">
        <f t="shared" si="258"/>
        <v>876997.05130721838</v>
      </c>
    </row>
    <row r="267" spans="1:91" x14ac:dyDescent="0.2">
      <c r="A267" s="2" t="s">
        <v>240</v>
      </c>
      <c r="B267" s="2" t="str">
        <f>LEFT(A267,LEN(A267)-LEN(RIGHT(A267,1)))</f>
        <v>CHHABRA TPS</v>
      </c>
      <c r="C267" s="2" t="str">
        <f>VLOOKUP($A267,'[1]daily coal, energy reqd'!$C$2:$T$599,17,FALSE)</f>
        <v>Rajasthan</v>
      </c>
      <c r="D267" s="2" t="str">
        <f>VLOOKUP(C267,'Target PLF'!$I$2:$J$19,2,FALSE)</f>
        <v>NR</v>
      </c>
      <c r="E267" s="2" t="str">
        <f>VLOOKUP(A267,[2]Ownership!$C$2:$D$666,2,FALSE)</f>
        <v>STATE SECTOR</v>
      </c>
      <c r="F267" s="2" t="s">
        <v>543</v>
      </c>
      <c r="G267" s="12">
        <v>6.6721423682409302</v>
      </c>
      <c r="H267" s="2">
        <v>250</v>
      </c>
      <c r="I267" s="2">
        <f>VLOOKUP(A267,'[3]Calculated coal req (reg.)'!$A$2:$I$599,9,FALSE)</f>
        <v>4.3724274363561397</v>
      </c>
      <c r="J267" s="2"/>
      <c r="K267" s="11">
        <v>0.72873790605935662</v>
      </c>
      <c r="L267" s="3">
        <v>0.49249999999999999</v>
      </c>
      <c r="M267" s="3">
        <f t="shared" si="236"/>
        <v>-0.23623790605935663</v>
      </c>
      <c r="N267" s="2" t="str">
        <f t="shared" si="215"/>
        <v>0.25</v>
      </c>
      <c r="O267" s="2">
        <f t="shared" si="210"/>
        <v>12.469176967889677</v>
      </c>
      <c r="P267" s="2">
        <f t="shared" si="216"/>
        <v>1137812.3983199329</v>
      </c>
      <c r="Q267" s="2">
        <f t="shared" si="217"/>
        <v>14.156332859514031</v>
      </c>
      <c r="R267" s="2">
        <f t="shared" si="218"/>
        <v>2.9550000000000001</v>
      </c>
      <c r="S267" s="2">
        <f t="shared" si="219"/>
        <v>748464.05460540915</v>
      </c>
      <c r="T267" s="2" t="str">
        <f>VLOOKUP(A267,'[4]CEA vs MERIT comp. &amp; NPA marker'!$C$2:$K$735,9,FALSE)</f>
        <v>Contracted</v>
      </c>
      <c r="U267" s="3">
        <f>VLOOKUP(B267,'[8]Import-Domestic share'!$A$208:$F$406,6,FALSE)</f>
        <v>0</v>
      </c>
      <c r="V267" s="3">
        <f t="shared" si="220"/>
        <v>0</v>
      </c>
      <c r="W267" s="2">
        <f t="shared" si="221"/>
        <v>3074.5488596338123</v>
      </c>
      <c r="X267" s="2">
        <f t="shared" si="222"/>
        <v>2996.4554115422839</v>
      </c>
      <c r="Y267" s="6">
        <f t="shared" si="223"/>
        <v>0.27971583450536819</v>
      </c>
      <c r="Z267" s="2">
        <f t="shared" si="224"/>
        <v>748238.20325795922</v>
      </c>
      <c r="AA267" s="2">
        <f t="shared" si="225"/>
        <v>1079024.7951385879</v>
      </c>
      <c r="AB267" s="2" t="s">
        <v>598</v>
      </c>
      <c r="AC267" s="12">
        <f>VLOOKUP(B267,[9]Sheet1!$A$2:$B$137,2,FALSE)</f>
        <v>4431.9195703193527</v>
      </c>
      <c r="AD267" s="12">
        <f t="shared" si="226"/>
        <v>1107979.8925798382</v>
      </c>
      <c r="AE267" s="2"/>
      <c r="AF267" s="7">
        <f>VLOOKUP($B267,'[9]Subsidiary wise dispatch'!$A$3:$R$138,11,FALSE)*$H267*$O267*365</f>
        <v>0</v>
      </c>
      <c r="AG267" s="7">
        <f>VLOOKUP($B267,'[9]Subsidiary wise dispatch'!$A$3:$R$138,12,FALSE)*$H267*$O267*365</f>
        <v>0</v>
      </c>
      <c r="AH267" s="7">
        <f>VLOOKUP($B267,'[9]Subsidiary wise dispatch'!$A$3:$R$138,13,FALSE)*$H267*$O267*365</f>
        <v>0</v>
      </c>
      <c r="AI267" s="7">
        <f>VLOOKUP($B267,'[9]Subsidiary wise dispatch'!$A$3:$R$138,14,FALSE)*$H267*$O267*365</f>
        <v>0</v>
      </c>
      <c r="AJ267" s="7">
        <f>VLOOKUP($B267,'[9]Subsidiary wise dispatch'!$A$3:$R$138,15,FALSE)*$H267*$O267*365</f>
        <v>0</v>
      </c>
      <c r="AK267" s="7">
        <f>VLOOKUP($B267,'[9]Subsidiary wise dispatch'!$A$3:$R$138,16,FALSE)*$H267*$O267*365</f>
        <v>0</v>
      </c>
      <c r="AL267" s="7">
        <f>VLOOKUP($B267,'[9]Subsidiary wise dispatch'!$A$3:$R$138,17,FALSE)*$H267*$O267*365</f>
        <v>1137812.3983199329</v>
      </c>
      <c r="AM267" s="7">
        <f>VLOOKUP($B267,'[9]Subsidiary wise dispatch'!$A$3:$R$138,18,FALSE)*$H267*$O267*365</f>
        <v>0</v>
      </c>
      <c r="AN267" s="15">
        <f t="shared" si="227"/>
        <v>1137812.3983199329</v>
      </c>
      <c r="AO267" s="6">
        <v>7.836973135416922E-2</v>
      </c>
      <c r="AP267" s="11">
        <f t="shared" si="228"/>
        <v>0.34266596355282952</v>
      </c>
      <c r="AQ267" s="11">
        <f t="shared" si="229"/>
        <v>0.23158255615157006</v>
      </c>
      <c r="AR267" s="3">
        <f>VLOOKUP(A267,[10]Sheet1!$A$2:$L$542,12,FALSE)</f>
        <v>2.3395933263816402</v>
      </c>
      <c r="AS267" s="3">
        <f t="shared" si="237"/>
        <v>2.649032577669852</v>
      </c>
      <c r="AT267" s="3">
        <f t="shared" si="238"/>
        <v>2.6570371560992334</v>
      </c>
      <c r="AU267" s="3">
        <f t="shared" si="230"/>
        <v>-8.0045784293814037E-3</v>
      </c>
      <c r="AV267" s="88">
        <f t="shared" si="239"/>
        <v>-0.17311986231841772</v>
      </c>
      <c r="AW267" s="32">
        <f t="shared" si="240"/>
        <v>6.2330408950378176E-2</v>
      </c>
      <c r="AX267" s="12">
        <f t="shared" si="231"/>
        <v>422.76864936777838</v>
      </c>
      <c r="AY267" s="12">
        <f t="shared" si="232"/>
        <v>286.58138506397302</v>
      </c>
      <c r="AZ267" s="3">
        <f>VLOOKUP(A267,[5]Analysis!$A$3:$BJ$543,62,FALSE)</f>
        <v>0.83016780914525568</v>
      </c>
      <c r="BA267" s="2"/>
      <c r="BB267" s="2"/>
      <c r="BC267" s="2" t="str">
        <f>VLOOKUP(A267,'[6]FGD status - Jun 2020'!$I$2:$M$449,5,FALSE)</f>
        <v>Tender specification made</v>
      </c>
      <c r="BD267" s="2"/>
      <c r="BE267" s="2"/>
      <c r="BF267" s="2">
        <f t="shared" si="233"/>
        <v>333.95817409539296</v>
      </c>
      <c r="BG267" s="2">
        <f t="shared" si="234"/>
        <v>231.57972390833837</v>
      </c>
      <c r="BH267" s="2"/>
      <c r="BI267" s="2"/>
      <c r="BK267">
        <f t="shared" si="235"/>
        <v>182.18447651483916</v>
      </c>
      <c r="BL267" t="str">
        <f>VLOOKUP(A267,'[11]Daily coal vs energy req.2'!$C$2:$P$599,14,FALSE)</f>
        <v/>
      </c>
      <c r="BM267" t="str">
        <f>VLOOKUP(A267,'[11]Daily coal vs energy req.2'!$C$2:$R$599,16,FALSE)</f>
        <v/>
      </c>
      <c r="BP267" s="2" t="str">
        <f>VLOOKUP(A267,'[7]Table 2'!$J$2:$N$449,5,FALSE)</f>
        <v>Tender specification made</v>
      </c>
      <c r="BR267">
        <f t="shared" si="241"/>
        <v>396.99879070303206</v>
      </c>
      <c r="BS267">
        <f t="shared" si="242"/>
        <v>275.29456523106762</v>
      </c>
      <c r="BT267">
        <f>(X267*I267*365*[5]Analysis!BK267)/10^4</f>
        <v>182.7756820249877</v>
      </c>
      <c r="BU267">
        <f>(W267*R267*365*[5]Analysis!BK267)/10^4</f>
        <v>126.74384178545193</v>
      </c>
      <c r="BV267">
        <f>(X267*I267*365*[5]Analysis!BL267)/10^4</f>
        <v>214.22310867804441</v>
      </c>
      <c r="BW267">
        <f>(W267*R267*365*[5]Analysis!BL267)/10^4</f>
        <v>148.55072344561569</v>
      </c>
      <c r="BX267">
        <f t="shared" si="243"/>
        <v>1342932.8449576441</v>
      </c>
      <c r="BY267">
        <f t="shared" si="244"/>
        <v>931242.41772233637</v>
      </c>
      <c r="BZ267">
        <f t="shared" si="245"/>
        <v>6863263.1064460706</v>
      </c>
      <c r="CA267">
        <f t="shared" si="246"/>
        <v>4638371.4251984749</v>
      </c>
      <c r="CB267">
        <f t="shared" si="247"/>
        <v>-343625.93283414305</v>
      </c>
      <c r="CC267">
        <f t="shared" si="248"/>
        <v>-156947.96201250001</v>
      </c>
      <c r="CD267">
        <f t="shared" si="249"/>
        <v>0</v>
      </c>
      <c r="CE267">
        <f t="shared" si="250"/>
        <v>0</v>
      </c>
      <c r="CF267">
        <f t="shared" si="251"/>
        <v>2849701.1608667779</v>
      </c>
      <c r="CG267">
        <f t="shared" si="252"/>
        <v>1925902.0425000002</v>
      </c>
      <c r="CH267">
        <f t="shared" si="253"/>
        <v>216014.87235384021</v>
      </c>
      <c r="CI267">
        <f t="shared" si="254"/>
        <v>145988.4599794661</v>
      </c>
      <c r="CJ267">
        <f t="shared" si="255"/>
        <v>-657941.01848569023</v>
      </c>
      <c r="CK267">
        <f t="shared" si="256"/>
        <v>-444653.62500000012</v>
      </c>
      <c r="CL267">
        <f t="shared" si="257"/>
        <v>968731.75626624527</v>
      </c>
      <c r="CM267">
        <f t="shared" si="258"/>
        <v>654694.07587295922</v>
      </c>
    </row>
    <row r="268" spans="1:91" x14ac:dyDescent="0.2">
      <c r="A268" s="2" t="s">
        <v>246</v>
      </c>
      <c r="B268" s="2" t="str">
        <f>LEFT(A268,LEN(A268)-LEN(RIGHT(A268,1)))</f>
        <v>BINA TPS</v>
      </c>
      <c r="C268" s="2" t="str">
        <f>VLOOKUP($A268,'[1]daily coal, energy reqd'!$C$2:$T$599,17,FALSE)</f>
        <v>Madhya Pradesh</v>
      </c>
      <c r="D268" s="2" t="str">
        <f>VLOOKUP(C268,'Target PLF'!$I$2:$J$19,2,FALSE)</f>
        <v>WR</v>
      </c>
      <c r="E268" s="2" t="str">
        <f>VLOOKUP(A268,[2]Ownership!$C$2:$D$666,2,FALSE)</f>
        <v>PVT SECTOR</v>
      </c>
      <c r="F268" s="2" t="s">
        <v>543</v>
      </c>
      <c r="G268" s="12">
        <v>7.1759069130732298</v>
      </c>
      <c r="H268" s="2">
        <v>250</v>
      </c>
      <c r="I268" s="2">
        <f>VLOOKUP(A268,'[3]Calculated coal req (reg.)'!$A$2:$I$599,9,FALSE)</f>
        <v>3.2284540803714799</v>
      </c>
      <c r="J268" s="2"/>
      <c r="K268" s="11">
        <v>0.53807568006191331</v>
      </c>
      <c r="L268" s="3">
        <v>0.49249999999999999</v>
      </c>
      <c r="M268" s="3">
        <f t="shared" si="236"/>
        <v>-4.5575680061913315E-2</v>
      </c>
      <c r="N268" s="2" t="str">
        <f t="shared" si="215"/>
        <v>0.25</v>
      </c>
      <c r="O268" s="2">
        <f t="shared" si="210"/>
        <v>8.9426418608770124</v>
      </c>
      <c r="P268" s="2">
        <f t="shared" si="216"/>
        <v>816016.06980502745</v>
      </c>
      <c r="Q268" s="2">
        <f t="shared" si="217"/>
        <v>13.282538501471594</v>
      </c>
      <c r="R268" s="2">
        <f t="shared" si="218"/>
        <v>2.9550000000000001</v>
      </c>
      <c r="S268" s="2">
        <f t="shared" si="219"/>
        <v>702265.39040317282</v>
      </c>
      <c r="T268" s="2" t="str">
        <f>VLOOKUP(A268,'[4]CEA vs MERIT comp. &amp; NPA marker'!$C$2:$K$735,9,FALSE)</f>
        <v>Contracted</v>
      </c>
      <c r="U268" s="3">
        <f>VLOOKUP(B268,'[8]Import-Domestic share'!$A$208:$F$406,6,FALSE)</f>
        <v>0</v>
      </c>
      <c r="V268" s="3">
        <f t="shared" si="220"/>
        <v>0</v>
      </c>
      <c r="W268" s="2">
        <f t="shared" si="221"/>
        <v>3078.3978912778916</v>
      </c>
      <c r="X268" s="2">
        <f t="shared" si="222"/>
        <v>3063.331884029009</v>
      </c>
      <c r="Y268" s="6">
        <f t="shared" si="223"/>
        <v>0.27936609573332327</v>
      </c>
      <c r="Z268" s="2">
        <f t="shared" si="224"/>
        <v>776252.54923314101</v>
      </c>
      <c r="AA268" s="2">
        <f t="shared" si="225"/>
        <v>843935.90882211446</v>
      </c>
      <c r="AB268" s="2" t="s">
        <v>598</v>
      </c>
      <c r="AC268" s="12">
        <f>VLOOKUP(B268,[9]Sheet1!$A$2:$B$137,2,FALSE)</f>
        <v>4277.3231583782317</v>
      </c>
      <c r="AD268" s="12">
        <f t="shared" si="226"/>
        <v>1069330.7895945578</v>
      </c>
      <c r="AE268" s="2"/>
      <c r="AF268" s="7">
        <f>VLOOKUP($B268,'[9]Subsidiary wise dispatch'!$A$3:$R$138,11,FALSE)*$H268*$O268*365</f>
        <v>13287.690629160817</v>
      </c>
      <c r="AG268" s="7">
        <f>VLOOKUP($B268,'[9]Subsidiary wise dispatch'!$A$3:$R$138,12,FALSE)*$H268*$O268*365</f>
        <v>395572.28819682059</v>
      </c>
      <c r="AH268" s="7">
        <f>VLOOKUP($B268,'[9]Subsidiary wise dispatch'!$A$3:$R$138,13,FALSE)*$H268*$O268*365</f>
        <v>0</v>
      </c>
      <c r="AI268" s="7">
        <f>VLOOKUP($B268,'[9]Subsidiary wise dispatch'!$A$3:$R$138,14,FALSE)*$H268*$O268*365</f>
        <v>0</v>
      </c>
      <c r="AJ268" s="7">
        <f>VLOOKUP($B268,'[9]Subsidiary wise dispatch'!$A$3:$R$138,15,FALSE)*$H268*$O268*365</f>
        <v>73585.328083173459</v>
      </c>
      <c r="AK268" s="7">
        <f>VLOOKUP($B268,'[9]Subsidiary wise dispatch'!$A$3:$R$138,16,FALSE)*$H268*$O268*365</f>
        <v>0</v>
      </c>
      <c r="AL268" s="7">
        <f>VLOOKUP($B268,'[9]Subsidiary wise dispatch'!$A$3:$R$138,17,FALSE)*$H268*$O268*365</f>
        <v>333570.76289587247</v>
      </c>
      <c r="AM268" s="7">
        <f>VLOOKUP($B268,'[9]Subsidiary wise dispatch'!$A$3:$R$138,18,FALSE)*$H268*$O268*365</f>
        <v>0</v>
      </c>
      <c r="AN268" s="15">
        <f t="shared" si="227"/>
        <v>816016.06980502733</v>
      </c>
      <c r="AO268" s="6">
        <v>8.3913060272884019E-2</v>
      </c>
      <c r="AP268" s="11">
        <f t="shared" si="228"/>
        <v>0.27090946183445036</v>
      </c>
      <c r="AQ268" s="11">
        <f t="shared" si="229"/>
        <v>0.24796309310637227</v>
      </c>
      <c r="AR268" s="3">
        <f>VLOOKUP(A268,[10]Sheet1!$A$2:$L$542,12,FALSE)</f>
        <v>2.7985632183907998</v>
      </c>
      <c r="AS268" s="3">
        <f t="shared" si="237"/>
        <v>2.7458461281749527</v>
      </c>
      <c r="AT268" s="3">
        <f t="shared" si="238"/>
        <v>2.7473903939179629</v>
      </c>
      <c r="AU268" s="3">
        <f t="shared" si="230"/>
        <v>-1.5442657430102535E-3</v>
      </c>
      <c r="AV268" s="88">
        <f t="shared" si="239"/>
        <v>-3.3398769862971314E-2</v>
      </c>
      <c r="AW268" s="32">
        <f t="shared" si="240"/>
        <v>1.1600979309475509E-2</v>
      </c>
      <c r="AX268" s="12">
        <f t="shared" si="231"/>
        <v>323.56659198512091</v>
      </c>
      <c r="AY268" s="12">
        <f t="shared" si="232"/>
        <v>296.32665941200668</v>
      </c>
      <c r="AZ268" s="3">
        <f>VLOOKUP(A268,[5]Analysis!$A$3:$BJ$543,62,FALSE)</f>
        <v>0.86748424266007673</v>
      </c>
      <c r="BA268" s="2"/>
      <c r="BB268" s="2"/>
      <c r="BC268" s="2" t="e">
        <f>VLOOKUP(A268,'[6]FGD status - Jun 2020'!$I$2:$M$449,5,FALSE)</f>
        <v>#N/A</v>
      </c>
      <c r="BD268" s="2"/>
      <c r="BE268" s="2"/>
      <c r="BF268" s="2">
        <f t="shared" si="233"/>
        <v>261.19816378044442</v>
      </c>
      <c r="BG268" s="2">
        <f t="shared" si="234"/>
        <v>240.25016398765712</v>
      </c>
      <c r="BH268" s="2"/>
      <c r="BI268" s="2"/>
      <c r="BK268">
        <f t="shared" si="235"/>
        <v>134.51892001547833</v>
      </c>
      <c r="BL268">
        <f>VLOOKUP(A268,'[11]Daily coal vs energy req.2'!$C$2:$P$599,14,FALSE)</f>
        <v>0.72</v>
      </c>
      <c r="BM268">
        <f>VLOOKUP(A268,'[11]Daily coal vs energy req.2'!$C$2:$R$599,16,FALSE)</f>
        <v>0.83</v>
      </c>
      <c r="BN268">
        <f>BL268*H268</f>
        <v>180</v>
      </c>
      <c r="BO268">
        <f>BM268*H268</f>
        <v>207.5</v>
      </c>
      <c r="BP268" s="2" t="e">
        <f>VLOOKUP(A268,'[7]Table 2'!$J$2:$N$449,5,FALSE)</f>
        <v>#N/A</v>
      </c>
      <c r="BR268">
        <f t="shared" si="241"/>
        <v>313.14330009307781</v>
      </c>
      <c r="BS268">
        <f t="shared" si="242"/>
        <v>288.02931885170722</v>
      </c>
      <c r="BT268">
        <f>(X268*I268*365*[5]Analysis!BK268)/10^4</f>
        <v>140.19106230880101</v>
      </c>
      <c r="BU268">
        <f>(W268*R268*365*[5]Analysis!BK268)/10^4</f>
        <v>128.94778899596133</v>
      </c>
      <c r="BV268">
        <f>(X268*I268*365*[5]Analysis!BL268)/10^4</f>
        <v>172.9522377842768</v>
      </c>
      <c r="BW268">
        <f>(W268*R268*365*[5]Analysis!BL268)/10^4</f>
        <v>159.08152985574586</v>
      </c>
      <c r="BX268">
        <f t="shared" si="243"/>
        <v>1013707.1978538644</v>
      </c>
      <c r="BY268">
        <f t="shared" si="244"/>
        <v>932408.24129443232</v>
      </c>
      <c r="BZ268">
        <f t="shared" si="245"/>
        <v>5295394.9479703037</v>
      </c>
      <c r="CA268">
        <f t="shared" si="246"/>
        <v>4846868.4025549879</v>
      </c>
      <c r="CB268">
        <f t="shared" si="247"/>
        <v>-187339.75052111005</v>
      </c>
      <c r="CC268">
        <f t="shared" si="248"/>
        <v>-156947.96201250001</v>
      </c>
      <c r="CD268">
        <f t="shared" si="249"/>
        <v>-1191442.8990182446</v>
      </c>
      <c r="CE268">
        <f t="shared" si="250"/>
        <v>-1090526.202</v>
      </c>
      <c r="CF268">
        <f t="shared" si="251"/>
        <v>2104123.9619305898</v>
      </c>
      <c r="CG268">
        <f t="shared" si="252"/>
        <v>1925902.0425000002</v>
      </c>
      <c r="CH268">
        <f t="shared" si="253"/>
        <v>171540.68794548357</v>
      </c>
      <c r="CI268">
        <f t="shared" si="254"/>
        <v>157010.97809034889</v>
      </c>
      <c r="CJ268">
        <f t="shared" si="255"/>
        <v>-485801.62774389848</v>
      </c>
      <c r="CK268">
        <f t="shared" si="256"/>
        <v>-444653.62500000012</v>
      </c>
      <c r="CL268">
        <f t="shared" si="257"/>
        <v>765872.96862231183</v>
      </c>
      <c r="CM268">
        <f t="shared" si="258"/>
        <v>701002.57458781113</v>
      </c>
    </row>
    <row r="269" spans="1:91" x14ac:dyDescent="0.2">
      <c r="A269" s="2" t="s">
        <v>245</v>
      </c>
      <c r="B269" s="2" t="str">
        <f>LEFT(A269,LEN(A269)-LEN(RIGHT(A269,1)))</f>
        <v>PARICHHA TPS</v>
      </c>
      <c r="C269" s="2" t="str">
        <f>VLOOKUP($A269,'[1]daily coal, energy reqd'!$C$2:$T$599,17,FALSE)</f>
        <v>Uttar Pradesh</v>
      </c>
      <c r="D269" s="2" t="str">
        <f>VLOOKUP(C269,'Target PLF'!$I$2:$J$19,2,FALSE)</f>
        <v>NR</v>
      </c>
      <c r="E269" s="2" t="str">
        <f>VLOOKUP(A269,[2]Ownership!$C$2:$D$666,2,FALSE)</f>
        <v>STATE SECTOR</v>
      </c>
      <c r="F269" s="2" t="s">
        <v>543</v>
      </c>
      <c r="G269" s="12">
        <v>7.1759069130732298</v>
      </c>
      <c r="H269" s="2">
        <v>250</v>
      </c>
      <c r="I269" s="2">
        <f>VLOOKUP(A269,'[3]Calculated coal req (reg.)'!$A$2:$I$599,9,FALSE)</f>
        <v>3.9791618148913201</v>
      </c>
      <c r="J269" s="2"/>
      <c r="K269" s="11">
        <v>0.66319363581522006</v>
      </c>
      <c r="L269" s="3">
        <v>0.49249999999999999</v>
      </c>
      <c r="M269" s="3">
        <f t="shared" si="236"/>
        <v>-0.17069363581522007</v>
      </c>
      <c r="N269" s="2" t="str">
        <f t="shared" si="215"/>
        <v>0.25</v>
      </c>
      <c r="O269" s="2">
        <f t="shared" si="210"/>
        <v>11.573196614659496</v>
      </c>
      <c r="P269" s="2">
        <f t="shared" si="216"/>
        <v>1056054.191087679</v>
      </c>
      <c r="Q269" s="2">
        <f t="shared" si="217"/>
        <v>14.172289601471594</v>
      </c>
      <c r="R269" s="2">
        <f t="shared" si="218"/>
        <v>2.9550000000000001</v>
      </c>
      <c r="S269" s="2">
        <f t="shared" si="219"/>
        <v>749307.70867192268</v>
      </c>
      <c r="T269" s="2" t="str">
        <f>VLOOKUP(A269,'[4]CEA vs MERIT comp. &amp; NPA marker'!$C$2:$K$735,9,FALSE)</f>
        <v>Contracted</v>
      </c>
      <c r="U269" s="3">
        <f>VLOOKUP(B269,'[8]Import-Domestic share'!$A$208:$F$406,6,FALSE)</f>
        <v>0</v>
      </c>
      <c r="V269" s="3">
        <f t="shared" si="220"/>
        <v>0</v>
      </c>
      <c r="W269" s="2">
        <f t="shared" si="221"/>
        <v>3078.3978912778916</v>
      </c>
      <c r="X269" s="2">
        <f t="shared" si="222"/>
        <v>3021.9714912540917</v>
      </c>
      <c r="Y269" s="6">
        <f t="shared" si="223"/>
        <v>0.27936609573332327</v>
      </c>
      <c r="Z269" s="2">
        <f t="shared" si="224"/>
        <v>754037.09368640836</v>
      </c>
      <c r="AA269" s="2">
        <f t="shared" si="225"/>
        <v>996764.21074703557</v>
      </c>
      <c r="AB269" s="2" t="s">
        <v>598</v>
      </c>
      <c r="AC269" s="12">
        <f>VLOOKUP(B269,[9]Sheet1!$A$2:$B$137,2,FALSE)</f>
        <v>4403.3417366147551</v>
      </c>
      <c r="AD269" s="12">
        <f t="shared" si="226"/>
        <v>1100835.4341536888</v>
      </c>
      <c r="AE269" s="2"/>
      <c r="AF269" s="7">
        <f>VLOOKUP($B269,'[9]Subsidiary wise dispatch'!$A$3:$R$138,11,FALSE)*$H269*$O269*365</f>
        <v>407278.51568077283</v>
      </c>
      <c r="AG269" s="7">
        <f>VLOOKUP($B269,'[9]Subsidiary wise dispatch'!$A$3:$R$138,12,FALSE)*$H269*$O269*365</f>
        <v>254067.40249967514</v>
      </c>
      <c r="AH269" s="7">
        <f>VLOOKUP($B269,'[9]Subsidiary wise dispatch'!$A$3:$R$138,13,FALSE)*$H269*$O269*365</f>
        <v>0</v>
      </c>
      <c r="AI269" s="7">
        <f>VLOOKUP($B269,'[9]Subsidiary wise dispatch'!$A$3:$R$138,14,FALSE)*$H269*$O269*365</f>
        <v>0</v>
      </c>
      <c r="AJ269" s="7">
        <f>VLOOKUP($B269,'[9]Subsidiary wise dispatch'!$A$3:$R$138,15,FALSE)*$H269*$O269*365</f>
        <v>374680.02592001494</v>
      </c>
      <c r="AK269" s="7">
        <f>VLOOKUP($B269,'[9]Subsidiary wise dispatch'!$A$3:$R$138,16,FALSE)*$H269*$O269*365</f>
        <v>0</v>
      </c>
      <c r="AL269" s="7">
        <f>VLOOKUP($B269,'[9]Subsidiary wise dispatch'!$A$3:$R$138,17,FALSE)*$H269*$O269*365</f>
        <v>20028.246987215876</v>
      </c>
      <c r="AM269" s="7">
        <f>VLOOKUP($B269,'[9]Subsidiary wise dispatch'!$A$3:$R$138,18,FALSE)*$H269*$O269*365</f>
        <v>0</v>
      </c>
      <c r="AN269" s="15">
        <f t="shared" si="227"/>
        <v>1056054.1910876788</v>
      </c>
      <c r="AO269" s="6">
        <v>0.10527848654994208</v>
      </c>
      <c r="AP269" s="11">
        <f t="shared" si="228"/>
        <v>0.41892013360907898</v>
      </c>
      <c r="AQ269" s="11">
        <f t="shared" si="229"/>
        <v>0.31109792775507888</v>
      </c>
      <c r="AR269" s="3">
        <f>VLOOKUP(A269,[10]Sheet1!$A$2:$L$542,12,FALSE)</f>
        <v>2.7721600877192998</v>
      </c>
      <c r="AS269" s="3">
        <f t="shared" si="237"/>
        <v>2.7511970816775269</v>
      </c>
      <c r="AT269" s="3">
        <f t="shared" si="238"/>
        <v>2.7569807876799661</v>
      </c>
      <c r="AU269" s="3">
        <f t="shared" si="230"/>
        <v>-5.7837060024392706E-3</v>
      </c>
      <c r="AV269" s="88">
        <f t="shared" si="239"/>
        <v>-0.12508771019810958</v>
      </c>
      <c r="AW269" s="32">
        <f t="shared" si="240"/>
        <v>4.3364397625387623E-2</v>
      </c>
      <c r="AX269" s="12">
        <f t="shared" si="231"/>
        <v>399.58223060178523</v>
      </c>
      <c r="AY269" s="12">
        <f t="shared" si="232"/>
        <v>297.36105530719198</v>
      </c>
      <c r="AZ269" s="3">
        <f>VLOOKUP(A269,[5]Analysis!$A$3:$BJ$543,62,FALSE)</f>
        <v>0.84061148536509289</v>
      </c>
      <c r="BA269" s="2"/>
      <c r="BB269" s="2"/>
      <c r="BC269" s="2" t="str">
        <f>VLOOKUP(A269,'[6]FGD status - Jun 2020'!$I$2:$M$449,5,FALSE)</f>
        <v>Retendering to be done</v>
      </c>
      <c r="BD269" s="2"/>
      <c r="BE269" s="2"/>
      <c r="BF269" s="2">
        <f t="shared" si="233"/>
        <v>308.49852322620751</v>
      </c>
      <c r="BG269" s="2">
        <f t="shared" si="234"/>
        <v>233.3744804959434</v>
      </c>
      <c r="BH269" s="2"/>
      <c r="BI269" s="2"/>
      <c r="BK269">
        <f t="shared" si="235"/>
        <v>165.79840895380502</v>
      </c>
      <c r="BL269">
        <f>VLOOKUP(A269,'[11]Daily coal vs energy req.2'!$C$2:$P$599,14,FALSE)</f>
        <v>1.68</v>
      </c>
      <c r="BM269">
        <f>VLOOKUP(A269,'[11]Daily coal vs energy req.2'!$C$2:$R$599,16,FALSE)</f>
        <v>1.31</v>
      </c>
      <c r="BN269">
        <f>BL269*H269</f>
        <v>420</v>
      </c>
      <c r="BO269">
        <f>BM269*H269</f>
        <v>327.5</v>
      </c>
      <c r="BP269" s="2" t="str">
        <f>VLOOKUP(A269,'[7]Table 2'!$J$2:$N$449,5,FALSE)</f>
        <v>Tender specification made</v>
      </c>
      <c r="BR269">
        <f t="shared" si="241"/>
        <v>368.95223650380376</v>
      </c>
      <c r="BS269">
        <f t="shared" si="242"/>
        <v>279.10680291573254</v>
      </c>
      <c r="BT269">
        <f>(X269*I269*365*[5]Analysis!BK269)/10^4</f>
        <v>166.57893915949049</v>
      </c>
      <c r="BU269">
        <f>(W269*R269*365*[5]Analysis!BK269)/10^4</f>
        <v>126.01445537360331</v>
      </c>
      <c r="BV269">
        <f>(X269*I269*365*[5]Analysis!BL269)/10^4</f>
        <v>202.37329734431336</v>
      </c>
      <c r="BW269">
        <f>(W269*R269*365*[5]Analysis!BL269)/10^4</f>
        <v>153.09234754212926</v>
      </c>
      <c r="BX269">
        <f t="shared" si="243"/>
        <v>1232553.640278067</v>
      </c>
      <c r="BY269">
        <f t="shared" si="244"/>
        <v>932408.24129443232</v>
      </c>
      <c r="BZ269">
        <f t="shared" si="245"/>
        <v>6324541.8132002018</v>
      </c>
      <c r="CA269">
        <f t="shared" si="246"/>
        <v>4696723.0606370894</v>
      </c>
      <c r="CB269">
        <f t="shared" si="247"/>
        <v>-284592.80158133747</v>
      </c>
      <c r="CC269">
        <f t="shared" si="248"/>
        <v>-156947.96201250001</v>
      </c>
      <c r="CD269">
        <f t="shared" si="249"/>
        <v>0</v>
      </c>
      <c r="CE269">
        <f t="shared" si="250"/>
        <v>0</v>
      </c>
      <c r="CF269">
        <f t="shared" si="251"/>
        <v>2593392.8483036212</v>
      </c>
      <c r="CG269">
        <f t="shared" si="252"/>
        <v>1925902.0425000002</v>
      </c>
      <c r="CH269">
        <f t="shared" si="253"/>
        <v>211428.79476678648</v>
      </c>
      <c r="CI269">
        <f t="shared" si="254"/>
        <v>157010.97809034889</v>
      </c>
      <c r="CJ269">
        <f t="shared" si="255"/>
        <v>-598764.37409577158</v>
      </c>
      <c r="CK269">
        <f t="shared" si="256"/>
        <v>-444653.62500000012</v>
      </c>
      <c r="CL269">
        <f t="shared" si="257"/>
        <v>1184305.6501987451</v>
      </c>
      <c r="CM269">
        <f t="shared" si="258"/>
        <v>879487.53007242922</v>
      </c>
    </row>
    <row r="270" spans="1:91" x14ac:dyDescent="0.2">
      <c r="A270" s="2" t="s">
        <v>244</v>
      </c>
      <c r="B270" s="2" t="s">
        <v>583</v>
      </c>
      <c r="C270" s="2" t="str">
        <f>VLOOKUP($A270,'[1]daily coal, energy reqd'!$C$2:$T$599,17,FALSE)</f>
        <v>Madhya Pradesh</v>
      </c>
      <c r="D270" s="2" t="str">
        <f>VLOOKUP(C270,'Target PLF'!$I$2:$J$19,2,FALSE)</f>
        <v>WR</v>
      </c>
      <c r="E270" s="2" t="str">
        <f>VLOOKUP(A270,[2]Ownership!$C$2:$D$666,2,FALSE)</f>
        <v>STATE SECTOR</v>
      </c>
      <c r="F270" s="2" t="s">
        <v>543</v>
      </c>
      <c r="G270" s="12">
        <v>7.1759069130732298</v>
      </c>
      <c r="H270" s="2">
        <v>250</v>
      </c>
      <c r="I270" s="2">
        <f>VLOOKUP(A270,'[3]Calculated coal req (reg.)'!$A$2:$I$599,9,FALSE)</f>
        <v>4.2637411416565101</v>
      </c>
      <c r="J270" s="2"/>
      <c r="K270" s="11">
        <v>0.71062352360941838</v>
      </c>
      <c r="L270" s="3">
        <v>0.49249999999999999</v>
      </c>
      <c r="M270" s="3">
        <f t="shared" si="236"/>
        <v>-0.21812352360941839</v>
      </c>
      <c r="N270" s="2" t="str">
        <f t="shared" si="215"/>
        <v>0.25</v>
      </c>
      <c r="O270" s="2">
        <f t="shared" si="210"/>
        <v>12.233102872506514</v>
      </c>
      <c r="P270" s="2">
        <f t="shared" si="216"/>
        <v>1116270.6371162194</v>
      </c>
      <c r="Q270" s="2">
        <f t="shared" si="217"/>
        <v>14.172289601471594</v>
      </c>
      <c r="R270" s="2">
        <f t="shared" si="218"/>
        <v>2.9550000000000001</v>
      </c>
      <c r="S270" s="2">
        <f t="shared" si="219"/>
        <v>749307.70867192268</v>
      </c>
      <c r="T270" s="2" t="str">
        <f>VLOOKUP(A270,'[4]CEA vs MERIT comp. &amp; NPA marker'!$C$2:$K$735,9,FALSE)</f>
        <v>Contracted</v>
      </c>
      <c r="U270" s="3">
        <f>VLOOKUP(B270,'[8]Import-Domestic share'!$A$208:$F$406,6,FALSE)</f>
        <v>0</v>
      </c>
      <c r="V270" s="3">
        <f t="shared" si="220"/>
        <v>0</v>
      </c>
      <c r="W270" s="2">
        <f t="shared" si="221"/>
        <v>3078.3978912778916</v>
      </c>
      <c r="X270" s="2">
        <f t="shared" si="222"/>
        <v>3006.2925363300978</v>
      </c>
      <c r="Y270" s="6">
        <f t="shared" si="223"/>
        <v>0.27936609573332327</v>
      </c>
      <c r="Z270" s="2">
        <f t="shared" si="224"/>
        <v>754061.81785982347</v>
      </c>
      <c r="AA270" s="2">
        <f t="shared" si="225"/>
        <v>1062543.6529483274</v>
      </c>
      <c r="AB270" s="2" t="s">
        <v>598</v>
      </c>
      <c r="AC270" s="12">
        <f>VLOOKUP(B270,[9]Sheet1!$A$2:$B$137,2,FALSE)</f>
        <v>4403.1973598778304</v>
      </c>
      <c r="AD270" s="12">
        <f t="shared" si="226"/>
        <v>1100799.3399694576</v>
      </c>
      <c r="AE270" s="2"/>
      <c r="AF270" s="7">
        <f>VLOOKUP($B270,'[9]Subsidiary wise dispatch'!$A$3:$R$138,11,FALSE)*$H270*$O270*365</f>
        <v>0</v>
      </c>
      <c r="AG270" s="7">
        <f>VLOOKUP($B270,'[9]Subsidiary wise dispatch'!$A$3:$R$138,12,FALSE)*$H270*$O270*365</f>
        <v>0</v>
      </c>
      <c r="AH270" s="7">
        <f>VLOOKUP($B270,'[9]Subsidiary wise dispatch'!$A$3:$R$138,13,FALSE)*$H270*$O270*365</f>
        <v>0</v>
      </c>
      <c r="AI270" s="7">
        <f>VLOOKUP($B270,'[9]Subsidiary wise dispatch'!$A$3:$R$138,14,FALSE)*$H270*$O270*365</f>
        <v>0</v>
      </c>
      <c r="AJ270" s="7">
        <f>VLOOKUP($B270,'[9]Subsidiary wise dispatch'!$A$3:$R$138,15,FALSE)*$H270*$O270*365</f>
        <v>0</v>
      </c>
      <c r="AK270" s="7">
        <f>VLOOKUP($B270,'[9]Subsidiary wise dispatch'!$A$3:$R$138,16,FALSE)*$H270*$O270*365</f>
        <v>0</v>
      </c>
      <c r="AL270" s="7">
        <f>VLOOKUP($B270,'[9]Subsidiary wise dispatch'!$A$3:$R$138,17,FALSE)*$H270*$O270*365</f>
        <v>371568.95240692777</v>
      </c>
      <c r="AM270" s="7">
        <f>VLOOKUP($B270,'[9]Subsidiary wise dispatch'!$A$3:$R$138,18,FALSE)*$H270*$O270*365</f>
        <v>744701.68470929156</v>
      </c>
      <c r="AN270" s="15">
        <f t="shared" si="227"/>
        <v>1116270.6371162194</v>
      </c>
      <c r="AO270" s="6">
        <v>0.1003219631047786</v>
      </c>
      <c r="AP270" s="11">
        <f t="shared" si="228"/>
        <v>0.42774688150159101</v>
      </c>
      <c r="AQ270" s="11">
        <f t="shared" si="229"/>
        <v>0.2964514009746208</v>
      </c>
      <c r="AR270" s="3">
        <f>VLOOKUP(A270,[10]Sheet1!$A$2:$L$542,12,FALSE)</f>
        <v>2.0588377192982401</v>
      </c>
      <c r="AS270" s="3">
        <f t="shared" si="237"/>
        <v>2.3084326636901711</v>
      </c>
      <c r="AT270" s="3">
        <f t="shared" si="238"/>
        <v>2.31582346257232</v>
      </c>
      <c r="AU270" s="3">
        <f t="shared" si="230"/>
        <v>-7.3907988821488857E-3</v>
      </c>
      <c r="AV270" s="88">
        <f t="shared" si="239"/>
        <v>-0.159845280571454</v>
      </c>
      <c r="AW270" s="32">
        <f t="shared" si="240"/>
        <v>6.6042420940967489E-2</v>
      </c>
      <c r="AX270" s="12">
        <f t="shared" si="231"/>
        <v>359.25341521356211</v>
      </c>
      <c r="AY270" s="12">
        <f t="shared" si="232"/>
        <v>249.77892911439397</v>
      </c>
      <c r="AZ270" s="3">
        <f>VLOOKUP(A270,[5]Analysis!$A$3:$BJ$543,62,FALSE)</f>
        <v>0.61470266165370446</v>
      </c>
      <c r="BA270" s="2"/>
      <c r="BB270" s="2"/>
      <c r="BC270" s="2" t="str">
        <f>VLOOKUP(A270,'[6]FGD status - Jun 2020'!$I$2:$M$449,5,FALSE)</f>
        <v>Feasbility Study completed</v>
      </c>
      <c r="BD270" s="2"/>
      <c r="BE270" s="2"/>
      <c r="BF270" s="2">
        <f t="shared" si="233"/>
        <v>328.85726058750731</v>
      </c>
      <c r="BG270" s="2">
        <f t="shared" si="234"/>
        <v>233.38213262761536</v>
      </c>
      <c r="BH270" s="2"/>
      <c r="BI270" s="2"/>
      <c r="BK270">
        <f t="shared" si="235"/>
        <v>177.6558809023546</v>
      </c>
      <c r="BL270" t="str">
        <f>VLOOKUP(A270,'[11]Daily coal vs energy req.2'!$C$2:$P$599,14,FALSE)</f>
        <v/>
      </c>
      <c r="BM270" t="str">
        <f>VLOOKUP(A270,'[11]Daily coal vs energy req.2'!$C$2:$R$599,16,FALSE)</f>
        <v/>
      </c>
      <c r="BP270" s="2" t="str">
        <f>VLOOKUP(A270,'[7]Table 2'!$J$2:$N$449,5,FALSE)</f>
        <v>Feasbility Study completed</v>
      </c>
      <c r="BR270">
        <f t="shared" si="241"/>
        <v>287.59413615240709</v>
      </c>
      <c r="BS270">
        <f t="shared" si="242"/>
        <v>204.09868009766933</v>
      </c>
      <c r="BT270">
        <f>(X270*I270*365*[5]Analysis!BK270)/10^4</f>
        <v>176.94795777883905</v>
      </c>
      <c r="BU270">
        <f>(W270*R270*365*[5]Analysis!BK270)/10^4</f>
        <v>125.57573360779701</v>
      </c>
      <c r="BV270">
        <f>(X270*I270*365*[5]Analysis!BL270)/10^4</f>
        <v>110.64617837356802</v>
      </c>
      <c r="BW270">
        <f>(W270*R270*365*[5]Analysis!BL270)/10^4</f>
        <v>78.522946489872325</v>
      </c>
      <c r="BX270">
        <f t="shared" si="243"/>
        <v>1313850.4500280675</v>
      </c>
      <c r="BY270">
        <f t="shared" si="244"/>
        <v>932408.24129443232</v>
      </c>
      <c r="BZ270">
        <f t="shared" si="245"/>
        <v>4955620.8560629478</v>
      </c>
      <c r="CA270">
        <f t="shared" si="246"/>
        <v>3434509.5405995287</v>
      </c>
      <c r="CB270">
        <f t="shared" si="247"/>
        <v>-326755.09679862525</v>
      </c>
      <c r="CC270">
        <f t="shared" si="248"/>
        <v>-156947.96201250001</v>
      </c>
      <c r="CD270">
        <f t="shared" si="249"/>
        <v>0</v>
      </c>
      <c r="CE270">
        <f t="shared" si="250"/>
        <v>0</v>
      </c>
      <c r="CF270">
        <f t="shared" si="251"/>
        <v>2778865.57475721</v>
      </c>
      <c r="CG270">
        <f t="shared" si="252"/>
        <v>1925902.0425000002</v>
      </c>
      <c r="CH270">
        <f t="shared" si="253"/>
        <v>226549.63349426381</v>
      </c>
      <c r="CI270">
        <f t="shared" si="254"/>
        <v>157010.97809034889</v>
      </c>
      <c r="CJ270">
        <f t="shared" si="255"/>
        <v>-641586.44829076354</v>
      </c>
      <c r="CK270">
        <f t="shared" si="256"/>
        <v>-444653.62500000012</v>
      </c>
      <c r="CL270">
        <f t="shared" si="257"/>
        <v>1209259.2548677837</v>
      </c>
      <c r="CM270">
        <f t="shared" si="258"/>
        <v>838081.15441689582</v>
      </c>
    </row>
    <row r="271" spans="1:91" x14ac:dyDescent="0.2">
      <c r="A271" s="2" t="s">
        <v>253</v>
      </c>
      <c r="B271" s="2" t="str">
        <f t="shared" ref="B271:B302" si="259">LEFT(A271,LEN(A271)-LEN(RIGHT(A271,1)))</f>
        <v>BINA TPS</v>
      </c>
      <c r="C271" s="2" t="str">
        <f>VLOOKUP($A271,'[1]daily coal, energy reqd'!$C$2:$T$599,17,FALSE)</f>
        <v>Madhya Pradesh</v>
      </c>
      <c r="D271" s="2" t="str">
        <f>VLOOKUP(C271,'Target PLF'!$I$2:$J$19,2,FALSE)</f>
        <v>WR</v>
      </c>
      <c r="E271" s="2" t="str">
        <f>VLOOKUP(A271,[2]Ownership!$C$2:$D$666,2,FALSE)</f>
        <v>PVT SECTOR</v>
      </c>
      <c r="F271" s="2" t="s">
        <v>543</v>
      </c>
      <c r="G271" s="12">
        <v>7.7563312799452397</v>
      </c>
      <c r="H271" s="2">
        <v>250</v>
      </c>
      <c r="I271" s="2">
        <f>VLOOKUP(A271,'[3]Calculated coal req (reg.)'!$A$2:$I$599,9,FALSE)</f>
        <v>3.6608577389692201</v>
      </c>
      <c r="J271" s="2"/>
      <c r="K271" s="11">
        <v>0.61014295649487005</v>
      </c>
      <c r="L271" s="3">
        <v>0.49249999999999999</v>
      </c>
      <c r="M271" s="3">
        <f t="shared" si="236"/>
        <v>-0.11764295649487005</v>
      </c>
      <c r="N271" s="2" t="str">
        <f t="shared" si="215"/>
        <v>0.25</v>
      </c>
      <c r="O271" s="2">
        <f t="shared" si="210"/>
        <v>9.9637204398923416</v>
      </c>
      <c r="P271" s="2">
        <f t="shared" si="216"/>
        <v>909189.49014017626</v>
      </c>
      <c r="Q271" s="2">
        <f t="shared" si="217"/>
        <v>13.300923443292264</v>
      </c>
      <c r="R271" s="2">
        <f t="shared" si="218"/>
        <v>2.9550000000000001</v>
      </c>
      <c r="S271" s="2">
        <f t="shared" si="219"/>
        <v>703237.42661024281</v>
      </c>
      <c r="T271" s="2" t="str">
        <f>VLOOKUP(A271,'[4]CEA vs MERIT comp. &amp; NPA marker'!$C$2:$K$735,9,FALSE)</f>
        <v>Contracted</v>
      </c>
      <c r="U271" s="3">
        <f>VLOOKUP(B271,'[8]Import-Domestic share'!$A$208:$F$406,6,FALSE)</f>
        <v>0</v>
      </c>
      <c r="V271" s="3">
        <f t="shared" si="220"/>
        <v>0</v>
      </c>
      <c r="W271" s="2">
        <f t="shared" si="221"/>
        <v>3082.8326451286789</v>
      </c>
      <c r="X271" s="2">
        <f t="shared" si="222"/>
        <v>3043.9432718286221</v>
      </c>
      <c r="Y271" s="6">
        <f t="shared" si="223"/>
        <v>0.27896421862501175</v>
      </c>
      <c r="Z271" s="2">
        <f t="shared" si="224"/>
        <v>777370.82214764913</v>
      </c>
      <c r="AA271" s="2">
        <f t="shared" si="225"/>
        <v>950911.73800321412</v>
      </c>
      <c r="AB271" s="2" t="s">
        <v>598</v>
      </c>
      <c r="AC271" s="12">
        <f>VLOOKUP(B271,[9]Sheet1!$A$2:$B$137,2,FALSE)</f>
        <v>4277.3231583782317</v>
      </c>
      <c r="AD271" s="12">
        <f t="shared" si="226"/>
        <v>1069330.7895945578</v>
      </c>
      <c r="AE271" s="2"/>
      <c r="AF271" s="7">
        <f>VLOOKUP($B271,'[9]Subsidiary wise dispatch'!$A$3:$R$138,11,FALSE)*$H271*$O271*365</f>
        <v>14804.890633040681</v>
      </c>
      <c r="AG271" s="7">
        <f>VLOOKUP($B271,'[9]Subsidiary wise dispatch'!$A$3:$R$138,12,FALSE)*$H271*$O271*365</f>
        <v>440739.07405424287</v>
      </c>
      <c r="AH271" s="7">
        <f>VLOOKUP($B271,'[9]Subsidiary wise dispatch'!$A$3:$R$138,13,FALSE)*$H271*$O271*365</f>
        <v>0</v>
      </c>
      <c r="AI271" s="7">
        <f>VLOOKUP($B271,'[9]Subsidiary wise dispatch'!$A$3:$R$138,14,FALSE)*$H271*$O271*365</f>
        <v>0</v>
      </c>
      <c r="AJ271" s="7">
        <f>VLOOKUP($B271,'[9]Subsidiary wise dispatch'!$A$3:$R$138,15,FALSE)*$H271*$O271*365</f>
        <v>81987.364461735851</v>
      </c>
      <c r="AK271" s="7">
        <f>VLOOKUP($B271,'[9]Subsidiary wise dispatch'!$A$3:$R$138,16,FALSE)*$H271*$O271*365</f>
        <v>0</v>
      </c>
      <c r="AL271" s="7">
        <f>VLOOKUP($B271,'[9]Subsidiary wise dispatch'!$A$3:$R$138,17,FALSE)*$H271*$O271*365</f>
        <v>371658.16099115676</v>
      </c>
      <c r="AM271" s="7">
        <f>VLOOKUP($B271,'[9]Subsidiary wise dispatch'!$A$3:$R$138,18,FALSE)*$H271*$O271*365</f>
        <v>0</v>
      </c>
      <c r="AN271" s="15">
        <f t="shared" si="227"/>
        <v>909189.49014017615</v>
      </c>
      <c r="AO271" s="6">
        <v>8.3913060272884019E-2</v>
      </c>
      <c r="AP271" s="11">
        <f t="shared" si="228"/>
        <v>0.30719377610057808</v>
      </c>
      <c r="AQ271" s="11">
        <f t="shared" si="229"/>
        <v>0.24796309310637227</v>
      </c>
      <c r="AR271" s="3">
        <f>VLOOKUP(A271,[10]Sheet1!$A$2:$L$542,12,FALSE)</f>
        <v>2.7985632183907998</v>
      </c>
      <c r="AS271" s="3">
        <f t="shared" si="237"/>
        <v>2.7481565476489167</v>
      </c>
      <c r="AT271" s="3">
        <f t="shared" si="238"/>
        <v>2.7521427084121726</v>
      </c>
      <c r="AU271" s="3">
        <f t="shared" si="230"/>
        <v>-3.9861607632558638E-3</v>
      </c>
      <c r="AV271" s="88">
        <f t="shared" si="239"/>
        <v>-8.6211111378570682E-2</v>
      </c>
      <c r="AW271" s="32">
        <f t="shared" si="240"/>
        <v>2.9920038829541688E-2</v>
      </c>
      <c r="AX271" s="12">
        <f t="shared" si="231"/>
        <v>367.21227103562069</v>
      </c>
      <c r="AY271" s="12">
        <f t="shared" si="232"/>
        <v>296.83923217256586</v>
      </c>
      <c r="AZ271" s="3">
        <f>VLOOKUP(A271,[5]Analysis!$A$3:$BJ$543,62,FALSE)</f>
        <v>0.86748424266007673</v>
      </c>
      <c r="BA271" s="2"/>
      <c r="BB271" s="2"/>
      <c r="BC271" s="2" t="e">
        <f>VLOOKUP(A271,'[6]FGD status - Jun 2020'!$I$2:$M$449,5,FALSE)</f>
        <v>#N/A</v>
      </c>
      <c r="BD271" s="2"/>
      <c r="BE271" s="2"/>
      <c r="BF271" s="2">
        <f t="shared" si="233"/>
        <v>294.3071829119948</v>
      </c>
      <c r="BG271" s="2">
        <f t="shared" si="234"/>
        <v>240.59626945469742</v>
      </c>
      <c r="BH271" s="2"/>
      <c r="BI271" s="2"/>
      <c r="BK271">
        <f t="shared" si="235"/>
        <v>152.53573912371752</v>
      </c>
      <c r="BL271">
        <f>VLOOKUP(A271,'[11]Daily coal vs energy req.2'!$C$2:$P$599,14,FALSE)</f>
        <v>0.99</v>
      </c>
      <c r="BM271">
        <f>VLOOKUP(A271,'[11]Daily coal vs energy req.2'!$C$2:$R$599,16,FALSE)</f>
        <v>0.91</v>
      </c>
      <c r="BN271">
        <f>BL271*H271</f>
        <v>247.5</v>
      </c>
      <c r="BO271">
        <f>BM271*H271</f>
        <v>227.5</v>
      </c>
      <c r="BP271" s="2" t="e">
        <f>VLOOKUP(A271,'[7]Table 2'!$J$2:$N$449,5,FALSE)</f>
        <v>#N/A</v>
      </c>
      <c r="BR271">
        <f t="shared" si="241"/>
        <v>352.83679320053108</v>
      </c>
      <c r="BS271">
        <f t="shared" si="242"/>
        <v>288.44425518418603</v>
      </c>
      <c r="BT271">
        <f>(X271*I271*365*[5]Analysis!BK271)/10^4</f>
        <v>157.96143441584249</v>
      </c>
      <c r="BU271">
        <f>(W271*R271*365*[5]Analysis!BK271)/10^4</f>
        <v>129.13355176087896</v>
      </c>
      <c r="BV271">
        <f>(X271*I271*365*[5]Analysis!BL271)/10^4</f>
        <v>194.87535878468861</v>
      </c>
      <c r="BW271">
        <f>(W271*R271*365*[5]Analysis!BL271)/10^4</f>
        <v>159.31070342330705</v>
      </c>
      <c r="BX271">
        <f t="shared" si="243"/>
        <v>1142202.9365748526</v>
      </c>
      <c r="BY271">
        <f t="shared" si="244"/>
        <v>933751.4728014128</v>
      </c>
      <c r="BZ271">
        <f t="shared" si="245"/>
        <v>6004634.7550791232</v>
      </c>
      <c r="CA271">
        <f t="shared" si="246"/>
        <v>4846868.4025549879</v>
      </c>
      <c r="CB271">
        <f t="shared" si="247"/>
        <v>-240883.14641890154</v>
      </c>
      <c r="CC271">
        <f t="shared" si="248"/>
        <v>-156947.96201250001</v>
      </c>
      <c r="CD271">
        <f t="shared" si="249"/>
        <v>-1351019.0477632524</v>
      </c>
      <c r="CE271">
        <f t="shared" si="250"/>
        <v>-1090526.202</v>
      </c>
      <c r="CF271">
        <f t="shared" si="251"/>
        <v>2385940.2357978858</v>
      </c>
      <c r="CG271">
        <f t="shared" si="252"/>
        <v>1925902.0425000002</v>
      </c>
      <c r="CH271">
        <f t="shared" si="253"/>
        <v>210249.48461651948</v>
      </c>
      <c r="CI271">
        <f t="shared" si="254"/>
        <v>169710.83591375762</v>
      </c>
      <c r="CJ271">
        <f t="shared" si="255"/>
        <v>-550867.56827139354</v>
      </c>
      <c r="CK271">
        <f t="shared" si="256"/>
        <v>-444653.62500000012</v>
      </c>
      <c r="CL271">
        <f t="shared" si="257"/>
        <v>868450.32156248263</v>
      </c>
      <c r="CM271">
        <f t="shared" si="258"/>
        <v>701002.57458781113</v>
      </c>
    </row>
    <row r="272" spans="1:91" x14ac:dyDescent="0.2">
      <c r="A272" s="2" t="s">
        <v>255</v>
      </c>
      <c r="B272" s="2" t="str">
        <f t="shared" si="259"/>
        <v>HARDUAGANJ TPS</v>
      </c>
      <c r="C272" s="2" t="str">
        <f>VLOOKUP($A272,'[1]daily coal, energy reqd'!$C$2:$T$599,17,FALSE)</f>
        <v>Uttar Pradesh</v>
      </c>
      <c r="D272" s="2" t="str">
        <f>VLOOKUP(C272,'Target PLF'!$I$2:$J$19,2,FALSE)</f>
        <v>NR</v>
      </c>
      <c r="E272" s="2" t="str">
        <f>VLOOKUP(A272,[2]Ownership!$C$2:$D$666,2,FALSE)</f>
        <v>STATE SECTOR</v>
      </c>
      <c r="F272" s="2" t="s">
        <v>543</v>
      </c>
      <c r="G272" s="12">
        <v>8.00821355236139</v>
      </c>
      <c r="H272" s="2">
        <v>250</v>
      </c>
      <c r="I272" s="2">
        <f>VLOOKUP(A272,'[3]Calculated coal req (reg.)'!$A$2:$I$599,9,FALSE)</f>
        <v>4.3817416870596899</v>
      </c>
      <c r="J272" s="2"/>
      <c r="K272" s="11">
        <v>0.73029028117661499</v>
      </c>
      <c r="L272" s="3">
        <v>0.49249999999999999</v>
      </c>
      <c r="M272" s="3">
        <f t="shared" si="236"/>
        <v>-0.23779028117661499</v>
      </c>
      <c r="N272" s="2" t="str">
        <f t="shared" si="215"/>
        <v>0.25</v>
      </c>
      <c r="O272" s="2">
        <f t="shared" si="210"/>
        <v>12.533095683365643</v>
      </c>
      <c r="P272" s="2">
        <f t="shared" si="216"/>
        <v>1143644.9811071148</v>
      </c>
      <c r="Q272" s="2">
        <f t="shared" si="217"/>
        <v>14.198652914271046</v>
      </c>
      <c r="R272" s="2">
        <f t="shared" si="218"/>
        <v>2.9550000000000001</v>
      </c>
      <c r="S272" s="2">
        <f t="shared" si="219"/>
        <v>750701.57191224955</v>
      </c>
      <c r="T272" s="2" t="str">
        <f>VLOOKUP(A272,'[4]CEA vs MERIT comp. &amp; NPA marker'!$C$2:$K$735,9,FALSE)</f>
        <v>Contracted</v>
      </c>
      <c r="U272" s="3">
        <f>VLOOKUP(B272,'[8]Import-Domestic share'!$A$208:$F$406,6,FALSE)</f>
        <v>0</v>
      </c>
      <c r="V272" s="3">
        <f t="shared" si="220"/>
        <v>0</v>
      </c>
      <c r="W272" s="2">
        <f t="shared" si="221"/>
        <v>3084.7571609507186</v>
      </c>
      <c r="X272" s="2">
        <f t="shared" si="222"/>
        <v>3006.1505423538279</v>
      </c>
      <c r="Y272" s="6">
        <f t="shared" si="223"/>
        <v>0.27879017865216627</v>
      </c>
      <c r="Z272" s="2">
        <f t="shared" si="224"/>
        <v>757491.78117923485</v>
      </c>
      <c r="AA272" s="2">
        <f t="shared" si="225"/>
        <v>1094603.8104477914</v>
      </c>
      <c r="AB272" s="2" t="s">
        <v>598</v>
      </c>
      <c r="AC272" s="12">
        <f>VLOOKUP(B272,[9]Sheet1!$A$2:$B$137,2,FALSE)</f>
        <v>4392.3142633875859</v>
      </c>
      <c r="AD272" s="12">
        <f t="shared" si="226"/>
        <v>1098078.5658468965</v>
      </c>
      <c r="AE272" s="2"/>
      <c r="AF272" s="7">
        <f>VLOOKUP($B272,'[9]Subsidiary wise dispatch'!$A$3:$R$138,11,FALSE)*$H272*$O272*365</f>
        <v>230545.61264877845</v>
      </c>
      <c r="AG272" s="7">
        <f>VLOOKUP($B272,'[9]Subsidiary wise dispatch'!$A$3:$R$138,12,FALSE)*$H272*$O272*365</f>
        <v>911256.80592339695</v>
      </c>
      <c r="AH272" s="7">
        <f>VLOOKUP($B272,'[9]Subsidiary wise dispatch'!$A$3:$R$138,13,FALSE)*$H272*$O272*365</f>
        <v>0</v>
      </c>
      <c r="AI272" s="7">
        <f>VLOOKUP($B272,'[9]Subsidiary wise dispatch'!$A$3:$R$138,14,FALSE)*$H272*$O272*365</f>
        <v>0</v>
      </c>
      <c r="AJ272" s="7">
        <f>VLOOKUP($B272,'[9]Subsidiary wise dispatch'!$A$3:$R$138,15,FALSE)*$H272*$O272*365</f>
        <v>1842.562534939412</v>
      </c>
      <c r="AK272" s="7">
        <f>VLOOKUP($B272,'[9]Subsidiary wise dispatch'!$A$3:$R$138,16,FALSE)*$H272*$O272*365</f>
        <v>0</v>
      </c>
      <c r="AL272" s="7">
        <f>VLOOKUP($B272,'[9]Subsidiary wise dispatch'!$A$3:$R$138,17,FALSE)*$H272*$O272*365</f>
        <v>0</v>
      </c>
      <c r="AM272" s="7">
        <f>VLOOKUP($B272,'[9]Subsidiary wise dispatch'!$A$3:$R$138,18,FALSE)*$H272*$O272*365</f>
        <v>0</v>
      </c>
      <c r="AN272" s="15">
        <f t="shared" si="227"/>
        <v>1143644.9811071148</v>
      </c>
      <c r="AO272" s="6">
        <v>8.6582291374875858E-2</v>
      </c>
      <c r="AP272" s="11">
        <f t="shared" si="228"/>
        <v>0.37938123547844216</v>
      </c>
      <c r="AQ272" s="11">
        <f t="shared" si="229"/>
        <v>0.25585067101275816</v>
      </c>
      <c r="AR272" s="3">
        <f>VLOOKUP(A272,[10]Sheet1!$A$2:$L$542,12,FALSE)</f>
        <v>2.8019846491228102</v>
      </c>
      <c r="AS272" s="3">
        <f t="shared" si="237"/>
        <v>2.9449485188318927</v>
      </c>
      <c r="AT272" s="3">
        <f t="shared" si="238"/>
        <v>2.953005697238074</v>
      </c>
      <c r="AU272" s="3">
        <f t="shared" si="230"/>
        <v>-8.0571784061813645E-3</v>
      </c>
      <c r="AV272" s="88">
        <f t="shared" si="239"/>
        <v>-0.17425747385184701</v>
      </c>
      <c r="AW272" s="32">
        <f t="shared" si="240"/>
        <v>5.6435721841273011E-2</v>
      </c>
      <c r="AX272" s="12">
        <f t="shared" si="231"/>
        <v>470.99613472917935</v>
      </c>
      <c r="AY272" s="12">
        <f t="shared" si="232"/>
        <v>318.50381198985554</v>
      </c>
      <c r="AZ272" s="3">
        <f>VLOOKUP(A272,[5]Analysis!$A$3:$BJ$543,62,FALSE)</f>
        <v>0.96863515611482587</v>
      </c>
      <c r="BA272" s="2"/>
      <c r="BB272" s="2"/>
      <c r="BC272" s="2" t="str">
        <f>VLOOKUP(A272,'[6]FGD status - Jun 2020'!$I$2:$M$449,5,FALSE)</f>
        <v>Retendering to be done</v>
      </c>
      <c r="BD272" s="2"/>
      <c r="BE272" s="2"/>
      <c r="BF272" s="2">
        <f t="shared" si="233"/>
        <v>338.7798793335914</v>
      </c>
      <c r="BG272" s="2">
        <f t="shared" si="234"/>
        <v>234.44370627497321</v>
      </c>
      <c r="BH272" s="2"/>
      <c r="BI272" s="2"/>
      <c r="BK272">
        <f t="shared" si="235"/>
        <v>182.57257029415373</v>
      </c>
      <c r="BL272" t="str">
        <f>VLOOKUP(A272,'[11]Daily coal vs energy req.2'!$C$2:$P$599,14,FALSE)</f>
        <v/>
      </c>
      <c r="BM272" t="str">
        <f>VLOOKUP(A272,'[11]Daily coal vs energy req.2'!$C$2:$R$599,16,FALSE)</f>
        <v/>
      </c>
      <c r="BP272" s="2" t="str">
        <f>VLOOKUP(A272,'[7]Table 2'!$J$2:$N$449,5,FALSE)</f>
        <v>Tender specification made</v>
      </c>
      <c r="BR272">
        <f t="shared" si="241"/>
        <v>465.70466551186905</v>
      </c>
      <c r="BS272">
        <f t="shared" si="242"/>
        <v>322.27866668740347</v>
      </c>
      <c r="BT272">
        <f>(X272*I272*365*[5]Analysis!BK272)/10^4</f>
        <v>183.50535498225079</v>
      </c>
      <c r="BU272">
        <f>(W272*R272*365*[5]Analysis!BK272)/10^4</f>
        <v>126.99005509999813</v>
      </c>
      <c r="BV272">
        <f>(X272*I272*365*[5]Analysis!BL272)/10^4</f>
        <v>282.1993105296184</v>
      </c>
      <c r="BW272">
        <f>(W272*R272*365*[5]Analysis!BL272)/10^4</f>
        <v>195.2886115874054</v>
      </c>
      <c r="BX272">
        <f t="shared" si="243"/>
        <v>1350147.9527734085</v>
      </c>
      <c r="BY272">
        <f t="shared" si="244"/>
        <v>934334.38458746078</v>
      </c>
      <c r="BZ272">
        <f t="shared" si="245"/>
        <v>8025075.8740576506</v>
      </c>
      <c r="CA272">
        <f t="shared" si="246"/>
        <v>5412025.8338992568</v>
      </c>
      <c r="CB272">
        <f t="shared" si="247"/>
        <v>-345091.49270921678</v>
      </c>
      <c r="CC272">
        <f t="shared" si="248"/>
        <v>-156947.96201250001</v>
      </c>
      <c r="CD272">
        <f t="shared" si="249"/>
        <v>0</v>
      </c>
      <c r="CE272">
        <f t="shared" si="250"/>
        <v>0</v>
      </c>
      <c r="CF272">
        <f t="shared" si="251"/>
        <v>2855771.6632201872</v>
      </c>
      <c r="CG272">
        <f t="shared" si="252"/>
        <v>1925902.0425000002</v>
      </c>
      <c r="CH272">
        <f t="shared" si="253"/>
        <v>259823.33604753687</v>
      </c>
      <c r="CI272">
        <f t="shared" si="254"/>
        <v>175222.09496919904</v>
      </c>
      <c r="CJ272">
        <f t="shared" si="255"/>
        <v>-659342.58036030689</v>
      </c>
      <c r="CK272">
        <f t="shared" si="256"/>
        <v>-444653.62500000012</v>
      </c>
      <c r="CL272">
        <f t="shared" si="257"/>
        <v>1072527.4454719168</v>
      </c>
      <c r="CM272">
        <f t="shared" si="258"/>
        <v>723301.1043825919</v>
      </c>
    </row>
    <row r="273" spans="1:91" x14ac:dyDescent="0.2">
      <c r="A273" s="2" t="s">
        <v>256</v>
      </c>
      <c r="B273" s="2" t="str">
        <f t="shared" si="259"/>
        <v>PARICHHA TPS</v>
      </c>
      <c r="C273" s="2" t="str">
        <f>VLOOKUP($A273,'[1]daily coal, energy reqd'!$C$2:$T$599,17,FALSE)</f>
        <v>Uttar Pradesh</v>
      </c>
      <c r="D273" s="2" t="str">
        <f>VLOOKUP(C273,'Target PLF'!$I$2:$J$19,2,FALSE)</f>
        <v>NR</v>
      </c>
      <c r="E273" s="2" t="str">
        <f>VLOOKUP(A273,[2]Ownership!$C$2:$D$666,2,FALSE)</f>
        <v>STATE SECTOR</v>
      </c>
      <c r="F273" s="2" t="s">
        <v>543</v>
      </c>
      <c r="G273" s="12">
        <v>8.00821355236139</v>
      </c>
      <c r="H273" s="2">
        <v>250</v>
      </c>
      <c r="I273" s="2">
        <f>VLOOKUP(A273,'[3]Calculated coal req (reg.)'!$A$2:$I$599,9,FALSE)</f>
        <v>2.6389057391811002</v>
      </c>
      <c r="J273" s="2"/>
      <c r="K273" s="11">
        <v>0.43981762319685003</v>
      </c>
      <c r="L273" s="3">
        <v>0.49249999999999999</v>
      </c>
      <c r="M273" s="3">
        <f t="shared" si="236"/>
        <v>5.2682376803149966E-2</v>
      </c>
      <c r="N273" s="2" t="str">
        <f t="shared" si="215"/>
        <v>0.25</v>
      </c>
      <c r="O273" s="2">
        <f t="shared" si="210"/>
        <v>8.491662451095781</v>
      </c>
      <c r="P273" s="2">
        <f t="shared" si="216"/>
        <v>774864.19866249</v>
      </c>
      <c r="Q273" s="2">
        <f t="shared" si="217"/>
        <v>14.198652914271046</v>
      </c>
      <c r="R273" s="2">
        <f t="shared" si="218"/>
        <v>2.9550000000000001</v>
      </c>
      <c r="S273" s="2">
        <f t="shared" si="219"/>
        <v>750701.57191224955</v>
      </c>
      <c r="T273" s="2" t="str">
        <f>VLOOKUP(A273,'[4]CEA vs MERIT comp. &amp; NPA marker'!$C$2:$K$735,9,FALSE)</f>
        <v>Contracted</v>
      </c>
      <c r="U273" s="3">
        <f>VLOOKUP(B273,'[8]Import-Domestic share'!$A$208:$F$406,6,FALSE)</f>
        <v>0</v>
      </c>
      <c r="V273" s="3">
        <f t="shared" si="220"/>
        <v>0</v>
      </c>
      <c r="W273" s="2">
        <f t="shared" si="221"/>
        <v>3084.7571609507186</v>
      </c>
      <c r="X273" s="2">
        <f t="shared" si="222"/>
        <v>3102.1724374693881</v>
      </c>
      <c r="Y273" s="6">
        <f t="shared" si="223"/>
        <v>0.27879017865216627</v>
      </c>
      <c r="Z273" s="2">
        <f t="shared" si="224"/>
        <v>755594.7627699445</v>
      </c>
      <c r="AA273" s="2">
        <f t="shared" si="225"/>
        <v>678578.79666710878</v>
      </c>
      <c r="AB273" s="2" t="s">
        <v>598</v>
      </c>
      <c r="AC273" s="12">
        <f>VLOOKUP(B273,[9]Sheet1!$A$2:$B$137,2,FALSE)</f>
        <v>4403.3417366147551</v>
      </c>
      <c r="AD273" s="12">
        <f t="shared" si="226"/>
        <v>1100835.4341536888</v>
      </c>
      <c r="AE273" s="2"/>
      <c r="AF273" s="7">
        <f>VLOOKUP($B273,'[9]Subsidiary wise dispatch'!$A$3:$R$138,11,FALSE)*$H273*$O273*365</f>
        <v>298834.6084403058</v>
      </c>
      <c r="AG273" s="7">
        <f>VLOOKUP($B273,'[9]Subsidiary wise dispatch'!$A$3:$R$138,12,FALSE)*$H273*$O273*365</f>
        <v>186418.212157662</v>
      </c>
      <c r="AH273" s="7">
        <f>VLOOKUP($B273,'[9]Subsidiary wise dispatch'!$A$3:$R$138,13,FALSE)*$H273*$O273*365</f>
        <v>0</v>
      </c>
      <c r="AI273" s="7">
        <f>VLOOKUP($B273,'[9]Subsidiary wise dispatch'!$A$3:$R$138,14,FALSE)*$H273*$O273*365</f>
        <v>0</v>
      </c>
      <c r="AJ273" s="7">
        <f>VLOOKUP($B273,'[9]Subsidiary wise dispatch'!$A$3:$R$138,15,FALSE)*$H273*$O273*365</f>
        <v>274915.94701246638</v>
      </c>
      <c r="AK273" s="7">
        <f>VLOOKUP($B273,'[9]Subsidiary wise dispatch'!$A$3:$R$138,16,FALSE)*$H273*$O273*365</f>
        <v>0</v>
      </c>
      <c r="AL273" s="7">
        <f>VLOOKUP($B273,'[9]Subsidiary wise dispatch'!$A$3:$R$138,17,FALSE)*$H273*$O273*365</f>
        <v>14695.431052055717</v>
      </c>
      <c r="AM273" s="7">
        <f>VLOOKUP($B273,'[9]Subsidiary wise dispatch'!$A$3:$R$138,18,FALSE)*$H273*$O273*365</f>
        <v>0</v>
      </c>
      <c r="AN273" s="15">
        <f t="shared" si="227"/>
        <v>774864.19866248989</v>
      </c>
      <c r="AO273" s="6">
        <v>0.10527848654994208</v>
      </c>
      <c r="AP273" s="11">
        <f t="shared" si="228"/>
        <v>0.27782000236894244</v>
      </c>
      <c r="AQ273" s="11">
        <f t="shared" si="229"/>
        <v>0.31109792775507888</v>
      </c>
      <c r="AR273" s="3">
        <f>VLOOKUP(A273,[10]Sheet1!$A$2:$L$542,12,FALSE)</f>
        <v>2.7721600877192998</v>
      </c>
      <c r="AS273" s="3">
        <f t="shared" si="237"/>
        <v>2.7655804931752037</v>
      </c>
      <c r="AT273" s="3">
        <f t="shared" si="238"/>
        <v>2.76379542733204</v>
      </c>
      <c r="AU273" s="3">
        <f t="shared" si="230"/>
        <v>1.7850658431637356E-3</v>
      </c>
      <c r="AV273" s="88">
        <f t="shared" si="239"/>
        <v>3.8606699368884362E-2</v>
      </c>
      <c r="AW273" s="32">
        <f t="shared" si="240"/>
        <v>1.3314251245475472E-2</v>
      </c>
      <c r="AX273" s="12">
        <f t="shared" si="231"/>
        <v>266.380877599668</v>
      </c>
      <c r="AY273" s="12">
        <f t="shared" si="232"/>
        <v>298.09606530346548</v>
      </c>
      <c r="AZ273" s="3">
        <f>VLOOKUP(A273,[5]Analysis!$A$3:$BJ$543,62,FALSE)</f>
        <v>0.84061148536509289</v>
      </c>
      <c r="BA273" s="2"/>
      <c r="BB273" s="2"/>
      <c r="BC273" s="2" t="str">
        <f>VLOOKUP(A273,'[6]FGD status - Jun 2020'!$I$2:$M$449,5,FALSE)</f>
        <v>Retendering to be done</v>
      </c>
      <c r="BD273" s="2"/>
      <c r="BE273" s="2"/>
      <c r="BF273" s="2">
        <f t="shared" si="233"/>
        <v>210.02013756847018</v>
      </c>
      <c r="BG273" s="2">
        <f t="shared" si="234"/>
        <v>233.85657907729782</v>
      </c>
      <c r="BH273" s="2"/>
      <c r="BI273" s="2"/>
      <c r="BK273">
        <f t="shared" si="235"/>
        <v>109.95440579921251</v>
      </c>
      <c r="BL273">
        <f>VLOOKUP(A273,'[11]Daily coal vs energy req.2'!$C$2:$P$599,14,FALSE)</f>
        <v>1.63</v>
      </c>
      <c r="BM273">
        <f>VLOOKUP(A273,'[11]Daily coal vs energy req.2'!$C$2:$R$599,16,FALSE)</f>
        <v>1.33</v>
      </c>
      <c r="BN273">
        <f>BL273*H273</f>
        <v>407.5</v>
      </c>
      <c r="BO273">
        <f>BM273*H273</f>
        <v>332.5</v>
      </c>
      <c r="BP273" s="2" t="str">
        <f>VLOOKUP(A273,'[7]Table 2'!$J$2:$N$449,5,FALSE)</f>
        <v>Tender specification made</v>
      </c>
      <c r="BR273">
        <f t="shared" si="241"/>
        <v>251.1759170072452</v>
      </c>
      <c r="BS273">
        <f t="shared" si="242"/>
        <v>279.68337407058249</v>
      </c>
      <c r="BT273">
        <f>(X273*I273*365*[5]Analysis!BK273)/10^4</f>
        <v>113.40388716426109</v>
      </c>
      <c r="BU273">
        <f>(W273*R273*365*[5]Analysis!BK273)/10^4</f>
        <v>126.27477256868251</v>
      </c>
      <c r="BV273">
        <f>(X273*I273*365*[5]Analysis!BL273)/10^4</f>
        <v>137.77202984298415</v>
      </c>
      <c r="BW273">
        <f>(W273*R273*365*[5]Analysis!BL273)/10^4</f>
        <v>153.40860150190002</v>
      </c>
      <c r="BX273">
        <f t="shared" si="243"/>
        <v>839099.91653965751</v>
      </c>
      <c r="BY273">
        <f t="shared" si="244"/>
        <v>934334.38458746078</v>
      </c>
      <c r="BZ273">
        <f t="shared" si="245"/>
        <v>4194317.9154177457</v>
      </c>
      <c r="CA273">
        <f t="shared" si="246"/>
        <v>4696723.0606370894</v>
      </c>
      <c r="CB273">
        <f t="shared" si="247"/>
        <v>-125166.60295683568</v>
      </c>
      <c r="CC273">
        <f t="shared" si="248"/>
        <v>-156947.96201250001</v>
      </c>
      <c r="CD273">
        <f t="shared" si="249"/>
        <v>0</v>
      </c>
      <c r="CE273">
        <f t="shared" si="250"/>
        <v>0</v>
      </c>
      <c r="CF273">
        <f t="shared" si="251"/>
        <v>1719889.6626239775</v>
      </c>
      <c r="CG273">
        <f t="shared" si="252"/>
        <v>1925902.0425000002</v>
      </c>
      <c r="CH273">
        <f t="shared" si="253"/>
        <v>156478.71135213369</v>
      </c>
      <c r="CI273">
        <f t="shared" si="254"/>
        <v>175222.09496919904</v>
      </c>
      <c r="CJ273">
        <f t="shared" si="255"/>
        <v>-397089.34110327612</v>
      </c>
      <c r="CK273">
        <f t="shared" si="256"/>
        <v>-444653.62500000012</v>
      </c>
      <c r="CL273">
        <f t="shared" si="257"/>
        <v>785409.37077710452</v>
      </c>
      <c r="CM273">
        <f t="shared" si="258"/>
        <v>879487.53007242922</v>
      </c>
    </row>
    <row r="274" spans="1:91" x14ac:dyDescent="0.2">
      <c r="A274" s="2" t="s">
        <v>259</v>
      </c>
      <c r="B274" s="2" t="str">
        <f t="shared" si="259"/>
        <v>SANTALDIH TPS</v>
      </c>
      <c r="C274" s="2" t="str">
        <f>VLOOKUP($A274,'[1]daily coal, energy reqd'!$C$2:$T$599,17,FALSE)</f>
        <v>West Bengal</v>
      </c>
      <c r="D274" s="2" t="str">
        <f>VLOOKUP(C274,'Target PLF'!$I$2:$J$19,2,FALSE)</f>
        <v>ER</v>
      </c>
      <c r="E274" s="2" t="str">
        <f>VLOOKUP(A274,[2]Ownership!$C$2:$D$666,2,FALSE)</f>
        <v>STATE SECTOR</v>
      </c>
      <c r="F274" s="2" t="s">
        <v>543</v>
      </c>
      <c r="G274" s="12">
        <v>8.5941136208076596</v>
      </c>
      <c r="H274" s="2">
        <v>250</v>
      </c>
      <c r="I274" s="2">
        <f>VLOOKUP(A274,'[3]Calculated coal req (reg.)'!$A$2:$I$599,9,FALSE)</f>
        <v>5.0454858516517396</v>
      </c>
      <c r="J274" s="2"/>
      <c r="K274" s="11">
        <v>0.84091430860862326</v>
      </c>
      <c r="L274" s="3">
        <v>0.49249999999999999</v>
      </c>
      <c r="M274" s="3">
        <f t="shared" si="236"/>
        <v>-0.34841430860862327</v>
      </c>
      <c r="N274" s="2" t="str">
        <f t="shared" si="215"/>
        <v>0.25</v>
      </c>
      <c r="O274" s="2">
        <f t="shared" si="210"/>
        <v>14.09079934890344</v>
      </c>
      <c r="P274" s="2">
        <f t="shared" si="216"/>
        <v>1285785.4405874389</v>
      </c>
      <c r="Q274" s="2">
        <f t="shared" si="217"/>
        <v>14.217211298939082</v>
      </c>
      <c r="R274" s="2">
        <f t="shared" si="218"/>
        <v>2.9550000000000001</v>
      </c>
      <c r="S274" s="2">
        <f t="shared" si="219"/>
        <v>751682.77827221667</v>
      </c>
      <c r="T274" s="2" t="str">
        <f>VLOOKUP(A274,'[4]CEA vs MERIT comp. &amp; NPA marker'!$C$2:$K$735,9,FALSE)</f>
        <v>Contracted</v>
      </c>
      <c r="U274" s="3">
        <f>VLOOKUP(B274,'[8]Import-Domestic share'!$A$208:$F$406,6,FALSE)</f>
        <v>6.0996347612639931E-4</v>
      </c>
      <c r="V274" s="3">
        <f t="shared" si="220"/>
        <v>784.28215689342801</v>
      </c>
      <c r="W274" s="2">
        <f t="shared" si="221"/>
        <v>3089.3712717834728</v>
      </c>
      <c r="X274" s="2">
        <f t="shared" si="222"/>
        <v>2974.1955356895501</v>
      </c>
      <c r="Y274" s="6">
        <f t="shared" si="223"/>
        <v>0.27837379335230494</v>
      </c>
      <c r="Z274" s="2">
        <f t="shared" si="224"/>
        <v>770307.51868317276</v>
      </c>
      <c r="AA274" s="2">
        <f t="shared" si="225"/>
        <v>1266219.676645105</v>
      </c>
      <c r="AB274" s="2" t="s">
        <v>598</v>
      </c>
      <c r="AC274" s="12">
        <f>VLOOKUP(B274,[9]Sheet1!$A$2:$B$137,2,FALSE)</f>
        <v>4325.6992027808037</v>
      </c>
      <c r="AD274" s="12">
        <f t="shared" si="226"/>
        <v>1081424.8006952009</v>
      </c>
      <c r="AE274" s="2"/>
      <c r="AF274" s="7">
        <f>VLOOKUP($B274,'[9]Subsidiary wise dispatch'!$A$3:$R$138,11,FALSE)*$H274*$O274*365</f>
        <v>1236516.1994832342</v>
      </c>
      <c r="AG274" s="7">
        <f>VLOOKUP($B274,'[9]Subsidiary wise dispatch'!$A$3:$R$138,12,FALSE)*$H274*$O274*365</f>
        <v>28929.000679956236</v>
      </c>
      <c r="AH274" s="7">
        <f>VLOOKUP($B274,'[9]Subsidiary wise dispatch'!$A$3:$R$138,13,FALSE)*$H274*$O274*365</f>
        <v>20340.240424248492</v>
      </c>
      <c r="AI274" s="7">
        <f>VLOOKUP($B274,'[9]Subsidiary wise dispatch'!$A$3:$R$138,14,FALSE)*$H274*$O274*365</f>
        <v>0</v>
      </c>
      <c r="AJ274" s="7">
        <f>VLOOKUP($B274,'[9]Subsidiary wise dispatch'!$A$3:$R$138,15,FALSE)*$H274*$O274*365</f>
        <v>0</v>
      </c>
      <c r="AK274" s="7">
        <f>VLOOKUP($B274,'[9]Subsidiary wise dispatch'!$A$3:$R$138,16,FALSE)*$H274*$O274*365</f>
        <v>0</v>
      </c>
      <c r="AL274" s="7">
        <f>VLOOKUP($B274,'[9]Subsidiary wise dispatch'!$A$3:$R$138,17,FALSE)*$H274*$O274*365</f>
        <v>0</v>
      </c>
      <c r="AM274" s="7">
        <f>VLOOKUP($B274,'[9]Subsidiary wise dispatch'!$A$3:$R$138,18,FALSE)*$H274*$O274*365</f>
        <v>0</v>
      </c>
      <c r="AN274" s="15">
        <f t="shared" si="227"/>
        <v>1285785.4405874389</v>
      </c>
      <c r="AO274" s="6">
        <v>8.5383480246584514E-2</v>
      </c>
      <c r="AP274" s="11">
        <f t="shared" si="228"/>
        <v>0.43080114154892796</v>
      </c>
      <c r="AQ274" s="11">
        <f t="shared" si="229"/>
        <v>0.25230818412865724</v>
      </c>
      <c r="AR274" s="3">
        <f>VLOOKUP(A274,[10]Sheet1!$A$2:$L$542,12,FALSE)</f>
        <v>2.5661172566371602</v>
      </c>
      <c r="AS274" s="3">
        <f t="shared" si="237"/>
        <v>2.0377510517443755</v>
      </c>
      <c r="AT274" s="3">
        <f t="shared" si="238"/>
        <v>2.0495565646940026</v>
      </c>
      <c r="AU274" s="3">
        <f t="shared" si="230"/>
        <v>-1.1805512949627062E-2</v>
      </c>
      <c r="AV274" s="88">
        <f t="shared" si="239"/>
        <v>-0.2553249736345713</v>
      </c>
      <c r="AW274" s="32">
        <f t="shared" si="240"/>
        <v>0.11950402895215503</v>
      </c>
      <c r="AX274" s="12">
        <f t="shared" si="231"/>
        <v>375.27270967791151</v>
      </c>
      <c r="AY274" s="12">
        <f t="shared" si="232"/>
        <v>221.06004717648338</v>
      </c>
      <c r="AZ274" s="3">
        <f>VLOOKUP(A274,[5]Analysis!$A$3:$BJ$543,62,FALSE)</f>
        <v>0.49006605166674228</v>
      </c>
      <c r="BA274" s="2"/>
      <c r="BB274" s="2"/>
      <c r="BC274" s="2" t="str">
        <f>VLOOKUP(A274,'[6]FGD status - Jun 2020'!$I$2:$M$449,5,FALSE)</f>
        <v>BID opened</v>
      </c>
      <c r="BD274" s="2"/>
      <c r="BE274" s="2"/>
      <c r="BF274" s="2">
        <f t="shared" si="233"/>
        <v>392.05996340223606</v>
      </c>
      <c r="BG274" s="2">
        <f t="shared" si="234"/>
        <v>238.51053901134267</v>
      </c>
      <c r="BH274" s="2"/>
      <c r="BI274" s="2"/>
      <c r="BK274">
        <f t="shared" si="235"/>
        <v>210.22857715215582</v>
      </c>
      <c r="BP274" s="2" t="str">
        <f>VLOOKUP(A274,'[7]Table 2'!$J$2:$N$449,5,FALSE)</f>
        <v>Bid opened</v>
      </c>
      <c r="BR274">
        <f t="shared" si="241"/>
        <v>268.42316522793772</v>
      </c>
      <c r="BS274">
        <f t="shared" si="242"/>
        <v>163.29582155258899</v>
      </c>
      <c r="BT274">
        <f>(X274*I274*365*[5]Analysis!BK274)/10^4</f>
        <v>218.77938302491256</v>
      </c>
      <c r="BU274">
        <f>(W274*R274*365*[5]Analysis!BK274)/10^4</f>
        <v>133.09491771876054</v>
      </c>
      <c r="BV274">
        <f>(X274*I274*365*[5]Analysis!BL274)/10^4</f>
        <v>49.643782203025175</v>
      </c>
      <c r="BW274">
        <f>(W274*R274*365*[5]Analysis!BL274)/10^4</f>
        <v>30.200903833828448</v>
      </c>
      <c r="BX274">
        <f t="shared" si="243"/>
        <v>1538141.8032751577</v>
      </c>
      <c r="BY274">
        <f t="shared" si="244"/>
        <v>935731.94108231668</v>
      </c>
      <c r="BZ274">
        <f t="shared" si="245"/>
        <v>4675195.3215563213</v>
      </c>
      <c r="CA274">
        <f t="shared" si="246"/>
        <v>2738131.1892245719</v>
      </c>
      <c r="CB274">
        <f t="shared" si="247"/>
        <v>-457558.57169021555</v>
      </c>
      <c r="CC274">
        <f t="shared" si="248"/>
        <v>-156947.96201250001</v>
      </c>
      <c r="CD274">
        <f t="shared" si="249"/>
        <v>0</v>
      </c>
      <c r="CE274">
        <f t="shared" si="250"/>
        <v>0</v>
      </c>
      <c r="CF274">
        <f t="shared" si="251"/>
        <v>3288362.6081559858</v>
      </c>
      <c r="CG274">
        <f t="shared" si="252"/>
        <v>1925902.0425000002</v>
      </c>
      <c r="CH274">
        <f t="shared" si="253"/>
        <v>321070.06889548257</v>
      </c>
      <c r="CI274">
        <f t="shared" si="254"/>
        <v>188041.76277207377</v>
      </c>
      <c r="CJ274">
        <f t="shared" si="255"/>
        <v>-759219.48352729564</v>
      </c>
      <c r="CK274">
        <f t="shared" si="256"/>
        <v>-444653.62500000012</v>
      </c>
      <c r="CL274">
        <f t="shared" si="257"/>
        <v>1217893.7824090475</v>
      </c>
      <c r="CM274">
        <f t="shared" si="258"/>
        <v>713286.33809181559</v>
      </c>
    </row>
    <row r="275" spans="1:91" x14ac:dyDescent="0.2">
      <c r="A275" s="2" t="s">
        <v>260</v>
      </c>
      <c r="B275" s="2" t="str">
        <f t="shared" si="259"/>
        <v>HARDUAGANJ TPS</v>
      </c>
      <c r="C275" s="2" t="str">
        <f>VLOOKUP($A275,'[1]daily coal, energy reqd'!$C$2:$T$599,17,FALSE)</f>
        <v>Uttar Pradesh</v>
      </c>
      <c r="D275" s="2" t="str">
        <f>VLOOKUP(C275,'Target PLF'!$I$2:$J$19,2,FALSE)</f>
        <v>NR</v>
      </c>
      <c r="E275" s="2" t="str">
        <f>VLOOKUP(A275,[2]Ownership!$C$2:$D$666,2,FALSE)</f>
        <v>STATE SECTOR</v>
      </c>
      <c r="F275" s="2" t="s">
        <v>543</v>
      </c>
      <c r="G275" s="12">
        <v>8.6735112936344905</v>
      </c>
      <c r="H275" s="2">
        <v>250</v>
      </c>
      <c r="I275" s="2">
        <f>VLOOKUP(A275,'[3]Calculated coal req (reg.)'!$A$2:$I$599,9,FALSE)</f>
        <v>4.1778569085580104</v>
      </c>
      <c r="J275" s="2"/>
      <c r="K275" s="11">
        <v>0.69630948475966836</v>
      </c>
      <c r="L275" s="3">
        <v>0.49249999999999999</v>
      </c>
      <c r="M275" s="3">
        <f t="shared" si="236"/>
        <v>-0.20380948475966837</v>
      </c>
      <c r="N275" s="2" t="str">
        <f t="shared" si="215"/>
        <v>0.25</v>
      </c>
      <c r="O275" s="2">
        <f t="shared" si="210"/>
        <v>12.081383974532566</v>
      </c>
      <c r="P275" s="2">
        <f t="shared" si="216"/>
        <v>1102426.2876760967</v>
      </c>
      <c r="Q275" s="2">
        <f t="shared" si="217"/>
        <v>14.219726220225871</v>
      </c>
      <c r="R275" s="2">
        <f t="shared" si="218"/>
        <v>2.9550000000000001</v>
      </c>
      <c r="S275" s="2">
        <f t="shared" si="219"/>
        <v>751815.74548922153</v>
      </c>
      <c r="T275" s="2" t="str">
        <f>VLOOKUP(A275,'[4]CEA vs MERIT comp. &amp; NPA marker'!$C$2:$K$735,9,FALSE)</f>
        <v>Contracted</v>
      </c>
      <c r="U275" s="3">
        <f>VLOOKUP(B275,'[8]Import-Domestic share'!$A$208:$F$406,6,FALSE)</f>
        <v>0</v>
      </c>
      <c r="V275" s="3">
        <f t="shared" si="220"/>
        <v>0</v>
      </c>
      <c r="W275" s="2">
        <f t="shared" si="221"/>
        <v>3089.8403929589322</v>
      </c>
      <c r="X275" s="2">
        <f t="shared" si="222"/>
        <v>3022.4668470105471</v>
      </c>
      <c r="Y275" s="6">
        <f t="shared" si="223"/>
        <v>0.27833152869635314</v>
      </c>
      <c r="Z275" s="2">
        <f t="shared" si="224"/>
        <v>758740.01767473342</v>
      </c>
      <c r="AA275" s="2">
        <f t="shared" si="225"/>
        <v>1049335.9838954327</v>
      </c>
      <c r="AB275" s="2" t="s">
        <v>598</v>
      </c>
      <c r="AC275" s="12">
        <f>VLOOKUP(B275,[9]Sheet1!$A$2:$B$137,2,FALSE)</f>
        <v>4392.3142633875859</v>
      </c>
      <c r="AD275" s="12">
        <f t="shared" si="226"/>
        <v>1098078.5658468965</v>
      </c>
      <c r="AE275" s="2"/>
      <c r="AF275" s="7">
        <f>VLOOKUP($B275,'[9]Subsidiary wise dispatch'!$A$3:$R$138,11,FALSE)*$H275*$O275*365</f>
        <v>222236.40036120557</v>
      </c>
      <c r="AG275" s="7">
        <f>VLOOKUP($B275,'[9]Subsidiary wise dispatch'!$A$3:$R$138,12,FALSE)*$H275*$O275*365</f>
        <v>878413.73351824866</v>
      </c>
      <c r="AH275" s="7">
        <f>VLOOKUP($B275,'[9]Subsidiary wise dispatch'!$A$3:$R$138,13,FALSE)*$H275*$O275*365</f>
        <v>0</v>
      </c>
      <c r="AI275" s="7">
        <f>VLOOKUP($B275,'[9]Subsidiary wise dispatch'!$A$3:$R$138,14,FALSE)*$H275*$O275*365</f>
        <v>0</v>
      </c>
      <c r="AJ275" s="7">
        <f>VLOOKUP($B275,'[9]Subsidiary wise dispatch'!$A$3:$R$138,15,FALSE)*$H275*$O275*365</f>
        <v>1776.1537966423002</v>
      </c>
      <c r="AK275" s="7">
        <f>VLOOKUP($B275,'[9]Subsidiary wise dispatch'!$A$3:$R$138,16,FALSE)*$H275*$O275*365</f>
        <v>0</v>
      </c>
      <c r="AL275" s="7">
        <f>VLOOKUP($B275,'[9]Subsidiary wise dispatch'!$A$3:$R$138,17,FALSE)*$H275*$O275*365</f>
        <v>0</v>
      </c>
      <c r="AM275" s="7">
        <f>VLOOKUP($B275,'[9]Subsidiary wise dispatch'!$A$3:$R$138,18,FALSE)*$H275*$O275*365</f>
        <v>0</v>
      </c>
      <c r="AN275" s="15">
        <f t="shared" si="227"/>
        <v>1102426.2876760967</v>
      </c>
      <c r="AO275" s="6">
        <v>8.6582291374875858E-2</v>
      </c>
      <c r="AP275" s="11">
        <f t="shared" si="228"/>
        <v>0.36172842417930773</v>
      </c>
      <c r="AQ275" s="11">
        <f t="shared" si="229"/>
        <v>0.25585067101275816</v>
      </c>
      <c r="AR275" s="3">
        <f>VLOOKUP(A275,[10]Sheet1!$A$2:$L$542,12,FALSE)</f>
        <v>2.8019846491228102</v>
      </c>
      <c r="AS275" s="3">
        <f t="shared" si="237"/>
        <v>2.951547137184463</v>
      </c>
      <c r="AT275" s="3">
        <f t="shared" si="238"/>
        <v>2.9584529256441727</v>
      </c>
      <c r="AU275" s="3">
        <f t="shared" si="230"/>
        <v>-6.905788459709683E-3</v>
      </c>
      <c r="AV275" s="88">
        <f t="shared" si="239"/>
        <v>-0.14935566662158017</v>
      </c>
      <c r="AW275" s="32">
        <f t="shared" si="240"/>
        <v>4.8262782717323004E-2</v>
      </c>
      <c r="AX275" s="12">
        <f t="shared" si="231"/>
        <v>450.08666832775651</v>
      </c>
      <c r="AY275" s="12">
        <f t="shared" si="232"/>
        <v>319.09133642766636</v>
      </c>
      <c r="AZ275" s="3">
        <f>VLOOKUP(A275,[5]Analysis!$A$3:$BJ$543,62,FALSE)</f>
        <v>0.96863515611482587</v>
      </c>
      <c r="BA275" s="2"/>
      <c r="BB275" s="2"/>
      <c r="BC275" s="2" t="str">
        <f>VLOOKUP(A275,'[6]FGD status - Jun 2020'!$I$2:$M$449,5,FALSE)</f>
        <v>Retendering to be done</v>
      </c>
      <c r="BD275" s="2"/>
      <c r="BE275" s="2"/>
      <c r="BF275" s="2">
        <f t="shared" si="233"/>
        <v>324.7694870156364</v>
      </c>
      <c r="BG275" s="2">
        <f t="shared" si="234"/>
        <v>234.83003547032999</v>
      </c>
      <c r="BH275" s="2"/>
      <c r="BI275" s="2"/>
      <c r="BK275">
        <f t="shared" si="235"/>
        <v>174.0773711899171</v>
      </c>
      <c r="BL275" t="str">
        <f>VLOOKUP(A275,'[11]Daily coal vs energy req.2'!$C$2:$P$599,14,FALSE)</f>
        <v/>
      </c>
      <c r="BM275" t="str">
        <f>VLOOKUP(A275,'[11]Daily coal vs energy req.2'!$C$2:$R$599,16,FALSE)</f>
        <v/>
      </c>
      <c r="BP275" s="2" t="str">
        <f>VLOOKUP(A275,'[7]Table 2'!$J$2:$N$449,5,FALSE)</f>
        <v>Tender specification made</v>
      </c>
      <c r="BR275">
        <f t="shared" si="241"/>
        <v>446.44524231070989</v>
      </c>
      <c r="BS275">
        <f t="shared" si="242"/>
        <v>322.80973514712139</v>
      </c>
      <c r="BT275">
        <f>(X275*I275*365*[5]Analysis!BK275)/10^4</f>
        <v>175.91640955608122</v>
      </c>
      <c r="BU275">
        <f>(W275*R275*365*[5]Analysis!BK275)/10^4</f>
        <v>127.1993162765279</v>
      </c>
      <c r="BV275">
        <f>(X275*I275*365*[5]Analysis!BL275)/10^4</f>
        <v>270.5288327546287</v>
      </c>
      <c r="BW275">
        <f>(W275*R275*365*[5]Analysis!BL275)/10^4</f>
        <v>195.61041887059355</v>
      </c>
      <c r="BX275">
        <f t="shared" si="243"/>
        <v>1294311.9847612325</v>
      </c>
      <c r="BY275">
        <f t="shared" si="244"/>
        <v>935874.03202234861</v>
      </c>
      <c r="BZ275">
        <f t="shared" si="245"/>
        <v>7651664.8119967645</v>
      </c>
      <c r="CA275">
        <f t="shared" si="246"/>
        <v>5412025.8338992568</v>
      </c>
      <c r="CB275">
        <f t="shared" si="247"/>
        <v>-313724.0644924966</v>
      </c>
      <c r="CC275">
        <f t="shared" si="248"/>
        <v>-156947.96201250001</v>
      </c>
      <c r="CD275">
        <f t="shared" si="249"/>
        <v>0</v>
      </c>
      <c r="CE275">
        <f t="shared" si="250"/>
        <v>0</v>
      </c>
      <c r="CF275">
        <f t="shared" si="251"/>
        <v>2722891.0840827776</v>
      </c>
      <c r="CG275">
        <f t="shared" si="252"/>
        <v>1925902.0425000002</v>
      </c>
      <c r="CH275">
        <f t="shared" si="253"/>
        <v>268314.56428965216</v>
      </c>
      <c r="CI275">
        <f t="shared" si="254"/>
        <v>189779.00747433252</v>
      </c>
      <c r="CJ275">
        <f t="shared" si="255"/>
        <v>-628663.0183152667</v>
      </c>
      <c r="CK275">
        <f t="shared" si="256"/>
        <v>-444653.62500000012</v>
      </c>
      <c r="CL275">
        <f t="shared" si="257"/>
        <v>1022622.1712055667</v>
      </c>
      <c r="CM275">
        <f t="shared" si="258"/>
        <v>723301.1043825919</v>
      </c>
    </row>
    <row r="276" spans="1:91" x14ac:dyDescent="0.2">
      <c r="A276" s="2" t="s">
        <v>224</v>
      </c>
      <c r="B276" s="2" t="str">
        <f t="shared" si="259"/>
        <v>MUZAFFARPUR TPS</v>
      </c>
      <c r="C276" s="2" t="str">
        <f>VLOOKUP($A276,'[1]daily coal, energy reqd'!$C$2:$T$599,17,FALSE)</f>
        <v>Bihar</v>
      </c>
      <c r="D276" s="2" t="str">
        <f>VLOOKUP(C276,'Target PLF'!$I$2:$J$19,2,FALSE)</f>
        <v>ER</v>
      </c>
      <c r="E276" s="2" t="str">
        <f>VLOOKUP(A276,[2]Ownership!$C$2:$D$666,2,FALSE)</f>
        <v>CENTRAL SECTOR</v>
      </c>
      <c r="F276" s="2" t="s">
        <v>542</v>
      </c>
      <c r="G276" s="12">
        <v>3.1759069130732298</v>
      </c>
      <c r="H276" s="2">
        <v>195</v>
      </c>
      <c r="I276" s="2">
        <f>VLOOKUP(A276,'[3]Calculated coal req (reg.)'!$A$2:$I$599,9,FALSE)</f>
        <v>2.9214107835866998</v>
      </c>
      <c r="J276" s="2"/>
      <c r="K276" s="11">
        <v>0.62423307341596146</v>
      </c>
      <c r="L276" s="3">
        <v>0.49249999999999999</v>
      </c>
      <c r="M276" s="3">
        <f t="shared" si="236"/>
        <v>-0.13173307341596147</v>
      </c>
      <c r="N276" s="2" t="str">
        <f t="shared" si="215"/>
        <v>0.25</v>
      </c>
      <c r="O276" s="2">
        <f t="shared" si="210"/>
        <v>11.19086112182989</v>
      </c>
      <c r="P276" s="2">
        <f t="shared" si="216"/>
        <v>796509.54034624237</v>
      </c>
      <c r="Q276" s="2">
        <f t="shared" si="217"/>
        <v>14.332024101471594</v>
      </c>
      <c r="R276" s="2">
        <f t="shared" si="218"/>
        <v>2.3048999999999999</v>
      </c>
      <c r="S276" s="2">
        <f t="shared" si="219"/>
        <v>591047.4048181806</v>
      </c>
      <c r="T276" s="2" t="str">
        <f>VLOOKUP(A276,'[4]CEA vs MERIT comp. &amp; NPA marker'!$C$2:$K$735,9,FALSE)</f>
        <v>Contracted</v>
      </c>
      <c r="U276" s="3">
        <f>VLOOKUP(B276,'[8]Import-Domestic share'!$A$208:$F$406,6,FALSE)</f>
        <v>0</v>
      </c>
      <c r="V276" s="3">
        <f t="shared" si="220"/>
        <v>0</v>
      </c>
      <c r="W276" s="2">
        <f t="shared" si="221"/>
        <v>3098.7515697778917</v>
      </c>
      <c r="X276" s="2">
        <f t="shared" si="222"/>
        <v>3055.2044096190893</v>
      </c>
      <c r="Y276" s="6">
        <f t="shared" si="223"/>
        <v>0.2775311220129989</v>
      </c>
      <c r="Z276" s="2">
        <f t="shared" si="224"/>
        <v>564300.66574342398</v>
      </c>
      <c r="AA276" s="2">
        <f t="shared" si="225"/>
        <v>705187.51568667346</v>
      </c>
      <c r="AB276" s="2" t="s">
        <v>598</v>
      </c>
      <c r="AC276" s="12">
        <f>VLOOKUP(B276,[9]Sheet1!$A$2:$B$137,2,FALSE)</f>
        <v>4619.7784590181791</v>
      </c>
      <c r="AD276" s="12">
        <f t="shared" si="226"/>
        <v>900856.79950854497</v>
      </c>
      <c r="AE276" s="2"/>
      <c r="AF276" s="7">
        <f>VLOOKUP($B276,'[9]Subsidiary wise dispatch'!$A$3:$R$138,11,FALSE)*$H276*$O276*365</f>
        <v>0</v>
      </c>
      <c r="AG276" s="7">
        <f>VLOOKUP($B276,'[9]Subsidiary wise dispatch'!$A$3:$R$138,12,FALSE)*$H276*$O276*365</f>
        <v>651317.65849945543</v>
      </c>
      <c r="AH276" s="7">
        <f>VLOOKUP($B276,'[9]Subsidiary wise dispatch'!$A$3:$R$138,13,FALSE)*$H276*$O276*365</f>
        <v>145191.88184678706</v>
      </c>
      <c r="AI276" s="7">
        <f>VLOOKUP($B276,'[9]Subsidiary wise dispatch'!$A$3:$R$138,14,FALSE)*$H276*$O276*365</f>
        <v>0</v>
      </c>
      <c r="AJ276" s="7">
        <f>VLOOKUP($B276,'[9]Subsidiary wise dispatch'!$A$3:$R$138,15,FALSE)*$H276*$O276*365</f>
        <v>0</v>
      </c>
      <c r="AK276" s="7">
        <f>VLOOKUP($B276,'[9]Subsidiary wise dispatch'!$A$3:$R$138,16,FALSE)*$H276*$O276*365</f>
        <v>0</v>
      </c>
      <c r="AL276" s="7">
        <f>VLOOKUP($B276,'[9]Subsidiary wise dispatch'!$A$3:$R$138,17,FALSE)*$H276*$O276*365</f>
        <v>0</v>
      </c>
      <c r="AM276" s="7">
        <f>VLOOKUP($B276,'[9]Subsidiary wise dispatch'!$A$3:$R$138,18,FALSE)*$H276*$O276*365</f>
        <v>0</v>
      </c>
      <c r="AN276" s="15">
        <f t="shared" si="227"/>
        <v>796509.54034624249</v>
      </c>
      <c r="AO276" s="6">
        <v>9.4599688742977306E-2</v>
      </c>
      <c r="AP276" s="11">
        <f t="shared" si="228"/>
        <v>0.27636455081767924</v>
      </c>
      <c r="AQ276" s="11">
        <f t="shared" si="229"/>
        <v>0.2180428225836884</v>
      </c>
      <c r="AR276" s="3">
        <f>VLOOKUP(A276,[10]Sheet1!$A$2:$L$542,12,FALSE)</f>
        <v>2.68938639281129</v>
      </c>
      <c r="AS276" s="3">
        <f t="shared" si="237"/>
        <v>2.5034480681416871</v>
      </c>
      <c r="AT276" s="3">
        <f t="shared" si="238"/>
        <v>2.5079116520579645</v>
      </c>
      <c r="AU276" s="3">
        <f t="shared" si="230"/>
        <v>-4.463583916277436E-3</v>
      </c>
      <c r="AV276" s="88">
        <f t="shared" si="239"/>
        <v>-9.6536630860684883E-2</v>
      </c>
      <c r="AW276" s="32">
        <f t="shared" si="240"/>
        <v>3.6778492877926325E-2</v>
      </c>
      <c r="AX276" s="12">
        <f t="shared" si="231"/>
        <v>266.94640665827217</v>
      </c>
      <c r="AY276" s="12">
        <f t="shared" si="232"/>
        <v>210.9877231892367</v>
      </c>
      <c r="AZ276" s="3">
        <f>VLOOKUP(A276,[5]Analysis!$A$3:$BJ$543,62,FALSE)</f>
        <v>0.72190287682374155</v>
      </c>
      <c r="BA276" s="2"/>
      <c r="BB276" s="2"/>
      <c r="BC276" s="2" t="str">
        <f>VLOOKUP(A276,'[6]FGD status - Jun 2020'!$I$2:$M$449,5,FALSE)</f>
        <v>NIT issued</v>
      </c>
      <c r="BD276" s="2"/>
      <c r="BE276" s="2"/>
      <c r="BF276" s="2">
        <f t="shared" si="233"/>
        <v>218.25553610502544</v>
      </c>
      <c r="BG276" s="2">
        <f t="shared" si="234"/>
        <v>174.65105604758972</v>
      </c>
      <c r="BH276" s="2"/>
      <c r="BI276" s="2"/>
      <c r="BK276">
        <f t="shared" si="235"/>
        <v>121.72544931611249</v>
      </c>
      <c r="BL276" t="str">
        <f>VLOOKUP(A276,'[11]Daily coal vs energy req.2'!$C$2:$P$599,14,FALSE)</f>
        <v/>
      </c>
      <c r="BM276" t="str">
        <f>VLOOKUP(A276,'[11]Daily coal vs energy req.2'!$C$2:$R$599,16,FALSE)</f>
        <v/>
      </c>
      <c r="BP276" s="2" t="str">
        <f>VLOOKUP(A276,'[7]Table 2'!$J$2:$N$449,5,FALSE)</f>
        <v>NIT issued</v>
      </c>
      <c r="BR276">
        <f t="shared" si="241"/>
        <v>235.18224793922911</v>
      </c>
      <c r="BS276">
        <f t="shared" si="242"/>
        <v>188.19604166405691</v>
      </c>
      <c r="BT276">
        <f>(X276*I276*365*[5]Analysis!BK276)/10^4</f>
        <v>146.84500838949046</v>
      </c>
      <c r="BU276">
        <f>(W276*R276*365*[5]Analysis!BK276)/10^4</f>
        <v>117.5073780405754</v>
      </c>
      <c r="BV276">
        <f>(X276*I276*365*[5]Analysis!BL276)/10^4</f>
        <v>88.337239549738641</v>
      </c>
      <c r="BW276">
        <f>(W276*R276*365*[5]Analysis!BL276)/10^4</f>
        <v>70.688663623481503</v>
      </c>
      <c r="BX276">
        <f t="shared" si="243"/>
        <v>914864.47860309167</v>
      </c>
      <c r="BY276">
        <f t="shared" si="244"/>
        <v>732087.03055105894</v>
      </c>
      <c r="BZ276">
        <f t="shared" si="245"/>
        <v>3987618.0099707223</v>
      </c>
      <c r="CA276">
        <f t="shared" si="246"/>
        <v>3146103.5205385899</v>
      </c>
      <c r="CB276">
        <f t="shared" si="247"/>
        <v>-196666.94139862928</v>
      </c>
      <c r="CC276">
        <f t="shared" si="248"/>
        <v>-122419.41036974998</v>
      </c>
      <c r="CD276">
        <f t="shared" si="249"/>
        <v>0</v>
      </c>
      <c r="CE276">
        <f t="shared" si="250"/>
        <v>0</v>
      </c>
      <c r="CF276">
        <f t="shared" si="251"/>
        <v>1904010.4890325384</v>
      </c>
      <c r="CG276">
        <f t="shared" si="252"/>
        <v>1502203.5931499999</v>
      </c>
      <c r="CH276">
        <f t="shared" si="253"/>
        <v>68699.903985211466</v>
      </c>
      <c r="CI276">
        <f t="shared" si="254"/>
        <v>54202.034710472137</v>
      </c>
      <c r="CJ276">
        <f t="shared" si="255"/>
        <v>-342887.44437496277</v>
      </c>
      <c r="CK276">
        <f t="shared" si="256"/>
        <v>-270527.26545000001</v>
      </c>
      <c r="CL276">
        <f t="shared" si="257"/>
        <v>781294.74520181515</v>
      </c>
      <c r="CM276">
        <f t="shared" si="258"/>
        <v>616416.65332828078</v>
      </c>
    </row>
    <row r="277" spans="1:91" x14ac:dyDescent="0.2">
      <c r="A277" s="2" t="s">
        <v>267</v>
      </c>
      <c r="B277" s="2" t="str">
        <f t="shared" si="259"/>
        <v>RAICHUR TPS</v>
      </c>
      <c r="C277" s="2" t="str">
        <f>VLOOKUP($A277,'[1]daily coal, energy reqd'!$C$2:$T$599,17,FALSE)</f>
        <v>Karnataka</v>
      </c>
      <c r="D277" s="2" t="str">
        <f>VLOOKUP(C277,'Target PLF'!$I$2:$J$19,2,FALSE)</f>
        <v>SR</v>
      </c>
      <c r="E277" s="2" t="str">
        <f>VLOOKUP(A277,[2]Ownership!$C$2:$D$666,2,FALSE)</f>
        <v>STATE SECTOR</v>
      </c>
      <c r="F277" s="2" t="s">
        <v>543</v>
      </c>
      <c r="G277" s="12">
        <v>9.9247091033538606</v>
      </c>
      <c r="H277" s="2">
        <v>250</v>
      </c>
      <c r="I277" s="2">
        <f>VLOOKUP(A277,'[3]Calculated coal req (reg.)'!$A$2:$I$599,9,FALSE)</f>
        <v>4.2281974909824704</v>
      </c>
      <c r="J277" s="2"/>
      <c r="K277" s="11">
        <v>0.7046995818304117</v>
      </c>
      <c r="L277" s="3">
        <v>0.49249999999999999</v>
      </c>
      <c r="M277" s="3">
        <f t="shared" si="236"/>
        <v>-0.21219958183041171</v>
      </c>
      <c r="N277" s="2" t="str">
        <f t="shared" si="215"/>
        <v>0.25</v>
      </c>
      <c r="O277" s="2">
        <f t="shared" si="210"/>
        <v>12.237749602729799</v>
      </c>
      <c r="P277" s="2">
        <f t="shared" si="216"/>
        <v>1116694.6512490942</v>
      </c>
      <c r="Q277" s="2">
        <f t="shared" si="217"/>
        <v>14.259357910848733</v>
      </c>
      <c r="R277" s="2">
        <f t="shared" si="218"/>
        <v>2.9550000000000001</v>
      </c>
      <c r="S277" s="2">
        <f t="shared" si="219"/>
        <v>753911.1254261604</v>
      </c>
      <c r="T277" s="2" t="str">
        <f>VLOOKUP(A277,'[4]CEA vs MERIT comp. &amp; NPA marker'!$C$2:$K$735,9,FALSE)</f>
        <v>Contracted</v>
      </c>
      <c r="U277" s="3">
        <f>VLOOKUP(B277,'[8]Import-Domestic share'!$A$208:$F$406,6,FALSE)</f>
        <v>0</v>
      </c>
      <c r="V277" s="3">
        <f t="shared" si="220"/>
        <v>0</v>
      </c>
      <c r="W277" s="2">
        <f t="shared" si="221"/>
        <v>3099.4002161184117</v>
      </c>
      <c r="X277" s="2">
        <f t="shared" si="222"/>
        <v>3029.2531457132345</v>
      </c>
      <c r="Y277" s="6">
        <f t="shared" si="223"/>
        <v>0.27747303995385147</v>
      </c>
      <c r="Z277" s="2">
        <f t="shared" si="224"/>
        <v>839416.66984402412</v>
      </c>
      <c r="AA277" s="2">
        <f t="shared" si="225"/>
        <v>1173905.8775561296</v>
      </c>
      <c r="AB277" s="2" t="s">
        <v>598</v>
      </c>
      <c r="AC277" s="12">
        <f>VLOOKUP(B277,[9]Sheet1!$A$2:$B$137,2,FALSE)</f>
        <v>3982.4507996977022</v>
      </c>
      <c r="AD277" s="12">
        <f t="shared" si="226"/>
        <v>995612.69992442557</v>
      </c>
      <c r="AE277" s="2"/>
      <c r="AF277" s="7">
        <f>VLOOKUP($B277,'[9]Subsidiary wise dispatch'!$A$3:$R$138,11,FALSE)*$H277*$O277*365</f>
        <v>0</v>
      </c>
      <c r="AG277" s="7">
        <f>VLOOKUP($B277,'[9]Subsidiary wise dispatch'!$A$3:$R$138,12,FALSE)*$H277*$O277*365</f>
        <v>0</v>
      </c>
      <c r="AH277" s="7">
        <f>VLOOKUP($B277,'[9]Subsidiary wise dispatch'!$A$3:$R$138,13,FALSE)*$H277*$O277*365</f>
        <v>0</v>
      </c>
      <c r="AI277" s="7">
        <f>VLOOKUP($B277,'[9]Subsidiary wise dispatch'!$A$3:$R$138,14,FALSE)*$H277*$O277*365</f>
        <v>733036.5914821506</v>
      </c>
      <c r="AJ277" s="7">
        <f>VLOOKUP($B277,'[9]Subsidiary wise dispatch'!$A$3:$R$138,15,FALSE)*$H277*$O277*365</f>
        <v>0</v>
      </c>
      <c r="AK277" s="7">
        <f>VLOOKUP($B277,'[9]Subsidiary wise dispatch'!$A$3:$R$138,16,FALSE)*$H277*$O277*365</f>
        <v>0</v>
      </c>
      <c r="AL277" s="7">
        <f>VLOOKUP($B277,'[9]Subsidiary wise dispatch'!$A$3:$R$138,17,FALSE)*$H277*$O277*365</f>
        <v>0</v>
      </c>
      <c r="AM277" s="7">
        <f>VLOOKUP($B277,'[9]Subsidiary wise dispatch'!$A$3:$R$138,18,FALSE)*$H277*$O277*365</f>
        <v>383658.05976694362</v>
      </c>
      <c r="AN277" s="15">
        <f t="shared" si="227"/>
        <v>1116694.6512490942</v>
      </c>
      <c r="AO277" s="6">
        <v>9.2407885740745169E-2</v>
      </c>
      <c r="AP277" s="11">
        <f t="shared" si="228"/>
        <v>0.3907187906360135</v>
      </c>
      <c r="AQ277" s="11">
        <f t="shared" si="229"/>
        <v>0.27306530236390197</v>
      </c>
      <c r="AR277" s="3">
        <f>VLOOKUP(A277,[10]Sheet1!$A$2:$L$542,12,FALSE)</f>
        <v>3.44135254988913</v>
      </c>
      <c r="AS277" s="3">
        <f t="shared" si="237"/>
        <v>3.1155082303754487</v>
      </c>
      <c r="AT277" s="3">
        <f t="shared" si="238"/>
        <v>3.1226983050919794</v>
      </c>
      <c r="AU277" s="3">
        <f t="shared" si="230"/>
        <v>-7.1900747165307699E-3</v>
      </c>
      <c r="AV277" s="88">
        <f t="shared" si="239"/>
        <v>-0.15550409755696232</v>
      </c>
      <c r="AW277" s="32">
        <f t="shared" si="240"/>
        <v>4.7605081377865045E-2</v>
      </c>
      <c r="AX277" s="12">
        <f t="shared" si="231"/>
        <v>480.81391902251789</v>
      </c>
      <c r="AY277" s="12">
        <f t="shared" si="232"/>
        <v>336.80643244145818</v>
      </c>
      <c r="AZ277" s="3">
        <f>VLOOKUP(A277,[5]Analysis!$A$3:$BJ$543,62,FALSE)</f>
        <v>1.041373088663174</v>
      </c>
      <c r="BA277" s="2"/>
      <c r="BB277" s="2"/>
      <c r="BC277" s="2" t="str">
        <f>VLOOKUP(A277,'[6]FGD status - Jun 2020'!$I$2:$M$449,5,FALSE)</f>
        <v>Bid opened</v>
      </c>
      <c r="BD277" s="2" t="str">
        <f>VLOOKUP(A277,'[1]daily coal, energy reqd'!$C$2:$L$599,10,FALSE)</f>
        <v>Y</v>
      </c>
      <c r="BE277" s="2"/>
      <c r="BF277" s="2">
        <f t="shared" si="233"/>
        <v>363.32386910362209</v>
      </c>
      <c r="BG277" s="2">
        <f t="shared" si="234"/>
        <v>259.79945931672546</v>
      </c>
      <c r="BH277" s="2"/>
      <c r="BI277" s="2"/>
      <c r="BK277">
        <f t="shared" si="235"/>
        <v>176.17489545760293</v>
      </c>
      <c r="BL277">
        <f>VLOOKUP(A277,'[11]Daily coal vs energy req.2'!$C$2:$P$599,14,FALSE)</f>
        <v>0.93</v>
      </c>
      <c r="BM277">
        <f>VLOOKUP(A277,'[11]Daily coal vs energy req.2'!$C$2:$R$599,16,FALSE)</f>
        <v>1.07</v>
      </c>
      <c r="BN277">
        <f>BL277*H277</f>
        <v>232.5</v>
      </c>
      <c r="BO277">
        <f>BM277*H277</f>
        <v>267.5</v>
      </c>
      <c r="BP277" s="2" t="str">
        <f>VLOOKUP(A277,'[7]Table 2'!$J$2:$N$449,5,FALSE)</f>
        <v>Bid Awarded</v>
      </c>
      <c r="BR277">
        <f t="shared" si="241"/>
        <v>486.84425171356537</v>
      </c>
      <c r="BS277">
        <f t="shared" si="242"/>
        <v>348.12431585816535</v>
      </c>
      <c r="BT277">
        <f>(X277*I277*365*[5]Analysis!BK277)/10^4</f>
        <v>185.61822740558017</v>
      </c>
      <c r="BU277">
        <f>(W277*R277*365*[5]Analysis!BK277)/10^4</f>
        <v>132.72872833341179</v>
      </c>
      <c r="BV277">
        <f>(X277*I277*365*[5]Analysis!BL277)/10^4</f>
        <v>301.22602430798514</v>
      </c>
      <c r="BW277">
        <f>(W277*R277*365*[5]Analysis!BL277)/10^4</f>
        <v>215.39558752475352</v>
      </c>
      <c r="BX277">
        <f t="shared" si="243"/>
        <v>1312848.756401184</v>
      </c>
      <c r="BY277">
        <f t="shared" si="244"/>
        <v>938769.58295956557</v>
      </c>
      <c r="BZ277">
        <f t="shared" si="245"/>
        <v>8325374.2003500639</v>
      </c>
      <c r="CA277">
        <f t="shared" si="246"/>
        <v>5818432.2786488384</v>
      </c>
      <c r="CB277">
        <f t="shared" si="247"/>
        <v>-321329.97379591287</v>
      </c>
      <c r="CC277">
        <f t="shared" si="248"/>
        <v>-156947.96201250001</v>
      </c>
      <c r="CD277">
        <f t="shared" si="249"/>
        <v>0</v>
      </c>
      <c r="CE277">
        <f t="shared" si="250"/>
        <v>0</v>
      </c>
      <c r="CF277">
        <f t="shared" si="251"/>
        <v>2755700.2314641336</v>
      </c>
      <c r="CG277">
        <f t="shared" si="252"/>
        <v>1925902.0425000002</v>
      </c>
      <c r="CH277">
        <f t="shared" si="253"/>
        <v>310719.69929411734</v>
      </c>
      <c r="CI277">
        <f t="shared" si="254"/>
        <v>217155.58778234068</v>
      </c>
      <c r="CJ277">
        <f t="shared" si="255"/>
        <v>-636238.0174555874</v>
      </c>
      <c r="CK277">
        <f t="shared" si="256"/>
        <v>-444653.62500000012</v>
      </c>
      <c r="CL277">
        <f t="shared" si="257"/>
        <v>1104579.2127547979</v>
      </c>
      <c r="CM277">
        <f t="shared" si="258"/>
        <v>771967.62465605489</v>
      </c>
    </row>
    <row r="278" spans="1:91" x14ac:dyDescent="0.2">
      <c r="A278" s="2" t="s">
        <v>311</v>
      </c>
      <c r="B278" s="2" t="str">
        <f t="shared" si="259"/>
        <v>AMARKANTAK TPS</v>
      </c>
      <c r="C278" s="2" t="str">
        <f>VLOOKUP($A278,'[1]daily coal, energy reqd'!$C$2:$T$599,17,FALSE)</f>
        <v>Madhya Pradesh</v>
      </c>
      <c r="D278" s="2" t="str">
        <f>VLOOKUP(C278,'Target PLF'!$I$2:$J$19,2,FALSE)</f>
        <v>WR</v>
      </c>
      <c r="E278" s="2" t="str">
        <f>VLOOKUP(A278,[2]Ownership!$C$2:$D$666,2,FALSE)</f>
        <v>STATE SECTOR</v>
      </c>
      <c r="F278" s="2" t="s">
        <v>544</v>
      </c>
      <c r="G278" s="12">
        <v>11.9233401779603</v>
      </c>
      <c r="H278" s="2">
        <v>210</v>
      </c>
      <c r="I278" s="2">
        <f>VLOOKUP(A278,'[3]Calculated coal req (reg.)'!$A$2:$I$599,9,FALSE)</f>
        <v>4.5950846501403602</v>
      </c>
      <c r="J278" s="2"/>
      <c r="K278" s="11">
        <v>0.9117231448691191</v>
      </c>
      <c r="L278" s="3">
        <f>VLOOKUP(F278,'Target PLF'!$A$2:$B$11,2,FALSE)</f>
        <v>0.8</v>
      </c>
      <c r="M278" s="3">
        <f t="shared" si="236"/>
        <v>-0.11172314486911905</v>
      </c>
      <c r="N278" s="2" t="str">
        <f t="shared" si="215"/>
        <v>0.15</v>
      </c>
      <c r="O278" s="2">
        <f t="shared" si="210"/>
        <v>15.418662881644407</v>
      </c>
      <c r="P278" s="2">
        <f t="shared" si="216"/>
        <v>1181840.5098780438</v>
      </c>
      <c r="Q278" s="2">
        <f t="shared" si="217"/>
        <v>14.559890250136892</v>
      </c>
      <c r="R278" s="2">
        <f t="shared" si="218"/>
        <v>4.032</v>
      </c>
      <c r="S278" s="2"/>
      <c r="T278" s="2" t="str">
        <f>VLOOKUP(A278,'[4]CEA vs MERIT comp. &amp; NPA marker'!$C$2:$K$735,9,FALSE)</f>
        <v>Contracted</v>
      </c>
      <c r="U278" s="3">
        <f>VLOOKUP(B278,'[8]Import-Domestic share'!$A$208:$F$406,6,FALSE)</f>
        <v>0</v>
      </c>
      <c r="V278" s="3">
        <f t="shared" si="220"/>
        <v>0</v>
      </c>
      <c r="W278" s="2">
        <f t="shared" si="221"/>
        <v>3050.0498787932925</v>
      </c>
      <c r="X278" s="2">
        <f t="shared" si="222"/>
        <v>3013.1174247261338</v>
      </c>
      <c r="Y278" s="6">
        <f t="shared" si="223"/>
        <v>0.28196260198218343</v>
      </c>
      <c r="Z278" s="2"/>
      <c r="AA278" s="2">
        <f t="shared" si="225"/>
        <v>999405.13442390005</v>
      </c>
      <c r="AB278" s="2" t="s">
        <v>576</v>
      </c>
      <c r="AC278" s="12">
        <f>VLOOKUP(B278,[9]Sheet1!$A$2:$B$137,2,FALSE)</f>
        <v>5056.6263269448709</v>
      </c>
      <c r="AD278" s="12">
        <f t="shared" si="226"/>
        <v>1061891.5286584229</v>
      </c>
      <c r="AE278" s="2" t="s">
        <v>589</v>
      </c>
      <c r="AF278" s="7">
        <f>VLOOKUP($B278,'[9]Subsidiary wise dispatch'!$A$3:$R$138,11,FALSE)*$H278*$O278*365</f>
        <v>0</v>
      </c>
      <c r="AG278" s="7">
        <f>VLOOKUP($B278,'[9]Subsidiary wise dispatch'!$A$3:$R$138,12,FALSE)*$H278*$O278*365</f>
        <v>2301.910019309963</v>
      </c>
      <c r="AH278" s="7">
        <f>VLOOKUP($B278,'[9]Subsidiary wise dispatch'!$A$3:$R$138,13,FALSE)*$H278*$O278*365</f>
        <v>0</v>
      </c>
      <c r="AI278" s="7">
        <f>VLOOKUP($B278,'[9]Subsidiary wise dispatch'!$A$3:$R$138,14,FALSE)*$H278*$O278*365</f>
        <v>0</v>
      </c>
      <c r="AJ278" s="7">
        <f>VLOOKUP($B278,'[9]Subsidiary wise dispatch'!$A$3:$R$138,15,FALSE)*$H278*$O278*365</f>
        <v>0</v>
      </c>
      <c r="AK278" s="7">
        <f>VLOOKUP($B278,'[9]Subsidiary wise dispatch'!$A$3:$R$138,16,FALSE)*$H278*$O278*365</f>
        <v>0</v>
      </c>
      <c r="AL278" s="7">
        <f>VLOOKUP($B278,'[9]Subsidiary wise dispatch'!$A$3:$R$138,17,FALSE)*$H278*$O278*365</f>
        <v>1179538.5998587338</v>
      </c>
      <c r="AM278" s="7">
        <f>VLOOKUP($B278,'[9]Subsidiary wise dispatch'!$A$3:$R$138,18,FALSE)*$H278*$O278*365</f>
        <v>0</v>
      </c>
      <c r="AN278" s="15">
        <f t="shared" si="227"/>
        <v>1181840.5098780438</v>
      </c>
      <c r="AO278" s="6">
        <v>9.414842901808744E-2</v>
      </c>
      <c r="AP278" s="11">
        <f t="shared" si="228"/>
        <v>0.43262000101584286</v>
      </c>
      <c r="AQ278" s="11"/>
      <c r="AR278" s="3">
        <f>VLOOKUP(A278,[10]Sheet1!$A$2:$L$542,12,FALSE)</f>
        <v>1.6859649122806799</v>
      </c>
      <c r="AS278" s="3">
        <f t="shared" si="237"/>
        <v>2.2098767028577688</v>
      </c>
      <c r="AT278" s="2"/>
      <c r="AU278" s="2"/>
      <c r="AV278" s="88">
        <f t="shared" si="239"/>
        <v>-8.1872955022987831E-2</v>
      </c>
      <c r="AW278" s="32">
        <f t="shared" si="240"/>
        <v>3.7048652948425291E-2</v>
      </c>
      <c r="AX278" s="12">
        <f t="shared" si="231"/>
        <v>370.64182383416517</v>
      </c>
      <c r="AY278" s="12">
        <f t="shared" si="232"/>
        <v>0</v>
      </c>
      <c r="AZ278" s="3">
        <f>VLOOKUP(A278,[5]Analysis!$A$3:$BJ$543,62,FALSE)</f>
        <v>0.54011404951415587</v>
      </c>
      <c r="BA278" s="2"/>
      <c r="BB278" s="2"/>
      <c r="BC278" s="2" t="str">
        <f>VLOOKUP(A278,'[6]FGD status - Jun 2020'!$I$2:$M$449,5,FALSE)</f>
        <v>Feasbility Study completed</v>
      </c>
      <c r="BD278" s="2"/>
      <c r="BE278" s="2"/>
      <c r="BF278" s="2">
        <f t="shared" si="233"/>
        <v>309.31588910419708</v>
      </c>
      <c r="BG278" s="2">
        <f t="shared" si="234"/>
        <v>0</v>
      </c>
      <c r="BH278" s="2">
        <f t="shared" ref="BH278:BH286" si="260">IF(G278&lt;17,IF(H278&gt;400,H278*5000000,H278*3500000),H278*1500000)/10^7</f>
        <v>73.5</v>
      </c>
      <c r="BI278" s="2">
        <f t="shared" ref="BI278:BI286" si="261">(H278*800000)/10^7</f>
        <v>16.8</v>
      </c>
      <c r="BK278">
        <f t="shared" si="235"/>
        <v>191.461860422515</v>
      </c>
      <c r="BL278" t="str">
        <f>VLOOKUP(A278,'[11]Daily coal vs energy req.2'!$C$2:$P$599,14,FALSE)</f>
        <v/>
      </c>
      <c r="BM278" t="str">
        <f>VLOOKUP(A278,'[11]Daily coal vs energy req.2'!$C$2:$R$599,16,FALSE)</f>
        <v/>
      </c>
      <c r="BP278" s="2" t="e">
        <f>VLOOKUP(A278,'[7]Table 2'!$J$2:$N$449,5,FALSE)</f>
        <v>#N/A</v>
      </c>
      <c r="BR278">
        <f t="shared" si="241"/>
        <v>272.95302522797982</v>
      </c>
      <c r="BT278">
        <f>(X278*I278*365*[5]Analysis!BK278)/10^4</f>
        <v>223.99495783954393</v>
      </c>
      <c r="BV278">
        <f>(X278*I278*365*[5]Analysis!BL278)/10^4</f>
        <v>48.958067388435893</v>
      </c>
      <c r="BX278">
        <f t="shared" si="243"/>
        <v>1419166.7868115245</v>
      </c>
      <c r="BZ278">
        <f t="shared" si="245"/>
        <v>4692682.148663979</v>
      </c>
      <c r="CB278">
        <f t="shared" si="247"/>
        <v>-451802.32017248275</v>
      </c>
      <c r="CD278">
        <f t="shared" si="249"/>
        <v>0</v>
      </c>
      <c r="CF278">
        <f t="shared" si="251"/>
        <v>2994816.5526787541</v>
      </c>
      <c r="CH278">
        <f t="shared" si="253"/>
        <v>405683.35439152498</v>
      </c>
      <c r="CJ278">
        <f t="shared" si="255"/>
        <v>-580814.10469309147</v>
      </c>
      <c r="CL278">
        <f t="shared" si="257"/>
        <v>1223035.7781518323</v>
      </c>
    </row>
    <row r="279" spans="1:91" x14ac:dyDescent="0.2">
      <c r="A279" s="2" t="s">
        <v>456</v>
      </c>
      <c r="B279" s="2" t="str">
        <f t="shared" si="259"/>
        <v>ANPARA TPS</v>
      </c>
      <c r="C279" s="2" t="str">
        <f>VLOOKUP($A279,'[1]daily coal, energy reqd'!$C$2:$T$599,17,FALSE)</f>
        <v>Uttar Pradesh</v>
      </c>
      <c r="D279" s="2" t="str">
        <f>VLOOKUP(C279,'Target PLF'!$I$2:$J$19,2,FALSE)</f>
        <v>NR</v>
      </c>
      <c r="E279" s="2" t="str">
        <f>VLOOKUP(A279,[2]Ownership!$C$2:$D$666,2,FALSE)</f>
        <v>STATE SECTOR</v>
      </c>
      <c r="F279" s="2" t="s">
        <v>548</v>
      </c>
      <c r="G279" s="12">
        <v>34.176591375770002</v>
      </c>
      <c r="H279" s="2">
        <v>210</v>
      </c>
      <c r="I279" s="2">
        <f>VLOOKUP(A279,'[3]Calculated coal req (reg.)'!$A$2:$I$599,9,FALSE)</f>
        <v>4.0643762869149098</v>
      </c>
      <c r="J279" s="2"/>
      <c r="K279" s="11">
        <v>0.80642386645137099</v>
      </c>
      <c r="L279" s="3">
        <f>VLOOKUP(F279,'Target PLF'!$A$2:$B$11,2,FALSE)</f>
        <v>0.6</v>
      </c>
      <c r="M279" s="3">
        <f t="shared" si="236"/>
        <v>-0.20642386645137101</v>
      </c>
      <c r="N279" s="2" t="str">
        <f t="shared" si="215"/>
        <v>0.25</v>
      </c>
      <c r="O279" s="2">
        <f t="shared" si="210"/>
        <v>14.629564462925373</v>
      </c>
      <c r="P279" s="2">
        <f t="shared" si="216"/>
        <v>1121356.1160832299</v>
      </c>
      <c r="Q279" s="2">
        <f t="shared" si="217"/>
        <v>15.235852281827514</v>
      </c>
      <c r="R279" s="2">
        <f t="shared" si="218"/>
        <v>3.024</v>
      </c>
      <c r="S279" s="2"/>
      <c r="T279" s="2" t="str">
        <f>VLOOKUP(A279,'[4]CEA vs MERIT comp. &amp; NPA marker'!$C$2:$K$735,9,FALSE)</f>
        <v>Contracted</v>
      </c>
      <c r="U279" s="3">
        <f>VLOOKUP(B279,'[8]Import-Domestic share'!$A$208:$F$406,6,FALSE)</f>
        <v>0</v>
      </c>
      <c r="V279" s="3">
        <f t="shared" si="220"/>
        <v>0</v>
      </c>
      <c r="W279" s="2">
        <f t="shared" si="221"/>
        <v>3286.1909079404513</v>
      </c>
      <c r="X279" s="2">
        <f t="shared" si="222"/>
        <v>3217.953122698982</v>
      </c>
      <c r="Y279" s="6">
        <f t="shared" si="223"/>
        <v>0.26170116834112545</v>
      </c>
      <c r="Z279" s="2"/>
      <c r="AA279" s="2">
        <f t="shared" si="225"/>
        <v>1063418.6735862377</v>
      </c>
      <c r="AB279" s="2" t="s">
        <v>576</v>
      </c>
      <c r="AC279" s="12">
        <f>VLOOKUP(B279,[9]Sheet1!$A$2:$B$137,2,FALSE)</f>
        <v>4489.130228333277</v>
      </c>
      <c r="AD279" s="12">
        <f t="shared" si="226"/>
        <v>942717.34794998821</v>
      </c>
      <c r="AE279" s="2" t="s">
        <v>589</v>
      </c>
      <c r="AF279" s="7">
        <f>VLOOKUP($B279,'[9]Subsidiary wise dispatch'!$A$3:$R$138,11,FALSE)*$H279*$O279*365</f>
        <v>0</v>
      </c>
      <c r="AG279" s="7">
        <f>VLOOKUP($B279,'[9]Subsidiary wise dispatch'!$A$3:$R$138,12,FALSE)*$H279*$O279*365</f>
        <v>0</v>
      </c>
      <c r="AH279" s="7">
        <f>VLOOKUP($B279,'[9]Subsidiary wise dispatch'!$A$3:$R$138,13,FALSE)*$H279*$O279*365</f>
        <v>0</v>
      </c>
      <c r="AI279" s="7">
        <f>VLOOKUP($B279,'[9]Subsidiary wise dispatch'!$A$3:$R$138,14,FALSE)*$H279*$O279*365</f>
        <v>0</v>
      </c>
      <c r="AJ279" s="7">
        <f>VLOOKUP($B279,'[9]Subsidiary wise dispatch'!$A$3:$R$138,15,FALSE)*$H279*$O279*365</f>
        <v>1121356.1160832299</v>
      </c>
      <c r="AK279" s="7">
        <f>VLOOKUP($B279,'[9]Subsidiary wise dispatch'!$A$3:$R$138,16,FALSE)*$H279*$O279*365</f>
        <v>0</v>
      </c>
      <c r="AL279" s="7">
        <f>VLOOKUP($B279,'[9]Subsidiary wise dispatch'!$A$3:$R$138,17,FALSE)*$H279*$O279*365</f>
        <v>0</v>
      </c>
      <c r="AM279" s="7">
        <f>VLOOKUP($B279,'[9]Subsidiary wise dispatch'!$A$3:$R$138,18,FALSE)*$H279*$O279*365</f>
        <v>0</v>
      </c>
      <c r="AN279" s="15">
        <f t="shared" si="227"/>
        <v>1121356.1160832299</v>
      </c>
      <c r="AO279" s="6">
        <v>9.3255770253987805E-2</v>
      </c>
      <c r="AP279" s="11">
        <f t="shared" si="228"/>
        <v>0.37902654123829282</v>
      </c>
      <c r="AQ279" s="11"/>
      <c r="AR279" s="3">
        <f>VLOOKUP(A279,[10]Sheet1!$A$2:$L$542,12,FALSE)</f>
        <v>1.71796052631579</v>
      </c>
      <c r="AS279" s="3">
        <f t="shared" si="237"/>
        <v>2.0933693468299657</v>
      </c>
      <c r="AT279" s="2"/>
      <c r="AU279" s="2"/>
      <c r="AV279" s="88">
        <f t="shared" si="239"/>
        <v>-0.15127153781289371</v>
      </c>
      <c r="AW279" s="32">
        <f t="shared" si="240"/>
        <v>7.2262230285337584E-2</v>
      </c>
      <c r="AX279" s="12">
        <f t="shared" si="231"/>
        <v>310.55078675487471</v>
      </c>
      <c r="AY279" s="12">
        <f t="shared" si="232"/>
        <v>0</v>
      </c>
      <c r="AZ279" s="3">
        <f>VLOOKUP(A279,[5]Analysis!$A$3:$BJ$543,62,FALSE)</f>
        <v>0.38158009247456304</v>
      </c>
      <c r="BA279" s="2">
        <f>285.56/3</f>
        <v>95.186666666666667</v>
      </c>
      <c r="BB279" s="2"/>
      <c r="BC279" s="2" t="str">
        <f>VLOOKUP(A279,'[6]FGD status - Jun 2020'!$I$2:$M$449,5,FALSE)</f>
        <v>Bid Opened</v>
      </c>
      <c r="BD279" s="2">
        <f>VLOOKUP(A279,'[1]daily coal, energy reqd'!$C$2:$L$599,10,FALSE)</f>
        <v>0</v>
      </c>
      <c r="BE279" s="2" t="str">
        <f>VLOOKUP(A279,'[1]daily coal, energy reqd'!$C$2:$M$599,11,FALSE)</f>
        <v>Y</v>
      </c>
      <c r="BF279" s="2">
        <f t="shared" si="233"/>
        <v>329.12807947494059</v>
      </c>
      <c r="BG279" s="2">
        <f t="shared" si="234"/>
        <v>0</v>
      </c>
      <c r="BH279" s="2">
        <f t="shared" si="260"/>
        <v>31.5</v>
      </c>
      <c r="BI279" s="2">
        <f t="shared" si="261"/>
        <v>16.8</v>
      </c>
      <c r="BK279">
        <f t="shared" si="235"/>
        <v>169.3490119547879</v>
      </c>
      <c r="BL279">
        <f>VLOOKUP(A279,'[11]Daily coal vs energy req.2'!$C$2:$P$599,14,FALSE)</f>
        <v>1.1399999999999999</v>
      </c>
      <c r="BM279">
        <f>VLOOKUP(A279,'[11]Daily coal vs energy req.2'!$C$2:$R$599,16,FALSE)</f>
        <v>1.05</v>
      </c>
      <c r="BN279">
        <f>BL279*H279</f>
        <v>239.39999999999998</v>
      </c>
      <c r="BO279">
        <f>BM279*H279</f>
        <v>220.5</v>
      </c>
      <c r="BP279" s="2" t="str">
        <f>VLOOKUP(A279,'[7]Table 2'!$J$2:$N$449,5,FALSE)</f>
        <v>Bid opened</v>
      </c>
      <c r="BR279">
        <f t="shared" si="241"/>
        <v>182.15965517484875</v>
      </c>
      <c r="BT279">
        <f>(X279*I279*365*[5]Analysis!BK279)/10^4</f>
        <v>180.13216583949608</v>
      </c>
      <c r="BV279">
        <f>(X279*I279*365*[5]Analysis!BL279)/10^4</f>
        <v>2.0274893353526693</v>
      </c>
      <c r="BX279">
        <f t="shared" si="243"/>
        <v>1340594.6673409066</v>
      </c>
      <c r="BZ279">
        <f t="shared" si="245"/>
        <v>2932390.2448767982</v>
      </c>
      <c r="CB279">
        <f t="shared" si="247"/>
        <v>-353467.29954449518</v>
      </c>
      <c r="CD279">
        <f t="shared" si="249"/>
        <v>0</v>
      </c>
      <c r="CF279">
        <f t="shared" si="251"/>
        <v>2648930.8265509275</v>
      </c>
      <c r="CH279">
        <f t="shared" si="253"/>
        <v>1028533.3832829242</v>
      </c>
      <c r="CJ279">
        <f t="shared" si="255"/>
        <v>-513733.09828975779</v>
      </c>
      <c r="CL279">
        <f t="shared" si="257"/>
        <v>1071524.7092484683</v>
      </c>
    </row>
    <row r="280" spans="1:91" x14ac:dyDescent="0.2">
      <c r="A280" s="2" t="s">
        <v>451</v>
      </c>
      <c r="B280" s="2" t="str">
        <f t="shared" si="259"/>
        <v>ANPARA TPS</v>
      </c>
      <c r="C280" s="2" t="str">
        <f>VLOOKUP($A280,'[1]daily coal, energy reqd'!$C$2:$T$599,17,FALSE)</f>
        <v>Uttar Pradesh</v>
      </c>
      <c r="D280" s="2" t="str">
        <f>VLOOKUP(C280,'Target PLF'!$I$2:$J$19,2,FALSE)</f>
        <v>NR</v>
      </c>
      <c r="E280" s="2" t="str">
        <f>VLOOKUP(A280,[2]Ownership!$C$2:$D$666,2,FALSE)</f>
        <v>STATE SECTOR</v>
      </c>
      <c r="F280" s="2" t="s">
        <v>548</v>
      </c>
      <c r="G280" s="12">
        <v>33.2539356605065</v>
      </c>
      <c r="H280" s="2">
        <v>210</v>
      </c>
      <c r="I280" s="2">
        <f>VLOOKUP(A280,'[3]Calculated coal req (reg.)'!$A$2:$I$599,9,FALSE)</f>
        <v>3.8906037332132701</v>
      </c>
      <c r="J280" s="2"/>
      <c r="K280" s="11">
        <v>0.77194518516136312</v>
      </c>
      <c r="L280" s="3">
        <f>VLOOKUP(F280,'Target PLF'!$A$2:$B$11,2,FALSE)</f>
        <v>0.6</v>
      </c>
      <c r="M280" s="3">
        <f t="shared" si="236"/>
        <v>-0.17194518516136315</v>
      </c>
      <c r="N280" s="2" t="str">
        <f t="shared" si="215"/>
        <v>0.25</v>
      </c>
      <c r="O280" s="2">
        <f t="shared" si="210"/>
        <v>14.120627106752137</v>
      </c>
      <c r="P280" s="2">
        <f t="shared" si="216"/>
        <v>1082346.0677325511</v>
      </c>
      <c r="Q280" s="2">
        <f t="shared" si="217"/>
        <v>15.206627162046543</v>
      </c>
      <c r="R280" s="2">
        <f t="shared" si="218"/>
        <v>3.024</v>
      </c>
      <c r="S280" s="2"/>
      <c r="T280" s="2" t="str">
        <f>VLOOKUP(A280,'[4]CEA vs MERIT comp. &amp; NPA marker'!$C$2:$K$735,9,FALSE)</f>
        <v>Contracted</v>
      </c>
      <c r="U280" s="3">
        <f>VLOOKUP(B280,'[8]Import-Domestic share'!$A$208:$F$406,6,FALSE)</f>
        <v>0</v>
      </c>
      <c r="V280" s="3">
        <f t="shared" si="220"/>
        <v>0</v>
      </c>
      <c r="W280" s="2">
        <f t="shared" si="221"/>
        <v>3279.1413228097194</v>
      </c>
      <c r="X280" s="2">
        <f t="shared" si="222"/>
        <v>3222.3011966167055</v>
      </c>
      <c r="Y280" s="6">
        <f t="shared" si="223"/>
        <v>0.2622637804652812</v>
      </c>
      <c r="Z280" s="2"/>
      <c r="AA280" s="2">
        <f t="shared" si="225"/>
        <v>1019327.6193857368</v>
      </c>
      <c r="AB280" s="2" t="s">
        <v>576</v>
      </c>
      <c r="AC280" s="12">
        <f>VLOOKUP(B280,[9]Sheet1!$A$2:$B$137,2,FALSE)</f>
        <v>4489.130228333277</v>
      </c>
      <c r="AD280" s="12">
        <f t="shared" si="226"/>
        <v>942717.34794998821</v>
      </c>
      <c r="AE280" s="2" t="s">
        <v>589</v>
      </c>
      <c r="AF280" s="7">
        <f>VLOOKUP($B280,'[9]Subsidiary wise dispatch'!$A$3:$R$138,11,FALSE)*$H280*$O280*365</f>
        <v>0</v>
      </c>
      <c r="AG280" s="7">
        <f>VLOOKUP($B280,'[9]Subsidiary wise dispatch'!$A$3:$R$138,12,FALSE)*$H280*$O280*365</f>
        <v>0</v>
      </c>
      <c r="AH280" s="7">
        <f>VLOOKUP($B280,'[9]Subsidiary wise dispatch'!$A$3:$R$138,13,FALSE)*$H280*$O280*365</f>
        <v>0</v>
      </c>
      <c r="AI280" s="7">
        <f>VLOOKUP($B280,'[9]Subsidiary wise dispatch'!$A$3:$R$138,14,FALSE)*$H280*$O280*365</f>
        <v>0</v>
      </c>
      <c r="AJ280" s="7">
        <f>VLOOKUP($B280,'[9]Subsidiary wise dispatch'!$A$3:$R$138,15,FALSE)*$H280*$O280*365</f>
        <v>1082346.0677325511</v>
      </c>
      <c r="AK280" s="7">
        <f>VLOOKUP($B280,'[9]Subsidiary wise dispatch'!$A$3:$R$138,16,FALSE)*$H280*$O280*365</f>
        <v>0</v>
      </c>
      <c r="AL280" s="7">
        <f>VLOOKUP($B280,'[9]Subsidiary wise dispatch'!$A$3:$R$138,17,FALSE)*$H280*$O280*365</f>
        <v>0</v>
      </c>
      <c r="AM280" s="7">
        <f>VLOOKUP($B280,'[9]Subsidiary wise dispatch'!$A$3:$R$138,18,FALSE)*$H280*$O280*365</f>
        <v>0</v>
      </c>
      <c r="AN280" s="15">
        <f t="shared" si="227"/>
        <v>1082346.0677325511</v>
      </c>
      <c r="AO280" s="6">
        <v>9.3255770253987805E-2</v>
      </c>
      <c r="AP280" s="11">
        <f t="shared" si="228"/>
        <v>0.36282124789384396</v>
      </c>
      <c r="AQ280" s="11"/>
      <c r="AR280" s="3">
        <f>VLOOKUP(A280,[10]Sheet1!$A$2:$L$542,12,FALSE)</f>
        <v>1.71796052631579</v>
      </c>
      <c r="AS280" s="3">
        <f t="shared" si="237"/>
        <v>2.086983220162864</v>
      </c>
      <c r="AT280" s="2"/>
      <c r="AU280" s="2"/>
      <c r="AV280" s="88">
        <f t="shared" si="239"/>
        <v>-0.12600487058995014</v>
      </c>
      <c r="AW280" s="32">
        <f t="shared" si="240"/>
        <v>6.0376561427320424E-2</v>
      </c>
      <c r="AX280" s="12">
        <f t="shared" si="231"/>
        <v>296.36630182444679</v>
      </c>
      <c r="AY280" s="12">
        <f t="shared" si="232"/>
        <v>0</v>
      </c>
      <c r="AZ280" s="3">
        <f>VLOOKUP(A280,[5]Analysis!$A$3:$BJ$543,62,FALSE)</f>
        <v>0.38158009247456304</v>
      </c>
      <c r="BA280" s="2">
        <f>285.56/3</f>
        <v>95.186666666666667</v>
      </c>
      <c r="BB280" s="2"/>
      <c r="BC280" s="2" t="str">
        <f>VLOOKUP(A280,'[6]FGD status - Jun 2020'!$I$2:$M$449,5,FALSE)</f>
        <v>Bid Opened</v>
      </c>
      <c r="BD280" s="2">
        <f>VLOOKUP(A280,'[1]daily coal, energy reqd'!$C$2:$L$599,10,FALSE)</f>
        <v>0</v>
      </c>
      <c r="BE280" s="2" t="str">
        <f>VLOOKUP(A280,'[1]daily coal, energy reqd'!$C$2:$M$599,11,FALSE)</f>
        <v>Y</v>
      </c>
      <c r="BF280" s="2">
        <f t="shared" si="233"/>
        <v>315.48189819988551</v>
      </c>
      <c r="BG280" s="2">
        <f t="shared" si="234"/>
        <v>0</v>
      </c>
      <c r="BH280" s="2">
        <f t="shared" si="260"/>
        <v>31.5</v>
      </c>
      <c r="BI280" s="2">
        <f t="shared" si="261"/>
        <v>16.8</v>
      </c>
      <c r="BK280">
        <f t="shared" si="235"/>
        <v>162.10848888388625</v>
      </c>
      <c r="BL280">
        <f>VLOOKUP(A280,'[11]Daily coal vs energy req.2'!$C$2:$P$599,14,FALSE)</f>
        <v>1.17</v>
      </c>
      <c r="BM280">
        <f>VLOOKUP(A280,'[11]Daily coal vs energy req.2'!$C$2:$R$599,16,FALSE)</f>
        <v>1.1100000000000001</v>
      </c>
      <c r="BN280">
        <f>BL280*H280</f>
        <v>245.7</v>
      </c>
      <c r="BO280">
        <f>BM280*H280</f>
        <v>233.10000000000002</v>
      </c>
      <c r="BP280" s="2" t="str">
        <f>VLOOKUP(A280,'[7]Table 2'!$J$2:$N$449,5,FALSE)</f>
        <v>Bid opened</v>
      </c>
      <c r="BR280">
        <f t="shared" si="241"/>
        <v>174.60702192798908</v>
      </c>
      <c r="BT280">
        <f>(X280*I280*365*[5]Analysis!BK280)/10^4</f>
        <v>172.6635955721537</v>
      </c>
      <c r="BV280">
        <f>(X280*I280*365*[5]Analysis!BL280)/10^4</f>
        <v>1.9434263558353897</v>
      </c>
      <c r="BX280">
        <f t="shared" si="243"/>
        <v>1285011.4491721904</v>
      </c>
      <c r="BZ280">
        <f t="shared" si="245"/>
        <v>2807015.7949415022</v>
      </c>
      <c r="CB280">
        <f t="shared" si="247"/>
        <v>-323888.42122366099</v>
      </c>
      <c r="CD280">
        <f t="shared" si="249"/>
        <v>0</v>
      </c>
      <c r="CF280">
        <f t="shared" si="251"/>
        <v>2535675.6941974829</v>
      </c>
      <c r="CH280">
        <f t="shared" si="253"/>
        <v>957978.55855153513</v>
      </c>
      <c r="CJ280">
        <f t="shared" si="255"/>
        <v>-491768.42127442418</v>
      </c>
      <c r="CL280">
        <f t="shared" si="257"/>
        <v>1025711.6319308041</v>
      </c>
    </row>
    <row r="281" spans="1:91" x14ac:dyDescent="0.2">
      <c r="A281" s="2" t="s">
        <v>445</v>
      </c>
      <c r="B281" s="2" t="str">
        <f t="shared" si="259"/>
        <v>ANPARA TPS</v>
      </c>
      <c r="C281" s="2" t="str">
        <f>VLOOKUP($A281,'[1]daily coal, energy reqd'!$C$2:$T$599,17,FALSE)</f>
        <v>Uttar Pradesh</v>
      </c>
      <c r="D281" s="2" t="str">
        <f>VLOOKUP(C281,'Target PLF'!$I$2:$J$19,2,FALSE)</f>
        <v>NR</v>
      </c>
      <c r="E281" s="2" t="str">
        <f>VLOOKUP(A281,[2]Ownership!$C$2:$D$666,2,FALSE)</f>
        <v>STATE SECTOR</v>
      </c>
      <c r="F281" s="2" t="s">
        <v>548</v>
      </c>
      <c r="G281" s="12">
        <v>32.175222450376403</v>
      </c>
      <c r="H281" s="2">
        <v>210</v>
      </c>
      <c r="I281" s="2">
        <f>VLOOKUP(A281,'[3]Calculated coal req (reg.)'!$A$2:$I$599,9,FALSE)</f>
        <v>4.1734557606334999</v>
      </c>
      <c r="J281" s="2"/>
      <c r="K281" s="11">
        <v>0.82806661917331348</v>
      </c>
      <c r="L281" s="3">
        <f>VLOOKUP(F281,'Target PLF'!$A$2:$B$11,2,FALSE)</f>
        <v>0.6</v>
      </c>
      <c r="M281" s="3">
        <f t="shared" si="236"/>
        <v>-0.2280666191733135</v>
      </c>
      <c r="N281" s="2" t="str">
        <f t="shared" si="215"/>
        <v>0.25</v>
      </c>
      <c r="O281" s="2">
        <f t="shared" si="210"/>
        <v>14.867293213659734</v>
      </c>
      <c r="P281" s="2">
        <f t="shared" si="216"/>
        <v>1139578.0248270186</v>
      </c>
      <c r="Q281" s="2">
        <f t="shared" si="217"/>
        <v>15.172458921115672</v>
      </c>
      <c r="R281" s="2">
        <f t="shared" si="218"/>
        <v>3.024</v>
      </c>
      <c r="S281" s="2"/>
      <c r="T281" s="2" t="str">
        <f>VLOOKUP(A281,'[4]CEA vs MERIT comp. &amp; NPA marker'!$C$2:$K$735,9,FALSE)</f>
        <v>Contracted</v>
      </c>
      <c r="U281" s="3">
        <f>VLOOKUP(B281,'[8]Import-Domestic share'!$A$208:$F$406,6,FALSE)</f>
        <v>0</v>
      </c>
      <c r="V281" s="3">
        <f t="shared" si="220"/>
        <v>0</v>
      </c>
      <c r="W281" s="2">
        <f t="shared" si="221"/>
        <v>3270.8993746153315</v>
      </c>
      <c r="X281" s="2">
        <f t="shared" si="222"/>
        <v>3195.5071186352661</v>
      </c>
      <c r="Y281" s="6">
        <f t="shared" si="223"/>
        <v>0.26292462760372715</v>
      </c>
      <c r="Z281" s="2"/>
      <c r="AA281" s="2">
        <f t="shared" si="225"/>
        <v>1084341.960165923</v>
      </c>
      <c r="AB281" s="2" t="s">
        <v>576</v>
      </c>
      <c r="AC281" s="12">
        <f>VLOOKUP(B281,[9]Sheet1!$A$2:$B$137,2,FALSE)</f>
        <v>4489.130228333277</v>
      </c>
      <c r="AD281" s="12">
        <f t="shared" si="226"/>
        <v>942717.34794998821</v>
      </c>
      <c r="AE281" s="2" t="s">
        <v>589</v>
      </c>
      <c r="AF281" s="7">
        <f>VLOOKUP($B281,'[9]Subsidiary wise dispatch'!$A$3:$R$138,11,FALSE)*$H281*$O281*365</f>
        <v>0</v>
      </c>
      <c r="AG281" s="7">
        <f>VLOOKUP($B281,'[9]Subsidiary wise dispatch'!$A$3:$R$138,12,FALSE)*$H281*$O281*365</f>
        <v>0</v>
      </c>
      <c r="AH281" s="7">
        <f>VLOOKUP($B281,'[9]Subsidiary wise dispatch'!$A$3:$R$138,13,FALSE)*$H281*$O281*365</f>
        <v>0</v>
      </c>
      <c r="AI281" s="7">
        <f>VLOOKUP($B281,'[9]Subsidiary wise dispatch'!$A$3:$R$138,14,FALSE)*$H281*$O281*365</f>
        <v>0</v>
      </c>
      <c r="AJ281" s="7">
        <f>VLOOKUP($B281,'[9]Subsidiary wise dispatch'!$A$3:$R$138,15,FALSE)*$H281*$O281*365</f>
        <v>1139578.0248270186</v>
      </c>
      <c r="AK281" s="7">
        <f>VLOOKUP($B281,'[9]Subsidiary wise dispatch'!$A$3:$R$138,16,FALSE)*$H281*$O281*365</f>
        <v>0</v>
      </c>
      <c r="AL281" s="7">
        <f>VLOOKUP($B281,'[9]Subsidiary wise dispatch'!$A$3:$R$138,17,FALSE)*$H281*$O281*365</f>
        <v>0</v>
      </c>
      <c r="AM281" s="7">
        <f>VLOOKUP($B281,'[9]Subsidiary wise dispatch'!$A$3:$R$138,18,FALSE)*$H281*$O281*365</f>
        <v>0</v>
      </c>
      <c r="AN281" s="15">
        <f t="shared" si="227"/>
        <v>1139578.0248270186</v>
      </c>
      <c r="AO281" s="6">
        <v>9.3255770253987805E-2</v>
      </c>
      <c r="AP281" s="11">
        <f t="shared" si="228"/>
        <v>0.38919883157881957</v>
      </c>
      <c r="AQ281" s="11"/>
      <c r="AR281" s="3">
        <f>VLOOKUP(A281,[10]Sheet1!$A$2:$L$542,12,FALSE)</f>
        <v>1.71796052631579</v>
      </c>
      <c r="AS281" s="3">
        <f t="shared" si="237"/>
        <v>2.0762494952053583</v>
      </c>
      <c r="AT281" s="2"/>
      <c r="AU281" s="2"/>
      <c r="AV281" s="88">
        <f t="shared" si="239"/>
        <v>-0.16713177986258759</v>
      </c>
      <c r="AW281" s="32">
        <f t="shared" si="240"/>
        <v>8.0496963514520625E-2</v>
      </c>
      <c r="AX281" s="12">
        <f t="shared" si="231"/>
        <v>316.27744269411772</v>
      </c>
      <c r="AY281" s="12">
        <f t="shared" si="232"/>
        <v>0</v>
      </c>
      <c r="AZ281" s="3">
        <f>VLOOKUP(A281,[5]Analysis!$A$3:$BJ$543,62,FALSE)</f>
        <v>0.38158009247456304</v>
      </c>
      <c r="BA281" s="2">
        <f>285.56/3</f>
        <v>95.186666666666667</v>
      </c>
      <c r="BB281" s="2"/>
      <c r="BC281" s="2" t="str">
        <f>VLOOKUP(A281,'[6]FGD status - Jun 2020'!$I$2:$M$449,5,FALSE)</f>
        <v>Bid Opened</v>
      </c>
      <c r="BD281" s="2">
        <f>VLOOKUP(A281,'[1]daily coal, energy reqd'!$C$2:$L$599,10,FALSE)</f>
        <v>0</v>
      </c>
      <c r="BE281" s="2" t="str">
        <f>VLOOKUP(A281,'[1]daily coal, energy reqd'!$C$2:$M$599,11,FALSE)</f>
        <v>Y</v>
      </c>
      <c r="BF281" s="2">
        <f t="shared" si="233"/>
        <v>335.60383667135312</v>
      </c>
      <c r="BG281" s="2">
        <f t="shared" si="234"/>
        <v>0</v>
      </c>
      <c r="BH281" s="2">
        <f t="shared" si="260"/>
        <v>31.5</v>
      </c>
      <c r="BI281" s="2">
        <f t="shared" si="261"/>
        <v>16.8</v>
      </c>
      <c r="BK281">
        <f t="shared" si="235"/>
        <v>173.89399002639584</v>
      </c>
      <c r="BL281">
        <f>VLOOKUP(A281,'[11]Daily coal vs energy req.2'!$C$2:$P$599,14,FALSE)</f>
        <v>1.17</v>
      </c>
      <c r="BM281">
        <f>VLOOKUP(A281,'[11]Daily coal vs energy req.2'!$C$2:$R$599,16,FALSE)</f>
        <v>1.05</v>
      </c>
      <c r="BN281">
        <f>BL281*H281</f>
        <v>245.7</v>
      </c>
      <c r="BO281">
        <f>BM281*H281</f>
        <v>220.5</v>
      </c>
      <c r="BP281" s="2" t="str">
        <f>VLOOKUP(A281,'[7]Table 2'!$J$2:$N$449,5,FALSE)</f>
        <v>Bid opened</v>
      </c>
      <c r="BR281">
        <f t="shared" si="241"/>
        <v>185.74373617995906</v>
      </c>
      <c r="BT281">
        <f>(X281*I281*365*[5]Analysis!BK281)/10^4</f>
        <v>183.67635499254985</v>
      </c>
      <c r="BV281">
        <f>(X281*I281*365*[5]Analysis!BL281)/10^4</f>
        <v>2.0673811874091861</v>
      </c>
      <c r="BX281">
        <f t="shared" si="243"/>
        <v>1366971.5282224051</v>
      </c>
      <c r="BZ281">
        <f t="shared" si="245"/>
        <v>3011089.5487966831</v>
      </c>
      <c r="CB281">
        <f t="shared" si="247"/>
        <v>-372694.55920742411</v>
      </c>
      <c r="CD281">
        <f t="shared" si="249"/>
        <v>0</v>
      </c>
      <c r="CF281">
        <f t="shared" si="251"/>
        <v>2720022.6645304398</v>
      </c>
      <c r="CH281">
        <f t="shared" si="253"/>
        <v>994290.08779407234</v>
      </c>
      <c r="CJ281">
        <f t="shared" si="255"/>
        <v>-527520.63468831382</v>
      </c>
      <c r="CL281">
        <f t="shared" si="257"/>
        <v>1100282.2216219124</v>
      </c>
    </row>
    <row r="282" spans="1:91" x14ac:dyDescent="0.2">
      <c r="A282" s="2" t="s">
        <v>302</v>
      </c>
      <c r="B282" s="2" t="str">
        <f t="shared" si="259"/>
        <v>BAKRESWAR TPS</v>
      </c>
      <c r="C282" s="2" t="str">
        <f>VLOOKUP($A282,'[1]daily coal, energy reqd'!$C$2:$T$599,17,FALSE)</f>
        <v>West Bengal</v>
      </c>
      <c r="D282" s="2" t="str">
        <f>VLOOKUP(C282,'Target PLF'!$I$2:$J$19,2,FALSE)</f>
        <v>ER</v>
      </c>
      <c r="E282" s="2" t="str">
        <f>VLOOKUP(A282,[2]Ownership!$C$2:$D$666,2,FALSE)</f>
        <v>STATE SECTOR</v>
      </c>
      <c r="F282" s="2" t="s">
        <v>544</v>
      </c>
      <c r="G282" s="12">
        <v>10.924024640657001</v>
      </c>
      <c r="H282" s="2">
        <v>210</v>
      </c>
      <c r="I282" s="2">
        <f>VLOOKUP(A282,'[3]Calculated coal req (reg.)'!$A$2:$I$599,9,FALSE)</f>
        <v>3.9706256225982401</v>
      </c>
      <c r="J282" s="2"/>
      <c r="K282" s="11">
        <v>0.78782254416631747</v>
      </c>
      <c r="L282" s="3">
        <f>VLOOKUP(F282,'Target PLF'!$A$2:$B$11,2,FALSE)</f>
        <v>0.8</v>
      </c>
      <c r="M282" s="3">
        <f t="shared" si="236"/>
        <v>1.2177455833682571E-2</v>
      </c>
      <c r="N282" s="2" t="str">
        <f t="shared" si="215"/>
        <v>0.15</v>
      </c>
      <c r="O282" s="2">
        <f t="shared" si="210"/>
        <v>13.663143334242035</v>
      </c>
      <c r="P282" s="2">
        <f t="shared" si="216"/>
        <v>1047279.9365696521</v>
      </c>
      <c r="Q282" s="2">
        <f t="shared" si="217"/>
        <v>14.52823693049281</v>
      </c>
      <c r="R282" s="2">
        <f t="shared" si="218"/>
        <v>4.032</v>
      </c>
      <c r="S282" s="2"/>
      <c r="T282" s="2" t="str">
        <f>VLOOKUP(A282,'[4]CEA vs MERIT comp. &amp; NPA marker'!$C$2:$K$735,9,FALSE)</f>
        <v>Contracted</v>
      </c>
      <c r="U282" s="3">
        <f>VLOOKUP(B282,'[8]Import-Domestic share'!$A$208:$F$406,6,FALSE)</f>
        <v>6.7675089959530303E-4</v>
      </c>
      <c r="V282" s="3">
        <f t="shared" si="220"/>
        <v>708.74763920162377</v>
      </c>
      <c r="W282" s="2">
        <f t="shared" si="221"/>
        <v>3042.5671487359705</v>
      </c>
      <c r="X282" s="2">
        <f t="shared" si="222"/>
        <v>3046.5926649238581</v>
      </c>
      <c r="Y282" s="6">
        <f t="shared" si="223"/>
        <v>0.282656046016038</v>
      </c>
      <c r="Z282" s="2"/>
      <c r="AA282" s="2">
        <f t="shared" si="225"/>
        <v>794473.07133736613</v>
      </c>
      <c r="AB282" s="2" t="s">
        <v>576</v>
      </c>
      <c r="AC282" s="12">
        <f>VLOOKUP(B282,[9]Sheet1!$A$2:$B$137,2,FALSE)</f>
        <v>5557.5965462998529</v>
      </c>
      <c r="AD282" s="12">
        <f t="shared" si="226"/>
        <v>1167095.2747229692</v>
      </c>
      <c r="AE282" s="2"/>
      <c r="AF282" s="7">
        <f>VLOOKUP($B282,'[9]Subsidiary wise dispatch'!$A$3:$R$138,11,FALSE)*$H282*$O282*365</f>
        <v>65588.81415593448</v>
      </c>
      <c r="AG282" s="7">
        <f>VLOOKUP($B282,'[9]Subsidiary wise dispatch'!$A$3:$R$138,12,FALSE)*$H282*$O282*365</f>
        <v>25160.151196790164</v>
      </c>
      <c r="AH282" s="7">
        <f>VLOOKUP($B282,'[9]Subsidiary wise dispatch'!$A$3:$R$138,13,FALSE)*$H282*$O282*365</f>
        <v>832941.26835479762</v>
      </c>
      <c r="AI282" s="7">
        <f>VLOOKUP($B282,'[9]Subsidiary wise dispatch'!$A$3:$R$138,14,FALSE)*$H282*$O282*365</f>
        <v>123589.70286212978</v>
      </c>
      <c r="AJ282" s="7">
        <f>VLOOKUP($B282,'[9]Subsidiary wise dispatch'!$A$3:$R$138,15,FALSE)*$H282*$O282*365</f>
        <v>0</v>
      </c>
      <c r="AK282" s="7">
        <f>VLOOKUP($B282,'[9]Subsidiary wise dispatch'!$A$3:$R$138,16,FALSE)*$H282*$O282*365</f>
        <v>0</v>
      </c>
      <c r="AL282" s="7">
        <f>VLOOKUP($B282,'[9]Subsidiary wise dispatch'!$A$3:$R$138,17,FALSE)*$H282*$O282*365</f>
        <v>0</v>
      </c>
      <c r="AM282" s="7">
        <f>VLOOKUP($B282,'[9]Subsidiary wise dispatch'!$A$3:$R$138,18,FALSE)*$H282*$O282*365</f>
        <v>0</v>
      </c>
      <c r="AN282" s="15">
        <f t="shared" si="227"/>
        <v>1047279.9365696521</v>
      </c>
      <c r="AO282" s="6">
        <v>9.8262750849406444E-2</v>
      </c>
      <c r="AP282" s="11">
        <f t="shared" si="228"/>
        <v>0.39016459626964023</v>
      </c>
      <c r="AQ282" s="11"/>
      <c r="AR282" s="3">
        <f>VLOOKUP(A282,[10]Sheet1!$A$2:$L$542,12,FALSE)</f>
        <v>2.6019247787610902</v>
      </c>
      <c r="AS282" s="3">
        <f t="shared" si="237"/>
        <v>2.5267421912839327</v>
      </c>
      <c r="AT282" s="2"/>
      <c r="AU282" s="2"/>
      <c r="AV282" s="88">
        <f t="shared" si="239"/>
        <v>8.9238831840392618E-3</v>
      </c>
      <c r="AW282" s="32">
        <f t="shared" si="240"/>
        <v>3.5317743198425406E-3</v>
      </c>
      <c r="AX282" s="12">
        <f t="shared" si="231"/>
        <v>366.19527595403827</v>
      </c>
      <c r="AY282" s="12">
        <f t="shared" si="232"/>
        <v>0</v>
      </c>
      <c r="AZ282" s="3">
        <f>VLOOKUP(A282,[5]Analysis!$A$3:$BJ$543,62,FALSE)</f>
        <v>0.70364524917702587</v>
      </c>
      <c r="BA282" s="2"/>
      <c r="BB282" s="2"/>
      <c r="BC282" s="2" t="str">
        <f>VLOOKUP(A282,'[6]FGD status - Jun 2020'!$I$2:$M$449,5,FALSE)</f>
        <v>BID opened</v>
      </c>
      <c r="BD282" s="2" t="str">
        <f>VLOOKUP(A282,'[1]daily coal, energy reqd'!$C$2:$L$599,10,FALSE)</f>
        <v>Y</v>
      </c>
      <c r="BE282" s="2"/>
      <c r="BF282" s="2">
        <f t="shared" si="233"/>
        <v>246.00425983303512</v>
      </c>
      <c r="BG282" s="2">
        <f t="shared" si="234"/>
        <v>0</v>
      </c>
      <c r="BH282" s="2">
        <f t="shared" si="260"/>
        <v>73.5</v>
      </c>
      <c r="BI282" s="2">
        <f t="shared" si="261"/>
        <v>16.8</v>
      </c>
      <c r="BK282">
        <f t="shared" si="235"/>
        <v>165.44273427492666</v>
      </c>
      <c r="BL282">
        <f>VLOOKUP(A282,'[11]Daily coal vs energy req.2'!$C$2:$P$599,14,FALSE)</f>
        <v>1.05</v>
      </c>
      <c r="BM282">
        <f>VLOOKUP(A282,'[11]Daily coal vs energy req.2'!$C$2:$R$599,16,FALSE)</f>
        <v>0.95</v>
      </c>
      <c r="BN282">
        <f>BL282*H282</f>
        <v>220.5</v>
      </c>
      <c r="BO282">
        <f>BM282*H282</f>
        <v>199.5</v>
      </c>
      <c r="BP282" s="2" t="str">
        <f>VLOOKUP(A282,'[7]Table 2'!$J$2:$N$449,5,FALSE)</f>
        <v>Bid opened</v>
      </c>
      <c r="BR282">
        <f t="shared" si="241"/>
        <v>310.68476484879159</v>
      </c>
      <c r="BT282">
        <f>(X282*I282*365*[5]Analysis!BK282)/10^4</f>
        <v>266.11262237500188</v>
      </c>
      <c r="BV282">
        <f>(X282*I282*365*[5]Analysis!BL282)/10^4</f>
        <v>44.572142473789668</v>
      </c>
      <c r="BX282">
        <f t="shared" si="243"/>
        <v>1239930.086939069</v>
      </c>
      <c r="BZ282">
        <f t="shared" si="245"/>
        <v>5282686.6278940914</v>
      </c>
      <c r="CB282">
        <f t="shared" si="247"/>
        <v>-337348.90573650127</v>
      </c>
      <c r="CD282">
        <f t="shared" si="249"/>
        <v>0</v>
      </c>
      <c r="CF282">
        <f t="shared" si="251"/>
        <v>2587829.4404618558</v>
      </c>
      <c r="CH282">
        <f t="shared" si="253"/>
        <v>321171.75829127582</v>
      </c>
      <c r="CJ282">
        <f t="shared" si="255"/>
        <v>-501883.10807079496</v>
      </c>
      <c r="CL282">
        <f t="shared" si="257"/>
        <v>1103012.4808965088</v>
      </c>
    </row>
    <row r="283" spans="1:91" x14ac:dyDescent="0.2">
      <c r="A283" s="2" t="s">
        <v>373</v>
      </c>
      <c r="B283" s="2" t="str">
        <f t="shared" si="259"/>
        <v>BAKRESWAR TPS</v>
      </c>
      <c r="C283" s="2" t="str">
        <f>VLOOKUP($A283,'[1]daily coal, energy reqd'!$C$2:$T$599,17,FALSE)</f>
        <v>West Bengal</v>
      </c>
      <c r="D283" s="2" t="str">
        <f>VLOOKUP(C283,'Target PLF'!$I$2:$J$19,2,FALSE)</f>
        <v>ER</v>
      </c>
      <c r="E283" s="2" t="str">
        <f>VLOOKUP(A283,[2]Ownership!$C$2:$D$666,2,FALSE)</f>
        <v>STATE SECTOR</v>
      </c>
      <c r="F283" s="2" t="s">
        <v>546</v>
      </c>
      <c r="G283" s="12">
        <v>20.843258042436599</v>
      </c>
      <c r="H283" s="2">
        <v>210</v>
      </c>
      <c r="I283" s="2">
        <f>VLOOKUP(A283,'[3]Calculated coal req (reg.)'!$A$2:$I$599,9,FALSE)</f>
        <v>4.0064306659957198</v>
      </c>
      <c r="J283" s="2"/>
      <c r="K283" s="11">
        <v>0.79492671944359516</v>
      </c>
      <c r="L283" s="3">
        <f>VLOOKUP(F283,'Target PLF'!$A$2:$B$11,2,FALSE)</f>
        <v>0.7</v>
      </c>
      <c r="M283" s="3">
        <f t="shared" si="236"/>
        <v>-9.4926719443595209E-2</v>
      </c>
      <c r="N283" s="2" t="str">
        <f t="shared" si="215"/>
        <v>0.25</v>
      </c>
      <c r="O283" s="2">
        <f t="shared" si="210"/>
        <v>14.04726787412875</v>
      </c>
      <c r="P283" s="2">
        <f t="shared" si="216"/>
        <v>1076723.0825519685</v>
      </c>
      <c r="Q283" s="2">
        <f t="shared" si="217"/>
        <v>14.813518948494178</v>
      </c>
      <c r="R283" s="2">
        <f t="shared" si="218"/>
        <v>3.528</v>
      </c>
      <c r="S283" s="2"/>
      <c r="T283" s="2" t="str">
        <f>VLOOKUP(A283,'[4]CEA vs MERIT comp. &amp; NPA marker'!$C$2:$K$735,9,FALSE)</f>
        <v>Contracted</v>
      </c>
      <c r="U283" s="3">
        <f>VLOOKUP(B283,'[8]Import-Domestic share'!$A$208:$F$406,6,FALSE)</f>
        <v>6.7675089959530303E-4</v>
      </c>
      <c r="V283" s="3">
        <f t="shared" si="220"/>
        <v>728.67331473207241</v>
      </c>
      <c r="W283" s="2">
        <f t="shared" si="221"/>
        <v>3151.4125385539032</v>
      </c>
      <c r="X283" s="2">
        <f t="shared" si="222"/>
        <v>3120.0324989953706</v>
      </c>
      <c r="Y283" s="6">
        <f t="shared" si="223"/>
        <v>0.27289350076478097</v>
      </c>
      <c r="Z283" s="2"/>
      <c r="AA283" s="2">
        <f t="shared" si="225"/>
        <v>820961.13477115589</v>
      </c>
      <c r="AB283" s="2" t="s">
        <v>576</v>
      </c>
      <c r="AC283" s="12">
        <f>VLOOKUP(B283,[9]Sheet1!$A$2:$B$137,2,FALSE)</f>
        <v>5557.5965462998529</v>
      </c>
      <c r="AD283" s="12">
        <f t="shared" si="226"/>
        <v>1167095.2747229692</v>
      </c>
      <c r="AE283" s="2"/>
      <c r="AF283" s="7">
        <f>VLOOKUP($B283,'[9]Subsidiary wise dispatch'!$A$3:$R$138,11,FALSE)*$H283*$O283*365</f>
        <v>67432.772931966829</v>
      </c>
      <c r="AG283" s="7">
        <f>VLOOKUP($B283,'[9]Subsidiary wise dispatch'!$A$3:$R$138,12,FALSE)*$H283*$O283*365</f>
        <v>25867.50171383598</v>
      </c>
      <c r="AH283" s="7">
        <f>VLOOKUP($B283,'[9]Subsidiary wise dispatch'!$A$3:$R$138,13,FALSE)*$H283*$O283*365</f>
        <v>856358.51383282675</v>
      </c>
      <c r="AI283" s="7">
        <f>VLOOKUP($B283,'[9]Subsidiary wise dispatch'!$A$3:$R$138,14,FALSE)*$H283*$O283*365</f>
        <v>127064.29407333917</v>
      </c>
      <c r="AJ283" s="7">
        <f>VLOOKUP($B283,'[9]Subsidiary wise dispatch'!$A$3:$R$138,15,FALSE)*$H283*$O283*365</f>
        <v>0</v>
      </c>
      <c r="AK283" s="7">
        <f>VLOOKUP($B283,'[9]Subsidiary wise dispatch'!$A$3:$R$138,16,FALSE)*$H283*$O283*365</f>
        <v>0</v>
      </c>
      <c r="AL283" s="7">
        <f>VLOOKUP($B283,'[9]Subsidiary wise dispatch'!$A$3:$R$138,17,FALSE)*$H283*$O283*365</f>
        <v>0</v>
      </c>
      <c r="AM283" s="7">
        <f>VLOOKUP($B283,'[9]Subsidiary wise dispatch'!$A$3:$R$138,18,FALSE)*$H283*$O283*365</f>
        <v>0</v>
      </c>
      <c r="AN283" s="15">
        <f t="shared" si="227"/>
        <v>1076723.0825519687</v>
      </c>
      <c r="AO283" s="6">
        <v>9.8262750849406444E-2</v>
      </c>
      <c r="AP283" s="11">
        <f t="shared" si="228"/>
        <v>0.39368289832815895</v>
      </c>
      <c r="AQ283" s="11"/>
      <c r="AR283" s="3">
        <f>VLOOKUP(A283,[10]Sheet1!$A$2:$L$542,12,FALSE)</f>
        <v>2.6019247787610902</v>
      </c>
      <c r="AS283" s="3">
        <f t="shared" si="237"/>
        <v>2.607716737999739</v>
      </c>
      <c r="AT283" s="2"/>
      <c r="AU283" s="2"/>
      <c r="AV283" s="88">
        <f t="shared" si="239"/>
        <v>-6.9564198542655442E-2</v>
      </c>
      <c r="AW283" s="32">
        <f t="shared" si="240"/>
        <v>2.6676286396050429E-2</v>
      </c>
      <c r="AX283" s="12">
        <f t="shared" si="231"/>
        <v>381.33872521836554</v>
      </c>
      <c r="AY283" s="12">
        <f t="shared" si="232"/>
        <v>0</v>
      </c>
      <c r="AZ283" s="3">
        <f>VLOOKUP(A283,[5]Analysis!$A$3:$BJ$543,62,FALSE)</f>
        <v>0.70364524917702587</v>
      </c>
      <c r="BA283" s="2"/>
      <c r="BB283" s="2"/>
      <c r="BC283" s="2" t="str">
        <f>VLOOKUP(A283,'[6]FGD status - Jun 2020'!$I$2:$M$449,5,FALSE)</f>
        <v>BID opened</v>
      </c>
      <c r="BD283" s="2" t="str">
        <f>VLOOKUP(A283,'[1]daily coal, energy reqd'!$C$2:$L$599,10,FALSE)</f>
        <v>Y</v>
      </c>
      <c r="BE283" s="2"/>
      <c r="BF283" s="2">
        <f t="shared" si="233"/>
        <v>254.20614442110681</v>
      </c>
      <c r="BG283" s="2">
        <f t="shared" si="234"/>
        <v>0</v>
      </c>
      <c r="BH283" s="2">
        <f t="shared" si="260"/>
        <v>31.5</v>
      </c>
      <c r="BI283" s="2">
        <f t="shared" si="261"/>
        <v>16.8</v>
      </c>
      <c r="BK283">
        <f t="shared" si="235"/>
        <v>166.93461108315498</v>
      </c>
      <c r="BL283" t="str">
        <f>VLOOKUP(A283,'[11]Daily coal vs energy req.2'!$C$2:$P$599,14,FALSE)</f>
        <v/>
      </c>
      <c r="BM283" t="str">
        <f>VLOOKUP(A283,'[11]Daily coal vs energy req.2'!$C$2:$R$599,16,FALSE)</f>
        <v/>
      </c>
      <c r="BP283" s="2" t="str">
        <f>VLOOKUP(A283,'[7]Table 2'!$J$2:$N$449,5,FALSE)</f>
        <v>Bid opened</v>
      </c>
      <c r="BR283">
        <f t="shared" si="241"/>
        <v>321.0431244409852</v>
      </c>
      <c r="BT283">
        <f>(X283*I283*365*[5]Analysis!BK283)/10^4</f>
        <v>274.98492815389471</v>
      </c>
      <c r="BV283">
        <f>(X283*I283*365*[5]Analysis!BL283)/10^4</f>
        <v>46.058196287090432</v>
      </c>
      <c r="BX283">
        <f t="shared" si="243"/>
        <v>1281269.8729950271</v>
      </c>
      <c r="BZ283">
        <f t="shared" si="245"/>
        <v>5330323.1572335819</v>
      </c>
      <c r="CB283">
        <f t="shared" si="247"/>
        <v>-343460.4123384034</v>
      </c>
      <c r="CD283">
        <f t="shared" si="249"/>
        <v>0</v>
      </c>
      <c r="CF283">
        <f t="shared" si="251"/>
        <v>2611165.1447633817</v>
      </c>
      <c r="CH283">
        <f t="shared" si="253"/>
        <v>618328.08649045345</v>
      </c>
      <c r="CJ283">
        <f t="shared" si="255"/>
        <v>-506408.82975119306</v>
      </c>
      <c r="CL283">
        <f t="shared" si="257"/>
        <v>1112958.875621232</v>
      </c>
    </row>
    <row r="284" spans="1:91" x14ac:dyDescent="0.2">
      <c r="A284" s="2" t="s">
        <v>365</v>
      </c>
      <c r="B284" s="2" t="str">
        <f t="shared" si="259"/>
        <v>BAKRESWAR TPS</v>
      </c>
      <c r="C284" s="2" t="str">
        <f>VLOOKUP($A284,'[1]daily coal, energy reqd'!$C$2:$T$599,17,FALSE)</f>
        <v>West Bengal</v>
      </c>
      <c r="D284" s="2" t="str">
        <f>VLOOKUP(C284,'Target PLF'!$I$2:$J$19,2,FALSE)</f>
        <v>ER</v>
      </c>
      <c r="E284" s="2" t="str">
        <f>VLOOKUP(A284,[2]Ownership!$C$2:$D$666,2,FALSE)</f>
        <v>STATE SECTOR</v>
      </c>
      <c r="F284" s="2" t="s">
        <v>545</v>
      </c>
      <c r="G284" s="12">
        <v>20.008213552361301</v>
      </c>
      <c r="H284" s="2">
        <v>210</v>
      </c>
      <c r="I284" s="2">
        <f>VLOOKUP(A284,'[3]Calculated coal req (reg.)'!$A$2:$I$599,9,FALSE)</f>
        <v>3.7364535695063101</v>
      </c>
      <c r="J284" s="2"/>
      <c r="K284" s="11">
        <v>0.74135983521950599</v>
      </c>
      <c r="L284" s="3">
        <f>VLOOKUP(F284,'Target PLF'!$A$2:$B$11,2,FALSE)</f>
        <v>0.75</v>
      </c>
      <c r="M284" s="3">
        <f t="shared" si="236"/>
        <v>8.6401647804940085E-3</v>
      </c>
      <c r="N284" s="2" t="str">
        <f t="shared" si="215"/>
        <v>0.25</v>
      </c>
      <c r="O284" s="2">
        <f t="shared" si="210"/>
        <v>13.275525709630596</v>
      </c>
      <c r="P284" s="2">
        <f t="shared" si="216"/>
        <v>1017569.0456431851</v>
      </c>
      <c r="Q284" s="2">
        <f t="shared" si="217"/>
        <v>14.787068914271043</v>
      </c>
      <c r="R284" s="2">
        <f t="shared" si="218"/>
        <v>3.78</v>
      </c>
      <c r="S284" s="2"/>
      <c r="T284" s="2" t="str">
        <f>VLOOKUP(A284,'[4]CEA vs MERIT comp. &amp; NPA marker'!$C$2:$K$735,9,FALSE)</f>
        <v>Contracted</v>
      </c>
      <c r="U284" s="3">
        <f>VLOOKUP(B284,'[8]Import-Domestic share'!$A$208:$F$406,6,FALSE)</f>
        <v>6.7675089959530303E-4</v>
      </c>
      <c r="V284" s="3">
        <f t="shared" si="220"/>
        <v>688.6407670393595</v>
      </c>
      <c r="W284" s="2">
        <f t="shared" si="221"/>
        <v>3128.5037902308368</v>
      </c>
      <c r="X284" s="2">
        <f t="shared" si="222"/>
        <v>3131.3599798705222</v>
      </c>
      <c r="Y284" s="6">
        <f t="shared" si="223"/>
        <v>0.2748917877886109</v>
      </c>
      <c r="Z284" s="2"/>
      <c r="AA284" s="2">
        <f t="shared" si="225"/>
        <v>768419.60243137099</v>
      </c>
      <c r="AB284" s="2" t="s">
        <v>576</v>
      </c>
      <c r="AC284" s="12">
        <f>VLOOKUP(B284,[9]Sheet1!$A$2:$B$137,2,FALSE)</f>
        <v>5557.5965462998529</v>
      </c>
      <c r="AD284" s="12">
        <f t="shared" si="226"/>
        <v>1167095.2747229692</v>
      </c>
      <c r="AE284" s="2"/>
      <c r="AF284" s="7">
        <f>VLOOKUP($B284,'[9]Subsidiary wise dispatch'!$A$3:$R$138,11,FALSE)*$H284*$O284*365</f>
        <v>63728.087109289991</v>
      </c>
      <c r="AG284" s="7">
        <f>VLOOKUP($B284,'[9]Subsidiary wise dispatch'!$A$3:$R$138,12,FALSE)*$H284*$O284*365</f>
        <v>24446.368299019996</v>
      </c>
      <c r="AH284" s="7">
        <f>VLOOKUP($B284,'[9]Subsidiary wise dispatch'!$A$3:$R$138,13,FALSE)*$H284*$O284*365</f>
        <v>809311.07521531847</v>
      </c>
      <c r="AI284" s="7">
        <f>VLOOKUP($B284,'[9]Subsidiary wise dispatch'!$A$3:$R$138,14,FALSE)*$H284*$O284*365</f>
        <v>120083.51501955674</v>
      </c>
      <c r="AJ284" s="7">
        <f>VLOOKUP($B284,'[9]Subsidiary wise dispatch'!$A$3:$R$138,15,FALSE)*$H284*$O284*365</f>
        <v>0</v>
      </c>
      <c r="AK284" s="7">
        <f>VLOOKUP($B284,'[9]Subsidiary wise dispatch'!$A$3:$R$138,16,FALSE)*$H284*$O284*365</f>
        <v>0</v>
      </c>
      <c r="AL284" s="7">
        <f>VLOOKUP($B284,'[9]Subsidiary wise dispatch'!$A$3:$R$138,17,FALSE)*$H284*$O284*365</f>
        <v>0</v>
      </c>
      <c r="AM284" s="7">
        <f>VLOOKUP($B284,'[9]Subsidiary wise dispatch'!$A$3:$R$138,18,FALSE)*$H284*$O284*365</f>
        <v>0</v>
      </c>
      <c r="AN284" s="15">
        <f t="shared" si="227"/>
        <v>1017569.0456431853</v>
      </c>
      <c r="AO284" s="6">
        <v>9.8262750849406444E-2</v>
      </c>
      <c r="AP284" s="11">
        <f t="shared" si="228"/>
        <v>0.36715420616077393</v>
      </c>
      <c r="AQ284" s="11"/>
      <c r="AR284" s="3">
        <f>VLOOKUP(A284,[10]Sheet1!$A$2:$L$542,12,FALSE)</f>
        <v>2.6019247787610902</v>
      </c>
      <c r="AS284" s="3">
        <f t="shared" si="237"/>
        <v>2.60269471786268</v>
      </c>
      <c r="AT284" s="2"/>
      <c r="AU284" s="2"/>
      <c r="AV284" s="88">
        <f t="shared" si="239"/>
        <v>6.3316855544416194E-3</v>
      </c>
      <c r="AW284" s="32">
        <f t="shared" si="240"/>
        <v>2.4327423078036475E-3</v>
      </c>
      <c r="AX284" s="12">
        <f t="shared" si="231"/>
        <v>354.95695086460285</v>
      </c>
      <c r="AY284" s="12">
        <f t="shared" si="232"/>
        <v>0</v>
      </c>
      <c r="AZ284" s="3">
        <f>VLOOKUP(A284,[5]Analysis!$A$3:$BJ$543,62,FALSE)</f>
        <v>0.70364524917702587</v>
      </c>
      <c r="BA284" s="2"/>
      <c r="BB284" s="2"/>
      <c r="BC284" s="2" t="str">
        <f>VLOOKUP(A284,'[6]FGD status - Jun 2020'!$I$2:$M$449,5,FALSE)</f>
        <v>BID opened</v>
      </c>
      <c r="BD284" s="2" t="str">
        <f>VLOOKUP(A284,'[1]daily coal, energy reqd'!$C$2:$L$599,10,FALSE)</f>
        <v>Y</v>
      </c>
      <c r="BE284" s="2"/>
      <c r="BF284" s="2">
        <f t="shared" si="233"/>
        <v>237.93694507368986</v>
      </c>
      <c r="BG284" s="2">
        <f t="shared" si="234"/>
        <v>0</v>
      </c>
      <c r="BH284" s="2">
        <f t="shared" si="260"/>
        <v>31.5</v>
      </c>
      <c r="BI284" s="2">
        <f t="shared" si="261"/>
        <v>16.8</v>
      </c>
      <c r="BK284">
        <f t="shared" si="235"/>
        <v>155.68556539609625</v>
      </c>
      <c r="BL284">
        <f>VLOOKUP(A284,'[11]Daily coal vs energy req.2'!$C$2:$P$599,14,FALSE)</f>
        <v>1.1100000000000001</v>
      </c>
      <c r="BM284">
        <f>VLOOKUP(A284,'[11]Daily coal vs energy req.2'!$C$2:$R$599,16,FALSE)</f>
        <v>1.17</v>
      </c>
      <c r="BN284">
        <f>BL284*H284</f>
        <v>233.10000000000002</v>
      </c>
      <c r="BO284">
        <f>BM284*H284</f>
        <v>245.7</v>
      </c>
      <c r="BP284" s="2" t="str">
        <f>VLOOKUP(A284,'[7]Table 2'!$J$2:$N$449,5,FALSE)</f>
        <v>Bid opened</v>
      </c>
      <c r="BR284">
        <f t="shared" si="241"/>
        <v>300.49635676728326</v>
      </c>
      <c r="BT284">
        <f>(X284*I284*365*[5]Analysis!BK284)/10^4</f>
        <v>257.38588614860083</v>
      </c>
      <c r="BV284">
        <f>(X284*I284*365*[5]Analysis!BL284)/10^4</f>
        <v>43.110470618682399</v>
      </c>
      <c r="BX284">
        <f t="shared" si="243"/>
        <v>1199268.5703551332</v>
      </c>
      <c r="BZ284">
        <f t="shared" si="245"/>
        <v>4971134.3207577271</v>
      </c>
      <c r="CB284">
        <f t="shared" si="247"/>
        <v>-298731.21419360221</v>
      </c>
      <c r="CD284">
        <f t="shared" si="249"/>
        <v>0</v>
      </c>
      <c r="CF284">
        <f t="shared" si="251"/>
        <v>2435209.3269775361</v>
      </c>
      <c r="CH284">
        <f t="shared" si="253"/>
        <v>553558.64993328252</v>
      </c>
      <c r="CJ284">
        <f t="shared" si="255"/>
        <v>-472283.99473202816</v>
      </c>
      <c r="CL284">
        <f t="shared" si="257"/>
        <v>1037961.0956015791</v>
      </c>
    </row>
    <row r="285" spans="1:91" x14ac:dyDescent="0.2">
      <c r="A285" s="2" t="s">
        <v>358</v>
      </c>
      <c r="B285" s="2" t="str">
        <f t="shared" si="259"/>
        <v>BAKRESWAR TPS</v>
      </c>
      <c r="C285" s="2" t="str">
        <f>VLOOKUP($A285,'[1]daily coal, energy reqd'!$C$2:$T$599,17,FALSE)</f>
        <v>West Bengal</v>
      </c>
      <c r="D285" s="2" t="str">
        <f>VLOOKUP(C285,'Target PLF'!$I$2:$J$19,2,FALSE)</f>
        <v>ER</v>
      </c>
      <c r="E285" s="2" t="str">
        <f>VLOOKUP(A285,[2]Ownership!$C$2:$D$666,2,FALSE)</f>
        <v>STATE SECTOR</v>
      </c>
      <c r="F285" s="2" t="s">
        <v>545</v>
      </c>
      <c r="G285" s="12">
        <v>19.175906913073199</v>
      </c>
      <c r="H285" s="2">
        <v>210</v>
      </c>
      <c r="I285" s="2">
        <f>VLOOKUP(A285,'[3]Calculated coal req (reg.)'!$A$2:$I$599,9,FALSE)</f>
        <v>4.0090597183819696</v>
      </c>
      <c r="J285" s="2"/>
      <c r="K285" s="11">
        <v>0.79544835682181936</v>
      </c>
      <c r="L285" s="3">
        <f>VLOOKUP(F285,'Target PLF'!$A$2:$B$11,2,FALSE)</f>
        <v>0.75</v>
      </c>
      <c r="M285" s="3">
        <f t="shared" si="236"/>
        <v>-4.5448356821819358E-2</v>
      </c>
      <c r="N285" s="2" t="str">
        <f t="shared" si="215"/>
        <v>0.25</v>
      </c>
      <c r="O285" s="2">
        <f t="shared" si="210"/>
        <v>14.001712224440611</v>
      </c>
      <c r="P285" s="2">
        <f t="shared" si="216"/>
        <v>1073231.2420033729</v>
      </c>
      <c r="Q285" s="2">
        <f t="shared" si="217"/>
        <v>14.760705601471592</v>
      </c>
      <c r="R285" s="2">
        <f t="shared" si="218"/>
        <v>3.78</v>
      </c>
      <c r="S285" s="2"/>
      <c r="T285" s="2" t="str">
        <f>VLOOKUP(A285,'[4]CEA vs MERIT comp. &amp; NPA marker'!$C$2:$K$735,9,FALSE)</f>
        <v>Contracted</v>
      </c>
      <c r="U285" s="3">
        <f>VLOOKUP(B285,'[8]Import-Domestic share'!$A$208:$F$406,6,FALSE)</f>
        <v>6.7675089959530303E-4</v>
      </c>
      <c r="V285" s="3">
        <f t="shared" si="220"/>
        <v>726.3102084995669</v>
      </c>
      <c r="W285" s="2">
        <f t="shared" si="221"/>
        <v>3122.1445205580108</v>
      </c>
      <c r="X285" s="2">
        <f t="shared" si="222"/>
        <v>3107.1206027053936</v>
      </c>
      <c r="Y285" s="6">
        <f t="shared" si="223"/>
        <v>0.2754516949286816</v>
      </c>
      <c r="Z285" s="2"/>
      <c r="AA285" s="2">
        <f t="shared" si="225"/>
        <v>818100.17330518889</v>
      </c>
      <c r="AB285" s="2" t="s">
        <v>576</v>
      </c>
      <c r="AC285" s="12">
        <f>VLOOKUP(B285,[9]Sheet1!$A$2:$B$137,2,FALSE)</f>
        <v>5557.5965462998529</v>
      </c>
      <c r="AD285" s="12">
        <f t="shared" si="226"/>
        <v>1167095.2747229692</v>
      </c>
      <c r="AE285" s="2"/>
      <c r="AF285" s="7">
        <f>VLOOKUP($B285,'[9]Subsidiary wise dispatch'!$A$3:$R$138,11,FALSE)*$H285*$O285*365</f>
        <v>67214.086721330372</v>
      </c>
      <c r="AG285" s="7">
        <f>VLOOKUP($B285,'[9]Subsidiary wise dispatch'!$A$3:$R$138,12,FALSE)*$H285*$O285*365</f>
        <v>25783.612742902838</v>
      </c>
      <c r="AH285" s="7">
        <f>VLOOKUP($B285,'[9]Subsidiary wise dispatch'!$A$3:$R$138,13,FALSE)*$H285*$O285*365</f>
        <v>853581.32122760336</v>
      </c>
      <c r="AI285" s="7">
        <f>VLOOKUP($B285,'[9]Subsidiary wise dispatch'!$A$3:$R$138,14,FALSE)*$H285*$O285*365</f>
        <v>126652.2213115364</v>
      </c>
      <c r="AJ285" s="7">
        <f>VLOOKUP($B285,'[9]Subsidiary wise dispatch'!$A$3:$R$138,15,FALSE)*$H285*$O285*365</f>
        <v>0</v>
      </c>
      <c r="AK285" s="7">
        <f>VLOOKUP($B285,'[9]Subsidiary wise dispatch'!$A$3:$R$138,16,FALSE)*$H285*$O285*365</f>
        <v>0</v>
      </c>
      <c r="AL285" s="7">
        <f>VLOOKUP($B285,'[9]Subsidiary wise dispatch'!$A$3:$R$138,17,FALSE)*$H285*$O285*365</f>
        <v>0</v>
      </c>
      <c r="AM285" s="7">
        <f>VLOOKUP($B285,'[9]Subsidiary wise dispatch'!$A$3:$R$138,18,FALSE)*$H285*$O285*365</f>
        <v>0</v>
      </c>
      <c r="AN285" s="15">
        <f t="shared" si="227"/>
        <v>1073231.2420033731</v>
      </c>
      <c r="AO285" s="6">
        <v>9.8262750849406444E-2</v>
      </c>
      <c r="AP285" s="11">
        <f t="shared" si="228"/>
        <v>0.39394123624775906</v>
      </c>
      <c r="AQ285" s="11"/>
      <c r="AR285" s="3">
        <f>VLOOKUP(A285,[10]Sheet1!$A$2:$L$542,12,FALSE)</f>
        <v>2.60192477876108</v>
      </c>
      <c r="AS285" s="3">
        <f t="shared" si="237"/>
        <v>2.5940473671926454</v>
      </c>
      <c r="AT285" s="2"/>
      <c r="AU285" s="2"/>
      <c r="AV285" s="88">
        <f t="shared" si="239"/>
        <v>-3.3305464846165665E-2</v>
      </c>
      <c r="AW285" s="32">
        <f t="shared" si="240"/>
        <v>1.2839189163384408E-2</v>
      </c>
      <c r="AX285" s="12">
        <f t="shared" si="231"/>
        <v>379.5887144696195</v>
      </c>
      <c r="AY285" s="12">
        <f t="shared" si="232"/>
        <v>0</v>
      </c>
      <c r="AZ285" s="3">
        <f>VLOOKUP(A285,[5]Analysis!$A$3:$BJ$543,62,FALSE)</f>
        <v>0.70364524917702587</v>
      </c>
      <c r="BA285" s="2"/>
      <c r="BB285" s="2"/>
      <c r="BC285" s="2" t="str">
        <f>VLOOKUP(A285,'[6]FGD status - Jun 2020'!$I$2:$M$449,5,FALSE)</f>
        <v>BID opened</v>
      </c>
      <c r="BD285" s="2" t="str">
        <f>VLOOKUP(A285,'[1]daily coal, energy reqd'!$C$2:$L$599,10,FALSE)</f>
        <v>Y</v>
      </c>
      <c r="BE285" s="2"/>
      <c r="BF285" s="2">
        <f t="shared" si="233"/>
        <v>253.32026328398877</v>
      </c>
      <c r="BG285" s="2">
        <f t="shared" si="234"/>
        <v>0</v>
      </c>
      <c r="BH285" s="2">
        <f t="shared" si="260"/>
        <v>31.5</v>
      </c>
      <c r="BI285" s="2">
        <f t="shared" si="261"/>
        <v>16.8</v>
      </c>
      <c r="BK285">
        <f t="shared" si="235"/>
        <v>167.04415493258207</v>
      </c>
      <c r="BL285">
        <f>VLOOKUP(A285,'[11]Daily coal vs energy req.2'!$C$2:$P$599,14,FALSE)</f>
        <v>1.17</v>
      </c>
      <c r="BM285">
        <f>VLOOKUP(A285,'[11]Daily coal vs energy req.2'!$C$2:$R$599,16,FALSE)</f>
        <v>1.17</v>
      </c>
      <c r="BN285">
        <f>BL285*H285</f>
        <v>245.7</v>
      </c>
      <c r="BO285">
        <f>BM285*H285</f>
        <v>245.7</v>
      </c>
      <c r="BP285" s="2" t="str">
        <f>VLOOKUP(A285,'[7]Table 2'!$J$2:$N$449,5,FALSE)</f>
        <v>Bid opened</v>
      </c>
      <c r="BR285">
        <f t="shared" si="241"/>
        <v>319.9243236000716</v>
      </c>
      <c r="BT285">
        <f>(X285*I285*365*[5]Analysis!BK285)/10^4</f>
        <v>274.02663518502072</v>
      </c>
      <c r="BV285">
        <f>(X285*I285*365*[5]Analysis!BL285)/10^4</f>
        <v>45.897688415050851</v>
      </c>
      <c r="BX285">
        <f t="shared" si="243"/>
        <v>1276804.7849672423</v>
      </c>
      <c r="BZ285">
        <f t="shared" si="245"/>
        <v>5333820.9586394439</v>
      </c>
      <c r="CB285">
        <f t="shared" si="247"/>
        <v>-343911.32326728234</v>
      </c>
      <c r="CD285">
        <f t="shared" si="249"/>
        <v>0</v>
      </c>
      <c r="CF285">
        <f t="shared" si="251"/>
        <v>2612878.6125672795</v>
      </c>
      <c r="CH285">
        <f t="shared" si="253"/>
        <v>569238.3822698252</v>
      </c>
      <c r="CJ285">
        <f t="shared" si="255"/>
        <v>-506741.13934376265</v>
      </c>
      <c r="CL285">
        <f t="shared" si="257"/>
        <v>1113689.2082868097</v>
      </c>
    </row>
    <row r="286" spans="1:91" x14ac:dyDescent="0.2">
      <c r="A286" s="2" t="s">
        <v>313</v>
      </c>
      <c r="B286" s="2" t="str">
        <f t="shared" si="259"/>
        <v>BAKRESWAR TPS</v>
      </c>
      <c r="C286" s="2" t="str">
        <f>VLOOKUP($A286,'[1]daily coal, energy reqd'!$C$2:$T$599,17,FALSE)</f>
        <v>West Bengal</v>
      </c>
      <c r="D286" s="2" t="str">
        <f>VLOOKUP(C286,'Target PLF'!$I$2:$J$19,2,FALSE)</f>
        <v>ER</v>
      </c>
      <c r="E286" s="2" t="str">
        <f>VLOOKUP(A286,[2]Ownership!$C$2:$D$666,2,FALSE)</f>
        <v>STATE SECTOR</v>
      </c>
      <c r="F286" s="2" t="s">
        <v>544</v>
      </c>
      <c r="G286" s="12">
        <v>12.4243668720054</v>
      </c>
      <c r="H286" s="2">
        <v>210</v>
      </c>
      <c r="I286" s="2">
        <f>VLOOKUP(A286,'[3]Calculated coal req (reg.)'!$A$2:$I$599,9,FALSE)</f>
        <v>3.76882644472694</v>
      </c>
      <c r="J286" s="2"/>
      <c r="K286" s="11">
        <v>0.74778302474740865</v>
      </c>
      <c r="L286" s="3">
        <f>VLOOKUP(F286,'Target PLF'!$A$2:$B$11,2,FALSE)</f>
        <v>0.8</v>
      </c>
      <c r="M286" s="3">
        <f t="shared" si="236"/>
        <v>5.2216975252591391E-2</v>
      </c>
      <c r="N286" s="2" t="str">
        <f t="shared" si="215"/>
        <v>0.15</v>
      </c>
      <c r="O286" s="2">
        <f t="shared" si="210"/>
        <v>13.15358482888889</v>
      </c>
      <c r="P286" s="2">
        <f t="shared" si="216"/>
        <v>1008222.2771343334</v>
      </c>
      <c r="Q286" s="2">
        <f t="shared" si="217"/>
        <v>14.57576027067077</v>
      </c>
      <c r="R286" s="2">
        <f t="shared" si="218"/>
        <v>4.032</v>
      </c>
      <c r="S286" s="2"/>
      <c r="T286" s="2" t="str">
        <f>VLOOKUP(A286,'[4]CEA vs MERIT comp. &amp; NPA marker'!$C$2:$K$735,9,FALSE)</f>
        <v>Contracted</v>
      </c>
      <c r="U286" s="3">
        <f>VLOOKUP(B286,'[8]Import-Domestic share'!$A$208:$F$406,6,FALSE)</f>
        <v>6.7675089959530303E-4</v>
      </c>
      <c r="V286" s="3">
        <f t="shared" si="220"/>
        <v>682.31533304268498</v>
      </c>
      <c r="W286" s="2">
        <f t="shared" si="221"/>
        <v>3054.0305690672503</v>
      </c>
      <c r="X286" s="2">
        <f t="shared" si="222"/>
        <v>3071.29199723687</v>
      </c>
      <c r="Y286" s="6">
        <f t="shared" si="223"/>
        <v>0.28159508575667525</v>
      </c>
      <c r="Z286" s="2"/>
      <c r="AA286" s="2">
        <f t="shared" si="225"/>
        <v>760209.15458957548</v>
      </c>
      <c r="AB286" s="2" t="s">
        <v>576</v>
      </c>
      <c r="AC286" s="12">
        <f>VLOOKUP(B286,[9]Sheet1!$A$2:$B$137,2,FALSE)</f>
        <v>5557.5965462998529</v>
      </c>
      <c r="AD286" s="12">
        <f t="shared" si="226"/>
        <v>1167095.2747229692</v>
      </c>
      <c r="AE286" s="2"/>
      <c r="AF286" s="7">
        <f>VLOOKUP($B286,'[9]Subsidiary wise dispatch'!$A$3:$R$138,11,FALSE)*$H286*$O286*365</f>
        <v>63142.719776947481</v>
      </c>
      <c r="AG286" s="7">
        <f>VLOOKUP($B286,'[9]Subsidiary wise dispatch'!$A$3:$R$138,12,FALSE)*$H286*$O286*365</f>
        <v>24221.818872765933</v>
      </c>
      <c r="AH286" s="7">
        <f>VLOOKUP($B286,'[9]Subsidiary wise dispatch'!$A$3:$R$138,13,FALSE)*$H286*$O286*365</f>
        <v>801877.23737986619</v>
      </c>
      <c r="AI286" s="7">
        <f>VLOOKUP($B286,'[9]Subsidiary wise dispatch'!$A$3:$R$138,14,FALSE)*$H286*$O286*365</f>
        <v>118980.50110475397</v>
      </c>
      <c r="AJ286" s="7">
        <f>VLOOKUP($B286,'[9]Subsidiary wise dispatch'!$A$3:$R$138,15,FALSE)*$H286*$O286*365</f>
        <v>0</v>
      </c>
      <c r="AK286" s="7">
        <f>VLOOKUP($B286,'[9]Subsidiary wise dispatch'!$A$3:$R$138,16,FALSE)*$H286*$O286*365</f>
        <v>0</v>
      </c>
      <c r="AL286" s="7">
        <f>VLOOKUP($B286,'[9]Subsidiary wise dispatch'!$A$3:$R$138,17,FALSE)*$H286*$O286*365</f>
        <v>0</v>
      </c>
      <c r="AM286" s="7">
        <f>VLOOKUP($B286,'[9]Subsidiary wise dispatch'!$A$3:$R$138,18,FALSE)*$H286*$O286*365</f>
        <v>0</v>
      </c>
      <c r="AN286" s="15">
        <f t="shared" si="227"/>
        <v>1008222.2771343335</v>
      </c>
      <c r="AO286" s="6">
        <v>9.8262750849406444E-2</v>
      </c>
      <c r="AP286" s="11">
        <f t="shared" si="228"/>
        <v>0.3703352539328576</v>
      </c>
      <c r="AQ286" s="11"/>
      <c r="AR286" s="3">
        <f>VLOOKUP(A286,[10]Sheet1!$A$2:$L$542,12,FALSE)</f>
        <v>2.60192477876108</v>
      </c>
      <c r="AS286" s="3">
        <f t="shared" si="237"/>
        <v>2.5403831568980353</v>
      </c>
      <c r="AT286" s="2"/>
      <c r="AU286" s="2"/>
      <c r="AV286" s="88">
        <f t="shared" si="239"/>
        <v>3.8265643804604024E-2</v>
      </c>
      <c r="AW286" s="32">
        <f t="shared" si="240"/>
        <v>1.5062941863985879E-2</v>
      </c>
      <c r="AX286" s="12">
        <f t="shared" si="231"/>
        <v>349.46060758315213</v>
      </c>
      <c r="AY286" s="12">
        <f t="shared" si="232"/>
        <v>0</v>
      </c>
      <c r="AZ286" s="3">
        <f>VLOOKUP(A286,[5]Analysis!$A$3:$BJ$543,62,FALSE)</f>
        <v>0.70364524917702587</v>
      </c>
      <c r="BA286" s="2"/>
      <c r="BB286" s="2"/>
      <c r="BC286" s="2" t="str">
        <f>VLOOKUP(A286,'[6]FGD status - Jun 2020'!$I$2:$M$449,5,FALSE)</f>
        <v>BID opened</v>
      </c>
      <c r="BD286" s="2" t="str">
        <f>VLOOKUP(A286,'[1]daily coal, energy reqd'!$C$2:$L$599,10,FALSE)</f>
        <v>Y</v>
      </c>
      <c r="BE286" s="2"/>
      <c r="BF286" s="2">
        <f t="shared" si="233"/>
        <v>235.39462461364121</v>
      </c>
      <c r="BG286" s="2">
        <f t="shared" si="234"/>
        <v>0</v>
      </c>
      <c r="BH286" s="2">
        <f t="shared" si="260"/>
        <v>73.5</v>
      </c>
      <c r="BI286" s="2">
        <f t="shared" si="261"/>
        <v>16.8</v>
      </c>
      <c r="BK286">
        <f t="shared" si="235"/>
        <v>157.03443519695583</v>
      </c>
      <c r="BL286">
        <f>VLOOKUP(A286,'[11]Daily coal vs energy req.2'!$C$2:$P$599,14,FALSE)</f>
        <v>1.27</v>
      </c>
      <c r="BM286">
        <f>VLOOKUP(A286,'[11]Daily coal vs energy req.2'!$C$2:$R$599,16,FALSE)</f>
        <v>1.4</v>
      </c>
      <c r="BN286">
        <f>BL286*H286</f>
        <v>266.7</v>
      </c>
      <c r="BO286">
        <f>BM286*H286</f>
        <v>294</v>
      </c>
      <c r="BP286" s="2" t="str">
        <f>VLOOKUP(A286,'[7]Table 2'!$J$2:$N$449,5,FALSE)</f>
        <v>Bid opened</v>
      </c>
      <c r="BR286">
        <f t="shared" si="241"/>
        <v>297.28559840547047</v>
      </c>
      <c r="BT286">
        <f>(X286*I286*365*[5]Analysis!BK286)/10^4</f>
        <v>254.63575667929678</v>
      </c>
      <c r="BV286">
        <f>(X286*I286*365*[5]Analysis!BL286)/10^4</f>
        <v>42.649841726173669</v>
      </c>
      <c r="BX286">
        <f t="shared" si="243"/>
        <v>1186454.5661131148</v>
      </c>
      <c r="BZ286">
        <f t="shared" si="245"/>
        <v>5014204.5498070726</v>
      </c>
      <c r="CB286">
        <f t="shared" si="247"/>
        <v>-303930.09185042285</v>
      </c>
      <c r="CD286">
        <f t="shared" si="249"/>
        <v>0</v>
      </c>
      <c r="CF286">
        <f t="shared" si="251"/>
        <v>2456308.1379788928</v>
      </c>
      <c r="CH286">
        <f t="shared" si="253"/>
        <v>346717.80372482224</v>
      </c>
      <c r="CJ286">
        <f t="shared" si="255"/>
        <v>-476375.89378704055</v>
      </c>
      <c r="CL286">
        <f t="shared" si="257"/>
        <v>1046954.0576193614</v>
      </c>
    </row>
    <row r="287" spans="1:91" x14ac:dyDescent="0.2">
      <c r="A287" s="2" t="s">
        <v>540</v>
      </c>
      <c r="B287" s="2" t="str">
        <f t="shared" si="259"/>
        <v>BANDEL TPS</v>
      </c>
      <c r="C287" s="2" t="str">
        <f>VLOOKUP($A287,'[1]daily coal, energy reqd'!$C$2:$T$599,17,FALSE)</f>
        <v>West Bengal</v>
      </c>
      <c r="D287" s="2" t="str">
        <f>VLOOKUP(C287,'Target PLF'!$I$2:$J$19,2,FALSE)</f>
        <v>ER</v>
      </c>
      <c r="E287" s="2" t="str">
        <f>VLOOKUP(A287,[2]Ownership!$C$2:$D$666,2,FALSE)</f>
        <v>STATE SECTOR</v>
      </c>
      <c r="F287" s="2" t="s">
        <v>551</v>
      </c>
      <c r="G287" s="12">
        <v>54.672142368240898</v>
      </c>
      <c r="H287" s="2">
        <v>60</v>
      </c>
      <c r="I287" s="2">
        <f>VLOOKUP(A287,'[3]Calculated coal req (reg.)'!$A$2:$I$599,9,FALSE)</f>
        <v>0.51929747073467802</v>
      </c>
      <c r="J287" s="2"/>
      <c r="K287" s="11">
        <v>0.3606232435657486</v>
      </c>
      <c r="L287" s="3">
        <f>VLOOKUP(F287,'Target PLF'!$A$2:$B$11,2,FALSE)</f>
        <v>0.55000000000000004</v>
      </c>
      <c r="M287" s="3">
        <f t="shared" si="236"/>
        <v>0.18937675643425145</v>
      </c>
      <c r="N287" s="2" t="str">
        <f t="shared" si="215"/>
        <v>0.25</v>
      </c>
      <c r="O287" s="2">
        <f t="shared" si="210"/>
        <v>9.8573882342173587</v>
      </c>
      <c r="P287" s="2">
        <f t="shared" si="216"/>
        <v>215876.80232936016</v>
      </c>
      <c r="Q287" s="2">
        <f t="shared" si="217"/>
        <v>16.66623385951403</v>
      </c>
      <c r="R287" s="2">
        <f t="shared" si="218"/>
        <v>0.79200000000000015</v>
      </c>
      <c r="S287" s="2"/>
      <c r="T287" s="2" t="str">
        <f>VLOOKUP(A287,'[4]CEA vs MERIT comp. &amp; NPA marker'!$C$2:$K$735,9,FALSE)</f>
        <v>Contracted</v>
      </c>
      <c r="U287" s="3">
        <f>VLOOKUP(B287,'[8]Import-Domestic share'!$A$208:$F$406,6,FALSE)</f>
        <v>0</v>
      </c>
      <c r="V287" s="3">
        <f t="shared" si="220"/>
        <v>0</v>
      </c>
      <c r="W287" s="2">
        <f t="shared" si="221"/>
        <v>3598.1778286338122</v>
      </c>
      <c r="X287" s="2">
        <f t="shared" si="222"/>
        <v>3660.7803302603902</v>
      </c>
      <c r="Y287" s="6">
        <f t="shared" si="223"/>
        <v>0.23900986581492342</v>
      </c>
      <c r="Z287" s="2"/>
      <c r="AA287" s="2">
        <f t="shared" si="225"/>
        <v>151297.39905152546</v>
      </c>
      <c r="AB287" s="2" t="s">
        <v>576</v>
      </c>
      <c r="AC287" s="12">
        <f>VLOOKUP(B287,[9]Sheet1!$A$2:$B$137,2,FALSE)</f>
        <v>4586.181931037725</v>
      </c>
      <c r="AD287" s="12">
        <f t="shared" si="226"/>
        <v>275170.91586226353</v>
      </c>
      <c r="AE287" s="2"/>
      <c r="AF287" s="7">
        <f>VLOOKUP($B287,'[9]Subsidiary wise dispatch'!$A$3:$R$138,11,FALSE)*$H287*$O287*365</f>
        <v>30577.075837971075</v>
      </c>
      <c r="AG287" s="7">
        <f>VLOOKUP($B287,'[9]Subsidiary wise dispatch'!$A$3:$R$138,12,FALSE)*$H287*$O287*365</f>
        <v>0</v>
      </c>
      <c r="AH287" s="7">
        <f>VLOOKUP($B287,'[9]Subsidiary wise dispatch'!$A$3:$R$138,13,FALSE)*$H287*$O287*365</f>
        <v>91129.162481030871</v>
      </c>
      <c r="AI287" s="7">
        <f>VLOOKUP($B287,'[9]Subsidiary wise dispatch'!$A$3:$R$138,14,FALSE)*$H287*$O287*365</f>
        <v>94170.564010358168</v>
      </c>
      <c r="AJ287" s="7">
        <f>VLOOKUP($B287,'[9]Subsidiary wise dispatch'!$A$3:$R$138,15,FALSE)*$H287*$O287*365</f>
        <v>0</v>
      </c>
      <c r="AK287" s="7">
        <f>VLOOKUP($B287,'[9]Subsidiary wise dispatch'!$A$3:$R$138,16,FALSE)*$H287*$O287*365</f>
        <v>0</v>
      </c>
      <c r="AL287" s="7">
        <f>VLOOKUP($B287,'[9]Subsidiary wise dispatch'!$A$3:$R$138,17,FALSE)*$H287*$O287*365</f>
        <v>0</v>
      </c>
      <c r="AM287" s="7">
        <f>VLOOKUP($B287,'[9]Subsidiary wise dispatch'!$A$3:$R$138,18,FALSE)*$H287*$O287*365</f>
        <v>0</v>
      </c>
      <c r="AN287" s="15">
        <f t="shared" si="227"/>
        <v>215876.8023293601</v>
      </c>
      <c r="AO287" s="6">
        <v>0.1207682612530637</v>
      </c>
      <c r="AP287" s="11">
        <f t="shared" si="228"/>
        <v>6.271465261374079E-2</v>
      </c>
      <c r="AQ287" s="11"/>
      <c r="AR287" s="3">
        <f>VLOOKUP(A287,[10]Sheet1!$A$2:$L$542,12,FALSE)</f>
        <v>3.65917714285714</v>
      </c>
      <c r="AS287" s="3">
        <f t="shared" si="237"/>
        <v>3.2624130037054768</v>
      </c>
      <c r="AT287" s="2"/>
      <c r="AU287" s="2"/>
      <c r="AV287" s="88">
        <f t="shared" si="239"/>
        <v>0.13877907465014816</v>
      </c>
      <c r="AW287" s="32">
        <f t="shared" si="240"/>
        <v>4.2538781721542213E-2</v>
      </c>
      <c r="AX287" s="12">
        <f t="shared" si="231"/>
        <v>61.836942978040497</v>
      </c>
      <c r="AY287" s="12">
        <f t="shared" si="232"/>
        <v>0</v>
      </c>
      <c r="AZ287" s="3">
        <f>VLOOKUP(A287,[5]Analysis!$A$3:$BJ$543,62,FALSE)</f>
        <v>0.80671068012610692</v>
      </c>
      <c r="BA287" s="2"/>
      <c r="BB287" s="2"/>
      <c r="BC287" s="2" t="e">
        <f>VLOOKUP(A287,'[6]FGD status - Jun 2020'!$I$2:$M$449,5,FALSE)</f>
        <v>#N/A</v>
      </c>
      <c r="BD287" s="2" t="str">
        <f>VLOOKUP(A287,'[1]daily coal, energy reqd'!$C$2:$L$599,10,FALSE)</f>
        <v>Y</v>
      </c>
      <c r="BE287" s="2"/>
      <c r="BF287" s="2">
        <f t="shared" si="233"/>
        <v>46.826545006447134</v>
      </c>
      <c r="BG287" s="2">
        <f t="shared" si="234"/>
        <v>0</v>
      </c>
      <c r="BH287" s="2"/>
      <c r="BI287" s="2"/>
      <c r="BK287">
        <f t="shared" si="235"/>
        <v>21.637394613944917</v>
      </c>
      <c r="BL287" t="str">
        <f>VLOOKUP(A287,'[11]Daily coal vs energy req.2'!$C$2:$P$599,14,FALSE)</f>
        <v/>
      </c>
      <c r="BM287" t="str">
        <f>VLOOKUP(A287,'[11]Daily coal vs energy req.2'!$C$2:$R$599,16,FALSE)</f>
        <v/>
      </c>
      <c r="BP287" s="2" t="e">
        <f>VLOOKUP(A287,'[7]Table 2'!$J$2:$N$449,5,FALSE)</f>
        <v>#N/A</v>
      </c>
      <c r="BR287">
        <f t="shared" si="241"/>
        <v>55.975830745747764</v>
      </c>
      <c r="BT287">
        <f>(X287*I287*365*[5]Analysis!BK287)/10^4</f>
        <v>36.788657549210797</v>
      </c>
      <c r="BV287">
        <f>(X287*I287*365*[5]Analysis!BL287)/10^4</f>
        <v>19.187173196536968</v>
      </c>
      <c r="BX287">
        <f t="shared" si="243"/>
        <v>194855.98155799668</v>
      </c>
      <c r="BZ287">
        <f t="shared" si="245"/>
        <v>792092.9762802294</v>
      </c>
      <c r="CB287">
        <f t="shared" si="247"/>
        <v>-20195.838227448854</v>
      </c>
      <c r="CD287">
        <f t="shared" si="249"/>
        <v>0</v>
      </c>
      <c r="CF287">
        <f t="shared" si="251"/>
        <v>338448.7511177666</v>
      </c>
      <c r="CH287">
        <f t="shared" si="253"/>
        <v>210221.9388345372</v>
      </c>
      <c r="CJ287">
        <f t="shared" si="255"/>
        <v>-18753.908858112161</v>
      </c>
      <c r="CL287">
        <f t="shared" si="257"/>
        <v>177297.08238376022</v>
      </c>
    </row>
    <row r="288" spans="1:91" x14ac:dyDescent="0.2">
      <c r="A288" s="2" t="s">
        <v>539</v>
      </c>
      <c r="B288" s="2" t="str">
        <f t="shared" si="259"/>
        <v>BANDEL TPS</v>
      </c>
      <c r="C288" s="2" t="str">
        <f>VLOOKUP($A288,'[1]daily coal, energy reqd'!$C$2:$T$599,17,FALSE)</f>
        <v>West Bengal</v>
      </c>
      <c r="D288" s="2" t="str">
        <f>VLOOKUP(C288,'Target PLF'!$I$2:$J$19,2,FALSE)</f>
        <v>ER</v>
      </c>
      <c r="E288" s="2" t="str">
        <f>VLOOKUP(A288,[2]Ownership!$C$2:$D$666,2,FALSE)</f>
        <v>STATE SECTOR</v>
      </c>
      <c r="F288" s="2" t="s">
        <v>551</v>
      </c>
      <c r="G288" s="12">
        <v>54.590006844626899</v>
      </c>
      <c r="H288" s="2">
        <v>60</v>
      </c>
      <c r="I288" s="2">
        <f>VLOOKUP(A288,'[3]Calculated coal req (reg.)'!$A$2:$I$599,9,FALSE)</f>
        <v>0.53532126489750498</v>
      </c>
      <c r="J288" s="2"/>
      <c r="K288" s="11">
        <v>0.37175087840104515</v>
      </c>
      <c r="L288" s="3">
        <f>VLOOKUP(F288,'Target PLF'!$A$2:$B$11,2,FALSE)</f>
        <v>0.55000000000000004</v>
      </c>
      <c r="M288" s="3">
        <f t="shared" si="236"/>
        <v>0.1782491215989549</v>
      </c>
      <c r="N288" s="2" t="str">
        <f t="shared" si="215"/>
        <v>0.25</v>
      </c>
      <c r="O288" s="2">
        <f t="shared" si="210"/>
        <v>10.009608713260818</v>
      </c>
      <c r="P288" s="2">
        <f t="shared" si="216"/>
        <v>219210.43082041189</v>
      </c>
      <c r="Q288" s="2">
        <f t="shared" si="217"/>
        <v>16.663632216803556</v>
      </c>
      <c r="R288" s="2">
        <f t="shared" si="218"/>
        <v>0.79200000000000015</v>
      </c>
      <c r="S288" s="2"/>
      <c r="T288" s="2" t="str">
        <f>VLOOKUP(A288,'[4]CEA vs MERIT comp. &amp; NPA marker'!$C$2:$K$735,9,FALSE)</f>
        <v>Contracted</v>
      </c>
      <c r="U288" s="3">
        <f>VLOOKUP(B288,'[8]Import-Domestic share'!$A$208:$F$406,6,FALSE)</f>
        <v>0</v>
      </c>
      <c r="V288" s="3">
        <f t="shared" si="220"/>
        <v>0</v>
      </c>
      <c r="W288" s="2">
        <f t="shared" si="221"/>
        <v>3597.5502691266252</v>
      </c>
      <c r="X288" s="2">
        <f t="shared" si="222"/>
        <v>3656.4742951525377</v>
      </c>
      <c r="Y288" s="6">
        <f t="shared" si="223"/>
        <v>0.2390515588844799</v>
      </c>
      <c r="Z288" s="2"/>
      <c r="AA288" s="2">
        <f t="shared" si="225"/>
        <v>155782.47724915895</v>
      </c>
      <c r="AB288" s="2" t="s">
        <v>576</v>
      </c>
      <c r="AC288" s="12">
        <f>VLOOKUP(B288,[9]Sheet1!$A$2:$B$137,2,FALSE)</f>
        <v>4586.181931037725</v>
      </c>
      <c r="AD288" s="12">
        <f t="shared" si="226"/>
        <v>275170.91586226353</v>
      </c>
      <c r="AE288" s="2"/>
      <c r="AF288" s="7">
        <f>VLOOKUP($B288,'[9]Subsidiary wise dispatch'!$A$3:$R$138,11,FALSE)*$H288*$O288*365</f>
        <v>31049.255387077945</v>
      </c>
      <c r="AG288" s="7">
        <f>VLOOKUP($B288,'[9]Subsidiary wise dispatch'!$A$3:$R$138,12,FALSE)*$H288*$O288*365</f>
        <v>0</v>
      </c>
      <c r="AH288" s="7">
        <f>VLOOKUP($B288,'[9]Subsidiary wise dispatch'!$A$3:$R$138,13,FALSE)*$H288*$O288*365</f>
        <v>92536.403875819364</v>
      </c>
      <c r="AI288" s="7">
        <f>VLOOKUP($B288,'[9]Subsidiary wise dispatch'!$A$3:$R$138,14,FALSE)*$H288*$O288*365</f>
        <v>95624.771557514556</v>
      </c>
      <c r="AJ288" s="7">
        <f>VLOOKUP($B288,'[9]Subsidiary wise dispatch'!$A$3:$R$138,15,FALSE)*$H288*$O288*365</f>
        <v>0</v>
      </c>
      <c r="AK288" s="7">
        <f>VLOOKUP($B288,'[9]Subsidiary wise dispatch'!$A$3:$R$138,16,FALSE)*$H288*$O288*365</f>
        <v>0</v>
      </c>
      <c r="AL288" s="7">
        <f>VLOOKUP($B288,'[9]Subsidiary wise dispatch'!$A$3:$R$138,17,FALSE)*$H288*$O288*365</f>
        <v>0</v>
      </c>
      <c r="AM288" s="7">
        <f>VLOOKUP($B288,'[9]Subsidiary wise dispatch'!$A$3:$R$138,18,FALSE)*$H288*$O288*365</f>
        <v>0</v>
      </c>
      <c r="AN288" s="15">
        <f t="shared" si="227"/>
        <v>219210.43082041186</v>
      </c>
      <c r="AO288" s="6">
        <v>0.1207682612530637</v>
      </c>
      <c r="AP288" s="11">
        <f t="shared" si="228"/>
        <v>6.4649818373462398E-2</v>
      </c>
      <c r="AQ288" s="11"/>
      <c r="AR288" s="3">
        <f>VLOOKUP(A288,[10]Sheet1!$A$2:$L$542,12,FALSE)</f>
        <v>3.65917714285714</v>
      </c>
      <c r="AS288" s="3">
        <f t="shared" si="237"/>
        <v>3.261363462622322</v>
      </c>
      <c r="AT288" s="2"/>
      <c r="AU288" s="2"/>
      <c r="AV288" s="88">
        <f t="shared" si="239"/>
        <v>0.13062452129014612</v>
      </c>
      <c r="AW288" s="32">
        <f t="shared" si="240"/>
        <v>4.0052120159927394E-2</v>
      </c>
      <c r="AX288" s="12">
        <f t="shared" si="231"/>
        <v>63.724518314704326</v>
      </c>
      <c r="AY288" s="12">
        <f t="shared" si="232"/>
        <v>0</v>
      </c>
      <c r="AZ288" s="3">
        <f>VLOOKUP(A288,[5]Analysis!$A$3:$BJ$543,62,FALSE)</f>
        <v>0.80671068012610692</v>
      </c>
      <c r="BA288" s="2"/>
      <c r="BB288" s="2"/>
      <c r="BC288" s="2" t="e">
        <f>VLOOKUP(A288,'[6]FGD status - Jun 2020'!$I$2:$M$449,5,FALSE)</f>
        <v>#N/A</v>
      </c>
      <c r="BD288" s="2" t="str">
        <f>VLOOKUP(A288,'[1]daily coal, energy reqd'!$C$2:$L$599,10,FALSE)</f>
        <v>Y</v>
      </c>
      <c r="BE288" s="2"/>
      <c r="BF288" s="2">
        <f t="shared" si="233"/>
        <v>48.214676708614697</v>
      </c>
      <c r="BG288" s="2">
        <f t="shared" si="234"/>
        <v>0</v>
      </c>
      <c r="BH288" s="2"/>
      <c r="BI288" s="2"/>
      <c r="BK288">
        <f t="shared" si="235"/>
        <v>22.30505270406271</v>
      </c>
      <c r="BL288" t="str">
        <f>VLOOKUP(A288,'[11]Daily coal vs energy req.2'!$C$2:$P$599,14,FALSE)</f>
        <v/>
      </c>
      <c r="BM288" t="str">
        <f>VLOOKUP(A288,'[11]Daily coal vs energy req.2'!$C$2:$R$599,16,FALSE)</f>
        <v/>
      </c>
      <c r="BP288" s="2" t="e">
        <f>VLOOKUP(A288,'[7]Table 2'!$J$2:$N$449,5,FALSE)</f>
        <v>#N/A</v>
      </c>
      <c r="BR288">
        <f t="shared" si="241"/>
        <v>57.635184968926964</v>
      </c>
      <c r="BT288">
        <f>(X288*I288*365*[5]Analysis!BK288)/10^4</f>
        <v>37.879224914734237</v>
      </c>
      <c r="BV288">
        <f>(X288*I288*365*[5]Analysis!BL288)/10^4</f>
        <v>19.755960054192723</v>
      </c>
      <c r="BX288">
        <f t="shared" si="243"/>
        <v>200632.31558649262</v>
      </c>
      <c r="BZ288">
        <f t="shared" si="245"/>
        <v>816534.33316143823</v>
      </c>
      <c r="CB288">
        <f t="shared" si="247"/>
        <v>-21461.420283238822</v>
      </c>
      <c r="CD288">
        <f t="shared" si="249"/>
        <v>0</v>
      </c>
      <c r="CF288">
        <f t="shared" si="251"/>
        <v>348892.15480872703</v>
      </c>
      <c r="CH288">
        <f t="shared" si="253"/>
        <v>216383.12157155224</v>
      </c>
      <c r="CJ288">
        <f t="shared" si="255"/>
        <v>-19332.592160508495</v>
      </c>
      <c r="CL288">
        <f t="shared" si="257"/>
        <v>182767.88113378661</v>
      </c>
    </row>
    <row r="289" spans="1:90" x14ac:dyDescent="0.2">
      <c r="A289" s="2" t="s">
        <v>488</v>
      </c>
      <c r="B289" s="2" t="str">
        <f t="shared" si="259"/>
        <v>BANDEL TPS</v>
      </c>
      <c r="C289" s="2" t="str">
        <f>VLOOKUP($A289,'[1]daily coal, energy reqd'!$C$2:$T$599,17,FALSE)</f>
        <v>West Bengal</v>
      </c>
      <c r="D289" s="2" t="str">
        <f>VLOOKUP(C289,'Target PLF'!$I$2:$J$19,2,FALSE)</f>
        <v>ER</v>
      </c>
      <c r="E289" s="2" t="str">
        <f>VLOOKUP(A289,[2]Ownership!$C$2:$D$666,2,FALSE)</f>
        <v>STATE SECTOR</v>
      </c>
      <c r="F289" s="2" t="s">
        <v>549</v>
      </c>
      <c r="G289" s="12">
        <v>37.590691307323702</v>
      </c>
      <c r="H289" s="2">
        <v>210</v>
      </c>
      <c r="I289" s="2">
        <f>VLOOKUP(A289,'[3]Calculated coal req (reg.)'!$A$2:$I$599,9,FALSE)</f>
        <v>2.4340535206667</v>
      </c>
      <c r="J289" s="2"/>
      <c r="K289" s="11">
        <v>0.48294712711640875</v>
      </c>
      <c r="L289" s="3">
        <f>VLOOKUP(F289,'Target PLF'!$A$2:$B$11,2,FALSE)</f>
        <v>0.55000000000000004</v>
      </c>
      <c r="M289" s="3">
        <f t="shared" si="236"/>
        <v>6.7052872883591297E-2</v>
      </c>
      <c r="N289" s="2" t="str">
        <f t="shared" si="215"/>
        <v>0.25</v>
      </c>
      <c r="O289" s="2">
        <f t="shared" si="210"/>
        <v>10.237077160868209</v>
      </c>
      <c r="P289" s="2">
        <f t="shared" si="216"/>
        <v>784671.96438054822</v>
      </c>
      <c r="Q289" s="2">
        <f t="shared" si="217"/>
        <v>15.343993897159477</v>
      </c>
      <c r="R289" s="2">
        <f t="shared" si="218"/>
        <v>2.7719999999999998</v>
      </c>
      <c r="S289" s="2"/>
      <c r="T289" s="2" t="str">
        <f>VLOOKUP(A289,'[4]CEA vs MERIT comp. &amp; NPA marker'!$C$2:$K$735,9,FALSE)</f>
        <v>Contracted</v>
      </c>
      <c r="U289" s="3">
        <f>VLOOKUP(B289,'[8]Import-Domestic share'!$A$208:$F$406,6,FALSE)</f>
        <v>0</v>
      </c>
      <c r="V289" s="3">
        <f t="shared" si="220"/>
        <v>0</v>
      </c>
      <c r="W289" s="2">
        <f t="shared" si="221"/>
        <v>3328.8050247891852</v>
      </c>
      <c r="X289" s="2">
        <f t="shared" si="222"/>
        <v>3350.9707734417611</v>
      </c>
      <c r="Y289" s="6">
        <f t="shared" si="223"/>
        <v>0.25835096786855644</v>
      </c>
      <c r="Z289" s="2"/>
      <c r="AA289" s="2">
        <f t="shared" si="225"/>
        <v>649145.94557287195</v>
      </c>
      <c r="AB289" s="2" t="s">
        <v>576</v>
      </c>
      <c r="AC289" s="12">
        <f>VLOOKUP(B289,[9]Sheet1!$A$2:$B$137,2,FALSE)</f>
        <v>4586.181931037725</v>
      </c>
      <c r="AD289" s="12">
        <f t="shared" si="226"/>
        <v>963098.2055179223</v>
      </c>
      <c r="AE289" s="2"/>
      <c r="AF289" s="7">
        <f>VLOOKUP($B289,'[9]Subsidiary wise dispatch'!$A$3:$R$138,11,FALSE)*$H289*$O289*365</f>
        <v>111141.97497787661</v>
      </c>
      <c r="AG289" s="7">
        <f>VLOOKUP($B289,'[9]Subsidiary wise dispatch'!$A$3:$R$138,12,FALSE)*$H289*$O289*365</f>
        <v>0</v>
      </c>
      <c r="AH289" s="7">
        <f>VLOOKUP($B289,'[9]Subsidiary wise dispatch'!$A$3:$R$138,13,FALSE)*$H289*$O289*365</f>
        <v>331237.53068774944</v>
      </c>
      <c r="AI289" s="7">
        <f>VLOOKUP($B289,'[9]Subsidiary wise dispatch'!$A$3:$R$138,14,FALSE)*$H289*$O289*365</f>
        <v>342292.45871492213</v>
      </c>
      <c r="AJ289" s="7">
        <f>VLOOKUP($B289,'[9]Subsidiary wise dispatch'!$A$3:$R$138,15,FALSE)*$H289*$O289*365</f>
        <v>0</v>
      </c>
      <c r="AK289" s="7">
        <f>VLOOKUP($B289,'[9]Subsidiary wise dispatch'!$A$3:$R$138,16,FALSE)*$H289*$O289*365</f>
        <v>0</v>
      </c>
      <c r="AL289" s="7">
        <f>VLOOKUP($B289,'[9]Subsidiary wise dispatch'!$A$3:$R$138,17,FALSE)*$H289*$O289*365</f>
        <v>0</v>
      </c>
      <c r="AM289" s="7">
        <f>VLOOKUP($B289,'[9]Subsidiary wise dispatch'!$A$3:$R$138,18,FALSE)*$H289*$O289*365</f>
        <v>0</v>
      </c>
      <c r="AN289" s="15">
        <f t="shared" si="227"/>
        <v>784671.9643805481</v>
      </c>
      <c r="AO289" s="6">
        <v>0.1207682612530637</v>
      </c>
      <c r="AP289" s="11">
        <f t="shared" si="228"/>
        <v>0.29395641148781548</v>
      </c>
      <c r="AQ289" s="11"/>
      <c r="AR289" s="3">
        <f>VLOOKUP(A289,[10]Sheet1!$A$2:$L$542,12,FALSE)</f>
        <v>3.65917714285714</v>
      </c>
      <c r="AS289" s="3">
        <f t="shared" si="237"/>
        <v>3.0138929197510058</v>
      </c>
      <c r="AT289" s="2"/>
      <c r="AU289" s="2"/>
      <c r="AV289" s="88">
        <f t="shared" si="239"/>
        <v>4.9137686306553373E-2</v>
      </c>
      <c r="AW289" s="32">
        <f t="shared" si="240"/>
        <v>1.6303726646868699E-2</v>
      </c>
      <c r="AX289" s="12">
        <f t="shared" si="231"/>
        <v>267.76314853648171</v>
      </c>
      <c r="AY289" s="12">
        <f t="shared" si="232"/>
        <v>0</v>
      </c>
      <c r="AZ289" s="3">
        <f>VLOOKUP(A289,[5]Analysis!$A$3:$BJ$543,62,FALSE)</f>
        <v>0.80671068012610692</v>
      </c>
      <c r="BA289" s="2"/>
      <c r="BB289" s="2"/>
      <c r="BC289" s="2" t="e">
        <f>VLOOKUP(A289,'[6]FGD status - Jun 2020'!$I$2:$M$449,5,FALSE)</f>
        <v>#N/A</v>
      </c>
      <c r="BD289" s="2" t="str">
        <f>VLOOKUP(A289,'[1]daily coal, energy reqd'!$C$2:$L$599,10,FALSE)</f>
        <v>Y</v>
      </c>
      <c r="BE289" s="2"/>
      <c r="BF289" s="2">
        <f t="shared" si="233"/>
        <v>200.91067015480388</v>
      </c>
      <c r="BG289" s="2">
        <f t="shared" si="234"/>
        <v>0</v>
      </c>
      <c r="BH289" s="2"/>
      <c r="BI289" s="2"/>
      <c r="BK289">
        <f t="shared" si="235"/>
        <v>101.41889669444583</v>
      </c>
      <c r="BL289">
        <f>VLOOKUP(A289,'[11]Daily coal vs energy req.2'!$C$2:$P$599,14,FALSE)</f>
        <v>1.18</v>
      </c>
      <c r="BM289">
        <f>VLOOKUP(A289,'[11]Daily coal vs energy req.2'!$C$2:$R$599,16,FALSE)</f>
        <v>1.33</v>
      </c>
      <c r="BN289">
        <f>BL289*H289</f>
        <v>247.79999999999998</v>
      </c>
      <c r="BO289">
        <f>BM289*H289</f>
        <v>279.3</v>
      </c>
      <c r="BP289" s="2" t="e">
        <f>VLOOKUP(A289,'[7]Table 2'!$J$2:$N$449,5,FALSE)</f>
        <v>#N/A</v>
      </c>
      <c r="BR289">
        <f t="shared" si="241"/>
        <v>240.16595001941053</v>
      </c>
      <c r="BT289">
        <f>(X289*I289*365*[5]Analysis!BK289)/10^4</f>
        <v>157.84281845457301</v>
      </c>
      <c r="BV289">
        <f>(X289*I289*365*[5]Analysis!BL289)/10^4</f>
        <v>82.323131564837524</v>
      </c>
      <c r="BX289">
        <f t="shared" si="243"/>
        <v>836035.32639658113</v>
      </c>
      <c r="BZ289">
        <f t="shared" si="245"/>
        <v>3712701.8833398446</v>
      </c>
      <c r="CB289">
        <f t="shared" si="247"/>
        <v>-126771.51223844138</v>
      </c>
      <c r="CD289">
        <f t="shared" si="249"/>
        <v>0</v>
      </c>
      <c r="CF289">
        <f t="shared" si="251"/>
        <v>1586378.5607466374</v>
      </c>
      <c r="CH289">
        <f t="shared" si="253"/>
        <v>677495.12334990315</v>
      </c>
      <c r="CJ289">
        <f t="shared" si="255"/>
        <v>-307661.93095875019</v>
      </c>
      <c r="CL289">
        <f t="shared" si="257"/>
        <v>831027.7093581598</v>
      </c>
    </row>
    <row r="290" spans="1:90" x14ac:dyDescent="0.2">
      <c r="A290" s="2" t="s">
        <v>265</v>
      </c>
      <c r="B290" s="2" t="str">
        <f t="shared" si="259"/>
        <v>BARAUNI TPS</v>
      </c>
      <c r="C290" s="2" t="str">
        <f>VLOOKUP($A290,'[1]daily coal, energy reqd'!$C$2:$T$599,17,FALSE)</f>
        <v>Bihar</v>
      </c>
      <c r="D290" s="2" t="str">
        <f>VLOOKUP(C290,'Target PLF'!$I$2:$J$19,2,FALSE)</f>
        <v>ER</v>
      </c>
      <c r="E290" s="2" t="str">
        <f>VLOOKUP(A290,[2]Ownership!$C$2:$D$666,2,FALSE)</f>
        <v>CENTRAL SECTOR</v>
      </c>
      <c r="F290" s="2" t="s">
        <v>542</v>
      </c>
      <c r="G290" s="12">
        <v>3.4962354551676902</v>
      </c>
      <c r="H290" s="2">
        <v>110</v>
      </c>
      <c r="I290" s="2">
        <f>VLOOKUP(A290,'[3]Calculated coal req (reg.)'!$A$2:$I$599,9,FALSE)</f>
        <v>0.15012921764923901</v>
      </c>
      <c r="J290" s="2"/>
      <c r="K290" s="11">
        <v>5.6867127897439015E-2</v>
      </c>
      <c r="L290" s="3">
        <f>VLOOKUP(F290,'Target PLF'!$A$2:$B$11,2,FALSE)</f>
        <v>0.85</v>
      </c>
      <c r="M290" s="3">
        <f t="shared" si="236"/>
        <v>0.793132872102561</v>
      </c>
      <c r="N290" s="2" t="str">
        <f t="shared" si="215"/>
        <v>0.15</v>
      </c>
      <c r="O290" s="2">
        <f t="shared" si="210"/>
        <v>3.7786561186178749</v>
      </c>
      <c r="P290" s="2">
        <f t="shared" si="216"/>
        <v>151713.04316250767</v>
      </c>
      <c r="Q290" s="2">
        <f t="shared" si="217"/>
        <v>14.813751708042435</v>
      </c>
      <c r="R290" s="2">
        <f t="shared" si="218"/>
        <v>2.2440000000000002</v>
      </c>
      <c r="S290" s="2"/>
      <c r="T290" s="2" t="str">
        <f>VLOOKUP(A290,'[4]CEA vs MERIT comp. &amp; NPA marker'!$C$2:$K$735,9,FALSE)</f>
        <v>Not contracted</v>
      </c>
      <c r="U290" s="3">
        <v>0</v>
      </c>
      <c r="V290" s="3">
        <f t="shared" si="220"/>
        <v>0</v>
      </c>
      <c r="W290" s="2">
        <f t="shared" si="221"/>
        <v>3061.7079433559202</v>
      </c>
      <c r="X290" s="2">
        <f t="shared" si="222"/>
        <v>3323.8948286463105</v>
      </c>
      <c r="Y290" s="6">
        <f t="shared" si="223"/>
        <v>0.28088897305383054</v>
      </c>
      <c r="Z290" s="2"/>
      <c r="AA290" s="2">
        <f t="shared" si="225"/>
        <v>31628.876891288746</v>
      </c>
      <c r="AB290" s="2" t="s">
        <v>576</v>
      </c>
      <c r="AC290" s="12">
        <f>VLOOKUP(B290,[9]Sheet1!$A$2:$B$137,2,FALSE)</f>
        <v>5758.6620017898322</v>
      </c>
      <c r="AD290" s="12">
        <f t="shared" si="226"/>
        <v>633452.82019688154</v>
      </c>
      <c r="AE290" s="2"/>
      <c r="AF290" s="7">
        <f>VLOOKUP($B290,'[9]Subsidiary wise dispatch'!$A$3:$R$138,11,FALSE)*$H290*$O290*365</f>
        <v>0</v>
      </c>
      <c r="AG290" s="7">
        <f>VLOOKUP($B290,'[9]Subsidiary wise dispatch'!$A$3:$R$138,12,FALSE)*$H290*$O290*365</f>
        <v>0</v>
      </c>
      <c r="AH290" s="7">
        <f>VLOOKUP($B290,'[9]Subsidiary wise dispatch'!$A$3:$R$138,13,FALSE)*$H290*$O290*365</f>
        <v>151713.04316250767</v>
      </c>
      <c r="AI290" s="7">
        <f>VLOOKUP($B290,'[9]Subsidiary wise dispatch'!$A$3:$R$138,14,FALSE)*$H290*$O290*365</f>
        <v>0</v>
      </c>
      <c r="AJ290" s="7">
        <f>VLOOKUP($B290,'[9]Subsidiary wise dispatch'!$A$3:$R$138,15,FALSE)*$H290*$O290*365</f>
        <v>0</v>
      </c>
      <c r="AK290" s="7">
        <f>VLOOKUP($B290,'[9]Subsidiary wise dispatch'!$A$3:$R$138,16,FALSE)*$H290*$O290*365</f>
        <v>0</v>
      </c>
      <c r="AL290" s="7">
        <f>VLOOKUP($B290,'[9]Subsidiary wise dispatch'!$A$3:$R$138,17,FALSE)*$H290*$O290*365</f>
        <v>0</v>
      </c>
      <c r="AM290" s="7">
        <f>VLOOKUP($B290,'[9]Subsidiary wise dispatch'!$A$3:$R$138,18,FALSE)*$H290*$O290*365</f>
        <v>0</v>
      </c>
      <c r="AN290" s="15">
        <f t="shared" si="227"/>
        <v>151713.04316250767</v>
      </c>
      <c r="AO290" s="6">
        <v>0.09</v>
      </c>
      <c r="AP290" s="11">
        <f t="shared" si="228"/>
        <v>1.3511629588431511E-2</v>
      </c>
      <c r="AQ290" s="11"/>
      <c r="AR290" s="3">
        <f>VLOOKUP(A290,[10]Sheet1!$A$2:$L$542,12,FALSE)</f>
        <v>3.04</v>
      </c>
      <c r="AS290" s="3">
        <f t="shared" si="237"/>
        <v>2.6070106673114335</v>
      </c>
      <c r="AT290" s="2"/>
      <c r="AU290" s="2"/>
      <c r="AV290" s="88">
        <f t="shared" si="239"/>
        <v>0.58122363133419874</v>
      </c>
      <c r="AW290" s="32">
        <f t="shared" si="240"/>
        <v>0.22294639551038162</v>
      </c>
      <c r="AX290" s="12">
        <f t="shared" si="231"/>
        <v>14.28567922386404</v>
      </c>
      <c r="AY290" s="12">
        <f t="shared" si="232"/>
        <v>0</v>
      </c>
      <c r="AZ290" s="3">
        <f>VLOOKUP(A290,[5]Analysis!$A$3:$BJ$543,62,FALSE)</f>
        <v>0.74067390631266761</v>
      </c>
      <c r="BA290" s="2">
        <v>72.11</v>
      </c>
      <c r="BB290" s="2"/>
      <c r="BC290" s="2" t="e">
        <f>VLOOKUP(A290,'[6]FGD status - Jun 2020'!$I$2:$M$449,5,FALSE)</f>
        <v>#N/A</v>
      </c>
      <c r="BD290" s="2" t="str">
        <f>VLOOKUP(A290,'[1]daily coal, energy reqd'!$C$2:$L$599,10,FALSE)</f>
        <v>Y</v>
      </c>
      <c r="BE290" s="2"/>
      <c r="BF290" s="2">
        <f t="shared" si="233"/>
        <v>9.7891373978538674</v>
      </c>
      <c r="BG290" s="2">
        <f t="shared" si="234"/>
        <v>0</v>
      </c>
      <c r="BH290" s="2"/>
      <c r="BI290" s="2"/>
      <c r="BK290">
        <f t="shared" si="235"/>
        <v>6.2553840687182918</v>
      </c>
      <c r="BP290" s="2" t="e">
        <f>VLOOKUP(A290,'[7]Table 2'!$J$2:$N$449,5,FALSE)</f>
        <v>#N/A</v>
      </c>
      <c r="BR290">
        <f t="shared" si="241"/>
        <v>13.490635382328129</v>
      </c>
      <c r="BT290">
        <f>(X290*I290*365*[5]Analysis!BK290)/10^4</f>
        <v>10.44524897085039</v>
      </c>
      <c r="BV290">
        <f>(X290*I290*365*[5]Analysis!BL290)/10^4</f>
        <v>3.0453864114777365</v>
      </c>
      <c r="BX290">
        <f t="shared" si="243"/>
        <v>51148.907342734747</v>
      </c>
      <c r="BZ290">
        <f t="shared" si="245"/>
        <v>210249.23030954014</v>
      </c>
      <c r="CB290">
        <f t="shared" si="247"/>
        <v>-920.70070695465836</v>
      </c>
      <c r="CD290">
        <f t="shared" si="249"/>
        <v>0</v>
      </c>
      <c r="CF290">
        <f t="shared" si="251"/>
        <v>97845.741762976802</v>
      </c>
      <c r="CH290">
        <f t="shared" si="253"/>
        <v>3886.5264845749452</v>
      </c>
      <c r="CJ290">
        <f t="shared" si="255"/>
        <v>-9939.9053713384656</v>
      </c>
      <c r="CL290">
        <f t="shared" si="257"/>
        <v>38197.97135819777</v>
      </c>
    </row>
    <row r="291" spans="1:90" x14ac:dyDescent="0.2">
      <c r="A291" s="2" t="s">
        <v>341</v>
      </c>
      <c r="B291" s="2" t="str">
        <f t="shared" si="259"/>
        <v>BARKHERA TPS</v>
      </c>
      <c r="C291" s="2" t="str">
        <f>VLOOKUP($A291,'[1]daily coal, energy reqd'!$C$2:$T$599,17,FALSE)</f>
        <v>Uttar Pradesh</v>
      </c>
      <c r="D291" s="2" t="str">
        <f>VLOOKUP(C291,'Target PLF'!$I$2:$J$19,2,FALSE)</f>
        <v>NR</v>
      </c>
      <c r="E291" s="2" t="str">
        <f>VLOOKUP(A291,[2]Ownership!$C$2:$D$666,2,FALSE)</f>
        <v>PVT SECTOR</v>
      </c>
      <c r="F291" s="2" t="s">
        <v>543</v>
      </c>
      <c r="G291" s="12">
        <v>8.5065023956194299</v>
      </c>
      <c r="H291" s="2">
        <v>45</v>
      </c>
      <c r="I291" s="2">
        <f>VLOOKUP(A291,'[3]Calculated coal req (reg.)'!$A$2:$I$599,9,FALSE)</f>
        <v>0.179276400409626</v>
      </c>
      <c r="J291" s="2"/>
      <c r="K291" s="11">
        <v>0.16599666704595001</v>
      </c>
      <c r="L291" s="3">
        <f>VLOOKUP(F291,'Target PLF'!$A$2:$B$11,2,FALSE)</f>
        <v>0.85</v>
      </c>
      <c r="M291" s="3">
        <f t="shared" si="236"/>
        <v>0.68400333295405003</v>
      </c>
      <c r="N291" s="2" t="str">
        <f t="shared" si="215"/>
        <v>0.15</v>
      </c>
      <c r="O291" s="2">
        <f t="shared" si="210"/>
        <v>4.9044707409916626</v>
      </c>
      <c r="P291" s="2">
        <f t="shared" si="216"/>
        <v>80555.931920788062</v>
      </c>
      <c r="Q291" s="2">
        <f t="shared" si="217"/>
        <v>14.421214313381245</v>
      </c>
      <c r="R291" s="2">
        <f t="shared" si="218"/>
        <v>0.91800000000000004</v>
      </c>
      <c r="S291" s="2"/>
      <c r="T291" s="2" t="str">
        <f>VLOOKUP(A291,'[4]CEA vs MERIT comp. &amp; NPA marker'!$C$2:$K$735,9,FALSE)</f>
        <v>Contracted</v>
      </c>
      <c r="U291" s="3">
        <f>VLOOKUP(B291,'[8]Import-Domestic share'!$A$208:$F$406,6,FALSE)</f>
        <v>0</v>
      </c>
      <c r="V291" s="3">
        <f t="shared" si="220"/>
        <v>0</v>
      </c>
      <c r="W291" s="2">
        <f t="shared" si="221"/>
        <v>3160.1623227943192</v>
      </c>
      <c r="X291" s="2">
        <f t="shared" si="222"/>
        <v>3386.2741253729387</v>
      </c>
      <c r="Y291" s="6">
        <f t="shared" si="223"/>
        <v>0.272137919560904</v>
      </c>
      <c r="Z291" s="2"/>
      <c r="AA291" s="2">
        <f t="shared" si="225"/>
        <v>51699.451269003031</v>
      </c>
      <c r="AB291" s="2" t="s">
        <v>576</v>
      </c>
      <c r="AC291" s="12"/>
      <c r="AD291" s="12">
        <f t="shared" si="226"/>
        <v>0</v>
      </c>
      <c r="AE291" s="2"/>
      <c r="AF291" s="7"/>
      <c r="AG291" s="7"/>
      <c r="AH291" s="7"/>
      <c r="AI291" s="7"/>
      <c r="AJ291" s="7"/>
      <c r="AK291" s="7"/>
      <c r="AL291" s="7"/>
      <c r="AM291" s="7"/>
      <c r="AN291" s="15">
        <f t="shared" si="227"/>
        <v>0</v>
      </c>
      <c r="AO291" s="6">
        <v>0.10106329868235293</v>
      </c>
      <c r="AP291" s="11">
        <f t="shared" si="228"/>
        <v>1.8118264401295131E-2</v>
      </c>
      <c r="AQ291" s="11"/>
      <c r="AR291" s="3">
        <f>VLOOKUP(A291,[10]Sheet1!$A$2:$L$542,12,FALSE)</f>
        <v>3.7346710526316</v>
      </c>
      <c r="AS291" s="3">
        <f t="shared" si="237"/>
        <v>2.8201778113231715</v>
      </c>
      <c r="AT291" s="2"/>
      <c r="AU291" s="2"/>
      <c r="AV291" s="88">
        <f t="shared" si="239"/>
        <v>0.50125132245538695</v>
      </c>
      <c r="AW291" s="32">
        <f t="shared" si="240"/>
        <v>0.17773748890684654</v>
      </c>
      <c r="AX291" s="12">
        <f t="shared" si="231"/>
        <v>18.454083418312717</v>
      </c>
      <c r="AY291" s="12">
        <f t="shared" si="232"/>
        <v>0</v>
      </c>
      <c r="AZ291" s="3">
        <f>VLOOKUP(A291,[5]Analysis!$A$3:$BJ$543,62,FALSE)</f>
        <v>0.79317845462277725</v>
      </c>
      <c r="BA291" s="2"/>
      <c r="BB291" s="2"/>
      <c r="BC291" s="2" t="e">
        <f>VLOOKUP(A291,'[6]FGD status - Jun 2020'!$I$2:$M$449,5,FALSE)</f>
        <v>#N/A</v>
      </c>
      <c r="BD291" s="2"/>
      <c r="BE291" s="2"/>
      <c r="BF291" s="2">
        <f t="shared" si="233"/>
        <v>16.000980167756438</v>
      </c>
      <c r="BG291" s="2">
        <f t="shared" si="234"/>
        <v>0</v>
      </c>
      <c r="BH291" s="2"/>
      <c r="BI291" s="2"/>
      <c r="BK291">
        <f t="shared" si="235"/>
        <v>7.46985001706775</v>
      </c>
      <c r="BL291" t="str">
        <f>VLOOKUP(A291,'[11]Daily coal vs energy req.2'!$C$2:$P$599,14,FALSE)</f>
        <v/>
      </c>
      <c r="BM291" t="str">
        <f>VLOOKUP(A291,'[11]Daily coal vs energy req.2'!$C$2:$R$599,16,FALSE)</f>
        <v/>
      </c>
      <c r="BP291" s="2" t="e">
        <f>VLOOKUP(A291,'[7]Table 2'!$J$2:$N$449,5,FALSE)</f>
        <v>#N/A</v>
      </c>
      <c r="BR291">
        <f t="shared" si="241"/>
        <v>17.575553423621812</v>
      </c>
      <c r="BT291">
        <f>(X291*I291*365*[5]Analysis!BK291)/10^4</f>
        <v>8.3351583485887257</v>
      </c>
      <c r="BV291">
        <f>(X291*I291*365*[5]Analysis!BL291)/10^4</f>
        <v>9.2403950750330868</v>
      </c>
      <c r="BX291">
        <f t="shared" si="243"/>
        <v>62225.601189704284</v>
      </c>
      <c r="BZ291">
        <f t="shared" si="245"/>
        <v>268866.18241939461</v>
      </c>
      <c r="CB291">
        <f t="shared" si="247"/>
        <v>-3209.3305666464203</v>
      </c>
      <c r="CD291">
        <f t="shared" si="249"/>
        <v>-66160.951623330169</v>
      </c>
      <c r="CF291">
        <f t="shared" si="251"/>
        <v>116842.22867037109</v>
      </c>
      <c r="CH291">
        <f t="shared" si="253"/>
        <v>11291.974526845617</v>
      </c>
      <c r="CJ291">
        <f t="shared" si="255"/>
        <v>-4855.7909432949255</v>
      </c>
      <c r="CL291">
        <f t="shared" si="257"/>
        <v>51221.130666094992</v>
      </c>
    </row>
    <row r="292" spans="1:90" x14ac:dyDescent="0.2">
      <c r="A292" s="2" t="s">
        <v>339</v>
      </c>
      <c r="B292" s="2" t="str">
        <f t="shared" si="259"/>
        <v>BARKHERA TPS</v>
      </c>
      <c r="C292" s="2" t="str">
        <f>VLOOKUP($A292,'[1]daily coal, energy reqd'!$C$2:$T$599,17,FALSE)</f>
        <v>Uttar Pradesh</v>
      </c>
      <c r="D292" s="2" t="str">
        <f>VLOOKUP(C292,'Target PLF'!$I$2:$J$19,2,FALSE)</f>
        <v>NR</v>
      </c>
      <c r="E292" s="2" t="str">
        <f>VLOOKUP(A292,[2]Ownership!$C$2:$D$666,2,FALSE)</f>
        <v>PVT SECTOR</v>
      </c>
      <c r="F292" s="2" t="s">
        <v>543</v>
      </c>
      <c r="G292" s="12">
        <v>8.33949349760438</v>
      </c>
      <c r="H292" s="2">
        <v>45</v>
      </c>
      <c r="I292" s="2">
        <f>VLOOKUP(A292,'[3]Calculated coal req (reg.)'!$A$2:$I$599,9,FALSE)</f>
        <v>0.15138768561187901</v>
      </c>
      <c r="J292" s="2"/>
      <c r="K292" s="11">
        <v>0.14017378297396205</v>
      </c>
      <c r="L292" s="3">
        <f>VLOOKUP(F292,'Target PLF'!$A$2:$B$11,2,FALSE)</f>
        <v>0.85</v>
      </c>
      <c r="M292" s="3">
        <f t="shared" si="236"/>
        <v>0.70982621702603788</v>
      </c>
      <c r="N292" s="2" t="str">
        <f t="shared" si="215"/>
        <v>0.15</v>
      </c>
      <c r="O292" s="2">
        <f t="shared" si="210"/>
        <v>4.5398992011882449</v>
      </c>
      <c r="P292" s="2">
        <f t="shared" si="216"/>
        <v>74567.84437951693</v>
      </c>
      <c r="Q292" s="2">
        <f t="shared" si="217"/>
        <v>14.415924306536619</v>
      </c>
      <c r="R292" s="2">
        <f t="shared" si="218"/>
        <v>0.91800000000000004</v>
      </c>
      <c r="S292" s="2"/>
      <c r="T292" s="2" t="str">
        <f>VLOOKUP(A292,'[4]CEA vs MERIT comp. &amp; NPA marker'!$C$2:$K$735,9,FALSE)</f>
        <v>Contracted</v>
      </c>
      <c r="U292" s="3">
        <f>VLOOKUP(B292,'[8]Import-Domestic share'!$A$208:$F$406,6,FALSE)</f>
        <v>0</v>
      </c>
      <c r="V292" s="3">
        <f t="shared" si="220"/>
        <v>0</v>
      </c>
      <c r="W292" s="2">
        <f t="shared" si="221"/>
        <v>3158.8862851297054</v>
      </c>
      <c r="X292" s="2">
        <f t="shared" si="222"/>
        <v>3393.5343894834632</v>
      </c>
      <c r="Y292" s="6">
        <f t="shared" si="223"/>
        <v>0.27224785015162012</v>
      </c>
      <c r="Z292" s="2"/>
      <c r="AA292" s="2">
        <f t="shared" si="225"/>
        <v>43750.548484111328</v>
      </c>
      <c r="AB292" s="2" t="s">
        <v>576</v>
      </c>
      <c r="AC292" s="12"/>
      <c r="AD292" s="12">
        <f t="shared" si="226"/>
        <v>0</v>
      </c>
      <c r="AE292" s="2"/>
      <c r="AF292" s="7"/>
      <c r="AG292" s="7"/>
      <c r="AH292" s="7"/>
      <c r="AI292" s="7"/>
      <c r="AJ292" s="7"/>
      <c r="AK292" s="7"/>
      <c r="AL292" s="7"/>
      <c r="AM292" s="7"/>
      <c r="AN292" s="15">
        <f t="shared" si="227"/>
        <v>0</v>
      </c>
      <c r="AO292" s="6">
        <v>0.10106329868235293</v>
      </c>
      <c r="AP292" s="11">
        <f t="shared" si="228"/>
        <v>1.5299738887823473E-2</v>
      </c>
      <c r="AQ292" s="11"/>
      <c r="AR292" s="3">
        <f>VLOOKUP(A292,[10]Sheet1!$A$2:$L$542,12,FALSE)</f>
        <v>3.7346710526316</v>
      </c>
      <c r="AS292" s="3">
        <f t="shared" si="237"/>
        <v>2.8196853710091481</v>
      </c>
      <c r="AT292" s="2"/>
      <c r="AU292" s="2"/>
      <c r="AV292" s="88">
        <f t="shared" si="239"/>
        <v>0.52017484836102112</v>
      </c>
      <c r="AW292" s="32">
        <f t="shared" si="240"/>
        <v>0.18447974859509014</v>
      </c>
      <c r="AX292" s="12">
        <f t="shared" si="231"/>
        <v>15.580595950182277</v>
      </c>
      <c r="AY292" s="12">
        <f t="shared" si="232"/>
        <v>0</v>
      </c>
      <c r="AZ292" s="3">
        <f>VLOOKUP(A292,[5]Analysis!$A$3:$BJ$543,62,FALSE)</f>
        <v>0.79317845462277725</v>
      </c>
      <c r="BA292" s="2"/>
      <c r="BB292" s="2"/>
      <c r="BC292" s="2" t="e">
        <f>VLOOKUP(A292,'[6]FGD status - Jun 2020'!$I$2:$M$449,5,FALSE)</f>
        <v>#N/A</v>
      </c>
      <c r="BD292" s="2"/>
      <c r="BE292" s="2"/>
      <c r="BF292" s="2">
        <f t="shared" si="233"/>
        <v>13.540794755832458</v>
      </c>
      <c r="BG292" s="2">
        <f t="shared" si="234"/>
        <v>0</v>
      </c>
      <c r="BH292" s="2"/>
      <c r="BI292" s="2"/>
      <c r="BK292">
        <f t="shared" si="235"/>
        <v>6.3078202338282923</v>
      </c>
      <c r="BL292" t="str">
        <f>VLOOKUP(A292,'[11]Daily coal vs energy req.2'!$C$2:$P$599,14,FALSE)</f>
        <v/>
      </c>
      <c r="BM292" t="str">
        <f>VLOOKUP(A292,'[11]Daily coal vs energy req.2'!$C$2:$R$599,16,FALSE)</f>
        <v/>
      </c>
      <c r="BP292" s="2" t="e">
        <f>VLOOKUP(A292,'[7]Table 2'!$J$2:$N$449,5,FALSE)</f>
        <v>#N/A</v>
      </c>
      <c r="BR292">
        <f t="shared" si="241"/>
        <v>14.873273957866576</v>
      </c>
      <c r="BT292">
        <f>(X292*I292*365*[5]Analysis!BK292)/10^4</f>
        <v>7.0536096709273366</v>
      </c>
      <c r="BV292">
        <f>(X292*I292*365*[5]Analysis!BL292)/10^4</f>
        <v>7.8196642869392408</v>
      </c>
      <c r="BX292">
        <f t="shared" si="243"/>
        <v>52658.280019992781</v>
      </c>
      <c r="BZ292">
        <f t="shared" si="245"/>
        <v>227040.6422862779</v>
      </c>
      <c r="CB292">
        <f t="shared" si="247"/>
        <v>-2288.491503711813</v>
      </c>
      <c r="CD292">
        <f t="shared" si="249"/>
        <v>-55868.777604024523</v>
      </c>
      <c r="CF292">
        <f t="shared" si="251"/>
        <v>98665.940077585677</v>
      </c>
      <c r="CH292">
        <f t="shared" si="253"/>
        <v>9348.1562211435448</v>
      </c>
      <c r="CJ292">
        <f t="shared" si="255"/>
        <v>-4100.4111586405497</v>
      </c>
      <c r="CL292">
        <f t="shared" si="257"/>
        <v>43253.035024388024</v>
      </c>
    </row>
    <row r="293" spans="1:90" x14ac:dyDescent="0.2">
      <c r="A293" s="2" t="s">
        <v>233</v>
      </c>
      <c r="B293" s="2" t="str">
        <f t="shared" si="259"/>
        <v>BELA TPS</v>
      </c>
      <c r="C293" s="2" t="str">
        <f>VLOOKUP($A293,'[1]daily coal, energy reqd'!$C$2:$T$599,17,FALSE)</f>
        <v>Maharashtra</v>
      </c>
      <c r="D293" s="2" t="str">
        <f>VLOOKUP(C293,'Target PLF'!$I$2:$J$19,2,FALSE)</f>
        <v>WR</v>
      </c>
      <c r="E293" s="2" t="str">
        <f>VLOOKUP(A293,[2]Ownership!$C$2:$D$666,2,FALSE)</f>
        <v>PVT SECTOR</v>
      </c>
      <c r="F293" s="2" t="s">
        <v>543</v>
      </c>
      <c r="G293" s="12">
        <v>7.1759069130732298</v>
      </c>
      <c r="H293" s="2">
        <v>270</v>
      </c>
      <c r="I293" s="2">
        <f>VLOOKUP(A293,'[3]Calculated coal req (reg.)'!$A$2:$I$599,9,FALSE)</f>
        <v>0.18591200716845799</v>
      </c>
      <c r="J293" s="2"/>
      <c r="K293" s="11">
        <v>2.8690124563033641E-2</v>
      </c>
      <c r="L293" s="3">
        <f>VLOOKUP(F293,'Target PLF'!$A$2:$B$11,2,FALSE)</f>
        <v>0.85</v>
      </c>
      <c r="M293" s="3">
        <f t="shared" si="236"/>
        <v>0.82130987543696632</v>
      </c>
      <c r="N293" s="2" t="str">
        <f t="shared" si="215"/>
        <v>0.15</v>
      </c>
      <c r="O293" s="2">
        <f t="shared" si="210"/>
        <v>1.7801595115544504</v>
      </c>
      <c r="P293" s="2">
        <f t="shared" si="216"/>
        <v>175434.71986369108</v>
      </c>
      <c r="Q293" s="2">
        <f t="shared" si="217"/>
        <v>13.207290201471594</v>
      </c>
      <c r="R293" s="2">
        <f t="shared" si="218"/>
        <v>5.508</v>
      </c>
      <c r="S293" s="2"/>
      <c r="T293" s="2" t="str">
        <f>VLOOKUP(A293,'[4]CEA vs MERIT comp. &amp; NPA marker'!$C$2:$K$735,9,FALSE)</f>
        <v>Not contracted</v>
      </c>
      <c r="U293" s="3">
        <v>0.28000000000000003</v>
      </c>
      <c r="V293" s="3">
        <f t="shared" si="220"/>
        <v>49121.721561833503</v>
      </c>
      <c r="W293" s="2">
        <f t="shared" si="221"/>
        <v>3004.8314092778919</v>
      </c>
      <c r="X293" s="2">
        <f t="shared" si="222"/>
        <v>3276.3328003729403</v>
      </c>
      <c r="Y293" s="6">
        <f t="shared" si="223"/>
        <v>0.28620574097588775</v>
      </c>
      <c r="Z293" s="2"/>
      <c r="AA293" s="2">
        <f t="shared" si="225"/>
        <v>51872.376710278506</v>
      </c>
      <c r="AB293" s="2" t="s">
        <v>576</v>
      </c>
      <c r="AC293" s="12"/>
      <c r="AD293" s="12">
        <f t="shared" si="226"/>
        <v>0</v>
      </c>
      <c r="AE293" s="2"/>
      <c r="AF293" s="7"/>
      <c r="AG293" s="7"/>
      <c r="AH293" s="7"/>
      <c r="AI293" s="7"/>
      <c r="AJ293" s="7"/>
      <c r="AK293" s="7"/>
      <c r="AL293" s="7"/>
      <c r="AM293" s="7"/>
      <c r="AN293" s="15">
        <f t="shared" si="227"/>
        <v>0</v>
      </c>
      <c r="AO293" s="6">
        <v>9.4448436788302656E-2</v>
      </c>
      <c r="AP293" s="11">
        <f t="shared" si="228"/>
        <v>1.7559098457236574E-2</v>
      </c>
      <c r="AQ293" s="11"/>
      <c r="AR293" s="3"/>
      <c r="AS293" s="3">
        <f t="shared" si="237"/>
        <v>2.4273342273167904</v>
      </c>
      <c r="AT293" s="2"/>
      <c r="AU293" s="2"/>
      <c r="AV293" s="88">
        <f t="shared" si="239"/>
        <v>0.60187230291771765</v>
      </c>
      <c r="AW293" s="32">
        <f t="shared" si="240"/>
        <v>0.24795608950112974</v>
      </c>
      <c r="AX293" s="12">
        <f t="shared" si="231"/>
        <v>16.471376106824433</v>
      </c>
      <c r="AY293" s="12">
        <f t="shared" si="232"/>
        <v>0</v>
      </c>
      <c r="AZ293" s="3">
        <f>VLOOKUP(A293,[5]Analysis!$A$3:$BJ$543,62,FALSE)</f>
        <v>0.67809704752733024</v>
      </c>
      <c r="BA293" s="2"/>
      <c r="BB293" s="2"/>
      <c r="BC293" s="2" t="e">
        <f>VLOOKUP(A293,'[6]FGD status - Jun 2020'!$I$2:$M$449,5,FALSE)</f>
        <v>#N/A</v>
      </c>
      <c r="BD293" s="2"/>
      <c r="BE293" s="2"/>
      <c r="BF293" s="2">
        <f t="shared" si="233"/>
        <v>19.156883698119533</v>
      </c>
      <c r="BG293" s="2">
        <f t="shared" si="234"/>
        <v>0</v>
      </c>
      <c r="BH293" s="2"/>
      <c r="BI293" s="2"/>
      <c r="BK293">
        <f t="shared" si="235"/>
        <v>7.7463336320190832</v>
      </c>
      <c r="BL293" t="str">
        <f>VLOOKUP(A293,'[11]Daily coal vs energy req.2'!$C$2:$P$599,14,FALSE)</f>
        <v/>
      </c>
      <c r="BM293" t="str">
        <f>VLOOKUP(A293,'[11]Daily coal vs energy req.2'!$C$2:$R$599,16,FALSE)</f>
        <v/>
      </c>
      <c r="BP293" s="2" t="e">
        <f>VLOOKUP(A293,'[7]Table 2'!$J$2:$N$449,5,FALSE)</f>
        <v>#N/A</v>
      </c>
      <c r="BR293">
        <f t="shared" si="241"/>
        <v>15.075793055356428</v>
      </c>
      <c r="BT293">
        <f>(X293*I293*365*[5]Analysis!BK293)/10^4</f>
        <v>13.625597579215496</v>
      </c>
      <c r="BV293">
        <f>(X293*I293*365*[5]Analysis!BL293)/10^4</f>
        <v>1.4501954761409286</v>
      </c>
      <c r="BX293">
        <f t="shared" si="243"/>
        <v>62433.734724591777</v>
      </c>
      <c r="BZ293">
        <f t="shared" si="245"/>
        <v>238364.4262847144</v>
      </c>
      <c r="CB293">
        <f t="shared" si="247"/>
        <v>-575.21716082306159</v>
      </c>
      <c r="CD293">
        <f t="shared" si="249"/>
        <v>-68609.785138279272</v>
      </c>
      <c r="CF293">
        <f t="shared" si="251"/>
        <v>121166.9422439959</v>
      </c>
      <c r="CH293">
        <f t="shared" si="253"/>
        <v>9878.2490978881706</v>
      </c>
      <c r="CJ293">
        <f t="shared" si="255"/>
        <v>-30213.118020967617</v>
      </c>
      <c r="CL293">
        <f t="shared" si="257"/>
        <v>49640.343938939914</v>
      </c>
    </row>
    <row r="294" spans="1:90" x14ac:dyDescent="0.2">
      <c r="A294" s="2" t="s">
        <v>290</v>
      </c>
      <c r="B294" s="2" t="str">
        <f t="shared" si="259"/>
        <v>BHILAI TPS</v>
      </c>
      <c r="C294" s="2" t="str">
        <f>VLOOKUP($A294,'[1]daily coal, energy reqd'!$C$2:$T$599,17,FALSE)</f>
        <v>Chhatisgarh</v>
      </c>
      <c r="D294" s="2" t="str">
        <f>VLOOKUP(C294,'Target PLF'!$I$2:$J$19,2,FALSE)</f>
        <v>WR</v>
      </c>
      <c r="E294" s="2" t="str">
        <f>VLOOKUP(A294,[2]Ownership!$C$2:$D$666,2,FALSE)</f>
        <v>CENTRAL SECTOR</v>
      </c>
      <c r="F294" s="2" t="s">
        <v>544</v>
      </c>
      <c r="G294" s="12">
        <v>12.090349075975301</v>
      </c>
      <c r="H294" s="2">
        <v>250</v>
      </c>
      <c r="I294" s="2">
        <f>VLOOKUP(A294,'[3]Calculated coal req (reg.)'!$A$2:$I$599,9,FALSE)</f>
        <v>4.4430615712343497</v>
      </c>
      <c r="J294" s="2"/>
      <c r="K294" s="11">
        <v>0.74051026187239166</v>
      </c>
      <c r="L294" s="3">
        <f>VLOOKUP(F294,'Target PLF'!$A$2:$B$11,2,FALSE)</f>
        <v>0.8</v>
      </c>
      <c r="M294" s="3">
        <f t="shared" si="236"/>
        <v>5.9489738127608383E-2</v>
      </c>
      <c r="N294" s="2" t="str">
        <f t="shared" si="215"/>
        <v>0.15</v>
      </c>
      <c r="O294" s="2">
        <f t="shared" si="210"/>
        <v>12.833500683490664</v>
      </c>
      <c r="P294" s="2">
        <f t="shared" si="216"/>
        <v>1171056.9373685231</v>
      </c>
      <c r="Q294" s="2">
        <f t="shared" si="217"/>
        <v>14.356864256981517</v>
      </c>
      <c r="R294" s="2">
        <f t="shared" si="218"/>
        <v>4.8</v>
      </c>
      <c r="S294" s="2"/>
      <c r="T294" s="2" t="str">
        <f>VLOOKUP(A294,'[4]CEA vs MERIT comp. &amp; NPA marker'!$C$2:$K$735,9,FALSE)</f>
        <v>Contracted</v>
      </c>
      <c r="U294" s="3">
        <f>VLOOKUP(B294,'[8]Import-Domestic share'!$A$208:$F$406,6,FALSE)</f>
        <v>0</v>
      </c>
      <c r="V294" s="3">
        <f t="shared" si="220"/>
        <v>0</v>
      </c>
      <c r="W294" s="2">
        <f t="shared" si="221"/>
        <v>3014.2962244579048</v>
      </c>
      <c r="X294" s="2">
        <f t="shared" si="222"/>
        <v>3033.9618185784338</v>
      </c>
      <c r="Y294" s="6">
        <f t="shared" si="223"/>
        <v>0.28530706206708784</v>
      </c>
      <c r="Z294" s="2"/>
      <c r="AA294" s="2">
        <f t="shared" si="225"/>
        <v>991008.16413411894</v>
      </c>
      <c r="AB294" s="2" t="s">
        <v>576</v>
      </c>
      <c r="AC294" s="12">
        <f>VLOOKUP(B294,[9]Sheet1!$A$2:$B$137,2,FALSE)</f>
        <v>4964.8722111397574</v>
      </c>
      <c r="AD294" s="12">
        <f t="shared" si="226"/>
        <v>1241218.0527849393</v>
      </c>
      <c r="AE294" s="2"/>
      <c r="AF294" s="7">
        <f>VLOOKUP($B294,'[9]Subsidiary wise dispatch'!$A$3:$R$138,11,FALSE)*$H294*$O294*365</f>
        <v>0</v>
      </c>
      <c r="AG294" s="7">
        <f>VLOOKUP($B294,'[9]Subsidiary wise dispatch'!$A$3:$R$138,12,FALSE)*$H294*$O294*365</f>
        <v>0</v>
      </c>
      <c r="AH294" s="7">
        <f>VLOOKUP($B294,'[9]Subsidiary wise dispatch'!$A$3:$R$138,13,FALSE)*$H294*$O294*365</f>
        <v>603592.31234144967</v>
      </c>
      <c r="AI294" s="7">
        <f>VLOOKUP($B294,'[9]Subsidiary wise dispatch'!$A$3:$R$138,14,FALSE)*$H294*$O294*365</f>
        <v>0</v>
      </c>
      <c r="AJ294" s="7">
        <f>VLOOKUP($B294,'[9]Subsidiary wise dispatch'!$A$3:$R$138,15,FALSE)*$H294*$O294*365</f>
        <v>0</v>
      </c>
      <c r="AK294" s="7">
        <f>VLOOKUP($B294,'[9]Subsidiary wise dispatch'!$A$3:$R$138,16,FALSE)*$H294*$O294*365</f>
        <v>0</v>
      </c>
      <c r="AL294" s="7">
        <f>VLOOKUP($B294,'[9]Subsidiary wise dispatch'!$A$3:$R$138,17,FALSE)*$H294*$O294*365</f>
        <v>567464.62502707343</v>
      </c>
      <c r="AM294" s="7">
        <f>VLOOKUP($B294,'[9]Subsidiary wise dispatch'!$A$3:$R$138,18,FALSE)*$H294*$O294*365</f>
        <v>0</v>
      </c>
      <c r="AN294" s="15">
        <f t="shared" si="227"/>
        <v>1171056.9373685231</v>
      </c>
      <c r="AO294" s="6">
        <v>8.0634482570770813E-2</v>
      </c>
      <c r="AP294" s="11">
        <f t="shared" si="228"/>
        <v>0.35826397082655775</v>
      </c>
      <c r="AQ294" s="11"/>
      <c r="AR294" s="3">
        <f>VLOOKUP(A294,[10]Sheet1!$A$2:$L$542,12,FALSE)</f>
        <v>2.5478971205186798</v>
      </c>
      <c r="AS294" s="3">
        <f t="shared" si="237"/>
        <v>2.8026150969163517</v>
      </c>
      <c r="AT294" s="2"/>
      <c r="AU294" s="2"/>
      <c r="AV294" s="88">
        <f t="shared" si="239"/>
        <v>4.359526989467398E-2</v>
      </c>
      <c r="AW294" s="32">
        <f t="shared" si="240"/>
        <v>1.5555211253461376E-2</v>
      </c>
      <c r="AX294" s="12">
        <f t="shared" si="231"/>
        <v>454.50498741656503</v>
      </c>
      <c r="AY294" s="12">
        <f t="shared" si="232"/>
        <v>0</v>
      </c>
      <c r="AZ294" s="3">
        <f>VLOOKUP(A294,[5]Analysis!$A$3:$BJ$543,62,FALSE)</f>
        <v>0.88475701395674322</v>
      </c>
      <c r="BA294" s="2">
        <v>291.64</v>
      </c>
      <c r="BB294" s="2"/>
      <c r="BC294" s="2" t="str">
        <f>VLOOKUP(A294,'[6]FGD status - Jun 2020'!$I$2:$M$449,5,FALSE)</f>
        <v>Bid Awarded</v>
      </c>
      <c r="BD294" s="2"/>
      <c r="BE294" s="2"/>
      <c r="BF294" s="2">
        <f t="shared" si="233"/>
        <v>306.71702679950982</v>
      </c>
      <c r="BG294" s="2">
        <f t="shared" si="234"/>
        <v>0</v>
      </c>
      <c r="BH294" s="2">
        <f>IF(G294&lt;17,IF(H294&gt;400,H294*5000000,H294*3500000),H294*1500000)/10^7</f>
        <v>87.5</v>
      </c>
      <c r="BI294" s="2">
        <f>(H294*800000)/10^7</f>
        <v>20</v>
      </c>
      <c r="BK294">
        <f t="shared" si="235"/>
        <v>185.12756546809791</v>
      </c>
      <c r="BL294">
        <f>VLOOKUP(A294,'[11]Daily coal vs energy req.2'!$C$2:$P$599,14,FALSE)</f>
        <v>1.57</v>
      </c>
      <c r="BM294">
        <f>VLOOKUP(A294,'[11]Daily coal vs energy req.2'!$C$2:$R$599,16,FALSE)</f>
        <v>1.36</v>
      </c>
      <c r="BN294">
        <f>BL294*H294</f>
        <v>392.5</v>
      </c>
      <c r="BO294">
        <f>BM294*H294</f>
        <v>340</v>
      </c>
      <c r="BP294" s="2" t="str">
        <f>VLOOKUP(A294,'[7]Table 2'!$J$2:$N$449,5,FALSE)</f>
        <v>Bid Awarded</v>
      </c>
      <c r="BR294">
        <f t="shared" si="241"/>
        <v>435.32070252319278</v>
      </c>
      <c r="BT294">
        <f>(X294*I294*365*[5]Analysis!BK294)/10^4</f>
        <v>281.06391754648212</v>
      </c>
      <c r="BV294">
        <f>(X294*I294*365*[5]Analysis!BL294)/10^4</f>
        <v>154.25678497671072</v>
      </c>
      <c r="BX294">
        <f t="shared" si="243"/>
        <v>1381708.1143836074</v>
      </c>
      <c r="BZ294">
        <f t="shared" si="245"/>
        <v>7432732.3479000228</v>
      </c>
      <c r="CB294">
        <f t="shared" si="247"/>
        <v>-354817.77943207213</v>
      </c>
      <c r="CD294">
        <f t="shared" si="249"/>
        <v>0</v>
      </c>
      <c r="CF294">
        <f t="shared" si="251"/>
        <v>2895736.4991517742</v>
      </c>
      <c r="CH294">
        <f t="shared" si="253"/>
        <v>397756.15542496217</v>
      </c>
      <c r="CJ294">
        <f t="shared" si="255"/>
        <v>-668569.68993148895</v>
      </c>
      <c r="CL294">
        <f t="shared" si="257"/>
        <v>1012828.009141395</v>
      </c>
    </row>
    <row r="295" spans="1:90" x14ac:dyDescent="0.2">
      <c r="A295" s="2" t="s">
        <v>282</v>
      </c>
      <c r="B295" s="2" t="str">
        <f t="shared" si="259"/>
        <v>BHILAI TPS</v>
      </c>
      <c r="C295" s="2" t="str">
        <f>VLOOKUP($A295,'[1]daily coal, energy reqd'!$C$2:$T$599,17,FALSE)</f>
        <v>Chhatisgarh</v>
      </c>
      <c r="D295" s="2" t="str">
        <f>VLOOKUP(C295,'Target PLF'!$I$2:$J$19,2,FALSE)</f>
        <v>WR</v>
      </c>
      <c r="E295" s="2" t="str">
        <f>VLOOKUP(A295,[2]Ownership!$C$2:$D$666,2,FALSE)</f>
        <v>CENTRAL SECTOR</v>
      </c>
      <c r="F295" s="2" t="s">
        <v>544</v>
      </c>
      <c r="G295" s="12">
        <v>10.841889117043101</v>
      </c>
      <c r="H295" s="2">
        <v>250</v>
      </c>
      <c r="I295" s="2">
        <f>VLOOKUP(A295,'[3]Calculated coal req (reg.)'!$A$2:$I$599,9,FALSE)</f>
        <v>4.57049277196543</v>
      </c>
      <c r="J295" s="2"/>
      <c r="K295" s="11">
        <v>0.76174879532757167</v>
      </c>
      <c r="L295" s="3">
        <f>VLOOKUP(F295,'Target PLF'!$A$2:$B$11,2,FALSE)</f>
        <v>0.8</v>
      </c>
      <c r="M295" s="3">
        <f t="shared" si="236"/>
        <v>3.8251204672428374E-2</v>
      </c>
      <c r="N295" s="2" t="str">
        <f t="shared" si="215"/>
        <v>0.15</v>
      </c>
      <c r="O295" s="2">
        <f t="shared" si="210"/>
        <v>13.089453801813443</v>
      </c>
      <c r="P295" s="2">
        <f t="shared" si="216"/>
        <v>1194412.6594154767</v>
      </c>
      <c r="Q295" s="2">
        <f t="shared" si="217"/>
        <v>14.31731928778234</v>
      </c>
      <c r="R295" s="2">
        <f t="shared" si="218"/>
        <v>4.8</v>
      </c>
      <c r="S295" s="2"/>
      <c r="T295" s="2" t="str">
        <f>VLOOKUP(A295,'[4]CEA vs MERIT comp. &amp; NPA marker'!$C$2:$K$735,9,FALSE)</f>
        <v>Contracted</v>
      </c>
      <c r="U295" s="3">
        <f>VLOOKUP(B295,'[8]Import-Domestic share'!$A$208:$F$406,6,FALSE)</f>
        <v>0</v>
      </c>
      <c r="V295" s="3">
        <f t="shared" si="220"/>
        <v>0</v>
      </c>
      <c r="W295" s="2">
        <f t="shared" si="221"/>
        <v>3004.7573199486651</v>
      </c>
      <c r="X295" s="2">
        <f t="shared" si="222"/>
        <v>3017.4020665786752</v>
      </c>
      <c r="Y295" s="6">
        <f t="shared" si="223"/>
        <v>0.28621279804875982</v>
      </c>
      <c r="Z295" s="2"/>
      <c r="AA295" s="2">
        <f t="shared" si="225"/>
        <v>1013867.0278624541</v>
      </c>
      <c r="AB295" s="2" t="s">
        <v>576</v>
      </c>
      <c r="AC295" s="12">
        <f>VLOOKUP(B295,[9]Sheet1!$A$2:$B$137,2,FALSE)</f>
        <v>4964.8722111397574</v>
      </c>
      <c r="AD295" s="12">
        <f t="shared" si="226"/>
        <v>1241218.0527849393</v>
      </c>
      <c r="AE295" s="2"/>
      <c r="AF295" s="7">
        <f>VLOOKUP($B295,'[9]Subsidiary wise dispatch'!$A$3:$R$138,11,FALSE)*$H295*$O295*365</f>
        <v>0</v>
      </c>
      <c r="AG295" s="7">
        <f>VLOOKUP($B295,'[9]Subsidiary wise dispatch'!$A$3:$R$138,12,FALSE)*$H295*$O295*365</f>
        <v>0</v>
      </c>
      <c r="AH295" s="7">
        <f>VLOOKUP($B295,'[9]Subsidiary wise dispatch'!$A$3:$R$138,13,FALSE)*$H295*$O295*365</f>
        <v>615630.44116924424</v>
      </c>
      <c r="AI295" s="7">
        <f>VLOOKUP($B295,'[9]Subsidiary wise dispatch'!$A$3:$R$138,14,FALSE)*$H295*$O295*365</f>
        <v>0</v>
      </c>
      <c r="AJ295" s="7">
        <f>VLOOKUP($B295,'[9]Subsidiary wise dispatch'!$A$3:$R$138,15,FALSE)*$H295*$O295*365</f>
        <v>0</v>
      </c>
      <c r="AK295" s="7">
        <f>VLOOKUP($B295,'[9]Subsidiary wise dispatch'!$A$3:$R$138,16,FALSE)*$H295*$O295*365</f>
        <v>0</v>
      </c>
      <c r="AL295" s="7">
        <f>VLOOKUP($B295,'[9]Subsidiary wise dispatch'!$A$3:$R$138,17,FALSE)*$H295*$O295*365</f>
        <v>578782.21824623249</v>
      </c>
      <c r="AM295" s="7">
        <f>VLOOKUP($B295,'[9]Subsidiary wise dispatch'!$A$3:$R$138,18,FALSE)*$H295*$O295*365</f>
        <v>0</v>
      </c>
      <c r="AN295" s="15">
        <f t="shared" si="227"/>
        <v>1194412.6594154767</v>
      </c>
      <c r="AO295" s="6">
        <v>8.0634482570770813E-2</v>
      </c>
      <c r="AP295" s="11">
        <f t="shared" si="228"/>
        <v>0.36853931976088045</v>
      </c>
      <c r="AQ295" s="11"/>
      <c r="AR295" s="3">
        <f>VLOOKUP(A295,[10]Sheet1!$A$2:$L$542,12,FALSE)</f>
        <v>2.5478971205186798</v>
      </c>
      <c r="AS295" s="3">
        <f t="shared" si="237"/>
        <v>2.7916735005704627</v>
      </c>
      <c r="AT295" s="2"/>
      <c r="AU295" s="2"/>
      <c r="AV295" s="88">
        <f t="shared" si="239"/>
        <v>2.8031247808048963E-2</v>
      </c>
      <c r="AW295" s="32">
        <f t="shared" si="240"/>
        <v>1.0041019410873419E-2</v>
      </c>
      <c r="AX295" s="12">
        <f t="shared" si="231"/>
        <v>465.71530979563266</v>
      </c>
      <c r="AY295" s="12">
        <f t="shared" si="232"/>
        <v>0</v>
      </c>
      <c r="AZ295" s="3">
        <f>VLOOKUP(A295,[5]Analysis!$A$3:$BJ$543,62,FALSE)</f>
        <v>0.88475701395674322</v>
      </c>
      <c r="BA295" s="2">
        <v>291.64</v>
      </c>
      <c r="BB295" s="2"/>
      <c r="BC295" s="2" t="str">
        <f>VLOOKUP(A295,'[6]FGD status - Jun 2020'!$I$2:$M$449,5,FALSE)</f>
        <v>Bid Awarded</v>
      </c>
      <c r="BD295" s="2"/>
      <c r="BE295" s="2"/>
      <c r="BF295" s="2">
        <f t="shared" si="233"/>
        <v>313.79184512342954</v>
      </c>
      <c r="BG295" s="2">
        <f t="shared" si="234"/>
        <v>0</v>
      </c>
      <c r="BH295" s="2">
        <f>IF(G295&lt;17,IF(H295&gt;400,H295*5000000,H295*3500000),H295*1500000)/10^7</f>
        <v>87.5</v>
      </c>
      <c r="BI295" s="2">
        <f>(H295*800000)/10^7</f>
        <v>20</v>
      </c>
      <c r="BK295">
        <f t="shared" si="235"/>
        <v>190.43719883189291</v>
      </c>
      <c r="BL295">
        <f>VLOOKUP(A295,'[11]Daily coal vs energy req.2'!$C$2:$P$599,14,FALSE)</f>
        <v>1.55</v>
      </c>
      <c r="BM295">
        <f>VLOOKUP(A295,'[11]Daily coal vs energy req.2'!$C$2:$R$599,16,FALSE)</f>
        <v>1.6</v>
      </c>
      <c r="BN295">
        <f>BL295*H295</f>
        <v>387.5</v>
      </c>
      <c r="BO295">
        <f>BM295*H295</f>
        <v>400</v>
      </c>
      <c r="BP295" s="2" t="str">
        <f>VLOOKUP(A295,'[7]Table 2'!$J$2:$N$449,5,FALSE)</f>
        <v>Bid Awarded</v>
      </c>
      <c r="BR295">
        <f t="shared" si="241"/>
        <v>445.36192819341244</v>
      </c>
      <c r="BT295">
        <f>(X295*I295*365*[5]Analysis!BK295)/10^4</f>
        <v>287.54701427834465</v>
      </c>
      <c r="BV295">
        <f>(X295*I295*365*[5]Analysis!BL295)/10^4</f>
        <v>157.81491391506779</v>
      </c>
      <c r="BX295">
        <f t="shared" si="243"/>
        <v>1413578.9693796672</v>
      </c>
      <c r="BZ295">
        <f t="shared" si="245"/>
        <v>7645910.1291709021</v>
      </c>
      <c r="CB295">
        <f t="shared" si="247"/>
        <v>-375462.66913858196</v>
      </c>
      <c r="CD295">
        <f t="shared" si="249"/>
        <v>0</v>
      </c>
      <c r="CF295">
        <f t="shared" si="251"/>
        <v>2978788.9559254516</v>
      </c>
      <c r="CH295">
        <f t="shared" si="253"/>
        <v>366913.52873612905</v>
      </c>
      <c r="CJ295">
        <f t="shared" si="255"/>
        <v>-687744.89986149827</v>
      </c>
      <c r="CL295">
        <f t="shared" si="257"/>
        <v>1041876.8726940784</v>
      </c>
    </row>
    <row r="296" spans="1:90" x14ac:dyDescent="0.2">
      <c r="A296" s="2" t="s">
        <v>490</v>
      </c>
      <c r="B296" s="2" t="str">
        <f t="shared" si="259"/>
        <v>BHUSAWAL TPS</v>
      </c>
      <c r="C296" s="2" t="str">
        <f>VLOOKUP($A296,'[1]daily coal, energy reqd'!$C$2:$T$599,17,FALSE)</f>
        <v>Maharashtra</v>
      </c>
      <c r="D296" s="2" t="str">
        <f>VLOOKUP(C296,'Target PLF'!$I$2:$J$19,2,FALSE)</f>
        <v>WR</v>
      </c>
      <c r="E296" s="2" t="str">
        <f>VLOOKUP(A296,[2]Ownership!$C$2:$D$666,2,FALSE)</f>
        <v>STATE SECTOR</v>
      </c>
      <c r="F296" s="2" t="s">
        <v>549</v>
      </c>
      <c r="G296" s="12">
        <v>37.672826830937701</v>
      </c>
      <c r="H296" s="2">
        <v>210</v>
      </c>
      <c r="I296" s="2">
        <f>VLOOKUP(A296,'[3]Calculated coal req (reg.)'!$A$2:$I$599,9,FALSE)</f>
        <v>0.60207771244945796</v>
      </c>
      <c r="J296" s="2"/>
      <c r="K296" s="11">
        <v>0.11945986358124167</v>
      </c>
      <c r="L296" s="3">
        <f>VLOOKUP(F296,'Target PLF'!$A$2:$B$11,2,FALSE)</f>
        <v>0.55000000000000004</v>
      </c>
      <c r="M296" s="3">
        <f t="shared" si="236"/>
        <v>0.43054013641875838</v>
      </c>
      <c r="N296" s="2" t="str">
        <f t="shared" si="215"/>
        <v>0.25</v>
      </c>
      <c r="O296" s="2">
        <f t="shared" si="210"/>
        <v>5.1823714598348412</v>
      </c>
      <c r="P296" s="2">
        <f t="shared" si="216"/>
        <v>397228.77239634056</v>
      </c>
      <c r="Q296" s="2">
        <f t="shared" si="217"/>
        <v>15.34659553986995</v>
      </c>
      <c r="R296" s="2">
        <f t="shared" si="218"/>
        <v>2.7719999999999998</v>
      </c>
      <c r="S296" s="2"/>
      <c r="T296" s="2" t="str">
        <f>VLOOKUP(A296,'[4]CEA vs MERIT comp. &amp; NPA marker'!$C$2:$K$735,9,FALSE)</f>
        <v>Contracted</v>
      </c>
      <c r="U296" s="3">
        <f>VLOOKUP(B296,'[8]Import-Domestic share'!$A$208:$F$406,6,FALSE)</f>
        <v>3.8557742899071587E-2</v>
      </c>
      <c r="V296" s="3">
        <f t="shared" si="220"/>
        <v>15316.244878171925</v>
      </c>
      <c r="W296" s="2">
        <f t="shared" si="221"/>
        <v>3338.1256433563281</v>
      </c>
      <c r="X296" s="2">
        <f t="shared" si="222"/>
        <v>3480.4498129004405</v>
      </c>
      <c r="Y296" s="6">
        <f t="shared" si="223"/>
        <v>0.25762960771461874</v>
      </c>
      <c r="Z296" s="2"/>
      <c r="AA296" s="2">
        <f t="shared" si="225"/>
        <v>176954.16028301386</v>
      </c>
      <c r="AB296" s="2" t="s">
        <v>576</v>
      </c>
      <c r="AC296" s="12">
        <f>VLOOKUP(B296,[9]Sheet1!$A$2:$B$137,2,FALSE)</f>
        <v>4322.3508239512021</v>
      </c>
      <c r="AD296" s="12">
        <f t="shared" si="226"/>
        <v>907693.67302975245</v>
      </c>
      <c r="AE296" s="2"/>
      <c r="AF296" s="7">
        <f>VLOOKUP($B296,'[9]Subsidiary wise dispatch'!$A$3:$R$138,11,FALSE)*$H296*$O296*365</f>
        <v>0</v>
      </c>
      <c r="AG296" s="7">
        <f>VLOOKUP($B296,'[9]Subsidiary wise dispatch'!$A$3:$R$138,12,FALSE)*$H296*$O296*365</f>
        <v>0</v>
      </c>
      <c r="AH296" s="7">
        <f>VLOOKUP($B296,'[9]Subsidiary wise dispatch'!$A$3:$R$138,13,FALSE)*$H296*$O296*365</f>
        <v>0</v>
      </c>
      <c r="AI296" s="7">
        <f>VLOOKUP($B296,'[9]Subsidiary wise dispatch'!$A$3:$R$138,14,FALSE)*$H296*$O296*365</f>
        <v>0</v>
      </c>
      <c r="AJ296" s="7">
        <f>VLOOKUP($B296,'[9]Subsidiary wise dispatch'!$A$3:$R$138,15,FALSE)*$H296*$O296*365</f>
        <v>0</v>
      </c>
      <c r="AK296" s="7">
        <f>VLOOKUP($B296,'[9]Subsidiary wise dispatch'!$A$3:$R$138,16,FALSE)*$H296*$O296*365</f>
        <v>0</v>
      </c>
      <c r="AL296" s="7">
        <f>VLOOKUP($B296,'[9]Subsidiary wise dispatch'!$A$3:$R$138,17,FALSE)*$H296*$O296*365</f>
        <v>7180.4330340204478</v>
      </c>
      <c r="AM296" s="7">
        <f>VLOOKUP($B296,'[9]Subsidiary wise dispatch'!$A$3:$R$138,18,FALSE)*$H296*$O296*365</f>
        <v>390048.33936232008</v>
      </c>
      <c r="AN296" s="15">
        <f t="shared" si="227"/>
        <v>397228.77239634056</v>
      </c>
      <c r="AO296" s="6">
        <v>6.8124170867604139E-2</v>
      </c>
      <c r="AP296" s="11">
        <f t="shared" si="228"/>
        <v>4.1016044958483107E-2</v>
      </c>
      <c r="AQ296" s="11"/>
      <c r="AR296" s="3">
        <f>VLOOKUP(A296,[10]Sheet1!$A$2:$L$542,12,FALSE)</f>
        <v>3.0690329670329701</v>
      </c>
      <c r="AS296" s="3">
        <f t="shared" si="237"/>
        <v>2.7004045451686656</v>
      </c>
      <c r="AT296" s="2"/>
      <c r="AU296" s="2"/>
      <c r="AV296" s="88">
        <f t="shared" si="239"/>
        <v>0.31550842277039454</v>
      </c>
      <c r="AW296" s="32">
        <f t="shared" si="240"/>
        <v>0.11683746545860153</v>
      </c>
      <c r="AX296" s="12">
        <f t="shared" si="231"/>
        <v>59.343648780379318</v>
      </c>
      <c r="AY296" s="12">
        <f t="shared" si="232"/>
        <v>0</v>
      </c>
      <c r="AZ296" s="3">
        <f>VLOOKUP(A296,[5]Analysis!$A$3:$BJ$543,62,FALSE)</f>
        <v>0.71228376815473859</v>
      </c>
      <c r="BA296" s="2">
        <v>109.03</v>
      </c>
      <c r="BB296" s="2"/>
      <c r="BC296" s="2" t="str">
        <f>VLOOKUP(A296,'[6]FGD status - Jun 2020'!$I$2:$M$449,5,FALSE)</f>
        <v>Feasiblity Study Carried Out</v>
      </c>
      <c r="BD296" s="2">
        <f>VLOOKUP(A296,'[1]daily coal, energy reqd'!$C$2:$L$599,10,FALSE)</f>
        <v>0</v>
      </c>
      <c r="BE296" s="2" t="str">
        <f>VLOOKUP(A296,'[1]daily coal, energy reqd'!$C$2:$M$599,11,FALSE)</f>
        <v>Y</v>
      </c>
      <c r="BF296" s="2">
        <f t="shared" si="233"/>
        <v>56.224695372048238</v>
      </c>
      <c r="BG296" s="2">
        <f t="shared" si="234"/>
        <v>0</v>
      </c>
      <c r="BH296" s="2">
        <f>IF(G296&lt;17,IF(H296&gt;400,H296*5000000,H296*3500000),H296*1500000)/10^7</f>
        <v>31.5</v>
      </c>
      <c r="BI296" s="2">
        <f>(H296*800000)/10^7</f>
        <v>16.8</v>
      </c>
      <c r="BK296">
        <f t="shared" si="235"/>
        <v>25.086571352060751</v>
      </c>
      <c r="BL296">
        <f>VLOOKUP(A296,'[11]Daily coal vs energy req.2'!$C$2:$P$599,14,FALSE)</f>
        <v>0.86</v>
      </c>
      <c r="BM296">
        <f>VLOOKUP(A296,'[11]Daily coal vs energy req.2'!$C$2:$R$599,16,FALSE)</f>
        <v>0.76</v>
      </c>
      <c r="BN296">
        <f>BL296*H296</f>
        <v>180.6</v>
      </c>
      <c r="BO296">
        <f>BM296*H296</f>
        <v>159.6</v>
      </c>
      <c r="BP296" s="2" t="str">
        <f>VLOOKUP(A296,'[7]Table 2'!$J$2:$N$449,5,FALSE)</f>
        <v>Feasiblity Study Carried Ou</v>
      </c>
      <c r="BR296">
        <f t="shared" si="241"/>
        <v>54.479591020871361</v>
      </c>
      <c r="BT296">
        <f>(X296*I296*365*[5]Analysis!BK296)/10^4</f>
        <v>32.387560202135951</v>
      </c>
      <c r="BV296">
        <f>(X296*I296*365*[5]Analysis!BL296)/10^4</f>
        <v>22.092030818735417</v>
      </c>
      <c r="BX296">
        <f t="shared" si="243"/>
        <v>214788.87931873975</v>
      </c>
      <c r="BZ296">
        <f t="shared" si="245"/>
        <v>810863.49089163693</v>
      </c>
      <c r="CB296">
        <f t="shared" si="247"/>
        <v>-7756.513023549036</v>
      </c>
      <c r="CD296">
        <f t="shared" si="249"/>
        <v>0</v>
      </c>
      <c r="CF296">
        <f t="shared" si="251"/>
        <v>392400.23558380333</v>
      </c>
      <c r="CH296">
        <f t="shared" si="253"/>
        <v>167948.64242137838</v>
      </c>
      <c r="CJ296">
        <f t="shared" si="255"/>
        <v>-76102.020775899044</v>
      </c>
      <c r="CL296">
        <f t="shared" si="257"/>
        <v>115954.16380360992</v>
      </c>
    </row>
    <row r="297" spans="1:90" x14ac:dyDescent="0.2">
      <c r="A297" s="2" t="s">
        <v>411</v>
      </c>
      <c r="B297" s="2" t="str">
        <f t="shared" si="259"/>
        <v>BOKARO B TPS</v>
      </c>
      <c r="C297" s="2" t="str">
        <f>VLOOKUP($A297,'[1]daily coal, energy reqd'!$C$2:$T$599,17,FALSE)</f>
        <v>Jharkhand</v>
      </c>
      <c r="D297" s="2" t="str">
        <f>VLOOKUP(C297,'Target PLF'!$I$2:$J$19,2,FALSE)</f>
        <v>ER</v>
      </c>
      <c r="E297" s="2" t="str">
        <f>VLOOKUP(A297,[2]Ownership!$C$2:$D$666,2,FALSE)</f>
        <v>CENTRAL SECTOR</v>
      </c>
      <c r="F297" s="2" t="s">
        <v>547</v>
      </c>
      <c r="G297" s="12">
        <v>26.757015742642</v>
      </c>
      <c r="H297" s="2">
        <v>210</v>
      </c>
      <c r="I297" s="2">
        <f>VLOOKUP(A297,'[3]Calculated coal req (reg.)'!$A$2:$I$599,9,FALSE)</f>
        <v>1.0924949052739299</v>
      </c>
      <c r="J297" s="2"/>
      <c r="K297" s="11">
        <v>0.21676486215752575</v>
      </c>
      <c r="L297" s="3">
        <f>VLOOKUP(F297,'Target PLF'!$A$2:$B$11,2,FALSE)</f>
        <v>0.65</v>
      </c>
      <c r="M297" s="3">
        <f t="shared" si="236"/>
        <v>0.43323513784247425</v>
      </c>
      <c r="N297" s="2" t="str">
        <f t="shared" si="215"/>
        <v>0.25</v>
      </c>
      <c r="O297" s="2">
        <f t="shared" si="210"/>
        <v>6.1904467803044883</v>
      </c>
      <c r="P297" s="2">
        <f t="shared" si="216"/>
        <v>474497.74571033899</v>
      </c>
      <c r="Q297" s="2">
        <f t="shared" si="217"/>
        <v>15.000837223648185</v>
      </c>
      <c r="R297" s="2">
        <f t="shared" si="218"/>
        <v>3.2759999999999998</v>
      </c>
      <c r="S297" s="2"/>
      <c r="T297" s="2" t="str">
        <f>VLOOKUP(A297,'[4]CEA vs MERIT comp. &amp; NPA marker'!$C$2:$K$735,9,FALSE)</f>
        <v>Not contracted</v>
      </c>
      <c r="U297" s="3">
        <f>VLOOKUP(B297,'[8]Import-Domestic share'!$A$208:$F$406,6,FALSE)</f>
        <v>0</v>
      </c>
      <c r="V297" s="3">
        <f t="shared" si="220"/>
        <v>0</v>
      </c>
      <c r="W297" s="2">
        <f t="shared" si="221"/>
        <v>3212.9728057912389</v>
      </c>
      <c r="X297" s="2">
        <f t="shared" si="222"/>
        <v>3356.187865189991</v>
      </c>
      <c r="Y297" s="6">
        <f t="shared" si="223"/>
        <v>0.26766488606747268</v>
      </c>
      <c r="Z297" s="2"/>
      <c r="AA297" s="2">
        <f t="shared" si="225"/>
        <v>312252.828397042</v>
      </c>
      <c r="AB297" s="2" t="s">
        <v>576</v>
      </c>
      <c r="AC297" s="12"/>
      <c r="AD297" s="12">
        <f t="shared" si="226"/>
        <v>0</v>
      </c>
      <c r="AE297" s="2"/>
      <c r="AF297" s="7"/>
      <c r="AG297" s="7"/>
      <c r="AH297" s="7"/>
      <c r="AI297" s="7"/>
      <c r="AJ297" s="7"/>
      <c r="AK297" s="7"/>
      <c r="AL297" s="7"/>
      <c r="AM297" s="7"/>
      <c r="AN297" s="15">
        <f t="shared" si="227"/>
        <v>0</v>
      </c>
      <c r="AO297" s="6">
        <v>0.17551275347161696</v>
      </c>
      <c r="AP297" s="11">
        <f t="shared" si="228"/>
        <v>0.19174678897834077</v>
      </c>
      <c r="AQ297" s="11"/>
      <c r="AR297" s="3"/>
      <c r="AS297" s="3">
        <f t="shared" si="237"/>
        <v>2.4779200269853989</v>
      </c>
      <c r="AT297" s="2"/>
      <c r="AU297" s="2"/>
      <c r="AV297" s="88">
        <f t="shared" si="239"/>
        <v>0.31748337371372198</v>
      </c>
      <c r="AW297" s="32">
        <f t="shared" si="240"/>
        <v>0.12812494764004453</v>
      </c>
      <c r="AX297" s="12">
        <f t="shared" si="231"/>
        <v>98.80969768825922</v>
      </c>
      <c r="AY297" s="12">
        <f t="shared" si="232"/>
        <v>0</v>
      </c>
      <c r="AZ297" s="3">
        <f>VLOOKUP(A297,[5]Analysis!$A$3:$BJ$543,62,FALSE)</f>
        <v>0.4835355003935497</v>
      </c>
      <c r="BA297" s="2">
        <v>94.64</v>
      </c>
      <c r="BB297" s="2"/>
      <c r="BC297" s="2" t="e">
        <f>VLOOKUP(A297,'[6]FGD status - Jun 2020'!$I$2:$M$449,5,FALSE)</f>
        <v>#N/A</v>
      </c>
      <c r="BD297" s="2" t="str">
        <f>VLOOKUP(A297,'[1]daily coal, energy reqd'!$C$2:$L$599,10,FALSE)</f>
        <v>Y</v>
      </c>
      <c r="BE297" s="2"/>
      <c r="BF297" s="2">
        <f t="shared" si="233"/>
        <v>96.642250388884491</v>
      </c>
      <c r="BG297" s="2">
        <f t="shared" si="234"/>
        <v>0</v>
      </c>
      <c r="BH297" s="2"/>
      <c r="BI297" s="2"/>
      <c r="BK297">
        <f t="shared" si="235"/>
        <v>45.520621053080404</v>
      </c>
      <c r="BP297" s="2" t="e">
        <f>VLOOKUP(A297,'[7]Table 2'!$J$2:$N$449,5,FALSE)</f>
        <v>#N/A</v>
      </c>
      <c r="BR297">
        <f t="shared" si="241"/>
        <v>64.71231142147434</v>
      </c>
      <c r="BT297">
        <f>(X297*I297*365*[5]Analysis!BK297)/10^4</f>
        <v>52.660575568111589</v>
      </c>
      <c r="BV297">
        <f>(X297*I297*365*[5]Analysis!BL297)/10^4</f>
        <v>12.051735853362734</v>
      </c>
      <c r="BX297">
        <f t="shared" si="243"/>
        <v>375828.35974588082</v>
      </c>
      <c r="BZ297">
        <f t="shared" si="245"/>
        <v>998826.21777667175</v>
      </c>
      <c r="CB297">
        <f t="shared" si="247"/>
        <v>-25538.786937661003</v>
      </c>
      <c r="CD297">
        <f t="shared" si="249"/>
        <v>0</v>
      </c>
      <c r="CF297">
        <f t="shared" si="251"/>
        <v>712026.45329539955</v>
      </c>
      <c r="CH297">
        <f t="shared" si="253"/>
        <v>216447.6285710696</v>
      </c>
      <c r="CJ297">
        <f t="shared" si="255"/>
        <v>-138090.26353171945</v>
      </c>
      <c r="CL297">
        <f t="shared" si="257"/>
        <v>542076.60930048442</v>
      </c>
    </row>
    <row r="298" spans="1:90" x14ac:dyDescent="0.2">
      <c r="A298" s="2" t="s">
        <v>375</v>
      </c>
      <c r="B298" s="2" t="str">
        <f t="shared" si="259"/>
        <v>BUDGE BUDGE TPS</v>
      </c>
      <c r="C298" s="2" t="str">
        <f>VLOOKUP($A298,'[1]daily coal, energy reqd'!$C$2:$T$599,17,FALSE)</f>
        <v>West Bengal</v>
      </c>
      <c r="D298" s="2" t="str">
        <f>VLOOKUP(C298,'Target PLF'!$I$2:$J$19,2,FALSE)</f>
        <v>ER</v>
      </c>
      <c r="E298" s="2" t="str">
        <f>VLOOKUP(A298,[2]Ownership!$C$2:$D$666,2,FALSE)</f>
        <v>PVT SECTOR</v>
      </c>
      <c r="F298" s="2" t="s">
        <v>546</v>
      </c>
      <c r="G298" s="12">
        <v>22.672142368240898</v>
      </c>
      <c r="H298" s="2">
        <v>250</v>
      </c>
      <c r="I298" s="2">
        <f>VLOOKUP(A298,'[3]Calculated coal req (reg.)'!$A$2:$I$599,9,FALSE)</f>
        <v>5.4119674735596801</v>
      </c>
      <c r="J298" s="2"/>
      <c r="K298" s="11">
        <v>0.90199457892661339</v>
      </c>
      <c r="L298" s="3">
        <f>VLOOKUP(F298,'Target PLF'!$A$2:$B$11,2,FALSE)</f>
        <v>0.7</v>
      </c>
      <c r="M298" s="3">
        <f t="shared" si="236"/>
        <v>-0.20199457892661343</v>
      </c>
      <c r="N298" s="2" t="str">
        <f t="shared" si="215"/>
        <v>0.25</v>
      </c>
      <c r="O298" s="2">
        <f t="shared" si="210"/>
        <v>14.49679793449368</v>
      </c>
      <c r="P298" s="2">
        <f t="shared" si="216"/>
        <v>1322832.8115225483</v>
      </c>
      <c r="Q298" s="2">
        <f t="shared" si="217"/>
        <v>13.773381759514029</v>
      </c>
      <c r="R298" s="2">
        <f t="shared" si="218"/>
        <v>4.2</v>
      </c>
      <c r="S298" s="2"/>
      <c r="T298" s="2" t="str">
        <f>VLOOKUP(A298,'[4]CEA vs MERIT comp. &amp; NPA marker'!$C$2:$K$735,9,FALSE)</f>
        <v>Contracted</v>
      </c>
      <c r="U298" s="3">
        <f>VLOOKUP(B298,'[8]Import-Domestic share'!$A$208:$F$406,6,FALSE)</f>
        <v>0</v>
      </c>
      <c r="V298" s="3">
        <f t="shared" si="220"/>
        <v>0</v>
      </c>
      <c r="W298" s="2">
        <f t="shared" si="221"/>
        <v>3128.2039276338123</v>
      </c>
      <c r="X298" s="2">
        <f t="shared" si="222"/>
        <v>3061.430337284547</v>
      </c>
      <c r="Y298" s="6">
        <f t="shared" si="223"/>
        <v>0.27491813829749517</v>
      </c>
      <c r="Z298" s="2"/>
      <c r="AA298" s="2">
        <f t="shared" si="225"/>
        <v>1157521.4392305168</v>
      </c>
      <c r="AB298" s="2" t="s">
        <v>576</v>
      </c>
      <c r="AC298" s="12">
        <f>VLOOKUP(B298,[9]Sheet1!$A$2:$B$137,2,FALSE)</f>
        <v>5224.4837192155401</v>
      </c>
      <c r="AD298" s="12">
        <f t="shared" si="226"/>
        <v>1306120.9298038851</v>
      </c>
      <c r="AE298" s="2"/>
      <c r="AF298" s="7">
        <f>VLOOKUP($B298,'[9]Subsidiary wise dispatch'!$A$3:$R$138,11,FALSE)*$H298*$O298*365</f>
        <v>381675.02308611025</v>
      </c>
      <c r="AG298" s="7">
        <f>VLOOKUP($B298,'[9]Subsidiary wise dispatch'!$A$3:$R$138,12,FALSE)*$H298*$O298*365</f>
        <v>0</v>
      </c>
      <c r="AH298" s="7">
        <f>VLOOKUP($B298,'[9]Subsidiary wise dispatch'!$A$3:$R$138,13,FALSE)*$H298*$O298*365</f>
        <v>932702.34430899424</v>
      </c>
      <c r="AI298" s="7">
        <f>VLOOKUP($B298,'[9]Subsidiary wise dispatch'!$A$3:$R$138,14,FALSE)*$H298*$O298*365</f>
        <v>8455.4441274435885</v>
      </c>
      <c r="AJ298" s="7">
        <f>VLOOKUP($B298,'[9]Subsidiary wise dispatch'!$A$3:$R$138,15,FALSE)*$H298*$O298*365</f>
        <v>0</v>
      </c>
      <c r="AK298" s="7">
        <f>VLOOKUP($B298,'[9]Subsidiary wise dispatch'!$A$3:$R$138,16,FALSE)*$H298*$O298*365</f>
        <v>0</v>
      </c>
      <c r="AL298" s="7">
        <f>VLOOKUP($B298,'[9]Subsidiary wise dispatch'!$A$3:$R$138,17,FALSE)*$H298*$O298*365</f>
        <v>0</v>
      </c>
      <c r="AM298" s="7">
        <f>VLOOKUP($B298,'[9]Subsidiary wise dispatch'!$A$3:$R$138,18,FALSE)*$H298*$O298*365</f>
        <v>0</v>
      </c>
      <c r="AN298" s="15">
        <f t="shared" si="227"/>
        <v>1322832.8115225479</v>
      </c>
      <c r="AO298" s="6">
        <v>8.0053382136410028E-2</v>
      </c>
      <c r="AP298" s="11">
        <f t="shared" si="228"/>
        <v>0.43324630027069461</v>
      </c>
      <c r="AQ298" s="11"/>
      <c r="AR298" s="3"/>
      <c r="AS298" s="3">
        <f t="shared" si="237"/>
        <v>2.6292689209983218</v>
      </c>
      <c r="AT298" s="2"/>
      <c r="AU298" s="2"/>
      <c r="AV298" s="88">
        <f t="shared" si="239"/>
        <v>-0.14802566732900085</v>
      </c>
      <c r="AW298" s="32">
        <f t="shared" si="240"/>
        <v>5.629917356372819E-2</v>
      </c>
      <c r="AX298" s="12">
        <f t="shared" si="231"/>
        <v>519.3774026084759</v>
      </c>
      <c r="AY298" s="12">
        <f t="shared" si="232"/>
        <v>0</v>
      </c>
      <c r="AZ298" s="3">
        <f>VLOOKUP(A298,[5]Analysis!$A$3:$BJ$543,62,FALSE)</f>
        <v>0.7510179632335624</v>
      </c>
      <c r="BA298" s="2"/>
      <c r="BB298" s="2"/>
      <c r="BC298" s="2" t="str">
        <f>VLOOKUP(A298,'[6]FGD status - Jun 2020'!$I$2:$M$449,5,FALSE)</f>
        <v>Feasibility Study completed</v>
      </c>
      <c r="BD298" s="2"/>
      <c r="BE298" s="2"/>
      <c r="BF298" s="2">
        <f t="shared" si="233"/>
        <v>358.25288544184497</v>
      </c>
      <c r="BG298" s="2">
        <f t="shared" si="234"/>
        <v>0</v>
      </c>
      <c r="BH298" s="2">
        <f>IF(G298&lt;17,IF(H298&gt;400,H298*5000000,H298*3500000),H298*1500000)/10^7</f>
        <v>37.5</v>
      </c>
      <c r="BI298" s="2">
        <f>(H298*800000)/10^7</f>
        <v>20</v>
      </c>
      <c r="BK298">
        <f t="shared" si="235"/>
        <v>225.49864473165334</v>
      </c>
      <c r="BL298">
        <f>VLOOKUP(A298,'[11]Daily coal vs energy req.2'!$C$2:$P$599,14,FALSE)</f>
        <v>1.0900000000000001</v>
      </c>
      <c r="BM298">
        <f>VLOOKUP(A298,'[11]Daily coal vs energy req.2'!$C$2:$R$599,16,FALSE)</f>
        <v>1.1200000000000001</v>
      </c>
      <c r="BN298">
        <f>BL298*H298</f>
        <v>272.5</v>
      </c>
      <c r="BO298">
        <f>BM298*H298</f>
        <v>280</v>
      </c>
      <c r="BP298" s="2" t="str">
        <f>VLOOKUP(A298,'[7]Table 2'!$J$2:$N$449,5,FALSE)</f>
        <v>NIT issued</v>
      </c>
      <c r="BR298">
        <f t="shared" si="241"/>
        <v>454.17450191321706</v>
      </c>
      <c r="BT298">
        <f>(X298*I298*365*[5]Analysis!BK298)/10^4</f>
        <v>324.29528814388033</v>
      </c>
      <c r="BV298">
        <f>(X298*I298*365*[5]Analysis!BL298)/10^4</f>
        <v>129.87921376933681</v>
      </c>
      <c r="BX298">
        <f t="shared" si="243"/>
        <v>1698257.0443151628</v>
      </c>
      <c r="BZ298">
        <f t="shared" si="245"/>
        <v>7685066.8719188869</v>
      </c>
      <c r="CB298">
        <f t="shared" si="247"/>
        <v>-526442.649071994</v>
      </c>
      <c r="CD298">
        <f t="shared" si="249"/>
        <v>-1997256.289099348</v>
      </c>
      <c r="CF298">
        <f t="shared" si="251"/>
        <v>3527214.6231039432</v>
      </c>
      <c r="CH298">
        <f t="shared" si="253"/>
        <v>908538.7922277099</v>
      </c>
      <c r="CJ298">
        <f t="shared" si="255"/>
        <v>-814365.80558389309</v>
      </c>
      <c r="CL298">
        <f t="shared" si="257"/>
        <v>1224806.3537024655</v>
      </c>
    </row>
    <row r="299" spans="1:90" x14ac:dyDescent="0.2">
      <c r="A299" s="2" t="s">
        <v>361</v>
      </c>
      <c r="B299" s="2" t="str">
        <f t="shared" si="259"/>
        <v>BUDGE BUDGE TPS</v>
      </c>
      <c r="C299" s="2" t="str">
        <f>VLOOKUP($A299,'[1]daily coal, energy reqd'!$C$2:$T$599,17,FALSE)</f>
        <v>West Bengal</v>
      </c>
      <c r="D299" s="2" t="str">
        <f>VLOOKUP(C299,'Target PLF'!$I$2:$J$19,2,FALSE)</f>
        <v>ER</v>
      </c>
      <c r="E299" s="2" t="str">
        <f>VLOOKUP(A299,[2]Ownership!$C$2:$D$666,2,FALSE)</f>
        <v>PVT SECTOR</v>
      </c>
      <c r="F299" s="2" t="s">
        <v>546</v>
      </c>
      <c r="G299" s="12">
        <v>21.177275838466802</v>
      </c>
      <c r="H299" s="2">
        <v>250</v>
      </c>
      <c r="I299" s="2">
        <f>VLOOKUP(A299,'[3]Calculated coal req (reg.)'!$A$2:$I$599,9,FALSE)</f>
        <v>5.0127657566784896</v>
      </c>
      <c r="J299" s="2"/>
      <c r="K299" s="11">
        <v>0.83546095944641485</v>
      </c>
      <c r="L299" s="3">
        <f>VLOOKUP(F299,'Target PLF'!$A$2:$B$11,2,FALSE)</f>
        <v>0.7</v>
      </c>
      <c r="M299" s="3">
        <f t="shared" si="236"/>
        <v>-0.1354609594464149</v>
      </c>
      <c r="N299" s="2" t="str">
        <f t="shared" si="215"/>
        <v>0.25</v>
      </c>
      <c r="O299" s="2">
        <f t="shared" si="210"/>
        <v>13.523745829249238</v>
      </c>
      <c r="P299" s="2">
        <f t="shared" si="216"/>
        <v>1234041.8069189929</v>
      </c>
      <c r="Q299" s="2">
        <f t="shared" si="217"/>
        <v>13.726031862183435</v>
      </c>
      <c r="R299" s="2">
        <f t="shared" si="218"/>
        <v>4.2</v>
      </c>
      <c r="S299" s="2"/>
      <c r="T299" s="2" t="str">
        <f>VLOOKUP(A299,'[4]CEA vs MERIT comp. &amp; NPA marker'!$C$2:$K$735,9,FALSE)</f>
        <v>Contracted</v>
      </c>
      <c r="U299" s="3">
        <f>VLOOKUP(B299,'[8]Import-Domestic share'!$A$208:$F$406,6,FALSE)</f>
        <v>0</v>
      </c>
      <c r="V299" s="3">
        <f t="shared" si="220"/>
        <v>0</v>
      </c>
      <c r="W299" s="2">
        <f t="shared" si="221"/>
        <v>3116.7823446030116</v>
      </c>
      <c r="X299" s="2">
        <f t="shared" si="222"/>
        <v>3072.002852685659</v>
      </c>
      <c r="Y299" s="6">
        <f t="shared" si="223"/>
        <v>0.27592558764623626</v>
      </c>
      <c r="Z299" s="2"/>
      <c r="AA299" s="2">
        <f t="shared" si="225"/>
        <v>1075842.0370646366</v>
      </c>
      <c r="AB299" s="2" t="s">
        <v>576</v>
      </c>
      <c r="AC299" s="12">
        <f>VLOOKUP(B299,[9]Sheet1!$A$2:$B$137,2,FALSE)</f>
        <v>5224.4837192155401</v>
      </c>
      <c r="AD299" s="12">
        <f t="shared" si="226"/>
        <v>1306120.9298038851</v>
      </c>
      <c r="AE299" s="2"/>
      <c r="AF299" s="7">
        <f>VLOOKUP($B299,'[9]Subsidiary wise dispatch'!$A$3:$R$138,11,FALSE)*$H299*$O299*365</f>
        <v>356056.28394031065</v>
      </c>
      <c r="AG299" s="7">
        <f>VLOOKUP($B299,'[9]Subsidiary wise dispatch'!$A$3:$R$138,12,FALSE)*$H299*$O299*365</f>
        <v>0</v>
      </c>
      <c r="AH299" s="7">
        <f>VLOOKUP($B299,'[9]Subsidiary wise dispatch'!$A$3:$R$138,13,FALSE)*$H299*$O299*365</f>
        <v>870097.62402543251</v>
      </c>
      <c r="AI299" s="7">
        <f>VLOOKUP($B299,'[9]Subsidiary wise dispatch'!$A$3:$R$138,14,FALSE)*$H299*$O299*365</f>
        <v>7887.8989532497053</v>
      </c>
      <c r="AJ299" s="7">
        <f>VLOOKUP($B299,'[9]Subsidiary wise dispatch'!$A$3:$R$138,15,FALSE)*$H299*$O299*365</f>
        <v>0</v>
      </c>
      <c r="AK299" s="7">
        <f>VLOOKUP($B299,'[9]Subsidiary wise dispatch'!$A$3:$R$138,16,FALSE)*$H299*$O299*365</f>
        <v>0</v>
      </c>
      <c r="AL299" s="7">
        <f>VLOOKUP($B299,'[9]Subsidiary wise dispatch'!$A$3:$R$138,17,FALSE)*$H299*$O299*365</f>
        <v>0</v>
      </c>
      <c r="AM299" s="7">
        <f>VLOOKUP($B299,'[9]Subsidiary wise dispatch'!$A$3:$R$138,18,FALSE)*$H299*$O299*365</f>
        <v>0</v>
      </c>
      <c r="AN299" s="15">
        <f t="shared" si="227"/>
        <v>1234041.8069189929</v>
      </c>
      <c r="AO299" s="6">
        <v>8.0053382136410028E-2</v>
      </c>
      <c r="AP299" s="11">
        <f t="shared" si="228"/>
        <v>0.40128885267969372</v>
      </c>
      <c r="AQ299" s="11"/>
      <c r="AR299" s="3"/>
      <c r="AS299" s="3">
        <f t="shared" si="237"/>
        <v>2.6192838646072238</v>
      </c>
      <c r="AT299" s="2"/>
      <c r="AU299" s="2"/>
      <c r="AV299" s="88">
        <f t="shared" si="239"/>
        <v>-9.9268500301521762E-2</v>
      </c>
      <c r="AW299" s="32">
        <f t="shared" si="240"/>
        <v>3.7899099690139014E-2</v>
      </c>
      <c r="AX299" s="12">
        <f t="shared" si="231"/>
        <v>479.23976091861107</v>
      </c>
      <c r="AY299" s="12">
        <f t="shared" si="232"/>
        <v>0</v>
      </c>
      <c r="AZ299" s="3">
        <f>VLOOKUP(A299,[5]Analysis!$A$3:$BJ$543,62,FALSE)</f>
        <v>0.7510179632335624</v>
      </c>
      <c r="BA299" s="2"/>
      <c r="BB299" s="2"/>
      <c r="BC299" s="2" t="str">
        <f>VLOOKUP(A299,'[6]FGD status - Jun 2020'!$I$2:$M$449,5,FALSE)</f>
        <v>Feasibility Study completed</v>
      </c>
      <c r="BD299" s="2"/>
      <c r="BE299" s="2"/>
      <c r="BF299" s="2">
        <f t="shared" si="233"/>
        <v>332.97311047150504</v>
      </c>
      <c r="BG299" s="2">
        <f t="shared" si="234"/>
        <v>0</v>
      </c>
      <c r="BH299" s="2">
        <f>IF(G299&lt;17,IF(H299&gt;400,H299*5000000,H299*3500000),H299*1500000)/10^7</f>
        <v>37.5</v>
      </c>
      <c r="BI299" s="2">
        <f>(H299*800000)/10^7</f>
        <v>20</v>
      </c>
      <c r="BK299">
        <f t="shared" si="235"/>
        <v>208.86523986160373</v>
      </c>
      <c r="BL299">
        <f>VLOOKUP(A299,'[11]Daily coal vs energy req.2'!$C$2:$P$599,14,FALSE)</f>
        <v>0.96</v>
      </c>
      <c r="BM299">
        <f>VLOOKUP(A299,'[11]Daily coal vs energy req.2'!$C$2:$R$599,16,FALSE)</f>
        <v>1.01</v>
      </c>
      <c r="BN299">
        <f>BL299*H299</f>
        <v>240</v>
      </c>
      <c r="BO299">
        <f>BM299*H299</f>
        <v>252.5</v>
      </c>
      <c r="BP299" s="2" t="str">
        <f>VLOOKUP(A299,'[7]Table 2'!$J$2:$N$449,5,FALSE)</f>
        <v>NIT issued</v>
      </c>
      <c r="BR299">
        <f t="shared" si="241"/>
        <v>422.1261090817905</v>
      </c>
      <c r="BT299">
        <f>(X299*I299*365*[5]Analysis!BK299)/10^4</f>
        <v>301.41169880974888</v>
      </c>
      <c r="BV299">
        <f>(X299*I299*365*[5]Analysis!BL299)/10^4</f>
        <v>120.71441027204163</v>
      </c>
      <c r="BX299">
        <f t="shared" si="243"/>
        <v>1578421.1471970337</v>
      </c>
      <c r="BZ299">
        <f t="shared" si="245"/>
        <v>7118195.0448790807</v>
      </c>
      <c r="CB299">
        <f t="shared" si="247"/>
        <v>-451643.25826000934</v>
      </c>
      <c r="CD299">
        <f t="shared" si="249"/>
        <v>-1849933.1310139592</v>
      </c>
      <c r="CF299">
        <f t="shared" si="251"/>
        <v>3267037.4989377875</v>
      </c>
      <c r="CH299">
        <f t="shared" si="253"/>
        <v>786037.45651087083</v>
      </c>
      <c r="CJ299">
        <f t="shared" si="255"/>
        <v>-754295.92723619589</v>
      </c>
      <c r="CL299">
        <f t="shared" si="257"/>
        <v>1134461.2432350118</v>
      </c>
    </row>
    <row r="300" spans="1:90" x14ac:dyDescent="0.2">
      <c r="A300" s="2" t="s">
        <v>280</v>
      </c>
      <c r="B300" s="2" t="str">
        <f t="shared" si="259"/>
        <v>BUDGE BUDGE TPS</v>
      </c>
      <c r="C300" s="2" t="str">
        <f>VLOOKUP($A300,'[1]daily coal, energy reqd'!$C$2:$T$599,17,FALSE)</f>
        <v>West Bengal</v>
      </c>
      <c r="D300" s="2" t="str">
        <f>VLOOKUP(C300,'Target PLF'!$I$2:$J$19,2,FALSE)</f>
        <v>ER</v>
      </c>
      <c r="E300" s="2" t="str">
        <f>VLOOKUP(A300,[2]Ownership!$C$2:$D$666,2,FALSE)</f>
        <v>PVT SECTOR</v>
      </c>
      <c r="F300" s="2" t="s">
        <v>544</v>
      </c>
      <c r="G300" s="12">
        <v>10.6721423682409</v>
      </c>
      <c r="H300" s="2">
        <v>250</v>
      </c>
      <c r="I300" s="2">
        <f>VLOOKUP(A300,'[3]Calculated coal req (reg.)'!$A$2:$I$599,9,FALSE)</f>
        <v>5.6003431501634298</v>
      </c>
      <c r="J300" s="2"/>
      <c r="K300" s="11">
        <v>0.93339052502723829</v>
      </c>
      <c r="L300" s="3">
        <f>VLOOKUP(F300,'Target PLF'!$A$2:$B$11,2,FALSE)</f>
        <v>0.8</v>
      </c>
      <c r="M300" s="3">
        <f t="shared" si="236"/>
        <v>-0.13339052502723825</v>
      </c>
      <c r="N300" s="2" t="str">
        <f t="shared" si="215"/>
        <v>0.15</v>
      </c>
      <c r="O300" s="2">
        <f t="shared" si="210"/>
        <v>14.582428851375505</v>
      </c>
      <c r="P300" s="2">
        <f t="shared" si="216"/>
        <v>1330646.6326880148</v>
      </c>
      <c r="Q300" s="2">
        <f t="shared" si="217"/>
        <v>13.42219145951403</v>
      </c>
      <c r="R300" s="2">
        <f t="shared" si="218"/>
        <v>4.8</v>
      </c>
      <c r="S300" s="2"/>
      <c r="T300" s="2" t="str">
        <f>VLOOKUP(A300,'[4]CEA vs MERIT comp. &amp; NPA marker'!$C$2:$K$735,9,FALSE)</f>
        <v>Contracted</v>
      </c>
      <c r="U300" s="3">
        <f>VLOOKUP(B300,'[8]Import-Domestic share'!$A$208:$F$406,6,FALSE)</f>
        <v>0</v>
      </c>
      <c r="V300" s="3">
        <f t="shared" si="220"/>
        <v>0</v>
      </c>
      <c r="W300" s="2">
        <f t="shared" si="221"/>
        <v>3003.460363633812</v>
      </c>
      <c r="X300" s="2">
        <f t="shared" si="222"/>
        <v>2959.3652977069278</v>
      </c>
      <c r="Y300" s="6">
        <f t="shared" si="223"/>
        <v>0.28633639065557948</v>
      </c>
      <c r="Z300" s="2"/>
      <c r="AA300" s="2">
        <f t="shared" si="225"/>
        <v>1157877.7260237108</v>
      </c>
      <c r="AB300" s="2" t="s">
        <v>576</v>
      </c>
      <c r="AC300" s="12">
        <f>VLOOKUP(B300,[9]Sheet1!$A$2:$B$137,2,FALSE)</f>
        <v>5224.4837192155401</v>
      </c>
      <c r="AD300" s="12">
        <f t="shared" si="226"/>
        <v>1306120.9298038851</v>
      </c>
      <c r="AE300" s="2"/>
      <c r="AF300" s="7">
        <f>VLOOKUP($B300,'[9]Subsidiary wise dispatch'!$A$3:$R$138,11,FALSE)*$H300*$O300*365</f>
        <v>383929.53351837536</v>
      </c>
      <c r="AG300" s="7">
        <f>VLOOKUP($B300,'[9]Subsidiary wise dispatch'!$A$3:$R$138,12,FALSE)*$H300*$O300*365</f>
        <v>0</v>
      </c>
      <c r="AH300" s="7">
        <f>VLOOKUP($B300,'[9]Subsidiary wise dispatch'!$A$3:$R$138,13,FALSE)*$H300*$O300*365</f>
        <v>938211.70970691915</v>
      </c>
      <c r="AI300" s="7">
        <f>VLOOKUP($B300,'[9]Subsidiary wise dispatch'!$A$3:$R$138,14,FALSE)*$H300*$O300*365</f>
        <v>8505.3894627202317</v>
      </c>
      <c r="AJ300" s="7">
        <f>VLOOKUP($B300,'[9]Subsidiary wise dispatch'!$A$3:$R$138,15,FALSE)*$H300*$O300*365</f>
        <v>0</v>
      </c>
      <c r="AK300" s="7">
        <f>VLOOKUP($B300,'[9]Subsidiary wise dispatch'!$A$3:$R$138,16,FALSE)*$H300*$O300*365</f>
        <v>0</v>
      </c>
      <c r="AL300" s="7">
        <f>VLOOKUP($B300,'[9]Subsidiary wise dispatch'!$A$3:$R$138,17,FALSE)*$H300*$O300*365</f>
        <v>0</v>
      </c>
      <c r="AM300" s="7">
        <f>VLOOKUP($B300,'[9]Subsidiary wise dispatch'!$A$3:$R$138,18,FALSE)*$H300*$O300*365</f>
        <v>0</v>
      </c>
      <c r="AN300" s="15">
        <f t="shared" si="227"/>
        <v>1330646.6326880148</v>
      </c>
      <c r="AO300" s="6">
        <v>8.0053382136410028E-2</v>
      </c>
      <c r="AP300" s="11">
        <f t="shared" si="228"/>
        <v>0.44832641029505937</v>
      </c>
      <c r="AQ300" s="11"/>
      <c r="AR300" s="3"/>
      <c r="AS300" s="3">
        <f t="shared" si="237"/>
        <v>2.5299532544416161</v>
      </c>
      <c r="AT300" s="2"/>
      <c r="AU300" s="2"/>
      <c r="AV300" s="88">
        <f t="shared" si="239"/>
        <v>-9.7751244550460734E-2</v>
      </c>
      <c r="AW300" s="32">
        <f t="shared" si="240"/>
        <v>3.8637569440797957E-2</v>
      </c>
      <c r="AX300" s="12">
        <f t="shared" si="231"/>
        <v>517.15413282422105</v>
      </c>
      <c r="AY300" s="12">
        <f t="shared" si="232"/>
        <v>0</v>
      </c>
      <c r="AZ300" s="3">
        <f>VLOOKUP(A300,[5]Analysis!$A$3:$BJ$543,62,FALSE)</f>
        <v>0.7510179632335624</v>
      </c>
      <c r="BA300" s="2"/>
      <c r="BB300" s="2"/>
      <c r="BC300" s="2" t="str">
        <f>VLOOKUP(A300,'[6]FGD status - Jun 2020'!$I$2:$M$449,5,FALSE)</f>
        <v>Feasibility Study completed</v>
      </c>
      <c r="BD300" s="2"/>
      <c r="BE300" s="2"/>
      <c r="BF300" s="2">
        <f t="shared" si="233"/>
        <v>358.36315620433851</v>
      </c>
      <c r="BG300" s="2">
        <f t="shared" si="234"/>
        <v>0</v>
      </c>
      <c r="BH300" s="2">
        <f>IF(G300&lt;17,IF(H300&gt;400,H300*5000000,H300*3500000),H300*1500000)/10^7</f>
        <v>87.5</v>
      </c>
      <c r="BI300" s="2">
        <f>(H300*800000)/10^7</f>
        <v>20</v>
      </c>
      <c r="BK300">
        <f t="shared" si="235"/>
        <v>233.34763125680956</v>
      </c>
      <c r="BL300">
        <f>VLOOKUP(A300,'[11]Daily coal vs energy req.2'!$C$2:$P$599,14,FALSE)</f>
        <v>0.83</v>
      </c>
      <c r="BM300">
        <f>VLOOKUP(A300,'[11]Daily coal vs energy req.2'!$C$2:$R$599,16,FALSE)</f>
        <v>0.85</v>
      </c>
      <c r="BN300">
        <f>BL300*H300</f>
        <v>207.5</v>
      </c>
      <c r="BO300">
        <f>BM300*H300</f>
        <v>212.5</v>
      </c>
      <c r="BP300" s="2" t="str">
        <f>VLOOKUP(A300,'[7]Table 2'!$J$2:$N$449,5,FALSE)</f>
        <v>NIT issued</v>
      </c>
      <c r="BR300">
        <f t="shared" si="241"/>
        <v>454.31429748965559</v>
      </c>
      <c r="BT300">
        <f>(X300*I300*365*[5]Analysis!BK300)/10^4</f>
        <v>324.39510670822375</v>
      </c>
      <c r="BV300">
        <f>(X300*I300*365*[5]Analysis!BL300)/10^4</f>
        <v>129.91919078143187</v>
      </c>
      <c r="BX300">
        <f t="shared" si="243"/>
        <v>1698779.7703190462</v>
      </c>
      <c r="BZ300">
        <f t="shared" si="245"/>
        <v>7952562.8756948635</v>
      </c>
      <c r="CB300">
        <f t="shared" si="247"/>
        <v>-563728.49395686167</v>
      </c>
      <c r="CD300">
        <f t="shared" si="249"/>
        <v>-2066775.277646173</v>
      </c>
      <c r="CF300">
        <f t="shared" si="251"/>
        <v>3649987.2458885396</v>
      </c>
      <c r="CH300">
        <f t="shared" si="253"/>
        <v>442549.63409798959</v>
      </c>
      <c r="CJ300">
        <f t="shared" si="255"/>
        <v>-842711.63552084228</v>
      </c>
      <c r="CL300">
        <f t="shared" si="257"/>
        <v>1267438.4882661859</v>
      </c>
    </row>
    <row r="301" spans="1:90" x14ac:dyDescent="0.2">
      <c r="A301" s="2" t="s">
        <v>327</v>
      </c>
      <c r="B301" s="2" t="str">
        <f t="shared" si="259"/>
        <v>CHAKABURA TPP</v>
      </c>
      <c r="C301" s="2" t="str">
        <f>VLOOKUP($A301,'[1]daily coal, energy reqd'!$C$2:$T$599,17,FALSE)</f>
        <v>Chhatisgarh</v>
      </c>
      <c r="D301" s="2" t="str">
        <f>VLOOKUP(C301,'Target PLF'!$I$2:$J$19,2,FALSE)</f>
        <v>WR</v>
      </c>
      <c r="E301" s="2" t="str">
        <f>VLOOKUP(A301,[2]Ownership!$C$2:$D$666,2,FALSE)</f>
        <v>PVT SECTOR</v>
      </c>
      <c r="F301" s="2" t="s">
        <v>543</v>
      </c>
      <c r="G301" s="12">
        <v>6.1765913757700197</v>
      </c>
      <c r="H301" s="2">
        <v>30</v>
      </c>
      <c r="I301" s="2">
        <f>VLOOKUP(A301,'[3]Calculated coal req (reg.)'!$A$2:$I$599,9,FALSE)</f>
        <v>0.64726572604139399</v>
      </c>
      <c r="J301" s="2"/>
      <c r="K301" s="11">
        <v>0.89898017505749173</v>
      </c>
      <c r="L301" s="3">
        <f>VLOOKUP(F301,'Target PLF'!$A$2:$B$11,2,FALSE)</f>
        <v>0.85</v>
      </c>
      <c r="M301" s="3">
        <f t="shared" si="236"/>
        <v>-4.8980175057491748E-2</v>
      </c>
      <c r="N301" s="2" t="str">
        <f t="shared" si="215"/>
        <v>0.15</v>
      </c>
      <c r="O301" s="2">
        <f t="shared" si="210"/>
        <v>15.107008751454915</v>
      </c>
      <c r="P301" s="2">
        <f t="shared" si="216"/>
        <v>165421.7458284313</v>
      </c>
      <c r="Q301" s="2">
        <f t="shared" si="217"/>
        <v>14.425532881827515</v>
      </c>
      <c r="R301" s="2">
        <f t="shared" si="218"/>
        <v>0.61199999999999999</v>
      </c>
      <c r="S301" s="2"/>
      <c r="T301" s="2" t="str">
        <f>VLOOKUP(A301,'[4]CEA vs MERIT comp. &amp; NPA marker'!$C$2:$K$735,9,FALSE)</f>
        <v>Not contracted</v>
      </c>
      <c r="U301" s="3">
        <v>0.28000000000000003</v>
      </c>
      <c r="V301" s="3">
        <f t="shared" si="220"/>
        <v>46318.088831960777</v>
      </c>
      <c r="W301" s="2">
        <f t="shared" si="221"/>
        <v>3219.3742539404511</v>
      </c>
      <c r="X301" s="2">
        <f t="shared" si="222"/>
        <v>3203.1828186954863</v>
      </c>
      <c r="Y301" s="6">
        <f t="shared" si="223"/>
        <v>0.26713265751795612</v>
      </c>
      <c r="Z301" s="2"/>
      <c r="AA301" s="2">
        <f t="shared" si="225"/>
        <v>176565.16921768137</v>
      </c>
      <c r="AB301" s="2" t="s">
        <v>576</v>
      </c>
      <c r="AC301" s="12"/>
      <c r="AD301" s="12">
        <f t="shared" si="226"/>
        <v>0</v>
      </c>
      <c r="AE301" s="2"/>
      <c r="AF301" s="7"/>
      <c r="AG301" s="7"/>
      <c r="AH301" s="7"/>
      <c r="AI301" s="7"/>
      <c r="AJ301" s="7"/>
      <c r="AK301" s="7"/>
      <c r="AL301" s="7"/>
      <c r="AM301" s="7"/>
      <c r="AN301" s="15">
        <f t="shared" si="227"/>
        <v>0</v>
      </c>
      <c r="AO301" s="6">
        <v>7.1350281414512218E-2</v>
      </c>
      <c r="AP301" s="11">
        <f t="shared" si="228"/>
        <v>4.6182591703022031E-2</v>
      </c>
      <c r="AQ301" s="11"/>
      <c r="AR301" s="3"/>
      <c r="AS301" s="3">
        <f t="shared" si="237"/>
        <v>2.4919268800699554</v>
      </c>
      <c r="AT301" s="2"/>
      <c r="AU301" s="2"/>
      <c r="AV301" s="88">
        <f t="shared" si="239"/>
        <v>-3.5893651885631102E-2</v>
      </c>
      <c r="AW301" s="32">
        <f t="shared" si="240"/>
        <v>1.4403974760536901E-2</v>
      </c>
      <c r="AX301" s="12">
        <f t="shared" si="231"/>
        <v>58.87226843637491</v>
      </c>
      <c r="AY301" s="12">
        <f t="shared" si="232"/>
        <v>0</v>
      </c>
      <c r="AZ301" s="3">
        <f>VLOOKUP(A301,[5]Analysis!$A$3:$BJ$543,62,FALSE)</f>
        <v>0.67827340778595713</v>
      </c>
      <c r="BA301" s="2"/>
      <c r="BB301" s="2"/>
      <c r="BC301" s="2" t="e">
        <f>VLOOKUP(A301,'[6]FGD status - Jun 2020'!$I$2:$M$449,5,FALSE)</f>
        <v>#N/A</v>
      </c>
      <c r="BD301" s="2"/>
      <c r="BE301" s="2"/>
      <c r="BF301" s="2">
        <f t="shared" si="233"/>
        <v>65.20692951344347</v>
      </c>
      <c r="BG301" s="2">
        <f t="shared" si="234"/>
        <v>0</v>
      </c>
      <c r="BH301" s="2"/>
      <c r="BI301" s="2"/>
      <c r="BK301">
        <f t="shared" si="235"/>
        <v>26.969405251724751</v>
      </c>
      <c r="BL301" t="str">
        <f>VLOOKUP(A301,'[11]Daily coal vs energy req.2'!$C$2:$P$599,14,FALSE)</f>
        <v/>
      </c>
      <c r="BM301" t="str">
        <f>VLOOKUP(A301,'[11]Daily coal vs energy req.2'!$C$2:$R$599,16,FALSE)</f>
        <v/>
      </c>
      <c r="BP301" s="2" t="e">
        <f>VLOOKUP(A301,'[7]Table 2'!$J$2:$N$449,5,FALSE)</f>
        <v>#N/A</v>
      </c>
      <c r="BR301">
        <f t="shared" si="241"/>
        <v>51.328904136649577</v>
      </c>
      <c r="BT301">
        <f>(X301*I301*365*[5]Analysis!BK301)/10^4</f>
        <v>46.391389784939022</v>
      </c>
      <c r="BV301">
        <f>(X301*I301*365*[5]Analysis!BL301)/10^4</f>
        <v>4.9375143517105524</v>
      </c>
      <c r="BX301">
        <f t="shared" si="243"/>
        <v>212514.32141059093</v>
      </c>
      <c r="BZ301">
        <f t="shared" si="245"/>
        <v>830098.34837517969</v>
      </c>
      <c r="CB301">
        <f t="shared" si="247"/>
        <v>-62751.583004438202</v>
      </c>
      <c r="CD301">
        <f t="shared" si="249"/>
        <v>-238869.79150751061</v>
      </c>
      <c r="CF301">
        <f t="shared" si="251"/>
        <v>421851.22972025932</v>
      </c>
      <c r="CH301">
        <f t="shared" si="253"/>
        <v>29602.420201166922</v>
      </c>
      <c r="CJ301">
        <f t="shared" si="255"/>
        <v>-11687.677215129452</v>
      </c>
      <c r="CL301">
        <f t="shared" si="257"/>
        <v>130560.2187784782</v>
      </c>
    </row>
    <row r="302" spans="1:90" x14ac:dyDescent="0.2">
      <c r="A302" s="2" t="s">
        <v>463</v>
      </c>
      <c r="B302" s="2" t="str">
        <f t="shared" si="259"/>
        <v>CHANDRAPUR STPS</v>
      </c>
      <c r="C302" s="2" t="str">
        <f>VLOOKUP($A302,'[1]daily coal, energy reqd'!$C$2:$T$599,17,FALSE)</f>
        <v>Maharashtra</v>
      </c>
      <c r="D302" s="2" t="str">
        <f>VLOOKUP(C302,'Target PLF'!$I$2:$J$19,2,FALSE)</f>
        <v>WR</v>
      </c>
      <c r="E302" s="2" t="str">
        <f>VLOOKUP(A302,[2]Ownership!$C$2:$D$666,2,FALSE)</f>
        <v>STATE SECTOR</v>
      </c>
      <c r="F302" s="2" t="s">
        <v>548</v>
      </c>
      <c r="G302" s="12">
        <v>35.008898015058101</v>
      </c>
      <c r="H302" s="2">
        <v>210</v>
      </c>
      <c r="I302" s="2">
        <f>VLOOKUP(A302,'[3]Calculated coal req (reg.)'!$A$2:$I$599,9,FALSE)</f>
        <v>2.0496953484756002</v>
      </c>
      <c r="J302" s="2"/>
      <c r="K302" s="11">
        <v>0.40668558501500002</v>
      </c>
      <c r="L302" s="3">
        <f>VLOOKUP(F302,'Target PLF'!$A$2:$B$11,2,FALSE)</f>
        <v>0.6</v>
      </c>
      <c r="M302" s="3">
        <f t="shared" si="236"/>
        <v>0.19331441498499996</v>
      </c>
      <c r="N302" s="2" t="str">
        <f t="shared" si="215"/>
        <v>0.25</v>
      </c>
      <c r="O302" s="2">
        <f t="shared" si="210"/>
        <v>9.094249144616164</v>
      </c>
      <c r="P302" s="2">
        <f t="shared" si="216"/>
        <v>697074.196934829</v>
      </c>
      <c r="Q302" s="2">
        <f t="shared" si="217"/>
        <v>15.262215594626964</v>
      </c>
      <c r="R302" s="2">
        <f t="shared" si="218"/>
        <v>3.024</v>
      </c>
      <c r="S302" s="2"/>
      <c r="T302" s="2" t="str">
        <f>VLOOKUP(A302,'[4]CEA vs MERIT comp. &amp; NPA marker'!$C$2:$K$735,9,FALSE)</f>
        <v>Contracted</v>
      </c>
      <c r="U302" s="3">
        <f>VLOOKUP(B302,'[8]Import-Domestic share'!$A$208:$F$406,6,FALSE)</f>
        <v>3.3278847509413102E-2</v>
      </c>
      <c r="V302" s="3">
        <f t="shared" si="220"/>
        <v>23197.825902540771</v>
      </c>
      <c r="W302" s="2">
        <f t="shared" si="221"/>
        <v>3300.0530801458212</v>
      </c>
      <c r="X302" s="2">
        <f t="shared" si="222"/>
        <v>3363.9572582847109</v>
      </c>
      <c r="Y302" s="6">
        <f t="shared" si="223"/>
        <v>0.26060186885296971</v>
      </c>
      <c r="Z302" s="2"/>
      <c r="AA302" s="2">
        <f t="shared" si="225"/>
        <v>601827.07132643647</v>
      </c>
      <c r="AB302" s="2" t="s">
        <v>576</v>
      </c>
      <c r="AC302" s="12">
        <f>VLOOKUP(B302,[9]Sheet1!$A$2:$B$137,2,FALSE)</f>
        <v>4181.7775798896982</v>
      </c>
      <c r="AD302" s="12">
        <f t="shared" si="226"/>
        <v>878173.29177683662</v>
      </c>
      <c r="AE302" s="2"/>
      <c r="AF302" s="7">
        <f>VLOOKUP($B302,'[9]Subsidiary wise dispatch'!$A$3:$R$138,11,FALSE)*$H302*$O302*365</f>
        <v>0</v>
      </c>
      <c r="AG302" s="7">
        <f>VLOOKUP($B302,'[9]Subsidiary wise dispatch'!$A$3:$R$138,12,FALSE)*$H302*$O302*365</f>
        <v>0</v>
      </c>
      <c r="AH302" s="7">
        <f>VLOOKUP($B302,'[9]Subsidiary wise dispatch'!$A$3:$R$138,13,FALSE)*$H302*$O302*365</f>
        <v>0</v>
      </c>
      <c r="AI302" s="7">
        <f>VLOOKUP($B302,'[9]Subsidiary wise dispatch'!$A$3:$R$138,14,FALSE)*$H302*$O302*365</f>
        <v>124.12350195533438</v>
      </c>
      <c r="AJ302" s="7">
        <f>VLOOKUP($B302,'[9]Subsidiary wise dispatch'!$A$3:$R$138,15,FALSE)*$H302*$O302*365</f>
        <v>0</v>
      </c>
      <c r="AK302" s="7">
        <f>VLOOKUP($B302,'[9]Subsidiary wise dispatch'!$A$3:$R$138,16,FALSE)*$H302*$O302*365</f>
        <v>0</v>
      </c>
      <c r="AL302" s="7">
        <f>VLOOKUP($B302,'[9]Subsidiary wise dispatch'!$A$3:$R$138,17,FALSE)*$H302*$O302*365</f>
        <v>6884.0651041523734</v>
      </c>
      <c r="AM302" s="7">
        <f>VLOOKUP($B302,'[9]Subsidiary wise dispatch'!$A$3:$R$138,18,FALSE)*$H302*$O302*365</f>
        <v>690066.00832872128</v>
      </c>
      <c r="AN302" s="15">
        <f t="shared" si="227"/>
        <v>697074.196934829</v>
      </c>
      <c r="AO302" s="6">
        <v>7.096074531932961E-2</v>
      </c>
      <c r="AP302" s="11">
        <f t="shared" si="228"/>
        <v>0.14544790960539161</v>
      </c>
      <c r="AQ302" s="11"/>
      <c r="AR302" s="3">
        <f>VLOOKUP(A302,[10]Sheet1!$A$2:$L$542,12,FALSE)</f>
        <v>2.3100000000000298</v>
      </c>
      <c r="AS302" s="3">
        <f t="shared" si="237"/>
        <v>2.4356816074044927</v>
      </c>
      <c r="AT302" s="2"/>
      <c r="AU302" s="2"/>
      <c r="AV302" s="88">
        <f t="shared" si="239"/>
        <v>0.14166466958930768</v>
      </c>
      <c r="AW302" s="32">
        <f t="shared" si="240"/>
        <v>5.8162228247996738E-2</v>
      </c>
      <c r="AX302" s="12">
        <f t="shared" si="231"/>
        <v>182.2227920288565</v>
      </c>
      <c r="AY302" s="12">
        <f t="shared" si="232"/>
        <v>0</v>
      </c>
      <c r="AZ302" s="3">
        <f>VLOOKUP(A302,[5]Analysis!$A$3:$BJ$543,62,FALSE)</f>
        <v>0.58478301540750166</v>
      </c>
      <c r="BA302" s="2">
        <v>71.56</v>
      </c>
      <c r="BB302" s="2"/>
      <c r="BC302" s="2" t="str">
        <f>VLOOKUP(A302,'[6]FGD status - Jun 2020'!$I$2:$M$449,5,FALSE)</f>
        <v>Feasiblity Study Carried Out</v>
      </c>
      <c r="BD302" s="2">
        <f>VLOOKUP(A302,'[1]daily coal, energy reqd'!$C$2:$L$599,10,FALSE)</f>
        <v>0</v>
      </c>
      <c r="BE302" s="2" t="str">
        <f>VLOOKUP(A302,'[1]daily coal, energy reqd'!$C$2:$M$599,11,FALSE)</f>
        <v>Y</v>
      </c>
      <c r="BF302" s="2">
        <f t="shared" si="233"/>
        <v>190.54348315641235</v>
      </c>
      <c r="BG302" s="2">
        <f t="shared" si="234"/>
        <v>0</v>
      </c>
      <c r="BH302" s="2">
        <f t="shared" ref="BH302:BH311" si="262">IF(G302&lt;17,IF(H302&gt;400,H302*5000000,H302*3500000),H302*1500000)/10^7</f>
        <v>31.5</v>
      </c>
      <c r="BI302" s="2">
        <f t="shared" ref="BI302:BI311" si="263">(H302*800000)/10^7</f>
        <v>16.8</v>
      </c>
      <c r="BK302">
        <f t="shared" si="235"/>
        <v>85.403972853150009</v>
      </c>
      <c r="BL302">
        <f>VLOOKUP(A302,'[11]Daily coal vs energy req.2'!$C$2:$P$599,14,FALSE)</f>
        <v>0.86</v>
      </c>
      <c r="BM302">
        <f>VLOOKUP(A302,'[11]Daily coal vs energy req.2'!$C$2:$R$599,16,FALSE)</f>
        <v>0.76</v>
      </c>
      <c r="BN302">
        <f t="shared" ref="BN302:BN313" si="264">BL302*H302</f>
        <v>180.6</v>
      </c>
      <c r="BO302">
        <f t="shared" ref="BO302:BO313" si="265">BM302*H302</f>
        <v>159.6</v>
      </c>
      <c r="BP302" s="2" t="str">
        <f>VLOOKUP(A302,'[7]Table 2'!$J$2:$N$449,5,FALSE)</f>
        <v>Feasiblity Study Carried Ou</v>
      </c>
      <c r="BR302">
        <f t="shared" si="241"/>
        <v>147.17274813656712</v>
      </c>
      <c r="BT302">
        <f>(X302*I302*365*[5]Analysis!BK302)/10^4</f>
        <v>104.08090526174007</v>
      </c>
      <c r="BV302">
        <f>(X302*I302*365*[5]Analysis!BL302)/10^4</f>
        <v>43.091842874827037</v>
      </c>
      <c r="BX302">
        <f t="shared" si="243"/>
        <v>706746.47333963274</v>
      </c>
      <c r="BZ302">
        <f t="shared" si="245"/>
        <v>2266346.0023921109</v>
      </c>
      <c r="CB302">
        <f t="shared" si="247"/>
        <v>-89895.935301263075</v>
      </c>
      <c r="CD302">
        <f t="shared" si="249"/>
        <v>0</v>
      </c>
      <c r="CF302">
        <f t="shared" si="251"/>
        <v>1335875.6203492074</v>
      </c>
      <c r="CH302">
        <f t="shared" si="253"/>
        <v>531328.96717311256</v>
      </c>
      <c r="CJ302">
        <f t="shared" si="255"/>
        <v>-259079.44235196739</v>
      </c>
      <c r="CL302">
        <f t="shared" si="257"/>
        <v>411187.64016246476</v>
      </c>
    </row>
    <row r="303" spans="1:90" x14ac:dyDescent="0.2">
      <c r="A303" s="2" t="s">
        <v>459</v>
      </c>
      <c r="B303" s="2" t="str">
        <f t="shared" ref="B303:B334" si="266">LEFT(A303,LEN(A303)-LEN(RIGHT(A303,1)))</f>
        <v>CHANDRAPUR STPS</v>
      </c>
      <c r="C303" s="2" t="str">
        <f>VLOOKUP($A303,'[1]daily coal, energy reqd'!$C$2:$T$599,17,FALSE)</f>
        <v>Maharashtra</v>
      </c>
      <c r="D303" s="2" t="str">
        <f>VLOOKUP(C303,'Target PLF'!$I$2:$J$19,2,FALSE)</f>
        <v>WR</v>
      </c>
      <c r="E303" s="2" t="str">
        <f>VLOOKUP(A303,[2]Ownership!$C$2:$D$666,2,FALSE)</f>
        <v>STATE SECTOR</v>
      </c>
      <c r="F303" s="2" t="s">
        <v>548</v>
      </c>
      <c r="G303" s="12">
        <v>34.176591375770002</v>
      </c>
      <c r="H303" s="2">
        <v>210</v>
      </c>
      <c r="I303" s="2">
        <f>VLOOKUP(A303,'[3]Calculated coal req (reg.)'!$A$2:$I$599,9,FALSE)</f>
        <v>2.2701040141603501</v>
      </c>
      <c r="J303" s="2"/>
      <c r="K303" s="11">
        <v>0.45041746312705361</v>
      </c>
      <c r="L303" s="3">
        <f>VLOOKUP(F303,'Target PLF'!$A$2:$B$11,2,FALSE)</f>
        <v>0.6</v>
      </c>
      <c r="M303" s="3">
        <f t="shared" si="236"/>
        <v>0.14958253687294637</v>
      </c>
      <c r="N303" s="2" t="str">
        <f t="shared" si="215"/>
        <v>0.25</v>
      </c>
      <c r="O303" s="2">
        <f t="shared" si="210"/>
        <v>9.6763405715531494</v>
      </c>
      <c r="P303" s="2">
        <f t="shared" si="216"/>
        <v>741691.50480954896</v>
      </c>
      <c r="Q303" s="2">
        <f t="shared" si="217"/>
        <v>15.235852281827514</v>
      </c>
      <c r="R303" s="2">
        <f t="shared" si="218"/>
        <v>3.024</v>
      </c>
      <c r="S303" s="2"/>
      <c r="T303" s="2" t="str">
        <f>VLOOKUP(A303,'[4]CEA vs MERIT comp. &amp; NPA marker'!$C$2:$K$735,9,FALSE)</f>
        <v>Contracted</v>
      </c>
      <c r="U303" s="3">
        <f>VLOOKUP(B303,'[8]Import-Domestic share'!$A$208:$F$406,6,FALSE)</f>
        <v>3.3278847509413102E-2</v>
      </c>
      <c r="V303" s="3">
        <f t="shared" si="220"/>
        <v>24682.638487584114</v>
      </c>
      <c r="W303" s="2">
        <f t="shared" si="221"/>
        <v>3293.6938104729948</v>
      </c>
      <c r="X303" s="2">
        <f t="shared" si="222"/>
        <v>3343.1414891861291</v>
      </c>
      <c r="Y303" s="6">
        <f t="shared" si="223"/>
        <v>0.26110502356516824</v>
      </c>
      <c r="Z303" s="2"/>
      <c r="AA303" s="2">
        <f t="shared" si="225"/>
        <v>662418.49330214306</v>
      </c>
      <c r="AB303" s="2" t="s">
        <v>576</v>
      </c>
      <c r="AC303" s="12">
        <f>VLOOKUP(B303,[9]Sheet1!$A$2:$B$137,2,FALSE)</f>
        <v>4181.7775798896982</v>
      </c>
      <c r="AD303" s="12">
        <f t="shared" si="226"/>
        <v>878173.29177683662</v>
      </c>
      <c r="AE303" s="2"/>
      <c r="AF303" s="7">
        <f>VLOOKUP($B303,'[9]Subsidiary wise dispatch'!$A$3:$R$138,11,FALSE)*$H303*$O303*365</f>
        <v>0</v>
      </c>
      <c r="AG303" s="7">
        <f>VLOOKUP($B303,'[9]Subsidiary wise dispatch'!$A$3:$R$138,12,FALSE)*$H303*$O303*365</f>
        <v>0</v>
      </c>
      <c r="AH303" s="7">
        <f>VLOOKUP($B303,'[9]Subsidiary wise dispatch'!$A$3:$R$138,13,FALSE)*$H303*$O303*365</f>
        <v>0</v>
      </c>
      <c r="AI303" s="7">
        <f>VLOOKUP($B303,'[9]Subsidiary wise dispatch'!$A$3:$R$138,14,FALSE)*$H303*$O303*365</f>
        <v>132.06821792040878</v>
      </c>
      <c r="AJ303" s="7">
        <f>VLOOKUP($B303,'[9]Subsidiary wise dispatch'!$A$3:$R$138,15,FALSE)*$H303*$O303*365</f>
        <v>0</v>
      </c>
      <c r="AK303" s="7">
        <f>VLOOKUP($B303,'[9]Subsidiary wise dispatch'!$A$3:$R$138,16,FALSE)*$H303*$O303*365</f>
        <v>0</v>
      </c>
      <c r="AL303" s="7">
        <f>VLOOKUP($B303,'[9]Subsidiary wise dispatch'!$A$3:$R$138,17,FALSE)*$H303*$O303*365</f>
        <v>7324.6902966098969</v>
      </c>
      <c r="AM303" s="7">
        <f>VLOOKUP($B303,'[9]Subsidiary wise dispatch'!$A$3:$R$138,18,FALSE)*$H303*$O303*365</f>
        <v>734234.7462950187</v>
      </c>
      <c r="AN303" s="15">
        <f t="shared" si="227"/>
        <v>741691.50480954896</v>
      </c>
      <c r="AO303" s="6">
        <v>7.096074531932961E-2</v>
      </c>
      <c r="AP303" s="11">
        <f t="shared" si="228"/>
        <v>0.16108827279722043</v>
      </c>
      <c r="AQ303" s="11"/>
      <c r="AR303" s="3">
        <f>VLOOKUP(A303,[10]Sheet1!$A$2:$L$542,12,FALSE)</f>
        <v>2.3100000000000298</v>
      </c>
      <c r="AS303" s="3">
        <f t="shared" si="237"/>
        <v>2.4273851765612786</v>
      </c>
      <c r="AT303" s="2"/>
      <c r="AU303" s="2"/>
      <c r="AV303" s="88">
        <f t="shared" si="239"/>
        <v>0.10961707467123256</v>
      </c>
      <c r="AW303" s="32">
        <f t="shared" si="240"/>
        <v>4.5158500484261864E-2</v>
      </c>
      <c r="AX303" s="12">
        <f t="shared" si="231"/>
        <v>201.13021441271576</v>
      </c>
      <c r="AY303" s="12">
        <f t="shared" si="232"/>
        <v>0</v>
      </c>
      <c r="AZ303" s="3">
        <f>VLOOKUP(A303,[5]Analysis!$A$3:$BJ$543,62,FALSE)</f>
        <v>0.58478301540750166</v>
      </c>
      <c r="BA303" s="2">
        <v>71.56</v>
      </c>
      <c r="BB303" s="2"/>
      <c r="BC303" s="2" t="str">
        <f>VLOOKUP(A303,'[6]FGD status - Jun 2020'!$I$2:$M$449,5,FALSE)</f>
        <v>Feasiblity Study Carried Out</v>
      </c>
      <c r="BD303" s="2">
        <f>VLOOKUP(A303,'[1]daily coal, energy reqd'!$C$2:$L$599,10,FALSE)</f>
        <v>0</v>
      </c>
      <c r="BE303" s="2" t="str">
        <f>VLOOKUP(A303,'[1]daily coal, energy reqd'!$C$2:$M$599,11,FALSE)</f>
        <v>Y</v>
      </c>
      <c r="BF303" s="2">
        <f t="shared" si="233"/>
        <v>209.72723400897056</v>
      </c>
      <c r="BG303" s="2">
        <f t="shared" si="234"/>
        <v>0</v>
      </c>
      <c r="BH303" s="2">
        <f t="shared" si="262"/>
        <v>31.5</v>
      </c>
      <c r="BI303" s="2">
        <f t="shared" si="263"/>
        <v>16.8</v>
      </c>
      <c r="BK303">
        <f t="shared" si="235"/>
        <v>94.587667256681257</v>
      </c>
      <c r="BL303">
        <f>VLOOKUP(A303,'[11]Daily coal vs energy req.2'!$C$2:$P$599,14,FALSE)</f>
        <v>0.83</v>
      </c>
      <c r="BM303">
        <f>VLOOKUP(A303,'[11]Daily coal vs energy req.2'!$C$2:$R$599,16,FALSE)</f>
        <v>0.73</v>
      </c>
      <c r="BN303">
        <f t="shared" si="264"/>
        <v>174.29999999999998</v>
      </c>
      <c r="BO303">
        <f t="shared" si="265"/>
        <v>153.29999999999998</v>
      </c>
      <c r="BP303" s="2" t="str">
        <f>VLOOKUP(A303,'[7]Table 2'!$J$2:$N$449,5,FALSE)</f>
        <v>Feasiblity Study Carried Ou</v>
      </c>
      <c r="BR303">
        <f t="shared" si="241"/>
        <v>161.98997140638949</v>
      </c>
      <c r="BT303">
        <f>(X303*I303*365*[5]Analysis!BK303)/10^4</f>
        <v>114.55967956550843</v>
      </c>
      <c r="BV303">
        <f>(X303*I303*365*[5]Analysis!BL303)/10^4</f>
        <v>47.430291840881047</v>
      </c>
      <c r="BX303">
        <f t="shared" si="243"/>
        <v>777901.08873701282</v>
      </c>
      <c r="BZ303">
        <f t="shared" si="245"/>
        <v>2510051.6334453882</v>
      </c>
      <c r="CB303">
        <f t="shared" si="247"/>
        <v>-110268.8734029042</v>
      </c>
      <c r="CD303">
        <f t="shared" si="249"/>
        <v>0</v>
      </c>
      <c r="CF303">
        <f t="shared" si="251"/>
        <v>1479525.5355529161</v>
      </c>
      <c r="CH303">
        <f t="shared" si="253"/>
        <v>574473.81769388169</v>
      </c>
      <c r="CJ303">
        <f t="shared" si="255"/>
        <v>-286938.87728585408</v>
      </c>
      <c r="CL303">
        <f t="shared" si="257"/>
        <v>455403.63508174522</v>
      </c>
    </row>
    <row r="304" spans="1:90" x14ac:dyDescent="0.2">
      <c r="A304" s="2" t="s">
        <v>277</v>
      </c>
      <c r="B304" s="2" t="str">
        <f t="shared" si="266"/>
        <v>CHANDRAPURA(DVC)</v>
      </c>
      <c r="C304" s="2" t="str">
        <f>VLOOKUP($A304,'[1]daily coal, energy reqd'!$C$2:$T$599,17,FALSE)</f>
        <v>Jharkhand</v>
      </c>
      <c r="D304" s="2" t="str">
        <f>VLOOKUP(C304,'Target PLF'!$I$2:$J$19,2,FALSE)</f>
        <v>ER</v>
      </c>
      <c r="E304" s="2" t="str">
        <f>VLOOKUP(A304,[2]Ownership!$C$2:$D$666,2,FALSE)</f>
        <v>CENTRAL SECTOR</v>
      </c>
      <c r="F304" s="2" t="s">
        <v>544</v>
      </c>
      <c r="G304" s="12">
        <v>10.5051334702258</v>
      </c>
      <c r="H304" s="2">
        <v>250</v>
      </c>
      <c r="I304" s="2">
        <f>VLOOKUP(A304,'[3]Calculated coal req (reg.)'!$A$2:$I$599,9,FALSE)</f>
        <v>4.9912216757311798</v>
      </c>
      <c r="J304" s="2"/>
      <c r="K304" s="11">
        <v>0.83187027928852997</v>
      </c>
      <c r="L304" s="3">
        <f>VLOOKUP(F304,'Target PLF'!$A$2:$B$11,2,FALSE)</f>
        <v>0.8</v>
      </c>
      <c r="M304" s="3">
        <f t="shared" si="236"/>
        <v>-3.1870279288529924E-2</v>
      </c>
      <c r="N304" s="2" t="str">
        <f t="shared" si="215"/>
        <v>0.15</v>
      </c>
      <c r="O304" s="2">
        <f t="shared" ref="O304:O367" si="267">(13.9133*K304)+(-0.289097*N304)+(-0.0052079*H304)+(0.031675*G304)+3.492937+IF(E304="Pvt Sector",-0.8897511,0)</f>
        <v>14.054408309494505</v>
      </c>
      <c r="P304" s="2">
        <f t="shared" si="216"/>
        <v>1282464.7582413736</v>
      </c>
      <c r="Q304" s="2">
        <f t="shared" si="217"/>
        <v>14.306652552669402</v>
      </c>
      <c r="R304" s="2">
        <f t="shared" si="218"/>
        <v>4.8</v>
      </c>
      <c r="S304" s="2"/>
      <c r="T304" s="2" t="str">
        <f>VLOOKUP(A304,'[4]CEA vs MERIT comp. &amp; NPA marker'!$C$2:$K$735,9,FALSE)</f>
        <v>Contracted</v>
      </c>
      <c r="U304" s="3">
        <f>VLOOKUP(B304,'[8]Import-Domestic share'!$A$208:$F$406,6,FALSE)</f>
        <v>0</v>
      </c>
      <c r="V304" s="3">
        <f t="shared" si="220"/>
        <v>0</v>
      </c>
      <c r="W304" s="2">
        <f t="shared" si="221"/>
        <v>3002.1843259691987</v>
      </c>
      <c r="X304" s="2">
        <f t="shared" si="222"/>
        <v>2991.648929500454</v>
      </c>
      <c r="Y304" s="6">
        <f t="shared" si="223"/>
        <v>0.2864580940486941</v>
      </c>
      <c r="Z304" s="2"/>
      <c r="AA304" s="2">
        <f t="shared" si="225"/>
        <v>1246982.3595382432</v>
      </c>
      <c r="AB304" s="2" t="s">
        <v>576</v>
      </c>
      <c r="AC304" s="12">
        <f>VLOOKUP(B304,[9]Sheet1!$A$2:$B$137,2,FALSE)</f>
        <v>4370.6903687474232</v>
      </c>
      <c r="AD304" s="12">
        <f t="shared" si="226"/>
        <v>1092672.5921868559</v>
      </c>
      <c r="AE304" s="2"/>
      <c r="AF304" s="7">
        <f>VLOOKUP($B304,'[9]Subsidiary wise dispatch'!$A$3:$R$138,11,FALSE)*$H304*$O304*365</f>
        <v>337833.2300155008</v>
      </c>
      <c r="AG304" s="7">
        <f>VLOOKUP($B304,'[9]Subsidiary wise dispatch'!$A$3:$R$138,12,FALSE)*$H304*$O304*365</f>
        <v>944631.52822587301</v>
      </c>
      <c r="AH304" s="7">
        <f>VLOOKUP($B304,'[9]Subsidiary wise dispatch'!$A$3:$R$138,13,FALSE)*$H304*$O304*365</f>
        <v>0</v>
      </c>
      <c r="AI304" s="7">
        <f>VLOOKUP($B304,'[9]Subsidiary wise dispatch'!$A$3:$R$138,14,FALSE)*$H304*$O304*365</f>
        <v>0</v>
      </c>
      <c r="AJ304" s="7">
        <f>VLOOKUP($B304,'[9]Subsidiary wise dispatch'!$A$3:$R$138,15,FALSE)*$H304*$O304*365</f>
        <v>0</v>
      </c>
      <c r="AK304" s="7">
        <f>VLOOKUP($B304,'[9]Subsidiary wise dispatch'!$A$3:$R$138,16,FALSE)*$H304*$O304*365</f>
        <v>0</v>
      </c>
      <c r="AL304" s="7">
        <f>VLOOKUP($B304,'[9]Subsidiary wise dispatch'!$A$3:$R$138,17,FALSE)*$H304*$O304*365</f>
        <v>0</v>
      </c>
      <c r="AM304" s="7">
        <f>VLOOKUP($B304,'[9]Subsidiary wise dispatch'!$A$3:$R$138,18,FALSE)*$H304*$O304*365</f>
        <v>0</v>
      </c>
      <c r="AN304" s="15">
        <f t="shared" si="227"/>
        <v>1282464.7582413738</v>
      </c>
      <c r="AO304" s="6">
        <v>9.1459561477170895E-2</v>
      </c>
      <c r="AP304" s="11">
        <f t="shared" si="228"/>
        <v>0.45649494569772375</v>
      </c>
      <c r="AQ304" s="11"/>
      <c r="AR304" s="3">
        <f>VLOOKUP(A304,[10]Sheet1!$A$2:$L$542,12,FALSE)</f>
        <v>2.0353399122806999</v>
      </c>
      <c r="AS304" s="3">
        <f t="shared" si="237"/>
        <v>2.0447511165650849</v>
      </c>
      <c r="AT304" s="2"/>
      <c r="AU304" s="2"/>
      <c r="AV304" s="88">
        <f t="shared" si="239"/>
        <v>-2.3355178068220499E-2</v>
      </c>
      <c r="AW304" s="32">
        <f t="shared" si="240"/>
        <v>1.1422015070202848E-2</v>
      </c>
      <c r="AX304" s="12">
        <f t="shared" si="231"/>
        <v>372.51192244834425</v>
      </c>
      <c r="AY304" s="12">
        <f t="shared" si="232"/>
        <v>0</v>
      </c>
      <c r="AZ304" s="3">
        <f>VLOOKUP(A304,[5]Analysis!$A$3:$BJ$543,62,FALSE)</f>
        <v>0.4762535856770253</v>
      </c>
      <c r="BA304" s="2">
        <v>264.95999999999998</v>
      </c>
      <c r="BB304" s="2"/>
      <c r="BC304" s="2" t="str">
        <f>VLOOKUP(A304,'[6]FGD status - Jun 2020'!$I$2:$M$449,5,FALSE)</f>
        <v>NIT issued</v>
      </c>
      <c r="BD304" s="2"/>
      <c r="BE304" s="2"/>
      <c r="BF304" s="2">
        <f t="shared" si="233"/>
        <v>385.94104027708624</v>
      </c>
      <c r="BG304" s="2">
        <f t="shared" si="234"/>
        <v>0</v>
      </c>
      <c r="BH304" s="2">
        <f t="shared" si="262"/>
        <v>87.5</v>
      </c>
      <c r="BI304" s="2">
        <f t="shared" si="263"/>
        <v>20</v>
      </c>
      <c r="BK304">
        <f t="shared" si="235"/>
        <v>207.9675698221325</v>
      </c>
      <c r="BL304">
        <f>VLOOKUP(A304,'[11]Daily coal vs energy req.2'!$C$2:$P$599,14,FALSE)</f>
        <v>0.99</v>
      </c>
      <c r="BM304">
        <f>VLOOKUP(A304,'[11]Daily coal vs energy req.2'!$C$2:$R$599,16,FALSE)</f>
        <v>0.96</v>
      </c>
      <c r="BN304">
        <f t="shared" si="264"/>
        <v>247.5</v>
      </c>
      <c r="BO304">
        <f t="shared" si="265"/>
        <v>240</v>
      </c>
      <c r="BP304" s="2" t="str">
        <f>VLOOKUP(A304,'[7]Table 2'!$J$2:$N$449,5,FALSE)</f>
        <v>Bid opened</v>
      </c>
      <c r="BR304">
        <f t="shared" si="241"/>
        <v>259.56648094940527</v>
      </c>
      <c r="BT304">
        <f>(X304*I304*365*[5]Analysis!BK304)/10^4</f>
        <v>211.22596279954575</v>
      </c>
      <c r="BV304">
        <f>(X304*I304*365*[5]Analysis!BL304)/10^4</f>
        <v>48.340518149859541</v>
      </c>
      <c r="BX304">
        <f t="shared" si="243"/>
        <v>1530528.2557678162</v>
      </c>
      <c r="BZ304">
        <f t="shared" si="245"/>
        <v>4494560.8592220657</v>
      </c>
      <c r="CB304">
        <f t="shared" si="247"/>
        <v>-447769.41700500489</v>
      </c>
      <c r="CD304">
        <f t="shared" si="249"/>
        <v>0</v>
      </c>
      <c r="CF304">
        <f t="shared" si="251"/>
        <v>3252996.2842169041</v>
      </c>
      <c r="CH304">
        <f t="shared" si="253"/>
        <v>388243.47965897055</v>
      </c>
      <c r="CJ304">
        <f t="shared" si="255"/>
        <v>-751054.08165564947</v>
      </c>
      <c r="CL304">
        <f t="shared" si="257"/>
        <v>1290531.2972650758</v>
      </c>
    </row>
    <row r="305" spans="1:90" x14ac:dyDescent="0.2">
      <c r="A305" s="2" t="s">
        <v>270</v>
      </c>
      <c r="B305" s="2" t="str">
        <f t="shared" si="266"/>
        <v>CHANDRAPURA(DVC)</v>
      </c>
      <c r="C305" s="2" t="str">
        <f>VLOOKUP($A305,'[1]daily coal, energy reqd'!$C$2:$T$599,17,FALSE)</f>
        <v>Jharkhand</v>
      </c>
      <c r="D305" s="2" t="str">
        <f>VLOOKUP(C305,'Target PLF'!$I$2:$J$19,2,FALSE)</f>
        <v>ER</v>
      </c>
      <c r="E305" s="2" t="str">
        <f>VLOOKUP(A305,[2]Ownership!$C$2:$D$666,2,FALSE)</f>
        <v>CENTRAL SECTOR</v>
      </c>
      <c r="F305" s="2" t="s">
        <v>544</v>
      </c>
      <c r="G305" s="12">
        <v>10.17659137577</v>
      </c>
      <c r="H305" s="2">
        <v>250</v>
      </c>
      <c r="I305" s="2">
        <f>VLOOKUP(A305,'[3]Calculated coal req (reg.)'!$A$2:$I$599,9,FALSE)</f>
        <v>4.7989141437234402</v>
      </c>
      <c r="J305" s="2"/>
      <c r="K305" s="11">
        <v>0.79981902395390669</v>
      </c>
      <c r="L305" s="3">
        <f>VLOOKUP(F305,'Target PLF'!$A$2:$B$11,2,FALSE)</f>
        <v>0.8</v>
      </c>
      <c r="M305" s="3">
        <f t="shared" si="236"/>
        <v>1.8097604609335072E-4</v>
      </c>
      <c r="N305" s="2" t="str">
        <f t="shared" si="215"/>
        <v>0.15</v>
      </c>
      <c r="O305" s="2">
        <f t="shared" si="267"/>
        <v>13.598063007805404</v>
      </c>
      <c r="P305" s="2">
        <f t="shared" si="216"/>
        <v>1240823.2494622432</v>
      </c>
      <c r="Q305" s="2">
        <f t="shared" si="217"/>
        <v>14.296245981827514</v>
      </c>
      <c r="R305" s="2">
        <f t="shared" si="218"/>
        <v>4.8</v>
      </c>
      <c r="S305" s="2"/>
      <c r="T305" s="2" t="str">
        <f>VLOOKUP(A305,'[4]CEA vs MERIT comp. &amp; NPA marker'!$C$2:$K$735,9,FALSE)</f>
        <v>Contracted</v>
      </c>
      <c r="U305" s="3">
        <f>VLOOKUP(B305,'[8]Import-Domestic share'!$A$208:$F$406,6,FALSE)</f>
        <v>0</v>
      </c>
      <c r="V305" s="3">
        <f t="shared" si="220"/>
        <v>0</v>
      </c>
      <c r="W305" s="2">
        <f t="shared" si="221"/>
        <v>2999.6740879404515</v>
      </c>
      <c r="X305" s="2">
        <f t="shared" si="222"/>
        <v>2999.7339134091799</v>
      </c>
      <c r="Y305" s="6">
        <f t="shared" si="223"/>
        <v>0.28669781275820805</v>
      </c>
      <c r="Z305" s="2"/>
      <c r="AA305" s="2">
        <f t="shared" si="225"/>
        <v>1202177.3371779649</v>
      </c>
      <c r="AB305" s="2" t="s">
        <v>576</v>
      </c>
      <c r="AC305" s="12">
        <f>VLOOKUP(B305,[9]Sheet1!$A$2:$B$137,2,FALSE)</f>
        <v>4370.6903687474232</v>
      </c>
      <c r="AD305" s="12">
        <f t="shared" si="226"/>
        <v>1092672.5921868559</v>
      </c>
      <c r="AE305" s="2"/>
      <c r="AF305" s="7">
        <f>VLOOKUP($B305,'[9]Subsidiary wise dispatch'!$A$3:$R$138,11,FALSE)*$H305*$O305*365</f>
        <v>326863.8171539235</v>
      </c>
      <c r="AG305" s="7">
        <f>VLOOKUP($B305,'[9]Subsidiary wise dispatch'!$A$3:$R$138,12,FALSE)*$H305*$O305*365</f>
        <v>913959.43230831984</v>
      </c>
      <c r="AH305" s="7">
        <f>VLOOKUP($B305,'[9]Subsidiary wise dispatch'!$A$3:$R$138,13,FALSE)*$H305*$O305*365</f>
        <v>0</v>
      </c>
      <c r="AI305" s="7">
        <f>VLOOKUP($B305,'[9]Subsidiary wise dispatch'!$A$3:$R$138,14,FALSE)*$H305*$O305*365</f>
        <v>0</v>
      </c>
      <c r="AJ305" s="7">
        <f>VLOOKUP($B305,'[9]Subsidiary wise dispatch'!$A$3:$R$138,15,FALSE)*$H305*$O305*365</f>
        <v>0</v>
      </c>
      <c r="AK305" s="7">
        <f>VLOOKUP($B305,'[9]Subsidiary wise dispatch'!$A$3:$R$138,16,FALSE)*$H305*$O305*365</f>
        <v>0</v>
      </c>
      <c r="AL305" s="7">
        <f>VLOOKUP($B305,'[9]Subsidiary wise dispatch'!$A$3:$R$138,17,FALSE)*$H305*$O305*365</f>
        <v>0</v>
      </c>
      <c r="AM305" s="7">
        <f>VLOOKUP($B305,'[9]Subsidiary wise dispatch'!$A$3:$R$138,18,FALSE)*$H305*$O305*365</f>
        <v>0</v>
      </c>
      <c r="AN305" s="15">
        <f t="shared" si="227"/>
        <v>1240823.2494622434</v>
      </c>
      <c r="AO305" s="6">
        <v>9.1459561477170895E-2</v>
      </c>
      <c r="AP305" s="11">
        <f t="shared" si="228"/>
        <v>0.43890658315153891</v>
      </c>
      <c r="AQ305" s="11"/>
      <c r="AR305" s="3">
        <f>VLOOKUP(A305,[10]Sheet1!$A$2:$L$542,12,FALSE)</f>
        <v>2.0353399122806999</v>
      </c>
      <c r="AS305" s="3">
        <f t="shared" si="237"/>
        <v>2.0431471374773316</v>
      </c>
      <c r="AT305" s="3"/>
      <c r="AU305" s="3"/>
      <c r="AV305" s="88">
        <f t="shared" si="239"/>
        <v>1.3262286609812927E-4</v>
      </c>
      <c r="AW305" s="32">
        <f t="shared" si="240"/>
        <v>6.4911069626575395E-5</v>
      </c>
      <c r="AX305" s="12">
        <f t="shared" si="231"/>
        <v>357.87840089480301</v>
      </c>
      <c r="AY305" s="12">
        <f t="shared" si="232"/>
        <v>0</v>
      </c>
      <c r="AZ305" s="3">
        <f>VLOOKUP(A305,[5]Analysis!$A$3:$BJ$543,62,FALSE)</f>
        <v>0.4762535856770253</v>
      </c>
      <c r="BA305" s="2">
        <v>264.95999999999998</v>
      </c>
      <c r="BB305" s="2"/>
      <c r="BC305" s="2" t="str">
        <f>VLOOKUP(A305,'[6]FGD status - Jun 2020'!$I$2:$M$449,5,FALSE)</f>
        <v>NIT issued</v>
      </c>
      <c r="BD305" s="2"/>
      <c r="BE305" s="2"/>
      <c r="BF305" s="2">
        <f t="shared" si="233"/>
        <v>372.07388585658009</v>
      </c>
      <c r="BG305" s="2">
        <f t="shared" si="234"/>
        <v>0</v>
      </c>
      <c r="BH305" s="2">
        <f t="shared" si="262"/>
        <v>87.5</v>
      </c>
      <c r="BI305" s="2">
        <f t="shared" si="263"/>
        <v>20</v>
      </c>
      <c r="BK305">
        <f t="shared" si="235"/>
        <v>199.95475598847668</v>
      </c>
      <c r="BL305">
        <f>VLOOKUP(A305,'[11]Daily coal vs energy req.2'!$C$2:$P$599,14,FALSE)</f>
        <v>1.33</v>
      </c>
      <c r="BM305">
        <f>VLOOKUP(A305,'[11]Daily coal vs energy req.2'!$C$2:$R$599,16,FALSE)</f>
        <v>1.17</v>
      </c>
      <c r="BN305">
        <f t="shared" si="264"/>
        <v>332.5</v>
      </c>
      <c r="BO305">
        <f t="shared" si="265"/>
        <v>292.5</v>
      </c>
      <c r="BP305" s="2" t="str">
        <f>VLOOKUP(A305,'[7]Table 2'!$J$2:$N$449,5,FALSE)</f>
        <v>Bid opened</v>
      </c>
      <c r="BR305">
        <f t="shared" si="241"/>
        <v>250.24006033570598</v>
      </c>
      <c r="BT305">
        <f>(X305*I305*365*[5]Analysis!BK305)/10^4</f>
        <v>203.63645368266501</v>
      </c>
      <c r="BV305">
        <f>(X305*I305*365*[5]Analysis!BL305)/10^4</f>
        <v>46.603606653040998</v>
      </c>
      <c r="BX305">
        <f t="shared" si="243"/>
        <v>1475535.2142077833</v>
      </c>
      <c r="BZ305">
        <f t="shared" si="245"/>
        <v>4321389.2466490855</v>
      </c>
      <c r="CB305">
        <f t="shared" si="247"/>
        <v>-413929.77799516375</v>
      </c>
      <c r="CD305">
        <f t="shared" si="249"/>
        <v>0</v>
      </c>
      <c r="CF305">
        <f t="shared" si="251"/>
        <v>3127661.1002298179</v>
      </c>
      <c r="CH305">
        <f t="shared" si="253"/>
        <v>361610.51797906338</v>
      </c>
      <c r="CJ305">
        <f t="shared" si="255"/>
        <v>-722116.60577678483</v>
      </c>
      <c r="CL305">
        <f t="shared" si="257"/>
        <v>1240808.222459059</v>
      </c>
    </row>
    <row r="306" spans="1:90" x14ac:dyDescent="0.2">
      <c r="A306" s="2" t="s">
        <v>278</v>
      </c>
      <c r="B306" s="2" t="str">
        <f t="shared" si="266"/>
        <v>CHHABRA TPS</v>
      </c>
      <c r="C306" s="2" t="str">
        <f>VLOOKUP($A306,'[1]daily coal, energy reqd'!$C$2:$T$599,17,FALSE)</f>
        <v>Rajasthan</v>
      </c>
      <c r="D306" s="2" t="str">
        <f>VLOOKUP(C306,'Target PLF'!$I$2:$J$19,2,FALSE)</f>
        <v>NR</v>
      </c>
      <c r="E306" s="2" t="str">
        <f>VLOOKUP(A306,[2]Ownership!$C$2:$D$666,2,FALSE)</f>
        <v>STATE SECTOR</v>
      </c>
      <c r="F306" s="2" t="s">
        <v>544</v>
      </c>
      <c r="G306" s="12">
        <v>10.590006844626901</v>
      </c>
      <c r="H306" s="2">
        <v>250</v>
      </c>
      <c r="I306" s="2">
        <f>VLOOKUP(A306,'[3]Calculated coal req (reg.)'!$A$2:$I$599,9,FALSE)</f>
        <v>5.1310663661108302</v>
      </c>
      <c r="J306" s="2"/>
      <c r="K306" s="11">
        <v>0.85517772768513833</v>
      </c>
      <c r="L306" s="3">
        <f>VLOOKUP(F306,'Target PLF'!$A$2:$B$11,2,FALSE)</f>
        <v>0.8</v>
      </c>
      <c r="M306" s="3">
        <f t="shared" si="236"/>
        <v>-5.5177727685138289E-2</v>
      </c>
      <c r="N306" s="2" t="str">
        <f t="shared" si="215"/>
        <v>0.15</v>
      </c>
      <c r="O306" s="2">
        <f t="shared" si="267"/>
        <v>14.381380195405191</v>
      </c>
      <c r="P306" s="2">
        <f t="shared" si="216"/>
        <v>1312300.9428307237</v>
      </c>
      <c r="Q306" s="2">
        <f t="shared" si="217"/>
        <v>14.309340916803556</v>
      </c>
      <c r="R306" s="2">
        <f t="shared" si="218"/>
        <v>4.8</v>
      </c>
      <c r="S306" s="2"/>
      <c r="T306" s="2" t="str">
        <f>VLOOKUP(A306,'[4]CEA vs MERIT comp. &amp; NPA marker'!$C$2:$K$735,9,FALSE)</f>
        <v>Contracted</v>
      </c>
      <c r="U306" s="3">
        <f>VLOOKUP(B306,'[8]Import-Domestic share'!$A$208:$F$406,6,FALSE)</f>
        <v>0</v>
      </c>
      <c r="V306" s="3">
        <f t="shared" si="220"/>
        <v>0</v>
      </c>
      <c r="W306" s="2">
        <f t="shared" si="221"/>
        <v>3002.832804126625</v>
      </c>
      <c r="X306" s="2">
        <f t="shared" si="222"/>
        <v>2984.5926364724755</v>
      </c>
      <c r="Y306" s="6">
        <f t="shared" si="223"/>
        <v>0.28639623185751473</v>
      </c>
      <c r="Z306" s="2"/>
      <c r="AA306" s="2">
        <f t="shared" si="225"/>
        <v>1261228.2482692937</v>
      </c>
      <c r="AB306" s="2" t="s">
        <v>576</v>
      </c>
      <c r="AC306" s="12">
        <f>VLOOKUP(B306,[9]Sheet1!$A$2:$B$137,2,FALSE)</f>
        <v>4431.9195703193527</v>
      </c>
      <c r="AD306" s="12">
        <f t="shared" si="226"/>
        <v>1107979.8925798382</v>
      </c>
      <c r="AE306" s="2"/>
      <c r="AF306" s="7">
        <f>VLOOKUP($B306,'[9]Subsidiary wise dispatch'!$A$3:$R$138,11,FALSE)*$H306*$O306*365</f>
        <v>0</v>
      </c>
      <c r="AG306" s="7">
        <f>VLOOKUP($B306,'[9]Subsidiary wise dispatch'!$A$3:$R$138,12,FALSE)*$H306*$O306*365</f>
        <v>0</v>
      </c>
      <c r="AH306" s="7">
        <f>VLOOKUP($B306,'[9]Subsidiary wise dispatch'!$A$3:$R$138,13,FALSE)*$H306*$O306*365</f>
        <v>0</v>
      </c>
      <c r="AI306" s="7">
        <f>VLOOKUP($B306,'[9]Subsidiary wise dispatch'!$A$3:$R$138,14,FALSE)*$H306*$O306*365</f>
        <v>0</v>
      </c>
      <c r="AJ306" s="7">
        <f>VLOOKUP($B306,'[9]Subsidiary wise dispatch'!$A$3:$R$138,15,FALSE)*$H306*$O306*365</f>
        <v>0</v>
      </c>
      <c r="AK306" s="7">
        <f>VLOOKUP($B306,'[9]Subsidiary wise dispatch'!$A$3:$R$138,16,FALSE)*$H306*$O306*365</f>
        <v>0</v>
      </c>
      <c r="AL306" s="7">
        <f>VLOOKUP($B306,'[9]Subsidiary wise dispatch'!$A$3:$R$138,17,FALSE)*$H306*$O306*365</f>
        <v>1312300.9428307237</v>
      </c>
      <c r="AM306" s="7">
        <f>VLOOKUP($B306,'[9]Subsidiary wise dispatch'!$A$3:$R$138,18,FALSE)*$H306*$O306*365</f>
        <v>0</v>
      </c>
      <c r="AN306" s="15">
        <f t="shared" si="227"/>
        <v>1312300.9428307237</v>
      </c>
      <c r="AO306" s="6">
        <v>9.1162448347772748E-2</v>
      </c>
      <c r="AP306" s="11">
        <f t="shared" si="228"/>
        <v>0.4677605725695726</v>
      </c>
      <c r="AQ306" s="11"/>
      <c r="AR306" s="3">
        <f>VLOOKUP(A306,[10]Sheet1!$A$2:$L$542,12,FALSE)</f>
        <v>2.3395933263816402</v>
      </c>
      <c r="AS306" s="3">
        <f t="shared" si="237"/>
        <v>2.7129920445610614</v>
      </c>
      <c r="AT306" s="2"/>
      <c r="AU306" s="2"/>
      <c r="AV306" s="88">
        <f t="shared" si="239"/>
        <v>-4.0435342402223046E-2</v>
      </c>
      <c r="AW306" s="32">
        <f t="shared" si="240"/>
        <v>1.4904335043402286E-2</v>
      </c>
      <c r="AX306" s="12">
        <f t="shared" si="231"/>
        <v>508.09979144513335</v>
      </c>
      <c r="AY306" s="12">
        <f t="shared" si="232"/>
        <v>0</v>
      </c>
      <c r="AZ306" s="3">
        <f>VLOOKUP(A306,[5]Analysis!$A$3:$BJ$543,62,FALSE)</f>
        <v>0.83016780914525568</v>
      </c>
      <c r="BA306" s="2"/>
      <c r="BB306" s="2"/>
      <c r="BC306" s="2" t="str">
        <f>VLOOKUP(A306,'[6]FGD status - Jun 2020'!$I$2:$M$449,5,FALSE)</f>
        <v>Tender specification made</v>
      </c>
      <c r="BD306" s="2"/>
      <c r="BE306" s="2"/>
      <c r="BF306" s="2">
        <f t="shared" si="233"/>
        <v>390.3501428393464</v>
      </c>
      <c r="BG306" s="2">
        <f t="shared" si="234"/>
        <v>0</v>
      </c>
      <c r="BH306" s="2">
        <f t="shared" si="262"/>
        <v>87.5</v>
      </c>
      <c r="BI306" s="2">
        <f t="shared" si="263"/>
        <v>20</v>
      </c>
      <c r="BK306">
        <f t="shared" si="235"/>
        <v>213.79443192128457</v>
      </c>
      <c r="BL306">
        <f>VLOOKUP(A306,'[11]Daily coal vs energy req.2'!$C$2:$P$599,14,FALSE)</f>
        <v>1.44</v>
      </c>
      <c r="BM306">
        <f>VLOOKUP(A306,'[11]Daily coal vs energy req.2'!$C$2:$R$599,16,FALSE)</f>
        <v>1.33</v>
      </c>
      <c r="BN306">
        <f t="shared" si="264"/>
        <v>360</v>
      </c>
      <c r="BO306">
        <f t="shared" si="265"/>
        <v>332.5</v>
      </c>
      <c r="BP306" s="2" t="str">
        <f>VLOOKUP(A306,'[7]Table 2'!$J$2:$N$449,5,FALSE)</f>
        <v>Tender specification made</v>
      </c>
      <c r="BR306">
        <f t="shared" si="241"/>
        <v>464.03575860284417</v>
      </c>
      <c r="BT306">
        <f>(X306*I306*365*[5]Analysis!BK306)/10^4</f>
        <v>213.6390695609482</v>
      </c>
      <c r="BV306">
        <f>(X306*I306*365*[5]Analysis!BL306)/10^4</f>
        <v>250.39668904189597</v>
      </c>
      <c r="BX306">
        <f t="shared" si="243"/>
        <v>1569699.6465884617</v>
      </c>
      <c r="BZ306">
        <f t="shared" si="245"/>
        <v>8054074.9960627574</v>
      </c>
      <c r="CB306">
        <f t="shared" si="247"/>
        <v>-473212.2450947435</v>
      </c>
      <c r="CD306">
        <f t="shared" si="249"/>
        <v>0</v>
      </c>
      <c r="CF306">
        <f t="shared" si="251"/>
        <v>3344139.1521813539</v>
      </c>
      <c r="CH306">
        <f t="shared" si="253"/>
        <v>402345.92786209745</v>
      </c>
      <c r="CJ306">
        <f t="shared" si="255"/>
        <v>-772097.21144052735</v>
      </c>
      <c r="CL306">
        <f t="shared" si="257"/>
        <v>1322379.7201193748</v>
      </c>
    </row>
    <row r="307" spans="1:90" x14ac:dyDescent="0.2">
      <c r="A307" s="2" t="s">
        <v>269</v>
      </c>
      <c r="B307" s="2" t="str">
        <f t="shared" si="266"/>
        <v>CHHABRA TPS</v>
      </c>
      <c r="C307" s="2" t="str">
        <f>VLOOKUP($A307,'[1]daily coal, energy reqd'!$C$2:$T$599,17,FALSE)</f>
        <v>Rajasthan</v>
      </c>
      <c r="D307" s="2" t="str">
        <f>VLOOKUP(C307,'Target PLF'!$I$2:$J$19,2,FALSE)</f>
        <v>NR</v>
      </c>
      <c r="E307" s="2" t="str">
        <f>VLOOKUP(A307,[2]Ownership!$C$2:$D$666,2,FALSE)</f>
        <v>STATE SECTOR</v>
      </c>
      <c r="F307" s="2" t="s">
        <v>543</v>
      </c>
      <c r="G307" s="12">
        <v>10.009582477754901</v>
      </c>
      <c r="H307" s="2">
        <v>250</v>
      </c>
      <c r="I307" s="2">
        <f>VLOOKUP(A307,'[3]Calculated coal req (reg.)'!$A$2:$I$599,9,FALSE)</f>
        <v>4.82731443812804</v>
      </c>
      <c r="J307" s="2"/>
      <c r="K307" s="11">
        <v>0.80455240635467329</v>
      </c>
      <c r="L307" s="3">
        <f>VLOOKUP(F307,'Target PLF'!$A$2:$B$11,2,FALSE)</f>
        <v>0.85</v>
      </c>
      <c r="M307" s="3">
        <f t="shared" si="236"/>
        <v>4.5447593645326689E-2</v>
      </c>
      <c r="N307" s="2" t="str">
        <f t="shared" si="215"/>
        <v>0.15</v>
      </c>
      <c r="O307" s="2">
        <f t="shared" si="267"/>
        <v>13.658629970317362</v>
      </c>
      <c r="P307" s="2">
        <f t="shared" si="216"/>
        <v>1246349.9847914593</v>
      </c>
      <c r="Q307" s="2">
        <f t="shared" si="217"/>
        <v>14.290955974982886</v>
      </c>
      <c r="R307" s="2">
        <f t="shared" si="218"/>
        <v>5.0999999999999996</v>
      </c>
      <c r="S307" s="2"/>
      <c r="T307" s="2" t="str">
        <f>VLOOKUP(A307,'[4]CEA vs MERIT comp. &amp; NPA marker'!$C$2:$K$735,9,FALSE)</f>
        <v>Contracted</v>
      </c>
      <c r="U307" s="3">
        <f>VLOOKUP(B307,'[8]Import-Domestic share'!$A$208:$F$406,6,FALSE)</f>
        <v>0</v>
      </c>
      <c r="V307" s="3">
        <f t="shared" si="220"/>
        <v>0</v>
      </c>
      <c r="W307" s="2">
        <f t="shared" si="221"/>
        <v>2981.869490275838</v>
      </c>
      <c r="X307" s="2">
        <f t="shared" si="222"/>
        <v>2996.8931558442864</v>
      </c>
      <c r="Y307" s="6">
        <f t="shared" si="223"/>
        <v>0.28840967145092783</v>
      </c>
      <c r="Z307" s="2"/>
      <c r="AA307" s="2">
        <f t="shared" si="225"/>
        <v>1191455.5443720517</v>
      </c>
      <c r="AB307" s="2" t="s">
        <v>576</v>
      </c>
      <c r="AC307" s="12">
        <f>VLOOKUP(B307,[9]Sheet1!$A$2:$B$137,2,FALSE)</f>
        <v>4431.9195703193527</v>
      </c>
      <c r="AD307" s="12">
        <f t="shared" si="226"/>
        <v>1107979.8925798382</v>
      </c>
      <c r="AE307" s="2"/>
      <c r="AF307" s="7">
        <f>VLOOKUP($B307,'[9]Subsidiary wise dispatch'!$A$3:$R$138,11,FALSE)*$H307*$O307*365</f>
        <v>0</v>
      </c>
      <c r="AG307" s="7">
        <f>VLOOKUP($B307,'[9]Subsidiary wise dispatch'!$A$3:$R$138,12,FALSE)*$H307*$O307*365</f>
        <v>0</v>
      </c>
      <c r="AH307" s="7">
        <f>VLOOKUP($B307,'[9]Subsidiary wise dispatch'!$A$3:$R$138,13,FALSE)*$H307*$O307*365</f>
        <v>0</v>
      </c>
      <c r="AI307" s="7">
        <f>VLOOKUP($B307,'[9]Subsidiary wise dispatch'!$A$3:$R$138,14,FALSE)*$H307*$O307*365</f>
        <v>0</v>
      </c>
      <c r="AJ307" s="7">
        <f>VLOOKUP($B307,'[9]Subsidiary wise dispatch'!$A$3:$R$138,15,FALSE)*$H307*$O307*365</f>
        <v>0</v>
      </c>
      <c r="AK307" s="7">
        <f>VLOOKUP($B307,'[9]Subsidiary wise dispatch'!$A$3:$R$138,16,FALSE)*$H307*$O307*365</f>
        <v>0</v>
      </c>
      <c r="AL307" s="7">
        <f>VLOOKUP($B307,'[9]Subsidiary wise dispatch'!$A$3:$R$138,17,FALSE)*$H307*$O307*365</f>
        <v>1246349.9847914593</v>
      </c>
      <c r="AM307" s="7">
        <f>VLOOKUP($B307,'[9]Subsidiary wise dispatch'!$A$3:$R$138,18,FALSE)*$H307*$O307*365</f>
        <v>0</v>
      </c>
      <c r="AN307" s="15">
        <f t="shared" si="227"/>
        <v>1246349.9847914593</v>
      </c>
      <c r="AO307" s="6">
        <v>7.836973135416922E-2</v>
      </c>
      <c r="AP307" s="11">
        <f t="shared" si="228"/>
        <v>0.37831533567819681</v>
      </c>
      <c r="AQ307" s="11"/>
      <c r="AR307" s="3">
        <f>VLOOKUP(A307,[10]Sheet1!$A$2:$L$542,12,FALSE)</f>
        <v>2.3395933263816402</v>
      </c>
      <c r="AS307" s="3">
        <f t="shared" si="237"/>
        <v>2.6737895217517034</v>
      </c>
      <c r="AT307" s="3"/>
      <c r="AU307" s="3"/>
      <c r="AV307" s="88">
        <f t="shared" si="239"/>
        <v>3.3304905575168305E-2</v>
      </c>
      <c r="AW307" s="32">
        <f t="shared" si="240"/>
        <v>1.245606855148006E-2</v>
      </c>
      <c r="AX307" s="12">
        <f t="shared" si="231"/>
        <v>471.11363084466245</v>
      </c>
      <c r="AY307" s="12">
        <f t="shared" si="232"/>
        <v>0</v>
      </c>
      <c r="AZ307" s="3">
        <f>VLOOKUP(A307,[5]Analysis!$A$3:$BJ$543,62,FALSE)</f>
        <v>0.83016780914525568</v>
      </c>
      <c r="BA307" s="2"/>
      <c r="BB307" s="2"/>
      <c r="BC307" s="2" t="str">
        <f>VLOOKUP(A307,'[6]FGD status - Jun 2020'!$I$2:$M$449,5,FALSE)</f>
        <v>Tender specification made</v>
      </c>
      <c r="BD307" s="2"/>
      <c r="BE307" s="2"/>
      <c r="BF307" s="2">
        <f t="shared" si="233"/>
        <v>368.75549098315003</v>
      </c>
      <c r="BG307" s="2">
        <f t="shared" si="234"/>
        <v>0</v>
      </c>
      <c r="BH307" s="2">
        <f t="shared" si="262"/>
        <v>87.5</v>
      </c>
      <c r="BI307" s="2">
        <f t="shared" si="263"/>
        <v>20</v>
      </c>
      <c r="BK307">
        <f t="shared" si="235"/>
        <v>201.13810158866832</v>
      </c>
      <c r="BL307">
        <f>VLOOKUP(A307,'[11]Daily coal vs energy req.2'!$C$2:$P$599,14,FALSE)</f>
        <v>1.31</v>
      </c>
      <c r="BM307">
        <f>VLOOKUP(A307,'[11]Daily coal vs energy req.2'!$C$2:$R$599,16,FALSE)</f>
        <v>1.07</v>
      </c>
      <c r="BN307">
        <f t="shared" si="264"/>
        <v>327.5</v>
      </c>
      <c r="BO307">
        <f t="shared" si="265"/>
        <v>267.5</v>
      </c>
      <c r="BP307" s="2" t="str">
        <f>VLOOKUP(A307,'[7]Table 2'!$J$2:$N$449,5,FALSE)</f>
        <v>Tender specification made</v>
      </c>
      <c r="BR307">
        <f t="shared" si="241"/>
        <v>438.36472750505732</v>
      </c>
      <c r="BT307">
        <f>(X307*I307*365*[5]Analysis!BK307)/10^4</f>
        <v>201.82029245869637</v>
      </c>
      <c r="BV307">
        <f>(X307*I307*365*[5]Analysis!BL307)/10^4</f>
        <v>236.54443504636097</v>
      </c>
      <c r="BX307">
        <f t="shared" si="243"/>
        <v>1482861.9240752587</v>
      </c>
      <c r="BZ307">
        <f t="shared" si="245"/>
        <v>7577285.0593100274</v>
      </c>
      <c r="CB307">
        <f t="shared" si="247"/>
        <v>-418843.60341282387</v>
      </c>
      <c r="CD307">
        <f t="shared" si="249"/>
        <v>0</v>
      </c>
      <c r="CF307">
        <f t="shared" si="251"/>
        <v>3146170.8075061026</v>
      </c>
      <c r="CH307">
        <f t="shared" si="253"/>
        <v>357781.01221636281</v>
      </c>
      <c r="CJ307">
        <f t="shared" si="255"/>
        <v>-726390.1400773169</v>
      </c>
      <c r="CL307">
        <f t="shared" si="257"/>
        <v>1069514.0998370324</v>
      </c>
    </row>
    <row r="308" spans="1:90" x14ac:dyDescent="0.2">
      <c r="A308" s="2" t="s">
        <v>421</v>
      </c>
      <c r="B308" s="2" t="str">
        <f t="shared" si="266"/>
        <v>DADRI (NCTPP)</v>
      </c>
      <c r="C308" s="2" t="str">
        <f>VLOOKUP($A308,'[1]daily coal, energy reqd'!$C$2:$T$599,17,FALSE)</f>
        <v>Uttar Pradesh</v>
      </c>
      <c r="D308" s="2" t="str">
        <f>VLOOKUP(C308,'Target PLF'!$I$2:$J$19,2,FALSE)</f>
        <v>NR</v>
      </c>
      <c r="E308" s="2" t="str">
        <f>VLOOKUP(A308,[2]Ownership!$C$2:$D$666,2,FALSE)</f>
        <v>CENTRAL SECTOR</v>
      </c>
      <c r="F308" s="2" t="s">
        <v>547</v>
      </c>
      <c r="G308" s="12">
        <v>28.4243668720054</v>
      </c>
      <c r="H308" s="2">
        <v>210</v>
      </c>
      <c r="I308" s="2">
        <f>VLOOKUP(A308,'[3]Calculated coal req (reg.)'!$A$2:$I$599,9,FALSE)</f>
        <v>2.4197686777195102</v>
      </c>
      <c r="J308" s="2"/>
      <c r="K308" s="11">
        <v>0.48011283288085521</v>
      </c>
      <c r="L308" s="3">
        <f>VLOOKUP(F308,'Target PLF'!$A$2:$B$11,2,FALSE)</f>
        <v>0.65</v>
      </c>
      <c r="M308" s="3">
        <f t="shared" si="236"/>
        <v>0.16988716711914481</v>
      </c>
      <c r="N308" s="2" t="str">
        <f t="shared" si="215"/>
        <v>0.25</v>
      </c>
      <c r="O308" s="2">
        <f t="shared" si="267"/>
        <v>9.9072994483919743</v>
      </c>
      <c r="P308" s="2">
        <f t="shared" si="216"/>
        <v>759394.5027192448</v>
      </c>
      <c r="Q308" s="2">
        <f t="shared" si="217"/>
        <v>15.05365057067077</v>
      </c>
      <c r="R308" s="2">
        <f t="shared" si="218"/>
        <v>3.2759999999999998</v>
      </c>
      <c r="S308" s="2"/>
      <c r="T308" s="2" t="str">
        <f>VLOOKUP(A308,'[4]CEA vs MERIT comp. &amp; NPA marker'!$C$2:$K$735,9,FALSE)</f>
        <v>Contracted</v>
      </c>
      <c r="U308" s="3">
        <f>VLOOKUP(B308,'[8]Import-Domestic share'!$A$208:$F$406,6,FALSE)</f>
        <v>2.2633605042873307E-2</v>
      </c>
      <c r="V308" s="3">
        <f t="shared" si="220"/>
        <v>17187.835246276569</v>
      </c>
      <c r="W308" s="2">
        <f t="shared" si="221"/>
        <v>3230.8151367922355</v>
      </c>
      <c r="X308" s="2">
        <f t="shared" si="222"/>
        <v>3286.9749414914118</v>
      </c>
      <c r="Y308" s="6">
        <f t="shared" si="223"/>
        <v>0.26618669394184657</v>
      </c>
      <c r="Z308" s="2"/>
      <c r="AA308" s="2">
        <f t="shared" si="225"/>
        <v>615042.41789819521</v>
      </c>
      <c r="AB308" s="2" t="s">
        <v>576</v>
      </c>
      <c r="AC308" s="12">
        <f>VLOOKUP(B308,[9]Sheet1!$A$2:$B$137,2,FALSE)</f>
        <v>4720.1743382080467</v>
      </c>
      <c r="AD308" s="12">
        <f t="shared" si="226"/>
        <v>991236.61102368985</v>
      </c>
      <c r="AE308" s="2"/>
      <c r="AF308" s="7">
        <f>VLOOKUP($B308,'[9]Subsidiary wise dispatch'!$A$3:$R$138,11,FALSE)*$H308*$O308*365</f>
        <v>162245.01924303232</v>
      </c>
      <c r="AG308" s="7">
        <f>VLOOKUP($B308,'[9]Subsidiary wise dispatch'!$A$3:$R$138,12,FALSE)*$H308*$O308*365</f>
        <v>360615.61493135715</v>
      </c>
      <c r="AH308" s="7">
        <f>VLOOKUP($B308,'[9]Subsidiary wise dispatch'!$A$3:$R$138,13,FALSE)*$H308*$O308*365</f>
        <v>224437.18646739522</v>
      </c>
      <c r="AI308" s="7">
        <f>VLOOKUP($B308,'[9]Subsidiary wise dispatch'!$A$3:$R$138,14,FALSE)*$H308*$O308*365</f>
        <v>0</v>
      </c>
      <c r="AJ308" s="7">
        <f>VLOOKUP($B308,'[9]Subsidiary wise dispatch'!$A$3:$R$138,15,FALSE)*$H308*$O308*365</f>
        <v>12096.682077460158</v>
      </c>
      <c r="AK308" s="7">
        <f>VLOOKUP($B308,'[9]Subsidiary wise dispatch'!$A$3:$R$138,16,FALSE)*$H308*$O308*365</f>
        <v>0</v>
      </c>
      <c r="AL308" s="7">
        <f>VLOOKUP($B308,'[9]Subsidiary wise dispatch'!$A$3:$R$138,17,FALSE)*$H308*$O308*365</f>
        <v>0</v>
      </c>
      <c r="AM308" s="7">
        <f>VLOOKUP($B308,'[9]Subsidiary wise dispatch'!$A$3:$R$138,18,FALSE)*$H308*$O308*365</f>
        <v>0</v>
      </c>
      <c r="AN308" s="15">
        <f t="shared" si="227"/>
        <v>759394.5027192448</v>
      </c>
      <c r="AO308" s="6">
        <v>6.6665772632952203E-2</v>
      </c>
      <c r="AP308" s="11">
        <f t="shared" si="228"/>
        <v>0.16131574849318825</v>
      </c>
      <c r="AQ308" s="11"/>
      <c r="AR308" s="3">
        <f>VLOOKUP(A308,[10]Sheet1!$A$2:$L$542,12,FALSE)</f>
        <v>3.74965388589795</v>
      </c>
      <c r="AS308" s="3">
        <f t="shared" si="237"/>
        <v>3.2926218022166989</v>
      </c>
      <c r="AT308" s="2"/>
      <c r="AU308" s="2"/>
      <c r="AV308" s="88">
        <f t="shared" si="239"/>
        <v>0.12449671380825171</v>
      </c>
      <c r="AW308" s="32">
        <f t="shared" si="240"/>
        <v>3.7810814993825444E-2</v>
      </c>
      <c r="AX308" s="12">
        <f t="shared" si="231"/>
        <v>290.80948331718207</v>
      </c>
      <c r="AY308" s="12">
        <f t="shared" si="232"/>
        <v>0</v>
      </c>
      <c r="AZ308" s="3">
        <f>VLOOKUP(A308,[5]Analysis!$A$3:$BJ$543,62,FALSE)</f>
        <v>1.0743829011139359</v>
      </c>
      <c r="BA308" s="2">
        <v>124.005</v>
      </c>
      <c r="BB308" s="2"/>
      <c r="BC308" s="2" t="str">
        <f>VLOOKUP(A308,'[6]FGD status - Jun 2020'!$I$2:$M$449,5,FALSE)</f>
        <v>FGD commissioned</v>
      </c>
      <c r="BD308" s="2">
        <f>VLOOKUP(A308,'[1]daily coal, energy reqd'!$C$2:$L$599,10,FALSE)</f>
        <v>0</v>
      </c>
      <c r="BE308" s="2" t="str">
        <f>VLOOKUP(A308,'[1]daily coal, energy reqd'!$C$2:$M$599,11,FALSE)</f>
        <v>Y</v>
      </c>
      <c r="BF308" s="2">
        <f t="shared" si="233"/>
        <v>193.32907430328572</v>
      </c>
      <c r="BG308" s="2">
        <f t="shared" si="234"/>
        <v>0</v>
      </c>
      <c r="BH308" s="2">
        <f t="shared" si="262"/>
        <v>31.5</v>
      </c>
      <c r="BI308" s="2">
        <f t="shared" si="263"/>
        <v>16.8</v>
      </c>
      <c r="BK308">
        <f t="shared" si="235"/>
        <v>100.82369490497959</v>
      </c>
      <c r="BL308">
        <f>VLOOKUP(A308,'[11]Daily coal vs energy req.2'!$C$2:$P$599,14,FALSE)</f>
        <v>1.24</v>
      </c>
      <c r="BM308">
        <f>VLOOKUP(A308,'[11]Daily coal vs energy req.2'!$C$2:$R$599,16,FALSE)</f>
        <v>0.55000000000000004</v>
      </c>
      <c r="BN308">
        <f t="shared" si="264"/>
        <v>260.39999999999998</v>
      </c>
      <c r="BO308">
        <f t="shared" si="265"/>
        <v>115.50000000000001</v>
      </c>
      <c r="BP308" s="2" t="str">
        <f>VLOOKUP(A308,'[7]Table 2'!$J$2:$N$449,5,FALSE)</f>
        <v>FGD commissioned</v>
      </c>
      <c r="BR308">
        <f t="shared" si="241"/>
        <v>311.90489913468917</v>
      </c>
      <c r="BT308">
        <f>(X308*I308*365*[5]Analysis!BK308)/10^4</f>
        <v>143.41305108354274</v>
      </c>
      <c r="BV308">
        <f>(X308*I308*365*[5]Analysis!BL308)/10^4</f>
        <v>168.49184805114649</v>
      </c>
      <c r="BX308">
        <f t="shared" si="243"/>
        <v>815256.19830665831</v>
      </c>
      <c r="BZ308">
        <f t="shared" si="245"/>
        <v>4915583.6039688326</v>
      </c>
      <c r="CB308">
        <f t="shared" si="247"/>
        <v>-125287.89880265784</v>
      </c>
      <c r="CD308">
        <f t="shared" si="249"/>
        <v>0</v>
      </c>
      <c r="CF308">
        <f t="shared" si="251"/>
        <v>1577068.5072072856</v>
      </c>
      <c r="CH308">
        <f t="shared" si="253"/>
        <v>509284.41730944597</v>
      </c>
      <c r="CJ308">
        <f t="shared" si="255"/>
        <v>-305856.34109506838</v>
      </c>
      <c r="CL308">
        <f t="shared" si="257"/>
        <v>456046.71888317692</v>
      </c>
    </row>
    <row r="309" spans="1:90" x14ac:dyDescent="0.2">
      <c r="A309" s="2" t="s">
        <v>417</v>
      </c>
      <c r="B309" s="2" t="str">
        <f t="shared" si="266"/>
        <v>DADRI (NCTPP)</v>
      </c>
      <c r="C309" s="2" t="str">
        <f>VLOOKUP($A309,'[1]daily coal, energy reqd'!$C$2:$T$599,17,FALSE)</f>
        <v>Uttar Pradesh</v>
      </c>
      <c r="D309" s="2" t="str">
        <f>VLOOKUP(C309,'Target PLF'!$I$2:$J$19,2,FALSE)</f>
        <v>NR</v>
      </c>
      <c r="E309" s="2" t="str">
        <f>VLOOKUP(A309,[2]Ownership!$C$2:$D$666,2,FALSE)</f>
        <v>CENTRAL SECTOR</v>
      </c>
      <c r="F309" s="2" t="s">
        <v>547</v>
      </c>
      <c r="G309" s="12">
        <v>27.422313483915101</v>
      </c>
      <c r="H309" s="2">
        <v>210</v>
      </c>
      <c r="I309" s="2">
        <f>VLOOKUP(A309,'[3]Calculated coal req (reg.)'!$A$2:$I$599,9,FALSE)</f>
        <v>2.2434619692074</v>
      </c>
      <c r="J309" s="2"/>
      <c r="K309" s="11">
        <v>0.44513134309670638</v>
      </c>
      <c r="L309" s="3">
        <f>VLOOKUP(F309,'Target PLF'!$A$2:$B$11,2,FALSE)</f>
        <v>0.65</v>
      </c>
      <c r="M309" s="3">
        <f t="shared" si="236"/>
        <v>0.20486865690329364</v>
      </c>
      <c r="N309" s="2" t="str">
        <f t="shared" si="215"/>
        <v>0.25</v>
      </c>
      <c r="O309" s="2">
        <f t="shared" si="267"/>
        <v>9.3888514455104151</v>
      </c>
      <c r="P309" s="2">
        <f t="shared" si="216"/>
        <v>719655.46329837327</v>
      </c>
      <c r="Q309" s="2">
        <f t="shared" si="217"/>
        <v>15.02191052960301</v>
      </c>
      <c r="R309" s="2">
        <f t="shared" si="218"/>
        <v>3.2759999999999998</v>
      </c>
      <c r="S309" s="2"/>
      <c r="T309" s="2" t="str">
        <f>VLOOKUP(A309,'[4]CEA vs MERIT comp. &amp; NPA marker'!$C$2:$K$735,9,FALSE)</f>
        <v>Contracted</v>
      </c>
      <c r="U309" s="3">
        <f>VLOOKUP(B309,'[8]Import-Domestic share'!$A$208:$F$406,6,FALSE)</f>
        <v>2.2633605042873307E-2</v>
      </c>
      <c r="V309" s="3">
        <f t="shared" si="220"/>
        <v>16288.39752324139</v>
      </c>
      <c r="W309" s="2">
        <f t="shared" si="221"/>
        <v>3223.1589108045564</v>
      </c>
      <c r="X309" s="2">
        <f t="shared" si="222"/>
        <v>3290.8825885594665</v>
      </c>
      <c r="Y309" s="6">
        <f t="shared" si="223"/>
        <v>0.26681898838966306</v>
      </c>
      <c r="Z309" s="2"/>
      <c r="AA309" s="2">
        <f t="shared" si="225"/>
        <v>570907.73185454577</v>
      </c>
      <c r="AB309" s="2" t="s">
        <v>576</v>
      </c>
      <c r="AC309" s="12">
        <f>VLOOKUP(B309,[9]Sheet1!$A$2:$B$137,2,FALSE)</f>
        <v>4720.1743382080467</v>
      </c>
      <c r="AD309" s="12">
        <f t="shared" si="226"/>
        <v>991236.61102368985</v>
      </c>
      <c r="AE309" s="2"/>
      <c r="AF309" s="7">
        <f>VLOOKUP($B309,'[9]Subsidiary wise dispatch'!$A$3:$R$138,11,FALSE)*$H309*$O309*365</f>
        <v>153754.75338984033</v>
      </c>
      <c r="AG309" s="7">
        <f>VLOOKUP($B309,'[9]Subsidiary wise dispatch'!$A$3:$R$138,12,FALSE)*$H309*$O309*365</f>
        <v>341744.63537300611</v>
      </c>
      <c r="AH309" s="7">
        <f>VLOOKUP($B309,'[9]Subsidiary wise dispatch'!$A$3:$R$138,13,FALSE)*$H309*$O309*365</f>
        <v>212692.41063796746</v>
      </c>
      <c r="AI309" s="7">
        <f>VLOOKUP($B309,'[9]Subsidiary wise dispatch'!$A$3:$R$138,14,FALSE)*$H309*$O309*365</f>
        <v>0</v>
      </c>
      <c r="AJ309" s="7">
        <f>VLOOKUP($B309,'[9]Subsidiary wise dispatch'!$A$3:$R$138,15,FALSE)*$H309*$O309*365</f>
        <v>11463.663897559451</v>
      </c>
      <c r="AK309" s="7">
        <f>VLOOKUP($B309,'[9]Subsidiary wise dispatch'!$A$3:$R$138,16,FALSE)*$H309*$O309*365</f>
        <v>0</v>
      </c>
      <c r="AL309" s="7">
        <f>VLOOKUP($B309,'[9]Subsidiary wise dispatch'!$A$3:$R$138,17,FALSE)*$H309*$O309*365</f>
        <v>0</v>
      </c>
      <c r="AM309" s="7">
        <f>VLOOKUP($B309,'[9]Subsidiary wise dispatch'!$A$3:$R$138,18,FALSE)*$H309*$O309*365</f>
        <v>0</v>
      </c>
      <c r="AN309" s="15">
        <f t="shared" si="227"/>
        <v>719655.46329837327</v>
      </c>
      <c r="AO309" s="6">
        <v>6.6665772632952203E-2</v>
      </c>
      <c r="AP309" s="11">
        <f t="shared" si="228"/>
        <v>0.14956212554985573</v>
      </c>
      <c r="AQ309" s="11"/>
      <c r="AR309" s="3">
        <f>VLOOKUP(A309,[10]Sheet1!$A$2:$L$542,12,FALSE)</f>
        <v>3.74965388589795</v>
      </c>
      <c r="AS309" s="3">
        <f t="shared" si="237"/>
        <v>3.2856026317290592</v>
      </c>
      <c r="AT309" s="2"/>
      <c r="AU309" s="2"/>
      <c r="AV309" s="88">
        <f t="shared" si="239"/>
        <v>0.15013184915187167</v>
      </c>
      <c r="AW309" s="32">
        <f t="shared" si="240"/>
        <v>4.56938546682574E-2</v>
      </c>
      <c r="AX309" s="12">
        <f t="shared" si="231"/>
        <v>269.04604608273405</v>
      </c>
      <c r="AY309" s="12">
        <f t="shared" si="232"/>
        <v>0</v>
      </c>
      <c r="AZ309" s="3">
        <f>VLOOKUP(A309,[5]Analysis!$A$3:$BJ$543,62,FALSE)</f>
        <v>1.0743829011139359</v>
      </c>
      <c r="BA309" s="2">
        <v>124.005</v>
      </c>
      <c r="BB309" s="2"/>
      <c r="BC309" s="2" t="str">
        <f>VLOOKUP(A309,'[6]FGD status - Jun 2020'!$I$2:$M$449,5,FALSE)</f>
        <v>FGD commissioned</v>
      </c>
      <c r="BD309" s="2">
        <f>VLOOKUP(A309,'[1]daily coal, energy reqd'!$C$2:$L$599,10,FALSE)</f>
        <v>0</v>
      </c>
      <c r="BE309" s="2" t="str">
        <f>VLOOKUP(A309,'[1]daily coal, energy reqd'!$C$2:$M$599,11,FALSE)</f>
        <v>Y</v>
      </c>
      <c r="BF309" s="2">
        <f t="shared" si="233"/>
        <v>179.45601815434017</v>
      </c>
      <c r="BG309" s="2">
        <f t="shared" si="234"/>
        <v>0</v>
      </c>
      <c r="BH309" s="2">
        <f t="shared" si="262"/>
        <v>31.5</v>
      </c>
      <c r="BI309" s="2">
        <f t="shared" si="263"/>
        <v>16.8</v>
      </c>
      <c r="BK309">
        <f t="shared" si="235"/>
        <v>93.477582050308342</v>
      </c>
      <c r="BL309">
        <f>VLOOKUP(A309,'[11]Daily coal vs energy req.2'!$C$2:$P$599,14,FALSE)</f>
        <v>1.1399999999999999</v>
      </c>
      <c r="BM309">
        <f>VLOOKUP(A309,'[11]Daily coal vs energy req.2'!$C$2:$R$599,16,FALSE)</f>
        <v>0.45</v>
      </c>
      <c r="BN309">
        <f t="shared" si="264"/>
        <v>239.39999999999998</v>
      </c>
      <c r="BO309">
        <f t="shared" si="265"/>
        <v>94.5</v>
      </c>
      <c r="BP309" s="2" t="str">
        <f>VLOOKUP(A309,'[7]Table 2'!$J$2:$N$449,5,FALSE)</f>
        <v>FGD commissioned</v>
      </c>
      <c r="BR309">
        <f t="shared" si="241"/>
        <v>289.52298790679691</v>
      </c>
      <c r="BT309">
        <f>(X309*I309*365*[5]Analysis!BK309)/10^4</f>
        <v>133.12190725355455</v>
      </c>
      <c r="BV309">
        <f>(X309*I309*365*[5]Analysis!BL309)/10^4</f>
        <v>156.40108065324236</v>
      </c>
      <c r="BX309">
        <f t="shared" si="243"/>
        <v>756754.41808739665</v>
      </c>
      <c r="BZ309">
        <f t="shared" si="245"/>
        <v>4557429.383025446</v>
      </c>
      <c r="CB309">
        <f t="shared" si="247"/>
        <v>-107695.82013767681</v>
      </c>
      <c r="CD309">
        <f t="shared" si="249"/>
        <v>0</v>
      </c>
      <c r="CF309">
        <f t="shared" si="251"/>
        <v>1462161.7559281231</v>
      </c>
      <c r="CH309">
        <f t="shared" si="253"/>
        <v>455531.6329538062</v>
      </c>
      <c r="CJ309">
        <f t="shared" si="255"/>
        <v>-283571.34944584616</v>
      </c>
      <c r="CL309">
        <f t="shared" si="257"/>
        <v>422818.70966296643</v>
      </c>
    </row>
    <row r="310" spans="1:90" x14ac:dyDescent="0.2">
      <c r="A310" s="2" t="s">
        <v>412</v>
      </c>
      <c r="B310" s="2" t="str">
        <f t="shared" si="266"/>
        <v>DADRI (NCTPP)</v>
      </c>
      <c r="C310" s="2" t="str">
        <f>VLOOKUP($A310,'[1]daily coal, energy reqd'!$C$2:$T$599,17,FALSE)</f>
        <v>Uttar Pradesh</v>
      </c>
      <c r="D310" s="2" t="str">
        <f>VLOOKUP(C310,'Target PLF'!$I$2:$J$19,2,FALSE)</f>
        <v>NR</v>
      </c>
      <c r="E310" s="2" t="str">
        <f>VLOOKUP(A310,[2]Ownership!$C$2:$D$666,2,FALSE)</f>
        <v>CENTRAL SECTOR</v>
      </c>
      <c r="F310" s="2" t="s">
        <v>547</v>
      </c>
      <c r="G310" s="12">
        <v>27.175906913073199</v>
      </c>
      <c r="H310" s="2">
        <v>210</v>
      </c>
      <c r="I310" s="2">
        <f>VLOOKUP(A310,'[3]Calculated coal req (reg.)'!$A$2:$I$599,9,FALSE)</f>
        <v>2.6030767175168101</v>
      </c>
      <c r="J310" s="2"/>
      <c r="K310" s="11">
        <v>0.51648347569777986</v>
      </c>
      <c r="L310" s="3">
        <f>VLOOKUP(F310,'Target PLF'!$A$2:$B$11,2,FALSE)</f>
        <v>0.65</v>
      </c>
      <c r="M310" s="3">
        <f t="shared" si="236"/>
        <v>0.13351652430222016</v>
      </c>
      <c r="N310" s="2" t="str">
        <f t="shared" si="215"/>
        <v>0.25</v>
      </c>
      <c r="O310" s="2">
        <f t="shared" si="267"/>
        <v>10.373790143897514</v>
      </c>
      <c r="P310" s="2">
        <f t="shared" si="216"/>
        <v>795151.0145297444</v>
      </c>
      <c r="Q310" s="2">
        <f t="shared" si="217"/>
        <v>15.014105601471593</v>
      </c>
      <c r="R310" s="2">
        <f t="shared" si="218"/>
        <v>3.2759999999999998</v>
      </c>
      <c r="S310" s="2"/>
      <c r="T310" s="2" t="str">
        <f>VLOOKUP(A310,'[4]CEA vs MERIT comp. &amp; NPA marker'!$C$2:$K$735,9,FALSE)</f>
        <v>Contracted</v>
      </c>
      <c r="U310" s="3">
        <f>VLOOKUP(B310,'[8]Import-Domestic share'!$A$208:$F$406,6,FALSE)</f>
        <v>2.2633605042873307E-2</v>
      </c>
      <c r="V310" s="3">
        <f t="shared" si="220"/>
        <v>17997.134012306251</v>
      </c>
      <c r="W310" s="2">
        <f t="shared" si="221"/>
        <v>3221.2762322829958</v>
      </c>
      <c r="X310" s="2">
        <f t="shared" si="222"/>
        <v>3265.4129499414098</v>
      </c>
      <c r="Y310" s="6">
        <f t="shared" si="223"/>
        <v>0.26697493104790249</v>
      </c>
      <c r="Z310" s="2"/>
      <c r="AA310" s="2">
        <f t="shared" si="225"/>
        <v>657294.35654669604</v>
      </c>
      <c r="AB310" s="2" t="s">
        <v>576</v>
      </c>
      <c r="AC310" s="12">
        <f>VLOOKUP(B310,[9]Sheet1!$A$2:$B$137,2,FALSE)</f>
        <v>4720.1743382080467</v>
      </c>
      <c r="AD310" s="12">
        <f t="shared" si="226"/>
        <v>991236.61102368985</v>
      </c>
      <c r="AE310" s="2"/>
      <c r="AF310" s="7">
        <f>VLOOKUP($B310,'[9]Subsidiary wise dispatch'!$A$3:$R$138,11,FALSE)*$H310*$O310*365</f>
        <v>169884.41605981835</v>
      </c>
      <c r="AG310" s="7">
        <f>VLOOKUP($B310,'[9]Subsidiary wise dispatch'!$A$3:$R$138,12,FALSE)*$H310*$O310*365</f>
        <v>377595.40139039984</v>
      </c>
      <c r="AH310" s="7">
        <f>VLOOKUP($B310,'[9]Subsidiary wise dispatch'!$A$3:$R$138,13,FALSE)*$H310*$O310*365</f>
        <v>235004.9360098273</v>
      </c>
      <c r="AI310" s="7">
        <f>VLOOKUP($B310,'[9]Subsidiary wise dispatch'!$A$3:$R$138,14,FALSE)*$H310*$O310*365</f>
        <v>0</v>
      </c>
      <c r="AJ310" s="7">
        <f>VLOOKUP($B310,'[9]Subsidiary wise dispatch'!$A$3:$R$138,15,FALSE)*$H310*$O310*365</f>
        <v>12666.261069699025</v>
      </c>
      <c r="AK310" s="7">
        <f>VLOOKUP($B310,'[9]Subsidiary wise dispatch'!$A$3:$R$138,16,FALSE)*$H310*$O310*365</f>
        <v>0</v>
      </c>
      <c r="AL310" s="7">
        <f>VLOOKUP($B310,'[9]Subsidiary wise dispatch'!$A$3:$R$138,17,FALSE)*$H310*$O310*365</f>
        <v>0</v>
      </c>
      <c r="AM310" s="7">
        <f>VLOOKUP($B310,'[9]Subsidiary wise dispatch'!$A$3:$R$138,18,FALSE)*$H310*$O310*365</f>
        <v>0</v>
      </c>
      <c r="AN310" s="15">
        <f t="shared" si="227"/>
        <v>795151.01452974451</v>
      </c>
      <c r="AO310" s="6">
        <v>6.6665772632952203E-2</v>
      </c>
      <c r="AP310" s="11">
        <f t="shared" si="228"/>
        <v>0.17353612059610721</v>
      </c>
      <c r="AQ310" s="11"/>
      <c r="AR310" s="3">
        <f>VLOOKUP(A310,[10]Sheet1!$A$2:$L$542,12,FALSE)</f>
        <v>3.74965388589795</v>
      </c>
      <c r="AS310" s="3">
        <f t="shared" si="237"/>
        <v>3.2811674763169099</v>
      </c>
      <c r="AT310" s="2"/>
      <c r="AU310" s="2"/>
      <c r="AV310" s="88">
        <f t="shared" si="239"/>
        <v>9.7843579339152983E-2</v>
      </c>
      <c r="AW310" s="32">
        <f t="shared" si="240"/>
        <v>2.9819745576955978E-2</v>
      </c>
      <c r="AX310" s="12">
        <f t="shared" si="231"/>
        <v>311.75126923139874</v>
      </c>
      <c r="AY310" s="12">
        <f t="shared" si="232"/>
        <v>0</v>
      </c>
      <c r="AZ310" s="3">
        <f>VLOOKUP(A310,[5]Analysis!$A$3:$BJ$543,62,FALSE)</f>
        <v>1.0743829011139359</v>
      </c>
      <c r="BA310" s="2">
        <v>124.005</v>
      </c>
      <c r="BB310" s="2"/>
      <c r="BC310" s="2" t="str">
        <f>VLOOKUP(A310,'[6]FGD status - Jun 2020'!$I$2:$M$449,5,FALSE)</f>
        <v>Bid Awarded</v>
      </c>
      <c r="BD310" s="2">
        <f>VLOOKUP(A310,'[1]daily coal, energy reqd'!$C$2:$L$599,10,FALSE)</f>
        <v>0</v>
      </c>
      <c r="BE310" s="2" t="str">
        <f>VLOOKUP(A310,'[1]daily coal, energy reqd'!$C$2:$M$599,11,FALSE)</f>
        <v>Y</v>
      </c>
      <c r="BF310" s="2">
        <f t="shared" si="233"/>
        <v>206.61031791953656</v>
      </c>
      <c r="BG310" s="2">
        <f t="shared" si="234"/>
        <v>0</v>
      </c>
      <c r="BH310" s="2">
        <f t="shared" si="262"/>
        <v>31.5</v>
      </c>
      <c r="BI310" s="2">
        <f t="shared" si="263"/>
        <v>16.8</v>
      </c>
      <c r="BK310">
        <f t="shared" si="235"/>
        <v>108.46152989653378</v>
      </c>
      <c r="BL310">
        <f>VLOOKUP(A310,'[11]Daily coal vs energy req.2'!$C$2:$P$599,14,FALSE)</f>
        <v>1.17</v>
      </c>
      <c r="BM310">
        <f>VLOOKUP(A310,'[11]Daily coal vs energy req.2'!$C$2:$R$599,16,FALSE)</f>
        <v>0.57999999999999996</v>
      </c>
      <c r="BN310">
        <f t="shared" si="264"/>
        <v>245.7</v>
      </c>
      <c r="BO310">
        <f t="shared" si="265"/>
        <v>121.8</v>
      </c>
      <c r="BP310" s="2" t="str">
        <f>VLOOKUP(A310,'[7]Table 2'!$J$2:$N$449,5,FALSE)</f>
        <v>FGD commissioned</v>
      </c>
      <c r="BR310">
        <f t="shared" si="241"/>
        <v>333.33201745839983</v>
      </c>
      <c r="BT310">
        <f>(X310*I310*365*[5]Analysis!BK310)/10^4</f>
        <v>153.26518365105474</v>
      </c>
      <c r="BV310">
        <f>(X310*I310*365*[5]Analysis!BL310)/10^4</f>
        <v>180.06683380734509</v>
      </c>
      <c r="BX310">
        <f t="shared" si="243"/>
        <v>871262.3433647129</v>
      </c>
      <c r="BZ310">
        <f t="shared" si="245"/>
        <v>5287960.5188367758</v>
      </c>
      <c r="CB310">
        <f t="shared" si="247"/>
        <v>-144989.10190231373</v>
      </c>
      <c r="CD310">
        <f t="shared" si="249"/>
        <v>0</v>
      </c>
      <c r="CF310">
        <f t="shared" si="251"/>
        <v>1696538.3306429172</v>
      </c>
      <c r="CH310">
        <f t="shared" si="253"/>
        <v>523801.51653243741</v>
      </c>
      <c r="CJ310">
        <f t="shared" si="255"/>
        <v>-329026.29401740729</v>
      </c>
      <c r="CL310">
        <f t="shared" si="257"/>
        <v>490594.24851450132</v>
      </c>
    </row>
    <row r="311" spans="1:90" x14ac:dyDescent="0.2">
      <c r="A311" s="2" t="s">
        <v>405</v>
      </c>
      <c r="B311" s="2" t="str">
        <f t="shared" si="266"/>
        <v>DADRI (NCTPP)</v>
      </c>
      <c r="C311" s="2" t="str">
        <f>VLOOKUP($A311,'[1]daily coal, energy reqd'!$C$2:$T$599,17,FALSE)</f>
        <v>Uttar Pradesh</v>
      </c>
      <c r="D311" s="2" t="str">
        <f>VLOOKUP(C311,'Target PLF'!$I$2:$J$19,2,FALSE)</f>
        <v>NR</v>
      </c>
      <c r="E311" s="2" t="str">
        <f>VLOOKUP(A311,[2]Ownership!$C$2:$D$666,2,FALSE)</f>
        <v>CENTRAL SECTOR</v>
      </c>
      <c r="F311" s="2" t="s">
        <v>547</v>
      </c>
      <c r="G311" s="12">
        <v>26.176591375769998</v>
      </c>
      <c r="H311" s="2">
        <v>210</v>
      </c>
      <c r="I311" s="2">
        <f>VLOOKUP(A311,'[3]Calculated coal req (reg.)'!$A$2:$I$599,9,FALSE)</f>
        <v>2.8696748691582501</v>
      </c>
      <c r="J311" s="2"/>
      <c r="K311" s="11">
        <v>0.56937993435679568</v>
      </c>
      <c r="L311" s="3">
        <f>VLOOKUP(F311,'Target PLF'!$A$2:$B$11,2,FALSE)</f>
        <v>0.65</v>
      </c>
      <c r="M311" s="3">
        <f t="shared" si="236"/>
        <v>8.0620065643204342E-2</v>
      </c>
      <c r="N311" s="2" t="str">
        <f t="shared" si="215"/>
        <v>0.25</v>
      </c>
      <c r="O311" s="2">
        <f t="shared" si="267"/>
        <v>11.078101122513919</v>
      </c>
      <c r="P311" s="2">
        <f t="shared" si="216"/>
        <v>849136.45104069193</v>
      </c>
      <c r="Q311" s="2">
        <f t="shared" si="217"/>
        <v>14.982452281827515</v>
      </c>
      <c r="R311" s="2">
        <f t="shared" si="218"/>
        <v>3.2759999999999998</v>
      </c>
      <c r="S311" s="2"/>
      <c r="T311" s="2" t="str">
        <f>VLOOKUP(A311,'[4]CEA vs MERIT comp. &amp; NPA marker'!$C$2:$K$735,9,FALSE)</f>
        <v>Contracted</v>
      </c>
      <c r="U311" s="3">
        <f>VLOOKUP(B311,'[8]Import-Domestic share'!$A$208:$F$406,6,FALSE)</f>
        <v>2.2633605042873307E-2</v>
      </c>
      <c r="V311" s="3">
        <f t="shared" si="220"/>
        <v>19219.019060362149</v>
      </c>
      <c r="W311" s="2">
        <f t="shared" si="221"/>
        <v>3213.6409249455555</v>
      </c>
      <c r="X311" s="2">
        <f t="shared" si="222"/>
        <v>3240.2915967893082</v>
      </c>
      <c r="Y311" s="6">
        <f t="shared" si="223"/>
        <v>0.2676092382706291</v>
      </c>
      <c r="Z311" s="2"/>
      <c r="AA311" s="2">
        <f t="shared" si="225"/>
        <v>719037.62121783686</v>
      </c>
      <c r="AB311" s="2" t="s">
        <v>576</v>
      </c>
      <c r="AC311" s="12">
        <f>VLOOKUP(B311,[9]Sheet1!$A$2:$B$137,2,FALSE)</f>
        <v>4720.1743382080467</v>
      </c>
      <c r="AD311" s="12">
        <f t="shared" si="226"/>
        <v>991236.61102368985</v>
      </c>
      <c r="AE311" s="2"/>
      <c r="AF311" s="7">
        <f>VLOOKUP($B311,'[9]Subsidiary wise dispatch'!$A$3:$R$138,11,FALSE)*$H311*$O311*365</f>
        <v>181418.43185029138</v>
      </c>
      <c r="AG311" s="7">
        <f>VLOOKUP($B311,'[9]Subsidiary wise dispatch'!$A$3:$R$138,12,FALSE)*$H311*$O311*365</f>
        <v>403231.60406901012</v>
      </c>
      <c r="AH311" s="7">
        <f>VLOOKUP($B311,'[9]Subsidiary wise dispatch'!$A$3:$R$138,13,FALSE)*$H311*$O311*365</f>
        <v>250960.19962754502</v>
      </c>
      <c r="AI311" s="7">
        <f>VLOOKUP($B311,'[9]Subsidiary wise dispatch'!$A$3:$R$138,14,FALSE)*$H311*$O311*365</f>
        <v>0</v>
      </c>
      <c r="AJ311" s="7">
        <f>VLOOKUP($B311,'[9]Subsidiary wise dispatch'!$A$3:$R$138,15,FALSE)*$H311*$O311*365</f>
        <v>13526.215493845388</v>
      </c>
      <c r="AK311" s="7">
        <f>VLOOKUP($B311,'[9]Subsidiary wise dispatch'!$A$3:$R$138,16,FALSE)*$H311*$O311*365</f>
        <v>0</v>
      </c>
      <c r="AL311" s="7">
        <f>VLOOKUP($B311,'[9]Subsidiary wise dispatch'!$A$3:$R$138,17,FALSE)*$H311*$O311*365</f>
        <v>0</v>
      </c>
      <c r="AM311" s="7">
        <f>VLOOKUP($B311,'[9]Subsidiary wise dispatch'!$A$3:$R$138,18,FALSE)*$H311*$O311*365</f>
        <v>0</v>
      </c>
      <c r="AN311" s="15">
        <f t="shared" si="227"/>
        <v>849136.45104069181</v>
      </c>
      <c r="AO311" s="6">
        <v>6.6665772632952203E-2</v>
      </c>
      <c r="AP311" s="11">
        <f t="shared" si="228"/>
        <v>0.19130909235780078</v>
      </c>
      <c r="AQ311" s="11"/>
      <c r="AR311" s="3">
        <f>VLOOKUP(A311,[10]Sheet1!$A$2:$L$542,12,FALSE)</f>
        <v>3.74965388589795</v>
      </c>
      <c r="AS311" s="3">
        <f t="shared" si="237"/>
        <v>3.2711931057228583</v>
      </c>
      <c r="AT311" s="2"/>
      <c r="AU311" s="2"/>
      <c r="AV311" s="88">
        <f t="shared" si="239"/>
        <v>5.907999650465301E-2</v>
      </c>
      <c r="AW311" s="32">
        <f t="shared" si="240"/>
        <v>1.8060687521410539E-2</v>
      </c>
      <c r="AX311" s="12">
        <f t="shared" si="231"/>
        <v>342.63501363946637</v>
      </c>
      <c r="AY311" s="12">
        <f t="shared" si="232"/>
        <v>0</v>
      </c>
      <c r="AZ311" s="3">
        <f>VLOOKUP(A311,[5]Analysis!$A$3:$BJ$543,62,FALSE)</f>
        <v>1.0743829011139359</v>
      </c>
      <c r="BA311" s="2">
        <v>124.005</v>
      </c>
      <c r="BB311" s="2"/>
      <c r="BC311" s="2" t="str">
        <f>VLOOKUP(A311,'[6]FGD status - Jun 2020'!$I$2:$M$449,5,FALSE)</f>
        <v>Bid Awarded</v>
      </c>
      <c r="BD311" s="2">
        <f>VLOOKUP(A311,'[1]daily coal, energy reqd'!$C$2:$L$599,10,FALSE)</f>
        <v>0</v>
      </c>
      <c r="BE311" s="2" t="str">
        <f>VLOOKUP(A311,'[1]daily coal, energy reqd'!$C$2:$M$599,11,FALSE)</f>
        <v>Y</v>
      </c>
      <c r="BF311" s="2">
        <f t="shared" si="233"/>
        <v>226.01835849684554</v>
      </c>
      <c r="BG311" s="2">
        <f t="shared" si="234"/>
        <v>0</v>
      </c>
      <c r="BH311" s="2">
        <f t="shared" si="262"/>
        <v>31.5</v>
      </c>
      <c r="BI311" s="2">
        <f t="shared" si="263"/>
        <v>16.8</v>
      </c>
      <c r="BK311">
        <f t="shared" si="235"/>
        <v>119.56978621492709</v>
      </c>
      <c r="BL311">
        <f>VLOOKUP(A311,'[11]Daily coal vs energy req.2'!$C$2:$P$599,14,FALSE)</f>
        <v>1.27</v>
      </c>
      <c r="BM311">
        <f>VLOOKUP(A311,'[11]Daily coal vs energy req.2'!$C$2:$R$599,16,FALSE)</f>
        <v>0.59</v>
      </c>
      <c r="BN311">
        <f t="shared" si="264"/>
        <v>266.7</v>
      </c>
      <c r="BO311">
        <f t="shared" si="265"/>
        <v>123.89999999999999</v>
      </c>
      <c r="BP311" s="2" t="str">
        <f>VLOOKUP(A311,'[7]Table 2'!$J$2:$N$449,5,FALSE)</f>
        <v>FGD commissioned</v>
      </c>
      <c r="BR311">
        <f t="shared" si="241"/>
        <v>364.64372243853711</v>
      </c>
      <c r="BT311">
        <f>(X311*I311*365*[5]Analysis!BK311)/10^4</f>
        <v>167.66222312779001</v>
      </c>
      <c r="BV311">
        <f>(X311*I311*365*[5]Analysis!BL311)/10^4</f>
        <v>196.98149931074713</v>
      </c>
      <c r="BX311">
        <f t="shared" si="243"/>
        <v>953104.79481522087</v>
      </c>
      <c r="BZ311">
        <f t="shared" si="245"/>
        <v>5829535.2218749663</v>
      </c>
      <c r="CB311">
        <f t="shared" si="247"/>
        <v>-176208.48333136603</v>
      </c>
      <c r="CD311">
        <f t="shared" si="249"/>
        <v>0</v>
      </c>
      <c r="CF311">
        <f t="shared" si="251"/>
        <v>1870291.94308724</v>
      </c>
      <c r="CH311">
        <f t="shared" si="253"/>
        <v>556213.49997035158</v>
      </c>
      <c r="CJ311">
        <f t="shared" si="255"/>
        <v>-362724.03378673369</v>
      </c>
      <c r="CL311">
        <f t="shared" si="257"/>
        <v>540839.22169556655</v>
      </c>
    </row>
    <row r="312" spans="1:90" x14ac:dyDescent="0.2">
      <c r="A312" s="2" t="s">
        <v>390</v>
      </c>
      <c r="B312" s="2" t="str">
        <f t="shared" si="266"/>
        <v>DAHANU TPS</v>
      </c>
      <c r="C312" s="2" t="str">
        <f>VLOOKUP($A312,'[1]daily coal, energy reqd'!$C$2:$T$599,17,FALSE)</f>
        <v>Maharashtra</v>
      </c>
      <c r="D312" s="2" t="str">
        <f>VLOOKUP(C312,'Target PLF'!$I$2:$J$19,2,FALSE)</f>
        <v>WR</v>
      </c>
      <c r="E312" s="2" t="str">
        <f>VLOOKUP(A312,[2]Ownership!$C$2:$D$666,2,FALSE)</f>
        <v>PVT SECTOR</v>
      </c>
      <c r="F312" s="2" t="s">
        <v>547</v>
      </c>
      <c r="G312" s="12">
        <v>25.338809034907499</v>
      </c>
      <c r="H312" s="2">
        <v>250</v>
      </c>
      <c r="I312" s="2">
        <f>VLOOKUP(A312,'[3]Calculated coal req (reg.)'!$A$2:$I$599,9,FALSE)</f>
        <v>4.78610039009037</v>
      </c>
      <c r="J312" s="2"/>
      <c r="K312" s="11">
        <v>0.79768339834839497</v>
      </c>
      <c r="L312" s="3">
        <f>VLOOKUP(F312,'Target PLF'!$A$2:$B$11,2,FALSE)</f>
        <v>0.65</v>
      </c>
      <c r="M312" s="3">
        <f t="shared" si="236"/>
        <v>-0.14768339834839495</v>
      </c>
      <c r="N312" s="2" t="str">
        <f t="shared" si="215"/>
        <v>0.25</v>
      </c>
      <c r="O312" s="2">
        <f t="shared" si="267"/>
        <v>13.129951852421419</v>
      </c>
      <c r="P312" s="2">
        <f t="shared" si="216"/>
        <v>1198108.1065334545</v>
      </c>
      <c r="Q312" s="2">
        <f t="shared" si="217"/>
        <v>13.857848426180695</v>
      </c>
      <c r="R312" s="2">
        <f t="shared" si="218"/>
        <v>3.9</v>
      </c>
      <c r="S312" s="2"/>
      <c r="T312" s="2" t="str">
        <f>VLOOKUP(A312,'[4]CEA vs MERIT comp. &amp; NPA marker'!$C$2:$K$735,9,FALSE)</f>
        <v>Contracted</v>
      </c>
      <c r="U312" s="3">
        <f>VLOOKUP(B312,'[8]Import-Domestic share'!$A$208:$F$406,6,FALSE)</f>
        <v>0.28270000411050533</v>
      </c>
      <c r="V312" s="3">
        <f t="shared" si="220"/>
        <v>338705.16664183734</v>
      </c>
      <c r="W312" s="2">
        <f t="shared" si="221"/>
        <v>3228.8435520138814</v>
      </c>
      <c r="X312" s="2">
        <f t="shared" si="222"/>
        <v>3180.0236738017743</v>
      </c>
      <c r="Y312" s="6">
        <f t="shared" si="223"/>
        <v>0.26634923189871007</v>
      </c>
      <c r="Z312" s="2"/>
      <c r="AA312" s="2">
        <f t="shared" si="225"/>
        <v>1330874.6496067059</v>
      </c>
      <c r="AB312" s="2" t="s">
        <v>576</v>
      </c>
      <c r="AC312" s="12">
        <f>VLOOKUP(B312,[9]Sheet1!$A$2:$B$137,2,FALSE)</f>
        <v>4174.1482421463261</v>
      </c>
      <c r="AD312" s="12">
        <f t="shared" si="226"/>
        <v>1043537.0605365816</v>
      </c>
      <c r="AE312" s="2"/>
      <c r="AF312" s="7">
        <f>VLOOKUP($B312,'[9]Subsidiary wise dispatch'!$A$3:$R$138,11,FALSE)*$H312*$O312*365</f>
        <v>0</v>
      </c>
      <c r="AG312" s="7">
        <f>VLOOKUP($B312,'[9]Subsidiary wise dispatch'!$A$3:$R$138,12,FALSE)*$H312*$O312*365</f>
        <v>0</v>
      </c>
      <c r="AH312" s="7">
        <f>VLOOKUP($B312,'[9]Subsidiary wise dispatch'!$A$3:$R$138,13,FALSE)*$H312*$O312*365</f>
        <v>0</v>
      </c>
      <c r="AI312" s="7">
        <f>VLOOKUP($B312,'[9]Subsidiary wise dispatch'!$A$3:$R$138,14,FALSE)*$H312*$O312*365</f>
        <v>0</v>
      </c>
      <c r="AJ312" s="7">
        <f>VLOOKUP($B312,'[9]Subsidiary wise dispatch'!$A$3:$R$138,15,FALSE)*$H312*$O312*365</f>
        <v>0</v>
      </c>
      <c r="AK312" s="7">
        <f>VLOOKUP($B312,'[9]Subsidiary wise dispatch'!$A$3:$R$138,16,FALSE)*$H312*$O312*365</f>
        <v>0</v>
      </c>
      <c r="AL312" s="7">
        <f>VLOOKUP($B312,'[9]Subsidiary wise dispatch'!$A$3:$R$138,17,FALSE)*$H312*$O312*365</f>
        <v>1198108.1065334545</v>
      </c>
      <c r="AM312" s="7">
        <f>VLOOKUP($B312,'[9]Subsidiary wise dispatch'!$A$3:$R$138,18,FALSE)*$H312*$O312*365</f>
        <v>0</v>
      </c>
      <c r="AN312" s="15">
        <f t="shared" si="227"/>
        <v>1198108.1065334545</v>
      </c>
      <c r="AO312" s="6">
        <v>9.2649498418971077E-2</v>
      </c>
      <c r="AP312" s="11">
        <f t="shared" si="228"/>
        <v>0.44342980052471459</v>
      </c>
      <c r="AQ312" s="11"/>
      <c r="AR312" s="3">
        <f>VLOOKUP(A312,[10]Sheet1!$A$2:$L$542,12,FALSE)</f>
        <v>3.3866153846153799</v>
      </c>
      <c r="AS312" s="3">
        <f t="shared" si="237"/>
        <v>3.4459669736434213</v>
      </c>
      <c r="AT312" s="2"/>
      <c r="AU312" s="2"/>
      <c r="AV312" s="88">
        <f t="shared" si="239"/>
        <v>-0.10822534797767079</v>
      </c>
      <c r="AW312" s="32">
        <f t="shared" si="240"/>
        <v>3.1406379923381599E-2</v>
      </c>
      <c r="AX312" s="12">
        <f t="shared" si="231"/>
        <v>601.98515150295577</v>
      </c>
      <c r="AY312" s="12">
        <f t="shared" si="232"/>
        <v>0</v>
      </c>
      <c r="AZ312" s="3">
        <f>VLOOKUP(A312,[5]Analysis!$A$3:$BJ$543,62,FALSE)</f>
        <v>1.1472486966902133</v>
      </c>
      <c r="BA312" s="2">
        <v>162.91</v>
      </c>
      <c r="BB312" s="2"/>
      <c r="BC312" s="2" t="e">
        <f>VLOOKUP(A312,'[6]FGD status - Jun 2020'!$I$2:$M$449,5,FALSE)</f>
        <v>#N/A</v>
      </c>
      <c r="BD312" s="2"/>
      <c r="BE312" s="2"/>
      <c r="BF312" s="2">
        <f t="shared" si="233"/>
        <v>492.27019829338758</v>
      </c>
      <c r="BG312" s="2">
        <f t="shared" si="234"/>
        <v>0</v>
      </c>
      <c r="BH312" s="2"/>
      <c r="BI312" s="2"/>
      <c r="BK312">
        <f t="shared" si="235"/>
        <v>199.42084958709873</v>
      </c>
      <c r="BL312">
        <f>VLOOKUP(A312,'[11]Daily coal vs energy req.2'!$C$2:$P$599,14,FALSE)</f>
        <v>1.04</v>
      </c>
      <c r="BM312">
        <f>VLOOKUP(A312,'[11]Daily coal vs energy req.2'!$C$2:$R$599,16,FALSE)</f>
        <v>1.01</v>
      </c>
      <c r="BN312">
        <f t="shared" si="264"/>
        <v>260</v>
      </c>
      <c r="BO312">
        <f t="shared" si="265"/>
        <v>252.5</v>
      </c>
      <c r="BP312" s="2" t="e">
        <f>VLOOKUP(A312,'[7]Table 2'!$J$2:$N$449,5,FALSE)</f>
        <v>#N/A</v>
      </c>
      <c r="BR312">
        <f t="shared" si="241"/>
        <v>637.32740635958999</v>
      </c>
      <c r="BT312">
        <f>(X312*I312*365*[5]Analysis!BK312)/10^4</f>
        <v>350.32132446817496</v>
      </c>
      <c r="BV312">
        <f>(X312*I312*365*[5]Analysis!BL312)/10^4</f>
        <v>287.00608189141502</v>
      </c>
      <c r="BX312">
        <f t="shared" si="243"/>
        <v>1560041.0359321267</v>
      </c>
      <c r="BZ312">
        <f t="shared" si="245"/>
        <v>10382011.966932116</v>
      </c>
      <c r="CB312">
        <f t="shared" si="247"/>
        <v>-411722.23151904886</v>
      </c>
      <c r="CD312">
        <f t="shared" si="249"/>
        <v>-1766283.5468006665</v>
      </c>
      <c r="CF312">
        <f t="shared" si="251"/>
        <v>3119309.8195888633</v>
      </c>
      <c r="CH312">
        <f t="shared" si="253"/>
        <v>897973.95354446035</v>
      </c>
      <c r="CJ312">
        <f t="shared" si="255"/>
        <v>-720188.45619884855</v>
      </c>
      <c r="CL312">
        <f t="shared" si="257"/>
        <v>1253595.5569945914</v>
      </c>
    </row>
    <row r="313" spans="1:90" x14ac:dyDescent="0.2">
      <c r="A313" s="2" t="s">
        <v>389</v>
      </c>
      <c r="B313" s="2" t="str">
        <f t="shared" si="266"/>
        <v>DAHANU TPS</v>
      </c>
      <c r="C313" s="2" t="str">
        <f>VLOOKUP($A313,'[1]daily coal, energy reqd'!$C$2:$T$599,17,FALSE)</f>
        <v>Maharashtra</v>
      </c>
      <c r="D313" s="2" t="str">
        <f>VLOOKUP(C313,'Target PLF'!$I$2:$J$19,2,FALSE)</f>
        <v>WR</v>
      </c>
      <c r="E313" s="2" t="str">
        <f>VLOOKUP(A313,[2]Ownership!$C$2:$D$666,2,FALSE)</f>
        <v>PVT SECTOR</v>
      </c>
      <c r="F313" s="2" t="s">
        <v>547</v>
      </c>
      <c r="G313" s="12">
        <v>25.177275838466802</v>
      </c>
      <c r="H313" s="2">
        <v>250</v>
      </c>
      <c r="I313" s="2">
        <f>VLOOKUP(A313,'[3]Calculated coal req (reg.)'!$A$2:$I$599,9,FALSE)</f>
        <v>4.5250875468390301</v>
      </c>
      <c r="J313" s="2"/>
      <c r="K313" s="11">
        <v>0.75418125780650502</v>
      </c>
      <c r="L313" s="3">
        <f>VLOOKUP(F313,'Target PLF'!$A$2:$B$11,2,FALSE)</f>
        <v>0.65</v>
      </c>
      <c r="M313" s="3">
        <f t="shared" si="236"/>
        <v>-0.104181257806505</v>
      </c>
      <c r="N313" s="2" t="str">
        <f t="shared" si="215"/>
        <v>0.25</v>
      </c>
      <c r="O313" s="2">
        <f t="shared" si="267"/>
        <v>12.519576956422682</v>
      </c>
      <c r="P313" s="2">
        <f t="shared" si="216"/>
        <v>1142411.3972735698</v>
      </c>
      <c r="Q313" s="2">
        <f t="shared" si="217"/>
        <v>13.852731862183436</v>
      </c>
      <c r="R313" s="2">
        <f t="shared" si="218"/>
        <v>3.9</v>
      </c>
      <c r="S313" s="2"/>
      <c r="T313" s="2" t="str">
        <f>VLOOKUP(A313,'[4]CEA vs MERIT comp. &amp; NPA marker'!$C$2:$K$735,9,FALSE)</f>
        <v>Contracted</v>
      </c>
      <c r="U313" s="3">
        <f>VLOOKUP(B313,'[8]Import-Domestic share'!$A$208:$F$406,6,FALSE)</f>
        <v>0.28270000411050533</v>
      </c>
      <c r="V313" s="3">
        <f t="shared" si="220"/>
        <v>322959.70670512627</v>
      </c>
      <c r="W313" s="2">
        <f t="shared" si="221"/>
        <v>3227.6093516497481</v>
      </c>
      <c r="X313" s="2">
        <f t="shared" si="222"/>
        <v>3193.1700282391421</v>
      </c>
      <c r="Y313" s="6">
        <f t="shared" si="223"/>
        <v>0.26645108075437407</v>
      </c>
      <c r="Z313" s="2"/>
      <c r="AA313" s="2">
        <f t="shared" si="225"/>
        <v>1263496.449670315</v>
      </c>
      <c r="AB313" s="2" t="s">
        <v>576</v>
      </c>
      <c r="AC313" s="12">
        <f>VLOOKUP(B313,[9]Sheet1!$A$2:$B$137,2,FALSE)</f>
        <v>4174.1482421463261</v>
      </c>
      <c r="AD313" s="12">
        <f t="shared" si="226"/>
        <v>1043537.0605365816</v>
      </c>
      <c r="AE313" s="2"/>
      <c r="AF313" s="7">
        <f>VLOOKUP($B313,'[9]Subsidiary wise dispatch'!$A$3:$R$138,11,FALSE)*$H313*$O313*365</f>
        <v>0</v>
      </c>
      <c r="AG313" s="7">
        <f>VLOOKUP($B313,'[9]Subsidiary wise dispatch'!$A$3:$R$138,12,FALSE)*$H313*$O313*365</f>
        <v>0</v>
      </c>
      <c r="AH313" s="7">
        <f>VLOOKUP($B313,'[9]Subsidiary wise dispatch'!$A$3:$R$138,13,FALSE)*$H313*$O313*365</f>
        <v>0</v>
      </c>
      <c r="AI313" s="7">
        <f>VLOOKUP($B313,'[9]Subsidiary wise dispatch'!$A$3:$R$138,14,FALSE)*$H313*$O313*365</f>
        <v>0</v>
      </c>
      <c r="AJ313" s="7">
        <f>VLOOKUP($B313,'[9]Subsidiary wise dispatch'!$A$3:$R$138,15,FALSE)*$H313*$O313*365</f>
        <v>0</v>
      </c>
      <c r="AK313" s="7">
        <f>VLOOKUP($B313,'[9]Subsidiary wise dispatch'!$A$3:$R$138,16,FALSE)*$H313*$O313*365</f>
        <v>0</v>
      </c>
      <c r="AL313" s="7">
        <f>VLOOKUP($B313,'[9]Subsidiary wise dispatch'!$A$3:$R$138,17,FALSE)*$H313*$O313*365</f>
        <v>1142411.3972735698</v>
      </c>
      <c r="AM313" s="7">
        <f>VLOOKUP($B313,'[9]Subsidiary wise dispatch'!$A$3:$R$138,18,FALSE)*$H313*$O313*365</f>
        <v>0</v>
      </c>
      <c r="AN313" s="15">
        <f t="shared" si="227"/>
        <v>1142411.3972735698</v>
      </c>
      <c r="AO313" s="6">
        <v>9.2649498418971077E-2</v>
      </c>
      <c r="AP313" s="11">
        <f t="shared" si="228"/>
        <v>0.41924709151656842</v>
      </c>
      <c r="AQ313" s="11"/>
      <c r="AR313" s="3">
        <f>VLOOKUP(A313,[10]Sheet1!$A$2:$L$542,12,FALSE)</f>
        <v>3.3866153846153799</v>
      </c>
      <c r="AS313" s="3">
        <f t="shared" si="237"/>
        <v>3.4461184024202063</v>
      </c>
      <c r="AT313" s="2"/>
      <c r="AU313" s="2"/>
      <c r="AV313" s="88">
        <f t="shared" si="239"/>
        <v>-7.6346109345762997E-2</v>
      </c>
      <c r="AW313" s="32">
        <f t="shared" si="240"/>
        <v>2.215423280063308E-2</v>
      </c>
      <c r="AX313" s="12">
        <f t="shared" si="231"/>
        <v>569.18054257194376</v>
      </c>
      <c r="AY313" s="12">
        <f t="shared" si="232"/>
        <v>0</v>
      </c>
      <c r="AZ313" s="3">
        <f>VLOOKUP(A313,[5]Analysis!$A$3:$BJ$543,62,FALSE)</f>
        <v>1.1472486966902133</v>
      </c>
      <c r="BA313" s="2">
        <v>162.91</v>
      </c>
      <c r="BB313" s="2"/>
      <c r="BC313" s="2" t="e">
        <f>VLOOKUP(A313,'[6]FGD status - Jun 2020'!$I$2:$M$449,5,FALSE)</f>
        <v>#N/A</v>
      </c>
      <c r="BD313" s="2"/>
      <c r="BE313" s="2"/>
      <c r="BF313" s="2">
        <f t="shared" si="233"/>
        <v>467.34803161665343</v>
      </c>
      <c r="BG313" s="2">
        <f t="shared" si="234"/>
        <v>0</v>
      </c>
      <c r="BH313" s="2"/>
      <c r="BI313" s="2"/>
      <c r="BK313">
        <f t="shared" si="235"/>
        <v>188.54531445162627</v>
      </c>
      <c r="BL313">
        <f>VLOOKUP(A313,'[11]Daily coal vs energy req.2'!$C$2:$P$599,14,FALSE)</f>
        <v>1.1499999999999999</v>
      </c>
      <c r="BM313">
        <f>VLOOKUP(A313,'[11]Daily coal vs energy req.2'!$C$2:$R$599,16,FALSE)</f>
        <v>1.01</v>
      </c>
      <c r="BN313">
        <f t="shared" si="264"/>
        <v>287.5</v>
      </c>
      <c r="BO313">
        <f t="shared" si="265"/>
        <v>252.5</v>
      </c>
      <c r="BP313" s="2" t="e">
        <f>VLOOKUP(A313,'[7]Table 2'!$J$2:$N$449,5,FALSE)</f>
        <v>#N/A</v>
      </c>
      <c r="BR313">
        <f t="shared" si="241"/>
        <v>605.06142742361135</v>
      </c>
      <c r="BT313">
        <f>(X313*I313*365*[5]Analysis!BK313)/10^4</f>
        <v>332.58560439192786</v>
      </c>
      <c r="BV313">
        <f>(X313*I313*365*[5]Analysis!BL313)/10^4</f>
        <v>272.47582303168349</v>
      </c>
      <c r="BX313">
        <f t="shared" si="243"/>
        <v>1481060.8277967689</v>
      </c>
      <c r="BZ313">
        <f t="shared" si="245"/>
        <v>9815822.7437037211</v>
      </c>
      <c r="CB313">
        <f t="shared" si="247"/>
        <v>-368039.71193184983</v>
      </c>
      <c r="CD313">
        <f t="shared" si="249"/>
        <v>-1669958.2186706818</v>
      </c>
      <c r="CF313">
        <f t="shared" si="251"/>
        <v>2949196.3955832836</v>
      </c>
      <c r="CH313">
        <f t="shared" si="253"/>
        <v>843590.07466195198</v>
      </c>
      <c r="CJ313">
        <f t="shared" si="255"/>
        <v>-680912.54861060309</v>
      </c>
      <c r="CL313">
        <f t="shared" si="257"/>
        <v>1185229.9745893658</v>
      </c>
    </row>
    <row r="314" spans="1:90" x14ac:dyDescent="0.2">
      <c r="A314" s="2" t="s">
        <v>507</v>
      </c>
      <c r="B314" s="2" t="str">
        <f t="shared" si="266"/>
        <v>DR. N TATA RAO TPS</v>
      </c>
      <c r="C314" s="2" t="str">
        <f>VLOOKUP($A314,'[1]daily coal, energy reqd'!$C$2:$T$599,17,FALSE)</f>
        <v>Andhra Pradesh</v>
      </c>
      <c r="D314" s="2" t="str">
        <f>VLOOKUP(C314,'Target PLF'!$I$2:$J$19,2,FALSE)</f>
        <v>SR</v>
      </c>
      <c r="E314" s="2" t="str">
        <f>VLOOKUP(A314,[2]Ownership!$C$2:$D$666,2,FALSE)</f>
        <v>STATE SECTOR</v>
      </c>
      <c r="F314" s="2" t="s">
        <v>550</v>
      </c>
      <c r="G314" s="12">
        <v>40.5065023956194</v>
      </c>
      <c r="H314" s="2">
        <v>210</v>
      </c>
      <c r="I314" s="2">
        <f>VLOOKUP(A314,'[3]Calculated coal req (reg.)'!$A$2:$I$599,9,FALSE)</f>
        <v>2.82060334851775</v>
      </c>
      <c r="J314" s="2"/>
      <c r="K314" s="11">
        <v>0.55964352153129959</v>
      </c>
      <c r="L314" s="3">
        <f>VLOOKUP(F314,'Target PLF'!$A$2:$B$11,2,FALSE)</f>
        <v>0.55000000000000004</v>
      </c>
      <c r="M314" s="3">
        <f t="shared" si="236"/>
        <v>-9.6435215312995481E-3</v>
      </c>
      <c r="N314" s="2" t="str">
        <f t="shared" si="215"/>
        <v>0.25</v>
      </c>
      <c r="O314" s="2">
        <f t="shared" si="267"/>
        <v>11.396535421502675</v>
      </c>
      <c r="P314" s="2">
        <f t="shared" si="216"/>
        <v>873544.44005818001</v>
      </c>
      <c r="Q314" s="2">
        <f t="shared" si="217"/>
        <v>15.436352213381243</v>
      </c>
      <c r="R314" s="2">
        <f t="shared" si="218"/>
        <v>2.7719999999999998</v>
      </c>
      <c r="S314" s="2"/>
      <c r="T314" s="2" t="str">
        <f>VLOOKUP(A314,'[4]CEA vs MERIT comp. &amp; NPA marker'!$C$2:$K$735,9,FALSE)</f>
        <v>Contracted</v>
      </c>
      <c r="U314" s="3">
        <f>VLOOKUP(B314,'[8]Import-Domestic share'!$A$208:$F$406,6,FALSE)</f>
        <v>0</v>
      </c>
      <c r="V314" s="3">
        <f t="shared" si="220"/>
        <v>0</v>
      </c>
      <c r="W314" s="2">
        <f t="shared" si="221"/>
        <v>3351.083387294319</v>
      </c>
      <c r="X314" s="2">
        <f t="shared" si="222"/>
        <v>3347.8955168094913</v>
      </c>
      <c r="Y314" s="6">
        <f t="shared" si="223"/>
        <v>0.25663342286876606</v>
      </c>
      <c r="Z314" s="2"/>
      <c r="AA314" s="2">
        <f t="shared" si="225"/>
        <v>965247.97509448393</v>
      </c>
      <c r="AB314" s="2" t="s">
        <v>576</v>
      </c>
      <c r="AC314" s="12">
        <f>VLOOKUP(B314,[9]Sheet1!$A$2:$B$137,2,FALSE)</f>
        <v>3570.8193390001843</v>
      </c>
      <c r="AD314" s="12">
        <f t="shared" si="226"/>
        <v>749872.06119003869</v>
      </c>
      <c r="AE314" s="2"/>
      <c r="AF314" s="7">
        <f>VLOOKUP($B314,'[9]Subsidiary wise dispatch'!$A$3:$R$138,11,FALSE)*$H314*$O314*365</f>
        <v>0</v>
      </c>
      <c r="AG314" s="7">
        <f>VLOOKUP($B314,'[9]Subsidiary wise dispatch'!$A$3:$R$138,12,FALSE)*$H314*$O314*365</f>
        <v>0</v>
      </c>
      <c r="AH314" s="7">
        <f>VLOOKUP($B314,'[9]Subsidiary wise dispatch'!$A$3:$R$138,13,FALSE)*$H314*$O314*365</f>
        <v>0</v>
      </c>
      <c r="AI314" s="7">
        <f>VLOOKUP($B314,'[9]Subsidiary wise dispatch'!$A$3:$R$138,14,FALSE)*$H314*$O314*365</f>
        <v>873544.44005818001</v>
      </c>
      <c r="AJ314" s="7">
        <f>VLOOKUP($B314,'[9]Subsidiary wise dispatch'!$A$3:$R$138,15,FALSE)*$H314*$O314*365</f>
        <v>0</v>
      </c>
      <c r="AK314" s="7">
        <f>VLOOKUP($B314,'[9]Subsidiary wise dispatch'!$A$3:$R$138,16,FALSE)*$H314*$O314*365</f>
        <v>0</v>
      </c>
      <c r="AL314" s="7">
        <f>VLOOKUP($B314,'[9]Subsidiary wise dispatch'!$A$3:$R$138,17,FALSE)*$H314*$O314*365</f>
        <v>0</v>
      </c>
      <c r="AM314" s="7">
        <f>VLOOKUP($B314,'[9]Subsidiary wise dispatch'!$A$3:$R$138,18,FALSE)*$H314*$O314*365</f>
        <v>0</v>
      </c>
      <c r="AN314" s="15">
        <f t="shared" si="227"/>
        <v>873544.44005818001</v>
      </c>
      <c r="AO314" s="6">
        <v>8.8971276393347468E-2</v>
      </c>
      <c r="AP314" s="11">
        <f t="shared" si="228"/>
        <v>0.25095268011697408</v>
      </c>
      <c r="AQ314" s="11"/>
      <c r="AR314" s="3">
        <f>VLOOKUP(A314,[10]Sheet1!$A$2:$L$542,12,FALSE)</f>
        <v>3.0966922234391698</v>
      </c>
      <c r="AS314" s="3">
        <f t="shared" si="237"/>
        <v>3.4005928889036201</v>
      </c>
      <c r="AT314" s="2"/>
      <c r="AU314" s="2"/>
      <c r="AV314" s="88">
        <f t="shared" si="239"/>
        <v>-7.066965448566935E-3</v>
      </c>
      <c r="AW314" s="32">
        <f t="shared" si="240"/>
        <v>2.0781568624774088E-3</v>
      </c>
      <c r="AX314" s="12">
        <f t="shared" si="231"/>
        <v>350.09791466263277</v>
      </c>
      <c r="AY314" s="12">
        <f t="shared" si="232"/>
        <v>0</v>
      </c>
      <c r="AZ314" s="3">
        <f>VLOOKUP(A314,[5]Analysis!$A$3:$BJ$543,62,FALSE)</f>
        <v>1.047518881492147</v>
      </c>
      <c r="BA314" s="2">
        <v>110.55500000000001</v>
      </c>
      <c r="BB314" s="2"/>
      <c r="BC314" s="2" t="e">
        <f>VLOOKUP(A314,'[6]FGD status - Jun 2020'!$I$2:$M$449,5,FALSE)</f>
        <v>#N/A</v>
      </c>
      <c r="BD314" s="2" t="str">
        <f>VLOOKUP(A314,'[1]daily coal, energy reqd'!$C$2:$L$599,10,FALSE)</f>
        <v>Y</v>
      </c>
      <c r="BE314" s="2"/>
      <c r="BF314" s="2">
        <f t="shared" si="233"/>
        <v>298.74424829174274</v>
      </c>
      <c r="BG314" s="2">
        <f t="shared" si="234"/>
        <v>0</v>
      </c>
      <c r="BH314" s="2"/>
      <c r="BI314" s="2"/>
      <c r="BK314">
        <f t="shared" si="235"/>
        <v>117.52513952157291</v>
      </c>
      <c r="BP314" s="2" t="e">
        <f>VLOOKUP(A314,'[7]Table 2'!$J$2:$N$449,5,FALSE)</f>
        <v>#N/A</v>
      </c>
      <c r="BR314">
        <f t="shared" si="241"/>
        <v>361.0510707209541</v>
      </c>
      <c r="BT314">
        <f>(X314*I314*365*[5]Analysis!BK314)/10^4</f>
        <v>138.64635428348382</v>
      </c>
      <c r="BV314">
        <f>(X314*I314*365*[5]Analysis!BL314)/10^4</f>
        <v>222.40471643747026</v>
      </c>
      <c r="BX314">
        <f t="shared" si="243"/>
        <v>967916.24378304253</v>
      </c>
      <c r="BZ314">
        <f t="shared" si="245"/>
        <v>5586580.0391025273</v>
      </c>
      <c r="CB314">
        <f t="shared" si="247"/>
        <v>-170233.66862184776</v>
      </c>
      <c r="CD314">
        <f t="shared" si="249"/>
        <v>0</v>
      </c>
      <c r="CF314">
        <f t="shared" si="251"/>
        <v>1838309.8984746782</v>
      </c>
      <c r="CH314">
        <f t="shared" si="253"/>
        <v>845984.6820676371</v>
      </c>
      <c r="CJ314">
        <f t="shared" si="255"/>
        <v>-356521.44264929509</v>
      </c>
      <c r="CL314">
        <f t="shared" si="257"/>
        <v>709454.26860861096</v>
      </c>
    </row>
    <row r="315" spans="1:90" x14ac:dyDescent="0.2">
      <c r="A315" s="2" t="s">
        <v>501</v>
      </c>
      <c r="B315" s="2" t="str">
        <f t="shared" si="266"/>
        <v>DR. N TATA RAO TPS</v>
      </c>
      <c r="C315" s="2" t="str">
        <f>VLOOKUP($A315,'[1]daily coal, energy reqd'!$C$2:$T$599,17,FALSE)</f>
        <v>Andhra Pradesh</v>
      </c>
      <c r="D315" s="2" t="str">
        <f>VLOOKUP(C315,'Target PLF'!$I$2:$J$19,2,FALSE)</f>
        <v>SR</v>
      </c>
      <c r="E315" s="2" t="str">
        <f>VLOOKUP(A315,[2]Ownership!$C$2:$D$666,2,FALSE)</f>
        <v>STATE SECTOR</v>
      </c>
      <c r="F315" s="2" t="s">
        <v>549</v>
      </c>
      <c r="G315" s="12">
        <v>39.564681724845997</v>
      </c>
      <c r="H315" s="2">
        <v>210</v>
      </c>
      <c r="I315" s="2">
        <f>VLOOKUP(A315,'[3]Calculated coal req (reg.)'!$A$2:$I$599,9,FALSE)</f>
        <v>3.17509850080905</v>
      </c>
      <c r="J315" s="2"/>
      <c r="K315" s="11">
        <v>0.62997986127163697</v>
      </c>
      <c r="L315" s="3">
        <f>VLOOKUP(F315,'Target PLF'!$A$2:$B$11,2,FALSE)</f>
        <v>0.55000000000000004</v>
      </c>
      <c r="M315" s="3">
        <f t="shared" si="236"/>
        <v>-7.9979861271636921E-2</v>
      </c>
      <c r="N315" s="2" t="str">
        <f t="shared" si="215"/>
        <v>0.25</v>
      </c>
      <c r="O315" s="2">
        <f t="shared" si="267"/>
        <v>12.345313847465164</v>
      </c>
      <c r="P315" s="2">
        <f t="shared" si="216"/>
        <v>946268.30640820484</v>
      </c>
      <c r="Q315" s="2">
        <f t="shared" si="217"/>
        <v>15.406520043634496</v>
      </c>
      <c r="R315" s="2">
        <f t="shared" si="218"/>
        <v>2.7719999999999998</v>
      </c>
      <c r="S315" s="2"/>
      <c r="T315" s="2" t="str">
        <f>VLOOKUP(A315,'[4]CEA vs MERIT comp. &amp; NPA marker'!$C$2:$K$735,9,FALSE)</f>
        <v>Contracted</v>
      </c>
      <c r="U315" s="3">
        <f>VLOOKUP(B315,'[8]Import-Domestic share'!$A$208:$F$406,6,FALSE)</f>
        <v>0</v>
      </c>
      <c r="V315" s="3">
        <f t="shared" si="220"/>
        <v>0</v>
      </c>
      <c r="W315" s="2">
        <f t="shared" si="221"/>
        <v>3343.8873716119097</v>
      </c>
      <c r="X315" s="2">
        <f t="shared" si="222"/>
        <v>3317.4483328955112</v>
      </c>
      <c r="Y315" s="6">
        <f t="shared" si="223"/>
        <v>0.25718569569687388</v>
      </c>
      <c r="Z315" s="2"/>
      <c r="AA315" s="2">
        <f t="shared" si="225"/>
        <v>1076679.2837527334</v>
      </c>
      <c r="AB315" s="2" t="s">
        <v>576</v>
      </c>
      <c r="AC315" s="12">
        <f>VLOOKUP(B315,[9]Sheet1!$A$2:$B$137,2,FALSE)</f>
        <v>3570.8193390001843</v>
      </c>
      <c r="AD315" s="12">
        <f t="shared" si="226"/>
        <v>749872.06119003869</v>
      </c>
      <c r="AE315" s="2"/>
      <c r="AF315" s="7">
        <f>VLOOKUP($B315,'[9]Subsidiary wise dispatch'!$A$3:$R$138,11,FALSE)*$H315*$O315*365</f>
        <v>0</v>
      </c>
      <c r="AG315" s="7">
        <f>VLOOKUP($B315,'[9]Subsidiary wise dispatch'!$A$3:$R$138,12,FALSE)*$H315*$O315*365</f>
        <v>0</v>
      </c>
      <c r="AH315" s="7">
        <f>VLOOKUP($B315,'[9]Subsidiary wise dispatch'!$A$3:$R$138,13,FALSE)*$H315*$O315*365</f>
        <v>0</v>
      </c>
      <c r="AI315" s="7">
        <f>VLOOKUP($B315,'[9]Subsidiary wise dispatch'!$A$3:$R$138,14,FALSE)*$H315*$O315*365</f>
        <v>946268.30640820484</v>
      </c>
      <c r="AJ315" s="7">
        <f>VLOOKUP($B315,'[9]Subsidiary wise dispatch'!$A$3:$R$138,15,FALSE)*$H315*$O315*365</f>
        <v>0</v>
      </c>
      <c r="AK315" s="7">
        <f>VLOOKUP($B315,'[9]Subsidiary wise dispatch'!$A$3:$R$138,16,FALSE)*$H315*$O315*365</f>
        <v>0</v>
      </c>
      <c r="AL315" s="7">
        <f>VLOOKUP($B315,'[9]Subsidiary wise dispatch'!$A$3:$R$138,17,FALSE)*$H315*$O315*365</f>
        <v>0</v>
      </c>
      <c r="AM315" s="7">
        <f>VLOOKUP($B315,'[9]Subsidiary wise dispatch'!$A$3:$R$138,18,FALSE)*$H315*$O315*365</f>
        <v>0</v>
      </c>
      <c r="AN315" s="15">
        <f t="shared" si="227"/>
        <v>946268.30640820484</v>
      </c>
      <c r="AO315" s="6">
        <v>8.8971276393347468E-2</v>
      </c>
      <c r="AP315" s="11">
        <f t="shared" si="228"/>
        <v>0.28249256629158515</v>
      </c>
      <c r="AQ315" s="11"/>
      <c r="AR315" s="3">
        <f>VLOOKUP(A315,[10]Sheet1!$A$2:$L$542,12,FALSE)</f>
        <v>3.0966922234391698</v>
      </c>
      <c r="AS315" s="3">
        <f t="shared" si="237"/>
        <v>3.3904983413956953</v>
      </c>
      <c r="AT315" s="2"/>
      <c r="AU315" s="2"/>
      <c r="AV315" s="88">
        <f t="shared" si="239"/>
        <v>-5.8610841937080972E-2</v>
      </c>
      <c r="AW315" s="32">
        <f t="shared" si="240"/>
        <v>1.7286792688107872E-2</v>
      </c>
      <c r="AX315" s="12">
        <f t="shared" si="231"/>
        <v>392.92856632777801</v>
      </c>
      <c r="AY315" s="12">
        <f t="shared" si="232"/>
        <v>0</v>
      </c>
      <c r="AZ315" s="3">
        <f>VLOOKUP(A315,[5]Analysis!$A$3:$BJ$543,62,FALSE)</f>
        <v>1.047518881492147</v>
      </c>
      <c r="BA315" s="2">
        <v>110.55500000000001</v>
      </c>
      <c r="BB315" s="2"/>
      <c r="BC315" s="2" t="e">
        <f>VLOOKUP(A315,'[6]FGD status - Jun 2020'!$I$2:$M$449,5,FALSE)</f>
        <v>#N/A</v>
      </c>
      <c r="BD315" s="2" t="str">
        <f>VLOOKUP(A315,'[1]daily coal, energy reqd'!$C$2:$L$599,10,FALSE)</f>
        <v>Y</v>
      </c>
      <c r="BE315" s="2"/>
      <c r="BF315" s="2">
        <f t="shared" si="233"/>
        <v>333.23223832147096</v>
      </c>
      <c r="BG315" s="2">
        <f t="shared" si="234"/>
        <v>0</v>
      </c>
      <c r="BH315" s="2"/>
      <c r="BI315" s="2"/>
      <c r="BK315">
        <f t="shared" si="235"/>
        <v>132.29577086704376</v>
      </c>
      <c r="BP315" s="2" t="e">
        <f>VLOOKUP(A315,'[7]Table 2'!$J$2:$N$449,5,FALSE)</f>
        <v>#N/A</v>
      </c>
      <c r="BR315">
        <f t="shared" si="241"/>
        <v>402.73195930190127</v>
      </c>
      <c r="BT315">
        <f>(X315*I315*365*[5]Analysis!BK315)/10^4</f>
        <v>154.65213217386642</v>
      </c>
      <c r="BV315">
        <f>(X315*I315*365*[5]Analysis!BL315)/10^4</f>
        <v>248.07982712803482</v>
      </c>
      <c r="BX315">
        <f t="shared" si="243"/>
        <v>1079655.5858995218</v>
      </c>
      <c r="BZ315">
        <f t="shared" si="245"/>
        <v>6288704.8319380432</v>
      </c>
      <c r="CB315">
        <f t="shared" si="247"/>
        <v>-215712.75725710354</v>
      </c>
      <c r="CD315">
        <f t="shared" si="249"/>
        <v>0</v>
      </c>
      <c r="CF315">
        <f t="shared" si="251"/>
        <v>2069349.8097620432</v>
      </c>
      <c r="CH315">
        <f t="shared" si="253"/>
        <v>930166.3339859714</v>
      </c>
      <c r="CJ315">
        <f t="shared" si="255"/>
        <v>-401329.27540376311</v>
      </c>
      <c r="CL315">
        <f t="shared" si="257"/>
        <v>798618.91457922803</v>
      </c>
    </row>
    <row r="316" spans="1:90" x14ac:dyDescent="0.2">
      <c r="A316" s="2" t="s">
        <v>434</v>
      </c>
      <c r="B316" s="2" t="str">
        <f t="shared" si="266"/>
        <v>DR. N TATA RAO TPS</v>
      </c>
      <c r="C316" s="2" t="str">
        <f>VLOOKUP($A316,'[1]daily coal, energy reqd'!$C$2:$T$599,17,FALSE)</f>
        <v>Andhra Pradesh</v>
      </c>
      <c r="D316" s="2" t="str">
        <f>VLOOKUP(C316,'Target PLF'!$I$2:$J$19,2,FALSE)</f>
        <v>SR</v>
      </c>
      <c r="E316" s="2" t="str">
        <f>VLOOKUP(A316,[2]Ownership!$C$2:$D$666,2,FALSE)</f>
        <v>STATE SECTOR</v>
      </c>
      <c r="F316" s="2" t="s">
        <v>548</v>
      </c>
      <c r="G316" s="12">
        <v>30.579055441478399</v>
      </c>
      <c r="H316" s="2">
        <v>210</v>
      </c>
      <c r="I316" s="2">
        <f>VLOOKUP(A316,'[3]Calculated coal req (reg.)'!$A$2:$I$599,9,FALSE)</f>
        <v>3.7687188624644499</v>
      </c>
      <c r="J316" s="2"/>
      <c r="K316" s="11">
        <v>0.7477616790604068</v>
      </c>
      <c r="L316" s="3">
        <f>VLOOKUP(F316,'Target PLF'!$A$2:$B$11,2,FALSE)</f>
        <v>0.6</v>
      </c>
      <c r="M316" s="3">
        <f t="shared" si="236"/>
        <v>-0.14776167906040683</v>
      </c>
      <c r="N316" s="2" t="str">
        <f t="shared" si="215"/>
        <v>0.25</v>
      </c>
      <c r="O316" s="2">
        <f t="shared" si="267"/>
        <v>13.699427900379986</v>
      </c>
      <c r="P316" s="2">
        <f t="shared" si="216"/>
        <v>1050061.1485641259</v>
      </c>
      <c r="Q316" s="2">
        <f t="shared" si="217"/>
        <v>15.121900331108828</v>
      </c>
      <c r="R316" s="2">
        <f t="shared" si="218"/>
        <v>3.024</v>
      </c>
      <c r="S316" s="2"/>
      <c r="T316" s="2" t="str">
        <f>VLOOKUP(A316,'[4]CEA vs MERIT comp. &amp; NPA marker'!$C$2:$K$735,9,FALSE)</f>
        <v>Contracted</v>
      </c>
      <c r="U316" s="3">
        <f>VLOOKUP(B316,'[8]Import-Domestic share'!$A$208:$F$406,6,FALSE)</f>
        <v>0</v>
      </c>
      <c r="V316" s="3">
        <f t="shared" si="220"/>
        <v>0</v>
      </c>
      <c r="W316" s="2">
        <f t="shared" si="221"/>
        <v>3258.7038015256671</v>
      </c>
      <c r="X316" s="2">
        <f t="shared" si="222"/>
        <v>3209.8580459646537</v>
      </c>
      <c r="Y316" s="6">
        <f t="shared" si="223"/>
        <v>0.2639086128654477</v>
      </c>
      <c r="Z316" s="2"/>
      <c r="AA316" s="2">
        <f t="shared" si="225"/>
        <v>1236529.7055247554</v>
      </c>
      <c r="AB316" s="2" t="s">
        <v>576</v>
      </c>
      <c r="AC316" s="12">
        <f>VLOOKUP(B316,[9]Sheet1!$A$2:$B$137,2,FALSE)</f>
        <v>3570.8193390001843</v>
      </c>
      <c r="AD316" s="12">
        <f t="shared" si="226"/>
        <v>749872.06119003869</v>
      </c>
      <c r="AE316" s="2"/>
      <c r="AF316" s="7">
        <f>VLOOKUP($B316,'[9]Subsidiary wise dispatch'!$A$3:$R$138,11,FALSE)*$H316*$O316*365</f>
        <v>0</v>
      </c>
      <c r="AG316" s="7">
        <f>VLOOKUP($B316,'[9]Subsidiary wise dispatch'!$A$3:$R$138,12,FALSE)*$H316*$O316*365</f>
        <v>0</v>
      </c>
      <c r="AH316" s="7">
        <f>VLOOKUP($B316,'[9]Subsidiary wise dispatch'!$A$3:$R$138,13,FALSE)*$H316*$O316*365</f>
        <v>0</v>
      </c>
      <c r="AI316" s="7">
        <f>VLOOKUP($B316,'[9]Subsidiary wise dispatch'!$A$3:$R$138,14,FALSE)*$H316*$O316*365</f>
        <v>1050061.1485641259</v>
      </c>
      <c r="AJ316" s="7">
        <f>VLOOKUP($B316,'[9]Subsidiary wise dispatch'!$A$3:$R$138,15,FALSE)*$H316*$O316*365</f>
        <v>0</v>
      </c>
      <c r="AK316" s="7">
        <f>VLOOKUP($B316,'[9]Subsidiary wise dispatch'!$A$3:$R$138,16,FALSE)*$H316*$O316*365</f>
        <v>0</v>
      </c>
      <c r="AL316" s="7">
        <f>VLOOKUP($B316,'[9]Subsidiary wise dispatch'!$A$3:$R$138,17,FALSE)*$H316*$O316*365</f>
        <v>0</v>
      </c>
      <c r="AM316" s="7">
        <f>VLOOKUP($B316,'[9]Subsidiary wise dispatch'!$A$3:$R$138,18,FALSE)*$H316*$O316*365</f>
        <v>0</v>
      </c>
      <c r="AN316" s="15">
        <f t="shared" si="227"/>
        <v>1050061.1485641259</v>
      </c>
      <c r="AO316" s="6">
        <v>8.8971276393347468E-2</v>
      </c>
      <c r="AP316" s="11">
        <f t="shared" si="228"/>
        <v>0.33530772756114663</v>
      </c>
      <c r="AQ316" s="11"/>
      <c r="AR316" s="3">
        <f>VLOOKUP(A316,[10]Sheet1!$A$2:$L$542,12,FALSE)</f>
        <v>3.0966922234391698</v>
      </c>
      <c r="AS316" s="3">
        <f t="shared" si="237"/>
        <v>3.312936267170087</v>
      </c>
      <c r="AT316" s="2"/>
      <c r="AU316" s="2"/>
      <c r="AV316" s="88">
        <f t="shared" si="239"/>
        <v>-0.10828271364904733</v>
      </c>
      <c r="AW316" s="32">
        <f t="shared" si="240"/>
        <v>3.2684816403529104E-2</v>
      </c>
      <c r="AX316" s="12">
        <f t="shared" si="231"/>
        <v>455.72167710826625</v>
      </c>
      <c r="AY316" s="12">
        <f t="shared" si="232"/>
        <v>0</v>
      </c>
      <c r="AZ316" s="3">
        <f>VLOOKUP(A316,[5]Analysis!$A$3:$BJ$543,62,FALSE)</f>
        <v>1.047518881492147</v>
      </c>
      <c r="BA316" s="2">
        <v>110.55500000000001</v>
      </c>
      <c r="BB316" s="2"/>
      <c r="BC316" s="2" t="e">
        <f>VLOOKUP(A316,'[6]FGD status - Jun 2020'!$I$2:$M$449,5,FALSE)</f>
        <v>#N/A</v>
      </c>
      <c r="BD316" s="2" t="str">
        <f>VLOOKUP(A316,'[1]daily coal, energy reqd'!$C$2:$L$599,10,FALSE)</f>
        <v>Y</v>
      </c>
      <c r="BE316" s="2"/>
      <c r="BF316" s="2">
        <f t="shared" si="233"/>
        <v>382.70594385991177</v>
      </c>
      <c r="BG316" s="2">
        <f t="shared" si="234"/>
        <v>0</v>
      </c>
      <c r="BH316" s="2"/>
      <c r="BI316" s="2"/>
      <c r="BK316">
        <f t="shared" si="235"/>
        <v>157.02995260268543</v>
      </c>
      <c r="BP316" s="2" t="e">
        <f>VLOOKUP(A316,'[7]Table 2'!$J$2:$N$449,5,FALSE)</f>
        <v>#N/A</v>
      </c>
      <c r="BR316">
        <f t="shared" si="241"/>
        <v>462.52402043555475</v>
      </c>
      <c r="BT316">
        <f>(X316*I316*365*[5]Analysis!BK316)/10^4</f>
        <v>177.61273792618479</v>
      </c>
      <c r="BV316">
        <f>(X316*I316*365*[5]Analysis!BL316)/10^4</f>
        <v>284.91128250936993</v>
      </c>
      <c r="BX316">
        <f t="shared" si="243"/>
        <v>1239947.8877751778</v>
      </c>
      <c r="BZ316">
        <f t="shared" si="245"/>
        <v>7464448.9027843131</v>
      </c>
      <c r="CB316">
        <f t="shared" si="247"/>
        <v>-303912.74054984166</v>
      </c>
      <c r="CD316">
        <f t="shared" si="249"/>
        <v>0</v>
      </c>
      <c r="CF316">
        <f t="shared" si="251"/>
        <v>2456238.0219385992</v>
      </c>
      <c r="CH316">
        <f t="shared" si="253"/>
        <v>853323.18386965292</v>
      </c>
      <c r="CJ316">
        <f t="shared" si="255"/>
        <v>-476362.29549664404</v>
      </c>
      <c r="CL316">
        <f t="shared" si="257"/>
        <v>947929.69935537421</v>
      </c>
    </row>
    <row r="317" spans="1:90" x14ac:dyDescent="0.2">
      <c r="A317" s="2" t="s">
        <v>427</v>
      </c>
      <c r="B317" s="2" t="str">
        <f t="shared" si="266"/>
        <v>DR. N TATA RAO TPS</v>
      </c>
      <c r="C317" s="2" t="str">
        <f>VLOOKUP($A317,'[1]daily coal, energy reqd'!$C$2:$T$599,17,FALSE)</f>
        <v>Andhra Pradesh</v>
      </c>
      <c r="D317" s="2" t="str">
        <f>VLOOKUP(C317,'Target PLF'!$I$2:$J$19,2,FALSE)</f>
        <v>SR</v>
      </c>
      <c r="E317" s="2" t="str">
        <f>VLOOKUP(A317,[2]Ownership!$C$2:$D$666,2,FALSE)</f>
        <v>STATE SECTOR</v>
      </c>
      <c r="F317" s="2" t="s">
        <v>547</v>
      </c>
      <c r="G317" s="12">
        <v>29.6974674880219</v>
      </c>
      <c r="H317" s="2">
        <v>210</v>
      </c>
      <c r="I317" s="2">
        <f>VLOOKUP(A317,'[3]Calculated coal req (reg.)'!$A$2:$I$599,9,FALSE)</f>
        <v>3.9218024483187199</v>
      </c>
      <c r="J317" s="2"/>
      <c r="K317" s="11">
        <v>0.7781354064124445</v>
      </c>
      <c r="L317" s="3">
        <f>VLOOKUP(F317,'Target PLF'!$A$2:$B$11,2,FALSE)</f>
        <v>0.65</v>
      </c>
      <c r="M317" s="3">
        <f t="shared" si="236"/>
        <v>-0.12813540641244447</v>
      </c>
      <c r="N317" s="2" t="str">
        <f t="shared" si="215"/>
        <v>0.25</v>
      </c>
      <c r="O317" s="2">
        <f t="shared" si="267"/>
        <v>14.094102382721358</v>
      </c>
      <c r="P317" s="2">
        <f t="shared" si="216"/>
        <v>1080312.947635592</v>
      </c>
      <c r="Q317" s="2">
        <f t="shared" si="217"/>
        <v>15.093976032683093</v>
      </c>
      <c r="R317" s="2">
        <f t="shared" si="218"/>
        <v>3.2759999999999998</v>
      </c>
      <c r="S317" s="2"/>
      <c r="T317" s="2" t="str">
        <f>VLOOKUP(A317,'[4]CEA vs MERIT comp. &amp; NPA marker'!$C$2:$K$735,9,FALSE)</f>
        <v>Contracted</v>
      </c>
      <c r="U317" s="3">
        <f>VLOOKUP(B317,'[8]Import-Domestic share'!$A$208:$F$406,6,FALSE)</f>
        <v>0</v>
      </c>
      <c r="V317" s="3">
        <f t="shared" si="220"/>
        <v>0</v>
      </c>
      <c r="W317" s="2">
        <f t="shared" si="221"/>
        <v>3235.4394361485283</v>
      </c>
      <c r="X317" s="2">
        <f t="shared" si="222"/>
        <v>3193.0815610882787</v>
      </c>
      <c r="Y317" s="6">
        <f t="shared" si="223"/>
        <v>0.26580624269813102</v>
      </c>
      <c r="Z317" s="2"/>
      <c r="AA317" s="2">
        <f t="shared" si="225"/>
        <v>1280031.659883481</v>
      </c>
      <c r="AB317" s="2" t="s">
        <v>576</v>
      </c>
      <c r="AC317" s="12">
        <f>VLOOKUP(B317,[9]Sheet1!$A$2:$B$137,2,FALSE)</f>
        <v>3570.8193390001843</v>
      </c>
      <c r="AD317" s="12">
        <f t="shared" si="226"/>
        <v>749872.06119003869</v>
      </c>
      <c r="AE317" s="2"/>
      <c r="AF317" s="7">
        <f>VLOOKUP($B317,'[9]Subsidiary wise dispatch'!$A$3:$R$138,11,FALSE)*$H317*$O317*365</f>
        <v>0</v>
      </c>
      <c r="AG317" s="7">
        <f>VLOOKUP($B317,'[9]Subsidiary wise dispatch'!$A$3:$R$138,12,FALSE)*$H317*$O317*365</f>
        <v>0</v>
      </c>
      <c r="AH317" s="7">
        <f>VLOOKUP($B317,'[9]Subsidiary wise dispatch'!$A$3:$R$138,13,FALSE)*$H317*$O317*365</f>
        <v>0</v>
      </c>
      <c r="AI317" s="7">
        <f>VLOOKUP($B317,'[9]Subsidiary wise dispatch'!$A$3:$R$138,14,FALSE)*$H317*$O317*365</f>
        <v>1080312.947635592</v>
      </c>
      <c r="AJ317" s="7">
        <f>VLOOKUP($B317,'[9]Subsidiary wise dispatch'!$A$3:$R$138,15,FALSE)*$H317*$O317*365</f>
        <v>0</v>
      </c>
      <c r="AK317" s="7">
        <f>VLOOKUP($B317,'[9]Subsidiary wise dispatch'!$A$3:$R$138,16,FALSE)*$H317*$O317*365</f>
        <v>0</v>
      </c>
      <c r="AL317" s="7">
        <f>VLOOKUP($B317,'[9]Subsidiary wise dispatch'!$A$3:$R$138,17,FALSE)*$H317*$O317*365</f>
        <v>0</v>
      </c>
      <c r="AM317" s="7">
        <f>VLOOKUP($B317,'[9]Subsidiary wise dispatch'!$A$3:$R$138,18,FALSE)*$H317*$O317*365</f>
        <v>0</v>
      </c>
      <c r="AN317" s="15">
        <f t="shared" si="227"/>
        <v>1080312.947635592</v>
      </c>
      <c r="AO317" s="6">
        <v>8.8971276393347468E-2</v>
      </c>
      <c r="AP317" s="11">
        <f t="shared" si="228"/>
        <v>0.34892776958947164</v>
      </c>
      <c r="AQ317" s="11"/>
      <c r="AR317" s="3">
        <f>VLOOKUP(A317,[10]Sheet1!$A$2:$L$542,12,FALSE)</f>
        <v>3.0966922234391698</v>
      </c>
      <c r="AS317" s="3">
        <f t="shared" si="237"/>
        <v>3.3046889594688906</v>
      </c>
      <c r="AT317" s="2"/>
      <c r="AU317" s="2"/>
      <c r="AV317" s="88">
        <f t="shared" si="239"/>
        <v>-9.3900188527167569E-2</v>
      </c>
      <c r="AW317" s="32">
        <f t="shared" si="240"/>
        <v>2.8414228896827445E-2</v>
      </c>
      <c r="AX317" s="12">
        <f t="shared" si="231"/>
        <v>473.05230970445825</v>
      </c>
      <c r="AY317" s="12">
        <f t="shared" si="232"/>
        <v>0</v>
      </c>
      <c r="AZ317" s="3">
        <f>VLOOKUP(A317,[5]Analysis!$A$3:$BJ$543,62,FALSE)</f>
        <v>1.047518881492147</v>
      </c>
      <c r="BA317" s="2">
        <v>110.55500000000001</v>
      </c>
      <c r="BB317" s="2"/>
      <c r="BC317" s="2" t="e">
        <f>VLOOKUP(A317,'[6]FGD status - Jun 2020'!$I$2:$M$449,5,FALSE)</f>
        <v>#N/A</v>
      </c>
      <c r="BD317" s="2" t="str">
        <f>VLOOKUP(A317,'[1]daily coal, energy reqd'!$C$2:$L$599,10,FALSE)</f>
        <v>Y</v>
      </c>
      <c r="BE317" s="2"/>
      <c r="BF317" s="2">
        <f t="shared" si="233"/>
        <v>396.16979873393734</v>
      </c>
      <c r="BG317" s="2">
        <f t="shared" si="234"/>
        <v>0</v>
      </c>
      <c r="BH317" s="2"/>
      <c r="BI317" s="2"/>
      <c r="BK317">
        <f t="shared" si="235"/>
        <v>163.40843534661335</v>
      </c>
      <c r="BP317" s="2" t="e">
        <f>VLOOKUP(A317,'[7]Table 2'!$J$2:$N$449,5,FALSE)</f>
        <v>#N/A</v>
      </c>
      <c r="BR317">
        <f t="shared" si="241"/>
        <v>478.79592942156904</v>
      </c>
      <c r="BT317">
        <f>(X317*I317*365*[5]Analysis!BK317)/10^4</f>
        <v>183.86127460449634</v>
      </c>
      <c r="BV317">
        <f>(X317*I317*365*[5]Analysis!BL317)/10^4</f>
        <v>294.93465481707267</v>
      </c>
      <c r="BX317">
        <f t="shared" si="243"/>
        <v>1283570.0961056305</v>
      </c>
      <c r="BZ317">
        <f t="shared" si="245"/>
        <v>7767651.3029009849</v>
      </c>
      <c r="CB317">
        <f t="shared" si="247"/>
        <v>-329103.76508042245</v>
      </c>
      <c r="CD317">
        <f t="shared" si="249"/>
        <v>0</v>
      </c>
      <c r="CF317">
        <f t="shared" si="251"/>
        <v>2556009.2539758119</v>
      </c>
      <c r="CH317">
        <f t="shared" si="253"/>
        <v>862384.3494082503</v>
      </c>
      <c r="CJ317">
        <f t="shared" si="255"/>
        <v>-495711.9076650379</v>
      </c>
      <c r="CL317">
        <f t="shared" si="257"/>
        <v>986434.1574512982</v>
      </c>
    </row>
    <row r="318" spans="1:90" x14ac:dyDescent="0.2">
      <c r="A318" s="2" t="s">
        <v>404</v>
      </c>
      <c r="B318" s="2" t="str">
        <f t="shared" si="266"/>
        <v>DR. N TATA RAO TPS</v>
      </c>
      <c r="C318" s="2" t="str">
        <f>VLOOKUP($A318,'[1]daily coal, energy reqd'!$C$2:$T$599,17,FALSE)</f>
        <v>Andhra Pradesh</v>
      </c>
      <c r="D318" s="2" t="str">
        <f>VLOOKUP(C318,'Target PLF'!$I$2:$J$19,2,FALSE)</f>
        <v>SR</v>
      </c>
      <c r="E318" s="2" t="str">
        <f>VLOOKUP(A318,[2]Ownership!$C$2:$D$666,2,FALSE)</f>
        <v>STATE SECTOR</v>
      </c>
      <c r="F318" s="2" t="s">
        <v>547</v>
      </c>
      <c r="G318" s="12">
        <v>26.094455852155999</v>
      </c>
      <c r="H318" s="2">
        <v>210</v>
      </c>
      <c r="I318" s="2">
        <f>VLOOKUP(A318,'[3]Calculated coal req (reg.)'!$A$2:$I$599,9,FALSE)</f>
        <v>3.8946157211716699</v>
      </c>
      <c r="J318" s="2"/>
      <c r="K318" s="11">
        <v>0.77274121451818845</v>
      </c>
      <c r="L318" s="3">
        <f>VLOOKUP(F318,'Target PLF'!$A$2:$B$11,2,FALSE)</f>
        <v>0.65</v>
      </c>
      <c r="M318" s="3">
        <f t="shared" si="236"/>
        <v>-0.12274121451818842</v>
      </c>
      <c r="N318" s="2" t="str">
        <f t="shared" si="215"/>
        <v>0.25</v>
      </c>
      <c r="O318" s="2">
        <f t="shared" si="267"/>
        <v>13.904925979072953</v>
      </c>
      <c r="P318" s="2">
        <f t="shared" si="216"/>
        <v>1065812.5762959418</v>
      </c>
      <c r="Q318" s="2">
        <f t="shared" si="217"/>
        <v>14.979850639117041</v>
      </c>
      <c r="R318" s="2">
        <f t="shared" si="218"/>
        <v>3.2759999999999998</v>
      </c>
      <c r="S318" s="2"/>
      <c r="T318" s="2" t="str">
        <f>VLOOKUP(A318,'[4]CEA vs MERIT comp. &amp; NPA marker'!$C$2:$K$735,9,FALSE)</f>
        <v>Contracted</v>
      </c>
      <c r="U318" s="3">
        <f>VLOOKUP(B318,'[8]Import-Domestic share'!$A$208:$F$406,6,FALSE)</f>
        <v>0</v>
      </c>
      <c r="V318" s="3">
        <f t="shared" si="220"/>
        <v>0</v>
      </c>
      <c r="W318" s="2">
        <f t="shared" si="221"/>
        <v>3207.9104924332646</v>
      </c>
      <c r="X318" s="2">
        <f t="shared" si="222"/>
        <v>3167.3357818605296</v>
      </c>
      <c r="Y318" s="6">
        <f t="shared" si="223"/>
        <v>0.26808728049879993</v>
      </c>
      <c r="Z318" s="2"/>
      <c r="AA318" s="2">
        <f t="shared" si="225"/>
        <v>1260908.8878763842</v>
      </c>
      <c r="AB318" s="2" t="s">
        <v>576</v>
      </c>
      <c r="AC318" s="12">
        <f>VLOOKUP(B318,[9]Sheet1!$A$2:$B$137,2,FALSE)</f>
        <v>3570.8193390001843</v>
      </c>
      <c r="AD318" s="12">
        <f t="shared" si="226"/>
        <v>749872.06119003869</v>
      </c>
      <c r="AE318" s="2"/>
      <c r="AF318" s="7">
        <f>VLOOKUP($B318,'[9]Subsidiary wise dispatch'!$A$3:$R$138,11,FALSE)*$H318*$O318*365</f>
        <v>0</v>
      </c>
      <c r="AG318" s="7">
        <f>VLOOKUP($B318,'[9]Subsidiary wise dispatch'!$A$3:$R$138,12,FALSE)*$H318*$O318*365</f>
        <v>0</v>
      </c>
      <c r="AH318" s="7">
        <f>VLOOKUP($B318,'[9]Subsidiary wise dispatch'!$A$3:$R$138,13,FALSE)*$H318*$O318*365</f>
        <v>0</v>
      </c>
      <c r="AI318" s="7">
        <f>VLOOKUP($B318,'[9]Subsidiary wise dispatch'!$A$3:$R$138,14,FALSE)*$H318*$O318*365</f>
        <v>1065812.5762959418</v>
      </c>
      <c r="AJ318" s="7">
        <f>VLOOKUP($B318,'[9]Subsidiary wise dispatch'!$A$3:$R$138,15,FALSE)*$H318*$O318*365</f>
        <v>0</v>
      </c>
      <c r="AK318" s="7">
        <f>VLOOKUP($B318,'[9]Subsidiary wise dispatch'!$A$3:$R$138,16,FALSE)*$H318*$O318*365</f>
        <v>0</v>
      </c>
      <c r="AL318" s="7">
        <f>VLOOKUP($B318,'[9]Subsidiary wise dispatch'!$A$3:$R$138,17,FALSE)*$H318*$O318*365</f>
        <v>0</v>
      </c>
      <c r="AM318" s="7">
        <f>VLOOKUP($B318,'[9]Subsidiary wise dispatch'!$A$3:$R$138,18,FALSE)*$H318*$O318*365</f>
        <v>0</v>
      </c>
      <c r="AN318" s="15">
        <f t="shared" si="227"/>
        <v>1065812.5762959418</v>
      </c>
      <c r="AO318" s="6">
        <v>8.8971276393347468E-2</v>
      </c>
      <c r="AP318" s="11">
        <f t="shared" si="228"/>
        <v>0.34650893177424091</v>
      </c>
      <c r="AQ318" s="11"/>
      <c r="AR318" s="3">
        <f>VLOOKUP(A318,[10]Sheet1!$A$2:$L$542,12,FALSE)</f>
        <v>3.0966922234391698</v>
      </c>
      <c r="AS318" s="3">
        <f t="shared" si="237"/>
        <v>3.2753715174402767</v>
      </c>
      <c r="AT318" s="2"/>
      <c r="AU318" s="2"/>
      <c r="AV318" s="88">
        <f t="shared" si="239"/>
        <v>-8.9947216823218851E-2</v>
      </c>
      <c r="AW318" s="32">
        <f t="shared" si="240"/>
        <v>2.7461683764507167E-2</v>
      </c>
      <c r="AX318" s="12">
        <f t="shared" si="231"/>
        <v>465.60543926427954</v>
      </c>
      <c r="AY318" s="12">
        <f t="shared" si="232"/>
        <v>0</v>
      </c>
      <c r="AZ318" s="3">
        <f>VLOOKUP(A318,[5]Analysis!$A$3:$BJ$543,62,FALSE)</f>
        <v>1.047518881492147</v>
      </c>
      <c r="BA318" s="2">
        <v>110.55500000000001</v>
      </c>
      <c r="BB318" s="2"/>
      <c r="BC318" s="2" t="e">
        <f>VLOOKUP(A318,'[6]FGD status - Jun 2020'!$I$2:$M$449,5,FALSE)</f>
        <v>#N/A</v>
      </c>
      <c r="BD318" s="2" t="str">
        <f>VLOOKUP(A318,'[1]daily coal, energy reqd'!$C$2:$L$599,10,FALSE)</f>
        <v>Y</v>
      </c>
      <c r="BE318" s="2"/>
      <c r="BF318" s="2">
        <f t="shared" si="233"/>
        <v>390.2513007977409</v>
      </c>
      <c r="BG318" s="2">
        <f t="shared" si="234"/>
        <v>0</v>
      </c>
      <c r="BH318" s="2"/>
      <c r="BI318" s="2"/>
      <c r="BK318">
        <f t="shared" si="235"/>
        <v>162.27565504881957</v>
      </c>
      <c r="BP318" s="2" t="e">
        <f>VLOOKUP(A318,'[7]Table 2'!$J$2:$N$449,5,FALSE)</f>
        <v>#N/A</v>
      </c>
      <c r="BR318">
        <f t="shared" si="241"/>
        <v>471.64305525196585</v>
      </c>
      <c r="BT318">
        <f>(X318*I318*365*[5]Analysis!BK318)/10^4</f>
        <v>181.11451657859243</v>
      </c>
      <c r="BV318">
        <f>(X318*I318*365*[5]Analysis!BL318)/10^4</f>
        <v>290.52853867337342</v>
      </c>
      <c r="BX318">
        <f t="shared" si="243"/>
        <v>1264394.4623520169</v>
      </c>
      <c r="BZ318">
        <f t="shared" si="245"/>
        <v>7713804.3742684806</v>
      </c>
      <c r="CB318">
        <f t="shared" si="247"/>
        <v>-324556.75268271507</v>
      </c>
      <c r="CD318">
        <f t="shared" si="249"/>
        <v>0</v>
      </c>
      <c r="CF318">
        <f t="shared" si="251"/>
        <v>2538290.4812714485</v>
      </c>
      <c r="CH318">
        <f t="shared" si="253"/>
        <v>752503.62263046601</v>
      </c>
      <c r="CJ318">
        <f t="shared" si="255"/>
        <v>-492275.53254037793</v>
      </c>
      <c r="CL318">
        <f t="shared" si="257"/>
        <v>979595.9965187771</v>
      </c>
    </row>
    <row r="319" spans="1:90" x14ac:dyDescent="0.2">
      <c r="A319" s="2" t="s">
        <v>400</v>
      </c>
      <c r="B319" s="2" t="str">
        <f t="shared" si="266"/>
        <v>DR. N TATA RAO TPS</v>
      </c>
      <c r="C319" s="2" t="str">
        <f>VLOOKUP($A319,'[1]daily coal, energy reqd'!$C$2:$T$599,17,FALSE)</f>
        <v>Andhra Pradesh</v>
      </c>
      <c r="D319" s="2" t="str">
        <f>VLOOKUP(C319,'Target PLF'!$I$2:$J$19,2,FALSE)</f>
        <v>SR</v>
      </c>
      <c r="E319" s="2" t="str">
        <f>VLOOKUP(A319,[2]Ownership!$C$2:$D$666,2,FALSE)</f>
        <v>STATE SECTOR</v>
      </c>
      <c r="F319" s="2" t="s">
        <v>547</v>
      </c>
      <c r="G319" s="12">
        <v>25.190965092402401</v>
      </c>
      <c r="H319" s="2">
        <v>210</v>
      </c>
      <c r="I319" s="2">
        <f>VLOOKUP(A319,'[3]Calculated coal req (reg.)'!$A$2:$I$599,9,FALSE)</f>
        <v>3.8263930991765802</v>
      </c>
      <c r="J319" s="2"/>
      <c r="K319" s="11">
        <v>0.75920497999535319</v>
      </c>
      <c r="L319" s="3">
        <f>VLOOKUP(F319,'Target PLF'!$A$2:$B$11,2,FALSE)</f>
        <v>0.65</v>
      </c>
      <c r="M319" s="3">
        <f t="shared" si="236"/>
        <v>-0.10920497999535317</v>
      </c>
      <c r="N319" s="2" t="str">
        <f t="shared" si="215"/>
        <v>0.25</v>
      </c>
      <c r="O319" s="2">
        <f t="shared" si="267"/>
        <v>13.687974217471194</v>
      </c>
      <c r="P319" s="2">
        <f t="shared" si="216"/>
        <v>1049183.223769167</v>
      </c>
      <c r="Q319" s="2">
        <f t="shared" si="217"/>
        <v>14.951232569301846</v>
      </c>
      <c r="R319" s="2">
        <f t="shared" si="218"/>
        <v>3.2759999999999998</v>
      </c>
      <c r="S319" s="2"/>
      <c r="T319" s="2" t="str">
        <f>VLOOKUP(A319,'[4]CEA vs MERIT comp. &amp; NPA marker'!$C$2:$K$735,9,FALSE)</f>
        <v>Contracted</v>
      </c>
      <c r="U319" s="3">
        <f>VLOOKUP(B319,'[8]Import-Domestic share'!$A$208:$F$406,6,FALSE)</f>
        <v>0</v>
      </c>
      <c r="V319" s="3">
        <f t="shared" si="220"/>
        <v>0</v>
      </c>
      <c r="W319" s="2">
        <f t="shared" si="221"/>
        <v>3201.0073378542093</v>
      </c>
      <c r="X319" s="2">
        <f t="shared" si="222"/>
        <v>3164.9073165711693</v>
      </c>
      <c r="Y319" s="6">
        <f t="shared" si="223"/>
        <v>0.26866542598321558</v>
      </c>
      <c r="Z319" s="2"/>
      <c r="AA319" s="2">
        <f t="shared" si="225"/>
        <v>1237871.5089109077</v>
      </c>
      <c r="AB319" s="2" t="s">
        <v>576</v>
      </c>
      <c r="AC319" s="12">
        <f>VLOOKUP(B319,[9]Sheet1!$A$2:$B$137,2,FALSE)</f>
        <v>3570.8193390001843</v>
      </c>
      <c r="AD319" s="12">
        <f t="shared" si="226"/>
        <v>749872.06119003869</v>
      </c>
      <c r="AE319" s="2"/>
      <c r="AF319" s="7">
        <f>VLOOKUP($B319,'[9]Subsidiary wise dispatch'!$A$3:$R$138,11,FALSE)*$H319*$O319*365</f>
        <v>0</v>
      </c>
      <c r="AG319" s="7">
        <f>VLOOKUP($B319,'[9]Subsidiary wise dispatch'!$A$3:$R$138,12,FALSE)*$H319*$O319*365</f>
        <v>0</v>
      </c>
      <c r="AH319" s="7">
        <f>VLOOKUP($B319,'[9]Subsidiary wise dispatch'!$A$3:$R$138,13,FALSE)*$H319*$O319*365</f>
        <v>0</v>
      </c>
      <c r="AI319" s="7">
        <f>VLOOKUP($B319,'[9]Subsidiary wise dispatch'!$A$3:$R$138,14,FALSE)*$H319*$O319*365</f>
        <v>1049183.223769167</v>
      </c>
      <c r="AJ319" s="7">
        <f>VLOOKUP($B319,'[9]Subsidiary wise dispatch'!$A$3:$R$138,15,FALSE)*$H319*$O319*365</f>
        <v>0</v>
      </c>
      <c r="AK319" s="7">
        <f>VLOOKUP($B319,'[9]Subsidiary wise dispatch'!$A$3:$R$138,16,FALSE)*$H319*$O319*365</f>
        <v>0</v>
      </c>
      <c r="AL319" s="7">
        <f>VLOOKUP($B319,'[9]Subsidiary wise dispatch'!$A$3:$R$138,17,FALSE)*$H319*$O319*365</f>
        <v>0</v>
      </c>
      <c r="AM319" s="7">
        <f>VLOOKUP($B319,'[9]Subsidiary wise dispatch'!$A$3:$R$138,18,FALSE)*$H319*$O319*365</f>
        <v>0</v>
      </c>
      <c r="AN319" s="15">
        <f t="shared" si="227"/>
        <v>1049183.223769167</v>
      </c>
      <c r="AO319" s="6">
        <v>8.8971276393347468E-2</v>
      </c>
      <c r="AP319" s="11">
        <f t="shared" si="228"/>
        <v>0.34043907801643691</v>
      </c>
      <c r="AQ319" s="11"/>
      <c r="AR319" s="3">
        <f>VLOOKUP(A319,[10]Sheet1!$A$2:$L$542,12,FALSE)</f>
        <v>3.0966922234391698</v>
      </c>
      <c r="AS319" s="3">
        <f t="shared" si="237"/>
        <v>3.2684327024175222</v>
      </c>
      <c r="AT319" s="2"/>
      <c r="AU319" s="2"/>
      <c r="AV319" s="88">
        <f t="shared" si="239"/>
        <v>-8.0027593440194708E-2</v>
      </c>
      <c r="AW319" s="32">
        <f t="shared" si="240"/>
        <v>2.4485005727975268E-2</v>
      </c>
      <c r="AX319" s="12">
        <f t="shared" si="231"/>
        <v>456.48025432435162</v>
      </c>
      <c r="AY319" s="12">
        <f t="shared" si="232"/>
        <v>0</v>
      </c>
      <c r="AZ319" s="3">
        <f>VLOOKUP(A319,[5]Analysis!$A$3:$BJ$543,62,FALSE)</f>
        <v>1.047518881492147</v>
      </c>
      <c r="BA319" s="2">
        <v>110.55500000000001</v>
      </c>
      <c r="BB319" s="2"/>
      <c r="BC319" s="2" t="e">
        <f>VLOOKUP(A319,'[6]FGD status - Jun 2020'!$I$2:$M$449,5,FALSE)</f>
        <v>#N/A</v>
      </c>
      <c r="BD319" s="2" t="str">
        <f>VLOOKUP(A319,'[1]daily coal, energy reqd'!$C$2:$L$599,10,FALSE)</f>
        <v>Y</v>
      </c>
      <c r="BE319" s="2"/>
      <c r="BF319" s="2">
        <f t="shared" si="233"/>
        <v>383.12123200792593</v>
      </c>
      <c r="BG319" s="2">
        <f t="shared" si="234"/>
        <v>0</v>
      </c>
      <c r="BH319" s="2"/>
      <c r="BI319" s="2"/>
      <c r="BK319">
        <f t="shared" si="235"/>
        <v>159.43304579902417</v>
      </c>
      <c r="BP319" s="2" t="e">
        <f>VLOOKUP(A319,'[7]Table 2'!$J$2:$N$449,5,FALSE)</f>
        <v>#N/A</v>
      </c>
      <c r="BR319">
        <f t="shared" si="241"/>
        <v>463.02592208338768</v>
      </c>
      <c r="BT319">
        <f>(X319*I319*365*[5]Analysis!BK319)/10^4</f>
        <v>177.80547197220756</v>
      </c>
      <c r="BV319">
        <f>(X319*I319*365*[5]Analysis!BL319)/10^4</f>
        <v>285.22045011118007</v>
      </c>
      <c r="BX319">
        <f t="shared" si="243"/>
        <v>1241293.4003552925</v>
      </c>
      <c r="BZ319">
        <f t="shared" si="245"/>
        <v>7578680.3985938113</v>
      </c>
      <c r="CB319">
        <f t="shared" si="247"/>
        <v>-313285.7155806676</v>
      </c>
      <c r="CD319">
        <f t="shared" si="249"/>
        <v>0</v>
      </c>
      <c r="CF319">
        <f t="shared" si="251"/>
        <v>2493826.8308331915</v>
      </c>
      <c r="CH319">
        <f t="shared" si="253"/>
        <v>713723.71634209366</v>
      </c>
      <c r="CJ319">
        <f t="shared" si="255"/>
        <v>-483652.26134282065</v>
      </c>
      <c r="CL319">
        <f t="shared" si="257"/>
        <v>962436.25287189998</v>
      </c>
    </row>
    <row r="320" spans="1:90" x14ac:dyDescent="0.2">
      <c r="A320" s="2" t="s">
        <v>306</v>
      </c>
      <c r="B320" s="2" t="str">
        <f t="shared" si="266"/>
        <v>DSPM TPS</v>
      </c>
      <c r="C320" s="2" t="str">
        <f>VLOOKUP($A320,'[1]daily coal, energy reqd'!$C$2:$T$599,17,FALSE)</f>
        <v>Chhatisgarh</v>
      </c>
      <c r="D320" s="2" t="str">
        <f>VLOOKUP(C320,'Target PLF'!$I$2:$J$19,2,FALSE)</f>
        <v>WR</v>
      </c>
      <c r="E320" s="2" t="str">
        <f>VLOOKUP(A320,[2]Ownership!$C$2:$D$666,2,FALSE)</f>
        <v>STATE SECTOR</v>
      </c>
      <c r="F320" s="2" t="s">
        <v>544</v>
      </c>
      <c r="G320" s="12">
        <v>13.1772758384668</v>
      </c>
      <c r="H320" s="2">
        <v>250</v>
      </c>
      <c r="I320" s="2">
        <f>VLOOKUP(A320,'[3]Calculated coal req (reg.)'!$A$2:$I$599,9,FALSE)</f>
        <v>5.2709479689955296</v>
      </c>
      <c r="J320" s="2"/>
      <c r="K320" s="11">
        <v>0.87849132816592157</v>
      </c>
      <c r="L320" s="3">
        <f>VLOOKUP(F320,'Target PLF'!$A$2:$B$11,2,FALSE)</f>
        <v>0.8</v>
      </c>
      <c r="M320" s="3">
        <f t="shared" si="236"/>
        <v>-7.8491328165921526E-2</v>
      </c>
      <c r="N320" s="2" t="str">
        <f t="shared" si="215"/>
        <v>0.15</v>
      </c>
      <c r="O320" s="2">
        <f t="shared" si="267"/>
        <v>14.787701058354351</v>
      </c>
      <c r="P320" s="2">
        <f t="shared" si="216"/>
        <v>1349377.7215748345</v>
      </c>
      <c r="Q320" s="2">
        <f t="shared" si="217"/>
        <v>14.391292662183435</v>
      </c>
      <c r="R320" s="2">
        <f t="shared" si="218"/>
        <v>4.8</v>
      </c>
      <c r="S320" s="2"/>
      <c r="T320" s="2" t="str">
        <f>VLOOKUP(A320,'[4]CEA vs MERIT comp. &amp; NPA marker'!$C$2:$K$735,9,FALSE)</f>
        <v>Contracted</v>
      </c>
      <c r="U320" s="3">
        <f>VLOOKUP(B320,'[8]Import-Domestic share'!$A$208:$F$406,6,FALSE)</f>
        <v>0</v>
      </c>
      <c r="V320" s="3">
        <f t="shared" si="220"/>
        <v>0</v>
      </c>
      <c r="W320" s="2">
        <f t="shared" si="221"/>
        <v>3022.6009286030117</v>
      </c>
      <c r="X320" s="2">
        <f t="shared" si="222"/>
        <v>2996.6539560616093</v>
      </c>
      <c r="Y320" s="6">
        <f t="shared" si="223"/>
        <v>0.28452317071095307</v>
      </c>
      <c r="Z320" s="2"/>
      <c r="AA320" s="2">
        <f t="shared" si="225"/>
        <v>1345135.4609127757</v>
      </c>
      <c r="AB320" s="2" t="s">
        <v>576</v>
      </c>
      <c r="AC320" s="12"/>
      <c r="AD320" s="12">
        <f t="shared" si="226"/>
        <v>0</v>
      </c>
      <c r="AE320" s="2"/>
      <c r="AF320" s="7"/>
      <c r="AG320" s="7"/>
      <c r="AH320" s="7"/>
      <c r="AI320" s="7"/>
      <c r="AJ320" s="7"/>
      <c r="AK320" s="7"/>
      <c r="AL320" s="7"/>
      <c r="AM320" s="7"/>
      <c r="AN320" s="15">
        <f t="shared" si="227"/>
        <v>0</v>
      </c>
      <c r="AO320" s="6">
        <v>9.7491115000737844E-2</v>
      </c>
      <c r="AP320" s="11">
        <f t="shared" si="228"/>
        <v>0.5138705946082488</v>
      </c>
      <c r="AQ320" s="11"/>
      <c r="AR320" s="3">
        <f>VLOOKUP(A320,[10]Sheet1!$A$2:$L$542,12,FALSE)</f>
        <v>1.4870285087719299</v>
      </c>
      <c r="AS320" s="3">
        <f t="shared" si="237"/>
        <v>2.0636905194852901</v>
      </c>
      <c r="AT320" s="2"/>
      <c r="AU320" s="2"/>
      <c r="AV320" s="88">
        <f t="shared" si="239"/>
        <v>-5.7520015106550616E-2</v>
      </c>
      <c r="AW320" s="32">
        <f t="shared" si="240"/>
        <v>2.7872403620333934E-2</v>
      </c>
      <c r="AX320" s="12">
        <f t="shared" si="231"/>
        <v>397.03259535954567</v>
      </c>
      <c r="AY320" s="12">
        <f t="shared" si="232"/>
        <v>0</v>
      </c>
      <c r="AZ320" s="3">
        <f>VLOOKUP(A320,[5]Analysis!$A$3:$BJ$543,62,FALSE)</f>
        <v>0.46651638252202238</v>
      </c>
      <c r="BA320" s="2">
        <v>235.53</v>
      </c>
      <c r="BB320" s="2"/>
      <c r="BC320" s="2" t="str">
        <f>VLOOKUP(A320,'[6]FGD status - Jun 2020'!$I$2:$M$449,5,FALSE)</f>
        <v>Feasiblity Study Completed</v>
      </c>
      <c r="BD320" s="2"/>
      <c r="BE320" s="2"/>
      <c r="BF320" s="2">
        <f t="shared" si="233"/>
        <v>416.31942515250404</v>
      </c>
      <c r="BG320" s="2">
        <f t="shared" si="234"/>
        <v>0</v>
      </c>
      <c r="BH320" s="2">
        <f>IF(G320&lt;17,IF(H320&gt;400,H320*5000000,H320*3500000),H320*1500000)/10^7</f>
        <v>87.5</v>
      </c>
      <c r="BI320" s="2">
        <f>(H320*800000)/10^7</f>
        <v>20</v>
      </c>
      <c r="BK320">
        <f t="shared" si="235"/>
        <v>219.62283204148039</v>
      </c>
      <c r="BL320" t="str">
        <f>VLOOKUP(A320,'[11]Daily coal vs energy req.2'!$C$2:$P$599,14,FALSE)</f>
        <v/>
      </c>
      <c r="BM320" t="str">
        <f>VLOOKUP(A320,'[11]Daily coal vs energy req.2'!$C$2:$R$599,16,FALSE)</f>
        <v/>
      </c>
      <c r="BP320" s="2" t="str">
        <f>VLOOKUP(A320,'[7]Table 2'!$J$2:$N$449,5,FALSE)</f>
        <v>NIT issued</v>
      </c>
      <c r="BR320">
        <f t="shared" si="241"/>
        <v>268.95838474674423</v>
      </c>
      <c r="BT320">
        <f>(X320*I320*365*[5]Analysis!BK320)/10^4</f>
        <v>216.71433173819679</v>
      </c>
      <c r="BV320">
        <f>(X320*I320*365*[5]Analysis!BL320)/10^4</f>
        <v>52.244053008547425</v>
      </c>
      <c r="BX320">
        <f t="shared" si="243"/>
        <v>1619008.7260572494</v>
      </c>
      <c r="BZ320">
        <f t="shared" si="245"/>
        <v>4649409.2663393365</v>
      </c>
      <c r="CB320">
        <f t="shared" si="247"/>
        <v>-499365.07916657539</v>
      </c>
      <c r="CD320">
        <f t="shared" si="249"/>
        <v>0</v>
      </c>
      <c r="CF320">
        <f t="shared" si="251"/>
        <v>3435306.0776310381</v>
      </c>
      <c r="CH320">
        <f t="shared" si="253"/>
        <v>514292.39665961679</v>
      </c>
      <c r="CJ320">
        <f t="shared" si="255"/>
        <v>-793145.89563460252</v>
      </c>
      <c r="CL320">
        <f t="shared" si="257"/>
        <v>1452734.7812636818</v>
      </c>
    </row>
    <row r="321" spans="1:90" x14ac:dyDescent="0.2">
      <c r="A321" s="2" t="s">
        <v>297</v>
      </c>
      <c r="B321" s="2" t="str">
        <f t="shared" si="266"/>
        <v>DSPM TPS</v>
      </c>
      <c r="C321" s="2" t="str">
        <f>VLOOKUP($A321,'[1]daily coal, energy reqd'!$C$2:$T$599,17,FALSE)</f>
        <v>Chhatisgarh</v>
      </c>
      <c r="D321" s="2" t="str">
        <f>VLOOKUP(C321,'Target PLF'!$I$2:$J$19,2,FALSE)</f>
        <v>WR</v>
      </c>
      <c r="E321" s="2" t="str">
        <f>VLOOKUP(A321,[2]Ownership!$C$2:$D$666,2,FALSE)</f>
        <v>STATE SECTOR</v>
      </c>
      <c r="F321" s="2" t="s">
        <v>544</v>
      </c>
      <c r="G321" s="12">
        <v>12.4243668720054</v>
      </c>
      <c r="H321" s="2">
        <v>250</v>
      </c>
      <c r="I321" s="2">
        <f>VLOOKUP(A321,'[3]Calculated coal req (reg.)'!$A$2:$I$599,9,FALSE)</f>
        <v>5.3973925305012598</v>
      </c>
      <c r="J321" s="2"/>
      <c r="K321" s="11">
        <v>0.89956542175021004</v>
      </c>
      <c r="L321" s="3">
        <f>VLOOKUP(F321,'Target PLF'!$A$2:$B$11,2,FALSE)</f>
        <v>0.8</v>
      </c>
      <c r="M321" s="3">
        <f t="shared" si="236"/>
        <v>-9.9565421750209993E-2</v>
      </c>
      <c r="N321" s="2" t="str">
        <f t="shared" si="215"/>
        <v>0.15</v>
      </c>
      <c r="O321" s="2">
        <f t="shared" si="267"/>
        <v>15.057062853107967</v>
      </c>
      <c r="P321" s="2">
        <f t="shared" si="216"/>
        <v>1373956.9853461019</v>
      </c>
      <c r="Q321" s="2">
        <f t="shared" si="217"/>
        <v>14.36744427067077</v>
      </c>
      <c r="R321" s="2">
        <f t="shared" si="218"/>
        <v>4.8</v>
      </c>
      <c r="S321" s="2"/>
      <c r="T321" s="2" t="str">
        <f>VLOOKUP(A321,'[4]CEA vs MERIT comp. &amp; NPA marker'!$C$2:$K$735,9,FALSE)</f>
        <v>Contracted</v>
      </c>
      <c r="U321" s="3">
        <f>VLOOKUP(B321,'[8]Import-Domestic share'!$A$208:$F$406,6,FALSE)</f>
        <v>0</v>
      </c>
      <c r="V321" s="3">
        <f t="shared" si="220"/>
        <v>0</v>
      </c>
      <c r="W321" s="2">
        <f t="shared" si="221"/>
        <v>3016.8482997871315</v>
      </c>
      <c r="X321" s="2">
        <f t="shared" si="222"/>
        <v>2983.9348388406584</v>
      </c>
      <c r="Y321" s="6">
        <f t="shared" si="223"/>
        <v>0.2850657091576933</v>
      </c>
      <c r="Z321" s="2"/>
      <c r="AA321" s="2">
        <f t="shared" si="225"/>
        <v>1371557.5543376768</v>
      </c>
      <c r="AB321" s="2" t="s">
        <v>576</v>
      </c>
      <c r="AC321" s="12"/>
      <c r="AD321" s="12">
        <f t="shared" si="226"/>
        <v>0</v>
      </c>
      <c r="AE321" s="2"/>
      <c r="AF321" s="7"/>
      <c r="AG321" s="7"/>
      <c r="AH321" s="7"/>
      <c r="AI321" s="7"/>
      <c r="AJ321" s="7"/>
      <c r="AK321" s="7"/>
      <c r="AL321" s="7"/>
      <c r="AM321" s="7"/>
      <c r="AN321" s="15">
        <f t="shared" si="227"/>
        <v>0</v>
      </c>
      <c r="AO321" s="6">
        <v>9.7491115000737844E-2</v>
      </c>
      <c r="AP321" s="11">
        <f t="shared" si="228"/>
        <v>0.52619781589522174</v>
      </c>
      <c r="AQ321" s="11"/>
      <c r="AR321" s="3">
        <f>VLOOKUP(A321,[10]Sheet1!$A$2:$L$542,12,FALSE)</f>
        <v>1.4870285087719299</v>
      </c>
      <c r="AS321" s="3">
        <f t="shared" si="237"/>
        <v>2.0568118955279795</v>
      </c>
      <c r="AT321" s="2"/>
      <c r="AU321" s="2"/>
      <c r="AV321" s="88">
        <f t="shared" si="239"/>
        <v>-7.2963532366988895E-2</v>
      </c>
      <c r="AW321" s="32">
        <f t="shared" si="240"/>
        <v>3.547409100736424E-2</v>
      </c>
      <c r="AX321" s="12">
        <f t="shared" si="231"/>
        <v>405.20187239726317</v>
      </c>
      <c r="AY321" s="12">
        <f t="shared" si="232"/>
        <v>0</v>
      </c>
      <c r="AZ321" s="3">
        <f>VLOOKUP(A321,[5]Analysis!$A$3:$BJ$543,62,FALSE)</f>
        <v>0.46651638252202238</v>
      </c>
      <c r="BA321" s="2">
        <v>235.53</v>
      </c>
      <c r="BB321" s="2"/>
      <c r="BC321" s="2" t="str">
        <f>VLOOKUP(A321,'[6]FGD status - Jun 2020'!$I$2:$M$449,5,FALSE)</f>
        <v>Feasiblity Study Completed</v>
      </c>
      <c r="BD321" s="2"/>
      <c r="BE321" s="2"/>
      <c r="BF321" s="2">
        <f t="shared" si="233"/>
        <v>424.49706306751096</v>
      </c>
      <c r="BG321" s="2">
        <f t="shared" si="234"/>
        <v>0</v>
      </c>
      <c r="BH321" s="2">
        <f>IF(G321&lt;17,IF(H321&gt;400,H321*5000000,H321*3500000),H321*1500000)/10^7</f>
        <v>87.5</v>
      </c>
      <c r="BI321" s="2">
        <f>(H321*800000)/10^7</f>
        <v>20</v>
      </c>
      <c r="BK321">
        <f t="shared" si="235"/>
        <v>224.89135543755251</v>
      </c>
      <c r="BL321" t="str">
        <f>VLOOKUP(A321,'[11]Daily coal vs energy req.2'!$C$2:$P$599,14,FALSE)</f>
        <v/>
      </c>
      <c r="BM321" t="str">
        <f>VLOOKUP(A321,'[11]Daily coal vs energy req.2'!$C$2:$R$599,16,FALSE)</f>
        <v/>
      </c>
      <c r="BP321" s="2" t="str">
        <f>VLOOKUP(A321,'[7]Table 2'!$J$2:$N$449,5,FALSE)</f>
        <v>NIT issued</v>
      </c>
      <c r="BR321">
        <f t="shared" si="241"/>
        <v>274.24145383211857</v>
      </c>
      <c r="BT321">
        <f>(X321*I321*365*[5]Analysis!BK321)/10^4</f>
        <v>220.97118652055167</v>
      </c>
      <c r="BV321">
        <f>(X321*I321*365*[5]Analysis!BL321)/10^4</f>
        <v>53.270267311566862</v>
      </c>
      <c r="BX321">
        <f t="shared" si="243"/>
        <v>1650810.4300927576</v>
      </c>
      <c r="BZ321">
        <f t="shared" si="245"/>
        <v>4760943.7605899014</v>
      </c>
      <c r="CB321">
        <f t="shared" si="247"/>
        <v>-523610.94700257014</v>
      </c>
      <c r="CD321">
        <f t="shared" si="249"/>
        <v>0</v>
      </c>
      <c r="CF321">
        <f t="shared" si="251"/>
        <v>3517715.4987027477</v>
      </c>
      <c r="CH321">
        <f t="shared" si="253"/>
        <v>496539.73497093265</v>
      </c>
      <c r="CJ321">
        <f t="shared" si="255"/>
        <v>-812172.64102717722</v>
      </c>
      <c r="CL321">
        <f t="shared" si="257"/>
        <v>1487584.3782396913</v>
      </c>
    </row>
    <row r="322" spans="1:90" x14ac:dyDescent="0.2">
      <c r="A322" s="2" t="s">
        <v>484</v>
      </c>
      <c r="B322" s="2" t="str">
        <f t="shared" si="266"/>
        <v>DURGAPUR TPS</v>
      </c>
      <c r="C322" s="2" t="str">
        <f>VLOOKUP($A322,'[1]daily coal, energy reqd'!$C$2:$T$599,17,FALSE)</f>
        <v>West Bengal</v>
      </c>
      <c r="D322" s="2" t="str">
        <f>VLOOKUP(C322,'Target PLF'!$I$2:$J$19,2,FALSE)</f>
        <v>ER</v>
      </c>
      <c r="E322" s="2" t="str">
        <f>VLOOKUP(A322,[2]Ownership!$C$2:$D$666,2,FALSE)</f>
        <v>CENTRAL SECTOR</v>
      </c>
      <c r="F322" s="2" t="s">
        <v>549</v>
      </c>
      <c r="G322" s="12">
        <v>37.672826830937701</v>
      </c>
      <c r="H322" s="2">
        <v>220</v>
      </c>
      <c r="I322" s="2">
        <f>VLOOKUP(A322,'[3]Calculated coal req (reg.)'!$A$2:$I$599,9,FALSE)</f>
        <v>2.17334714479933</v>
      </c>
      <c r="J322" s="2"/>
      <c r="K322" s="11">
        <v>0.41161877742411557</v>
      </c>
      <c r="L322" s="3">
        <f>VLOOKUP(F322,'Target PLF'!$A$2:$B$11,2,FALSE)</f>
        <v>0.55000000000000004</v>
      </c>
      <c r="M322" s="3">
        <f t="shared" si="236"/>
        <v>0.13838122257588448</v>
      </c>
      <c r="N322" s="2" t="str">
        <f t="shared" si="215"/>
        <v>0.25</v>
      </c>
      <c r="O322" s="2">
        <f t="shared" si="267"/>
        <v>9.1951870758048972</v>
      </c>
      <c r="P322" s="2">
        <f t="shared" si="216"/>
        <v>738373.5221871332</v>
      </c>
      <c r="Q322" s="2">
        <f t="shared" si="217"/>
        <v>15.294516539869951</v>
      </c>
      <c r="R322" s="2">
        <f t="shared" si="218"/>
        <v>2.9040000000000004</v>
      </c>
      <c r="S322" s="2"/>
      <c r="T322" s="2" t="str">
        <f>VLOOKUP(A322,'[4]CEA vs MERIT comp. &amp; NPA marker'!$C$2:$K$735,9,FALSE)</f>
        <v>Contracted</v>
      </c>
      <c r="U322" s="3">
        <f>VLOOKUP(B322,'[8]Import-Domestic share'!$A$208:$F$406,6,FALSE)</f>
        <v>0</v>
      </c>
      <c r="V322" s="3">
        <f t="shared" si="220"/>
        <v>0</v>
      </c>
      <c r="W322" s="2">
        <f t="shared" si="221"/>
        <v>3320.1751612963722</v>
      </c>
      <c r="X322" s="2">
        <f t="shared" si="222"/>
        <v>3365.9200081007493</v>
      </c>
      <c r="Y322" s="6">
        <f t="shared" si="223"/>
        <v>0.25902247870085582</v>
      </c>
      <c r="Z322" s="2"/>
      <c r="AA322" s="2">
        <f t="shared" si="225"/>
        <v>487020.00113551575</v>
      </c>
      <c r="AB322" s="2" t="s">
        <v>576</v>
      </c>
      <c r="AC322" s="12">
        <f>VLOOKUP(B322,[9]Sheet1!$A$2:$B$137,2,FALSE)</f>
        <v>5482.5040185064399</v>
      </c>
      <c r="AD322" s="12">
        <f t="shared" si="226"/>
        <v>1206150.8840714167</v>
      </c>
      <c r="AE322" s="2"/>
      <c r="AF322" s="7">
        <f>VLOOKUP($B322,'[9]Subsidiary wise dispatch'!$A$3:$R$138,11,FALSE)*$H322*$O322*365</f>
        <v>118552.71228846529</v>
      </c>
      <c r="AG322" s="7">
        <f>VLOOKUP($B322,'[9]Subsidiary wise dispatch'!$A$3:$R$138,12,FALSE)*$H322*$O322*365</f>
        <v>111013.2354988693</v>
      </c>
      <c r="AH322" s="7">
        <f>VLOOKUP($B322,'[9]Subsidiary wise dispatch'!$A$3:$R$138,13,FALSE)*$H322*$O322*365</f>
        <v>497174.48154673597</v>
      </c>
      <c r="AI322" s="7">
        <f>VLOOKUP($B322,'[9]Subsidiary wise dispatch'!$A$3:$R$138,14,FALSE)*$H322*$O322*365</f>
        <v>11633.092853062675</v>
      </c>
      <c r="AJ322" s="7">
        <f>VLOOKUP($B322,'[9]Subsidiary wise dispatch'!$A$3:$R$138,15,FALSE)*$H322*$O322*365</f>
        <v>0</v>
      </c>
      <c r="AK322" s="7">
        <f>VLOOKUP($B322,'[9]Subsidiary wise dispatch'!$A$3:$R$138,16,FALSE)*$H322*$O322*365</f>
        <v>0</v>
      </c>
      <c r="AL322" s="7">
        <f>VLOOKUP($B322,'[9]Subsidiary wise dispatch'!$A$3:$R$138,17,FALSE)*$H322*$O322*365</f>
        <v>0</v>
      </c>
      <c r="AM322" s="7">
        <f>VLOOKUP($B322,'[9]Subsidiary wise dispatch'!$A$3:$R$138,18,FALSE)*$H322*$O322*365</f>
        <v>0</v>
      </c>
      <c r="AN322" s="15">
        <f t="shared" si="227"/>
        <v>738373.5221871332</v>
      </c>
      <c r="AO322" s="6">
        <v>0.12433386465223378</v>
      </c>
      <c r="AP322" s="11">
        <f t="shared" si="228"/>
        <v>0.27022064974379861</v>
      </c>
      <c r="AQ322" s="11"/>
      <c r="AR322" s="3">
        <f>VLOOKUP(A322,[10]Sheet1!$A$2:$L$542,12,FALSE)</f>
        <v>2.68880829015544</v>
      </c>
      <c r="AS322" s="3">
        <f t="shared" si="237"/>
        <v>2.8029136069149732</v>
      </c>
      <c r="AT322" s="2"/>
      <c r="AU322" s="2"/>
      <c r="AV322" s="88">
        <f t="shared" si="239"/>
        <v>0.10140852752805966</v>
      </c>
      <c r="AW322" s="32">
        <f t="shared" si="240"/>
        <v>3.6179683625595212E-2</v>
      </c>
      <c r="AX322" s="12">
        <f t="shared" si="231"/>
        <v>222.34720639183647</v>
      </c>
      <c r="AY322" s="12">
        <f t="shared" si="232"/>
        <v>0</v>
      </c>
      <c r="AZ322" s="3">
        <f>VLOOKUP(A322,[5]Analysis!$A$3:$BJ$543,62,FALSE)</f>
        <v>0.69184785882744892</v>
      </c>
      <c r="BA322" s="39">
        <f>1104.147*0.22</f>
        <v>242.91234</v>
      </c>
      <c r="BB322" s="2"/>
      <c r="BC322" s="2" t="e">
        <f>VLOOKUP(A322,'[6]FGD status - Jun 2020'!$I$2:$M$449,5,FALSE)</f>
        <v>#N/A</v>
      </c>
      <c r="BD322" s="2" t="str">
        <f>VLOOKUP(A322,'[1]daily coal, energy reqd'!$C$2:$L$599,10,FALSE)</f>
        <v>Y</v>
      </c>
      <c r="BE322" s="2"/>
      <c r="BF322" s="2">
        <f t="shared" si="233"/>
        <v>150.73269035144213</v>
      </c>
      <c r="BG322" s="2">
        <f t="shared" si="234"/>
        <v>0</v>
      </c>
      <c r="BH322" s="2"/>
      <c r="BI322" s="2"/>
      <c r="BK322">
        <f t="shared" si="235"/>
        <v>90.556131033305419</v>
      </c>
      <c r="BP322" s="2" t="e">
        <f>VLOOKUP(A322,'[7]Table 2'!$J$2:$N$449,5,FALSE)</f>
        <v>#N/A</v>
      </c>
      <c r="BR322">
        <f t="shared" si="241"/>
        <v>184.72954359278694</v>
      </c>
      <c r="BT322">
        <f>(X322*I322*365*[5]Analysis!BK322)/10^4</f>
        <v>153.23819188825757</v>
      </c>
      <c r="BV322">
        <f>(X322*I322*365*[5]Analysis!BL322)/10^4</f>
        <v>31.491351704529347</v>
      </c>
      <c r="BX322">
        <f t="shared" si="243"/>
        <v>749819.54552094184</v>
      </c>
      <c r="BZ322">
        <f t="shared" si="245"/>
        <v>2843032.6707596988</v>
      </c>
      <c r="CB322">
        <f t="shared" si="247"/>
        <v>-96475.322715671486</v>
      </c>
      <c r="CD322">
        <f t="shared" si="249"/>
        <v>0</v>
      </c>
      <c r="CF322">
        <f t="shared" si="251"/>
        <v>1416464.8748665224</v>
      </c>
      <c r="CH322">
        <f t="shared" si="253"/>
        <v>606251.80924641446</v>
      </c>
      <c r="CJ322">
        <f t="shared" si="255"/>
        <v>-287790.28222003771</v>
      </c>
      <c r="CL322">
        <f t="shared" si="257"/>
        <v>763925.66653430753</v>
      </c>
    </row>
    <row r="323" spans="1:90" x14ac:dyDescent="0.2">
      <c r="A323" s="2" t="s">
        <v>462</v>
      </c>
      <c r="B323" s="2" t="str">
        <f t="shared" si="266"/>
        <v>FARAKKA STPS</v>
      </c>
      <c r="C323" s="2" t="str">
        <f>VLOOKUP($A323,'[1]daily coal, energy reqd'!$C$2:$T$599,17,FALSE)</f>
        <v>West Bengal</v>
      </c>
      <c r="D323" s="2" t="str">
        <f>VLOOKUP(C323,'Target PLF'!$I$2:$J$19,2,FALSE)</f>
        <v>ER</v>
      </c>
      <c r="E323" s="2" t="str">
        <f>VLOOKUP(A323,[2]Ownership!$C$2:$D$666,2,FALSE)</f>
        <v>CENTRAL SECTOR</v>
      </c>
      <c r="F323" s="2" t="s">
        <v>548</v>
      </c>
      <c r="G323" s="12">
        <v>34.338124572210802</v>
      </c>
      <c r="H323" s="2">
        <v>200</v>
      </c>
      <c r="I323" s="2">
        <f>VLOOKUP(A323,'[3]Calculated coal req (reg.)'!$A$2:$I$599,9,FALSE)</f>
        <v>3.7421848828447302</v>
      </c>
      <c r="J323" s="2"/>
      <c r="K323" s="11">
        <v>0.7796218505926521</v>
      </c>
      <c r="L323" s="3">
        <f>VLOOKUP(F323,'Target PLF'!$A$2:$B$11,2,FALSE)</f>
        <v>0.6</v>
      </c>
      <c r="M323" s="3">
        <f t="shared" si="236"/>
        <v>-0.17962185059265212</v>
      </c>
      <c r="N323" s="2" t="str">
        <f t="shared" ref="N323:N386" si="268">IF(L323&gt;0.75,"0.15","0.25")</f>
        <v>0.25</v>
      </c>
      <c r="O323" s="2">
        <f t="shared" si="267"/>
        <v>14.313855539675524</v>
      </c>
      <c r="P323" s="2">
        <f t="shared" ref="P323:P386" si="269">(O323*H323*365)</f>
        <v>1044911.4543963132</v>
      </c>
      <c r="Q323" s="2">
        <f t="shared" ref="Q323:Q386" si="270">(13.9133*0.85)+(-0.289097*N323)+(-0.0052079*H323)+(0.031675*G323)+3.492937+IF(E323="Pvt Sector",-0.8897511,0)</f>
        <v>15.293047845824777</v>
      </c>
      <c r="R323" s="2">
        <f t="shared" ref="R323:R386" si="271">(H323*24*L323)/1000</f>
        <v>2.88</v>
      </c>
      <c r="S323" s="2"/>
      <c r="T323" s="2" t="str">
        <f>VLOOKUP(A323,'[4]CEA vs MERIT comp. &amp; NPA marker'!$C$2:$K$735,9,FALSE)</f>
        <v>Contracted</v>
      </c>
      <c r="U323" s="3">
        <f>VLOOKUP(B323,'[8]Import-Domestic share'!$A$208:$F$406,6,FALSE)</f>
        <v>1.1012599888399872E-2</v>
      </c>
      <c r="V323" s="3">
        <f t="shared" ref="V323:V386" si="272">(U323*O323*H323*365)</f>
        <v>11507.191766072589</v>
      </c>
      <c r="W323" s="2">
        <f t="shared" ref="W323:W386" si="273">3417.812+(7.640537*G323)+(-0.9257423*H323)+(-330.5712*L323)+(225.4556*U323)</f>
        <v>3299.1653836199848</v>
      </c>
      <c r="X323" s="2">
        <f t="shared" ref="X323:X386" si="274">3417.812+(7.640537*G323)+(-0.9257423*H323)+(-330.5712*K323)+(225.4556*U323)</f>
        <v>3239.787572923351</v>
      </c>
      <c r="Y323" s="6">
        <f t="shared" ref="Y323:Y386" si="275">860/W323</f>
        <v>0.2606719882155078</v>
      </c>
      <c r="Z323" s="2"/>
      <c r="AA323" s="2">
        <f t="shared" ref="AA323:AA386" si="276">(X323*I323*365*10^6)/((IF(AC323,AC323,4286))*1000)</f>
        <v>912215.4860951046</v>
      </c>
      <c r="AB323" s="2" t="s">
        <v>576</v>
      </c>
      <c r="AC323" s="12">
        <f>VLOOKUP(B323,[9]Sheet1!$A$2:$B$137,2,FALSE)</f>
        <v>4851.0661749297096</v>
      </c>
      <c r="AD323" s="12">
        <f t="shared" ref="AD323:AD386" si="277">AC323*H323</f>
        <v>970213.2349859419</v>
      </c>
      <c r="AE323" s="2" t="s">
        <v>589</v>
      </c>
      <c r="AF323" s="7">
        <f>VLOOKUP($B323,'[9]Subsidiary wise dispatch'!$A$3:$R$138,11,FALSE)*$H323*$O323*365</f>
        <v>39784.272195577229</v>
      </c>
      <c r="AG323" s="7">
        <f>VLOOKUP($B323,'[9]Subsidiary wise dispatch'!$A$3:$R$138,12,FALSE)*$H323*$O323*365</f>
        <v>0</v>
      </c>
      <c r="AH323" s="7">
        <f>VLOOKUP($B323,'[9]Subsidiary wise dispatch'!$A$3:$R$138,13,FALSE)*$H323*$O323*365</f>
        <v>985521.00022438983</v>
      </c>
      <c r="AI323" s="7">
        <f>VLOOKUP($B323,'[9]Subsidiary wise dispatch'!$A$3:$R$138,14,FALSE)*$H323*$O323*365</f>
        <v>469.98031082357971</v>
      </c>
      <c r="AJ323" s="7">
        <f>VLOOKUP($B323,'[9]Subsidiary wise dispatch'!$A$3:$R$138,15,FALSE)*$H323*$O323*365</f>
        <v>0</v>
      </c>
      <c r="AK323" s="7">
        <f>VLOOKUP($B323,'[9]Subsidiary wise dispatch'!$A$3:$R$138,16,FALSE)*$H323*$O323*365</f>
        <v>19136.201665522534</v>
      </c>
      <c r="AL323" s="7">
        <f>VLOOKUP($B323,'[9]Subsidiary wise dispatch'!$A$3:$R$138,17,FALSE)*$H323*$O323*365</f>
        <v>0</v>
      </c>
      <c r="AM323" s="7">
        <f>VLOOKUP($B323,'[9]Subsidiary wise dispatch'!$A$3:$R$138,18,FALSE)*$H323*$O323*365</f>
        <v>0</v>
      </c>
      <c r="AN323" s="15">
        <f t="shared" ref="AN323:AN386" si="278">SUM(AF323:AM323)</f>
        <v>1044911.4543963132</v>
      </c>
      <c r="AO323" s="6">
        <v>7.0380830688675913E-2</v>
      </c>
      <c r="AP323" s="11">
        <f t="shared" ref="AP323:AP386" si="279">AO323*I323</f>
        <v>0.26337808064521745</v>
      </c>
      <c r="AQ323" s="11"/>
      <c r="AR323" s="3">
        <f>VLOOKUP(A323,[10]Sheet1!$A$2:$L$542,12,FALSE)</f>
        <v>2.5607556530671198</v>
      </c>
      <c r="AS323" s="3">
        <f t="shared" si="237"/>
        <v>2.2212024185471768</v>
      </c>
      <c r="AT323" s="2"/>
      <c r="AU323" s="2"/>
      <c r="AV323" s="88">
        <f t="shared" si="239"/>
        <v>-0.13163048455130733</v>
      </c>
      <c r="AW323" s="32">
        <f t="shared" si="240"/>
        <v>5.9260913571939543E-2</v>
      </c>
      <c r="AX323" s="12">
        <f t="shared" ref="AX323:AX386" si="280">(AS323*I323*365)/10</f>
        <v>303.39347910352706</v>
      </c>
      <c r="AY323" s="12">
        <f t="shared" ref="AY323:AY386" si="281">(AT323*R323*365)/10</f>
        <v>0</v>
      </c>
      <c r="AZ323" s="3">
        <f>VLOOKUP(A323,[5]Analysis!$A$3:$BJ$543,62,FALSE)</f>
        <v>0.47839090315089317</v>
      </c>
      <c r="BA323" s="2">
        <v>115.42</v>
      </c>
      <c r="BB323" s="2"/>
      <c r="BC323" s="2" t="str">
        <f>VLOOKUP(A323,'[6]FGD status - Jun 2020'!$I$2:$M$449,5,FALSE)</f>
        <v>NIT issued</v>
      </c>
      <c r="BD323" s="2">
        <f>VLOOKUP(A323,'[1]daily coal, energy reqd'!$C$2:$L$599,10,FALSE)</f>
        <v>0</v>
      </c>
      <c r="BE323" s="2" t="str">
        <f>VLOOKUP(A323,'[1]daily coal, energy reqd'!$C$2:$M$599,11,FALSE)</f>
        <v>Y</v>
      </c>
      <c r="BF323" s="2">
        <f t="shared" ref="BF323:BF386" si="282">((AA323*(1-U323)*3095)+(AA323*U323*5231))/10^7</f>
        <v>284.47648953108944</v>
      </c>
      <c r="BG323" s="2">
        <f t="shared" ref="BG323:BG386" si="283">((Z323*(1-U323)*3095)+(Z323*U323*5231))/10^7</f>
        <v>0</v>
      </c>
      <c r="BH323" s="2">
        <f t="shared" ref="BH323:BH332" si="284">IF(G323&lt;17,IF(H323&gt;400,H323*5000000,H323*3500000),H323*1500000)/10^7</f>
        <v>30</v>
      </c>
      <c r="BI323" s="2">
        <f t="shared" ref="BI323:BI332" si="285">(H323*800000)/10^7</f>
        <v>16</v>
      </c>
      <c r="BK323">
        <f t="shared" ref="BK323:BK386" si="286">K323*H323</f>
        <v>155.92437011853042</v>
      </c>
      <c r="BL323">
        <f>VLOOKUP(A323,'[11]Daily coal vs energy req.2'!$C$2:$P$599,14,FALSE)</f>
        <v>1.3</v>
      </c>
      <c r="BM323">
        <f>VLOOKUP(A323,'[11]Daily coal vs energy req.2'!$C$2:$R$599,16,FALSE)</f>
        <v>1.1299999999999999</v>
      </c>
      <c r="BN323">
        <f t="shared" ref="BN323:BN328" si="287">BL323*H323</f>
        <v>260</v>
      </c>
      <c r="BO323">
        <f t="shared" ref="BO323:BO328" si="288">BM323*H323</f>
        <v>225.99999999999997</v>
      </c>
      <c r="BP323" s="2" t="str">
        <f>VLOOKUP(A323,'[7]Table 2'!$J$2:$N$449,5,FALSE)</f>
        <v>Bid Awarded</v>
      </c>
      <c r="BR323">
        <f t="shared" si="241"/>
        <v>211.69838868049226</v>
      </c>
      <c r="BT323">
        <f>(X323*I323*365*[5]Analysis!BK323)/10^4</f>
        <v>174.69936361624846</v>
      </c>
      <c r="BV323">
        <f>(X323*I323*365*[5]Analysis!BL323)/10^4</f>
        <v>36.999025064243774</v>
      </c>
      <c r="BX323">
        <f t="shared" si="243"/>
        <v>1242698.1180997533</v>
      </c>
      <c r="BZ323">
        <f t="shared" si="245"/>
        <v>3384934.7474352331</v>
      </c>
      <c r="CB323">
        <f t="shared" si="247"/>
        <v>-314630.77740204276</v>
      </c>
      <c r="CD323">
        <f t="shared" si="249"/>
        <v>0</v>
      </c>
      <c r="CF323">
        <f t="shared" si="251"/>
        <v>2438944.6731923143</v>
      </c>
      <c r="CH323">
        <f t="shared" si="253"/>
        <v>951475.36727536877</v>
      </c>
      <c r="CJ323">
        <f t="shared" si="255"/>
        <v>-450484.21619684872</v>
      </c>
      <c r="CL323">
        <f t="shared" si="257"/>
        <v>744581.42261957808</v>
      </c>
    </row>
    <row r="324" spans="1:90" x14ac:dyDescent="0.2">
      <c r="A324" s="2" t="s">
        <v>454</v>
      </c>
      <c r="B324" s="2" t="str">
        <f t="shared" si="266"/>
        <v>FARAKKA STPS</v>
      </c>
      <c r="C324" s="2" t="str">
        <f>VLOOKUP($A324,'[1]daily coal, energy reqd'!$C$2:$T$599,17,FALSE)</f>
        <v>West Bengal</v>
      </c>
      <c r="D324" s="2" t="str">
        <f>VLOOKUP(C324,'Target PLF'!$I$2:$J$19,2,FALSE)</f>
        <v>ER</v>
      </c>
      <c r="E324" s="2" t="str">
        <f>VLOOKUP(A324,[2]Ownership!$C$2:$D$666,2,FALSE)</f>
        <v>CENTRAL SECTOR</v>
      </c>
      <c r="F324" s="2" t="s">
        <v>548</v>
      </c>
      <c r="G324" s="12">
        <v>33.423682409308597</v>
      </c>
      <c r="H324" s="2">
        <v>200</v>
      </c>
      <c r="I324" s="2">
        <f>VLOOKUP(A324,'[3]Calculated coal req (reg.)'!$A$2:$I$599,9,FALSE)</f>
        <v>3.8131783251231499</v>
      </c>
      <c r="J324" s="2"/>
      <c r="K324" s="11">
        <v>0.79441215106732288</v>
      </c>
      <c r="L324" s="3">
        <f>VLOOKUP(F324,'Target PLF'!$A$2:$B$11,2,FALSE)</f>
        <v>0.6</v>
      </c>
      <c r="M324" s="3">
        <f t="shared" ref="M324:M387" si="289">L324-K324</f>
        <v>-0.1944121510673229</v>
      </c>
      <c r="N324" s="2" t="str">
        <f t="shared" si="268"/>
        <v>0.25</v>
      </c>
      <c r="O324" s="2">
        <f t="shared" si="267"/>
        <v>14.490672471759833</v>
      </c>
      <c r="P324" s="2">
        <f t="shared" si="269"/>
        <v>1057819.0904384679</v>
      </c>
      <c r="Q324" s="2">
        <f t="shared" si="270"/>
        <v>15.26408289031485</v>
      </c>
      <c r="R324" s="2">
        <f t="shared" si="271"/>
        <v>2.88</v>
      </c>
      <c r="S324" s="2"/>
      <c r="T324" s="2" t="str">
        <f>VLOOKUP(A324,'[4]CEA vs MERIT comp. &amp; NPA marker'!$C$2:$K$735,9,FALSE)</f>
        <v>Contracted</v>
      </c>
      <c r="U324" s="3">
        <f>VLOOKUP(B324,'[8]Import-Domestic share'!$A$208:$F$406,6,FALSE)</f>
        <v>1.1012599888399872E-2</v>
      </c>
      <c r="V324" s="3">
        <f t="shared" si="272"/>
        <v>11649.338397309924</v>
      </c>
      <c r="W324" s="2">
        <f t="shared" si="273"/>
        <v>3292.1785544399704</v>
      </c>
      <c r="X324" s="2">
        <f t="shared" si="274"/>
        <v>3227.9114963670645</v>
      </c>
      <c r="Y324" s="6">
        <f t="shared" si="275"/>
        <v>0.26122519959926471</v>
      </c>
      <c r="Z324" s="2"/>
      <c r="AA324" s="2">
        <f t="shared" si="276"/>
        <v>926113.89413637342</v>
      </c>
      <c r="AB324" s="2" t="s">
        <v>576</v>
      </c>
      <c r="AC324" s="12">
        <f>VLOOKUP(B324,[9]Sheet1!$A$2:$B$137,2,FALSE)</f>
        <v>4851.0661749297096</v>
      </c>
      <c r="AD324" s="12">
        <f t="shared" si="277"/>
        <v>970213.2349859419</v>
      </c>
      <c r="AE324" s="2" t="s">
        <v>589</v>
      </c>
      <c r="AF324" s="7">
        <f>VLOOKUP($B324,'[9]Subsidiary wise dispatch'!$A$3:$R$138,11,FALSE)*$H324*$O324*365</f>
        <v>40275.721402629133</v>
      </c>
      <c r="AG324" s="7">
        <f>VLOOKUP($B324,'[9]Subsidiary wise dispatch'!$A$3:$R$138,12,FALSE)*$H324*$O324*365</f>
        <v>0</v>
      </c>
      <c r="AH324" s="7">
        <f>VLOOKUP($B324,'[9]Subsidiary wise dispatch'!$A$3:$R$138,13,FALSE)*$H324*$O324*365</f>
        <v>997694.99480476871</v>
      </c>
      <c r="AI324" s="7">
        <f>VLOOKUP($B324,'[9]Subsidiary wise dispatch'!$A$3:$R$138,14,FALSE)*$H324*$O324*365</f>
        <v>475.78590781801046</v>
      </c>
      <c r="AJ324" s="7">
        <f>VLOOKUP($B324,'[9]Subsidiary wise dispatch'!$A$3:$R$138,15,FALSE)*$H324*$O324*365</f>
        <v>0</v>
      </c>
      <c r="AK324" s="7">
        <f>VLOOKUP($B324,'[9]Subsidiary wise dispatch'!$A$3:$R$138,16,FALSE)*$H324*$O324*365</f>
        <v>19372.588323251864</v>
      </c>
      <c r="AL324" s="7">
        <f>VLOOKUP($B324,'[9]Subsidiary wise dispatch'!$A$3:$R$138,17,FALSE)*$H324*$O324*365</f>
        <v>0</v>
      </c>
      <c r="AM324" s="7">
        <f>VLOOKUP($B324,'[9]Subsidiary wise dispatch'!$A$3:$R$138,18,FALSE)*$H324*$O324*365</f>
        <v>0</v>
      </c>
      <c r="AN324" s="15">
        <f t="shared" si="278"/>
        <v>1057819.0904384677</v>
      </c>
      <c r="AO324" s="6">
        <v>7.0380830688675913E-2</v>
      </c>
      <c r="AP324" s="11">
        <f t="shared" si="279"/>
        <v>0.26837465808622119</v>
      </c>
      <c r="AQ324" s="11"/>
      <c r="AR324" s="3">
        <f>VLOOKUP(A324,[10]Sheet1!$A$2:$L$542,12,FALSE)</f>
        <v>2.5607556530671198</v>
      </c>
      <c r="AS324" s="3">
        <f t="shared" ref="AS324:AS387" si="290">0.6517435+(0.0001025*X324)+(1.890785*AZ324)+(0.0074045*G324 )+(-0.0006019*H324)+(2.827044*AO324)</f>
        <v>2.2132141337049482</v>
      </c>
      <c r="AT324" s="2"/>
      <c r="AU324" s="2"/>
      <c r="AV324" s="88">
        <f t="shared" ref="AV324:AV387" si="291">0.73282*M324</f>
        <v>-0.14246911254515557</v>
      </c>
      <c r="AW324" s="32">
        <f t="shared" ref="AW324:AW387" si="292">ABS(AU324-AV324)/AS324</f>
        <v>6.4372041717743994E-2</v>
      </c>
      <c r="AX324" s="12">
        <f t="shared" si="280"/>
        <v>308.03737596774698</v>
      </c>
      <c r="AY324" s="12">
        <f t="shared" si="281"/>
        <v>0</v>
      </c>
      <c r="AZ324" s="3">
        <f>VLOOKUP(A324,[5]Analysis!$A$3:$BJ$543,62,FALSE)</f>
        <v>0.47839090315089317</v>
      </c>
      <c r="BA324" s="2">
        <v>115.42</v>
      </c>
      <c r="BB324" s="2"/>
      <c r="BC324" s="2" t="str">
        <f>VLOOKUP(A324,'[6]FGD status - Jun 2020'!$I$2:$M$449,5,FALSE)</f>
        <v>NIT issued</v>
      </c>
      <c r="BD324" s="2">
        <f>VLOOKUP(A324,'[1]daily coal, energy reqd'!$C$2:$L$599,10,FALSE)</f>
        <v>0</v>
      </c>
      <c r="BE324" s="2" t="str">
        <f>VLOOKUP(A324,'[1]daily coal, energy reqd'!$C$2:$M$599,11,FALSE)</f>
        <v>Y</v>
      </c>
      <c r="BF324" s="2">
        <f t="shared" si="282"/>
        <v>288.81073992468407</v>
      </c>
      <c r="BG324" s="2">
        <f t="shared" si="283"/>
        <v>0</v>
      </c>
      <c r="BH324" s="2">
        <f t="shared" si="284"/>
        <v>30</v>
      </c>
      <c r="BI324" s="2">
        <f t="shared" si="285"/>
        <v>16</v>
      </c>
      <c r="BK324">
        <f t="shared" si="286"/>
        <v>158.88243021346457</v>
      </c>
      <c r="BL324">
        <f>VLOOKUP(A324,'[11]Daily coal vs energy req.2'!$C$2:$P$599,14,FALSE)</f>
        <v>1.4</v>
      </c>
      <c r="BM324">
        <f>VLOOKUP(A324,'[11]Daily coal vs energy req.2'!$C$2:$R$599,16,FALSE)</f>
        <v>1.2</v>
      </c>
      <c r="BN324">
        <f t="shared" si="287"/>
        <v>280</v>
      </c>
      <c r="BO324">
        <f t="shared" si="288"/>
        <v>240</v>
      </c>
      <c r="BP324" s="2" t="str">
        <f>VLOOKUP(A324,'[7]Table 2'!$J$2:$N$449,5,FALSE)</f>
        <v>Bid Awarded</v>
      </c>
      <c r="BR324">
        <f t="shared" ref="BR324:BR387" si="293">(X324*I324*365*AZ324)/10^4</f>
        <v>214.92380047453608</v>
      </c>
      <c r="BT324">
        <f>(X324*I324*365*[5]Analysis!BK324)/10^4</f>
        <v>177.36106260853623</v>
      </c>
      <c r="BV324">
        <f>(X324*I324*365*[5]Analysis!BL324)/10^4</f>
        <v>37.562737865999893</v>
      </c>
      <c r="BX324">
        <f t="shared" ref="BX324:BX387" si="294">0.0001025*((X324*I324*10^6))</f>
        <v>1261631.7207196793</v>
      </c>
      <c r="BZ324">
        <f t="shared" ref="BZ324:BZ387" si="295">(1.890785*AZ324*I324*10^6)</f>
        <v>3449150.7541616517</v>
      </c>
      <c r="CB324">
        <f t="shared" ref="CB324:CB387" si="296">(-0.107843*I324*K324*10^6)</f>
        <v>-326681.81120603293</v>
      </c>
      <c r="CD324">
        <f t="shared" ref="CD324:CD387" si="297">IF(E324="PVT SECTOR",-0.3690444,0)*I324*10^6</f>
        <v>0</v>
      </c>
      <c r="CF324">
        <f t="shared" ref="CF324:CF387" si="298" xml:space="preserve"> 0.6517435*I324*10^6</f>
        <v>2485214.1877398998</v>
      </c>
      <c r="CH324">
        <f t="shared" ref="CH324:CH387" si="299">0.0074045*(G324*I324*10^6)</f>
        <v>943706.94076230866</v>
      </c>
      <c r="CJ324">
        <f t="shared" ref="CJ324:CJ387" si="300">-0.0006019*H324*I324*10^6</f>
        <v>-459030.40677832486</v>
      </c>
      <c r="CL324">
        <f t="shared" ref="CL324:CL387" si="301">2.827044*AO324*I324*10^6</f>
        <v>758706.9668947031</v>
      </c>
    </row>
    <row r="325" spans="1:90" x14ac:dyDescent="0.2">
      <c r="A325" s="2" t="s">
        <v>450</v>
      </c>
      <c r="B325" s="2" t="str">
        <f t="shared" si="266"/>
        <v>FARAKKA STPS</v>
      </c>
      <c r="C325" s="2" t="str">
        <f>VLOOKUP($A325,'[1]daily coal, energy reqd'!$C$2:$T$599,17,FALSE)</f>
        <v>West Bengal</v>
      </c>
      <c r="D325" s="2" t="str">
        <f>VLOOKUP(C325,'Target PLF'!$I$2:$J$19,2,FALSE)</f>
        <v>ER</v>
      </c>
      <c r="E325" s="2" t="str">
        <f>VLOOKUP(A325,[2]Ownership!$C$2:$D$666,2,FALSE)</f>
        <v>CENTRAL SECTOR</v>
      </c>
      <c r="F325" s="2" t="s">
        <v>548</v>
      </c>
      <c r="G325" s="12">
        <v>32.758384668035497</v>
      </c>
      <c r="H325" s="2">
        <v>200</v>
      </c>
      <c r="I325" s="2">
        <f>VLOOKUP(A325,'[3]Calculated coal req (reg.)'!$A$2:$I$599,9,FALSE)</f>
        <v>3.6652955709165398</v>
      </c>
      <c r="J325" s="2"/>
      <c r="K325" s="11">
        <v>0.76360324394094581</v>
      </c>
      <c r="L325" s="3">
        <f>VLOOKUP(F325,'Target PLF'!$A$2:$B$11,2,FALSE)</f>
        <v>0.6</v>
      </c>
      <c r="M325" s="3">
        <f t="shared" si="289"/>
        <v>-0.16360324394094583</v>
      </c>
      <c r="N325" s="2" t="str">
        <f t="shared" si="268"/>
        <v>0.25</v>
      </c>
      <c r="O325" s="2">
        <f t="shared" si="267"/>
        <v>14.040945598283585</v>
      </c>
      <c r="P325" s="2">
        <f t="shared" si="269"/>
        <v>1024989.0286747018</v>
      </c>
      <c r="Q325" s="2">
        <f t="shared" si="270"/>
        <v>15.243009584360024</v>
      </c>
      <c r="R325" s="2">
        <f t="shared" si="271"/>
        <v>2.88</v>
      </c>
      <c r="S325" s="2"/>
      <c r="T325" s="2" t="str">
        <f>VLOOKUP(A325,'[4]CEA vs MERIT comp. &amp; NPA marker'!$C$2:$K$735,9,FALSE)</f>
        <v>Contracted</v>
      </c>
      <c r="U325" s="3">
        <f>VLOOKUP(B325,'[8]Import-Domestic share'!$A$208:$F$406,6,FALSE)</f>
        <v>1.1012599888399872E-2</v>
      </c>
      <c r="V325" s="3">
        <f t="shared" si="272"/>
        <v>11287.794062794113</v>
      </c>
      <c r="W325" s="2">
        <f t="shared" si="273"/>
        <v>3287.0953224317573</v>
      </c>
      <c r="X325" s="2">
        <f t="shared" si="274"/>
        <v>3233.0128017583061</v>
      </c>
      <c r="Y325" s="6">
        <f t="shared" si="275"/>
        <v>0.26162916363611305</v>
      </c>
      <c r="Z325" s="2"/>
      <c r="AA325" s="2">
        <f t="shared" si="276"/>
        <v>891604.1716660579</v>
      </c>
      <c r="AB325" s="2" t="s">
        <v>576</v>
      </c>
      <c r="AC325" s="12">
        <f>VLOOKUP(B325,[9]Sheet1!$A$2:$B$137,2,FALSE)</f>
        <v>4851.0661749297096</v>
      </c>
      <c r="AD325" s="12">
        <f t="shared" si="277"/>
        <v>970213.2349859419</v>
      </c>
      <c r="AE325" s="2" t="s">
        <v>589</v>
      </c>
      <c r="AF325" s="7">
        <f>VLOOKUP($B325,'[9]Subsidiary wise dispatch'!$A$3:$R$138,11,FALSE)*$H325*$O325*365</f>
        <v>39025.739781782722</v>
      </c>
      <c r="AG325" s="7">
        <f>VLOOKUP($B325,'[9]Subsidiary wise dispatch'!$A$3:$R$138,12,FALSE)*$H325*$O325*365</f>
        <v>0</v>
      </c>
      <c r="AH325" s="7">
        <f>VLOOKUP($B325,'[9]Subsidiary wise dispatch'!$A$3:$R$138,13,FALSE)*$H325*$O325*365</f>
        <v>966730.92108280165</v>
      </c>
      <c r="AI325" s="7">
        <f>VLOOKUP($B325,'[9]Subsidiary wise dispatch'!$A$3:$R$138,14,FALSE)*$H325*$O325*365</f>
        <v>461.01960147963615</v>
      </c>
      <c r="AJ325" s="7">
        <f>VLOOKUP($B325,'[9]Subsidiary wise dispatch'!$A$3:$R$138,15,FALSE)*$H325*$O325*365</f>
        <v>0</v>
      </c>
      <c r="AK325" s="7">
        <f>VLOOKUP($B325,'[9]Subsidiary wise dispatch'!$A$3:$R$138,16,FALSE)*$H325*$O325*365</f>
        <v>18771.348208637606</v>
      </c>
      <c r="AL325" s="7">
        <f>VLOOKUP($B325,'[9]Subsidiary wise dispatch'!$A$3:$R$138,17,FALSE)*$H325*$O325*365</f>
        <v>0</v>
      </c>
      <c r="AM325" s="7">
        <f>VLOOKUP($B325,'[9]Subsidiary wise dispatch'!$A$3:$R$138,18,FALSE)*$H325*$O325*365</f>
        <v>0</v>
      </c>
      <c r="AN325" s="15">
        <f t="shared" si="278"/>
        <v>1024989.0286747016</v>
      </c>
      <c r="AO325" s="6">
        <v>7.0380830688675913E-2</v>
      </c>
      <c r="AP325" s="11">
        <f t="shared" si="279"/>
        <v>0.25796654700063071</v>
      </c>
      <c r="AQ325" s="11"/>
      <c r="AR325" s="3">
        <f>VLOOKUP(A325,[10]Sheet1!$A$2:$L$542,12,FALSE)</f>
        <v>2.5607556530671198</v>
      </c>
      <c r="AS325" s="3">
        <f t="shared" si="290"/>
        <v>2.2088108203822938</v>
      </c>
      <c r="AT325" s="2"/>
      <c r="AU325" s="2"/>
      <c r="AV325" s="88">
        <f t="shared" si="291"/>
        <v>-0.11989172922480393</v>
      </c>
      <c r="AW325" s="32">
        <f t="shared" si="292"/>
        <v>5.4278858161358273E-2</v>
      </c>
      <c r="AX325" s="12">
        <f t="shared" si="280"/>
        <v>295.50197486830086</v>
      </c>
      <c r="AY325" s="12">
        <f t="shared" si="281"/>
        <v>0</v>
      </c>
      <c r="AZ325" s="3">
        <f>VLOOKUP(A325,[5]Analysis!$A$3:$BJ$543,62,FALSE)</f>
        <v>0.47839090315089317</v>
      </c>
      <c r="BA325" s="2">
        <v>115.42</v>
      </c>
      <c r="BB325" s="2"/>
      <c r="BC325" s="2" t="str">
        <f>VLOOKUP(A325,'[6]FGD status - Jun 2020'!$I$2:$M$449,5,FALSE)</f>
        <v>NIT issued</v>
      </c>
      <c r="BD325" s="2">
        <f>VLOOKUP(A325,'[1]daily coal, energy reqd'!$C$2:$L$599,10,FALSE)</f>
        <v>0</v>
      </c>
      <c r="BE325" s="2" t="str">
        <f>VLOOKUP(A325,'[1]daily coal, energy reqd'!$C$2:$M$599,11,FALSE)</f>
        <v>Y</v>
      </c>
      <c r="BF325" s="2">
        <f t="shared" si="282"/>
        <v>278.04880389894106</v>
      </c>
      <c r="BG325" s="2">
        <f t="shared" si="283"/>
        <v>0</v>
      </c>
      <c r="BH325" s="2">
        <f t="shared" si="284"/>
        <v>30</v>
      </c>
      <c r="BI325" s="2">
        <f t="shared" si="285"/>
        <v>16</v>
      </c>
      <c r="BK325">
        <f t="shared" si="286"/>
        <v>152.72064878818915</v>
      </c>
      <c r="BL325">
        <f>VLOOKUP(A325,'[11]Daily coal vs energy req.2'!$C$2:$P$599,14,FALSE)</f>
        <v>1.37</v>
      </c>
      <c r="BM325">
        <f>VLOOKUP(A325,'[11]Daily coal vs energy req.2'!$C$2:$R$599,16,FALSE)</f>
        <v>1.3</v>
      </c>
      <c r="BN325">
        <f t="shared" si="287"/>
        <v>274</v>
      </c>
      <c r="BO325">
        <f t="shared" si="288"/>
        <v>260</v>
      </c>
      <c r="BP325" s="2" t="str">
        <f>VLOOKUP(A325,'[7]Table 2'!$J$2:$N$449,5,FALSE)</f>
        <v>Bid Awarded</v>
      </c>
      <c r="BR325">
        <f t="shared" si="293"/>
        <v>206.91510872117652</v>
      </c>
      <c r="BT325">
        <f>(X325*I325*365*[5]Analysis!BK325)/10^4</f>
        <v>170.75206874027279</v>
      </c>
      <c r="BV325">
        <f>(X325*I325*365*[5]Analysis!BL325)/10^4</f>
        <v>36.163039980903719</v>
      </c>
      <c r="BX325">
        <f t="shared" si="294"/>
        <v>1214619.6190576223</v>
      </c>
      <c r="BZ325">
        <f t="shared" si="295"/>
        <v>3315385.724123945</v>
      </c>
      <c r="CB325">
        <f t="shared" si="296"/>
        <v>-301834.3949397502</v>
      </c>
      <c r="CD325">
        <f t="shared" si="297"/>
        <v>0</v>
      </c>
      <c r="CF325">
        <f t="shared" si="298"/>
        <v>2388832.5639236439</v>
      </c>
      <c r="CH325">
        <f t="shared" si="299"/>
        <v>889052.11176262132</v>
      </c>
      <c r="CJ325">
        <f t="shared" si="300"/>
        <v>-441228.2808269331</v>
      </c>
      <c r="CL325">
        <f t="shared" si="301"/>
        <v>729282.77889885101</v>
      </c>
    </row>
    <row r="326" spans="1:90" x14ac:dyDescent="0.2">
      <c r="A326" s="2" t="s">
        <v>430</v>
      </c>
      <c r="B326" s="2" t="str">
        <f t="shared" si="266"/>
        <v>GANDHI NAGAR TPS</v>
      </c>
      <c r="C326" s="2" t="str">
        <f>VLOOKUP($A326,'[1]daily coal, energy reqd'!$C$2:$T$599,17,FALSE)</f>
        <v>Gujarat</v>
      </c>
      <c r="D326" s="2" t="str">
        <f>VLOOKUP(C326,'Target PLF'!$I$2:$J$19,2,FALSE)</f>
        <v>WR</v>
      </c>
      <c r="E326" s="2" t="str">
        <f>VLOOKUP(A326,[2]Ownership!$C$2:$D$666,2,FALSE)</f>
        <v>STATE SECTOR</v>
      </c>
      <c r="F326" s="2" t="s">
        <v>548</v>
      </c>
      <c r="G326" s="12">
        <v>30.176591375769998</v>
      </c>
      <c r="H326" s="2">
        <v>210</v>
      </c>
      <c r="I326" s="2">
        <f>VLOOKUP(A326,'[3]Calculated coal req (reg.)'!$A$2:$I$599,9,FALSE)</f>
        <v>2.5189247793674099</v>
      </c>
      <c r="J326" s="2"/>
      <c r="K326" s="11">
        <v>0.49978666257289878</v>
      </c>
      <c r="L326" s="3">
        <f>VLOOKUP(F326,'Target PLF'!$A$2:$B$11,2,FALSE)</f>
        <v>0.6</v>
      </c>
      <c r="M326" s="3">
        <f t="shared" si="289"/>
        <v>0.1002133374271012</v>
      </c>
      <c r="N326" s="2" t="str">
        <f t="shared" si="268"/>
        <v>0.25</v>
      </c>
      <c r="O326" s="2">
        <f t="shared" si="267"/>
        <v>10.236529054203027</v>
      </c>
      <c r="P326" s="2">
        <f t="shared" si="269"/>
        <v>784629.95200466202</v>
      </c>
      <c r="Q326" s="2">
        <f t="shared" si="270"/>
        <v>15.109152281827514</v>
      </c>
      <c r="R326" s="2">
        <f t="shared" si="271"/>
        <v>3.024</v>
      </c>
      <c r="S326" s="2"/>
      <c r="T326" s="2" t="str">
        <f>VLOOKUP(A326,'[4]CEA vs MERIT comp. &amp; NPA marker'!$C$2:$K$735,9,FALSE)</f>
        <v>Contracted</v>
      </c>
      <c r="U326" s="3">
        <f>VLOOKUP(B326,'[8]Import-Domestic share'!$A$208:$F$406,6,FALSE)</f>
        <v>9.9616913774538227E-2</v>
      </c>
      <c r="V326" s="3">
        <f t="shared" si="272"/>
        <v>78162.414273768489</v>
      </c>
      <c r="W326" s="2">
        <f t="shared" si="273"/>
        <v>3278.0879510056379</v>
      </c>
      <c r="X326" s="2">
        <f t="shared" si="274"/>
        <v>3311.2155942149197</v>
      </c>
      <c r="Y326" s="6">
        <f t="shared" si="275"/>
        <v>0.26234805559020247</v>
      </c>
      <c r="Z326" s="2"/>
      <c r="AA326" s="2">
        <f t="shared" si="276"/>
        <v>702080.21531305194</v>
      </c>
      <c r="AB326" s="2" t="s">
        <v>576</v>
      </c>
      <c r="AC326" s="12">
        <f>VLOOKUP(B326,[9]Sheet1!$A$2:$B$137,2,FALSE)</f>
        <v>4336.1948282896601</v>
      </c>
      <c r="AD326" s="12">
        <f t="shared" si="277"/>
        <v>910600.91394082864</v>
      </c>
      <c r="AE326" s="2"/>
      <c r="AF326" s="7">
        <f>VLOOKUP($B326,'[9]Subsidiary wise dispatch'!$A$3:$R$138,11,FALSE)*$H326*$O326*365</f>
        <v>0</v>
      </c>
      <c r="AG326" s="7">
        <f>VLOOKUP($B326,'[9]Subsidiary wise dispatch'!$A$3:$R$138,12,FALSE)*$H326*$O326*365</f>
        <v>0</v>
      </c>
      <c r="AH326" s="7">
        <f>VLOOKUP($B326,'[9]Subsidiary wise dispatch'!$A$3:$R$138,13,FALSE)*$H326*$O326*365</f>
        <v>0</v>
      </c>
      <c r="AI326" s="7">
        <f>VLOOKUP($B326,'[9]Subsidiary wise dispatch'!$A$3:$R$138,14,FALSE)*$H326*$O326*365</f>
        <v>0</v>
      </c>
      <c r="AJ326" s="7">
        <f>VLOOKUP($B326,'[9]Subsidiary wise dispatch'!$A$3:$R$138,15,FALSE)*$H326*$O326*365</f>
        <v>0</v>
      </c>
      <c r="AK326" s="7">
        <f>VLOOKUP($B326,'[9]Subsidiary wise dispatch'!$A$3:$R$138,16,FALSE)*$H326*$O326*365</f>
        <v>0</v>
      </c>
      <c r="AL326" s="7">
        <f>VLOOKUP($B326,'[9]Subsidiary wise dispatch'!$A$3:$R$138,17,FALSE)*$H326*$O326*365</f>
        <v>652059.1676127899</v>
      </c>
      <c r="AM326" s="7">
        <f>VLOOKUP($B326,'[9]Subsidiary wise dispatch'!$A$3:$R$138,18,FALSE)*$H326*$O326*365</f>
        <v>132570.78439187215</v>
      </c>
      <c r="AN326" s="15">
        <f t="shared" si="278"/>
        <v>784629.95200466202</v>
      </c>
      <c r="AO326" s="6">
        <v>0.10218427974471911</v>
      </c>
      <c r="AP326" s="11">
        <f t="shared" si="279"/>
        <v>0.25739451431078425</v>
      </c>
      <c r="AQ326" s="11"/>
      <c r="AR326" s="3">
        <f>VLOOKUP(A326,[10]Sheet1!$A$2:$L$542,12,FALSE)</f>
        <v>3.9891337719298301</v>
      </c>
      <c r="AS326" s="3">
        <f t="shared" si="290"/>
        <v>3.3990524209238586</v>
      </c>
      <c r="AT326" s="2"/>
      <c r="AU326" s="2"/>
      <c r="AV326" s="88">
        <f t="shared" si="291"/>
        <v>7.343833793332831E-2</v>
      </c>
      <c r="AW326" s="32">
        <f t="shared" si="292"/>
        <v>2.160553261292977E-2</v>
      </c>
      <c r="AX326" s="12">
        <f t="shared" si="280"/>
        <v>312.51144398433701</v>
      </c>
      <c r="AY326" s="12">
        <f t="shared" si="281"/>
        <v>0</v>
      </c>
      <c r="AZ326" s="3">
        <f>VLOOKUP(A326,[5]Analysis!$A$3:$BJ$543,62,FALSE)</f>
        <v>1.0693898548636207</v>
      </c>
      <c r="BA326" s="2">
        <v>112.47</v>
      </c>
      <c r="BB326" s="2"/>
      <c r="BC326" s="2" t="str">
        <f>VLOOKUP(A326,'[6]FGD status - Jun 2020'!$I$2:$M$449,5,FALSE)</f>
        <v>LoI Placed</v>
      </c>
      <c r="BD326" s="2">
        <f>VLOOKUP(A326,'[1]daily coal, energy reqd'!$C$2:$L$599,10,FALSE)</f>
        <v>0</v>
      </c>
      <c r="BE326" s="2" t="str">
        <f>VLOOKUP(A326,'[1]daily coal, energy reqd'!$C$2:$M$599,11,FALSE)</f>
        <v>Y</v>
      </c>
      <c r="BF326" s="2">
        <f t="shared" si="282"/>
        <v>232.23281076781396</v>
      </c>
      <c r="BG326" s="2">
        <f t="shared" si="283"/>
        <v>0</v>
      </c>
      <c r="BH326" s="2">
        <f t="shared" si="284"/>
        <v>31.5</v>
      </c>
      <c r="BI326" s="2">
        <f t="shared" si="285"/>
        <v>16.8</v>
      </c>
      <c r="BK326">
        <f t="shared" si="286"/>
        <v>104.95519914030875</v>
      </c>
      <c r="BL326">
        <f>VLOOKUP(A326,'[11]Daily coal vs energy req.2'!$C$2:$P$599,14,FALSE)</f>
        <v>1.4</v>
      </c>
      <c r="BM326">
        <f>VLOOKUP(A326,'[11]Daily coal vs energy req.2'!$C$2:$R$599,16,FALSE)</f>
        <v>1.56</v>
      </c>
      <c r="BN326">
        <f t="shared" si="287"/>
        <v>294</v>
      </c>
      <c r="BO326">
        <f t="shared" si="288"/>
        <v>327.60000000000002</v>
      </c>
      <c r="BP326" s="2" t="str">
        <f>VLOOKUP(A326,'[7]Table 2'!$J$2:$N$449,5,FALSE)</f>
        <v>Feasibility Study completed</v>
      </c>
      <c r="BR326">
        <f t="shared" si="293"/>
        <v>325.56040612208011</v>
      </c>
      <c r="BT326">
        <f>(X326*I326*365*[5]Analysis!BK326)/10^4</f>
        <v>143.66332192449312</v>
      </c>
      <c r="BV326">
        <f>(X326*I326*365*[5]Analysis!BL326)/10^4</f>
        <v>181.89708419758696</v>
      </c>
      <c r="BX326">
        <f t="shared" si="294"/>
        <v>854922.0585348137</v>
      </c>
      <c r="BZ326">
        <f t="shared" si="295"/>
        <v>5093231.3863702863</v>
      </c>
      <c r="CB326">
        <f t="shared" si="296"/>
        <v>-135766.24971886491</v>
      </c>
      <c r="CD326">
        <f t="shared" si="297"/>
        <v>0</v>
      </c>
      <c r="CF326">
        <f t="shared" si="298"/>
        <v>1641692.8519416435</v>
      </c>
      <c r="CH326">
        <f t="shared" si="299"/>
        <v>562835.0284591919</v>
      </c>
      <c r="CJ326">
        <f t="shared" si="300"/>
        <v>-318389.57318726124</v>
      </c>
      <c r="CL326">
        <f t="shared" si="301"/>
        <v>727665.6173152168</v>
      </c>
    </row>
    <row r="327" spans="1:90" x14ac:dyDescent="0.2">
      <c r="A327" s="2" t="s">
        <v>422</v>
      </c>
      <c r="B327" s="2" t="str">
        <f t="shared" si="266"/>
        <v>GANDHI NAGAR TPS</v>
      </c>
      <c r="C327" s="2" t="str">
        <f>VLOOKUP($A327,'[1]daily coal, energy reqd'!$C$2:$T$599,17,FALSE)</f>
        <v>Gujarat</v>
      </c>
      <c r="D327" s="2" t="str">
        <f>VLOOKUP(C327,'Target PLF'!$I$2:$J$19,2,FALSE)</f>
        <v>WR</v>
      </c>
      <c r="E327" s="2" t="str">
        <f>VLOOKUP(A327,[2]Ownership!$C$2:$D$666,2,FALSE)</f>
        <v>STATE SECTOR</v>
      </c>
      <c r="F327" s="2" t="s">
        <v>547</v>
      </c>
      <c r="G327" s="12">
        <v>28.843258042436599</v>
      </c>
      <c r="H327" s="2">
        <v>210</v>
      </c>
      <c r="I327" s="2">
        <f>VLOOKUP(A327,'[3]Calculated coal req (reg.)'!$A$2:$I$599,9,FALSE)</f>
        <v>2.4389155755071701</v>
      </c>
      <c r="J327" s="2"/>
      <c r="K327" s="11">
        <v>0.48391182053713694</v>
      </c>
      <c r="L327" s="3">
        <f>VLOOKUP(F327,'Target PLF'!$A$2:$B$11,2,FALSE)</f>
        <v>0.65</v>
      </c>
      <c r="M327" s="3">
        <f t="shared" si="289"/>
        <v>0.16608817946286308</v>
      </c>
      <c r="N327" s="2" t="str">
        <f t="shared" si="268"/>
        <v>0.25</v>
      </c>
      <c r="O327" s="2">
        <f t="shared" si="267"/>
        <v>9.9734242811735268</v>
      </c>
      <c r="P327" s="2">
        <f t="shared" si="269"/>
        <v>764462.97115195089</v>
      </c>
      <c r="Q327" s="2">
        <f t="shared" si="270"/>
        <v>15.066918948494179</v>
      </c>
      <c r="R327" s="2">
        <f t="shared" si="271"/>
        <v>3.2759999999999998</v>
      </c>
      <c r="S327" s="2"/>
      <c r="T327" s="2" t="str">
        <f>VLOOKUP(A327,'[4]CEA vs MERIT comp. &amp; NPA marker'!$C$2:$K$735,9,FALSE)</f>
        <v>Contracted</v>
      </c>
      <c r="U327" s="3">
        <f>VLOOKUP(B327,'[8]Import-Domestic share'!$A$208:$F$406,6,FALSE)</f>
        <v>9.9616913774538227E-2</v>
      </c>
      <c r="V327" s="3">
        <f t="shared" si="272"/>
        <v>76153.44188107118</v>
      </c>
      <c r="W327" s="2">
        <f t="shared" si="273"/>
        <v>3251.3720083389712</v>
      </c>
      <c r="X327" s="2">
        <f t="shared" si="274"/>
        <v>3306.2759771298252</v>
      </c>
      <c r="Y327" s="6">
        <f t="shared" si="275"/>
        <v>0.26450372267286276</v>
      </c>
      <c r="Z327" s="2"/>
      <c r="AA327" s="2">
        <f t="shared" si="276"/>
        <v>678765.79082716606</v>
      </c>
      <c r="AB327" s="2" t="s">
        <v>576</v>
      </c>
      <c r="AC327" s="12">
        <f>VLOOKUP(B327,[9]Sheet1!$A$2:$B$137,2,FALSE)</f>
        <v>4336.1948282896601</v>
      </c>
      <c r="AD327" s="12">
        <f t="shared" si="277"/>
        <v>910600.91394082864</v>
      </c>
      <c r="AE327" s="2"/>
      <c r="AF327" s="7">
        <f>VLOOKUP($B327,'[9]Subsidiary wise dispatch'!$A$3:$R$138,11,FALSE)*$H327*$O327*365</f>
        <v>0</v>
      </c>
      <c r="AG327" s="7">
        <f>VLOOKUP($B327,'[9]Subsidiary wise dispatch'!$A$3:$R$138,12,FALSE)*$H327*$O327*365</f>
        <v>0</v>
      </c>
      <c r="AH327" s="7">
        <f>VLOOKUP($B327,'[9]Subsidiary wise dispatch'!$A$3:$R$138,13,FALSE)*$H327*$O327*365</f>
        <v>0</v>
      </c>
      <c r="AI327" s="7">
        <f>VLOOKUP($B327,'[9]Subsidiary wise dispatch'!$A$3:$R$138,14,FALSE)*$H327*$O327*365</f>
        <v>0</v>
      </c>
      <c r="AJ327" s="7">
        <f>VLOOKUP($B327,'[9]Subsidiary wise dispatch'!$A$3:$R$138,15,FALSE)*$H327*$O327*365</f>
        <v>0</v>
      </c>
      <c r="AK327" s="7">
        <f>VLOOKUP($B327,'[9]Subsidiary wise dispatch'!$A$3:$R$138,16,FALSE)*$H327*$O327*365</f>
        <v>0</v>
      </c>
      <c r="AL327" s="7">
        <f>VLOOKUP($B327,'[9]Subsidiary wise dispatch'!$A$3:$R$138,17,FALSE)*$H327*$O327*365</f>
        <v>635299.59233213088</v>
      </c>
      <c r="AM327" s="7">
        <f>VLOOKUP($B327,'[9]Subsidiary wise dispatch'!$A$3:$R$138,18,FALSE)*$H327*$O327*365</f>
        <v>129163.37881981987</v>
      </c>
      <c r="AN327" s="15">
        <f t="shared" si="278"/>
        <v>764462.97115195077</v>
      </c>
      <c r="AO327" s="6">
        <v>0.10218427974471911</v>
      </c>
      <c r="AP327" s="11">
        <f t="shared" si="279"/>
        <v>0.24921883144137727</v>
      </c>
      <c r="AQ327" s="11"/>
      <c r="AR327" s="3">
        <f>VLOOKUP(A327,[10]Sheet1!$A$2:$L$542,12,FALSE)</f>
        <v>3.9891337719298301</v>
      </c>
      <c r="AS327" s="3">
        <f t="shared" si="290"/>
        <v>3.3886734435059696</v>
      </c>
      <c r="AT327" s="2"/>
      <c r="AU327" s="2"/>
      <c r="AV327" s="88">
        <f t="shared" si="291"/>
        <v>0.12171273967397533</v>
      </c>
      <c r="AW327" s="32">
        <f t="shared" si="292"/>
        <v>3.5917518079891936E-2</v>
      </c>
      <c r="AX327" s="12">
        <f t="shared" si="280"/>
        <v>301.66112812110924</v>
      </c>
      <c r="AY327" s="12">
        <f t="shared" si="281"/>
        <v>0</v>
      </c>
      <c r="AZ327" s="3">
        <f>VLOOKUP(A327,[5]Analysis!$A$3:$BJ$543,62,FALSE)</f>
        <v>1.0693898548636207</v>
      </c>
      <c r="BA327" s="2">
        <v>112.47</v>
      </c>
      <c r="BB327" s="2"/>
      <c r="BC327" s="2" t="str">
        <f>VLOOKUP(A327,'[6]FGD status - Jun 2020'!$I$2:$M$449,5,FALSE)</f>
        <v>LoI Placed</v>
      </c>
      <c r="BD327" s="2">
        <f>VLOOKUP(A327,'[1]daily coal, energy reqd'!$C$2:$L$599,10,FALSE)</f>
        <v>0</v>
      </c>
      <c r="BE327" s="2" t="str">
        <f>VLOOKUP(A327,'[1]daily coal, energy reqd'!$C$2:$M$599,11,FALSE)</f>
        <v>Y</v>
      </c>
      <c r="BF327" s="2">
        <f t="shared" si="282"/>
        <v>224.52090803690305</v>
      </c>
      <c r="BG327" s="2">
        <f t="shared" si="283"/>
        <v>0</v>
      </c>
      <c r="BH327" s="2">
        <f t="shared" si="284"/>
        <v>31.5</v>
      </c>
      <c r="BI327" s="2">
        <f t="shared" si="285"/>
        <v>16.8</v>
      </c>
      <c r="BK327">
        <f t="shared" si="286"/>
        <v>101.62148231279876</v>
      </c>
      <c r="BL327">
        <f>VLOOKUP(A327,'[11]Daily coal vs energy req.2'!$C$2:$P$599,14,FALSE)</f>
        <v>1.27</v>
      </c>
      <c r="BM327">
        <f>VLOOKUP(A327,'[11]Daily coal vs energy req.2'!$C$2:$R$599,16,FALSE)</f>
        <v>1.33</v>
      </c>
      <c r="BN327">
        <f t="shared" si="287"/>
        <v>266.7</v>
      </c>
      <c r="BO327">
        <f t="shared" si="288"/>
        <v>279.3</v>
      </c>
      <c r="BP327" s="2" t="str">
        <f>VLOOKUP(A327,'[7]Table 2'!$J$2:$N$449,5,FALSE)</f>
        <v>Feasibility Study completed</v>
      </c>
      <c r="BR327">
        <f t="shared" si="293"/>
        <v>314.74931454226231</v>
      </c>
      <c r="BT327">
        <f>(X327*I327*365*[5]Analysis!BK327)/10^4</f>
        <v>138.89260257171</v>
      </c>
      <c r="BV327">
        <f>(X327*I327*365*[5]Analysis!BL327)/10^4</f>
        <v>175.85671197055231</v>
      </c>
      <c r="BX327">
        <f t="shared" si="294"/>
        <v>826532.11769857968</v>
      </c>
      <c r="BZ327">
        <f t="shared" si="295"/>
        <v>4931453.8725527395</v>
      </c>
      <c r="CB327">
        <f t="shared" si="296"/>
        <v>-127278.47368626982</v>
      </c>
      <c r="CD327">
        <f t="shared" si="297"/>
        <v>0</v>
      </c>
      <c r="CF327">
        <f t="shared" si="298"/>
        <v>1589547.3733855574</v>
      </c>
      <c r="CH327">
        <f t="shared" si="299"/>
        <v>520878.96575252217</v>
      </c>
      <c r="CJ327">
        <f t="shared" si="300"/>
        <v>-308276.48982853082</v>
      </c>
      <c r="CL327">
        <f t="shared" si="301"/>
        <v>704552.60211335705</v>
      </c>
    </row>
    <row r="328" spans="1:90" x14ac:dyDescent="0.2">
      <c r="A328" s="2" t="s">
        <v>383</v>
      </c>
      <c r="B328" s="2" t="str">
        <f t="shared" si="266"/>
        <v>GANDHI NAGAR TPS</v>
      </c>
      <c r="C328" s="2" t="str">
        <f>VLOOKUP($A328,'[1]daily coal, energy reqd'!$C$2:$T$599,17,FALSE)</f>
        <v>Gujarat</v>
      </c>
      <c r="D328" s="2" t="str">
        <f>VLOOKUP(C328,'Target PLF'!$I$2:$J$19,2,FALSE)</f>
        <v>WR</v>
      </c>
      <c r="E328" s="2" t="str">
        <f>VLOOKUP(A328,[2]Ownership!$C$2:$D$666,2,FALSE)</f>
        <v>STATE SECTOR</v>
      </c>
      <c r="F328" s="2" t="s">
        <v>546</v>
      </c>
      <c r="G328" s="12">
        <v>22.176591375769998</v>
      </c>
      <c r="H328" s="2">
        <v>210</v>
      </c>
      <c r="I328" s="2">
        <f>VLOOKUP(A328,'[3]Calculated coal req (reg.)'!$A$2:$I$599,9,FALSE)</f>
        <v>3.7000039391210602</v>
      </c>
      <c r="J328" s="2"/>
      <c r="K328" s="11">
        <v>0.73412776569862304</v>
      </c>
      <c r="L328" s="3">
        <f>VLOOKUP(F328,'Target PLF'!$A$2:$B$11,2,FALSE)</f>
        <v>0.7</v>
      </c>
      <c r="M328" s="3">
        <f t="shared" si="289"/>
        <v>-3.412776569862308E-2</v>
      </c>
      <c r="N328" s="2" t="str">
        <f t="shared" si="268"/>
        <v>0.25</v>
      </c>
      <c r="O328" s="2">
        <f t="shared" si="267"/>
        <v>13.243587124322165</v>
      </c>
      <c r="P328" s="2">
        <f t="shared" si="269"/>
        <v>1015120.9530792939</v>
      </c>
      <c r="Q328" s="2">
        <f t="shared" si="270"/>
        <v>14.855752281827513</v>
      </c>
      <c r="R328" s="2">
        <f t="shared" si="271"/>
        <v>3.528</v>
      </c>
      <c r="S328" s="2"/>
      <c r="T328" s="2" t="str">
        <f>VLOOKUP(A328,'[4]CEA vs MERIT comp. &amp; NPA marker'!$C$2:$K$735,9,FALSE)</f>
        <v>Contracted</v>
      </c>
      <c r="U328" s="3">
        <f>VLOOKUP(B328,'[8]Import-Domestic share'!$A$208:$F$406,6,FALSE)</f>
        <v>9.9616913774538227E-2</v>
      </c>
      <c r="V328" s="3">
        <f t="shared" si="272"/>
        <v>101123.2164536271</v>
      </c>
      <c r="W328" s="2">
        <f t="shared" si="273"/>
        <v>3183.906535005638</v>
      </c>
      <c r="X328" s="2">
        <f t="shared" si="274"/>
        <v>3172.6248785453254</v>
      </c>
      <c r="Y328" s="6">
        <f t="shared" si="275"/>
        <v>0.27010843143310964</v>
      </c>
      <c r="Z328" s="2"/>
      <c r="AA328" s="2">
        <f t="shared" si="276"/>
        <v>988109.30543438776</v>
      </c>
      <c r="AB328" s="2" t="s">
        <v>576</v>
      </c>
      <c r="AC328" s="12">
        <f>VLOOKUP(B328,[9]Sheet1!$A$2:$B$137,2,FALSE)</f>
        <v>4336.1948282896601</v>
      </c>
      <c r="AD328" s="12">
        <f t="shared" si="277"/>
        <v>910600.91394082864</v>
      </c>
      <c r="AE328" s="2"/>
      <c r="AF328" s="7">
        <f>VLOOKUP($B328,'[9]Subsidiary wise dispatch'!$A$3:$R$138,11,FALSE)*$H328*$O328*365</f>
        <v>0</v>
      </c>
      <c r="AG328" s="7">
        <f>VLOOKUP($B328,'[9]Subsidiary wise dispatch'!$A$3:$R$138,12,FALSE)*$H328*$O328*365</f>
        <v>0</v>
      </c>
      <c r="AH328" s="7">
        <f>VLOOKUP($B328,'[9]Subsidiary wise dispatch'!$A$3:$R$138,13,FALSE)*$H328*$O328*365</f>
        <v>0</v>
      </c>
      <c r="AI328" s="7">
        <f>VLOOKUP($B328,'[9]Subsidiary wise dispatch'!$A$3:$R$138,14,FALSE)*$H328*$O328*365</f>
        <v>0</v>
      </c>
      <c r="AJ328" s="7">
        <f>VLOOKUP($B328,'[9]Subsidiary wise dispatch'!$A$3:$R$138,15,FALSE)*$H328*$O328*365</f>
        <v>0</v>
      </c>
      <c r="AK328" s="7">
        <f>VLOOKUP($B328,'[9]Subsidiary wise dispatch'!$A$3:$R$138,16,FALSE)*$H328*$O328*365</f>
        <v>0</v>
      </c>
      <c r="AL328" s="7">
        <f>VLOOKUP($B328,'[9]Subsidiary wise dispatch'!$A$3:$R$138,17,FALSE)*$H328*$O328*365</f>
        <v>843606.49501085246</v>
      </c>
      <c r="AM328" s="7">
        <f>VLOOKUP($B328,'[9]Subsidiary wise dispatch'!$A$3:$R$138,18,FALSE)*$H328*$O328*365</f>
        <v>171514.45806844148</v>
      </c>
      <c r="AN328" s="15">
        <f t="shared" si="278"/>
        <v>1015120.9530792939</v>
      </c>
      <c r="AO328" s="6">
        <v>0.10218427974471911</v>
      </c>
      <c r="AP328" s="11">
        <f t="shared" si="279"/>
        <v>0.37808223757170906</v>
      </c>
      <c r="AQ328" s="11"/>
      <c r="AR328" s="3">
        <f>VLOOKUP(A328,[10]Sheet1!$A$2:$L$542,12,FALSE)</f>
        <v>3.7800986842105</v>
      </c>
      <c r="AS328" s="3">
        <f t="shared" si="290"/>
        <v>3.3256108725677254</v>
      </c>
      <c r="AT328" s="2"/>
      <c r="AU328" s="2"/>
      <c r="AV328" s="88">
        <f t="shared" si="291"/>
        <v>-2.5009509259264966E-2</v>
      </c>
      <c r="AW328" s="32">
        <f t="shared" si="292"/>
        <v>7.5202752870346988E-3</v>
      </c>
      <c r="AX328" s="12">
        <f t="shared" si="280"/>
        <v>449.12422648968095</v>
      </c>
      <c r="AY328" s="12">
        <f t="shared" si="281"/>
        <v>0</v>
      </c>
      <c r="AZ328" s="3">
        <f>VLOOKUP(A328,[5]Analysis!$A$3:$BJ$543,62,FALSE)</f>
        <v>1.0693898548636207</v>
      </c>
      <c r="BA328" s="2">
        <v>117.02</v>
      </c>
      <c r="BB328" s="2"/>
      <c r="BC328" s="2" t="str">
        <f>VLOOKUP(A328,'[6]FGD status - Jun 2020'!$I$2:$M$449,5,FALSE)</f>
        <v>LoI Placed</v>
      </c>
      <c r="BD328" s="2"/>
      <c r="BE328" s="2"/>
      <c r="BF328" s="2">
        <f t="shared" si="282"/>
        <v>326.84499056071638</v>
      </c>
      <c r="BG328" s="2">
        <f t="shared" si="283"/>
        <v>0</v>
      </c>
      <c r="BH328" s="2">
        <f t="shared" si="284"/>
        <v>31.5</v>
      </c>
      <c r="BI328" s="2">
        <f t="shared" si="285"/>
        <v>16.8</v>
      </c>
      <c r="BK328">
        <f t="shared" si="286"/>
        <v>154.16683079671083</v>
      </c>
      <c r="BL328">
        <f>VLOOKUP(A328,'[11]Daily coal vs energy req.2'!$C$2:$P$599,14,FALSE)</f>
        <v>1.21</v>
      </c>
      <c r="BM328">
        <f>VLOOKUP(A328,'[11]Daily coal vs energy req.2'!$C$2:$R$599,16,FALSE)</f>
        <v>1.24</v>
      </c>
      <c r="BN328">
        <f t="shared" si="287"/>
        <v>254.1</v>
      </c>
      <c r="BO328">
        <f t="shared" si="288"/>
        <v>260.39999999999998</v>
      </c>
      <c r="BP328" s="2" t="str">
        <f>VLOOKUP(A328,'[7]Table 2'!$J$2:$N$449,5,FALSE)</f>
        <v>Feasibility Study completed</v>
      </c>
      <c r="BR328">
        <f t="shared" si="293"/>
        <v>458.19446233332053</v>
      </c>
      <c r="BT328">
        <f>(X328*I328*365*[5]Analysis!BK328)/10^4</f>
        <v>202.19208880556636</v>
      </c>
      <c r="BV328">
        <f>(X328*I328*365*[5]Analysis!BL328)/10^4</f>
        <v>256.00237352775417</v>
      </c>
      <c r="BX328">
        <f t="shared" si="294"/>
        <v>1203219.2661670458</v>
      </c>
      <c r="BZ328">
        <f t="shared" si="295"/>
        <v>7481357.262743555</v>
      </c>
      <c r="CB328">
        <f t="shared" si="296"/>
        <v>-292931.31221641938</v>
      </c>
      <c r="CD328">
        <f t="shared" si="297"/>
        <v>0</v>
      </c>
      <c r="CF328">
        <f t="shared" si="298"/>
        <v>2411453.5172965466</v>
      </c>
      <c r="CH328">
        <f t="shared" si="299"/>
        <v>607564.95894455048</v>
      </c>
      <c r="CJ328">
        <f t="shared" si="300"/>
        <v>-467676.79790096293</v>
      </c>
      <c r="CL328">
        <f t="shared" si="301"/>
        <v>1068855.1212336747</v>
      </c>
    </row>
    <row r="329" spans="1:90" x14ac:dyDescent="0.2">
      <c r="A329" s="2" t="s">
        <v>385</v>
      </c>
      <c r="B329" s="2" t="str">
        <f t="shared" si="266"/>
        <v>GH TPS (LEH.MOH.)</v>
      </c>
      <c r="C329" s="2" t="str">
        <f>VLOOKUP($A329,'[1]daily coal, energy reqd'!$C$2:$T$599,17,FALSE)</f>
        <v>Punjab</v>
      </c>
      <c r="D329" s="2" t="str">
        <f>VLOOKUP(C329,'Target PLF'!$I$2:$J$19,2,FALSE)</f>
        <v>NR</v>
      </c>
      <c r="E329" s="2" t="str">
        <f>VLOOKUP(A329,[2]Ownership!$C$2:$D$666,2,FALSE)</f>
        <v>STATE SECTOR</v>
      </c>
      <c r="F329" s="2" t="s">
        <v>546</v>
      </c>
      <c r="G329" s="12">
        <v>22.4229979466119</v>
      </c>
      <c r="H329" s="2">
        <v>210</v>
      </c>
      <c r="I329" s="2">
        <f>VLOOKUP(A329,'[3]Calculated coal req (reg.)'!$A$2:$I$599,9,FALSE)</f>
        <v>1.12630611861503</v>
      </c>
      <c r="J329" s="2"/>
      <c r="K329" s="11">
        <v>0.22347343623314089</v>
      </c>
      <c r="L329" s="3">
        <f>VLOOKUP(F329,'Target PLF'!$A$2:$B$11,2,FALSE)</f>
        <v>0.7</v>
      </c>
      <c r="M329" s="3">
        <f t="shared" si="289"/>
        <v>0.47652656376685909</v>
      </c>
      <c r="N329" s="2" t="str">
        <f t="shared" si="268"/>
        <v>0.25</v>
      </c>
      <c r="O329" s="2">
        <f t="shared" si="267"/>
        <v>6.1465051703014915</v>
      </c>
      <c r="P329" s="2">
        <f t="shared" si="269"/>
        <v>471129.62130360934</v>
      </c>
      <c r="Q329" s="2">
        <f t="shared" si="270"/>
        <v>14.86355720995893</v>
      </c>
      <c r="R329" s="2">
        <f t="shared" si="271"/>
        <v>3.528</v>
      </c>
      <c r="S329" s="2"/>
      <c r="T329" s="2" t="str">
        <f>VLOOKUP(A329,'[4]CEA vs MERIT comp. &amp; NPA marker'!$C$2:$K$735,9,FALSE)</f>
        <v>Contracted</v>
      </c>
      <c r="U329" s="3">
        <f>VLOOKUP(B329,'[8]Import-Domestic share'!$A$208:$F$406,6,FALSE)</f>
        <v>0</v>
      </c>
      <c r="V329" s="3">
        <f t="shared" si="272"/>
        <v>0</v>
      </c>
      <c r="W329" s="2">
        <f t="shared" si="273"/>
        <v>3163.330022462012</v>
      </c>
      <c r="X329" s="2">
        <f t="shared" si="274"/>
        <v>3320.855980478299</v>
      </c>
      <c r="Y329" s="6">
        <f t="shared" si="275"/>
        <v>0.27186540572540835</v>
      </c>
      <c r="Z329" s="2"/>
      <c r="AA329" s="2">
        <f t="shared" si="276"/>
        <v>329821.85821316217</v>
      </c>
      <c r="AB329" s="2" t="s">
        <v>576</v>
      </c>
      <c r="AC329" s="12">
        <f>VLOOKUP(B329,[9]Sheet1!$A$2:$B$137,2,FALSE)</f>
        <v>4139.2333940270883</v>
      </c>
      <c r="AD329" s="12">
        <f t="shared" si="277"/>
        <v>869239.01274568855</v>
      </c>
      <c r="AE329" s="2"/>
      <c r="AF329" s="7">
        <f>VLOOKUP($B329,'[9]Subsidiary wise dispatch'!$A$3:$R$138,11,FALSE)*$H329*$O329*365</f>
        <v>57206.743542105098</v>
      </c>
      <c r="AG329" s="7">
        <f>VLOOKUP($B329,'[9]Subsidiary wise dispatch'!$A$3:$R$138,12,FALSE)*$H329*$O329*365</f>
        <v>413922.87776150415</v>
      </c>
      <c r="AH329" s="7">
        <f>VLOOKUP($B329,'[9]Subsidiary wise dispatch'!$A$3:$R$138,13,FALSE)*$H329*$O329*365</f>
        <v>0</v>
      </c>
      <c r="AI329" s="7">
        <f>VLOOKUP($B329,'[9]Subsidiary wise dispatch'!$A$3:$R$138,14,FALSE)*$H329*$O329*365</f>
        <v>0</v>
      </c>
      <c r="AJ329" s="7">
        <f>VLOOKUP($B329,'[9]Subsidiary wise dispatch'!$A$3:$R$138,15,FALSE)*$H329*$O329*365</f>
        <v>0</v>
      </c>
      <c r="AK329" s="7">
        <f>VLOOKUP($B329,'[9]Subsidiary wise dispatch'!$A$3:$R$138,16,FALSE)*$H329*$O329*365</f>
        <v>0</v>
      </c>
      <c r="AL329" s="7">
        <f>VLOOKUP($B329,'[9]Subsidiary wise dispatch'!$A$3:$R$138,17,FALSE)*$H329*$O329*365</f>
        <v>0</v>
      </c>
      <c r="AM329" s="7">
        <f>VLOOKUP($B329,'[9]Subsidiary wise dispatch'!$A$3:$R$138,18,FALSE)*$H329*$O329*365</f>
        <v>0</v>
      </c>
      <c r="AN329" s="15">
        <f t="shared" si="278"/>
        <v>471129.62130360922</v>
      </c>
      <c r="AO329" s="6">
        <v>0.11114699610484161</v>
      </c>
      <c r="AP329" s="11">
        <f t="shared" si="279"/>
        <v>0.125185541778564</v>
      </c>
      <c r="AQ329" s="11"/>
      <c r="AR329" s="3">
        <f>VLOOKUP(A329,[10]Sheet1!$A$2:$L$542,12,FALSE)</f>
        <v>3.6100000000000301</v>
      </c>
      <c r="AS329" s="3">
        <f t="shared" si="290"/>
        <v>3.6523047011522065</v>
      </c>
      <c r="AT329" s="2"/>
      <c r="AU329" s="2"/>
      <c r="AV329" s="88">
        <f t="shared" si="291"/>
        <v>0.34920819645962969</v>
      </c>
      <c r="AW329" s="32">
        <f t="shared" si="292"/>
        <v>9.5613105979209148E-2</v>
      </c>
      <c r="AX329" s="12">
        <f t="shared" si="280"/>
        <v>150.14687931632719</v>
      </c>
      <c r="AY329" s="12">
        <f t="shared" si="281"/>
        <v>0</v>
      </c>
      <c r="AZ329" s="3">
        <f>VLOOKUP(A329,[5]Analysis!$A$3:$BJ$543,62,FALSE)</f>
        <v>1.2197705854453453</v>
      </c>
      <c r="BA329" s="2">
        <v>109.78206521739129</v>
      </c>
      <c r="BB329" s="64"/>
      <c r="BC329" s="2" t="str">
        <f>VLOOKUP(A329,'[6]FGD status - Jun 2020'!$I$2:$M$449,5,FALSE)</f>
        <v>Bid Opened</v>
      </c>
      <c r="BD329" s="2"/>
      <c r="BE329" s="2"/>
      <c r="BF329" s="2">
        <f t="shared" si="282"/>
        <v>102.07986511697369</v>
      </c>
      <c r="BG329" s="2">
        <f t="shared" si="283"/>
        <v>0</v>
      </c>
      <c r="BH329" s="2">
        <f t="shared" si="284"/>
        <v>31.5</v>
      </c>
      <c r="BI329" s="2">
        <f t="shared" si="285"/>
        <v>16.8</v>
      </c>
      <c r="BK329">
        <f t="shared" si="286"/>
        <v>46.929421608959586</v>
      </c>
      <c r="BL329" t="str">
        <f>VLOOKUP(A329,'[11]Daily coal vs energy req.2'!$C$2:$P$599,14,FALSE)</f>
        <v/>
      </c>
      <c r="BM329" t="str">
        <f>VLOOKUP(A329,'[11]Daily coal vs energy req.2'!$C$2:$R$599,16,FALSE)</f>
        <v/>
      </c>
      <c r="BP329" s="2" t="str">
        <f>VLOOKUP(A329,'[7]Table 2'!$J$2:$N$449,5,FALSE)</f>
        <v>Retendering to be done</v>
      </c>
      <c r="BR329">
        <f t="shared" si="293"/>
        <v>166.52425735433332</v>
      </c>
      <c r="BT329">
        <f>(X329*I329*365*[5]Analysis!BK329)/10^4</f>
        <v>53.381045718572274</v>
      </c>
      <c r="BV329">
        <f>(X329*I329*365*[5]Analysis!BL329)/10^4</f>
        <v>113.14321163576108</v>
      </c>
      <c r="BX329">
        <f t="shared" si="294"/>
        <v>383380.79200983234</v>
      </c>
      <c r="BZ329">
        <f t="shared" si="295"/>
        <v>2597626.749813999</v>
      </c>
      <c r="CB329">
        <f t="shared" si="296"/>
        <v>-27144.029025073098</v>
      </c>
      <c r="CD329">
        <f t="shared" si="297"/>
        <v>0</v>
      </c>
      <c r="CF329">
        <f t="shared" si="298"/>
        <v>734062.6918175749</v>
      </c>
      <c r="CH329">
        <f t="shared" si="299"/>
        <v>187001.83062774548</v>
      </c>
      <c r="CJ329">
        <f t="shared" si="300"/>
        <v>-142363.96708682118</v>
      </c>
      <c r="CL329">
        <f t="shared" si="301"/>
        <v>353905.03477183863</v>
      </c>
    </row>
    <row r="330" spans="1:90" x14ac:dyDescent="0.2">
      <c r="A330" s="2" t="s">
        <v>381</v>
      </c>
      <c r="B330" s="2" t="str">
        <f t="shared" si="266"/>
        <v>GH TPS (LEH.MOH.)</v>
      </c>
      <c r="C330" s="2" t="str">
        <f>VLOOKUP($A330,'[1]daily coal, energy reqd'!$C$2:$T$599,17,FALSE)</f>
        <v>Punjab</v>
      </c>
      <c r="D330" s="2" t="str">
        <f>VLOOKUP(C330,'Target PLF'!$I$2:$J$19,2,FALSE)</f>
        <v>NR</v>
      </c>
      <c r="E330" s="2" t="str">
        <f>VLOOKUP(A330,[2]Ownership!$C$2:$D$666,2,FALSE)</f>
        <v>STATE SECTOR</v>
      </c>
      <c r="F330" s="2" t="s">
        <v>546</v>
      </c>
      <c r="G330" s="12">
        <v>21.590691307323699</v>
      </c>
      <c r="H330" s="2">
        <v>210</v>
      </c>
      <c r="I330" s="2">
        <f>VLOOKUP(A330,'[3]Calculated coal req (reg.)'!$A$2:$I$599,9,FALSE)</f>
        <v>1.1365718408460901</v>
      </c>
      <c r="J330" s="2"/>
      <c r="K330" s="11">
        <v>0.22551028588216071</v>
      </c>
      <c r="L330" s="3">
        <f>VLOOKUP(F330,'Target PLF'!$A$2:$B$11,2,FALSE)</f>
        <v>0.7</v>
      </c>
      <c r="M330" s="3">
        <f t="shared" si="289"/>
        <v>0.47448971411783925</v>
      </c>
      <c r="N330" s="2" t="str">
        <f t="shared" si="268"/>
        <v>0.25</v>
      </c>
      <c r="O330" s="2">
        <f t="shared" si="267"/>
        <v>6.1484811577237446</v>
      </c>
      <c r="P330" s="2">
        <f t="shared" si="269"/>
        <v>471281.08073952509</v>
      </c>
      <c r="Q330" s="2">
        <f t="shared" si="270"/>
        <v>14.837193897159477</v>
      </c>
      <c r="R330" s="2">
        <f t="shared" si="271"/>
        <v>3.528</v>
      </c>
      <c r="S330" s="2"/>
      <c r="T330" s="2" t="str">
        <f>VLOOKUP(A330,'[4]CEA vs MERIT comp. &amp; NPA marker'!$C$2:$K$735,9,FALSE)</f>
        <v>Contracted</v>
      </c>
      <c r="U330" s="3">
        <f>VLOOKUP(B330,'[8]Import-Domestic share'!$A$208:$F$406,6,FALSE)</f>
        <v>0</v>
      </c>
      <c r="V330" s="3">
        <f t="shared" si="272"/>
        <v>0</v>
      </c>
      <c r="W330" s="2">
        <f t="shared" si="273"/>
        <v>3156.9707527891851</v>
      </c>
      <c r="X330" s="2">
        <f t="shared" si="274"/>
        <v>3313.823386972776</v>
      </c>
      <c r="Y330" s="6">
        <f t="shared" si="275"/>
        <v>0.27241304001318023</v>
      </c>
      <c r="Z330" s="2"/>
      <c r="AA330" s="2">
        <f t="shared" si="276"/>
        <v>332123.18945362326</v>
      </c>
      <c r="AB330" s="2" t="s">
        <v>576</v>
      </c>
      <c r="AC330" s="12">
        <f>VLOOKUP(B330,[9]Sheet1!$A$2:$B$137,2,FALSE)</f>
        <v>4139.2333940270883</v>
      </c>
      <c r="AD330" s="12">
        <f t="shared" si="277"/>
        <v>869239.01274568855</v>
      </c>
      <c r="AE330" s="2"/>
      <c r="AF330" s="7">
        <f>VLOOKUP($B330,'[9]Subsidiary wise dispatch'!$A$3:$R$138,11,FALSE)*$H330*$O330*365</f>
        <v>57225.134449226338</v>
      </c>
      <c r="AG330" s="7">
        <f>VLOOKUP($B330,'[9]Subsidiary wise dispatch'!$A$3:$R$138,12,FALSE)*$H330*$O330*365</f>
        <v>414055.94629029866</v>
      </c>
      <c r="AH330" s="7">
        <f>VLOOKUP($B330,'[9]Subsidiary wise dispatch'!$A$3:$R$138,13,FALSE)*$H330*$O330*365</f>
        <v>0</v>
      </c>
      <c r="AI330" s="7">
        <f>VLOOKUP($B330,'[9]Subsidiary wise dispatch'!$A$3:$R$138,14,FALSE)*$H330*$O330*365</f>
        <v>0</v>
      </c>
      <c r="AJ330" s="7">
        <f>VLOOKUP($B330,'[9]Subsidiary wise dispatch'!$A$3:$R$138,15,FALSE)*$H330*$O330*365</f>
        <v>0</v>
      </c>
      <c r="AK330" s="7">
        <f>VLOOKUP($B330,'[9]Subsidiary wise dispatch'!$A$3:$R$138,16,FALSE)*$H330*$O330*365</f>
        <v>0</v>
      </c>
      <c r="AL330" s="7">
        <f>VLOOKUP($B330,'[9]Subsidiary wise dispatch'!$A$3:$R$138,17,FALSE)*$H330*$O330*365</f>
        <v>0</v>
      </c>
      <c r="AM330" s="7">
        <f>VLOOKUP($B330,'[9]Subsidiary wise dispatch'!$A$3:$R$138,18,FALSE)*$H330*$O330*365</f>
        <v>0</v>
      </c>
      <c r="AN330" s="15">
        <f t="shared" si="278"/>
        <v>471281.08073952497</v>
      </c>
      <c r="AO330" s="6">
        <v>0.11114699610484161</v>
      </c>
      <c r="AP330" s="11">
        <f t="shared" si="279"/>
        <v>0.12632654596739304</v>
      </c>
      <c r="AQ330" s="11"/>
      <c r="AR330" s="3">
        <f>VLOOKUP(A330,[10]Sheet1!$A$2:$L$542,12,FALSE)</f>
        <v>3.6100000000000301</v>
      </c>
      <c r="AS330" s="3">
        <f t="shared" si="290"/>
        <v>3.6454210458072813</v>
      </c>
      <c r="AT330" s="2"/>
      <c r="AU330" s="2"/>
      <c r="AV330" s="88">
        <f t="shared" si="291"/>
        <v>0.34771555229983497</v>
      </c>
      <c r="AW330" s="32">
        <f t="shared" si="292"/>
        <v>9.5384195112318798E-2</v>
      </c>
      <c r="AX330" s="12">
        <f t="shared" si="280"/>
        <v>151.2298261672675</v>
      </c>
      <c r="AY330" s="12">
        <f t="shared" si="281"/>
        <v>0</v>
      </c>
      <c r="AZ330" s="3">
        <f>VLOOKUP(A330,[5]Analysis!$A$3:$BJ$543,62,FALSE)</f>
        <v>1.2197705854453453</v>
      </c>
      <c r="BA330" s="2">
        <v>109.78206521739129</v>
      </c>
      <c r="BB330" s="64"/>
      <c r="BC330" s="2" t="str">
        <f>VLOOKUP(A330,'[6]FGD status - Jun 2020'!$I$2:$M$449,5,FALSE)</f>
        <v>Bid Opened</v>
      </c>
      <c r="BD330" s="2"/>
      <c r="BE330" s="2"/>
      <c r="BF330" s="2">
        <f t="shared" si="282"/>
        <v>102.79212713589639</v>
      </c>
      <c r="BG330" s="2">
        <f t="shared" si="283"/>
        <v>0</v>
      </c>
      <c r="BH330" s="2">
        <f t="shared" si="284"/>
        <v>31.5</v>
      </c>
      <c r="BI330" s="2">
        <f t="shared" si="285"/>
        <v>16.8</v>
      </c>
      <c r="BK330">
        <f t="shared" si="286"/>
        <v>47.357160035253749</v>
      </c>
      <c r="BL330">
        <f>VLOOKUP(A330,'[11]Daily coal vs energy req.2'!$C$2:$P$599,14,FALSE)</f>
        <v>0.79</v>
      </c>
      <c r="BM330">
        <f>VLOOKUP(A330,'[11]Daily coal vs energy req.2'!$C$2:$R$599,16,FALSE)</f>
        <v>0.92</v>
      </c>
      <c r="BN330">
        <f>BL330*H330</f>
        <v>165.9</v>
      </c>
      <c r="BO330">
        <f>BM330*H330</f>
        <v>193.20000000000002</v>
      </c>
      <c r="BP330" s="2" t="str">
        <f>VLOOKUP(A330,'[7]Table 2'!$J$2:$N$449,5,FALSE)</f>
        <v>Retendering to be done</v>
      </c>
      <c r="BR330">
        <f t="shared" si="293"/>
        <v>167.68617996862059</v>
      </c>
      <c r="BT330">
        <f>(X330*I330*365*[5]Analysis!BK330)/10^4</f>
        <v>53.753511839605515</v>
      </c>
      <c r="BV330">
        <f>(X330*I330*365*[5]Analysis!BL330)/10^4</f>
        <v>113.93266812901506</v>
      </c>
      <c r="BX330">
        <f t="shared" si="294"/>
        <v>386055.8305849735</v>
      </c>
      <c r="BZ330">
        <f t="shared" si="295"/>
        <v>2621302.8306172821</v>
      </c>
      <c r="CB330">
        <f t="shared" si="296"/>
        <v>-27641.09274492156</v>
      </c>
      <c r="CD330">
        <f t="shared" si="297"/>
        <v>0</v>
      </c>
      <c r="CF330">
        <f t="shared" si="298"/>
        <v>740753.30955447373</v>
      </c>
      <c r="CH330">
        <f t="shared" si="299"/>
        <v>181701.77822879318</v>
      </c>
      <c r="CJ330">
        <f t="shared" si="300"/>
        <v>-143661.54411110497</v>
      </c>
      <c r="CL330">
        <f t="shared" si="301"/>
        <v>357130.70381784264</v>
      </c>
    </row>
    <row r="331" spans="1:90" x14ac:dyDescent="0.2">
      <c r="A331" s="2" t="s">
        <v>296</v>
      </c>
      <c r="B331" s="2" t="str">
        <f t="shared" si="266"/>
        <v>GH TPS (LEH.MOH.)</v>
      </c>
      <c r="C331" s="2" t="str">
        <f>VLOOKUP($A331,'[1]daily coal, energy reqd'!$C$2:$T$599,17,FALSE)</f>
        <v>Punjab</v>
      </c>
      <c r="D331" s="2" t="str">
        <f>VLOOKUP(C331,'Target PLF'!$I$2:$J$19,2,FALSE)</f>
        <v>NR</v>
      </c>
      <c r="E331" s="2" t="str">
        <f>VLOOKUP(A331,[2]Ownership!$C$2:$D$666,2,FALSE)</f>
        <v>STATE SECTOR</v>
      </c>
      <c r="F331" s="2" t="s">
        <v>544</v>
      </c>
      <c r="G331" s="12">
        <v>12.3394934976043</v>
      </c>
      <c r="H331" s="2">
        <v>250</v>
      </c>
      <c r="I331" s="2">
        <f>VLOOKUP(A331,'[3]Calculated coal req (reg.)'!$A$2:$I$599,9,FALSE)</f>
        <v>1.7782096650599399</v>
      </c>
      <c r="J331" s="2"/>
      <c r="K331" s="11">
        <v>0.29636827750998995</v>
      </c>
      <c r="L331" s="3">
        <f>VLOOKUP(F331,'Target PLF'!$A$2:$B$11,2,FALSE)</f>
        <v>0.8</v>
      </c>
      <c r="M331" s="3">
        <f t="shared" si="289"/>
        <v>0.50363172249001009</v>
      </c>
      <c r="N331" s="2" t="str">
        <f t="shared" si="268"/>
        <v>0.15</v>
      </c>
      <c r="O331" s="2">
        <f t="shared" si="267"/>
        <v>6.6619116620163599</v>
      </c>
      <c r="P331" s="2">
        <f t="shared" si="269"/>
        <v>607899.43915899284</v>
      </c>
      <c r="Q331" s="2">
        <f t="shared" si="270"/>
        <v>14.364755906536615</v>
      </c>
      <c r="R331" s="2">
        <f t="shared" si="271"/>
        <v>4.8</v>
      </c>
      <c r="S331" s="2"/>
      <c r="T331" s="2" t="str">
        <f>VLOOKUP(A331,'[4]CEA vs MERIT comp. &amp; NPA marker'!$C$2:$K$735,9,FALSE)</f>
        <v>Contracted</v>
      </c>
      <c r="U331" s="3">
        <f>VLOOKUP(B331,'[8]Import-Domestic share'!$A$208:$F$406,6,FALSE)</f>
        <v>0</v>
      </c>
      <c r="V331" s="3">
        <f t="shared" si="272"/>
        <v>0</v>
      </c>
      <c r="W331" s="2">
        <f t="shared" si="273"/>
        <v>3016.1998216297052</v>
      </c>
      <c r="X331" s="2">
        <f t="shared" si="274"/>
        <v>3182.6859644912947</v>
      </c>
      <c r="Y331" s="6">
        <f t="shared" si="275"/>
        <v>0.28512699783110756</v>
      </c>
      <c r="Z331" s="2"/>
      <c r="AA331" s="2">
        <f t="shared" si="276"/>
        <v>499056.48643601948</v>
      </c>
      <c r="AB331" s="2" t="s">
        <v>576</v>
      </c>
      <c r="AC331" s="12">
        <f>VLOOKUP(B331,[9]Sheet1!$A$2:$B$137,2,FALSE)</f>
        <v>4139.2333940270883</v>
      </c>
      <c r="AD331" s="12">
        <f t="shared" si="277"/>
        <v>1034808.3485067721</v>
      </c>
      <c r="AE331" s="2"/>
      <c r="AF331" s="7">
        <f>VLOOKUP($B331,'[9]Subsidiary wise dispatch'!$A$3:$R$138,11,FALSE)*$H331*$O331*365</f>
        <v>73813.969113496714</v>
      </c>
      <c r="AG331" s="7">
        <f>VLOOKUP($B331,'[9]Subsidiary wise dispatch'!$A$3:$R$138,12,FALSE)*$H331*$O331*365</f>
        <v>534085.47004549613</v>
      </c>
      <c r="AH331" s="7">
        <f>VLOOKUP($B331,'[9]Subsidiary wise dispatch'!$A$3:$R$138,13,FALSE)*$H331*$O331*365</f>
        <v>0</v>
      </c>
      <c r="AI331" s="7">
        <f>VLOOKUP($B331,'[9]Subsidiary wise dispatch'!$A$3:$R$138,14,FALSE)*$H331*$O331*365</f>
        <v>0</v>
      </c>
      <c r="AJ331" s="7">
        <f>VLOOKUP($B331,'[9]Subsidiary wise dispatch'!$A$3:$R$138,15,FALSE)*$H331*$O331*365</f>
        <v>0</v>
      </c>
      <c r="AK331" s="7">
        <f>VLOOKUP($B331,'[9]Subsidiary wise dispatch'!$A$3:$R$138,16,FALSE)*$H331*$O331*365</f>
        <v>0</v>
      </c>
      <c r="AL331" s="7">
        <f>VLOOKUP($B331,'[9]Subsidiary wise dispatch'!$A$3:$R$138,17,FALSE)*$H331*$O331*365</f>
        <v>0</v>
      </c>
      <c r="AM331" s="7">
        <f>VLOOKUP($B331,'[9]Subsidiary wise dispatch'!$A$3:$R$138,18,FALSE)*$H331*$O331*365</f>
        <v>0</v>
      </c>
      <c r="AN331" s="15">
        <f t="shared" si="278"/>
        <v>607899.43915899284</v>
      </c>
      <c r="AO331" s="6">
        <v>0.11114699610484161</v>
      </c>
      <c r="AP331" s="11">
        <f t="shared" si="279"/>
        <v>0.19764266271600883</v>
      </c>
      <c r="AQ331" s="11"/>
      <c r="AR331" s="3">
        <f>VLOOKUP(A331,[10]Sheet1!$A$2:$L$542,12,FALSE)</f>
        <v>3.6100000000000301</v>
      </c>
      <c r="AS331" s="3">
        <f t="shared" si="290"/>
        <v>3.5394029658208619</v>
      </c>
      <c r="AT331" s="2"/>
      <c r="AU331" s="2"/>
      <c r="AV331" s="88">
        <f t="shared" si="291"/>
        <v>0.36907139887512919</v>
      </c>
      <c r="AW331" s="32">
        <f t="shared" si="292"/>
        <v>0.10427504368368347</v>
      </c>
      <c r="AX331" s="12">
        <f t="shared" si="280"/>
        <v>229.72372052630325</v>
      </c>
      <c r="AY331" s="12">
        <f t="shared" si="281"/>
        <v>0</v>
      </c>
      <c r="AZ331" s="3">
        <f>VLOOKUP(A331,[5]Analysis!$A$3:$BJ$543,62,FALSE)</f>
        <v>1.2197705854453453</v>
      </c>
      <c r="BA331" s="2">
        <v>130.69293478260869</v>
      </c>
      <c r="BB331" s="64"/>
      <c r="BC331" s="2" t="str">
        <f>VLOOKUP(A331,'[6]FGD status - Jun 2020'!$I$2:$M$449,5,FALSE)</f>
        <v>Bid Opened</v>
      </c>
      <c r="BD331" s="2"/>
      <c r="BE331" s="2"/>
      <c r="BF331" s="2">
        <f t="shared" si="282"/>
        <v>154.45798255194802</v>
      </c>
      <c r="BG331" s="2">
        <f t="shared" si="283"/>
        <v>0</v>
      </c>
      <c r="BH331" s="2">
        <f t="shared" si="284"/>
        <v>87.5</v>
      </c>
      <c r="BI331" s="2">
        <f t="shared" si="285"/>
        <v>20</v>
      </c>
      <c r="BK331">
        <f t="shared" si="286"/>
        <v>74.092069377497495</v>
      </c>
      <c r="BL331">
        <f>VLOOKUP(A331,'[11]Daily coal vs energy req.2'!$C$2:$P$599,14,FALSE)</f>
        <v>0.83</v>
      </c>
      <c r="BM331">
        <f>VLOOKUP(A331,'[11]Daily coal vs energy req.2'!$C$2:$R$599,16,FALSE)</f>
        <v>0.96</v>
      </c>
      <c r="BN331">
        <f>BL331*H331</f>
        <v>207.5</v>
      </c>
      <c r="BO331">
        <f>BM331*H331</f>
        <v>240</v>
      </c>
      <c r="BP331" s="2" t="str">
        <f>VLOOKUP(A331,'[7]Table 2'!$J$2:$N$449,5,FALSE)</f>
        <v>Retendering to be done</v>
      </c>
      <c r="BR331">
        <f t="shared" si="293"/>
        <v>251.96938502453872</v>
      </c>
      <c r="BT331">
        <f>(X331*I331*365*[5]Analysis!BK331)/10^4</f>
        <v>80.771351125472719</v>
      </c>
      <c r="BV331">
        <f>(X331*I331*365*[5]Analysis!BL331)/10^4</f>
        <v>171.19803389906602</v>
      </c>
      <c r="BX331">
        <f t="shared" si="294"/>
        <v>580097.00164817623</v>
      </c>
      <c r="BZ331">
        <f t="shared" si="295"/>
        <v>4101127.4966857415</v>
      </c>
      <c r="CB331">
        <f t="shared" si="296"/>
        <v>-56833.793257555291</v>
      </c>
      <c r="CD331">
        <f t="shared" si="297"/>
        <v>0</v>
      </c>
      <c r="CF331">
        <f t="shared" si="298"/>
        <v>1158936.5908399932</v>
      </c>
      <c r="CH331">
        <f t="shared" si="299"/>
        <v>162471.06876514066</v>
      </c>
      <c r="CJ331">
        <f t="shared" si="300"/>
        <v>-267576.0993498945</v>
      </c>
      <c r="CL331">
        <f t="shared" si="301"/>
        <v>558744.50377531652</v>
      </c>
    </row>
    <row r="332" spans="1:90" x14ac:dyDescent="0.2">
      <c r="A332" s="2" t="s">
        <v>288</v>
      </c>
      <c r="B332" s="2" t="str">
        <f t="shared" si="266"/>
        <v>GH TPS (LEH.MOH.)</v>
      </c>
      <c r="C332" s="2" t="str">
        <f>VLOOKUP($A332,'[1]daily coal, energy reqd'!$C$2:$T$599,17,FALSE)</f>
        <v>Punjab</v>
      </c>
      <c r="D332" s="2" t="str">
        <f>VLOOKUP(C332,'Target PLF'!$I$2:$J$19,2,FALSE)</f>
        <v>NR</v>
      </c>
      <c r="E332" s="2" t="str">
        <f>VLOOKUP(A332,[2]Ownership!$C$2:$D$666,2,FALSE)</f>
        <v>STATE SECTOR</v>
      </c>
      <c r="F332" s="2" t="s">
        <v>544</v>
      </c>
      <c r="G332" s="12">
        <v>11.841204654346299</v>
      </c>
      <c r="H332" s="2">
        <v>250</v>
      </c>
      <c r="I332" s="2">
        <f>VLOOKUP(A332,'[3]Calculated coal req (reg.)'!$A$2:$I$599,9,FALSE)</f>
        <v>1.33538433621131</v>
      </c>
      <c r="J332" s="2"/>
      <c r="K332" s="11">
        <v>0.22256405603521834</v>
      </c>
      <c r="L332" s="3">
        <f>VLOOKUP(F332,'Target PLF'!$A$2:$B$11,2,FALSE)</f>
        <v>0.8</v>
      </c>
      <c r="M332" s="3">
        <f t="shared" si="289"/>
        <v>0.57743594396478171</v>
      </c>
      <c r="N332" s="2" t="str">
        <f t="shared" si="268"/>
        <v>0.15</v>
      </c>
      <c r="O332" s="2">
        <f t="shared" si="267"/>
        <v>5.6192680882612223</v>
      </c>
      <c r="P332" s="2">
        <f t="shared" si="269"/>
        <v>512758.21305383655</v>
      </c>
      <c r="Q332" s="2">
        <f t="shared" si="270"/>
        <v>14.348972607426418</v>
      </c>
      <c r="R332" s="2">
        <f t="shared" si="271"/>
        <v>4.8</v>
      </c>
      <c r="S332" s="2"/>
      <c r="T332" s="2" t="str">
        <f>VLOOKUP(A332,'[4]CEA vs MERIT comp. &amp; NPA marker'!$C$2:$K$735,9,FALSE)</f>
        <v>Contracted</v>
      </c>
      <c r="U332" s="3">
        <f>VLOOKUP(B332,'[8]Import-Domestic share'!$A$208:$F$406,6,FALSE)</f>
        <v>0</v>
      </c>
      <c r="V332" s="3">
        <f t="shared" si="272"/>
        <v>0</v>
      </c>
      <c r="W332" s="2">
        <f t="shared" si="273"/>
        <v>3012.3926272861049</v>
      </c>
      <c r="X332" s="2">
        <f t="shared" si="274"/>
        <v>3203.2763202056753</v>
      </c>
      <c r="Y332" s="6">
        <f t="shared" si="275"/>
        <v>0.28548735387617208</v>
      </c>
      <c r="Z332" s="2"/>
      <c r="AA332" s="2">
        <f t="shared" si="276"/>
        <v>377201.69041135092</v>
      </c>
      <c r="AB332" s="2" t="s">
        <v>576</v>
      </c>
      <c r="AC332" s="12">
        <f>VLOOKUP(B332,[9]Sheet1!$A$2:$B$137,2,FALSE)</f>
        <v>4139.2333940270883</v>
      </c>
      <c r="AD332" s="12">
        <f t="shared" si="277"/>
        <v>1034808.3485067721</v>
      </c>
      <c r="AE332" s="2"/>
      <c r="AF332" s="7">
        <f>VLOOKUP($B332,'[9]Subsidiary wise dispatch'!$A$3:$R$138,11,FALSE)*$H332*$O332*365</f>
        <v>62261.48021029598</v>
      </c>
      <c r="AG332" s="7">
        <f>VLOOKUP($B332,'[9]Subsidiary wise dispatch'!$A$3:$R$138,12,FALSE)*$H332*$O332*365</f>
        <v>450496.73284354061</v>
      </c>
      <c r="AH332" s="7">
        <f>VLOOKUP($B332,'[9]Subsidiary wise dispatch'!$A$3:$R$138,13,FALSE)*$H332*$O332*365</f>
        <v>0</v>
      </c>
      <c r="AI332" s="7">
        <f>VLOOKUP($B332,'[9]Subsidiary wise dispatch'!$A$3:$R$138,14,FALSE)*$H332*$O332*365</f>
        <v>0</v>
      </c>
      <c r="AJ332" s="7">
        <f>VLOOKUP($B332,'[9]Subsidiary wise dispatch'!$A$3:$R$138,15,FALSE)*$H332*$O332*365</f>
        <v>0</v>
      </c>
      <c r="AK332" s="7">
        <f>VLOOKUP($B332,'[9]Subsidiary wise dispatch'!$A$3:$R$138,16,FALSE)*$H332*$O332*365</f>
        <v>0</v>
      </c>
      <c r="AL332" s="7">
        <f>VLOOKUP($B332,'[9]Subsidiary wise dispatch'!$A$3:$R$138,17,FALSE)*$H332*$O332*365</f>
        <v>0</v>
      </c>
      <c r="AM332" s="7">
        <f>VLOOKUP($B332,'[9]Subsidiary wise dispatch'!$A$3:$R$138,18,FALSE)*$H332*$O332*365</f>
        <v>0</v>
      </c>
      <c r="AN332" s="15">
        <f t="shared" si="278"/>
        <v>512758.2130538366</v>
      </c>
      <c r="AO332" s="6">
        <v>0.11114699610484161</v>
      </c>
      <c r="AP332" s="11">
        <f t="shared" si="279"/>
        <v>0.14842395761534496</v>
      </c>
      <c r="AQ332" s="11"/>
      <c r="AR332" s="3">
        <f>VLOOKUP(A332,[10]Sheet1!$A$2:$L$542,12,FALSE)</f>
        <v>3.6100000000000301</v>
      </c>
      <c r="AS332" s="3">
        <f t="shared" si="290"/>
        <v>3.5378238975416822</v>
      </c>
      <c r="AT332" s="2"/>
      <c r="AU332" s="2"/>
      <c r="AV332" s="88">
        <f t="shared" si="291"/>
        <v>0.42315660845627134</v>
      </c>
      <c r="AW332" s="32">
        <f t="shared" si="292"/>
        <v>0.11960929110980029</v>
      </c>
      <c r="AX332" s="12">
        <f t="shared" si="280"/>
        <v>172.43894352236913</v>
      </c>
      <c r="AY332" s="12">
        <f t="shared" si="281"/>
        <v>0</v>
      </c>
      <c r="AZ332" s="3">
        <f>VLOOKUP(A332,[5]Analysis!$A$3:$BJ$543,62,FALSE)</f>
        <v>1.2197705854453453</v>
      </c>
      <c r="BA332" s="2">
        <v>130.69293478260869</v>
      </c>
      <c r="BB332" s="64"/>
      <c r="BC332" s="2" t="str">
        <f>VLOOKUP(A332,'[6]FGD status - Jun 2020'!$I$2:$M$449,5,FALSE)</f>
        <v>Bid Opened</v>
      </c>
      <c r="BD332" s="2"/>
      <c r="BE332" s="2"/>
      <c r="BF332" s="2">
        <f t="shared" si="282"/>
        <v>116.74392318231311</v>
      </c>
      <c r="BG332" s="2">
        <f t="shared" si="283"/>
        <v>0</v>
      </c>
      <c r="BH332" s="2">
        <f t="shared" si="284"/>
        <v>87.5</v>
      </c>
      <c r="BI332" s="2">
        <f t="shared" si="285"/>
        <v>20</v>
      </c>
      <c r="BK332">
        <f t="shared" si="286"/>
        <v>55.641014008804582</v>
      </c>
      <c r="BL332">
        <f>VLOOKUP(A332,'[11]Daily coal vs energy req.2'!$C$2:$P$599,14,FALSE)</f>
        <v>1.1200000000000001</v>
      </c>
      <c r="BM332">
        <f>VLOOKUP(A332,'[11]Daily coal vs energy req.2'!$C$2:$R$599,16,FALSE)</f>
        <v>0.91</v>
      </c>
      <c r="BN332">
        <f>BL332*H332</f>
        <v>280</v>
      </c>
      <c r="BO332">
        <f>BM332*H332</f>
        <v>227.5</v>
      </c>
      <c r="BP332" s="2" t="str">
        <f>VLOOKUP(A332,'[7]Table 2'!$J$2:$N$449,5,FALSE)</f>
        <v>Retendering to be done</v>
      </c>
      <c r="BR332">
        <f t="shared" si="293"/>
        <v>190.44593256749377</v>
      </c>
      <c r="BT332">
        <f>(X332*I332*365*[5]Analysis!BK332)/10^4</f>
        <v>61.049382203036558</v>
      </c>
      <c r="BV332">
        <f>(X332*I332*365*[5]Analysis!BL332)/10^4</f>
        <v>129.39655036445723</v>
      </c>
      <c r="BX332">
        <f t="shared" si="294"/>
        <v>438454.51481232455</v>
      </c>
      <c r="BZ332">
        <f t="shared" si="295"/>
        <v>3079828.8455456323</v>
      </c>
      <c r="CB332">
        <f t="shared" si="296"/>
        <v>-32051.862114158779</v>
      </c>
      <c r="CD332">
        <f t="shared" si="297"/>
        <v>0</v>
      </c>
      <c r="CF332">
        <f t="shared" si="298"/>
        <v>870328.061127536</v>
      </c>
      <c r="CH332">
        <f t="shared" si="299"/>
        <v>117084.09472439793</v>
      </c>
      <c r="CJ332">
        <f t="shared" si="300"/>
        <v>-200941.95799139692</v>
      </c>
      <c r="CL332">
        <f t="shared" si="301"/>
        <v>419601.05883271527</v>
      </c>
    </row>
    <row r="333" spans="1:90" x14ac:dyDescent="0.2">
      <c r="A333" s="2" t="s">
        <v>520</v>
      </c>
      <c r="B333" s="2" t="str">
        <f t="shared" si="266"/>
        <v>HARDUAGANJ TPS</v>
      </c>
      <c r="C333" s="2" t="str">
        <f>VLOOKUP($A333,'[1]daily coal, energy reqd'!$C$2:$T$599,17,FALSE)</f>
        <v>Uttar Pradesh</v>
      </c>
      <c r="D333" s="2" t="str">
        <f>VLOOKUP(C333,'Target PLF'!$I$2:$J$19,2,FALSE)</f>
        <v>NR</v>
      </c>
      <c r="E333" s="2" t="str">
        <f>VLOOKUP(A333,[2]Ownership!$C$2:$D$666,2,FALSE)</f>
        <v>STATE SECTOR</v>
      </c>
      <c r="F333" s="2" t="s">
        <v>550</v>
      </c>
      <c r="G333" s="12">
        <v>42.176591375770002</v>
      </c>
      <c r="H333" s="2">
        <v>105</v>
      </c>
      <c r="I333" s="2">
        <f>VLOOKUP(A333,'[3]Calculated coal req (reg.)'!$A$2:$I$599,9,FALSE)</f>
        <v>0.53117556109963404</v>
      </c>
      <c r="J333" s="2"/>
      <c r="K333" s="11">
        <v>0.2107839528173151</v>
      </c>
      <c r="L333" s="3">
        <f>VLOOKUP(F333,'Target PLF'!$A$2:$B$11,2,FALSE)</f>
        <v>0.55000000000000004</v>
      </c>
      <c r="M333" s="3">
        <f t="shared" si="289"/>
        <v>0.33921604718268494</v>
      </c>
      <c r="N333" s="2" t="str">
        <f t="shared" si="268"/>
        <v>0.25</v>
      </c>
      <c r="O333" s="2">
        <f t="shared" si="267"/>
        <v>7.142477152560665</v>
      </c>
      <c r="P333" s="2">
        <f t="shared" si="269"/>
        <v>273735.43687188748</v>
      </c>
      <c r="Q333" s="2">
        <f t="shared" si="270"/>
        <v>16.036081781827516</v>
      </c>
      <c r="R333" s="2">
        <f t="shared" si="271"/>
        <v>1.3859999999999999</v>
      </c>
      <c r="S333" s="2"/>
      <c r="T333" s="2" t="str">
        <f>VLOOKUP(A333,'[4]CEA vs MERIT comp. &amp; NPA marker'!$C$2:$K$735,9,FALSE)</f>
        <v>Contracted</v>
      </c>
      <c r="U333" s="3">
        <f>VLOOKUP(B333,'[8]Import-Domestic share'!$A$208:$F$406,6,FALSE)</f>
        <v>0</v>
      </c>
      <c r="V333" s="3">
        <f t="shared" si="272"/>
        <v>0</v>
      </c>
      <c r="W333" s="2">
        <f t="shared" si="273"/>
        <v>3461.0467054404512</v>
      </c>
      <c r="X333" s="2">
        <f t="shared" si="274"/>
        <v>3573.1817612168879</v>
      </c>
      <c r="Y333" s="6">
        <f t="shared" si="275"/>
        <v>0.24847974419072649</v>
      </c>
      <c r="Z333" s="2"/>
      <c r="AA333" s="2">
        <f t="shared" si="276"/>
        <v>157722.13696145202</v>
      </c>
      <c r="AB333" s="2" t="s">
        <v>576</v>
      </c>
      <c r="AC333" s="12">
        <f>VLOOKUP(B333,[9]Sheet1!$A$2:$B$137,2,FALSE)</f>
        <v>4392.3142633875859</v>
      </c>
      <c r="AD333" s="12">
        <f t="shared" si="277"/>
        <v>461192.99765569653</v>
      </c>
      <c r="AE333" s="2"/>
      <c r="AF333" s="7">
        <f>VLOOKUP($B333,'[9]Subsidiary wise dispatch'!$A$3:$R$138,11,FALSE)*$H333*$O333*365</f>
        <v>55181.900886949741</v>
      </c>
      <c r="AG333" s="7">
        <f>VLOOKUP($B333,'[9]Subsidiary wise dispatch'!$A$3:$R$138,12,FALSE)*$H333*$O333*365</f>
        <v>218112.51218052497</v>
      </c>
      <c r="AH333" s="7">
        <f>VLOOKUP($B333,'[9]Subsidiary wise dispatch'!$A$3:$R$138,13,FALSE)*$H333*$O333*365</f>
        <v>0</v>
      </c>
      <c r="AI333" s="7">
        <f>VLOOKUP($B333,'[9]Subsidiary wise dispatch'!$A$3:$R$138,14,FALSE)*$H333*$O333*365</f>
        <v>0</v>
      </c>
      <c r="AJ333" s="7">
        <f>VLOOKUP($B333,'[9]Subsidiary wise dispatch'!$A$3:$R$138,15,FALSE)*$H333*$O333*365</f>
        <v>441.02380441275437</v>
      </c>
      <c r="AK333" s="7">
        <f>VLOOKUP($B333,'[9]Subsidiary wise dispatch'!$A$3:$R$138,16,FALSE)*$H333*$O333*365</f>
        <v>0</v>
      </c>
      <c r="AL333" s="7">
        <f>VLOOKUP($B333,'[9]Subsidiary wise dispatch'!$A$3:$R$138,17,FALSE)*$H333*$O333*365</f>
        <v>0</v>
      </c>
      <c r="AM333" s="7">
        <f>VLOOKUP($B333,'[9]Subsidiary wise dispatch'!$A$3:$R$138,18,FALSE)*$H333*$O333*365</f>
        <v>0</v>
      </c>
      <c r="AN333" s="15">
        <f t="shared" si="278"/>
        <v>273735.43687188748</v>
      </c>
      <c r="AO333" s="6">
        <v>8.6582291374875858E-2</v>
      </c>
      <c r="AP333" s="11">
        <f t="shared" si="279"/>
        <v>4.5990397202341687E-2</v>
      </c>
      <c r="AQ333" s="11"/>
      <c r="AR333" s="3">
        <f>VLOOKUP(A333,[10]Sheet1!$A$2:$L$542,12,FALSE)</f>
        <v>3.47353070175435</v>
      </c>
      <c r="AS333" s="3">
        <f t="shared" si="290"/>
        <v>3.3433444723587855</v>
      </c>
      <c r="AT333" s="2"/>
      <c r="AU333" s="2"/>
      <c r="AV333" s="88">
        <f t="shared" si="291"/>
        <v>0.24858430369641518</v>
      </c>
      <c r="AW333" s="32">
        <f t="shared" si="292"/>
        <v>7.4351986686264124E-2</v>
      </c>
      <c r="AX333" s="12">
        <f t="shared" si="280"/>
        <v>64.820454975990629</v>
      </c>
      <c r="AY333" s="12">
        <f t="shared" si="281"/>
        <v>0</v>
      </c>
      <c r="AZ333" s="3">
        <f>VLOOKUP(A333,[5]Analysis!$A$3:$BJ$543,62,FALSE)</f>
        <v>0.96863515611482587</v>
      </c>
      <c r="BA333" s="2">
        <v>83.891818181818195</v>
      </c>
      <c r="BB333" s="2"/>
      <c r="BC333" s="2" t="e">
        <f>VLOOKUP(A333,'[6]FGD status - Jun 2020'!$I$2:$M$449,5,FALSE)</f>
        <v>#N/A</v>
      </c>
      <c r="BD333" s="2" t="str">
        <f>VLOOKUP(A333,'[1]daily coal, energy reqd'!$C$2:$L$599,10,FALSE)</f>
        <v>Y</v>
      </c>
      <c r="BE333" s="2"/>
      <c r="BF333" s="2">
        <f t="shared" si="282"/>
        <v>48.815001389569403</v>
      </c>
      <c r="BG333" s="2">
        <f t="shared" si="283"/>
        <v>0</v>
      </c>
      <c r="BH333" s="2"/>
      <c r="BI333" s="2"/>
      <c r="BK333">
        <f t="shared" si="286"/>
        <v>22.132315045818086</v>
      </c>
      <c r="BL333" t="str">
        <f>VLOOKUP(A333,'[11]Daily coal vs energy req.2'!$C$2:$P$599,14,FALSE)</f>
        <v/>
      </c>
      <c r="BM333" t="str">
        <f>VLOOKUP(A333,'[11]Daily coal vs energy req.2'!$C$2:$R$599,16,FALSE)</f>
        <v/>
      </c>
      <c r="BP333" s="2" t="e">
        <f>VLOOKUP(A333,'[7]Table 2'!$J$2:$N$449,5,FALSE)</f>
        <v>#N/A</v>
      </c>
      <c r="BR333">
        <f t="shared" si="293"/>
        <v>67.103671973699591</v>
      </c>
      <c r="BT333">
        <f>(X333*I333*365*[5]Analysis!BK333)/10^4</f>
        <v>26.441399578017368</v>
      </c>
      <c r="BV333">
        <f>(X333*I333*365*[5]Analysis!BL333)/10^4</f>
        <v>40.662272395682223</v>
      </c>
      <c r="BX333">
        <f t="shared" si="294"/>
        <v>194543.6497598493</v>
      </c>
      <c r="BZ333">
        <f t="shared" si="295"/>
        <v>972837.85414793668</v>
      </c>
      <c r="CB333">
        <f t="shared" si="296"/>
        <v>-12074.456480469762</v>
      </c>
      <c r="CD333">
        <f t="shared" si="297"/>
        <v>0</v>
      </c>
      <c r="CF333">
        <f t="shared" si="298"/>
        <v>346190.21930553933</v>
      </c>
      <c r="CH333">
        <f t="shared" si="299"/>
        <v>165884.30624643201</v>
      </c>
      <c r="CJ333">
        <f t="shared" si="300"/>
        <v>-33570.029873716325</v>
      </c>
      <c r="CL333">
        <f t="shared" si="301"/>
        <v>130016.87646849686</v>
      </c>
    </row>
    <row r="334" spans="1:90" x14ac:dyDescent="0.2">
      <c r="A334" s="2" t="s">
        <v>403</v>
      </c>
      <c r="B334" s="2" t="str">
        <f t="shared" si="266"/>
        <v>IB VALLEY TPS</v>
      </c>
      <c r="C334" s="2" t="str">
        <f>VLOOKUP($A334,'[1]daily coal, energy reqd'!$C$2:$T$599,17,FALSE)</f>
        <v>Odisha</v>
      </c>
      <c r="D334" s="2" t="str">
        <f>VLOOKUP(C334,'Target PLF'!$I$2:$J$19,2,FALSE)</f>
        <v>ER</v>
      </c>
      <c r="E334" s="2" t="str">
        <f>VLOOKUP(A334,[2]Ownership!$C$2:$D$666,2,FALSE)</f>
        <v>STATE SECTOR</v>
      </c>
      <c r="F334" s="2" t="s">
        <v>547</v>
      </c>
      <c r="G334" s="12">
        <v>25.924709103353798</v>
      </c>
      <c r="H334" s="2">
        <v>210</v>
      </c>
      <c r="I334" s="2">
        <f>VLOOKUP(A334,'[3]Calculated coal req (reg.)'!$A$2:$I$599,9,FALSE)</f>
        <v>3.8271237541627499</v>
      </c>
      <c r="J334" s="2"/>
      <c r="K334" s="11">
        <v>0.75934995122276783</v>
      </c>
      <c r="L334" s="3">
        <f>VLOOKUP(F334,'Target PLF'!$A$2:$B$11,2,FALSE)</f>
        <v>0.65</v>
      </c>
      <c r="M334" s="3">
        <f t="shared" si="289"/>
        <v>-0.1093499512227678</v>
      </c>
      <c r="N334" s="2" t="str">
        <f t="shared" si="268"/>
        <v>0.25</v>
      </c>
      <c r="O334" s="2">
        <f t="shared" si="267"/>
        <v>13.713232587196467</v>
      </c>
      <c r="P334" s="2">
        <f t="shared" si="269"/>
        <v>1051119.2778086092</v>
      </c>
      <c r="Q334" s="2">
        <f t="shared" si="270"/>
        <v>14.974473910848731</v>
      </c>
      <c r="R334" s="2">
        <f t="shared" si="271"/>
        <v>3.2759999999999998</v>
      </c>
      <c r="S334" s="2"/>
      <c r="T334" s="2" t="str">
        <f>VLOOKUP(A334,'[4]CEA vs MERIT comp. &amp; NPA marker'!$C$2:$K$735,9,FALSE)</f>
        <v>Contracted</v>
      </c>
      <c r="U334" s="3">
        <f>VLOOKUP(B334,'[8]Import-Domestic share'!$A$208:$F$406,6,FALSE)</f>
        <v>0</v>
      </c>
      <c r="V334" s="3">
        <f t="shared" si="272"/>
        <v>0</v>
      </c>
      <c r="W334" s="2">
        <f t="shared" si="273"/>
        <v>3206.6135361184115</v>
      </c>
      <c r="X334" s="2">
        <f t="shared" si="274"/>
        <v>3170.4655915227595</v>
      </c>
      <c r="Y334" s="6">
        <f t="shared" si="275"/>
        <v>0.26819571186648994</v>
      </c>
      <c r="Z334" s="2"/>
      <c r="AA334" s="2">
        <f t="shared" si="276"/>
        <v>1362715.0537327477</v>
      </c>
      <c r="AB334" s="2" t="s">
        <v>576</v>
      </c>
      <c r="AC334" s="12">
        <f>VLOOKUP(B334,[9]Sheet1!$A$2:$B$137,2,FALSE)</f>
        <v>3249.9999999999991</v>
      </c>
      <c r="AD334" s="12">
        <f t="shared" si="277"/>
        <v>682499.99999999977</v>
      </c>
      <c r="AE334" s="2" t="s">
        <v>589</v>
      </c>
      <c r="AF334" s="7">
        <f>VLOOKUP($B334,'[9]Subsidiary wise dispatch'!$A$3:$R$138,11,FALSE)*$H334*$O334*365</f>
        <v>0</v>
      </c>
      <c r="AG334" s="7">
        <f>VLOOKUP($B334,'[9]Subsidiary wise dispatch'!$A$3:$R$138,12,FALSE)*$H334*$O334*365</f>
        <v>0</v>
      </c>
      <c r="AH334" s="7">
        <f>VLOOKUP($B334,'[9]Subsidiary wise dispatch'!$A$3:$R$138,13,FALSE)*$H334*$O334*365</f>
        <v>0</v>
      </c>
      <c r="AI334" s="7">
        <f>VLOOKUP($B334,'[9]Subsidiary wise dispatch'!$A$3:$R$138,14,FALSE)*$H334*$O334*365</f>
        <v>1051119.2778086092</v>
      </c>
      <c r="AJ334" s="7">
        <f>VLOOKUP($B334,'[9]Subsidiary wise dispatch'!$A$3:$R$138,15,FALSE)*$H334*$O334*365</f>
        <v>0</v>
      </c>
      <c r="AK334" s="7">
        <f>VLOOKUP($B334,'[9]Subsidiary wise dispatch'!$A$3:$R$138,16,FALSE)*$H334*$O334*365</f>
        <v>0</v>
      </c>
      <c r="AL334" s="7">
        <f>VLOOKUP($B334,'[9]Subsidiary wise dispatch'!$A$3:$R$138,17,FALSE)*$H334*$O334*365</f>
        <v>0</v>
      </c>
      <c r="AM334" s="7">
        <f>VLOOKUP($B334,'[9]Subsidiary wise dispatch'!$A$3:$R$138,18,FALSE)*$H334*$O334*365</f>
        <v>0</v>
      </c>
      <c r="AN334" s="15">
        <f t="shared" si="278"/>
        <v>1051119.2778086092</v>
      </c>
      <c r="AO334" s="6">
        <v>0.10945422612917571</v>
      </c>
      <c r="AP334" s="11">
        <f t="shared" si="279"/>
        <v>0.41889486881246951</v>
      </c>
      <c r="AQ334" s="11"/>
      <c r="AR334" s="3">
        <f>VLOOKUP(A334,[10]Sheet1!$A$2:$L$542,12,FALSE)</f>
        <v>1.3351511758118599</v>
      </c>
      <c r="AS334" s="3">
        <f t="shared" si="290"/>
        <v>2.4167417996226135</v>
      </c>
      <c r="AT334" s="2"/>
      <c r="AU334" s="2"/>
      <c r="AV334" s="88">
        <f t="shared" si="291"/>
        <v>-8.0133831255068705E-2</v>
      </c>
      <c r="AW334" s="32">
        <f t="shared" si="292"/>
        <v>3.3157795866973462E-2</v>
      </c>
      <c r="AX334" s="12">
        <f t="shared" si="280"/>
        <v>337.59470313900141</v>
      </c>
      <c r="AY334" s="12">
        <f t="shared" si="281"/>
        <v>0</v>
      </c>
      <c r="AZ334" s="3">
        <f>VLOOKUP(A334,[5]Analysis!$A$3:$BJ$543,62,FALSE)</f>
        <v>0.56327565253723622</v>
      </c>
      <c r="BA334" s="2"/>
      <c r="BB334" s="2"/>
      <c r="BC334" s="2" t="str">
        <f>VLOOKUP(A334,'[6]FGD status - Jun 2020'!$I$2:$M$449,5,FALSE)</f>
        <v>Feasibility study completed</v>
      </c>
      <c r="BD334" s="2">
        <f>VLOOKUP(A334,'[1]daily coal, energy reqd'!$C$2:$L$599,10,FALSE)</f>
        <v>0</v>
      </c>
      <c r="BE334" s="2" t="str">
        <f>VLOOKUP(A334,'[1]daily coal, energy reqd'!$C$2:$M$599,11,FALSE)</f>
        <v>Y</v>
      </c>
      <c r="BF334" s="2">
        <f t="shared" si="282"/>
        <v>421.76030913028541</v>
      </c>
      <c r="BG334" s="2">
        <f t="shared" si="283"/>
        <v>0</v>
      </c>
      <c r="BH334" s="2">
        <f>IF(G334&lt;17,IF(H334&gt;400,H334*5000000,H334*3500000),H334*1500000)/10^7</f>
        <v>31.5</v>
      </c>
      <c r="BI334" s="2">
        <f>(H334*800000)/10^7</f>
        <v>16.8</v>
      </c>
      <c r="BK334">
        <f t="shared" si="286"/>
        <v>159.46348975678126</v>
      </c>
      <c r="BL334" t="str">
        <f>VLOOKUP(A334,'[11]Daily coal vs energy req.2'!$C$2:$P$599,14,FALSE)</f>
        <v/>
      </c>
      <c r="BM334" t="str">
        <f>VLOOKUP(A334,'[11]Daily coal vs energy req.2'!$C$2:$R$599,16,FALSE)</f>
        <v/>
      </c>
      <c r="BP334" s="2" t="str">
        <f>VLOOKUP(A334,'[7]Table 2'!$J$2:$N$449,5,FALSE)</f>
        <v>Feasibility study completed</v>
      </c>
      <c r="BR334">
        <f t="shared" si="293"/>
        <v>249.46486861192915</v>
      </c>
      <c r="BT334">
        <f>(X334*I334*365*[5]Analysis!BK334)/10^4</f>
        <v>184.0403805081128</v>
      </c>
      <c r="BV334">
        <f>(X334*I334*365*[5]Analysis!BL334)/10^4</f>
        <v>65.424488103816358</v>
      </c>
      <c r="BX334">
        <f t="shared" si="294"/>
        <v>1243710.8281499217</v>
      </c>
      <c r="BZ334">
        <f t="shared" si="295"/>
        <v>4076013.6852567382</v>
      </c>
      <c r="CB334">
        <f t="shared" si="296"/>
        <v>-313405.37167401443</v>
      </c>
      <c r="CD334">
        <f t="shared" si="297"/>
        <v>0</v>
      </c>
      <c r="CF334">
        <f t="shared" si="298"/>
        <v>2494303.0304711703</v>
      </c>
      <c r="CH334">
        <f t="shared" si="299"/>
        <v>734652.79503124545</v>
      </c>
      <c r="CJ334">
        <f t="shared" si="300"/>
        <v>-483744.61540241749</v>
      </c>
      <c r="CL334">
        <f t="shared" si="301"/>
        <v>1184234.2255070789</v>
      </c>
    </row>
    <row r="335" spans="1:90" x14ac:dyDescent="0.2">
      <c r="A335" s="2" t="s">
        <v>397</v>
      </c>
      <c r="B335" s="2" t="str">
        <f t="shared" ref="B335:B366" si="302">LEFT(A335,LEN(A335)-LEN(RIGHT(A335,1)))</f>
        <v>IB VALLEY TPS</v>
      </c>
      <c r="C335" s="2" t="str">
        <f>VLOOKUP($A335,'[1]daily coal, energy reqd'!$C$2:$T$599,17,FALSE)</f>
        <v>Odisha</v>
      </c>
      <c r="D335" s="2" t="str">
        <f>VLOOKUP(C335,'Target PLF'!$I$2:$J$19,2,FALSE)</f>
        <v>ER</v>
      </c>
      <c r="E335" s="2" t="str">
        <f>VLOOKUP(A335,[2]Ownership!$C$2:$D$666,2,FALSE)</f>
        <v>STATE SECTOR</v>
      </c>
      <c r="F335" s="2" t="s">
        <v>546</v>
      </c>
      <c r="G335" s="12">
        <v>24.591375770020498</v>
      </c>
      <c r="H335" s="2">
        <v>210</v>
      </c>
      <c r="I335" s="2">
        <f>VLOOKUP(A335,'[3]Calculated coal req (reg.)'!$A$2:$I$599,9,FALSE)</f>
        <v>3.8379222869240199</v>
      </c>
      <c r="J335" s="2"/>
      <c r="K335" s="11">
        <v>0.76149251724682931</v>
      </c>
      <c r="L335" s="3">
        <f>VLOOKUP(F335,'Target PLF'!$A$2:$B$11,2,FALSE)</f>
        <v>0.7</v>
      </c>
      <c r="M335" s="3">
        <f t="shared" si="289"/>
        <v>-6.1492517246829359E-2</v>
      </c>
      <c r="N335" s="2" t="str">
        <f t="shared" si="268"/>
        <v>0.25</v>
      </c>
      <c r="O335" s="2">
        <f t="shared" si="267"/>
        <v>13.70080941772571</v>
      </c>
      <c r="P335" s="2">
        <f t="shared" si="269"/>
        <v>1050167.0418686755</v>
      </c>
      <c r="Q335" s="2">
        <f t="shared" si="270"/>
        <v>14.932240577515399</v>
      </c>
      <c r="R335" s="2">
        <f t="shared" si="271"/>
        <v>3.528</v>
      </c>
      <c r="S335" s="2"/>
      <c r="T335" s="2" t="str">
        <f>VLOOKUP(A335,'[4]CEA vs MERIT comp. &amp; NPA marker'!$C$2:$K$735,9,FALSE)</f>
        <v>Contracted</v>
      </c>
      <c r="U335" s="3">
        <f>VLOOKUP(B335,'[8]Import-Domestic share'!$A$208:$F$406,6,FALSE)</f>
        <v>0</v>
      </c>
      <c r="V335" s="3">
        <f t="shared" si="272"/>
        <v>0</v>
      </c>
      <c r="W335" s="2">
        <f t="shared" si="273"/>
        <v>3179.8975934517453</v>
      </c>
      <c r="X335" s="2">
        <f t="shared" si="274"/>
        <v>3159.5699382344401</v>
      </c>
      <c r="Y335" s="6">
        <f t="shared" si="275"/>
        <v>0.2704489609259646</v>
      </c>
      <c r="Z335" s="2"/>
      <c r="AA335" s="2">
        <f t="shared" si="276"/>
        <v>1361863.7284035278</v>
      </c>
      <c r="AB335" s="2" t="s">
        <v>576</v>
      </c>
      <c r="AC335" s="12">
        <f>VLOOKUP(B335,[9]Sheet1!$A$2:$B$137,2,FALSE)</f>
        <v>3249.9999999999991</v>
      </c>
      <c r="AD335" s="12">
        <f t="shared" si="277"/>
        <v>682499.99999999977</v>
      </c>
      <c r="AE335" s="2" t="s">
        <v>589</v>
      </c>
      <c r="AF335" s="7">
        <f>VLOOKUP($B335,'[9]Subsidiary wise dispatch'!$A$3:$R$138,11,FALSE)*$H335*$O335*365</f>
        <v>0</v>
      </c>
      <c r="AG335" s="7">
        <f>VLOOKUP($B335,'[9]Subsidiary wise dispatch'!$A$3:$R$138,12,FALSE)*$H335*$O335*365</f>
        <v>0</v>
      </c>
      <c r="AH335" s="7">
        <f>VLOOKUP($B335,'[9]Subsidiary wise dispatch'!$A$3:$R$138,13,FALSE)*$H335*$O335*365</f>
        <v>0</v>
      </c>
      <c r="AI335" s="7">
        <f>VLOOKUP($B335,'[9]Subsidiary wise dispatch'!$A$3:$R$138,14,FALSE)*$H335*$O335*365</f>
        <v>1050167.0418686755</v>
      </c>
      <c r="AJ335" s="7">
        <f>VLOOKUP($B335,'[9]Subsidiary wise dispatch'!$A$3:$R$138,15,FALSE)*$H335*$O335*365</f>
        <v>0</v>
      </c>
      <c r="AK335" s="7">
        <f>VLOOKUP($B335,'[9]Subsidiary wise dispatch'!$A$3:$R$138,16,FALSE)*$H335*$O335*365</f>
        <v>0</v>
      </c>
      <c r="AL335" s="7">
        <f>VLOOKUP($B335,'[9]Subsidiary wise dispatch'!$A$3:$R$138,17,FALSE)*$H335*$O335*365</f>
        <v>0</v>
      </c>
      <c r="AM335" s="7">
        <f>VLOOKUP($B335,'[9]Subsidiary wise dispatch'!$A$3:$R$138,18,FALSE)*$H335*$O335*365</f>
        <v>0</v>
      </c>
      <c r="AN335" s="15">
        <f t="shared" si="278"/>
        <v>1050167.0418686755</v>
      </c>
      <c r="AO335" s="6">
        <v>0.10945422612917571</v>
      </c>
      <c r="AP335" s="11">
        <f t="shared" si="279"/>
        <v>0.42007681385918488</v>
      </c>
      <c r="AQ335" s="11"/>
      <c r="AR335" s="3">
        <f>VLOOKUP(A335,[10]Sheet1!$A$2:$L$542,12,FALSE)</f>
        <v>1.3351511758118599</v>
      </c>
      <c r="AS335" s="3">
        <f t="shared" si="290"/>
        <v>2.4057523284938944</v>
      </c>
      <c r="AT335" s="2"/>
      <c r="AU335" s="2"/>
      <c r="AV335" s="88">
        <f t="shared" si="291"/>
        <v>-4.506294648882149E-2</v>
      </c>
      <c r="AW335" s="32">
        <f t="shared" si="292"/>
        <v>1.873133237993491E-2</v>
      </c>
      <c r="AX335" s="12">
        <f t="shared" si="280"/>
        <v>337.00780245963165</v>
      </c>
      <c r="AY335" s="12">
        <f t="shared" si="281"/>
        <v>0</v>
      </c>
      <c r="AZ335" s="3">
        <f>VLOOKUP(A335,[5]Analysis!$A$3:$BJ$543,62,FALSE)</f>
        <v>0.56327565253723622</v>
      </c>
      <c r="BA335" s="2"/>
      <c r="BB335" s="2"/>
      <c r="BC335" s="2" t="str">
        <f>VLOOKUP(A335,'[6]FGD status - Jun 2020'!$I$2:$M$449,5,FALSE)</f>
        <v>Feasibility study completed</v>
      </c>
      <c r="BD335" s="2">
        <f>VLOOKUP(A335,'[1]daily coal, energy reqd'!$C$2:$L$599,10,FALSE)</f>
        <v>0</v>
      </c>
      <c r="BE335" s="2" t="str">
        <f>VLOOKUP(A335,'[1]daily coal, energy reqd'!$C$2:$M$599,11,FALSE)</f>
        <v>Y</v>
      </c>
      <c r="BF335" s="2">
        <f t="shared" si="282"/>
        <v>421.49682394089183</v>
      </c>
      <c r="BG335" s="2">
        <f t="shared" si="283"/>
        <v>0</v>
      </c>
      <c r="BH335" s="2">
        <f>IF(G335&lt;17,IF(H335&gt;400,H335*5000000,H335*3500000),H335*1500000)/10^7</f>
        <v>31.5</v>
      </c>
      <c r="BI335" s="2">
        <f>(H335*800000)/10^7</f>
        <v>16.8</v>
      </c>
      <c r="BK335">
        <f t="shared" si="286"/>
        <v>159.91342862183416</v>
      </c>
      <c r="BL335" t="str">
        <f>VLOOKUP(A335,'[11]Daily coal vs energy req.2'!$C$2:$P$599,14,FALSE)</f>
        <v/>
      </c>
      <c r="BM335" t="str">
        <f>VLOOKUP(A335,'[11]Daily coal vs energy req.2'!$C$2:$R$599,16,FALSE)</f>
        <v/>
      </c>
      <c r="BP335" s="2" t="str">
        <f>VLOOKUP(A335,'[7]Table 2'!$J$2:$N$449,5,FALSE)</f>
        <v>Feasibility study completed</v>
      </c>
      <c r="BR335">
        <f t="shared" si="293"/>
        <v>249.30902109206934</v>
      </c>
      <c r="BT335">
        <f>(X335*I335*365*[5]Analysis!BK335)/10^4</f>
        <v>183.92540545364585</v>
      </c>
      <c r="BV335">
        <f>(X335*I335*365*[5]Analysis!BL335)/10^4</f>
        <v>65.383615638423478</v>
      </c>
      <c r="BX335">
        <f t="shared" si="294"/>
        <v>1242933.8480121235</v>
      </c>
      <c r="BZ335">
        <f t="shared" si="295"/>
        <v>4087514.4806694179</v>
      </c>
      <c r="CB335">
        <f t="shared" si="296"/>
        <v>-315176.46294367488</v>
      </c>
      <c r="CD335">
        <f t="shared" si="297"/>
        <v>0</v>
      </c>
      <c r="CF335">
        <f t="shared" si="298"/>
        <v>2501340.9040078651</v>
      </c>
      <c r="CH335">
        <f t="shared" si="299"/>
        <v>698835.14864185138</v>
      </c>
      <c r="CJ335">
        <f t="shared" si="300"/>
        <v>-485109.53914490924</v>
      </c>
      <c r="CL335">
        <f t="shared" si="301"/>
        <v>1187575.6361597255</v>
      </c>
    </row>
    <row r="336" spans="1:90" x14ac:dyDescent="0.2">
      <c r="A336" s="2" t="s">
        <v>388</v>
      </c>
      <c r="B336" s="2" t="str">
        <f t="shared" si="302"/>
        <v>JOJOBERA TPS</v>
      </c>
      <c r="C336" s="2" t="str">
        <f>VLOOKUP($A336,'[1]daily coal, energy reqd'!$C$2:$T$599,17,FALSE)</f>
        <v>Jharkhand</v>
      </c>
      <c r="D336" s="2" t="str">
        <f>VLOOKUP(C336,'Target PLF'!$I$2:$J$19,2,FALSE)</f>
        <v>ER</v>
      </c>
      <c r="E336" s="2" t="str">
        <f>VLOOKUP(A336,[2]Ownership!$C$2:$D$666,2,FALSE)</f>
        <v>PVT SECTOR</v>
      </c>
      <c r="F336" s="2" t="s">
        <v>545</v>
      </c>
      <c r="G336" s="12">
        <v>19.337440109513999</v>
      </c>
      <c r="H336" s="2">
        <v>120</v>
      </c>
      <c r="I336" s="2">
        <f>VLOOKUP(A336,'[3]Calculated coal req (reg.)'!$A$2:$I$599,9,FALSE)</f>
        <v>2.0828475469415499</v>
      </c>
      <c r="J336" s="2"/>
      <c r="K336" s="11">
        <v>0.72321095379914924</v>
      </c>
      <c r="L336" s="3">
        <f>VLOOKUP(F336,'Target PLF'!$A$2:$B$11,2,FALSE)</f>
        <v>0.75</v>
      </c>
      <c r="M336" s="3">
        <f t="shared" si="289"/>
        <v>2.6789046200850763E-2</v>
      </c>
      <c r="N336" s="2" t="str">
        <f t="shared" si="268"/>
        <v>0.25</v>
      </c>
      <c r="O336" s="2">
        <f t="shared" si="267"/>
        <v>12.580728028962559</v>
      </c>
      <c r="P336" s="2">
        <f t="shared" si="269"/>
        <v>551035.88766856003</v>
      </c>
      <c r="Q336" s="2">
        <f t="shared" si="270"/>
        <v>14.344782065468856</v>
      </c>
      <c r="R336" s="2">
        <f t="shared" si="271"/>
        <v>2.16</v>
      </c>
      <c r="S336" s="2"/>
      <c r="T336" s="2" t="str">
        <f>VLOOKUP(A336,'[4]CEA vs MERIT comp. &amp; NPA marker'!$C$2:$K$735,9,FALSE)</f>
        <v>Not contracted</v>
      </c>
      <c r="U336" s="3">
        <f>VLOOKUP(B336,'[8]Import-Domestic share'!$A$208:$F$406,6,FALSE)</f>
        <v>5.782718268310312E-2</v>
      </c>
      <c r="V336" s="3">
        <f t="shared" si="272"/>
        <v>31864.852941155714</v>
      </c>
      <c r="W336" s="2">
        <f t="shared" si="273"/>
        <v>3219.580412810154</v>
      </c>
      <c r="X336" s="2">
        <f t="shared" si="274"/>
        <v>3228.4360999596247</v>
      </c>
      <c r="Y336" s="6">
        <f t="shared" si="275"/>
        <v>0.26711555225588052</v>
      </c>
      <c r="Z336" s="2"/>
      <c r="AA336" s="2">
        <f t="shared" si="276"/>
        <v>491437.6809924838</v>
      </c>
      <c r="AB336" s="2" t="s">
        <v>576</v>
      </c>
      <c r="AC336" s="12">
        <f>VLOOKUP(B336,[9]Sheet1!$A$2:$B$137,2,FALSE)</f>
        <v>4994.293828166733</v>
      </c>
      <c r="AD336" s="12">
        <f t="shared" si="277"/>
        <v>599315.25938000798</v>
      </c>
      <c r="AE336" s="2"/>
      <c r="AF336" s="7">
        <f>VLOOKUP($B336,'[9]Subsidiary wise dispatch'!$A$3:$R$138,11,FALSE)*$H336*$O336*365</f>
        <v>364815.38530721614</v>
      </c>
      <c r="AG336" s="7">
        <f>VLOOKUP($B336,'[9]Subsidiary wise dispatch'!$A$3:$R$138,12,FALSE)*$H336*$O336*365</f>
        <v>75385.102259650259</v>
      </c>
      <c r="AH336" s="7">
        <f>VLOOKUP($B336,'[9]Subsidiary wise dispatch'!$A$3:$R$138,13,FALSE)*$H336*$O336*365</f>
        <v>110835.40010169359</v>
      </c>
      <c r="AI336" s="7">
        <f>VLOOKUP($B336,'[9]Subsidiary wise dispatch'!$A$3:$R$138,14,FALSE)*$H336*$O336*365</f>
        <v>0</v>
      </c>
      <c r="AJ336" s="7">
        <f>VLOOKUP($B336,'[9]Subsidiary wise dispatch'!$A$3:$R$138,15,FALSE)*$H336*$O336*365</f>
        <v>0</v>
      </c>
      <c r="AK336" s="7">
        <f>VLOOKUP($B336,'[9]Subsidiary wise dispatch'!$A$3:$R$138,16,FALSE)*$H336*$O336*365</f>
        <v>0</v>
      </c>
      <c r="AL336" s="7">
        <f>VLOOKUP($B336,'[9]Subsidiary wise dispatch'!$A$3:$R$138,17,FALSE)*$H336*$O336*365</f>
        <v>0</v>
      </c>
      <c r="AM336" s="7">
        <f>VLOOKUP($B336,'[9]Subsidiary wise dispatch'!$A$3:$R$138,18,FALSE)*$H336*$O336*365</f>
        <v>0</v>
      </c>
      <c r="AN336" s="15">
        <f t="shared" si="278"/>
        <v>551035.88766856003</v>
      </c>
      <c r="AO336" s="6">
        <v>5.8799999999999998E-2</v>
      </c>
      <c r="AP336" s="11">
        <f t="shared" si="279"/>
        <v>0.12247143576016313</v>
      </c>
      <c r="AQ336" s="11"/>
      <c r="AR336" s="3"/>
      <c r="AS336" s="3">
        <f t="shared" si="290"/>
        <v>2.4249582814453783</v>
      </c>
      <c r="AT336" s="2"/>
      <c r="AU336" s="2"/>
      <c r="AV336" s="88">
        <f t="shared" si="291"/>
        <v>1.9631548836907459E-2</v>
      </c>
      <c r="AW336" s="32">
        <f t="shared" si="292"/>
        <v>8.0956233297367168E-3</v>
      </c>
      <c r="AX336" s="12">
        <f t="shared" si="280"/>
        <v>184.35487188995975</v>
      </c>
      <c r="AY336" s="12">
        <f t="shared" si="281"/>
        <v>0</v>
      </c>
      <c r="AZ336" s="3">
        <f>VLOOKUP(A336,[5]Analysis!$A$3:$BJ$543,62,FALSE)</f>
        <v>0.63736163482819064</v>
      </c>
      <c r="BA336" s="65">
        <v>95.990000000000009</v>
      </c>
      <c r="BB336" s="2"/>
      <c r="BC336" s="2" t="str">
        <f>VLOOKUP(A336,'[6]FGD status - Jun 2020'!$I$2:$M$449,5,FALSE)</f>
        <v>NIT issued</v>
      </c>
      <c r="BD336" s="2"/>
      <c r="BE336" s="2"/>
      <c r="BF336" s="2">
        <f t="shared" si="282"/>
        <v>158.17014458755943</v>
      </c>
      <c r="BG336" s="2">
        <f t="shared" si="283"/>
        <v>0</v>
      </c>
      <c r="BH336" s="2">
        <f>IF(G336&lt;17,IF(H336&gt;400,H336*5000000,H336*3500000),H336*1500000)/10^7</f>
        <v>18</v>
      </c>
      <c r="BI336" s="2">
        <f>(H336*800000)/10^7</f>
        <v>9.6</v>
      </c>
      <c r="BK336">
        <f t="shared" si="286"/>
        <v>86.785314455897904</v>
      </c>
      <c r="BL336" t="str">
        <f>VLOOKUP(A336,'[11]Daily coal vs energy req.2'!$C$2:$P$599,14,FALSE)</f>
        <v/>
      </c>
      <c r="BM336" t="str">
        <f>VLOOKUP(A336,'[11]Daily coal vs energy req.2'!$C$2:$R$599,16,FALSE)</f>
        <v/>
      </c>
      <c r="BP336" s="2" t="str">
        <f>VLOOKUP(A336,'[7]Table 2'!$J$2:$N$449,5,FALSE)</f>
        <v>Bid Awarded</v>
      </c>
      <c r="BR336">
        <f t="shared" si="293"/>
        <v>156.43303116188483</v>
      </c>
      <c r="BT336">
        <f>(X336*I336*365*[5]Analysis!BK336)/10^4</f>
        <v>120.07018802231912</v>
      </c>
      <c r="BV336">
        <f>(X336*I336*365*[5]Analysis!BL336)/10^4</f>
        <v>36.362843139565712</v>
      </c>
      <c r="BX336">
        <f t="shared" si="294"/>
        <v>689244.87165399094</v>
      </c>
      <c r="BZ336">
        <f t="shared" si="295"/>
        <v>2510068.3610826135</v>
      </c>
      <c r="CB336">
        <f t="shared" si="296"/>
        <v>-162448.0263012326</v>
      </c>
      <c r="CD336">
        <f t="shared" si="297"/>
        <v>-768663.22325251612</v>
      </c>
      <c r="CF336">
        <f t="shared" si="298"/>
        <v>1357482.3502101002</v>
      </c>
      <c r="CH336">
        <f t="shared" si="299"/>
        <v>298230.59998073778</v>
      </c>
      <c r="CJ336">
        <f t="shared" si="300"/>
        <v>-150439.91262049429</v>
      </c>
      <c r="CL336">
        <f t="shared" si="301"/>
        <v>346232.13763715461</v>
      </c>
    </row>
    <row r="337" spans="1:90" x14ac:dyDescent="0.2">
      <c r="A337" s="2" t="s">
        <v>384</v>
      </c>
      <c r="B337" s="2" t="str">
        <f t="shared" si="302"/>
        <v>JOJOBERA TPS</v>
      </c>
      <c r="C337" s="2" t="str">
        <f>VLOOKUP($A337,'[1]daily coal, energy reqd'!$C$2:$T$599,17,FALSE)</f>
        <v>Jharkhand</v>
      </c>
      <c r="D337" s="2" t="str">
        <f>VLOOKUP(C337,'Target PLF'!$I$2:$J$19,2,FALSE)</f>
        <v>ER</v>
      </c>
      <c r="E337" s="2" t="str">
        <f>VLOOKUP(A337,[2]Ownership!$C$2:$D$666,2,FALSE)</f>
        <v>PVT SECTOR</v>
      </c>
      <c r="F337" s="2" t="s">
        <v>545</v>
      </c>
      <c r="G337" s="12">
        <v>18.338124572210798</v>
      </c>
      <c r="H337" s="2">
        <v>120</v>
      </c>
      <c r="I337" s="2">
        <f>VLOOKUP(A337,'[3]Calculated coal req (reg.)'!$A$2:$I$599,9,FALSE)</f>
        <v>2.07531232321627</v>
      </c>
      <c r="J337" s="2"/>
      <c r="K337" s="11">
        <v>0.72059455667231609</v>
      </c>
      <c r="L337" s="3">
        <f>VLOOKUP(F337,'Target PLF'!$A$2:$B$11,2,FALSE)</f>
        <v>0.75</v>
      </c>
      <c r="M337" s="3">
        <f t="shared" si="289"/>
        <v>2.9405443327683911E-2</v>
      </c>
      <c r="N337" s="2" t="str">
        <f t="shared" si="268"/>
        <v>0.25</v>
      </c>
      <c r="O337" s="2">
        <f t="shared" si="267"/>
        <v>12.512671991173713</v>
      </c>
      <c r="P337" s="2">
        <f t="shared" si="269"/>
        <v>548055.03321340866</v>
      </c>
      <c r="Q337" s="2">
        <f t="shared" si="270"/>
        <v>14.313128745824777</v>
      </c>
      <c r="R337" s="2">
        <f t="shared" si="271"/>
        <v>2.16</v>
      </c>
      <c r="S337" s="2"/>
      <c r="T337" s="2" t="str">
        <f>VLOOKUP(A337,'[4]CEA vs MERIT comp. &amp; NPA marker'!$C$2:$K$735,9,FALSE)</f>
        <v>Not contracted</v>
      </c>
      <c r="U337" s="3">
        <f>VLOOKUP(B337,'[8]Import-Domestic share'!$A$208:$F$406,6,FALSE)</f>
        <v>5.782718268310312E-2</v>
      </c>
      <c r="V337" s="3">
        <f t="shared" si="272"/>
        <v>31692.47852602593</v>
      </c>
      <c r="W337" s="2">
        <f t="shared" si="273"/>
        <v>3211.9451054727142</v>
      </c>
      <c r="X337" s="2">
        <f t="shared" si="274"/>
        <v>3221.6656981600786</v>
      </c>
      <c r="Y337" s="6">
        <f t="shared" si="275"/>
        <v>0.26775052865463916</v>
      </c>
      <c r="Z337" s="2"/>
      <c r="AA337" s="2">
        <f t="shared" si="276"/>
        <v>488632.90896965144</v>
      </c>
      <c r="AB337" s="2" t="s">
        <v>576</v>
      </c>
      <c r="AC337" s="12">
        <f>VLOOKUP(B337,[9]Sheet1!$A$2:$B$137,2,FALSE)</f>
        <v>4994.293828166733</v>
      </c>
      <c r="AD337" s="12">
        <f t="shared" si="277"/>
        <v>599315.25938000798</v>
      </c>
      <c r="AE337" s="2"/>
      <c r="AF337" s="7">
        <f>VLOOKUP($B337,'[9]Subsidiary wise dispatch'!$A$3:$R$138,11,FALSE)*$H337*$O337*365</f>
        <v>362841.8993856333</v>
      </c>
      <c r="AG337" s="7">
        <f>VLOOKUP($B337,'[9]Subsidiary wise dispatch'!$A$3:$R$138,12,FALSE)*$H337*$O337*365</f>
        <v>74977.303016531121</v>
      </c>
      <c r="AH337" s="7">
        <f>VLOOKUP($B337,'[9]Subsidiary wise dispatch'!$A$3:$R$138,13,FALSE)*$H337*$O337*365</f>
        <v>110235.83081124413</v>
      </c>
      <c r="AI337" s="7">
        <f>VLOOKUP($B337,'[9]Subsidiary wise dispatch'!$A$3:$R$138,14,FALSE)*$H337*$O337*365</f>
        <v>0</v>
      </c>
      <c r="AJ337" s="7">
        <f>VLOOKUP($B337,'[9]Subsidiary wise dispatch'!$A$3:$R$138,15,FALSE)*$H337*$O337*365</f>
        <v>0</v>
      </c>
      <c r="AK337" s="7">
        <f>VLOOKUP($B337,'[9]Subsidiary wise dispatch'!$A$3:$R$138,16,FALSE)*$H337*$O337*365</f>
        <v>0</v>
      </c>
      <c r="AL337" s="7">
        <f>VLOOKUP($B337,'[9]Subsidiary wise dispatch'!$A$3:$R$138,17,FALSE)*$H337*$O337*365</f>
        <v>0</v>
      </c>
      <c r="AM337" s="7">
        <f>VLOOKUP($B337,'[9]Subsidiary wise dispatch'!$A$3:$R$138,18,FALSE)*$H337*$O337*365</f>
        <v>0</v>
      </c>
      <c r="AN337" s="15">
        <f t="shared" si="278"/>
        <v>548055.03321340855</v>
      </c>
      <c r="AO337" s="6">
        <v>5.8799999999999998E-2</v>
      </c>
      <c r="AP337" s="11">
        <f t="shared" si="279"/>
        <v>0.12202836460511668</v>
      </c>
      <c r="AQ337" s="11"/>
      <c r="AR337" s="3"/>
      <c r="AS337" s="3">
        <f t="shared" si="290"/>
        <v>2.4168648833649633</v>
      </c>
      <c r="AT337" s="2"/>
      <c r="AU337" s="2"/>
      <c r="AV337" s="88">
        <f t="shared" si="291"/>
        <v>2.1548896979393325E-2</v>
      </c>
      <c r="AW337" s="32">
        <f t="shared" si="292"/>
        <v>8.9160536560037775E-3</v>
      </c>
      <c r="AX337" s="12">
        <f t="shared" si="280"/>
        <v>183.07485587385258</v>
      </c>
      <c r="AY337" s="12">
        <f t="shared" si="281"/>
        <v>0</v>
      </c>
      <c r="AZ337" s="3">
        <f>VLOOKUP(A337,[5]Analysis!$A$3:$BJ$543,62,FALSE)</f>
        <v>0.63736163482819064</v>
      </c>
      <c r="BA337" s="65">
        <v>89.32</v>
      </c>
      <c r="BB337" s="2"/>
      <c r="BC337" s="2" t="str">
        <f>VLOOKUP(A337,'[6]FGD status - Jun 2020'!$I$2:$M$449,5,FALSE)</f>
        <v>NIT issued</v>
      </c>
      <c r="BD337" s="2"/>
      <c r="BE337" s="2"/>
      <c r="BF337" s="2">
        <f t="shared" si="282"/>
        <v>157.26742342159065</v>
      </c>
      <c r="BG337" s="2">
        <f t="shared" si="283"/>
        <v>0</v>
      </c>
      <c r="BH337" s="2">
        <f>IF(G337&lt;17,IF(H337&gt;400,H337*5000000,H337*3500000),H337*1500000)/10^7</f>
        <v>18</v>
      </c>
      <c r="BI337" s="2">
        <f>(H337*800000)/10^7</f>
        <v>9.6</v>
      </c>
      <c r="BK337">
        <f t="shared" si="286"/>
        <v>86.471346800677935</v>
      </c>
      <c r="BL337" t="str">
        <f>VLOOKUP(A337,'[11]Daily coal vs energy req.2'!$C$2:$P$599,14,FALSE)</f>
        <v/>
      </c>
      <c r="BM337" t="str">
        <f>VLOOKUP(A337,'[11]Daily coal vs energy req.2'!$C$2:$R$599,16,FALSE)</f>
        <v/>
      </c>
      <c r="BP337" s="2" t="str">
        <f>VLOOKUP(A337,'[7]Table 2'!$J$2:$N$449,5,FALSE)</f>
        <v>Bid Awarded</v>
      </c>
      <c r="BR337">
        <f t="shared" si="293"/>
        <v>155.54022418712532</v>
      </c>
      <c r="BT337">
        <f>(X337*I337*365*[5]Analysis!BK337)/10^4</f>
        <v>119.38491394349572</v>
      </c>
      <c r="BV337">
        <f>(X337*I337*365*[5]Analysis!BL337)/10^4</f>
        <v>36.1553102436296</v>
      </c>
      <c r="BX337">
        <f t="shared" si="294"/>
        <v>685311.1587791628</v>
      </c>
      <c r="BZ337">
        <f t="shared" si="295"/>
        <v>2500987.558844218</v>
      </c>
      <c r="CB337">
        <f t="shared" si="296"/>
        <v>-161274.75943262901</v>
      </c>
      <c r="CD337">
        <f t="shared" si="297"/>
        <v>-765882.3911339544</v>
      </c>
      <c r="CF337">
        <f t="shared" si="298"/>
        <v>1352571.3171261032</v>
      </c>
      <c r="CH337">
        <f t="shared" si="299"/>
        <v>281795.54374103493</v>
      </c>
      <c r="CJ337">
        <f t="shared" si="300"/>
        <v>-149895.65848126478</v>
      </c>
      <c r="CL337">
        <f t="shared" si="301"/>
        <v>344979.55598670745</v>
      </c>
    </row>
    <row r="338" spans="1:90" x14ac:dyDescent="0.2">
      <c r="A338" s="2" t="s">
        <v>250</v>
      </c>
      <c r="B338" s="2" t="str">
        <f t="shared" si="302"/>
        <v>JSW RATNAGIRI TPP</v>
      </c>
      <c r="C338" s="2" t="str">
        <f>VLOOKUP($A338,'[1]daily coal, energy reqd'!$C$2:$T$599,17,FALSE)</f>
        <v>Maharashtra</v>
      </c>
      <c r="D338" s="2" t="str">
        <f>VLOOKUP(C338,'Target PLF'!$I$2:$J$19,2,FALSE)</f>
        <v>WR</v>
      </c>
      <c r="E338" s="2" t="str">
        <f>VLOOKUP(A338,[2]Ownership!$C$2:$D$666,2,FALSE)</f>
        <v>PVT SECTOR</v>
      </c>
      <c r="F338" s="2" t="s">
        <v>543</v>
      </c>
      <c r="G338" s="12">
        <v>9.7577002053388</v>
      </c>
      <c r="H338" s="2">
        <v>300</v>
      </c>
      <c r="I338" s="2">
        <f>VLOOKUP(A338,'[3]Calculated coal req (reg.)'!$A$2:$I$599,9,FALSE)</f>
        <v>6.0338102095005697</v>
      </c>
      <c r="J338" s="2"/>
      <c r="K338" s="11">
        <v>0.83802919576396806</v>
      </c>
      <c r="L338" s="3">
        <f>VLOOKUP(F338,'Target PLF'!$A$2:$B$11,2,FALSE)</f>
        <v>0.85</v>
      </c>
      <c r="M338" s="3">
        <f t="shared" si="289"/>
        <v>1.1970804236031918E-2</v>
      </c>
      <c r="N338" s="2" t="str">
        <f t="shared" si="268"/>
        <v>0.15</v>
      </c>
      <c r="O338" s="2">
        <f t="shared" si="267"/>
        <v>12.966278113426924</v>
      </c>
      <c r="P338" s="2">
        <f t="shared" si="269"/>
        <v>1419807.4534202481</v>
      </c>
      <c r="Q338" s="2">
        <f t="shared" si="270"/>
        <v>13.132831504004107</v>
      </c>
      <c r="R338" s="2">
        <f t="shared" si="271"/>
        <v>6.12</v>
      </c>
      <c r="S338" s="2"/>
      <c r="T338" s="2" t="str">
        <f>VLOOKUP(A338,'[4]CEA vs MERIT comp. &amp; NPA marker'!$C$2:$K$735,9,FALSE)</f>
        <v>Contracted</v>
      </c>
      <c r="U338" s="3">
        <f>VLOOKUP(B338,'[8]Import-Domestic share'!$A$208:$F$406,6,FALSE)</f>
        <v>1</v>
      </c>
      <c r="V338" s="3">
        <f t="shared" si="272"/>
        <v>1419807.4534202481</v>
      </c>
      <c r="W338" s="2">
        <f t="shared" si="273"/>
        <v>3159.1134594537989</v>
      </c>
      <c r="X338" s="2">
        <f t="shared" si="274"/>
        <v>3163.070662575069</v>
      </c>
      <c r="Y338" s="6">
        <f t="shared" si="275"/>
        <v>0.27222827259540444</v>
      </c>
      <c r="Z338" s="2"/>
      <c r="AA338" s="2">
        <f t="shared" si="276"/>
        <v>1625328.8242847112</v>
      </c>
      <c r="AB338" s="2" t="s">
        <v>576</v>
      </c>
      <c r="AC338" s="12"/>
      <c r="AD338" s="12">
        <f t="shared" si="277"/>
        <v>0</v>
      </c>
      <c r="AE338" s="2"/>
      <c r="AF338" s="7"/>
      <c r="AG338" s="7"/>
      <c r="AH338" s="7"/>
      <c r="AI338" s="7"/>
      <c r="AJ338" s="7"/>
      <c r="AK338" s="7"/>
      <c r="AL338" s="7"/>
      <c r="AM338" s="7"/>
      <c r="AN338" s="15">
        <f t="shared" si="278"/>
        <v>0</v>
      </c>
      <c r="AO338" s="6">
        <v>9.0376126869674167E-2</v>
      </c>
      <c r="AP338" s="11">
        <f t="shared" si="279"/>
        <v>0.5453123970013587</v>
      </c>
      <c r="AQ338" s="11"/>
      <c r="AR338" s="3">
        <f>VLOOKUP(A338,[10]Sheet1!$A$2:$L$542,12,FALSE)</f>
        <v>2.0656483516483499</v>
      </c>
      <c r="AS338" s="3">
        <f t="shared" si="290"/>
        <v>3.4345710355306478</v>
      </c>
      <c r="AT338" s="2"/>
      <c r="AU338" s="2"/>
      <c r="AV338" s="88">
        <f t="shared" si="291"/>
        <v>8.7724447602489097E-3</v>
      </c>
      <c r="AW338" s="32">
        <f t="shared" si="292"/>
        <v>2.5541602341305337E-3</v>
      </c>
      <c r="AX338" s="12">
        <f t="shared" si="280"/>
        <v>756.40956694955162</v>
      </c>
      <c r="AY338" s="12">
        <f t="shared" si="281"/>
        <v>0</v>
      </c>
      <c r="AZ338" s="3">
        <f>VLOOKUP(A338,[5]Analysis!$A$3:$BJ$543,62,FALSE)</f>
        <v>1.2224735304310752</v>
      </c>
      <c r="BA338" s="2"/>
      <c r="BB338" s="2"/>
      <c r="BC338" s="2" t="e">
        <f>VLOOKUP(A338,'[6]FGD status - Jun 2020'!$I$2:$M$449,5,FALSE)</f>
        <v>#N/A</v>
      </c>
      <c r="BD338" s="2"/>
      <c r="BE338" s="2"/>
      <c r="BF338" s="2">
        <f t="shared" si="282"/>
        <v>850.2095079833324</v>
      </c>
      <c r="BG338" s="2">
        <f t="shared" si="283"/>
        <v>0</v>
      </c>
      <c r="BH338" s="2"/>
      <c r="BI338" s="2"/>
      <c r="BK338">
        <f t="shared" si="286"/>
        <v>251.40875872919042</v>
      </c>
      <c r="BL338">
        <f>VLOOKUP(A338,'[11]Daily coal vs energy req.2'!$C$2:$P$599,14,FALSE)</f>
        <v>1.31</v>
      </c>
      <c r="BM338">
        <f>VLOOKUP(A338,'[11]Daily coal vs energy req.2'!$C$2:$R$599,16,FALSE)</f>
        <v>1</v>
      </c>
      <c r="BN338">
        <f t="shared" ref="BN338:BN345" si="303">BL338*H338</f>
        <v>393</v>
      </c>
      <c r="BO338">
        <f t="shared" ref="BO338:BO345" si="304">BM338*H338</f>
        <v>300</v>
      </c>
      <c r="BP338" s="2" t="e">
        <f>VLOOKUP(A338,'[7]Table 2'!$J$2:$N$449,5,FALSE)</f>
        <v>#N/A</v>
      </c>
      <c r="BR338">
        <f t="shared" si="293"/>
        <v>851.5945402996208</v>
      </c>
      <c r="BT338">
        <f>(X338*I338*365*[5]Analysis!BK338)/10^4</f>
        <v>851.5945402996208</v>
      </c>
      <c r="BV338">
        <f>(X338*I338*365*[5]Analysis!BL338)/10^4</f>
        <v>0</v>
      </c>
      <c r="BX338">
        <f t="shared" si="294"/>
        <v>1956250.225864761</v>
      </c>
      <c r="BZ338">
        <f t="shared" si="295"/>
        <v>13946757.773970913</v>
      </c>
      <c r="CB338">
        <f t="shared" si="296"/>
        <v>-545309.11273268983</v>
      </c>
      <c r="CD338">
        <f t="shared" si="297"/>
        <v>-2226743.868479012</v>
      </c>
      <c r="CF338">
        <f t="shared" si="298"/>
        <v>3932496.5842756345</v>
      </c>
      <c r="CH338">
        <f t="shared" si="299"/>
        <v>435948.164789662</v>
      </c>
      <c r="CJ338">
        <f t="shared" si="300"/>
        <v>-1089525.1095295181</v>
      </c>
      <c r="CL338">
        <f t="shared" si="301"/>
        <v>1541622.1400683091</v>
      </c>
    </row>
    <row r="339" spans="1:90" x14ac:dyDescent="0.2">
      <c r="A339" s="2" t="s">
        <v>247</v>
      </c>
      <c r="B339" s="2" t="str">
        <f t="shared" si="302"/>
        <v>JSW RATNAGIRI TPP</v>
      </c>
      <c r="C339" s="2" t="str">
        <f>VLOOKUP($A339,'[1]daily coal, energy reqd'!$C$2:$T$599,17,FALSE)</f>
        <v>Maharashtra</v>
      </c>
      <c r="D339" s="2" t="str">
        <f>VLOOKUP(C339,'Target PLF'!$I$2:$J$19,2,FALSE)</f>
        <v>WR</v>
      </c>
      <c r="E339" s="2" t="str">
        <f>VLOOKUP(A339,[2]Ownership!$C$2:$D$666,2,FALSE)</f>
        <v>PVT SECTOR</v>
      </c>
      <c r="F339" s="2" t="s">
        <v>543</v>
      </c>
      <c r="G339" s="12">
        <v>9.4236824093086895</v>
      </c>
      <c r="H339" s="2">
        <v>300</v>
      </c>
      <c r="I339" s="2">
        <f>VLOOKUP(A339,'[3]Calculated coal req (reg.)'!$A$2:$I$599,9,FALSE)</f>
        <v>4.7125467669316796</v>
      </c>
      <c r="J339" s="2"/>
      <c r="K339" s="11">
        <v>0.65452038429606663</v>
      </c>
      <c r="L339" s="3">
        <f>VLOOKUP(F339,'Target PLF'!$A$2:$B$11,2,FALSE)</f>
        <v>0.85</v>
      </c>
      <c r="M339" s="3">
        <f t="shared" si="289"/>
        <v>0.19547961570393335</v>
      </c>
      <c r="N339" s="2" t="str">
        <f t="shared" si="268"/>
        <v>0.15</v>
      </c>
      <c r="O339" s="2">
        <f t="shared" si="267"/>
        <v>10.402484953141318</v>
      </c>
      <c r="P339" s="2">
        <f t="shared" si="269"/>
        <v>1139072.1023689744</v>
      </c>
      <c r="Q339" s="2">
        <f t="shared" si="270"/>
        <v>13.122251490314852</v>
      </c>
      <c r="R339" s="2">
        <f t="shared" si="271"/>
        <v>6.12</v>
      </c>
      <c r="S339" s="2"/>
      <c r="T339" s="2" t="str">
        <f>VLOOKUP(A339,'[4]CEA vs MERIT comp. &amp; NPA marker'!$C$2:$K$735,9,FALSE)</f>
        <v>Not contracted</v>
      </c>
      <c r="U339" s="3">
        <f>VLOOKUP(B339,'[8]Import-Domestic share'!$A$208:$F$406,6,FALSE)</f>
        <v>1</v>
      </c>
      <c r="V339" s="3">
        <f t="shared" si="272"/>
        <v>1139072.1023689744</v>
      </c>
      <c r="W339" s="2">
        <f t="shared" si="273"/>
        <v>3156.5613841245722</v>
      </c>
      <c r="X339" s="2">
        <f t="shared" si="274"/>
        <v>3221.1813152633604</v>
      </c>
      <c r="Y339" s="6">
        <f t="shared" si="275"/>
        <v>0.27244836876141054</v>
      </c>
      <c r="Z339" s="2"/>
      <c r="AA339" s="2">
        <f t="shared" si="276"/>
        <v>1292741.0572620055</v>
      </c>
      <c r="AB339" s="2" t="s">
        <v>576</v>
      </c>
      <c r="AC339" s="12"/>
      <c r="AD339" s="12">
        <f t="shared" si="277"/>
        <v>0</v>
      </c>
      <c r="AE339" s="2"/>
      <c r="AF339" s="7"/>
      <c r="AG339" s="7"/>
      <c r="AH339" s="7"/>
      <c r="AI339" s="7"/>
      <c r="AJ339" s="7"/>
      <c r="AK339" s="7"/>
      <c r="AL339" s="7"/>
      <c r="AM339" s="7"/>
      <c r="AN339" s="15">
        <f t="shared" si="278"/>
        <v>0</v>
      </c>
      <c r="AO339" s="6">
        <v>9.0376126869674167E-2</v>
      </c>
      <c r="AP339" s="11">
        <f t="shared" si="279"/>
        <v>0.42590172448749031</v>
      </c>
      <c r="AQ339" s="11"/>
      <c r="AR339" s="3"/>
      <c r="AS339" s="3">
        <f t="shared" si="290"/>
        <v>3.4380541426604925</v>
      </c>
      <c r="AT339" s="2"/>
      <c r="AU339" s="2"/>
      <c r="AV339" s="88">
        <f t="shared" si="291"/>
        <v>0.14325137198015644</v>
      </c>
      <c r="AW339" s="32">
        <f t="shared" si="292"/>
        <v>4.1666409554941816E-2</v>
      </c>
      <c r="AX339" s="12">
        <f t="shared" si="280"/>
        <v>591.37266911037318</v>
      </c>
      <c r="AY339" s="12">
        <f t="shared" si="281"/>
        <v>0</v>
      </c>
      <c r="AZ339" s="3">
        <f>VLOOKUP(A339,[5]Analysis!$A$3:$BJ$543,62,FALSE)</f>
        <v>1.2224735304310752</v>
      </c>
      <c r="BA339" s="2"/>
      <c r="BB339" s="2"/>
      <c r="BC339" s="2" t="e">
        <f>VLOOKUP(A339,'[6]FGD status - Jun 2020'!$I$2:$M$449,5,FALSE)</f>
        <v>#N/A</v>
      </c>
      <c r="BD339" s="2"/>
      <c r="BE339" s="2"/>
      <c r="BF339" s="2">
        <f t="shared" si="282"/>
        <v>676.23284705375511</v>
      </c>
      <c r="BG339" s="2">
        <f t="shared" si="283"/>
        <v>0</v>
      </c>
      <c r="BH339" s="2"/>
      <c r="BI339" s="2"/>
      <c r="BK339">
        <f t="shared" si="286"/>
        <v>196.35611528881998</v>
      </c>
      <c r="BL339">
        <f>VLOOKUP(A339,'[11]Daily coal vs energy req.2'!$C$2:$P$599,14,FALSE)</f>
        <v>1.49</v>
      </c>
      <c r="BM339">
        <f>VLOOKUP(A339,'[11]Daily coal vs energy req.2'!$C$2:$R$599,16,FALSE)</f>
        <v>1.1100000000000001</v>
      </c>
      <c r="BN339">
        <f t="shared" si="303"/>
        <v>447</v>
      </c>
      <c r="BO339">
        <f t="shared" si="304"/>
        <v>333.00000000000006</v>
      </c>
      <c r="BP339" s="2" t="e">
        <f>VLOOKUP(A339,'[7]Table 2'!$J$2:$N$449,5,FALSE)</f>
        <v>#N/A</v>
      </c>
      <c r="BR339">
        <f t="shared" si="293"/>
        <v>677.33446299395644</v>
      </c>
      <c r="BT339">
        <f>(X339*I339*365*[5]Analysis!BK339)/10^4</f>
        <v>677.33446299395644</v>
      </c>
      <c r="BV339">
        <f>(X339*I339*365*[5]Analysis!BL339)/10^4</f>
        <v>0</v>
      </c>
      <c r="BX339">
        <f t="shared" si="294"/>
        <v>1555946.6782768711</v>
      </c>
      <c r="BZ339">
        <f t="shared" si="295"/>
        <v>10892743.718292402</v>
      </c>
      <c r="CB339">
        <f t="shared" si="296"/>
        <v>-332637.19556419126</v>
      </c>
      <c r="CD339">
        <f t="shared" si="297"/>
        <v>-1739138.9940742415</v>
      </c>
      <c r="CF339">
        <f t="shared" si="298"/>
        <v>3071371.7237937376</v>
      </c>
      <c r="CH339">
        <f t="shared" si="299"/>
        <v>328830.46907059924</v>
      </c>
      <c r="CJ339">
        <f t="shared" si="300"/>
        <v>-850944.56970485346</v>
      </c>
      <c r="CL339">
        <f t="shared" si="301"/>
        <v>1204042.9148020125</v>
      </c>
    </row>
    <row r="340" spans="1:90" x14ac:dyDescent="0.2">
      <c r="A340" s="2" t="s">
        <v>242</v>
      </c>
      <c r="B340" s="2" t="str">
        <f t="shared" si="302"/>
        <v>JSW RATNAGIRI TPP</v>
      </c>
      <c r="C340" s="2" t="str">
        <f>VLOOKUP($A340,'[1]daily coal, energy reqd'!$C$2:$T$599,17,FALSE)</f>
        <v>Maharashtra</v>
      </c>
      <c r="D340" s="2" t="str">
        <f>VLOOKUP(C340,'Target PLF'!$I$2:$J$19,2,FALSE)</f>
        <v>WR</v>
      </c>
      <c r="E340" s="2" t="str">
        <f>VLOOKUP(A340,[2]Ownership!$C$2:$D$666,2,FALSE)</f>
        <v>PVT SECTOR</v>
      </c>
      <c r="F340" s="2" t="s">
        <v>543</v>
      </c>
      <c r="G340" s="12">
        <v>9.0102669404517393</v>
      </c>
      <c r="H340" s="2">
        <v>300</v>
      </c>
      <c r="I340" s="2">
        <f>VLOOKUP(A340,'[3]Calculated coal req (reg.)'!$A$2:$I$599,9,FALSE)</f>
        <v>5.3552731620672001</v>
      </c>
      <c r="J340" s="2"/>
      <c r="K340" s="11">
        <v>0.74378793917600006</v>
      </c>
      <c r="L340" s="3">
        <f>VLOOKUP(F340,'Target PLF'!$A$2:$B$11,2,FALSE)</f>
        <v>0.85</v>
      </c>
      <c r="M340" s="3">
        <f t="shared" si="289"/>
        <v>0.10621206082399992</v>
      </c>
      <c r="N340" s="2" t="str">
        <f t="shared" si="268"/>
        <v>0.15</v>
      </c>
      <c r="O340" s="2">
        <f t="shared" si="267"/>
        <v>11.63139628947625</v>
      </c>
      <c r="P340" s="2">
        <f t="shared" si="269"/>
        <v>1273637.8936976495</v>
      </c>
      <c r="Q340" s="2">
        <f t="shared" si="270"/>
        <v>13.109156555338808</v>
      </c>
      <c r="R340" s="2">
        <f t="shared" si="271"/>
        <v>6.12</v>
      </c>
      <c r="S340" s="2"/>
      <c r="T340" s="2" t="str">
        <f>VLOOKUP(A340,'[4]CEA vs MERIT comp. &amp; NPA marker'!$C$2:$K$735,9,FALSE)</f>
        <v>Not contracted</v>
      </c>
      <c r="U340" s="3">
        <f>VLOOKUP(B340,'[8]Import-Domestic share'!$A$208:$F$406,6,FALSE)</f>
        <v>1</v>
      </c>
      <c r="V340" s="3">
        <f t="shared" si="272"/>
        <v>1273637.8936976495</v>
      </c>
      <c r="W340" s="2">
        <f t="shared" si="273"/>
        <v>3153.4026679383987</v>
      </c>
      <c r="X340" s="2">
        <f t="shared" si="274"/>
        <v>3188.5133163394612</v>
      </c>
      <c r="Y340" s="6">
        <f t="shared" si="275"/>
        <v>0.27272127620867476</v>
      </c>
      <c r="Z340" s="2"/>
      <c r="AA340" s="2">
        <f t="shared" si="276"/>
        <v>1454154.5318032217</v>
      </c>
      <c r="AB340" s="2" t="s">
        <v>576</v>
      </c>
      <c r="AC340" s="12"/>
      <c r="AD340" s="12">
        <f t="shared" si="277"/>
        <v>0</v>
      </c>
      <c r="AE340" s="2"/>
      <c r="AF340" s="7"/>
      <c r="AG340" s="7"/>
      <c r="AH340" s="7"/>
      <c r="AI340" s="7"/>
      <c r="AJ340" s="7"/>
      <c r="AK340" s="7"/>
      <c r="AL340" s="7"/>
      <c r="AM340" s="7"/>
      <c r="AN340" s="15">
        <f t="shared" si="278"/>
        <v>0</v>
      </c>
      <c r="AO340" s="6">
        <v>9.0376126869674167E-2</v>
      </c>
      <c r="AP340" s="11">
        <f t="shared" si="279"/>
        <v>0.48398884671674641</v>
      </c>
      <c r="AQ340" s="11"/>
      <c r="AR340" s="3"/>
      <c r="AS340" s="3">
        <f t="shared" si="290"/>
        <v>3.4316445379316414</v>
      </c>
      <c r="AT340" s="2"/>
      <c r="AU340" s="2"/>
      <c r="AV340" s="88">
        <f t="shared" si="291"/>
        <v>7.7834322413043625E-2</v>
      </c>
      <c r="AW340" s="32">
        <f t="shared" si="292"/>
        <v>2.2681347544217613E-2</v>
      </c>
      <c r="AX340" s="12">
        <f t="shared" si="280"/>
        <v>670.77487719450335</v>
      </c>
      <c r="AY340" s="12">
        <f t="shared" si="281"/>
        <v>0</v>
      </c>
      <c r="AZ340" s="3">
        <f>VLOOKUP(A340,[5]Analysis!$A$3:$BJ$543,62,FALSE)</f>
        <v>1.2224735304310752</v>
      </c>
      <c r="BA340" s="2"/>
      <c r="BB340" s="2"/>
      <c r="BC340" s="2" t="e">
        <f>VLOOKUP(A340,'[6]FGD status - Jun 2020'!$I$2:$M$449,5,FALSE)</f>
        <v>#N/A</v>
      </c>
      <c r="BD340" s="2"/>
      <c r="BE340" s="2"/>
      <c r="BF340" s="2">
        <f t="shared" si="282"/>
        <v>760.66823558626527</v>
      </c>
      <c r="BG340" s="2">
        <f t="shared" si="283"/>
        <v>0</v>
      </c>
      <c r="BH340" s="2"/>
      <c r="BI340" s="2"/>
      <c r="BK340">
        <f t="shared" si="286"/>
        <v>223.13638175280002</v>
      </c>
      <c r="BL340">
        <f>VLOOKUP(A340,'[11]Daily coal vs energy req.2'!$C$2:$P$599,14,FALSE)</f>
        <v>1.62</v>
      </c>
      <c r="BM340">
        <f>VLOOKUP(A340,'[11]Daily coal vs energy req.2'!$C$2:$R$599,16,FALSE)</f>
        <v>1.49</v>
      </c>
      <c r="BN340">
        <f t="shared" si="303"/>
        <v>486.00000000000006</v>
      </c>
      <c r="BO340">
        <f t="shared" si="304"/>
        <v>447</v>
      </c>
      <c r="BP340" s="2" t="e">
        <f>VLOOKUP(A340,'[7]Table 2'!$J$2:$N$449,5,FALSE)</f>
        <v>#N/A</v>
      </c>
      <c r="BR340">
        <f t="shared" si="293"/>
        <v>761.90740084890751</v>
      </c>
      <c r="BT340">
        <f>(X340*I340*365*[5]Analysis!BK340)/10^4</f>
        <v>761.90740084890751</v>
      </c>
      <c r="BV340">
        <f>(X340*I340*365*[5]Analysis!BL340)/10^4</f>
        <v>0</v>
      </c>
      <c r="BX340">
        <f t="shared" si="294"/>
        <v>1750224.3784633763</v>
      </c>
      <c r="BZ340">
        <f t="shared" si="295"/>
        <v>12378363.755491847</v>
      </c>
      <c r="CB340">
        <f t="shared" si="296"/>
        <v>-429558.89915389509</v>
      </c>
      <c r="CD340">
        <f t="shared" si="297"/>
        <v>-1976333.5709311927</v>
      </c>
      <c r="CF340">
        <f t="shared" si="298"/>
        <v>3490264.4741017441</v>
      </c>
      <c r="CH340">
        <f t="shared" si="299"/>
        <v>357285.19737982447</v>
      </c>
      <c r="CJ340">
        <f t="shared" si="300"/>
        <v>-967001.67487447429</v>
      </c>
      <c r="CL340">
        <f t="shared" si="301"/>
        <v>1368257.7651774976</v>
      </c>
    </row>
    <row r="341" spans="1:90" x14ac:dyDescent="0.2">
      <c r="A341" s="2" t="s">
        <v>236</v>
      </c>
      <c r="B341" s="2" t="str">
        <f t="shared" si="302"/>
        <v>JSW RATNAGIRI TPP</v>
      </c>
      <c r="C341" s="2" t="str">
        <f>VLOOKUP($A341,'[1]daily coal, energy reqd'!$C$2:$T$599,17,FALSE)</f>
        <v>Maharashtra</v>
      </c>
      <c r="D341" s="2" t="str">
        <f>VLOOKUP(C341,'Target PLF'!$I$2:$J$19,2,FALSE)</f>
        <v>WR</v>
      </c>
      <c r="E341" s="2" t="str">
        <f>VLOOKUP(A341,[2]Ownership!$C$2:$D$666,2,FALSE)</f>
        <v>PVT SECTOR</v>
      </c>
      <c r="F341" s="2" t="s">
        <v>543</v>
      </c>
      <c r="G341" s="12">
        <v>8.5913757700205302</v>
      </c>
      <c r="H341" s="2">
        <v>300</v>
      </c>
      <c r="I341" s="2">
        <f>VLOOKUP(A341,'[3]Calculated coal req (reg.)'!$A$2:$I$599,9,FALSE)</f>
        <v>5.3840248341190398</v>
      </c>
      <c r="J341" s="2"/>
      <c r="K341" s="11">
        <v>0.74778122696097782</v>
      </c>
      <c r="L341" s="3">
        <f>VLOOKUP(F341,'Target PLF'!$A$2:$B$11,2,FALSE)</f>
        <v>0.85</v>
      </c>
      <c r="M341" s="3">
        <f t="shared" si="289"/>
        <v>0.10221877303902216</v>
      </c>
      <c r="N341" s="2" t="str">
        <f t="shared" si="268"/>
        <v>0.15</v>
      </c>
      <c r="O341" s="2">
        <f t="shared" si="267"/>
        <v>11.673687722591573</v>
      </c>
      <c r="P341" s="2">
        <f t="shared" si="269"/>
        <v>1278268.8056237772</v>
      </c>
      <c r="Q341" s="2">
        <f t="shared" si="270"/>
        <v>13.0958881775154</v>
      </c>
      <c r="R341" s="2">
        <f t="shared" si="271"/>
        <v>6.12</v>
      </c>
      <c r="S341" s="2"/>
      <c r="T341" s="2" t="str">
        <f>VLOOKUP(A341,'[4]CEA vs MERIT comp. &amp; NPA marker'!$C$2:$K$735,9,FALSE)</f>
        <v>Not contracted</v>
      </c>
      <c r="U341" s="3">
        <f>VLOOKUP(B341,'[8]Import-Domestic share'!$A$208:$F$406,6,FALSE)</f>
        <v>1</v>
      </c>
      <c r="V341" s="3">
        <f t="shared" si="272"/>
        <v>1278268.8056237772</v>
      </c>
      <c r="W341" s="2">
        <f t="shared" si="273"/>
        <v>3150.2021144517457</v>
      </c>
      <c r="X341" s="2">
        <f t="shared" si="274"/>
        <v>3183.9926969177823</v>
      </c>
      <c r="Y341" s="6">
        <f t="shared" si="275"/>
        <v>0.27299835653550519</v>
      </c>
      <c r="Z341" s="2"/>
      <c r="AA341" s="2">
        <f t="shared" si="276"/>
        <v>1459888.9289380619</v>
      </c>
      <c r="AB341" s="2" t="s">
        <v>576</v>
      </c>
      <c r="AC341" s="12"/>
      <c r="AD341" s="12">
        <f t="shared" si="277"/>
        <v>0</v>
      </c>
      <c r="AE341" s="2"/>
      <c r="AF341" s="7"/>
      <c r="AG341" s="7"/>
      <c r="AH341" s="7"/>
      <c r="AI341" s="7"/>
      <c r="AJ341" s="7"/>
      <c r="AK341" s="7"/>
      <c r="AL341" s="7"/>
      <c r="AM341" s="7"/>
      <c r="AN341" s="15">
        <f t="shared" si="278"/>
        <v>0</v>
      </c>
      <c r="AO341" s="6">
        <v>9.0376126869674167E-2</v>
      </c>
      <c r="AP341" s="11">
        <f t="shared" si="279"/>
        <v>0.48658731147781875</v>
      </c>
      <c r="AQ341" s="11"/>
      <c r="AR341" s="3">
        <f>VLOOKUP(A341,[10]Sheet1!$A$2:$L$542,12,FALSE)</f>
        <v>2.0699999999999998</v>
      </c>
      <c r="AS341" s="3">
        <f t="shared" si="290"/>
        <v>3.4280794947694613</v>
      </c>
      <c r="AT341" s="2"/>
      <c r="AU341" s="2"/>
      <c r="AV341" s="88">
        <f t="shared" si="291"/>
        <v>7.4907961258456224E-2</v>
      </c>
      <c r="AW341" s="32">
        <f t="shared" si="292"/>
        <v>2.1851290605352135E-2</v>
      </c>
      <c r="AX341" s="12">
        <f t="shared" si="280"/>
        <v>673.67557736081551</v>
      </c>
      <c r="AY341" s="12">
        <f t="shared" si="281"/>
        <v>0</v>
      </c>
      <c r="AZ341" s="3">
        <f>VLOOKUP(A341,[5]Analysis!$A$3:$BJ$543,62,FALSE)</f>
        <v>1.2224735304310752</v>
      </c>
      <c r="BA341" s="2"/>
      <c r="BB341" s="2"/>
      <c r="BC341" s="2" t="e">
        <f>VLOOKUP(A341,'[6]FGD status - Jun 2020'!$I$2:$M$449,5,FALSE)</f>
        <v>#N/A</v>
      </c>
      <c r="BD341" s="2"/>
      <c r="BE341" s="2"/>
      <c r="BF341" s="2">
        <f t="shared" si="282"/>
        <v>763.66789872750019</v>
      </c>
      <c r="BG341" s="2">
        <f t="shared" si="283"/>
        <v>0</v>
      </c>
      <c r="BH341" s="2"/>
      <c r="BI341" s="2"/>
      <c r="BK341">
        <f t="shared" si="286"/>
        <v>224.33436808829333</v>
      </c>
      <c r="BL341">
        <f>VLOOKUP(A341,'[11]Daily coal vs energy req.2'!$C$2:$P$599,14,FALSE)</f>
        <v>1.53</v>
      </c>
      <c r="BM341">
        <f>VLOOKUP(A341,'[11]Daily coal vs energy req.2'!$C$2:$R$599,16,FALSE)</f>
        <v>1.4</v>
      </c>
      <c r="BN341">
        <f t="shared" si="303"/>
        <v>459</v>
      </c>
      <c r="BO341">
        <f t="shared" si="304"/>
        <v>420</v>
      </c>
      <c r="BP341" s="2" t="e">
        <f>VLOOKUP(A341,'[7]Table 2'!$J$2:$N$449,5,FALSE)</f>
        <v>#N/A</v>
      </c>
      <c r="BR341">
        <f t="shared" si="293"/>
        <v>764.91195058615142</v>
      </c>
      <c r="BT341">
        <f>(X341*I341*365*[5]Analysis!BK341)/10^4</f>
        <v>764.91195058615142</v>
      </c>
      <c r="BV341">
        <f>(X341*I341*365*[5]Analysis!BL341)/10^4</f>
        <v>0</v>
      </c>
      <c r="BX341">
        <f t="shared" si="294"/>
        <v>1757126.314565547</v>
      </c>
      <c r="BZ341">
        <f t="shared" si="295"/>
        <v>12444821.365489634</v>
      </c>
      <c r="CB341">
        <f t="shared" si="296"/>
        <v>-434183.75780281634</v>
      </c>
      <c r="CD341">
        <f t="shared" si="297"/>
        <v>-1986944.2144925604</v>
      </c>
      <c r="CF341">
        <f t="shared" si="298"/>
        <v>3509003.1894756625</v>
      </c>
      <c r="CH341">
        <f t="shared" si="299"/>
        <v>342503.88854956219</v>
      </c>
      <c r="CJ341">
        <f t="shared" si="300"/>
        <v>-972193.36429687508</v>
      </c>
      <c r="CL341">
        <f t="shared" si="301"/>
        <v>1375603.7393894987</v>
      </c>
    </row>
    <row r="342" spans="1:90" x14ac:dyDescent="0.2">
      <c r="A342" s="2" t="s">
        <v>419</v>
      </c>
      <c r="B342" s="2" t="str">
        <f t="shared" si="302"/>
        <v>KAHALGAON TPS</v>
      </c>
      <c r="C342" s="2" t="str">
        <f>VLOOKUP($A342,'[1]daily coal, energy reqd'!$C$2:$T$599,17,FALSE)</f>
        <v>Bihar</v>
      </c>
      <c r="D342" s="2" t="str">
        <f>VLOOKUP(C342,'Target PLF'!$I$2:$J$19,2,FALSE)</f>
        <v>ER</v>
      </c>
      <c r="E342" s="2" t="str">
        <f>VLOOKUP(A342,[2]Ownership!$C$2:$D$666,2,FALSE)</f>
        <v>CENTRAL SECTOR</v>
      </c>
      <c r="F342" s="2" t="s">
        <v>547</v>
      </c>
      <c r="G342" s="12">
        <v>28.175222450376399</v>
      </c>
      <c r="H342" s="2">
        <v>210</v>
      </c>
      <c r="I342" s="2">
        <f>VLOOKUP(A342,'[3]Calculated coal req (reg.)'!$A$2:$I$599,9,FALSE)</f>
        <v>3.9479110828610202</v>
      </c>
      <c r="J342" s="2"/>
      <c r="K342" s="11">
        <v>0.78331569104385323</v>
      </c>
      <c r="L342" s="3">
        <f>VLOOKUP(F342,'Target PLF'!$A$2:$B$11,2,FALSE)</f>
        <v>0.65</v>
      </c>
      <c r="M342" s="3">
        <f t="shared" si="289"/>
        <v>-0.13331569104385321</v>
      </c>
      <c r="N342" s="2" t="str">
        <f t="shared" si="268"/>
        <v>0.25</v>
      </c>
      <c r="O342" s="2">
        <f t="shared" si="267"/>
        <v>14.117960125316115</v>
      </c>
      <c r="P342" s="2">
        <f t="shared" si="269"/>
        <v>1082141.6436054802</v>
      </c>
      <c r="Q342" s="2">
        <f t="shared" si="270"/>
        <v>15.045758921115672</v>
      </c>
      <c r="R342" s="2">
        <f t="shared" si="271"/>
        <v>3.2759999999999998</v>
      </c>
      <c r="S342" s="2"/>
      <c r="T342" s="2" t="str">
        <f>VLOOKUP(A342,'[4]CEA vs MERIT comp. &amp; NPA marker'!$C$2:$K$735,9,FALSE)</f>
        <v>Contracted</v>
      </c>
      <c r="U342" s="3">
        <f>VLOOKUP(B342,'[8]Import-Domestic share'!$A$208:$F$406,6,FALSE)</f>
        <v>0</v>
      </c>
      <c r="V342" s="3">
        <f t="shared" si="272"/>
        <v>0</v>
      </c>
      <c r="W342" s="2">
        <f t="shared" si="273"/>
        <v>3223.8086666153317</v>
      </c>
      <c r="X342" s="2">
        <f t="shared" si="274"/>
        <v>3179.7383386481356</v>
      </c>
      <c r="Y342" s="6">
        <f t="shared" si="275"/>
        <v>0.26676521125644587</v>
      </c>
      <c r="Z342" s="2"/>
      <c r="AA342" s="2">
        <f t="shared" si="276"/>
        <v>1216869.0484463496</v>
      </c>
      <c r="AB342" s="2" t="s">
        <v>576</v>
      </c>
      <c r="AC342" s="12">
        <f>VLOOKUP(B342,[9]Sheet1!$A$2:$B$137,2,FALSE)</f>
        <v>3765.3709320470821</v>
      </c>
      <c r="AD342" s="12">
        <f t="shared" si="277"/>
        <v>790727.89572988718</v>
      </c>
      <c r="AE342" s="2" t="s">
        <v>589</v>
      </c>
      <c r="AF342" s="7">
        <f>VLOOKUP($B342,'[9]Subsidiary wise dispatch'!$A$3:$R$138,11,FALSE)*$H342*$O342*365</f>
        <v>0</v>
      </c>
      <c r="AG342" s="7">
        <f>VLOOKUP($B342,'[9]Subsidiary wise dispatch'!$A$3:$R$138,12,FALSE)*$H342*$O342*365</f>
        <v>0</v>
      </c>
      <c r="AH342" s="7">
        <f>VLOOKUP($B342,'[9]Subsidiary wise dispatch'!$A$3:$R$138,13,FALSE)*$H342*$O342*365</f>
        <v>1082141.6436054802</v>
      </c>
      <c r="AI342" s="7">
        <f>VLOOKUP($B342,'[9]Subsidiary wise dispatch'!$A$3:$R$138,14,FALSE)*$H342*$O342*365</f>
        <v>0</v>
      </c>
      <c r="AJ342" s="7">
        <f>VLOOKUP($B342,'[9]Subsidiary wise dispatch'!$A$3:$R$138,15,FALSE)*$H342*$O342*365</f>
        <v>0</v>
      </c>
      <c r="AK342" s="7">
        <f>VLOOKUP($B342,'[9]Subsidiary wise dispatch'!$A$3:$R$138,16,FALSE)*$H342*$O342*365</f>
        <v>0</v>
      </c>
      <c r="AL342" s="7">
        <f>VLOOKUP($B342,'[9]Subsidiary wise dispatch'!$A$3:$R$138,17,FALSE)*$H342*$O342*365</f>
        <v>0</v>
      </c>
      <c r="AM342" s="7">
        <f>VLOOKUP($B342,'[9]Subsidiary wise dispatch'!$A$3:$R$138,18,FALSE)*$H342*$O342*365</f>
        <v>0</v>
      </c>
      <c r="AN342" s="15">
        <f t="shared" si="278"/>
        <v>1082141.6436054802</v>
      </c>
      <c r="AO342" s="6">
        <v>7.2417181230320551E-2</v>
      </c>
      <c r="AP342" s="11">
        <f t="shared" si="279"/>
        <v>0.28589659236873755</v>
      </c>
      <c r="AQ342" s="11"/>
      <c r="AR342" s="3">
        <f>VLOOKUP(A342,[10]Sheet1!$A$2:$L$542,12,FALSE)</f>
        <v>2.3605548789303299</v>
      </c>
      <c r="AS342" s="3">
        <f t="shared" si="290"/>
        <v>2.2150578221945789</v>
      </c>
      <c r="AT342" s="2"/>
      <c r="AU342" s="2"/>
      <c r="AV342" s="88">
        <f t="shared" si="291"/>
        <v>-9.769640471075651E-2</v>
      </c>
      <c r="AW342" s="32">
        <f t="shared" si="292"/>
        <v>4.4105577620526103E-2</v>
      </c>
      <c r="AX342" s="12">
        <f t="shared" si="280"/>
        <v>319.18707337782899</v>
      </c>
      <c r="AY342" s="12">
        <f t="shared" si="281"/>
        <v>0</v>
      </c>
      <c r="AZ342" s="3">
        <f>VLOOKUP(A342,[5]Analysis!$A$3:$BJ$543,62,FALSE)</f>
        <v>0.5026696055634261</v>
      </c>
      <c r="BA342" s="2">
        <v>150.9</v>
      </c>
      <c r="BB342" s="2"/>
      <c r="BC342" s="2" t="str">
        <f>VLOOKUP(A342,'[6]FGD status - Jun 2020'!$I$2:$M$449,5,FALSE)</f>
        <v>Bid Awarded</v>
      </c>
      <c r="BD342" s="2">
        <f>VLOOKUP(A342,'[1]daily coal, energy reqd'!$C$2:$L$599,10,FALSE)</f>
        <v>0</v>
      </c>
      <c r="BE342" s="2" t="str">
        <f>VLOOKUP(A342,'[1]daily coal, energy reqd'!$C$2:$M$599,11,FALSE)</f>
        <v>Y</v>
      </c>
      <c r="BF342" s="2">
        <f t="shared" si="282"/>
        <v>376.62097049414518</v>
      </c>
      <c r="BG342" s="2">
        <f t="shared" si="283"/>
        <v>0</v>
      </c>
      <c r="BH342" s="2">
        <f>IF(G342&lt;17,IF(H342&gt;400,H342*5000000,H342*3500000),H342*1500000)/10^7</f>
        <v>31.5</v>
      </c>
      <c r="BI342" s="2">
        <f>(H342*800000)/10^7</f>
        <v>16.8</v>
      </c>
      <c r="BK342">
        <f t="shared" si="286"/>
        <v>164.49629511920918</v>
      </c>
      <c r="BL342">
        <f>VLOOKUP(A342,'[11]Daily coal vs energy req.2'!$C$2:$P$599,14,FALSE)</f>
        <v>1.37</v>
      </c>
      <c r="BM342">
        <f>VLOOKUP(A342,'[11]Daily coal vs energy req.2'!$C$2:$R$599,16,FALSE)</f>
        <v>1.3</v>
      </c>
      <c r="BN342">
        <f t="shared" si="303"/>
        <v>287.70000000000005</v>
      </c>
      <c r="BO342">
        <f t="shared" si="304"/>
        <v>273</v>
      </c>
      <c r="BP342" s="2" t="str">
        <f>VLOOKUP(A342,'[7]Table 2'!$J$2:$N$449,5,FALSE)</f>
        <v>Bid Awarded</v>
      </c>
      <c r="BR342">
        <f t="shared" si="293"/>
        <v>230.32137063960667</v>
      </c>
      <c r="BT342">
        <f>(X342*I342*365*[5]Analysis!BK342)/10^4</f>
        <v>185.23417214793352</v>
      </c>
      <c r="BV342">
        <f>(X342*I342*365*[5]Analysis!BL342)/10^4</f>
        <v>45.087198491673171</v>
      </c>
      <c r="BX342">
        <f t="shared" si="294"/>
        <v>1286715.7333440739</v>
      </c>
      <c r="BZ342">
        <f t="shared" si="295"/>
        <v>3752253.2023939746</v>
      </c>
      <c r="CB342">
        <f t="shared" si="296"/>
        <v>-333500.23905991047</v>
      </c>
      <c r="CD342">
        <f t="shared" si="297"/>
        <v>0</v>
      </c>
      <c r="CF342">
        <f t="shared" si="298"/>
        <v>2573025.3868326317</v>
      </c>
      <c r="CH342">
        <f t="shared" si="299"/>
        <v>823626.76973535819</v>
      </c>
      <c r="CJ342">
        <f t="shared" si="300"/>
        <v>-499012.01296255016</v>
      </c>
      <c r="CL342">
        <f t="shared" si="301"/>
        <v>808242.24607648526</v>
      </c>
    </row>
    <row r="343" spans="1:90" x14ac:dyDescent="0.2">
      <c r="A343" s="2" t="s">
        <v>408</v>
      </c>
      <c r="B343" s="2" t="str">
        <f t="shared" si="302"/>
        <v>KAHALGAON TPS</v>
      </c>
      <c r="C343" s="2" t="str">
        <f>VLOOKUP($A343,'[1]daily coal, energy reqd'!$C$2:$T$599,17,FALSE)</f>
        <v>Bihar</v>
      </c>
      <c r="D343" s="2" t="str">
        <f>VLOOKUP(C343,'Target PLF'!$I$2:$J$19,2,FALSE)</f>
        <v>ER</v>
      </c>
      <c r="E343" s="2" t="str">
        <f>VLOOKUP(A343,[2]Ownership!$C$2:$D$666,2,FALSE)</f>
        <v>CENTRAL SECTOR</v>
      </c>
      <c r="F343" s="2" t="s">
        <v>547</v>
      </c>
      <c r="G343" s="12">
        <v>26.176591375769998</v>
      </c>
      <c r="H343" s="2">
        <v>210</v>
      </c>
      <c r="I343" s="2">
        <f>VLOOKUP(A343,'[3]Calculated coal req (reg.)'!$A$2:$I$599,9,FALSE)</f>
        <v>4.0606934894378197</v>
      </c>
      <c r="J343" s="2"/>
      <c r="K343" s="11">
        <v>0.80569315266623409</v>
      </c>
      <c r="L343" s="3">
        <f>VLOOKUP(F343,'Target PLF'!$A$2:$B$11,2,FALSE)</f>
        <v>0.65</v>
      </c>
      <c r="M343" s="3">
        <f t="shared" si="289"/>
        <v>-0.15569315266623407</v>
      </c>
      <c r="N343" s="2" t="str">
        <f t="shared" si="268"/>
        <v>0.25</v>
      </c>
      <c r="O343" s="2">
        <f t="shared" si="267"/>
        <v>14.365997822818629</v>
      </c>
      <c r="P343" s="2">
        <f t="shared" si="269"/>
        <v>1101153.7331190479</v>
      </c>
      <c r="Q343" s="2">
        <f t="shared" si="270"/>
        <v>14.982452281827515</v>
      </c>
      <c r="R343" s="2">
        <f t="shared" si="271"/>
        <v>3.2759999999999998</v>
      </c>
      <c r="S343" s="2"/>
      <c r="T343" s="2" t="str">
        <f>VLOOKUP(A343,'[4]CEA vs MERIT comp. &amp; NPA marker'!$C$2:$K$735,9,FALSE)</f>
        <v>Contracted</v>
      </c>
      <c r="U343" s="3">
        <f>VLOOKUP(B343,'[8]Import-Domestic share'!$A$208:$F$406,6,FALSE)</f>
        <v>0</v>
      </c>
      <c r="V343" s="3">
        <f t="shared" si="272"/>
        <v>0</v>
      </c>
      <c r="W343" s="2">
        <f t="shared" si="273"/>
        <v>3208.5380519404516</v>
      </c>
      <c r="X343" s="2">
        <f t="shared" si="274"/>
        <v>3157.0703796317912</v>
      </c>
      <c r="Y343" s="6">
        <f t="shared" si="275"/>
        <v>0.2680348451781307</v>
      </c>
      <c r="Z343" s="2"/>
      <c r="AA343" s="2">
        <f t="shared" si="276"/>
        <v>1242709.3662705414</v>
      </c>
      <c r="AB343" s="2" t="s">
        <v>576</v>
      </c>
      <c r="AC343" s="12">
        <f>VLOOKUP(B343,[9]Sheet1!$A$2:$B$137,2,FALSE)</f>
        <v>3765.3709320470821</v>
      </c>
      <c r="AD343" s="12">
        <f t="shared" si="277"/>
        <v>790727.89572988718</v>
      </c>
      <c r="AE343" s="2" t="s">
        <v>589</v>
      </c>
      <c r="AF343" s="7">
        <f>VLOOKUP($B343,'[9]Subsidiary wise dispatch'!$A$3:$R$138,11,FALSE)*$H343*$O343*365</f>
        <v>0</v>
      </c>
      <c r="AG343" s="7">
        <f>VLOOKUP($B343,'[9]Subsidiary wise dispatch'!$A$3:$R$138,12,FALSE)*$H343*$O343*365</f>
        <v>0</v>
      </c>
      <c r="AH343" s="7">
        <f>VLOOKUP($B343,'[9]Subsidiary wise dispatch'!$A$3:$R$138,13,FALSE)*$H343*$O343*365</f>
        <v>1101153.7331190479</v>
      </c>
      <c r="AI343" s="7">
        <f>VLOOKUP($B343,'[9]Subsidiary wise dispatch'!$A$3:$R$138,14,FALSE)*$H343*$O343*365</f>
        <v>0</v>
      </c>
      <c r="AJ343" s="7">
        <f>VLOOKUP($B343,'[9]Subsidiary wise dispatch'!$A$3:$R$138,15,FALSE)*$H343*$O343*365</f>
        <v>0</v>
      </c>
      <c r="AK343" s="7">
        <f>VLOOKUP($B343,'[9]Subsidiary wise dispatch'!$A$3:$R$138,16,FALSE)*$H343*$O343*365</f>
        <v>0</v>
      </c>
      <c r="AL343" s="7">
        <f>VLOOKUP($B343,'[9]Subsidiary wise dispatch'!$A$3:$R$138,17,FALSE)*$H343*$O343*365</f>
        <v>0</v>
      </c>
      <c r="AM343" s="7">
        <f>VLOOKUP($B343,'[9]Subsidiary wise dispatch'!$A$3:$R$138,18,FALSE)*$H343*$O343*365</f>
        <v>0</v>
      </c>
      <c r="AN343" s="15">
        <f t="shared" si="278"/>
        <v>1101153.7331190479</v>
      </c>
      <c r="AO343" s="6">
        <v>7.2417181230320551E-2</v>
      </c>
      <c r="AP343" s="11">
        <f t="shared" si="279"/>
        <v>0.29406397634540132</v>
      </c>
      <c r="AQ343" s="11"/>
      <c r="AR343" s="3">
        <f>VLOOKUP(A343,[10]Sheet1!$A$2:$L$542,12,FALSE)</f>
        <v>2.3605548789303299</v>
      </c>
      <c r="AS343" s="3">
        <f t="shared" si="290"/>
        <v>2.1979354926034804</v>
      </c>
      <c r="AT343" s="2"/>
      <c r="AU343" s="2"/>
      <c r="AV343" s="88">
        <f t="shared" si="291"/>
        <v>-0.11409505613686965</v>
      </c>
      <c r="AW343" s="32">
        <f t="shared" si="292"/>
        <v>5.1910102239498719E-2</v>
      </c>
      <c r="AX343" s="12">
        <f t="shared" si="280"/>
        <v>325.76769559320303</v>
      </c>
      <c r="AY343" s="12">
        <f t="shared" si="281"/>
        <v>0</v>
      </c>
      <c r="AZ343" s="3">
        <f>VLOOKUP(A343,[5]Analysis!$A$3:$BJ$543,62,FALSE)</f>
        <v>0.5026696055634261</v>
      </c>
      <c r="BA343" s="2">
        <v>150.9</v>
      </c>
      <c r="BB343" s="2"/>
      <c r="BC343" s="2" t="str">
        <f>VLOOKUP(A343,'[6]FGD status - Jun 2020'!$I$2:$M$449,5,FALSE)</f>
        <v>Bid Awarded</v>
      </c>
      <c r="BD343" s="2">
        <f>VLOOKUP(A343,'[1]daily coal, energy reqd'!$C$2:$L$599,10,FALSE)</f>
        <v>0</v>
      </c>
      <c r="BE343" s="2" t="str">
        <f>VLOOKUP(A343,'[1]daily coal, energy reqd'!$C$2:$M$599,11,FALSE)</f>
        <v>Y</v>
      </c>
      <c r="BF343" s="2">
        <f t="shared" si="282"/>
        <v>384.61854886073257</v>
      </c>
      <c r="BG343" s="2">
        <f t="shared" si="283"/>
        <v>0</v>
      </c>
      <c r="BH343" s="2">
        <f>IF(G343&lt;17,IF(H343&gt;400,H343*5000000,H343*3500000),H343*1500000)/10^7</f>
        <v>31.5</v>
      </c>
      <c r="BI343" s="2">
        <f>(H343*800000)/10^7</f>
        <v>16.8</v>
      </c>
      <c r="BK343">
        <f t="shared" si="286"/>
        <v>169.19556205990915</v>
      </c>
      <c r="BL343">
        <f>VLOOKUP(A343,'[11]Daily coal vs energy req.2'!$C$2:$P$599,14,FALSE)</f>
        <v>1.05</v>
      </c>
      <c r="BM343">
        <f>VLOOKUP(A343,'[11]Daily coal vs energy req.2'!$C$2:$R$599,16,FALSE)</f>
        <v>1.1100000000000001</v>
      </c>
      <c r="BN343">
        <f t="shared" si="303"/>
        <v>220.5</v>
      </c>
      <c r="BO343">
        <f t="shared" si="304"/>
        <v>233.10000000000002</v>
      </c>
      <c r="BP343" s="2" t="str">
        <f>VLOOKUP(A343,'[7]Table 2'!$J$2:$N$449,5,FALSE)</f>
        <v>Bid Awarded</v>
      </c>
      <c r="BR343">
        <f t="shared" si="293"/>
        <v>235.21226455019601</v>
      </c>
      <c r="BT343">
        <f>(X343*I343*365*[5]Analysis!BK343)/10^4</f>
        <v>189.16763556070984</v>
      </c>
      <c r="BV343">
        <f>(X343*I343*365*[5]Analysis!BL343)/10^4</f>
        <v>46.044628989486192</v>
      </c>
      <c r="BX343">
        <f t="shared" si="294"/>
        <v>1314039.2514674494</v>
      </c>
      <c r="BZ343">
        <f t="shared" si="295"/>
        <v>3859446.1298356974</v>
      </c>
      <c r="CB343">
        <f t="shared" si="296"/>
        <v>-352827.02481626801</v>
      </c>
      <c r="CD343">
        <f t="shared" si="297"/>
        <v>0</v>
      </c>
      <c r="CF343">
        <f t="shared" si="298"/>
        <v>2646530.5872334177</v>
      </c>
      <c r="CH343">
        <f t="shared" si="299"/>
        <v>787062.17291073781</v>
      </c>
      <c r="CJ343">
        <f t="shared" si="300"/>
        <v>-513267.59637145104</v>
      </c>
      <c r="CL343">
        <f t="shared" si="301"/>
        <v>831331.79994340881</v>
      </c>
    </row>
    <row r="344" spans="1:90" x14ac:dyDescent="0.2">
      <c r="A344" s="2" t="s">
        <v>399</v>
      </c>
      <c r="B344" s="2" t="str">
        <f t="shared" si="302"/>
        <v>KAHALGAON TPS</v>
      </c>
      <c r="C344" s="2" t="str">
        <f>VLOOKUP($A344,'[1]daily coal, energy reqd'!$C$2:$T$599,17,FALSE)</f>
        <v>Bihar</v>
      </c>
      <c r="D344" s="2" t="str">
        <f>VLOOKUP(C344,'Target PLF'!$I$2:$J$19,2,FALSE)</f>
        <v>ER</v>
      </c>
      <c r="E344" s="2" t="str">
        <f>VLOOKUP(A344,[2]Ownership!$C$2:$D$666,2,FALSE)</f>
        <v>CENTRAL SECTOR</v>
      </c>
      <c r="F344" s="2" t="s">
        <v>547</v>
      </c>
      <c r="G344" s="12">
        <v>25.177275838466802</v>
      </c>
      <c r="H344" s="2">
        <v>210</v>
      </c>
      <c r="I344" s="2">
        <f>VLOOKUP(A344,'[3]Calculated coal req (reg.)'!$A$2:$I$599,9,FALSE)</f>
        <v>4.1672242370341497</v>
      </c>
      <c r="J344" s="2"/>
      <c r="K344" s="11">
        <v>0.82683020576074406</v>
      </c>
      <c r="L344" s="3">
        <f>VLOOKUP(F344,'Target PLF'!$A$2:$B$11,2,FALSE)</f>
        <v>0.65</v>
      </c>
      <c r="M344" s="3">
        <f t="shared" si="289"/>
        <v>-0.17683020576074404</v>
      </c>
      <c r="N344" s="2" t="str">
        <f t="shared" si="268"/>
        <v>0.25</v>
      </c>
      <c r="O344" s="2">
        <f t="shared" si="267"/>
        <v>14.628430663994395</v>
      </c>
      <c r="P344" s="2">
        <f t="shared" si="269"/>
        <v>1121269.2103951704</v>
      </c>
      <c r="Q344" s="2">
        <f t="shared" si="270"/>
        <v>14.950798962183436</v>
      </c>
      <c r="R344" s="2">
        <f t="shared" si="271"/>
        <v>3.2759999999999998</v>
      </c>
      <c r="S344" s="2"/>
      <c r="T344" s="2" t="str">
        <f>VLOOKUP(A344,'[4]CEA vs MERIT comp. &amp; NPA marker'!$C$2:$K$735,9,FALSE)</f>
        <v>Contracted</v>
      </c>
      <c r="U344" s="3">
        <f>VLOOKUP(B344,'[8]Import-Domestic share'!$A$208:$F$406,6,FALSE)</f>
        <v>0</v>
      </c>
      <c r="V344" s="3">
        <f t="shared" si="272"/>
        <v>0</v>
      </c>
      <c r="W344" s="2">
        <f t="shared" si="273"/>
        <v>3200.9027446030118</v>
      </c>
      <c r="X344" s="2">
        <f t="shared" si="274"/>
        <v>3142.4477712884354</v>
      </c>
      <c r="Y344" s="6">
        <f t="shared" si="275"/>
        <v>0.26867420494110028</v>
      </c>
      <c r="Z344" s="2"/>
      <c r="AA344" s="2">
        <f t="shared" si="276"/>
        <v>1269404.5114402105</v>
      </c>
      <c r="AB344" s="2" t="s">
        <v>576</v>
      </c>
      <c r="AC344" s="12">
        <f>VLOOKUP(B344,[9]Sheet1!$A$2:$B$137,2,FALSE)</f>
        <v>3765.3709320470821</v>
      </c>
      <c r="AD344" s="12">
        <f t="shared" si="277"/>
        <v>790727.89572988718</v>
      </c>
      <c r="AE344" s="2" t="s">
        <v>589</v>
      </c>
      <c r="AF344" s="7">
        <f>VLOOKUP($B344,'[9]Subsidiary wise dispatch'!$A$3:$R$138,11,FALSE)*$H344*$O344*365</f>
        <v>0</v>
      </c>
      <c r="AG344" s="7">
        <f>VLOOKUP($B344,'[9]Subsidiary wise dispatch'!$A$3:$R$138,12,FALSE)*$H344*$O344*365</f>
        <v>0</v>
      </c>
      <c r="AH344" s="7">
        <f>VLOOKUP($B344,'[9]Subsidiary wise dispatch'!$A$3:$R$138,13,FALSE)*$H344*$O344*365</f>
        <v>1121269.2103951704</v>
      </c>
      <c r="AI344" s="7">
        <f>VLOOKUP($B344,'[9]Subsidiary wise dispatch'!$A$3:$R$138,14,FALSE)*$H344*$O344*365</f>
        <v>0</v>
      </c>
      <c r="AJ344" s="7">
        <f>VLOOKUP($B344,'[9]Subsidiary wise dispatch'!$A$3:$R$138,15,FALSE)*$H344*$O344*365</f>
        <v>0</v>
      </c>
      <c r="AK344" s="7">
        <f>VLOOKUP($B344,'[9]Subsidiary wise dispatch'!$A$3:$R$138,16,FALSE)*$H344*$O344*365</f>
        <v>0</v>
      </c>
      <c r="AL344" s="7">
        <f>VLOOKUP($B344,'[9]Subsidiary wise dispatch'!$A$3:$R$138,17,FALSE)*$H344*$O344*365</f>
        <v>0</v>
      </c>
      <c r="AM344" s="7">
        <f>VLOOKUP($B344,'[9]Subsidiary wise dispatch'!$A$3:$R$138,18,FALSE)*$H344*$O344*365</f>
        <v>0</v>
      </c>
      <c r="AN344" s="15">
        <f t="shared" si="278"/>
        <v>1121269.2103951704</v>
      </c>
      <c r="AO344" s="6">
        <v>7.2417181230320551E-2</v>
      </c>
      <c r="AP344" s="11">
        <f t="shared" si="279"/>
        <v>0.30177863280068629</v>
      </c>
      <c r="AQ344" s="11"/>
      <c r="AR344" s="3">
        <f>VLOOKUP(A344,[10]Sheet1!$A$2:$L$542,12,FALSE)</f>
        <v>2.3605548789303299</v>
      </c>
      <c r="AS344" s="3">
        <f t="shared" si="290"/>
        <v>2.1890372433523249</v>
      </c>
      <c r="AT344" s="2"/>
      <c r="AU344" s="2"/>
      <c r="AV344" s="88">
        <f t="shared" si="291"/>
        <v>-0.12958471138558844</v>
      </c>
      <c r="AW344" s="32">
        <f t="shared" si="292"/>
        <v>5.9197125027959985E-2</v>
      </c>
      <c r="AX344" s="12">
        <f t="shared" si="280"/>
        <v>332.96063055379039</v>
      </c>
      <c r="AY344" s="12">
        <f t="shared" si="281"/>
        <v>0</v>
      </c>
      <c r="AZ344" s="3">
        <f>VLOOKUP(A344,[5]Analysis!$A$3:$BJ$543,62,FALSE)</f>
        <v>0.5026696055634261</v>
      </c>
      <c r="BA344" s="2">
        <v>150.9</v>
      </c>
      <c r="BB344" s="2"/>
      <c r="BC344" s="2" t="str">
        <f>VLOOKUP(A344,'[6]FGD status - Jun 2020'!$I$2:$M$449,5,FALSE)</f>
        <v>Bid Awarded</v>
      </c>
      <c r="BD344" s="2">
        <f>VLOOKUP(A344,'[1]daily coal, energy reqd'!$C$2:$L$599,10,FALSE)</f>
        <v>0</v>
      </c>
      <c r="BE344" s="2" t="str">
        <f>VLOOKUP(A344,'[1]daily coal, energy reqd'!$C$2:$M$599,11,FALSE)</f>
        <v>Y</v>
      </c>
      <c r="BF344" s="2">
        <f t="shared" si="282"/>
        <v>392.88069629074516</v>
      </c>
      <c r="BG344" s="2">
        <f t="shared" si="283"/>
        <v>0</v>
      </c>
      <c r="BH344" s="2">
        <f>IF(G344&lt;17,IF(H344&gt;400,H344*5000000,H344*3500000),H344*1500000)/10^7</f>
        <v>31.5</v>
      </c>
      <c r="BI344" s="2">
        <f>(H344*800000)/10^7</f>
        <v>16.8</v>
      </c>
      <c r="BK344">
        <f t="shared" si="286"/>
        <v>173.63434320975625</v>
      </c>
      <c r="BL344">
        <f>VLOOKUP(A344,'[11]Daily coal vs energy req.2'!$C$2:$P$599,14,FALSE)</f>
        <v>1.3</v>
      </c>
      <c r="BM344">
        <f>VLOOKUP(A344,'[11]Daily coal vs energy req.2'!$C$2:$R$599,16,FALSE)</f>
        <v>1.27</v>
      </c>
      <c r="BN344">
        <f t="shared" si="303"/>
        <v>273</v>
      </c>
      <c r="BO344">
        <f t="shared" si="304"/>
        <v>266.7</v>
      </c>
      <c r="BP344" s="2" t="str">
        <f>VLOOKUP(A344,'[7]Table 2'!$J$2:$N$449,5,FALSE)</f>
        <v>Bid Awarded</v>
      </c>
      <c r="BR344">
        <f t="shared" si="293"/>
        <v>240.26495483987969</v>
      </c>
      <c r="BT344">
        <f>(X344*I344*365*[5]Analysis!BK344)/10^4</f>
        <v>193.23122245379912</v>
      </c>
      <c r="BV344">
        <f>(X344*I344*365*[5]Analysis!BL344)/10^4</f>
        <v>47.033732386080622</v>
      </c>
      <c r="BX344">
        <f t="shared" si="294"/>
        <v>1342266.6629030292</v>
      </c>
      <c r="BZ344">
        <f t="shared" si="295"/>
        <v>3960697.2295773034</v>
      </c>
      <c r="CB344">
        <f t="shared" si="296"/>
        <v>-371582.4251835582</v>
      </c>
      <c r="CD344">
        <f t="shared" si="297"/>
        <v>0</v>
      </c>
      <c r="CF344">
        <f t="shared" si="298"/>
        <v>2715961.3095294666</v>
      </c>
      <c r="CH344">
        <f t="shared" si="299"/>
        <v>776875.35740792775</v>
      </c>
      <c r="CJ344">
        <f t="shared" si="300"/>
        <v>-526732.97633687954</v>
      </c>
      <c r="CL344">
        <f t="shared" si="301"/>
        <v>853141.47318738326</v>
      </c>
    </row>
    <row r="345" spans="1:90" x14ac:dyDescent="0.2">
      <c r="A345" s="2" t="s">
        <v>394</v>
      </c>
      <c r="B345" s="2" t="str">
        <f t="shared" si="302"/>
        <v>KAHALGAON TPS</v>
      </c>
      <c r="C345" s="2" t="str">
        <f>VLOOKUP($A345,'[1]daily coal, energy reqd'!$C$2:$T$599,17,FALSE)</f>
        <v>Bihar</v>
      </c>
      <c r="D345" s="2" t="str">
        <f>VLOOKUP(C345,'Target PLF'!$I$2:$J$19,2,FALSE)</f>
        <v>ER</v>
      </c>
      <c r="E345" s="2" t="str">
        <f>VLOOKUP(A345,[2]Ownership!$C$2:$D$666,2,FALSE)</f>
        <v>CENTRAL SECTOR</v>
      </c>
      <c r="F345" s="2" t="s">
        <v>546</v>
      </c>
      <c r="G345" s="12">
        <v>24.175222450376399</v>
      </c>
      <c r="H345" s="2">
        <v>210</v>
      </c>
      <c r="I345" s="2">
        <f>VLOOKUP(A345,'[3]Calculated coal req (reg.)'!$A$2:$I$599,9,FALSE)</f>
        <v>4.1775445715698201</v>
      </c>
      <c r="J345" s="2"/>
      <c r="K345" s="11">
        <v>0.82887789118448807</v>
      </c>
      <c r="L345" s="3">
        <f>VLOOKUP(F345,'Target PLF'!$A$2:$B$11,2,FALSE)</f>
        <v>0.7</v>
      </c>
      <c r="M345" s="3">
        <f t="shared" si="289"/>
        <v>-0.12887789118448811</v>
      </c>
      <c r="N345" s="2" t="str">
        <f t="shared" si="268"/>
        <v>0.25</v>
      </c>
      <c r="O345" s="2">
        <f t="shared" si="267"/>
        <v>14.625180684532809</v>
      </c>
      <c r="P345" s="2">
        <f t="shared" si="269"/>
        <v>1121020.0994694398</v>
      </c>
      <c r="Q345" s="2">
        <f t="shared" si="270"/>
        <v>14.919058921115672</v>
      </c>
      <c r="R345" s="2">
        <f t="shared" si="271"/>
        <v>3.528</v>
      </c>
      <c r="S345" s="2"/>
      <c r="T345" s="2" t="str">
        <f>VLOOKUP(A345,'[4]CEA vs MERIT comp. &amp; NPA marker'!$C$2:$K$735,9,FALSE)</f>
        <v>Contracted</v>
      </c>
      <c r="U345" s="3">
        <f>VLOOKUP(B345,'[8]Import-Domestic share'!$A$208:$F$406,6,FALSE)</f>
        <v>0</v>
      </c>
      <c r="V345" s="3">
        <f t="shared" si="272"/>
        <v>0</v>
      </c>
      <c r="W345" s="2">
        <f t="shared" si="273"/>
        <v>3176.7179586153316</v>
      </c>
      <c r="X345" s="2">
        <f t="shared" si="274"/>
        <v>3134.1146394730058</v>
      </c>
      <c r="Y345" s="6">
        <f t="shared" si="275"/>
        <v>0.27071965821443494</v>
      </c>
      <c r="Z345" s="2"/>
      <c r="AA345" s="2">
        <f t="shared" si="276"/>
        <v>1269173.7148368547</v>
      </c>
      <c r="AB345" s="2" t="s">
        <v>576</v>
      </c>
      <c r="AC345" s="12">
        <f>VLOOKUP(B345,[9]Sheet1!$A$2:$B$137,2,FALSE)</f>
        <v>3765.3709320470821</v>
      </c>
      <c r="AD345" s="12">
        <f t="shared" si="277"/>
        <v>790727.89572988718</v>
      </c>
      <c r="AE345" s="2" t="s">
        <v>589</v>
      </c>
      <c r="AF345" s="7">
        <f>VLOOKUP($B345,'[9]Subsidiary wise dispatch'!$A$3:$R$138,11,FALSE)*$H345*$O345*365</f>
        <v>0</v>
      </c>
      <c r="AG345" s="7">
        <f>VLOOKUP($B345,'[9]Subsidiary wise dispatch'!$A$3:$R$138,12,FALSE)*$H345*$O345*365</f>
        <v>0</v>
      </c>
      <c r="AH345" s="7">
        <f>VLOOKUP($B345,'[9]Subsidiary wise dispatch'!$A$3:$R$138,13,FALSE)*$H345*$O345*365</f>
        <v>1121020.0994694398</v>
      </c>
      <c r="AI345" s="7">
        <f>VLOOKUP($B345,'[9]Subsidiary wise dispatch'!$A$3:$R$138,14,FALSE)*$H345*$O345*365</f>
        <v>0</v>
      </c>
      <c r="AJ345" s="7">
        <f>VLOOKUP($B345,'[9]Subsidiary wise dispatch'!$A$3:$R$138,15,FALSE)*$H345*$O345*365</f>
        <v>0</v>
      </c>
      <c r="AK345" s="7">
        <f>VLOOKUP($B345,'[9]Subsidiary wise dispatch'!$A$3:$R$138,16,FALSE)*$H345*$O345*365</f>
        <v>0</v>
      </c>
      <c r="AL345" s="7">
        <f>VLOOKUP($B345,'[9]Subsidiary wise dispatch'!$A$3:$R$138,17,FALSE)*$H345*$O345*365</f>
        <v>0</v>
      </c>
      <c r="AM345" s="7">
        <f>VLOOKUP($B345,'[9]Subsidiary wise dispatch'!$A$3:$R$138,18,FALSE)*$H345*$O345*365</f>
        <v>0</v>
      </c>
      <c r="AN345" s="15">
        <f t="shared" si="278"/>
        <v>1121020.0994694398</v>
      </c>
      <c r="AO345" s="6">
        <v>7.2417181230320551E-2</v>
      </c>
      <c r="AP345" s="11">
        <f t="shared" si="279"/>
        <v>0.30252600233711346</v>
      </c>
      <c r="AQ345" s="11"/>
      <c r="AR345" s="3">
        <f>VLOOKUP(A345,[10]Sheet1!$A$2:$L$542,12,FALSE)</f>
        <v>2.3605548789303299</v>
      </c>
      <c r="AS345" s="3">
        <f t="shared" si="290"/>
        <v>2.1807633930291281</v>
      </c>
      <c r="AT345" s="2"/>
      <c r="AU345" s="2"/>
      <c r="AV345" s="88">
        <f t="shared" si="291"/>
        <v>-9.4444296217816581E-2</v>
      </c>
      <c r="AW345" s="32">
        <f t="shared" si="292"/>
        <v>4.330790608449795E-2</v>
      </c>
      <c r="AX345" s="12">
        <f t="shared" si="280"/>
        <v>332.5236240165861</v>
      </c>
      <c r="AY345" s="12">
        <f t="shared" si="281"/>
        <v>0</v>
      </c>
      <c r="AZ345" s="3">
        <f>VLOOKUP(A345,[5]Analysis!$A$3:$BJ$543,62,FALSE)</f>
        <v>0.5026696055634261</v>
      </c>
      <c r="BA345" s="2">
        <v>150.9</v>
      </c>
      <c r="BB345" s="2"/>
      <c r="BC345" s="2" t="str">
        <f>VLOOKUP(A345,'[6]FGD status - Jun 2020'!$I$2:$M$449,5,FALSE)</f>
        <v>Bid Awarded</v>
      </c>
      <c r="BD345" s="2">
        <f>VLOOKUP(A345,'[1]daily coal, energy reqd'!$C$2:$L$599,10,FALSE)</f>
        <v>0</v>
      </c>
      <c r="BE345" s="2" t="str">
        <f>VLOOKUP(A345,'[1]daily coal, energy reqd'!$C$2:$M$599,11,FALSE)</f>
        <v>Y</v>
      </c>
      <c r="BF345" s="2">
        <f t="shared" si="282"/>
        <v>392.80926474200652</v>
      </c>
      <c r="BG345" s="2">
        <f t="shared" si="283"/>
        <v>0</v>
      </c>
      <c r="BH345" s="2">
        <f>IF(G345&lt;17,IF(H345&gt;400,H345*5000000,H345*3500000),H345*1500000)/10^7</f>
        <v>31.5</v>
      </c>
      <c r="BI345" s="2">
        <f>(H345*800000)/10^7</f>
        <v>16.8</v>
      </c>
      <c r="BK345">
        <f t="shared" si="286"/>
        <v>174.06435714874249</v>
      </c>
      <c r="BL345">
        <f>VLOOKUP(A345,'[11]Daily coal vs energy req.2'!$C$2:$P$599,14,FALSE)</f>
        <v>1.1100000000000001</v>
      </c>
      <c r="BM345">
        <f>VLOOKUP(A345,'[11]Daily coal vs energy req.2'!$C$2:$R$599,16,FALSE)</f>
        <v>1.24</v>
      </c>
      <c r="BN345">
        <f t="shared" si="303"/>
        <v>233.10000000000002</v>
      </c>
      <c r="BO345">
        <f t="shared" si="304"/>
        <v>260.39999999999998</v>
      </c>
      <c r="BP345" s="2" t="str">
        <f>VLOOKUP(A345,'[7]Table 2'!$J$2:$N$449,5,FALSE)</f>
        <v>Bid Awarded</v>
      </c>
      <c r="BR345">
        <f t="shared" si="293"/>
        <v>240.22127110078569</v>
      </c>
      <c r="BT345">
        <f>(X345*I345*365*[5]Analysis!BK345)/10^4</f>
        <v>193.19609014616768</v>
      </c>
      <c r="BV345">
        <f>(X345*I345*365*[5]Analysis!BL345)/10^4</f>
        <v>47.025180954618051</v>
      </c>
      <c r="BX345">
        <f t="shared" si="294"/>
        <v>1342022.6188778158</v>
      </c>
      <c r="BZ345">
        <f t="shared" si="295"/>
        <v>3970506.0898830388</v>
      </c>
      <c r="CB345">
        <f t="shared" si="296"/>
        <v>-373425.18828913028</v>
      </c>
      <c r="CD345">
        <f t="shared" si="297"/>
        <v>0</v>
      </c>
      <c r="CF345">
        <f t="shared" si="298"/>
        <v>2722687.5204809154</v>
      </c>
      <c r="CH345">
        <f t="shared" si="299"/>
        <v>747803.18173597765</v>
      </c>
      <c r="CJ345">
        <f t="shared" si="300"/>
        <v>-528037.45630185376</v>
      </c>
      <c r="CL345">
        <f t="shared" si="301"/>
        <v>855254.3197511225</v>
      </c>
    </row>
    <row r="346" spans="1:90" x14ac:dyDescent="0.2">
      <c r="A346" s="2" t="s">
        <v>310</v>
      </c>
      <c r="B346" s="2" t="str">
        <f t="shared" si="302"/>
        <v>KASAIPALLI TPP</v>
      </c>
      <c r="C346" s="2" t="str">
        <f>VLOOKUP($A346,'[1]daily coal, energy reqd'!$C$2:$T$599,17,FALSE)</f>
        <v>Chhatisgarh</v>
      </c>
      <c r="D346" s="2" t="str">
        <f>VLOOKUP(C346,'Target PLF'!$I$2:$J$19,2,FALSE)</f>
        <v>WR</v>
      </c>
      <c r="E346" s="2" t="str">
        <f>VLOOKUP(A346,[2]Ownership!$C$2:$D$666,2,FALSE)</f>
        <v>PVT SECTOR</v>
      </c>
      <c r="F346" s="2" t="s">
        <v>543</v>
      </c>
      <c r="G346" s="12">
        <v>8.4243668720054696</v>
      </c>
      <c r="H346" s="2">
        <v>135</v>
      </c>
      <c r="I346" s="2">
        <f>VLOOKUP(A346,'[3]Calculated coal req (reg.)'!$A$2:$I$599,9,FALSE)</f>
        <v>2.5680320031075001</v>
      </c>
      <c r="J346" s="2"/>
      <c r="K346" s="11">
        <v>0.79260247009490747</v>
      </c>
      <c r="L346" s="3">
        <f>VLOOKUP(F346,'Target PLF'!$A$2:$B$11,2,FALSE)</f>
        <v>0.85</v>
      </c>
      <c r="M346" s="3">
        <f t="shared" si="289"/>
        <v>5.7397529905092504E-2</v>
      </c>
      <c r="N346" s="2" t="str">
        <f t="shared" si="268"/>
        <v>0.15</v>
      </c>
      <c r="O346" s="2">
        <f t="shared" si="267"/>
        <v>13.151312617842249</v>
      </c>
      <c r="P346" s="2">
        <f t="shared" si="269"/>
        <v>648030.92924417683</v>
      </c>
      <c r="Q346" s="2">
        <f t="shared" si="270"/>
        <v>13.949901670670773</v>
      </c>
      <c r="R346" s="2">
        <f t="shared" si="271"/>
        <v>2.754</v>
      </c>
      <c r="S346" s="2"/>
      <c r="T346" s="2" t="str">
        <f>VLOOKUP(A346,'[4]CEA vs MERIT comp. &amp; NPA marker'!$C$2:$K$735,9,FALSE)</f>
        <v>Contracted</v>
      </c>
      <c r="U346" s="3">
        <v>0.28000000000000003</v>
      </c>
      <c r="V346" s="3">
        <f t="shared" si="272"/>
        <v>181448.66018836954</v>
      </c>
      <c r="W346" s="2">
        <f t="shared" si="273"/>
        <v>3139.3455242871314</v>
      </c>
      <c r="X346" s="2">
        <f t="shared" si="274"/>
        <v>3158.3194946248941</v>
      </c>
      <c r="Y346" s="6">
        <f t="shared" si="275"/>
        <v>0.27394244862399625</v>
      </c>
      <c r="Z346" s="2"/>
      <c r="AA346" s="2">
        <f t="shared" si="276"/>
        <v>690712.30085296021</v>
      </c>
      <c r="AB346" s="2" t="s">
        <v>576</v>
      </c>
      <c r="AC346" s="12"/>
      <c r="AD346" s="12">
        <f t="shared" si="277"/>
        <v>0</v>
      </c>
      <c r="AE346" s="2"/>
      <c r="AF346" s="7"/>
      <c r="AG346" s="7"/>
      <c r="AH346" s="7"/>
      <c r="AI346" s="7"/>
      <c r="AJ346" s="7"/>
      <c r="AK346" s="7"/>
      <c r="AL346" s="7"/>
      <c r="AM346" s="7"/>
      <c r="AN346" s="15">
        <f t="shared" si="278"/>
        <v>0</v>
      </c>
      <c r="AO346" s="6">
        <v>0.11279107493880862</v>
      </c>
      <c r="AP346" s="11">
        <f t="shared" si="279"/>
        <v>0.28965109010775686</v>
      </c>
      <c r="AQ346" s="11"/>
      <c r="AR346" s="3">
        <f>VLOOKUP(A346,[10]Sheet1!$A$2:$L$542,12,FALSE)</f>
        <v>0.75762852404644498</v>
      </c>
      <c r="AS346" s="3">
        <f t="shared" si="290"/>
        <v>2.557927489702696</v>
      </c>
      <c r="AT346" s="2"/>
      <c r="AU346" s="2"/>
      <c r="AV346" s="88">
        <f t="shared" si="291"/>
        <v>4.2062057865049893E-2</v>
      </c>
      <c r="AW346" s="32">
        <f t="shared" si="292"/>
        <v>1.6443803835087874E-2</v>
      </c>
      <c r="AX346" s="12">
        <f t="shared" si="280"/>
        <v>239.76264741425084</v>
      </c>
      <c r="AY346" s="12">
        <f t="shared" si="281"/>
        <v>0</v>
      </c>
      <c r="AZ346" s="3">
        <f>VLOOKUP(A346,[5]Analysis!$A$3:$BJ$543,62,FALSE)</f>
        <v>0.67827340778595713</v>
      </c>
      <c r="BA346" s="2"/>
      <c r="BB346" s="2"/>
      <c r="BC346" s="2" t="e">
        <f>VLOOKUP(A346,'[6]FGD status - Jun 2020'!$I$2:$M$449,5,FALSE)</f>
        <v>#N/A</v>
      </c>
      <c r="BD346" s="2"/>
      <c r="BE346" s="2"/>
      <c r="BF346" s="2">
        <f t="shared" si="282"/>
        <v>255.08557840340504</v>
      </c>
      <c r="BG346" s="2">
        <f t="shared" si="283"/>
        <v>0</v>
      </c>
      <c r="BH346" s="2"/>
      <c r="BI346" s="2"/>
      <c r="BK346">
        <f t="shared" si="286"/>
        <v>107.00133346281251</v>
      </c>
      <c r="BL346" t="str">
        <f>VLOOKUP(A346,'[11]Daily coal vs energy req.2'!$C$2:$P$599,14,FALSE)</f>
        <v/>
      </c>
      <c r="BM346" t="str">
        <f>VLOOKUP(A346,'[11]Daily coal vs energy req.2'!$C$2:$R$599,16,FALSE)</f>
        <v/>
      </c>
      <c r="BP346" s="2" t="e">
        <f>VLOOKUP(A346,'[7]Table 2'!$J$2:$N$449,5,FALSE)</f>
        <v>#N/A</v>
      </c>
      <c r="BR346">
        <f t="shared" si="293"/>
        <v>200.79557952212423</v>
      </c>
      <c r="BT346">
        <f>(X346*I346*365*[5]Analysis!BK346)/10^4</f>
        <v>181.48032094946689</v>
      </c>
      <c r="BV346">
        <f>(X346*I346*365*[5]Analysis!BL346)/10^4</f>
        <v>19.315258572657303</v>
      </c>
      <c r="BX346">
        <f t="shared" si="294"/>
        <v>831343.21766909107</v>
      </c>
      <c r="BZ346">
        <f t="shared" si="295"/>
        <v>3293421.9109537899</v>
      </c>
      <c r="CB346">
        <f t="shared" si="296"/>
        <v>-219506.71669023953</v>
      </c>
      <c r="CD346">
        <f t="shared" si="297"/>
        <v>-947717.82976760552</v>
      </c>
      <c r="CF346">
        <f t="shared" si="298"/>
        <v>1673698.1658172931</v>
      </c>
      <c r="CH346">
        <f t="shared" si="299"/>
        <v>160189.2768226917</v>
      </c>
      <c r="CJ346">
        <f t="shared" si="300"/>
        <v>-208669.2924605046</v>
      </c>
      <c r="CL346">
        <f t="shared" si="301"/>
        <v>818856.3763825933</v>
      </c>
    </row>
    <row r="347" spans="1:90" x14ac:dyDescent="0.2">
      <c r="A347" s="2" t="s">
        <v>303</v>
      </c>
      <c r="B347" s="2" t="str">
        <f t="shared" si="302"/>
        <v>KASAIPALLI TPP</v>
      </c>
      <c r="C347" s="2" t="str">
        <f>VLOOKUP($A347,'[1]daily coal, energy reqd'!$C$2:$T$599,17,FALSE)</f>
        <v>Chhatisgarh</v>
      </c>
      <c r="D347" s="2" t="str">
        <f>VLOOKUP(C347,'Target PLF'!$I$2:$J$19,2,FALSE)</f>
        <v>WR</v>
      </c>
      <c r="E347" s="2" t="str">
        <f>VLOOKUP(A347,[2]Ownership!$C$2:$D$666,2,FALSE)</f>
        <v>PVT SECTOR</v>
      </c>
      <c r="F347" s="2" t="s">
        <v>543</v>
      </c>
      <c r="G347" s="12">
        <v>7.9233401779603003</v>
      </c>
      <c r="H347" s="2">
        <v>135</v>
      </c>
      <c r="I347" s="2">
        <f>VLOOKUP(A347,'[3]Calculated coal req (reg.)'!$A$2:$I$599,9,FALSE)</f>
        <v>2.3403098944153098</v>
      </c>
      <c r="J347" s="2"/>
      <c r="K347" s="11">
        <v>0.72231786864670056</v>
      </c>
      <c r="L347" s="3">
        <f>VLOOKUP(F347,'Target PLF'!$A$2:$B$11,2,FALSE)</f>
        <v>0.85</v>
      </c>
      <c r="M347" s="3">
        <f t="shared" si="289"/>
        <v>0.12768213135329942</v>
      </c>
      <c r="N347" s="2" t="str">
        <f t="shared" si="268"/>
        <v>0.15</v>
      </c>
      <c r="O347" s="2">
        <f t="shared" si="267"/>
        <v>12.157551851979029</v>
      </c>
      <c r="P347" s="2">
        <f t="shared" si="269"/>
        <v>599063.36750626669</v>
      </c>
      <c r="Q347" s="2">
        <f t="shared" si="270"/>
        <v>13.934031650136891</v>
      </c>
      <c r="R347" s="2">
        <f t="shared" si="271"/>
        <v>2.754</v>
      </c>
      <c r="S347" s="2"/>
      <c r="T347" s="2" t="str">
        <f>VLOOKUP(A347,'[4]CEA vs MERIT comp. &amp; NPA marker'!$C$2:$K$735,9,FALSE)</f>
        <v>Contracted</v>
      </c>
      <c r="U347" s="3">
        <v>0.28000000000000003</v>
      </c>
      <c r="V347" s="3">
        <f t="shared" si="272"/>
        <v>167737.74290175468</v>
      </c>
      <c r="W347" s="2">
        <f t="shared" si="273"/>
        <v>3135.5174112932918</v>
      </c>
      <c r="X347" s="2">
        <f t="shared" si="274"/>
        <v>3177.7254466733098</v>
      </c>
      <c r="Y347" s="6">
        <f t="shared" si="275"/>
        <v>0.27427690144615713</v>
      </c>
      <c r="Z347" s="2"/>
      <c r="AA347" s="2">
        <f t="shared" si="276"/>
        <v>633330.55090375</v>
      </c>
      <c r="AB347" s="2" t="s">
        <v>576</v>
      </c>
      <c r="AC347" s="12"/>
      <c r="AD347" s="12">
        <f t="shared" si="277"/>
        <v>0</v>
      </c>
      <c r="AE347" s="2"/>
      <c r="AF347" s="7"/>
      <c r="AG347" s="7"/>
      <c r="AH347" s="7"/>
      <c r="AI347" s="7"/>
      <c r="AJ347" s="7"/>
      <c r="AK347" s="7"/>
      <c r="AL347" s="7"/>
      <c r="AM347" s="7"/>
      <c r="AN347" s="15">
        <f t="shared" si="278"/>
        <v>0</v>
      </c>
      <c r="AO347" s="6">
        <v>0.11279107493880862</v>
      </c>
      <c r="AP347" s="11">
        <f t="shared" si="279"/>
        <v>0.26396606868103251</v>
      </c>
      <c r="AQ347" s="11"/>
      <c r="AR347" s="3">
        <f>VLOOKUP(A347,[10]Sheet1!$A$2:$L$542,12,FALSE)</f>
        <v>0.75762852404644498</v>
      </c>
      <c r="AS347" s="3">
        <f t="shared" si="290"/>
        <v>2.5562067476316011</v>
      </c>
      <c r="AT347" s="2"/>
      <c r="AU347" s="2"/>
      <c r="AV347" s="88">
        <f t="shared" si="291"/>
        <v>9.3568019498324884E-2</v>
      </c>
      <c r="AW347" s="32">
        <f t="shared" si="292"/>
        <v>3.6604245562303732E-2</v>
      </c>
      <c r="AX347" s="12">
        <f t="shared" si="280"/>
        <v>218.35453194334963</v>
      </c>
      <c r="AY347" s="12">
        <f t="shared" si="281"/>
        <v>0</v>
      </c>
      <c r="AZ347" s="3">
        <f>VLOOKUP(A347,[5]Analysis!$A$3:$BJ$543,62,FALSE)</f>
        <v>0.67827340778595713</v>
      </c>
      <c r="BA347" s="2"/>
      <c r="BB347" s="2"/>
      <c r="BC347" s="2" t="e">
        <f>VLOOKUP(A347,'[6]FGD status - Jun 2020'!$I$2:$M$449,5,FALSE)</f>
        <v>#N/A</v>
      </c>
      <c r="BD347" s="2"/>
      <c r="BE347" s="2"/>
      <c r="BF347" s="2">
        <f t="shared" si="282"/>
        <v>233.89403909316212</v>
      </c>
      <c r="BG347" s="2">
        <f t="shared" si="283"/>
        <v>0</v>
      </c>
      <c r="BH347" s="2"/>
      <c r="BI347" s="2"/>
      <c r="BK347">
        <f t="shared" si="286"/>
        <v>97.512912267304571</v>
      </c>
      <c r="BL347" t="str">
        <f>VLOOKUP(A347,'[11]Daily coal vs energy req.2'!$C$2:$P$599,14,FALSE)</f>
        <v/>
      </c>
      <c r="BM347" t="str">
        <f>VLOOKUP(A347,'[11]Daily coal vs energy req.2'!$C$2:$R$599,16,FALSE)</f>
        <v/>
      </c>
      <c r="BP347" s="2" t="e">
        <f>VLOOKUP(A347,'[7]Table 2'!$J$2:$N$449,5,FALSE)</f>
        <v>#N/A</v>
      </c>
      <c r="BR347">
        <f t="shared" si="293"/>
        <v>184.11424675764795</v>
      </c>
      <c r="BT347">
        <f>(X347*I347*365*[5]Analysis!BK347)/10^4</f>
        <v>166.40362637697282</v>
      </c>
      <c r="BV347">
        <f>(X347*I347*365*[5]Analysis!BL347)/10^4</f>
        <v>17.710620380675106</v>
      </c>
      <c r="BX347">
        <f t="shared" si="294"/>
        <v>762278.38621994783</v>
      </c>
      <c r="BZ347">
        <f t="shared" si="295"/>
        <v>3001375.32373528</v>
      </c>
      <c r="CB347">
        <f t="shared" si="296"/>
        <v>-182302.94644811956</v>
      </c>
      <c r="CD347">
        <f t="shared" si="297"/>
        <v>-863678.26079856139</v>
      </c>
      <c r="CF347">
        <f t="shared" si="298"/>
        <v>1525281.7616708644</v>
      </c>
      <c r="CH347">
        <f t="shared" si="299"/>
        <v>137302.17229458032</v>
      </c>
      <c r="CJ347">
        <f t="shared" si="300"/>
        <v>-190165.39093555766</v>
      </c>
      <c r="CL347">
        <f t="shared" si="301"/>
        <v>746243.69066830073</v>
      </c>
    </row>
    <row r="348" spans="1:90" x14ac:dyDescent="0.2">
      <c r="A348" s="2" t="s">
        <v>344</v>
      </c>
      <c r="B348" s="2" t="str">
        <f t="shared" si="302"/>
        <v>KHAMBARKHERA TPS</v>
      </c>
      <c r="C348" s="2" t="str">
        <f>VLOOKUP($A348,'[1]daily coal, energy reqd'!$C$2:$T$599,17,FALSE)</f>
        <v>Uttar Pradesh</v>
      </c>
      <c r="D348" s="2" t="str">
        <f>VLOOKUP(C348,'Target PLF'!$I$2:$J$19,2,FALSE)</f>
        <v>NR</v>
      </c>
      <c r="E348" s="2" t="str">
        <f>VLOOKUP(A348,[2]Ownership!$C$2:$D$666,2,FALSE)</f>
        <v>PVT SECTOR</v>
      </c>
      <c r="F348" s="2" t="s">
        <v>543</v>
      </c>
      <c r="G348" s="12">
        <v>8.5913757700205302</v>
      </c>
      <c r="H348" s="2">
        <v>45</v>
      </c>
      <c r="I348" s="2">
        <f>VLOOKUP(A348,'[3]Calculated coal req (reg.)'!$A$2:$I$599,9,FALSE)</f>
        <v>0.14380664618535499</v>
      </c>
      <c r="J348" s="2"/>
      <c r="K348" s="11">
        <v>0.13315430202347683</v>
      </c>
      <c r="L348" s="3">
        <f>VLOOKUP(F348,'Target PLF'!$A$2:$B$11,2,FALSE)</f>
        <v>0.85</v>
      </c>
      <c r="M348" s="3">
        <f t="shared" si="289"/>
        <v>0.7168456979765232</v>
      </c>
      <c r="N348" s="2" t="str">
        <f t="shared" si="268"/>
        <v>0.15</v>
      </c>
      <c r="O348" s="2">
        <f t="shared" si="267"/>
        <v>4.4502134278586407</v>
      </c>
      <c r="P348" s="2">
        <f t="shared" si="269"/>
        <v>73094.755552578164</v>
      </c>
      <c r="Q348" s="2">
        <f t="shared" si="270"/>
        <v>14.4239026775154</v>
      </c>
      <c r="R348" s="2">
        <f t="shared" si="271"/>
        <v>0.91800000000000004</v>
      </c>
      <c r="S348" s="2"/>
      <c r="T348" s="2" t="str">
        <f>VLOOKUP(A348,'[4]CEA vs MERIT comp. &amp; NPA marker'!$C$2:$K$735,9,FALSE)</f>
        <v>Contracted</v>
      </c>
      <c r="U348" s="3">
        <f>VLOOKUP(B348,'[8]Import-Domestic share'!$A$208:$F$406,6,FALSE)</f>
        <v>0</v>
      </c>
      <c r="V348" s="3">
        <f t="shared" si="272"/>
        <v>0</v>
      </c>
      <c r="W348" s="2">
        <f t="shared" si="273"/>
        <v>3160.8108009517455</v>
      </c>
      <c r="X348" s="2">
        <f t="shared" si="274"/>
        <v>3397.779343546682</v>
      </c>
      <c r="Y348" s="6">
        <f t="shared" si="275"/>
        <v>0.27208208721035981</v>
      </c>
      <c r="Z348" s="2"/>
      <c r="AA348" s="2">
        <f t="shared" si="276"/>
        <v>41611.639508577646</v>
      </c>
      <c r="AB348" s="2" t="s">
        <v>576</v>
      </c>
      <c r="AC348" s="12"/>
      <c r="AD348" s="12">
        <f t="shared" si="277"/>
        <v>0</v>
      </c>
      <c r="AE348" s="2"/>
      <c r="AF348" s="7"/>
      <c r="AG348" s="7"/>
      <c r="AH348" s="7"/>
      <c r="AI348" s="7"/>
      <c r="AJ348" s="7"/>
      <c r="AK348" s="7"/>
      <c r="AL348" s="7"/>
      <c r="AM348" s="7"/>
      <c r="AN348" s="15">
        <f t="shared" si="278"/>
        <v>0</v>
      </c>
      <c r="AO348" s="6">
        <v>0.10098421534569983</v>
      </c>
      <c r="AP348" s="11">
        <f t="shared" si="279"/>
        <v>1.4522201326524752E-2</v>
      </c>
      <c r="AQ348" s="11"/>
      <c r="AR348" s="3">
        <f>VLOOKUP(A348,[10]Sheet1!$A$2:$L$542,12,FALSE)</f>
        <v>3.7326535087719201</v>
      </c>
      <c r="AS348" s="3">
        <f t="shared" si="290"/>
        <v>2.7314521482241347</v>
      </c>
      <c r="AT348" s="2"/>
      <c r="AU348" s="2"/>
      <c r="AV348" s="88">
        <f t="shared" si="291"/>
        <v>0.52531886439115572</v>
      </c>
      <c r="AW348" s="32">
        <f t="shared" si="292"/>
        <v>0.19232219196396833</v>
      </c>
      <c r="AX348" s="12">
        <f t="shared" si="280"/>
        <v>14.337235501794202</v>
      </c>
      <c r="AY348" s="12">
        <f t="shared" si="281"/>
        <v>0</v>
      </c>
      <c r="AZ348" s="3">
        <f>VLOOKUP(A348,[5]Analysis!$A$3:$BJ$543,62,FALSE)</f>
        <v>0.7454153187875483</v>
      </c>
      <c r="BA348" s="2"/>
      <c r="BB348" s="2"/>
      <c r="BC348" s="2" t="e">
        <f>VLOOKUP(A348,'[6]FGD status - Jun 2020'!$I$2:$M$449,5,FALSE)</f>
        <v>#N/A</v>
      </c>
      <c r="BD348" s="2"/>
      <c r="BE348" s="2"/>
      <c r="BF348" s="2">
        <f t="shared" si="282"/>
        <v>12.878802427904782</v>
      </c>
      <c r="BG348" s="2">
        <f t="shared" si="283"/>
        <v>0</v>
      </c>
      <c r="BH348" s="2"/>
      <c r="BI348" s="2"/>
      <c r="BK348">
        <f t="shared" si="286"/>
        <v>5.9919435910564571</v>
      </c>
      <c r="BL348" t="str">
        <f>VLOOKUP(A348,'[11]Daily coal vs energy req.2'!$C$2:$P$599,14,FALSE)</f>
        <v/>
      </c>
      <c r="BM348" t="str">
        <f>VLOOKUP(A348,'[11]Daily coal vs energy req.2'!$C$2:$R$599,16,FALSE)</f>
        <v/>
      </c>
      <c r="BP348" s="2" t="e">
        <f>VLOOKUP(A348,'[7]Table 2'!$J$2:$N$449,5,FALSE)</f>
        <v>#N/A</v>
      </c>
      <c r="BR348">
        <f t="shared" si="293"/>
        <v>13.294294882768963</v>
      </c>
      <c r="BT348">
        <f>(X348*I348*365*[5]Analysis!BK348)/10^4</f>
        <v>6.7087676161920289</v>
      </c>
      <c r="BV348">
        <f>(X348*I348*365*[5]Analysis!BL348)/10^4</f>
        <v>6.5855272665769338</v>
      </c>
      <c r="BX348">
        <f t="shared" si="294"/>
        <v>50083.883317015861</v>
      </c>
      <c r="BZ348">
        <f t="shared" si="295"/>
        <v>202683.97815539927</v>
      </c>
      <c r="CB348">
        <f t="shared" si="296"/>
        <v>-2065.028838352921</v>
      </c>
      <c r="CD348">
        <f t="shared" si="297"/>
        <v>-53071.037457486622</v>
      </c>
      <c r="CF348">
        <f t="shared" si="298"/>
        <v>93725.046908104923</v>
      </c>
      <c r="CH348">
        <f t="shared" si="299"/>
        <v>9148.237059685549</v>
      </c>
      <c r="CJ348">
        <f t="shared" si="300"/>
        <v>-3895.0749152534331</v>
      </c>
      <c r="CL348">
        <f t="shared" si="301"/>
        <v>41054.902126943838</v>
      </c>
    </row>
    <row r="349" spans="1:90" x14ac:dyDescent="0.2">
      <c r="A349" s="2" t="s">
        <v>342</v>
      </c>
      <c r="B349" s="2" t="str">
        <f t="shared" si="302"/>
        <v>KHAMBARKHERA TPS</v>
      </c>
      <c r="C349" s="2" t="str">
        <f>VLOOKUP($A349,'[1]daily coal, energy reqd'!$C$2:$T$599,17,FALSE)</f>
        <v>Uttar Pradesh</v>
      </c>
      <c r="D349" s="2" t="str">
        <f>VLOOKUP(C349,'Target PLF'!$I$2:$J$19,2,FALSE)</f>
        <v>NR</v>
      </c>
      <c r="E349" s="2" t="str">
        <f>VLOOKUP(A349,[2]Ownership!$C$2:$D$666,2,FALSE)</f>
        <v>PVT SECTOR</v>
      </c>
      <c r="F349" s="2" t="s">
        <v>543</v>
      </c>
      <c r="G349" s="12">
        <v>8.5065023956194299</v>
      </c>
      <c r="H349" s="2">
        <v>45</v>
      </c>
      <c r="I349" s="2">
        <f>VLOOKUP(A349,'[3]Calculated coal req (reg.)'!$A$2:$I$599,9,FALSE)</f>
        <v>0.149484183307731</v>
      </c>
      <c r="J349" s="2"/>
      <c r="K349" s="11">
        <v>0.13841128084049167</v>
      </c>
      <c r="L349" s="3">
        <f>VLOOKUP(F349,'Target PLF'!$A$2:$B$11,2,FALSE)</f>
        <v>0.85</v>
      </c>
      <c r="M349" s="3">
        <f t="shared" si="289"/>
        <v>0.71158871915950828</v>
      </c>
      <c r="N349" s="2" t="str">
        <f t="shared" si="268"/>
        <v>0.15</v>
      </c>
      <c r="O349" s="2">
        <f t="shared" si="267"/>
        <v>4.5206669870992586</v>
      </c>
      <c r="P349" s="2">
        <f t="shared" si="269"/>
        <v>74251.955263105323</v>
      </c>
      <c r="Q349" s="2">
        <f t="shared" si="270"/>
        <v>14.421214313381245</v>
      </c>
      <c r="R349" s="2">
        <f t="shared" si="271"/>
        <v>0.91800000000000004</v>
      </c>
      <c r="S349" s="2"/>
      <c r="T349" s="2" t="str">
        <f>VLOOKUP(A349,'[4]CEA vs MERIT comp. &amp; NPA marker'!$C$2:$K$735,9,FALSE)</f>
        <v>Contracted</v>
      </c>
      <c r="U349" s="3">
        <f>VLOOKUP(B349,'[8]Import-Domestic share'!$A$208:$F$406,6,FALSE)</f>
        <v>0</v>
      </c>
      <c r="V349" s="3">
        <f t="shared" si="272"/>
        <v>0</v>
      </c>
      <c r="W349" s="2">
        <f t="shared" si="273"/>
        <v>3160.1623227943192</v>
      </c>
      <c r="X349" s="2">
        <f t="shared" si="274"/>
        <v>3395.3930595933407</v>
      </c>
      <c r="Y349" s="6">
        <f t="shared" si="275"/>
        <v>0.272137919560904</v>
      </c>
      <c r="Z349" s="2"/>
      <c r="AA349" s="2">
        <f t="shared" si="276"/>
        <v>43224.103793874878</v>
      </c>
      <c r="AB349" s="2" t="s">
        <v>576</v>
      </c>
      <c r="AC349" s="12"/>
      <c r="AD349" s="12">
        <f t="shared" si="277"/>
        <v>0</v>
      </c>
      <c r="AE349" s="2"/>
      <c r="AF349" s="7"/>
      <c r="AG349" s="7"/>
      <c r="AH349" s="7"/>
      <c r="AI349" s="7"/>
      <c r="AJ349" s="7"/>
      <c r="AK349" s="7"/>
      <c r="AL349" s="7"/>
      <c r="AM349" s="7"/>
      <c r="AN349" s="15">
        <f t="shared" si="278"/>
        <v>0</v>
      </c>
      <c r="AO349" s="6">
        <v>0.10098421534569983</v>
      </c>
      <c r="AP349" s="11">
        <f t="shared" si="279"/>
        <v>1.5095542957923976E-2</v>
      </c>
      <c r="AQ349" s="11"/>
      <c r="AR349" s="3">
        <f>VLOOKUP(A349,[10]Sheet1!$A$2:$L$542,12,FALSE)</f>
        <v>3.7326535087719201</v>
      </c>
      <c r="AS349" s="3">
        <f t="shared" si="290"/>
        <v>2.7305791092181639</v>
      </c>
      <c r="AT349" s="2"/>
      <c r="AU349" s="2"/>
      <c r="AV349" s="88">
        <f t="shared" si="291"/>
        <v>0.52146644517447083</v>
      </c>
      <c r="AW349" s="32">
        <f t="shared" si="292"/>
        <v>0.19097283920984084</v>
      </c>
      <c r="AX349" s="12">
        <f t="shared" si="280"/>
        <v>14.898511165599952</v>
      </c>
      <c r="AY349" s="12">
        <f t="shared" si="281"/>
        <v>0</v>
      </c>
      <c r="AZ349" s="3">
        <f>VLOOKUP(A349,[5]Analysis!$A$3:$BJ$543,62,FALSE)</f>
        <v>0.7454153187875483</v>
      </c>
      <c r="BA349" s="2"/>
      <c r="BB349" s="2"/>
      <c r="BC349" s="2" t="e">
        <f>VLOOKUP(A349,'[6]FGD status - Jun 2020'!$I$2:$M$449,5,FALSE)</f>
        <v>#N/A</v>
      </c>
      <c r="BD349" s="2"/>
      <c r="BE349" s="2"/>
      <c r="BF349" s="2">
        <f t="shared" si="282"/>
        <v>13.377860124204275</v>
      </c>
      <c r="BG349" s="2">
        <f t="shared" si="283"/>
        <v>0</v>
      </c>
      <c r="BH349" s="2"/>
      <c r="BI349" s="2"/>
      <c r="BK349">
        <f t="shared" si="286"/>
        <v>6.2285076378221254</v>
      </c>
      <c r="BL349" t="str">
        <f>VLOOKUP(A349,'[11]Daily coal vs energy req.2'!$C$2:$P$599,14,FALSE)</f>
        <v/>
      </c>
      <c r="BM349" t="str">
        <f>VLOOKUP(A349,'[11]Daily coal vs energy req.2'!$C$2:$R$599,16,FALSE)</f>
        <v/>
      </c>
      <c r="BP349" s="2" t="e">
        <f>VLOOKUP(A349,'[7]Table 2'!$J$2:$N$449,5,FALSE)</f>
        <v>#N/A</v>
      </c>
      <c r="BR349">
        <f t="shared" si="293"/>
        <v>13.809453044039104</v>
      </c>
      <c r="BT349">
        <f>(X349*I349*365*[5]Analysis!BK349)/10^4</f>
        <v>6.9687344982284456</v>
      </c>
      <c r="BV349">
        <f>(X349*I349*365*[5]Analysis!BL349)/10^4</f>
        <v>6.840718545810657</v>
      </c>
      <c r="BX349">
        <f t="shared" si="294"/>
        <v>52024.649748509983</v>
      </c>
      <c r="BZ349">
        <f t="shared" si="295"/>
        <v>210686.01311423496</v>
      </c>
      <c r="CB349">
        <f t="shared" si="296"/>
        <v>-2231.3037292454405</v>
      </c>
      <c r="CD349">
        <f t="shared" si="297"/>
        <v>-55166.300738291604</v>
      </c>
      <c r="CF349">
        <f t="shared" si="298"/>
        <v>97425.344823622188</v>
      </c>
      <c r="CH349">
        <f t="shared" si="299"/>
        <v>9415.4701133021317</v>
      </c>
      <c r="CJ349">
        <f t="shared" si="300"/>
        <v>-4048.853846981548</v>
      </c>
      <c r="CL349">
        <f t="shared" si="301"/>
        <v>42675.764145941219</v>
      </c>
    </row>
    <row r="350" spans="1:90" x14ac:dyDescent="0.2">
      <c r="A350" s="2" t="s">
        <v>439</v>
      </c>
      <c r="B350" s="2" t="str">
        <f t="shared" si="302"/>
        <v>KHAPARKHEDA TPS</v>
      </c>
      <c r="C350" s="2" t="str">
        <f>VLOOKUP($A350,'[1]daily coal, energy reqd'!$C$2:$T$599,17,FALSE)</f>
        <v>Maharashtra</v>
      </c>
      <c r="D350" s="2" t="str">
        <f>VLOOKUP(C350,'Target PLF'!$I$2:$J$19,2,FALSE)</f>
        <v>WR</v>
      </c>
      <c r="E350" s="2" t="str">
        <f>VLOOKUP(A350,[2]Ownership!$C$2:$D$666,2,FALSE)</f>
        <v>STATE SECTOR</v>
      </c>
      <c r="F350" s="2" t="s">
        <v>548</v>
      </c>
      <c r="G350" s="12">
        <v>31.175906913073199</v>
      </c>
      <c r="H350" s="2">
        <v>210</v>
      </c>
      <c r="I350" s="2">
        <f>VLOOKUP(A350,'[3]Calculated coal req (reg.)'!$A$2:$I$599,9,FALSE)</f>
        <v>1.9541558798050001</v>
      </c>
      <c r="J350" s="2"/>
      <c r="K350" s="11">
        <v>0.38772934123115083</v>
      </c>
      <c r="L350" s="3">
        <f>VLOOKUP(F350,'Target PLF'!$A$2:$B$11,2,FALSE)</f>
        <v>0.6</v>
      </c>
      <c r="M350" s="3">
        <f t="shared" si="289"/>
        <v>0.21227065876884915</v>
      </c>
      <c r="N350" s="2" t="str">
        <f t="shared" si="268"/>
        <v>0.25</v>
      </c>
      <c r="O350" s="2">
        <f t="shared" si="267"/>
        <v>8.709095244822965</v>
      </c>
      <c r="P350" s="2">
        <f t="shared" si="269"/>
        <v>667552.1505156802</v>
      </c>
      <c r="Q350" s="2">
        <f t="shared" si="270"/>
        <v>15.140805601471593</v>
      </c>
      <c r="R350" s="2">
        <f t="shared" si="271"/>
        <v>3.024</v>
      </c>
      <c r="S350" s="2"/>
      <c r="T350" s="2" t="str">
        <f>VLOOKUP(A350,'[4]CEA vs MERIT comp. &amp; NPA marker'!$C$2:$K$735,9,FALSE)</f>
        <v>Contracted</v>
      </c>
      <c r="U350" s="3">
        <f>VLOOKUP(B350,'[8]Import-Domestic share'!$A$208:$F$406,6,FALSE)</f>
        <v>2.4285213526101211E-2</v>
      </c>
      <c r="V350" s="3">
        <f t="shared" si="272"/>
        <v>16211.646515081349</v>
      </c>
      <c r="W350" s="2">
        <f t="shared" si="273"/>
        <v>3268.739304664547</v>
      </c>
      <c r="X350" s="2">
        <f t="shared" si="274"/>
        <v>3338.9098710585563</v>
      </c>
      <c r="Y350" s="6">
        <f t="shared" si="275"/>
        <v>0.26309837519705692</v>
      </c>
      <c r="Z350" s="2"/>
      <c r="AA350" s="2">
        <f t="shared" si="276"/>
        <v>617339.14589370787</v>
      </c>
      <c r="AB350" s="2" t="s">
        <v>576</v>
      </c>
      <c r="AC350" s="12">
        <f>VLOOKUP(B350,[9]Sheet1!$A$2:$B$137,2,FALSE)</f>
        <v>3857.7399408815058</v>
      </c>
      <c r="AD350" s="12">
        <f t="shared" si="277"/>
        <v>810125.3875851162</v>
      </c>
      <c r="AE350" s="2"/>
      <c r="AF350" s="7">
        <f>VLOOKUP($B350,'[9]Subsidiary wise dispatch'!$A$3:$R$138,11,FALSE)*$H350*$O350*365</f>
        <v>0</v>
      </c>
      <c r="AG350" s="7">
        <f>VLOOKUP($B350,'[9]Subsidiary wise dispatch'!$A$3:$R$138,12,FALSE)*$H350*$O350*365</f>
        <v>0</v>
      </c>
      <c r="AH350" s="7">
        <f>VLOOKUP($B350,'[9]Subsidiary wise dispatch'!$A$3:$R$138,13,FALSE)*$H350*$O350*365</f>
        <v>0</v>
      </c>
      <c r="AI350" s="7">
        <f>VLOOKUP($B350,'[9]Subsidiary wise dispatch'!$A$3:$R$138,14,FALSE)*$H350*$O350*365</f>
        <v>203216.44014079889</v>
      </c>
      <c r="AJ350" s="7">
        <f>VLOOKUP($B350,'[9]Subsidiary wise dispatch'!$A$3:$R$138,15,FALSE)*$H350*$O350*365</f>
        <v>0</v>
      </c>
      <c r="AK350" s="7">
        <f>VLOOKUP($B350,'[9]Subsidiary wise dispatch'!$A$3:$R$138,16,FALSE)*$H350*$O350*365</f>
        <v>0</v>
      </c>
      <c r="AL350" s="7">
        <f>VLOOKUP($B350,'[9]Subsidiary wise dispatch'!$A$3:$R$138,17,FALSE)*$H350*$O350*365</f>
        <v>33425.713704159156</v>
      </c>
      <c r="AM350" s="7">
        <f>VLOOKUP($B350,'[9]Subsidiary wise dispatch'!$A$3:$R$138,18,FALSE)*$H350*$O350*365</f>
        <v>430909.99667072226</v>
      </c>
      <c r="AN350" s="15">
        <f t="shared" si="278"/>
        <v>667552.15051568032</v>
      </c>
      <c r="AO350" s="6">
        <v>8.9781177379789912E-2</v>
      </c>
      <c r="AP350" s="11">
        <f t="shared" si="279"/>
        <v>0.17544641567253214</v>
      </c>
      <c r="AQ350" s="11"/>
      <c r="AR350" s="3">
        <f>VLOOKUP(A350,[10]Sheet1!$A$2:$L$542,12,FALSE)</f>
        <v>2.7295164835164401</v>
      </c>
      <c r="AS350" s="3">
        <f t="shared" si="290"/>
        <v>2.5841078634755896</v>
      </c>
      <c r="AT350" s="2"/>
      <c r="AU350" s="2"/>
      <c r="AV350" s="88">
        <f t="shared" si="291"/>
        <v>0.15555618415898803</v>
      </c>
      <c r="AW350" s="32">
        <f t="shared" si="292"/>
        <v>6.0197248867842189E-2</v>
      </c>
      <c r="AX350" s="12">
        <f t="shared" si="280"/>
        <v>184.31585950433234</v>
      </c>
      <c r="AY350" s="12">
        <f t="shared" si="281"/>
        <v>0</v>
      </c>
      <c r="AZ350" s="3">
        <f>VLOOKUP(A350,[5]Analysis!$A$3:$BJ$543,62,FALSE)</f>
        <v>0.65151128241961231</v>
      </c>
      <c r="BA350" s="2">
        <v>90.91</v>
      </c>
      <c r="BB350" s="2"/>
      <c r="BC350" s="2" t="str">
        <f>VLOOKUP(A350,'[6]FGD status - Jun 2020'!$I$2:$M$449,5,FALSE)</f>
        <v>Feasiblity Study Carried Out</v>
      </c>
      <c r="BD350" s="2">
        <f>VLOOKUP(A350,'[1]daily coal, energy reqd'!$C$2:$L$599,10,FALSE)</f>
        <v>0</v>
      </c>
      <c r="BE350" s="2" t="str">
        <f>VLOOKUP(A350,'[1]daily coal, energy reqd'!$C$2:$M$599,11,FALSE)</f>
        <v>Y</v>
      </c>
      <c r="BF350" s="2">
        <f t="shared" si="282"/>
        <v>194.26880234578678</v>
      </c>
      <c r="BG350" s="2">
        <f t="shared" si="283"/>
        <v>0</v>
      </c>
      <c r="BH350" s="2">
        <f t="shared" ref="BH350:BH364" si="305">IF(G350&lt;17,IF(H350&gt;400,H350*5000000,H350*3500000),H350*1500000)/10^7</f>
        <v>31.5</v>
      </c>
      <c r="BI350" s="2">
        <f t="shared" ref="BI350:BI364" si="306">(H350*800000)/10^7</f>
        <v>16.8</v>
      </c>
      <c r="BK350">
        <f t="shared" si="286"/>
        <v>81.423161658541673</v>
      </c>
      <c r="BL350">
        <f>VLOOKUP(A350,'[11]Daily coal vs energy req.2'!$C$2:$P$599,14,FALSE)</f>
        <v>1.17</v>
      </c>
      <c r="BM350">
        <f>VLOOKUP(A350,'[11]Daily coal vs energy req.2'!$C$2:$R$599,16,FALSE)</f>
        <v>1.1100000000000001</v>
      </c>
      <c r="BN350">
        <f t="shared" ref="BN350:BN364" si="307">BL350*H350</f>
        <v>245.7</v>
      </c>
      <c r="BO350">
        <f t="shared" ref="BO350:BO364" si="308">BM350*H350</f>
        <v>233.10000000000002</v>
      </c>
      <c r="BP350" s="2" t="str">
        <f>VLOOKUP(A350,'[7]Table 2'!$J$2:$N$449,5,FALSE)</f>
        <v>Feasiblity Study Carried Ou</v>
      </c>
      <c r="BR350">
        <f t="shared" si="293"/>
        <v>155.15961924043236</v>
      </c>
      <c r="BT350">
        <f>(X350*I350*365*[5]Analysis!BK350)/10^4</f>
        <v>101.29642979031145</v>
      </c>
      <c r="BV350">
        <f>(X350*I350*365*[5]Analysis!BL350)/10^4</f>
        <v>53.863189450120913</v>
      </c>
      <c r="BX350">
        <f t="shared" si="294"/>
        <v>668786.91155847337</v>
      </c>
      <c r="BZ350">
        <f t="shared" si="295"/>
        <v>2407261.6265997994</v>
      </c>
      <c r="CB350">
        <f t="shared" si="296"/>
        <v>-81710.869448700905</v>
      </c>
      <c r="CD350">
        <f t="shared" si="297"/>
        <v>0</v>
      </c>
      <c r="CF350">
        <f t="shared" si="298"/>
        <v>1273608.3926496902</v>
      </c>
      <c r="CH350">
        <f t="shared" si="299"/>
        <v>451101.25695613242</v>
      </c>
      <c r="CJ350">
        <f t="shared" si="300"/>
        <v>-247003.34905147224</v>
      </c>
      <c r="CL350">
        <f t="shared" si="301"/>
        <v>495994.73674853786</v>
      </c>
    </row>
    <row r="351" spans="1:90" x14ac:dyDescent="0.2">
      <c r="A351" s="2" t="s">
        <v>432</v>
      </c>
      <c r="B351" s="2" t="str">
        <f t="shared" si="302"/>
        <v>KHAPARKHEDA TPS</v>
      </c>
      <c r="C351" s="2" t="str">
        <f>VLOOKUP($A351,'[1]daily coal, energy reqd'!$C$2:$T$599,17,FALSE)</f>
        <v>Maharashtra</v>
      </c>
      <c r="D351" s="2" t="str">
        <f>VLOOKUP(C351,'Target PLF'!$I$2:$J$19,2,FALSE)</f>
        <v>WR</v>
      </c>
      <c r="E351" s="2" t="str">
        <f>VLOOKUP(A351,[2]Ownership!$C$2:$D$666,2,FALSE)</f>
        <v>STATE SECTOR</v>
      </c>
      <c r="F351" s="2" t="s">
        <v>548</v>
      </c>
      <c r="G351" s="12">
        <v>30.338124572210798</v>
      </c>
      <c r="H351" s="2">
        <v>210</v>
      </c>
      <c r="I351" s="2">
        <f>VLOOKUP(A351,'[3]Calculated coal req (reg.)'!$A$2:$I$599,9,FALSE)</f>
        <v>2.7425626160830601</v>
      </c>
      <c r="J351" s="2"/>
      <c r="K351" s="11">
        <v>0.54415924922282943</v>
      </c>
      <c r="L351" s="3">
        <f>VLOOKUP(F351,'Target PLF'!$A$2:$B$11,2,FALSE)</f>
        <v>0.6</v>
      </c>
      <c r="M351" s="3">
        <f t="shared" si="289"/>
        <v>5.5840750777170545E-2</v>
      </c>
      <c r="N351" s="2" t="str">
        <f t="shared" si="268"/>
        <v>0.25</v>
      </c>
      <c r="O351" s="2">
        <f t="shared" si="267"/>
        <v>10.859014728036769</v>
      </c>
      <c r="P351" s="2">
        <f t="shared" si="269"/>
        <v>832343.47890401841</v>
      </c>
      <c r="Q351" s="2">
        <f t="shared" si="270"/>
        <v>15.114268845824776</v>
      </c>
      <c r="R351" s="2">
        <f t="shared" si="271"/>
        <v>3.024</v>
      </c>
      <c r="S351" s="2"/>
      <c r="T351" s="2" t="str">
        <f>VLOOKUP(A351,'[4]CEA vs MERIT comp. &amp; NPA marker'!$C$2:$K$735,9,FALSE)</f>
        <v>Contracted</v>
      </c>
      <c r="U351" s="3">
        <f>VLOOKUP(B351,'[8]Import-Domestic share'!$A$208:$F$406,6,FALSE)</f>
        <v>2.4285213526101211E-2</v>
      </c>
      <c r="V351" s="3">
        <f t="shared" si="272"/>
        <v>20213.639112242003</v>
      </c>
      <c r="W351" s="2">
        <f t="shared" si="273"/>
        <v>3262.338197691241</v>
      </c>
      <c r="X351" s="2">
        <f t="shared" si="274"/>
        <v>3280.7975416845516</v>
      </c>
      <c r="Y351" s="6">
        <f t="shared" si="275"/>
        <v>0.26361460642205109</v>
      </c>
      <c r="Z351" s="2"/>
      <c r="AA351" s="2">
        <f t="shared" si="276"/>
        <v>851326.00479217619</v>
      </c>
      <c r="AB351" s="2" t="s">
        <v>576</v>
      </c>
      <c r="AC351" s="12">
        <f>VLOOKUP(B351,[9]Sheet1!$A$2:$B$137,2,FALSE)</f>
        <v>3857.7399408815058</v>
      </c>
      <c r="AD351" s="12">
        <f t="shared" si="277"/>
        <v>810125.3875851162</v>
      </c>
      <c r="AE351" s="2"/>
      <c r="AF351" s="7">
        <f>VLOOKUP($B351,'[9]Subsidiary wise dispatch'!$A$3:$R$138,11,FALSE)*$H351*$O351*365</f>
        <v>0</v>
      </c>
      <c r="AG351" s="7">
        <f>VLOOKUP($B351,'[9]Subsidiary wise dispatch'!$A$3:$R$138,12,FALSE)*$H351*$O351*365</f>
        <v>0</v>
      </c>
      <c r="AH351" s="7">
        <f>VLOOKUP($B351,'[9]Subsidiary wise dispatch'!$A$3:$R$138,13,FALSE)*$H351*$O351*365</f>
        <v>0</v>
      </c>
      <c r="AI351" s="7">
        <f>VLOOKUP($B351,'[9]Subsidiary wise dispatch'!$A$3:$R$138,14,FALSE)*$H351*$O351*365</f>
        <v>253382.26927531959</v>
      </c>
      <c r="AJ351" s="7">
        <f>VLOOKUP($B351,'[9]Subsidiary wise dispatch'!$A$3:$R$138,15,FALSE)*$H351*$O351*365</f>
        <v>0</v>
      </c>
      <c r="AK351" s="7">
        <f>VLOOKUP($B351,'[9]Subsidiary wise dispatch'!$A$3:$R$138,16,FALSE)*$H351*$O351*365</f>
        <v>0</v>
      </c>
      <c r="AL351" s="7">
        <f>VLOOKUP($B351,'[9]Subsidiary wise dispatch'!$A$3:$R$138,17,FALSE)*$H351*$O351*365</f>
        <v>41677.155571856762</v>
      </c>
      <c r="AM351" s="7">
        <f>VLOOKUP($B351,'[9]Subsidiary wise dispatch'!$A$3:$R$138,18,FALSE)*$H351*$O351*365</f>
        <v>537284.05405684211</v>
      </c>
      <c r="AN351" s="15">
        <f t="shared" si="278"/>
        <v>832343.47890401841</v>
      </c>
      <c r="AO351" s="6">
        <v>8.9781177379789912E-2</v>
      </c>
      <c r="AP351" s="11">
        <f t="shared" si="279"/>
        <v>0.24623050070973387</v>
      </c>
      <c r="AQ351" s="11"/>
      <c r="AR351" s="3">
        <f>VLOOKUP(A351,[10]Sheet1!$A$2:$L$542,12,FALSE)</f>
        <v>2.7295164835164401</v>
      </c>
      <c r="AS351" s="3">
        <f t="shared" si="290"/>
        <v>2.5719479903718385</v>
      </c>
      <c r="AT351" s="2"/>
      <c r="AU351" s="2"/>
      <c r="AV351" s="88">
        <f t="shared" si="291"/>
        <v>4.0921218984526123E-2</v>
      </c>
      <c r="AW351" s="32">
        <f t="shared" si="292"/>
        <v>1.5910593502557552E-2</v>
      </c>
      <c r="AX351" s="12">
        <f t="shared" si="280"/>
        <v>257.46108692498717</v>
      </c>
      <c r="AY351" s="12">
        <f t="shared" si="281"/>
        <v>0</v>
      </c>
      <c r="AZ351" s="3">
        <f>VLOOKUP(A351,[5]Analysis!$A$3:$BJ$543,62,FALSE)</f>
        <v>0.65151128241961231</v>
      </c>
      <c r="BA351" s="2">
        <v>90.91</v>
      </c>
      <c r="BB351" s="2"/>
      <c r="BC351" s="2" t="str">
        <f>VLOOKUP(A351,'[6]FGD status - Jun 2020'!$I$2:$M$449,5,FALSE)</f>
        <v>Feasiblity Study Carried Out</v>
      </c>
      <c r="BD351" s="2">
        <f>VLOOKUP(A351,'[1]daily coal, energy reqd'!$C$2:$L$599,10,FALSE)</f>
        <v>0</v>
      </c>
      <c r="BE351" s="2" t="str">
        <f>VLOOKUP(A351,'[1]daily coal, energy reqd'!$C$2:$M$599,11,FALSE)</f>
        <v>Y</v>
      </c>
      <c r="BF351" s="2">
        <f t="shared" si="282"/>
        <v>267.90150026428978</v>
      </c>
      <c r="BG351" s="2">
        <f t="shared" si="283"/>
        <v>0</v>
      </c>
      <c r="BH351" s="2">
        <f t="shared" si="305"/>
        <v>31.5</v>
      </c>
      <c r="BI351" s="2">
        <f t="shared" si="306"/>
        <v>16.8</v>
      </c>
      <c r="BK351">
        <f t="shared" si="286"/>
        <v>114.27344233679418</v>
      </c>
      <c r="BL351">
        <f>VLOOKUP(A351,'[11]Daily coal vs energy req.2'!$C$2:$P$599,14,FALSE)</f>
        <v>1.52</v>
      </c>
      <c r="BM351">
        <f>VLOOKUP(A351,'[11]Daily coal vs energy req.2'!$C$2:$R$599,16,FALSE)</f>
        <v>1.17</v>
      </c>
      <c r="BN351">
        <f t="shared" si="307"/>
        <v>319.2</v>
      </c>
      <c r="BO351">
        <f t="shared" si="308"/>
        <v>245.7</v>
      </c>
      <c r="BP351" s="2" t="str">
        <f>VLOOKUP(A351,'[7]Table 2'!$J$2:$N$449,5,FALSE)</f>
        <v>Feasiblity Study Carried Ou</v>
      </c>
      <c r="BR351">
        <f t="shared" si="293"/>
        <v>213.96896605642399</v>
      </c>
      <c r="BT351">
        <f>(X351*I351*365*[5]Analysis!BK351)/10^4</f>
        <v>139.69029089878094</v>
      </c>
      <c r="BV351">
        <f>(X351*I351*365*[5]Analysis!BL351)/10^4</f>
        <v>74.27867515764305</v>
      </c>
      <c r="BX351">
        <f t="shared" si="294"/>
        <v>922273.75059802865</v>
      </c>
      <c r="BZ351">
        <f t="shared" si="295"/>
        <v>3378474.4668898727</v>
      </c>
      <c r="CB351">
        <f t="shared" si="296"/>
        <v>-160943.90256653458</v>
      </c>
      <c r="CD351">
        <f t="shared" si="297"/>
        <v>0</v>
      </c>
      <c r="CF351">
        <f t="shared" si="298"/>
        <v>1787447.35837513</v>
      </c>
      <c r="CH351">
        <f t="shared" si="299"/>
        <v>616085.54550256208</v>
      </c>
      <c r="CJ351">
        <f t="shared" si="300"/>
        <v>-346657.17211028276</v>
      </c>
      <c r="CL351">
        <f t="shared" si="301"/>
        <v>696104.45964844886</v>
      </c>
    </row>
    <row r="352" spans="1:90" x14ac:dyDescent="0.2">
      <c r="A352" s="2" t="s">
        <v>366</v>
      </c>
      <c r="B352" s="2" t="str">
        <f t="shared" si="302"/>
        <v>KHAPARKHEDA TPS</v>
      </c>
      <c r="C352" s="2" t="str">
        <f>VLOOKUP($A352,'[1]daily coal, energy reqd'!$C$2:$T$599,17,FALSE)</f>
        <v>Maharashtra</v>
      </c>
      <c r="D352" s="2" t="str">
        <f>VLOOKUP(C352,'Target PLF'!$I$2:$J$19,2,FALSE)</f>
        <v>WR</v>
      </c>
      <c r="E352" s="2" t="str">
        <f>VLOOKUP(A352,[2]Ownership!$C$2:$D$666,2,FALSE)</f>
        <v>STATE SECTOR</v>
      </c>
      <c r="F352" s="2" t="s">
        <v>545</v>
      </c>
      <c r="G352" s="12">
        <v>20.008213552361301</v>
      </c>
      <c r="H352" s="2">
        <v>210</v>
      </c>
      <c r="I352" s="2">
        <f>VLOOKUP(A352,'[3]Calculated coal req (reg.)'!$A$2:$I$599,9,FALSE)</f>
        <v>2.7438840081742901</v>
      </c>
      <c r="J352" s="2"/>
      <c r="K352" s="11">
        <v>0.54442143019331157</v>
      </c>
      <c r="L352" s="3">
        <f>VLOOKUP(F352,'Target PLF'!$A$2:$B$11,2,FALSE)</f>
        <v>0.75</v>
      </c>
      <c r="M352" s="3">
        <f t="shared" si="289"/>
        <v>0.20557856980668843</v>
      </c>
      <c r="N352" s="2" t="str">
        <f t="shared" si="268"/>
        <v>0.25</v>
      </c>
      <c r="O352" s="2">
        <f t="shared" si="267"/>
        <v>10.535462598979645</v>
      </c>
      <c r="P352" s="2">
        <f t="shared" si="269"/>
        <v>807543.20821178972</v>
      </c>
      <c r="Q352" s="2">
        <f t="shared" si="270"/>
        <v>14.787068914271043</v>
      </c>
      <c r="R352" s="2">
        <f t="shared" si="271"/>
        <v>3.78</v>
      </c>
      <c r="S352" s="2"/>
      <c r="T352" s="2" t="str">
        <f>VLOOKUP(A352,'[4]CEA vs MERIT comp. &amp; NPA marker'!$C$2:$K$735,9,FALSE)</f>
        <v>Contracted</v>
      </c>
      <c r="U352" s="3">
        <f>VLOOKUP(B352,'[8]Import-Domestic share'!$A$208:$F$406,6,FALSE)</f>
        <v>2.4285213526101211E-2</v>
      </c>
      <c r="V352" s="3">
        <f t="shared" si="272"/>
        <v>19611.359242976127</v>
      </c>
      <c r="W352" s="2">
        <f t="shared" si="273"/>
        <v>3133.8264503373734</v>
      </c>
      <c r="X352" s="2">
        <f t="shared" si="274"/>
        <v>3201.7848048526539</v>
      </c>
      <c r="Y352" s="6">
        <f t="shared" si="275"/>
        <v>0.27442489672885884</v>
      </c>
      <c r="Z352" s="2"/>
      <c r="AA352" s="2">
        <f t="shared" si="276"/>
        <v>831223.48428695637</v>
      </c>
      <c r="AB352" s="2" t="s">
        <v>576</v>
      </c>
      <c r="AC352" s="12">
        <f>VLOOKUP(B352,[9]Sheet1!$A$2:$B$137,2,FALSE)</f>
        <v>3857.7399408815058</v>
      </c>
      <c r="AD352" s="12">
        <f t="shared" si="277"/>
        <v>810125.3875851162</v>
      </c>
      <c r="AE352" s="2"/>
      <c r="AF352" s="7">
        <f>VLOOKUP($B352,'[9]Subsidiary wise dispatch'!$A$3:$R$138,11,FALSE)*$H352*$O352*365</f>
        <v>0</v>
      </c>
      <c r="AG352" s="7">
        <f>VLOOKUP($B352,'[9]Subsidiary wise dispatch'!$A$3:$R$138,12,FALSE)*$H352*$O352*365</f>
        <v>0</v>
      </c>
      <c r="AH352" s="7">
        <f>VLOOKUP($B352,'[9]Subsidiary wise dispatch'!$A$3:$R$138,13,FALSE)*$H352*$O352*365</f>
        <v>0</v>
      </c>
      <c r="AI352" s="7">
        <f>VLOOKUP($B352,'[9]Subsidiary wise dispatch'!$A$3:$R$138,14,FALSE)*$H352*$O352*365</f>
        <v>245832.56290300147</v>
      </c>
      <c r="AJ352" s="7">
        <f>VLOOKUP($B352,'[9]Subsidiary wise dispatch'!$A$3:$R$138,15,FALSE)*$H352*$O352*365</f>
        <v>0</v>
      </c>
      <c r="AK352" s="7">
        <f>VLOOKUP($B352,'[9]Subsidiary wise dispatch'!$A$3:$R$138,16,FALSE)*$H352*$O352*365</f>
        <v>0</v>
      </c>
      <c r="AL352" s="7">
        <f>VLOOKUP($B352,'[9]Subsidiary wise dispatch'!$A$3:$R$138,17,FALSE)*$H352*$O352*365</f>
        <v>40435.354841676046</v>
      </c>
      <c r="AM352" s="7">
        <f>VLOOKUP($B352,'[9]Subsidiary wise dispatch'!$A$3:$R$138,18,FALSE)*$H352*$O352*365</f>
        <v>521275.29046711238</v>
      </c>
      <c r="AN352" s="15">
        <f t="shared" si="278"/>
        <v>807543.20821178984</v>
      </c>
      <c r="AO352" s="6">
        <v>8.9781177379789912E-2</v>
      </c>
      <c r="AP352" s="11">
        <f t="shared" si="279"/>
        <v>0.24634913684746484</v>
      </c>
      <c r="AQ352" s="11"/>
      <c r="AR352" s="3">
        <f>VLOOKUP(A352,[10]Sheet1!$A$2:$L$542,12,FALSE)</f>
        <v>2.7295164835164401</v>
      </c>
      <c r="AS352" s="3">
        <f t="shared" si="290"/>
        <v>2.4873613587000936</v>
      </c>
      <c r="AT352" s="2"/>
      <c r="AU352" s="2"/>
      <c r="AV352" s="88">
        <f t="shared" si="291"/>
        <v>0.15065208752573742</v>
      </c>
      <c r="AW352" s="32">
        <f t="shared" si="292"/>
        <v>6.0567028991906864E-2</v>
      </c>
      <c r="AX352" s="12">
        <f t="shared" si="280"/>
        <v>249.11363349610693</v>
      </c>
      <c r="AY352" s="12">
        <f t="shared" si="281"/>
        <v>0</v>
      </c>
      <c r="AZ352" s="3">
        <f>VLOOKUP(A352,[5]Analysis!$A$3:$BJ$543,62,FALSE)</f>
        <v>0.65151128241961231</v>
      </c>
      <c r="BA352" s="2">
        <v>90.91</v>
      </c>
      <c r="BB352" s="2"/>
      <c r="BC352" s="2" t="str">
        <f>VLOOKUP(A352,'[6]FGD status - Jun 2020'!$I$2:$M$449,5,FALSE)</f>
        <v>Feasiblity Study Carried Out</v>
      </c>
      <c r="BD352" s="2"/>
      <c r="BE352" s="2"/>
      <c r="BF352" s="2">
        <f t="shared" si="282"/>
        <v>261.57549192890866</v>
      </c>
      <c r="BG352" s="2">
        <f t="shared" si="283"/>
        <v>0</v>
      </c>
      <c r="BH352" s="2">
        <f t="shared" si="305"/>
        <v>31.5</v>
      </c>
      <c r="BI352" s="2">
        <f t="shared" si="306"/>
        <v>16.8</v>
      </c>
      <c r="BK352">
        <f t="shared" si="286"/>
        <v>114.32850034059543</v>
      </c>
      <c r="BL352">
        <f>VLOOKUP(A352,'[11]Daily coal vs energy req.2'!$C$2:$P$599,14,FALSE)</f>
        <v>0.6</v>
      </c>
      <c r="BM352">
        <f>VLOOKUP(A352,'[11]Daily coal vs energy req.2'!$C$2:$R$599,16,FALSE)</f>
        <v>0.79</v>
      </c>
      <c r="BN352">
        <f t="shared" si="307"/>
        <v>126</v>
      </c>
      <c r="BO352">
        <f t="shared" si="308"/>
        <v>165.9</v>
      </c>
      <c r="BP352" s="2" t="str">
        <f>VLOOKUP(A352,'[7]Table 2'!$J$2:$N$449,5,FALSE)</f>
        <v>Feasiblity Study Carried Ou</v>
      </c>
      <c r="BR352">
        <f t="shared" si="293"/>
        <v>208.91647675923642</v>
      </c>
      <c r="BT352">
        <f>(X352*I352*365*[5]Analysis!BK352)/10^4</f>
        <v>136.39175787927289</v>
      </c>
      <c r="BV352">
        <f>(X352*I352*365*[5]Analysis!BL352)/10^4</f>
        <v>72.524718879963501</v>
      </c>
      <c r="BX352">
        <f t="shared" si="294"/>
        <v>900495.92767419026</v>
      </c>
      <c r="BZ352">
        <f t="shared" si="295"/>
        <v>3380102.2472055494</v>
      </c>
      <c r="CB352">
        <f t="shared" si="296"/>
        <v>-161099.02845640443</v>
      </c>
      <c r="CD352">
        <f t="shared" si="297"/>
        <v>0</v>
      </c>
      <c r="CF352">
        <f t="shared" si="298"/>
        <v>1788308.5670815406</v>
      </c>
      <c r="CH352">
        <f t="shared" si="299"/>
        <v>406508.65824599913</v>
      </c>
      <c r="CJ352">
        <f t="shared" si="300"/>
        <v>-346824.19474922208</v>
      </c>
      <c r="CL352">
        <f t="shared" si="301"/>
        <v>696439.84922980436</v>
      </c>
    </row>
    <row r="353" spans="1:90" x14ac:dyDescent="0.2">
      <c r="A353" s="2" t="s">
        <v>360</v>
      </c>
      <c r="B353" s="2" t="str">
        <f t="shared" si="302"/>
        <v>KHAPARKHEDA TPS</v>
      </c>
      <c r="C353" s="2" t="str">
        <f>VLOOKUP($A353,'[1]daily coal, energy reqd'!$C$2:$T$599,17,FALSE)</f>
        <v>Maharashtra</v>
      </c>
      <c r="D353" s="2" t="str">
        <f>VLOOKUP(C353,'Target PLF'!$I$2:$J$19,2,FALSE)</f>
        <v>WR</v>
      </c>
      <c r="E353" s="2" t="str">
        <f>VLOOKUP(A353,[2]Ownership!$C$2:$D$666,2,FALSE)</f>
        <v>STATE SECTOR</v>
      </c>
      <c r="F353" s="2" t="s">
        <v>545</v>
      </c>
      <c r="G353" s="12">
        <v>19.337440109513999</v>
      </c>
      <c r="H353" s="2">
        <v>210</v>
      </c>
      <c r="I353" s="2">
        <f>VLOOKUP(A353,'[3]Calculated coal req (reg.)'!$A$2:$I$599,9,FALSE)</f>
        <v>3.18141106349605</v>
      </c>
      <c r="J353" s="2"/>
      <c r="K353" s="11">
        <v>0.63123235386826382</v>
      </c>
      <c r="L353" s="3">
        <f>VLOOKUP(F353,'Target PLF'!$A$2:$B$11,2,FALSE)</f>
        <v>0.75</v>
      </c>
      <c r="M353" s="3">
        <f t="shared" si="289"/>
        <v>0.11876764613173618</v>
      </c>
      <c r="N353" s="2" t="str">
        <f t="shared" si="268"/>
        <v>0.25</v>
      </c>
      <c r="O353" s="2">
        <f t="shared" si="267"/>
        <v>11.722042274544172</v>
      </c>
      <c r="P353" s="2">
        <f t="shared" si="269"/>
        <v>898494.5403438108</v>
      </c>
      <c r="Q353" s="2">
        <f t="shared" si="270"/>
        <v>14.765822165468855</v>
      </c>
      <c r="R353" s="2">
        <f t="shared" si="271"/>
        <v>3.78</v>
      </c>
      <c r="S353" s="2"/>
      <c r="T353" s="2" t="str">
        <f>VLOOKUP(A353,'[4]CEA vs MERIT comp. &amp; NPA marker'!$C$2:$K$735,9,FALSE)</f>
        <v>Contracted</v>
      </c>
      <c r="U353" s="3">
        <f>VLOOKUP(B353,'[8]Import-Domestic share'!$A$208:$F$406,6,FALSE)</f>
        <v>2.4285213526101211E-2</v>
      </c>
      <c r="V353" s="3">
        <f t="shared" si="272"/>
        <v>21820.131764285605</v>
      </c>
      <c r="W353" s="2">
        <f t="shared" si="273"/>
        <v>3128.7013810286812</v>
      </c>
      <c r="X353" s="2">
        <f t="shared" si="274"/>
        <v>3167.9625443316245</v>
      </c>
      <c r="Y353" s="6">
        <f t="shared" si="275"/>
        <v>0.2748744272031618</v>
      </c>
      <c r="Z353" s="2"/>
      <c r="AA353" s="2">
        <f t="shared" si="276"/>
        <v>953585.72719543625</v>
      </c>
      <c r="AB353" s="2" t="s">
        <v>576</v>
      </c>
      <c r="AC353" s="12">
        <f>VLOOKUP(B353,[9]Sheet1!$A$2:$B$137,2,FALSE)</f>
        <v>3857.7399408815058</v>
      </c>
      <c r="AD353" s="12">
        <f t="shared" si="277"/>
        <v>810125.3875851162</v>
      </c>
      <c r="AE353" s="2"/>
      <c r="AF353" s="7">
        <f>VLOOKUP($B353,'[9]Subsidiary wise dispatch'!$A$3:$R$138,11,FALSE)*$H353*$O353*365</f>
        <v>0</v>
      </c>
      <c r="AG353" s="7">
        <f>VLOOKUP($B353,'[9]Subsidiary wise dispatch'!$A$3:$R$138,12,FALSE)*$H353*$O353*365</f>
        <v>0</v>
      </c>
      <c r="AH353" s="7">
        <f>VLOOKUP($B353,'[9]Subsidiary wise dispatch'!$A$3:$R$138,13,FALSE)*$H353*$O353*365</f>
        <v>0</v>
      </c>
      <c r="AI353" s="7">
        <f>VLOOKUP($B353,'[9]Subsidiary wise dispatch'!$A$3:$R$138,14,FALSE)*$H353*$O353*365</f>
        <v>273519.99665279151</v>
      </c>
      <c r="AJ353" s="7">
        <f>VLOOKUP($B353,'[9]Subsidiary wise dispatch'!$A$3:$R$138,15,FALSE)*$H353*$O353*365</f>
        <v>0</v>
      </c>
      <c r="AK353" s="7">
        <f>VLOOKUP($B353,'[9]Subsidiary wise dispatch'!$A$3:$R$138,16,FALSE)*$H353*$O353*365</f>
        <v>0</v>
      </c>
      <c r="AL353" s="7">
        <f>VLOOKUP($B353,'[9]Subsidiary wise dispatch'!$A$3:$R$138,17,FALSE)*$H353*$O353*365</f>
        <v>44989.475724229349</v>
      </c>
      <c r="AM353" s="7">
        <f>VLOOKUP($B353,'[9]Subsidiary wise dispatch'!$A$3:$R$138,18,FALSE)*$H353*$O353*365</f>
        <v>579985.06796679005</v>
      </c>
      <c r="AN353" s="15">
        <f t="shared" si="278"/>
        <v>898494.54034381092</v>
      </c>
      <c r="AO353" s="6">
        <v>8.9781177379789912E-2</v>
      </c>
      <c r="AP353" s="11">
        <f t="shared" si="279"/>
        <v>0.28563083100976494</v>
      </c>
      <c r="AQ353" s="11"/>
      <c r="AR353" s="3">
        <f>VLOOKUP(A353,[10]Sheet1!$A$2:$L$542,12,FALSE)</f>
        <v>2.7295164835164401</v>
      </c>
      <c r="AS353" s="3">
        <f t="shared" si="290"/>
        <v>2.4789278350391251</v>
      </c>
      <c r="AT353" s="2"/>
      <c r="AU353" s="2"/>
      <c r="AV353" s="88">
        <f t="shared" si="291"/>
        <v>8.7035306438258908E-2</v>
      </c>
      <c r="AW353" s="32">
        <f t="shared" si="292"/>
        <v>3.5110060570555185E-2</v>
      </c>
      <c r="AX353" s="12">
        <f t="shared" si="280"/>
        <v>287.85682806006508</v>
      </c>
      <c r="AY353" s="12">
        <f t="shared" si="281"/>
        <v>0</v>
      </c>
      <c r="AZ353" s="3">
        <f>VLOOKUP(A353,[5]Analysis!$A$3:$BJ$543,62,FALSE)</f>
        <v>0.65151128241961231</v>
      </c>
      <c r="BA353" s="2">
        <v>90.91</v>
      </c>
      <c r="BB353" s="2"/>
      <c r="BC353" s="2" t="str">
        <f>VLOOKUP(A353,'[6]FGD status - Jun 2020'!$I$2:$M$449,5,FALSE)</f>
        <v>Feasiblity Study Carried Out</v>
      </c>
      <c r="BD353" s="2"/>
      <c r="BE353" s="2"/>
      <c r="BF353" s="2">
        <f t="shared" si="282"/>
        <v>300.08133841586948</v>
      </c>
      <c r="BG353" s="2">
        <f t="shared" si="283"/>
        <v>0</v>
      </c>
      <c r="BH353" s="2">
        <f t="shared" si="305"/>
        <v>31.5</v>
      </c>
      <c r="BI353" s="2">
        <f t="shared" si="306"/>
        <v>16.8</v>
      </c>
      <c r="BK353">
        <f t="shared" si="286"/>
        <v>132.55879431233541</v>
      </c>
      <c r="BL353">
        <f>VLOOKUP(A353,'[11]Daily coal vs energy req.2'!$C$2:$P$599,14,FALSE)</f>
        <v>0.67</v>
      </c>
      <c r="BM353">
        <f>VLOOKUP(A353,'[11]Daily coal vs energy req.2'!$C$2:$R$599,16,FALSE)</f>
        <v>1.02</v>
      </c>
      <c r="BN353">
        <f t="shared" si="307"/>
        <v>140.70000000000002</v>
      </c>
      <c r="BO353">
        <f t="shared" si="308"/>
        <v>214.20000000000002</v>
      </c>
      <c r="BP353" s="2" t="str">
        <f>VLOOKUP(A353,'[7]Table 2'!$J$2:$N$449,5,FALSE)</f>
        <v>Feasiblity Study Carried Ou</v>
      </c>
      <c r="BR353">
        <f t="shared" si="293"/>
        <v>239.67052685531428</v>
      </c>
      <c r="BT353">
        <f>(X353*I353*365*[5]Analysis!BK353)/10^4</f>
        <v>156.46963311237531</v>
      </c>
      <c r="BV353">
        <f>(X353*I353*365*[5]Analysis!BL353)/10^4</f>
        <v>83.200893742938987</v>
      </c>
      <c r="BX353">
        <f t="shared" si="294"/>
        <v>1033055.5864459669</v>
      </c>
      <c r="BZ353">
        <f t="shared" si="295"/>
        <v>3919077.7208409384</v>
      </c>
      <c r="CB353">
        <f t="shared" si="296"/>
        <v>-216571.34727088537</v>
      </c>
      <c r="CD353">
        <f t="shared" si="297"/>
        <v>0</v>
      </c>
      <c r="CF353">
        <f t="shared" si="298"/>
        <v>2073463.9814616381</v>
      </c>
      <c r="CH353">
        <f t="shared" si="299"/>
        <v>455527.40124690923</v>
      </c>
      <c r="CJ353">
        <f t="shared" si="300"/>
        <v>-402127.17701483722</v>
      </c>
      <c r="CL353">
        <f t="shared" si="301"/>
        <v>807490.92702116992</v>
      </c>
    </row>
    <row r="354" spans="1:90" x14ac:dyDescent="0.2">
      <c r="A354" s="2" t="s">
        <v>416</v>
      </c>
      <c r="B354" s="2" t="str">
        <f t="shared" si="302"/>
        <v>KOLAGHAT TPS</v>
      </c>
      <c r="C354" s="2" t="str">
        <f>VLOOKUP($A354,'[1]daily coal, energy reqd'!$C$2:$T$599,17,FALSE)</f>
        <v>West Bengal</v>
      </c>
      <c r="D354" s="2" t="str">
        <f>VLOOKUP(C354,'Target PLF'!$I$2:$J$19,2,FALSE)</f>
        <v>ER</v>
      </c>
      <c r="E354" s="2" t="str">
        <f>VLOOKUP(A354,[2]Ownership!$C$2:$D$666,2,FALSE)</f>
        <v>STATE SECTOR</v>
      </c>
      <c r="F354" s="2" t="s">
        <v>547</v>
      </c>
      <c r="G354" s="12">
        <v>27.337440109513999</v>
      </c>
      <c r="H354" s="2">
        <v>210</v>
      </c>
      <c r="I354" s="2">
        <f>VLOOKUP(A354,'[3]Calculated coal req (reg.)'!$A$2:$I$599,9,FALSE)</f>
        <v>0.84223699048325296</v>
      </c>
      <c r="J354" s="2"/>
      <c r="K354" s="11">
        <v>0.16711051398477242</v>
      </c>
      <c r="L354" s="3">
        <f>VLOOKUP(F354,'Target PLF'!$A$2:$B$11,2,FALSE)</f>
        <v>0.65</v>
      </c>
      <c r="M354" s="3">
        <f t="shared" si="289"/>
        <v>0.48288948601522763</v>
      </c>
      <c r="N354" s="2" t="str">
        <f t="shared" si="268"/>
        <v>0.25</v>
      </c>
      <c r="O354" s="2">
        <f t="shared" si="267"/>
        <v>5.5179758796931901</v>
      </c>
      <c r="P354" s="2">
        <f t="shared" si="269"/>
        <v>422952.85117848305</v>
      </c>
      <c r="Q354" s="2">
        <f t="shared" si="270"/>
        <v>15.019222165468856</v>
      </c>
      <c r="R354" s="2">
        <f t="shared" si="271"/>
        <v>3.2759999999999998</v>
      </c>
      <c r="S354" s="2"/>
      <c r="T354" s="2" t="str">
        <f>VLOOKUP(A354,'[4]CEA vs MERIT comp. &amp; NPA marker'!$C$2:$K$735,9,FALSE)</f>
        <v>Contracted</v>
      </c>
      <c r="U354" s="3">
        <f>VLOOKUP(B354,'[8]Import-Domestic share'!$A$208:$F$406,6,FALSE)</f>
        <v>1.3520920441206432E-3</v>
      </c>
      <c r="V354" s="3">
        <f t="shared" si="272"/>
        <v>571.87118511656934</v>
      </c>
      <c r="W354" s="2">
        <f t="shared" si="273"/>
        <v>3217.7123963650884</v>
      </c>
      <c r="X354" s="2">
        <f t="shared" si="274"/>
        <v>3377.3417532245253</v>
      </c>
      <c r="Y354" s="6">
        <f t="shared" si="275"/>
        <v>0.26727062399097729</v>
      </c>
      <c r="Z354" s="2"/>
      <c r="AA354" s="2">
        <f t="shared" si="276"/>
        <v>244891.71094418617</v>
      </c>
      <c r="AB354" s="2" t="s">
        <v>576</v>
      </c>
      <c r="AC354" s="12">
        <f>VLOOKUP(B354,[9]Sheet1!$A$2:$B$137,2,FALSE)</f>
        <v>4239.6313955759369</v>
      </c>
      <c r="AD354" s="12">
        <f t="shared" si="277"/>
        <v>890322.59307094675</v>
      </c>
      <c r="AE354" s="2"/>
      <c r="AF354" s="7">
        <f>VLOOKUP($B354,'[9]Subsidiary wise dispatch'!$A$3:$R$138,11,FALSE)*$H354*$O354*365</f>
        <v>117686.8678955018</v>
      </c>
      <c r="AG354" s="7">
        <f>VLOOKUP($B354,'[9]Subsidiary wise dispatch'!$A$3:$R$138,12,FALSE)*$H354*$O354*365</f>
        <v>46899.949809051963</v>
      </c>
      <c r="AH354" s="7">
        <f>VLOOKUP($B354,'[9]Subsidiary wise dispatch'!$A$3:$R$138,13,FALSE)*$H354*$O354*365</f>
        <v>88555.184378008315</v>
      </c>
      <c r="AI354" s="7">
        <f>VLOOKUP($B354,'[9]Subsidiary wise dispatch'!$A$3:$R$138,14,FALSE)*$H354*$O354*365</f>
        <v>169810.84909592094</v>
      </c>
      <c r="AJ354" s="7">
        <f>VLOOKUP($B354,'[9]Subsidiary wise dispatch'!$A$3:$R$138,15,FALSE)*$H354*$O354*365</f>
        <v>0</v>
      </c>
      <c r="AK354" s="7">
        <f>VLOOKUP($B354,'[9]Subsidiary wise dispatch'!$A$3:$R$138,16,FALSE)*$H354*$O354*365</f>
        <v>0</v>
      </c>
      <c r="AL354" s="7">
        <f>VLOOKUP($B354,'[9]Subsidiary wise dispatch'!$A$3:$R$138,17,FALSE)*$H354*$O354*365</f>
        <v>0</v>
      </c>
      <c r="AM354" s="7">
        <f>VLOOKUP($B354,'[9]Subsidiary wise dispatch'!$A$3:$R$138,18,FALSE)*$H354*$O354*365</f>
        <v>0</v>
      </c>
      <c r="AN354" s="15">
        <f t="shared" si="278"/>
        <v>422952.85117848299</v>
      </c>
      <c r="AO354" s="6">
        <v>0.11038497174813085</v>
      </c>
      <c r="AP354" s="11">
        <f t="shared" si="279"/>
        <v>9.2970306399724631E-2</v>
      </c>
      <c r="AQ354" s="11"/>
      <c r="AR354" s="3">
        <f>VLOOKUP(A354,[10]Sheet1!$A$2:$L$542,12,FALSE)</f>
        <v>3.5887610619468902</v>
      </c>
      <c r="AS354" s="3">
        <f t="shared" si="290"/>
        <v>2.7850196346351468</v>
      </c>
      <c r="AT354" s="2"/>
      <c r="AU354" s="2"/>
      <c r="AV354" s="88">
        <f t="shared" si="291"/>
        <v>0.35387107314167915</v>
      </c>
      <c r="AW354" s="32">
        <f t="shared" si="292"/>
        <v>0.12706232614695309</v>
      </c>
      <c r="AX354" s="12">
        <f t="shared" si="280"/>
        <v>85.616099276183419</v>
      </c>
      <c r="AY354" s="12">
        <f t="shared" si="281"/>
        <v>0</v>
      </c>
      <c r="AZ354" s="3">
        <f>VLOOKUP(A354,[5]Analysis!$A$3:$BJ$543,62,FALSE)</f>
        <v>0.73991191889506969</v>
      </c>
      <c r="BA354" s="2"/>
      <c r="BB354" s="2"/>
      <c r="BC354" s="2" t="str">
        <f>VLOOKUP(A354,'[6]FGD status - Jun 2020'!$I$2:$M$449,5,FALSE)</f>
        <v>Feasibility study completed</v>
      </c>
      <c r="BD354" s="2">
        <f>VLOOKUP(A354,'[1]daily coal, energy reqd'!$C$2:$L$599,10,FALSE)</f>
        <v>0</v>
      </c>
      <c r="BE354" s="2" t="str">
        <f>VLOOKUP(A354,'[1]daily coal, energy reqd'!$C$2:$M$599,11,FALSE)</f>
        <v>Y</v>
      </c>
      <c r="BF354" s="2">
        <f t="shared" si="282"/>
        <v>75.864710943456288</v>
      </c>
      <c r="BG354" s="2">
        <f t="shared" si="283"/>
        <v>0</v>
      </c>
      <c r="BH354" s="2">
        <f t="shared" si="305"/>
        <v>31.5</v>
      </c>
      <c r="BI354" s="2">
        <f t="shared" si="306"/>
        <v>16.8</v>
      </c>
      <c r="BK354">
        <f t="shared" si="286"/>
        <v>35.093207936802209</v>
      </c>
      <c r="BL354">
        <f>VLOOKUP(A354,'[11]Daily coal vs energy req.2'!$C$2:$P$599,14,FALSE)</f>
        <v>0.73</v>
      </c>
      <c r="BM354">
        <f>VLOOKUP(A354,'[11]Daily coal vs energy req.2'!$C$2:$R$599,16,FALSE)</f>
        <v>0.83</v>
      </c>
      <c r="BN354">
        <f t="shared" si="307"/>
        <v>153.29999999999998</v>
      </c>
      <c r="BO354">
        <f t="shared" si="308"/>
        <v>174.29999999999998</v>
      </c>
      <c r="BP354" s="2" t="str">
        <f>VLOOKUP(A354,'[7]Table 2'!$J$2:$N$449,5,FALSE)</f>
        <v>Feasibility Study started</v>
      </c>
      <c r="BR354">
        <f t="shared" si="293"/>
        <v>76.821398355527634</v>
      </c>
      <c r="BT354">
        <f>(X354*I354*365*[5]Analysis!BK354)/10^4</f>
        <v>48.907018848187271</v>
      </c>
      <c r="BV354">
        <f>(X354*I354*365*[5]Analysis!BL354)/10^4</f>
        <v>27.914379507340364</v>
      </c>
      <c r="BX354">
        <f t="shared" si="294"/>
        <v>291563.52079209889</v>
      </c>
      <c r="BZ354">
        <f t="shared" si="295"/>
        <v>1178301.6421609458</v>
      </c>
      <c r="CB354">
        <f t="shared" si="296"/>
        <v>-15178.541663626449</v>
      </c>
      <c r="CD354">
        <f t="shared" si="297"/>
        <v>0</v>
      </c>
      <c r="CF354">
        <f t="shared" si="298"/>
        <v>548922.48400702199</v>
      </c>
      <c r="CH354">
        <f t="shared" si="299"/>
        <v>170485.67502639806</v>
      </c>
      <c r="CJ354">
        <f t="shared" si="300"/>
        <v>-106457.9133600927</v>
      </c>
      <c r="CL354">
        <f t="shared" si="301"/>
        <v>262831.14688550308</v>
      </c>
    </row>
    <row r="355" spans="1:90" x14ac:dyDescent="0.2">
      <c r="A355" s="2" t="s">
        <v>428</v>
      </c>
      <c r="B355" s="2" t="str">
        <f t="shared" si="302"/>
        <v>KOLAGHAT TPS</v>
      </c>
      <c r="C355" s="2" t="str">
        <f>VLOOKUP($A355,'[1]daily coal, energy reqd'!$C$2:$T$599,17,FALSE)</f>
        <v>West Bengal</v>
      </c>
      <c r="D355" s="2" t="str">
        <f>VLOOKUP(C355,'Target PLF'!$I$2:$J$19,2,FALSE)</f>
        <v>ER</v>
      </c>
      <c r="E355" s="2" t="str">
        <f>VLOOKUP(A355,[2]Ownership!$C$2:$D$666,2,FALSE)</f>
        <v>STATE SECTOR</v>
      </c>
      <c r="F355" s="2" t="s">
        <v>547</v>
      </c>
      <c r="G355" s="12">
        <v>29.7577002053388</v>
      </c>
      <c r="H355" s="2">
        <v>210</v>
      </c>
      <c r="I355" s="2">
        <f>VLOOKUP(A355,'[3]Calculated coal req (reg.)'!$A$2:$I$599,9,FALSE)</f>
        <v>2.3105322416612402</v>
      </c>
      <c r="J355" s="2"/>
      <c r="K355" s="11">
        <v>0.45843893683754766</v>
      </c>
      <c r="L355" s="3">
        <f>VLOOKUP(F355,'Target PLF'!$A$2:$B$11,2,FALSE)</f>
        <v>0.65</v>
      </c>
      <c r="M355" s="3">
        <f t="shared" si="289"/>
        <v>0.19156106316245236</v>
      </c>
      <c r="N355" s="2" t="str">
        <f t="shared" si="268"/>
        <v>0.25</v>
      </c>
      <c r="O355" s="2">
        <f t="shared" si="267"/>
        <v>9.6479773639059569</v>
      </c>
      <c r="P355" s="2">
        <f t="shared" si="269"/>
        <v>739517.46494339162</v>
      </c>
      <c r="Q355" s="2">
        <f t="shared" si="270"/>
        <v>15.095883904004106</v>
      </c>
      <c r="R355" s="2">
        <f t="shared" si="271"/>
        <v>3.2759999999999998</v>
      </c>
      <c r="S355" s="2"/>
      <c r="T355" s="2" t="str">
        <f>VLOOKUP(A355,'[4]CEA vs MERIT comp. &amp; NPA marker'!$C$2:$K$735,9,FALSE)</f>
        <v>Contracted</v>
      </c>
      <c r="U355" s="3">
        <f>VLOOKUP(B355,'[8]Import-Domestic share'!$A$208:$F$406,6,FALSE)</f>
        <v>1.3520920441206432E-3</v>
      </c>
      <c r="V355" s="3">
        <f t="shared" si="272"/>
        <v>999.89568083822644</v>
      </c>
      <c r="W355" s="2">
        <f t="shared" si="273"/>
        <v>3236.2044831768617</v>
      </c>
      <c r="X355" s="2">
        <f t="shared" si="274"/>
        <v>3299.5290536997491</v>
      </c>
      <c r="Y355" s="6">
        <f t="shared" si="275"/>
        <v>0.26574340542157893</v>
      </c>
      <c r="Z355" s="2"/>
      <c r="AA355" s="2">
        <f t="shared" si="276"/>
        <v>656339.82192926086</v>
      </c>
      <c r="AB355" s="2" t="s">
        <v>576</v>
      </c>
      <c r="AC355" s="12">
        <f>VLOOKUP(B355,[9]Sheet1!$A$2:$B$137,2,FALSE)</f>
        <v>4239.6313955759369</v>
      </c>
      <c r="AD355" s="12">
        <f t="shared" si="277"/>
        <v>890322.59307094675</v>
      </c>
      <c r="AE355" s="2"/>
      <c r="AF355" s="7">
        <f>VLOOKUP($B355,'[9]Subsidiary wise dispatch'!$A$3:$R$138,11,FALSE)*$H355*$O355*365</f>
        <v>205771.14910258082</v>
      </c>
      <c r="AG355" s="7">
        <f>VLOOKUP($B355,'[9]Subsidiary wise dispatch'!$A$3:$R$138,12,FALSE)*$H355*$O355*365</f>
        <v>82002.832921266425</v>
      </c>
      <c r="AH355" s="7">
        <f>VLOOKUP($B355,'[9]Subsidiary wise dispatch'!$A$3:$R$138,13,FALSE)*$H355*$O355*365</f>
        <v>154835.47463115182</v>
      </c>
      <c r="AI355" s="7">
        <f>VLOOKUP($B355,'[9]Subsidiary wise dispatch'!$A$3:$R$138,14,FALSE)*$H355*$O355*365</f>
        <v>296908.00828839245</v>
      </c>
      <c r="AJ355" s="7">
        <f>VLOOKUP($B355,'[9]Subsidiary wise dispatch'!$A$3:$R$138,15,FALSE)*$H355*$O355*365</f>
        <v>0</v>
      </c>
      <c r="AK355" s="7">
        <f>VLOOKUP($B355,'[9]Subsidiary wise dispatch'!$A$3:$R$138,16,FALSE)*$H355*$O355*365</f>
        <v>0</v>
      </c>
      <c r="AL355" s="7">
        <f>VLOOKUP($B355,'[9]Subsidiary wise dispatch'!$A$3:$R$138,17,FALSE)*$H355*$O355*365</f>
        <v>0</v>
      </c>
      <c r="AM355" s="7">
        <f>VLOOKUP($B355,'[9]Subsidiary wise dispatch'!$A$3:$R$138,18,FALSE)*$H355*$O355*365</f>
        <v>0</v>
      </c>
      <c r="AN355" s="15">
        <f t="shared" si="278"/>
        <v>739517.4649433915</v>
      </c>
      <c r="AO355" s="6">
        <v>0.11038497174813085</v>
      </c>
      <c r="AP355" s="11">
        <f t="shared" si="279"/>
        <v>0.25504803621892141</v>
      </c>
      <c r="AQ355" s="11"/>
      <c r="AR355" s="3">
        <f>VLOOKUP(A355,[10]Sheet1!$A$2:$L$542,12,FALSE)</f>
        <v>3.5887610619468902</v>
      </c>
      <c r="AS355" s="3">
        <f t="shared" si="290"/>
        <v>2.7949646488133921</v>
      </c>
      <c r="AT355" s="2"/>
      <c r="AU355" s="2"/>
      <c r="AV355" s="88">
        <f t="shared" si="291"/>
        <v>0.14037977830670834</v>
      </c>
      <c r="AW355" s="32">
        <f t="shared" si="292"/>
        <v>5.0225958445058276E-2</v>
      </c>
      <c r="AX355" s="12">
        <f t="shared" si="280"/>
        <v>235.71174164161556</v>
      </c>
      <c r="AY355" s="12">
        <f t="shared" si="281"/>
        <v>0</v>
      </c>
      <c r="AZ355" s="3">
        <f>VLOOKUP(A355,[5]Analysis!$A$3:$BJ$543,62,FALSE)</f>
        <v>0.73991191889506969</v>
      </c>
      <c r="BA355" s="2"/>
      <c r="BB355" s="2"/>
      <c r="BC355" s="2" t="str">
        <f>VLOOKUP(A355,'[6]FGD status - Jun 2020'!$I$2:$M$449,5,FALSE)</f>
        <v>Feasibility study completed</v>
      </c>
      <c r="BD355" s="2">
        <f>VLOOKUP(A355,'[1]daily coal, energy reqd'!$C$2:$L$599,10,FALSE)</f>
        <v>0</v>
      </c>
      <c r="BE355" s="2" t="str">
        <f>VLOOKUP(A355,'[1]daily coal, energy reqd'!$C$2:$M$599,11,FALSE)</f>
        <v>Y</v>
      </c>
      <c r="BF355" s="2">
        <f t="shared" si="282"/>
        <v>203.32673033058023</v>
      </c>
      <c r="BG355" s="2">
        <f t="shared" si="283"/>
        <v>0</v>
      </c>
      <c r="BH355" s="2">
        <f t="shared" si="305"/>
        <v>31.5</v>
      </c>
      <c r="BI355" s="2">
        <f t="shared" si="306"/>
        <v>16.8</v>
      </c>
      <c r="BK355">
        <f t="shared" si="286"/>
        <v>96.272176735885012</v>
      </c>
      <c r="BL355">
        <f>VLOOKUP(A355,'[11]Daily coal vs energy req.2'!$C$2:$P$599,14,FALSE)</f>
        <v>0.73</v>
      </c>
      <c r="BM355">
        <f>VLOOKUP(A355,'[11]Daily coal vs energy req.2'!$C$2:$R$599,16,FALSE)</f>
        <v>0.6</v>
      </c>
      <c r="BN355">
        <f t="shared" si="307"/>
        <v>153.29999999999998</v>
      </c>
      <c r="BO355">
        <f t="shared" si="308"/>
        <v>126</v>
      </c>
      <c r="BP355" s="2" t="str">
        <f>VLOOKUP(A355,'[7]Table 2'!$J$2:$N$449,5,FALSE)</f>
        <v>Feasibility Study started</v>
      </c>
      <c r="BR355">
        <f t="shared" si="293"/>
        <v>205.8907699351056</v>
      </c>
      <c r="BT355">
        <f>(X355*I355*365*[5]Analysis!BK355)/10^4</f>
        <v>131.07680908491892</v>
      </c>
      <c r="BV355">
        <f>(X355*I355*365*[5]Analysis!BL355)/10^4</f>
        <v>74.813960850186703</v>
      </c>
      <c r="BX355">
        <f t="shared" si="294"/>
        <v>781425.99673930532</v>
      </c>
      <c r="BZ355">
        <f t="shared" si="295"/>
        <v>3232467.779707884</v>
      </c>
      <c r="CB355">
        <f t="shared" si="296"/>
        <v>-114231.39763750372</v>
      </c>
      <c r="CD355">
        <f t="shared" si="297"/>
        <v>0</v>
      </c>
      <c r="CF355">
        <f t="shared" si="298"/>
        <v>1505874.3700431425</v>
      </c>
      <c r="CH355">
        <f t="shared" si="299"/>
        <v>509104.73320565157</v>
      </c>
      <c r="CJ355">
        <f t="shared" si="300"/>
        <v>-292048.96481373912</v>
      </c>
      <c r="CL355">
        <f t="shared" si="301"/>
        <v>721032.02050448442</v>
      </c>
    </row>
    <row r="356" spans="1:90" x14ac:dyDescent="0.2">
      <c r="A356" s="2" t="s">
        <v>460</v>
      </c>
      <c r="B356" s="2" t="str">
        <f t="shared" si="302"/>
        <v>KOLAGHAT TPS</v>
      </c>
      <c r="C356" s="2" t="str">
        <f>VLOOKUP($A356,'[1]daily coal, energy reqd'!$C$2:$T$599,17,FALSE)</f>
        <v>West Bengal</v>
      </c>
      <c r="D356" s="2" t="str">
        <f>VLOOKUP(C356,'Target PLF'!$I$2:$J$19,2,FALSE)</f>
        <v>ER</v>
      </c>
      <c r="E356" s="2" t="str">
        <f>VLOOKUP(A356,[2]Ownership!$C$2:$D$666,2,FALSE)</f>
        <v>STATE SECTOR</v>
      </c>
      <c r="F356" s="2" t="s">
        <v>548</v>
      </c>
      <c r="G356" s="12">
        <v>34.4229979466119</v>
      </c>
      <c r="H356" s="2">
        <v>210</v>
      </c>
      <c r="I356" s="2">
        <f>VLOOKUP(A356,'[3]Calculated coal req (reg.)'!$A$2:$I$599,9,FALSE)</f>
        <v>4.59569892473118E-2</v>
      </c>
      <c r="J356" s="2"/>
      <c r="K356" s="11">
        <v>9.1184502474824999E-3</v>
      </c>
      <c r="L356" s="3">
        <f>VLOOKUP(F356,'Target PLF'!$A$2:$B$11,2,FALSE)</f>
        <v>0.6</v>
      </c>
      <c r="M356" s="3">
        <f t="shared" si="289"/>
        <v>0.5908815497525175</v>
      </c>
      <c r="N356" s="2" t="str">
        <f t="shared" si="268"/>
        <v>0.25</v>
      </c>
      <c r="O356" s="2">
        <f t="shared" si="267"/>
        <v>3.5442199437872302</v>
      </c>
      <c r="P356" s="2">
        <f t="shared" si="269"/>
        <v>271664.45869129122</v>
      </c>
      <c r="Q356" s="2">
        <f t="shared" si="270"/>
        <v>15.243657209958931</v>
      </c>
      <c r="R356" s="2">
        <f t="shared" si="271"/>
        <v>3.024</v>
      </c>
      <c r="S356" s="2"/>
      <c r="T356" s="2" t="str">
        <f>VLOOKUP(A356,'[4]CEA vs MERIT comp. &amp; NPA marker'!$C$2:$K$735,9,FALSE)</f>
        <v>Contracted</v>
      </c>
      <c r="U356" s="3">
        <f>VLOOKUP(B356,'[8]Import-Domestic share'!$A$208:$F$406,6,FALSE)</f>
        <v>1.3520920441206432E-3</v>
      </c>
      <c r="V356" s="3">
        <f t="shared" si="272"/>
        <v>367.31535326683593</v>
      </c>
      <c r="W356" s="2">
        <f t="shared" si="273"/>
        <v>3288.3784231850746</v>
      </c>
      <c r="X356" s="2">
        <f t="shared" si="274"/>
        <v>3483.7068461446243</v>
      </c>
      <c r="Y356" s="6">
        <f t="shared" si="275"/>
        <v>0.2615270778863148</v>
      </c>
      <c r="Z356" s="2"/>
      <c r="AA356" s="2">
        <f t="shared" si="276"/>
        <v>13783.450032043806</v>
      </c>
      <c r="AB356" s="2" t="s">
        <v>576</v>
      </c>
      <c r="AC356" s="12">
        <f>VLOOKUP(B356,[9]Sheet1!$A$2:$B$137,2,FALSE)</f>
        <v>4239.6313955759369</v>
      </c>
      <c r="AD356" s="12">
        <f t="shared" si="277"/>
        <v>890322.59307094675</v>
      </c>
      <c r="AE356" s="2"/>
      <c r="AF356" s="7">
        <f>VLOOKUP($B356,'[9]Subsidiary wise dispatch'!$A$3:$R$138,11,FALSE)*$H356*$O356*365</f>
        <v>75590.787892367982</v>
      </c>
      <c r="AG356" s="7">
        <f>VLOOKUP($B356,'[9]Subsidiary wise dispatch'!$A$3:$R$138,12,FALSE)*$H356*$O356*365</f>
        <v>30124.04205817304</v>
      </c>
      <c r="AH356" s="7">
        <f>VLOOKUP($B356,'[9]Subsidiary wise dispatch'!$A$3:$R$138,13,FALSE)*$H356*$O356*365</f>
        <v>56879.380671693609</v>
      </c>
      <c r="AI356" s="7">
        <f>VLOOKUP($B356,'[9]Subsidiary wise dispatch'!$A$3:$R$138,14,FALSE)*$H356*$O356*365</f>
        <v>109070.24806905654</v>
      </c>
      <c r="AJ356" s="7">
        <f>VLOOKUP($B356,'[9]Subsidiary wise dispatch'!$A$3:$R$138,15,FALSE)*$H356*$O356*365</f>
        <v>0</v>
      </c>
      <c r="AK356" s="7">
        <f>VLOOKUP($B356,'[9]Subsidiary wise dispatch'!$A$3:$R$138,16,FALSE)*$H356*$O356*365</f>
        <v>0</v>
      </c>
      <c r="AL356" s="7">
        <f>VLOOKUP($B356,'[9]Subsidiary wise dispatch'!$A$3:$R$138,17,FALSE)*$H356*$O356*365</f>
        <v>0</v>
      </c>
      <c r="AM356" s="7">
        <f>VLOOKUP($B356,'[9]Subsidiary wise dispatch'!$A$3:$R$138,18,FALSE)*$H356*$O356*365</f>
        <v>0</v>
      </c>
      <c r="AN356" s="15">
        <f t="shared" si="278"/>
        <v>271664.45869129116</v>
      </c>
      <c r="AO356" s="6">
        <v>0.11038497174813085</v>
      </c>
      <c r="AP356" s="11">
        <f t="shared" si="279"/>
        <v>5.0729609596936662E-3</v>
      </c>
      <c r="AQ356" s="11"/>
      <c r="AR356" s="3">
        <f>VLOOKUP(A356,[10]Sheet1!$A$2:$L$542,12,FALSE)</f>
        <v>3.5887610619468902</v>
      </c>
      <c r="AS356" s="3">
        <f t="shared" si="290"/>
        <v>2.8483870696642488</v>
      </c>
      <c r="AT356" s="2"/>
      <c r="AU356" s="2"/>
      <c r="AV356" s="88">
        <f t="shared" si="291"/>
        <v>0.43300981728963989</v>
      </c>
      <c r="AW356" s="32">
        <f t="shared" si="292"/>
        <v>0.1520193031000806</v>
      </c>
      <c r="AX356" s="12">
        <f t="shared" si="280"/>
        <v>4.7779702285450778</v>
      </c>
      <c r="AY356" s="12">
        <f t="shared" si="281"/>
        <v>0</v>
      </c>
      <c r="AZ356" s="3">
        <f>VLOOKUP(A356,[5]Analysis!$A$3:$BJ$543,62,FALSE)</f>
        <v>0.73991191889506969</v>
      </c>
      <c r="BA356" s="2"/>
      <c r="BB356" s="2"/>
      <c r="BC356" s="2" t="str">
        <f>VLOOKUP(A356,'[6]FGD status - Jun 2020'!$I$2:$M$449,5,FALSE)</f>
        <v>Feasibility study completed</v>
      </c>
      <c r="BD356" s="2">
        <f>VLOOKUP(A356,'[1]daily coal, energy reqd'!$C$2:$L$599,10,FALSE)</f>
        <v>0</v>
      </c>
      <c r="BE356" s="2" t="str">
        <f>VLOOKUP(A356,'[1]daily coal, energy reqd'!$C$2:$M$599,11,FALSE)</f>
        <v>Y</v>
      </c>
      <c r="BF356" s="2">
        <f t="shared" si="282"/>
        <v>4.2699585398498829</v>
      </c>
      <c r="BG356" s="2">
        <f t="shared" si="283"/>
        <v>0</v>
      </c>
      <c r="BH356" s="2">
        <f t="shared" si="305"/>
        <v>31.5</v>
      </c>
      <c r="BI356" s="2">
        <f t="shared" si="306"/>
        <v>16.8</v>
      </c>
      <c r="BK356">
        <f t="shared" si="286"/>
        <v>1.9148745519713251</v>
      </c>
      <c r="BL356">
        <f>VLOOKUP(A356,'[11]Daily coal vs energy req.2'!$C$2:$P$599,14,FALSE)</f>
        <v>0.73</v>
      </c>
      <c r="BM356">
        <f>VLOOKUP(A356,'[11]Daily coal vs energy req.2'!$C$2:$R$599,16,FALSE)</f>
        <v>0.83</v>
      </c>
      <c r="BN356">
        <f t="shared" si="307"/>
        <v>153.29999999999998</v>
      </c>
      <c r="BO356">
        <f t="shared" si="308"/>
        <v>174.29999999999998</v>
      </c>
      <c r="BP356" s="2" t="str">
        <f>VLOOKUP(A356,'[7]Table 2'!$J$2:$N$449,5,FALSE)</f>
        <v>Feasibility Study started</v>
      </c>
      <c r="BR356">
        <f t="shared" si="293"/>
        <v>4.3238045973163839</v>
      </c>
      <c r="BT356">
        <f>(X356*I356*365*[5]Analysis!BK356)/10^4</f>
        <v>2.7526756537049599</v>
      </c>
      <c r="BV356">
        <f>(X356*I356*365*[5]Analysis!BL356)/10^4</f>
        <v>1.571128943611424</v>
      </c>
      <c r="BX356">
        <f t="shared" si="294"/>
        <v>16410.319502078135</v>
      </c>
      <c r="BZ356">
        <f t="shared" si="295"/>
        <v>64294.487787588063</v>
      </c>
      <c r="CB356">
        <f t="shared" si="296"/>
        <v>-45.192312283739504</v>
      </c>
      <c r="CD356">
        <f t="shared" si="297"/>
        <v>0</v>
      </c>
      <c r="CF356">
        <f t="shared" si="298"/>
        <v>29952.16902150536</v>
      </c>
      <c r="CH356">
        <f t="shared" si="299"/>
        <v>11713.751262105041</v>
      </c>
      <c r="CJ356">
        <f t="shared" si="300"/>
        <v>-5808.9174838709641</v>
      </c>
      <c r="CL356">
        <f t="shared" si="301"/>
        <v>14341.48384333622</v>
      </c>
    </row>
    <row r="357" spans="1:90" x14ac:dyDescent="0.2">
      <c r="A357" s="2" t="s">
        <v>475</v>
      </c>
      <c r="B357" s="2" t="str">
        <f t="shared" si="302"/>
        <v>KOLAGHAT TPS</v>
      </c>
      <c r="C357" s="2" t="str">
        <f>VLOOKUP($A357,'[1]daily coal, energy reqd'!$C$2:$T$599,17,FALSE)</f>
        <v>West Bengal</v>
      </c>
      <c r="D357" s="2" t="str">
        <f>VLOOKUP(C357,'Target PLF'!$I$2:$J$19,2,FALSE)</f>
        <v>ER</v>
      </c>
      <c r="E357" s="2" t="str">
        <f>VLOOKUP(A357,[2]Ownership!$C$2:$D$666,2,FALSE)</f>
        <v>STATE SECTOR</v>
      </c>
      <c r="F357" s="2" t="s">
        <v>549</v>
      </c>
      <c r="G357" s="12">
        <v>36.339493497604302</v>
      </c>
      <c r="H357" s="2">
        <v>210</v>
      </c>
      <c r="I357" s="2">
        <f>VLOOKUP(A357,'[3]Calculated coal req (reg.)'!$A$2:$I$599,9,FALSE)</f>
        <v>2.4331689427406098</v>
      </c>
      <c r="J357" s="2"/>
      <c r="K357" s="11">
        <v>0.48277161562313692</v>
      </c>
      <c r="L357" s="3">
        <f>VLOOKUP(F357,'Target PLF'!$A$2:$B$11,2,FALSE)</f>
        <v>0.55000000000000004</v>
      </c>
      <c r="M357" s="3">
        <f t="shared" si="289"/>
        <v>6.7228384376863126E-2</v>
      </c>
      <c r="N357" s="2" t="str">
        <f t="shared" si="268"/>
        <v>0.25</v>
      </c>
      <c r="O357" s="2">
        <f t="shared" si="267"/>
        <v>10.195003526186007</v>
      </c>
      <c r="P357" s="2">
        <f t="shared" si="269"/>
        <v>781447.02028215735</v>
      </c>
      <c r="Q357" s="2">
        <f t="shared" si="270"/>
        <v>15.304362206536615</v>
      </c>
      <c r="R357" s="2">
        <f t="shared" si="271"/>
        <v>2.7719999999999998</v>
      </c>
      <c r="S357" s="2"/>
      <c r="T357" s="2" t="str">
        <f>VLOOKUP(A357,'[4]CEA vs MERIT comp. &amp; NPA marker'!$C$2:$K$735,9,FALSE)</f>
        <v>Contracted</v>
      </c>
      <c r="U357" s="3">
        <f>VLOOKUP(B357,'[8]Import-Domestic share'!$A$208:$F$406,6,FALSE)</f>
        <v>1.3520920441206432E-3</v>
      </c>
      <c r="V357" s="3">
        <f t="shared" si="272"/>
        <v>1056.5882990252878</v>
      </c>
      <c r="W357" s="2">
        <f t="shared" si="273"/>
        <v>3319.5500383527678</v>
      </c>
      <c r="X357" s="2">
        <f t="shared" si="274"/>
        <v>3341.7738060502888</v>
      </c>
      <c r="Y357" s="6">
        <f t="shared" si="275"/>
        <v>0.25907125666548186</v>
      </c>
      <c r="Z357" s="2"/>
      <c r="AA357" s="2">
        <f t="shared" si="276"/>
        <v>700025.85370183806</v>
      </c>
      <c r="AB357" s="2" t="s">
        <v>576</v>
      </c>
      <c r="AC357" s="12">
        <f>VLOOKUP(B357,[9]Sheet1!$A$2:$B$137,2,FALSE)</f>
        <v>4239.6313955759369</v>
      </c>
      <c r="AD357" s="12">
        <f t="shared" si="277"/>
        <v>890322.59307094675</v>
      </c>
      <c r="AE357" s="2"/>
      <c r="AF357" s="7">
        <f>VLOOKUP($B357,'[9]Subsidiary wise dispatch'!$A$3:$R$138,11,FALSE)*$H357*$O357*365</f>
        <v>217438.07137611837</v>
      </c>
      <c r="AG357" s="7">
        <f>VLOOKUP($B357,'[9]Subsidiary wise dispatch'!$A$3:$R$138,12,FALSE)*$H357*$O357*365</f>
        <v>86652.273244046373</v>
      </c>
      <c r="AH357" s="7">
        <f>VLOOKUP($B357,'[9]Subsidiary wise dispatch'!$A$3:$R$138,13,FALSE)*$H357*$O357*365</f>
        <v>163614.41888833433</v>
      </c>
      <c r="AI357" s="7">
        <f>VLOOKUP($B357,'[9]Subsidiary wise dispatch'!$A$3:$R$138,14,FALSE)*$H357*$O357*365</f>
        <v>313742.25677365827</v>
      </c>
      <c r="AJ357" s="7">
        <f>VLOOKUP($B357,'[9]Subsidiary wise dispatch'!$A$3:$R$138,15,FALSE)*$H357*$O357*365</f>
        <v>0</v>
      </c>
      <c r="AK357" s="7">
        <f>VLOOKUP($B357,'[9]Subsidiary wise dispatch'!$A$3:$R$138,16,FALSE)*$H357*$O357*365</f>
        <v>0</v>
      </c>
      <c r="AL357" s="7">
        <f>VLOOKUP($B357,'[9]Subsidiary wise dispatch'!$A$3:$R$138,17,FALSE)*$H357*$O357*365</f>
        <v>0</v>
      </c>
      <c r="AM357" s="7">
        <f>VLOOKUP($B357,'[9]Subsidiary wise dispatch'!$A$3:$R$138,18,FALSE)*$H357*$O357*365</f>
        <v>0</v>
      </c>
      <c r="AN357" s="15">
        <f t="shared" si="278"/>
        <v>781447.02028215723</v>
      </c>
      <c r="AO357" s="6">
        <v>0.11038497174813085</v>
      </c>
      <c r="AP357" s="11">
        <f t="shared" si="279"/>
        <v>0.26858528500285161</v>
      </c>
      <c r="AQ357" s="11"/>
      <c r="AR357" s="3">
        <f>VLOOKUP(A357,[10]Sheet1!$A$2:$L$542,12,FALSE)</f>
        <v>3.5887610619468902</v>
      </c>
      <c r="AS357" s="3">
        <f t="shared" si="290"/>
        <v>2.8480296243619025</v>
      </c>
      <c r="AT357" s="2"/>
      <c r="AU357" s="2"/>
      <c r="AV357" s="88">
        <f t="shared" si="291"/>
        <v>4.9266304639052835E-2</v>
      </c>
      <c r="AW357" s="32">
        <f t="shared" si="292"/>
        <v>1.7298382087612901E-2</v>
      </c>
      <c r="AX357" s="12">
        <f t="shared" si="280"/>
        <v>252.93540889509441</v>
      </c>
      <c r="AY357" s="12">
        <f t="shared" si="281"/>
        <v>0</v>
      </c>
      <c r="AZ357" s="3">
        <f>VLOOKUP(A357,[5]Analysis!$A$3:$BJ$543,62,FALSE)</f>
        <v>0.73991191889506969</v>
      </c>
      <c r="BA357" s="2"/>
      <c r="BB357" s="2"/>
      <c r="BC357" s="2" t="str">
        <f>VLOOKUP(A357,'[6]FGD status - Jun 2020'!$I$2:$M$449,5,FALSE)</f>
        <v>Feasibility study completed</v>
      </c>
      <c r="BD357" s="2">
        <f>VLOOKUP(A357,'[1]daily coal, energy reqd'!$C$2:$L$599,10,FALSE)</f>
        <v>0</v>
      </c>
      <c r="BE357" s="2" t="str">
        <f>VLOOKUP(A357,'[1]daily coal, energy reqd'!$C$2:$M$599,11,FALSE)</f>
        <v>Y</v>
      </c>
      <c r="BF357" s="2">
        <f t="shared" si="282"/>
        <v>216.86017398988224</v>
      </c>
      <c r="BG357" s="2">
        <f t="shared" si="283"/>
        <v>0</v>
      </c>
      <c r="BH357" s="2">
        <f t="shared" si="305"/>
        <v>31.5</v>
      </c>
      <c r="BI357" s="2">
        <f t="shared" si="306"/>
        <v>16.8</v>
      </c>
      <c r="BK357">
        <f t="shared" si="286"/>
        <v>101.38203928085875</v>
      </c>
      <c r="BL357">
        <f>VLOOKUP(A357,'[11]Daily coal vs energy req.2'!$C$2:$P$599,14,FALSE)</f>
        <v>0.89</v>
      </c>
      <c r="BM357">
        <f>VLOOKUP(A357,'[11]Daily coal vs energy req.2'!$C$2:$R$599,16,FALSE)</f>
        <v>0.83</v>
      </c>
      <c r="BN357">
        <f t="shared" si="307"/>
        <v>186.9</v>
      </c>
      <c r="BO357">
        <f t="shared" si="308"/>
        <v>174.29999999999998</v>
      </c>
      <c r="BP357" s="2" t="str">
        <f>VLOOKUP(A357,'[7]Table 2'!$J$2:$N$449,5,FALSE)</f>
        <v>Feasibility Study started</v>
      </c>
      <c r="BR357">
        <f t="shared" si="293"/>
        <v>219.59487627841202</v>
      </c>
      <c r="BT357">
        <f>(X357*I357*365*[5]Analysis!BK357)/10^4</f>
        <v>139.80129212710276</v>
      </c>
      <c r="BV357">
        <f>(X357*I357*365*[5]Analysis!BL357)/10^4</f>
        <v>79.79358415130929</v>
      </c>
      <c r="BX357">
        <f t="shared" si="294"/>
        <v>833437.77445092855</v>
      </c>
      <c r="BZ357">
        <f t="shared" si="295"/>
        <v>3404038.2852826989</v>
      </c>
      <c r="CB357">
        <f t="shared" si="296"/>
        <v>-126679.38698011317</v>
      </c>
      <c r="CD357">
        <f t="shared" si="297"/>
        <v>0</v>
      </c>
      <c r="CF357">
        <f t="shared" si="298"/>
        <v>1585802.0428330649</v>
      </c>
      <c r="CH357">
        <f t="shared" si="299"/>
        <v>654706.83017376368</v>
      </c>
      <c r="CJ357">
        <f t="shared" si="300"/>
        <v>-307550.12119347038</v>
      </c>
      <c r="CL357">
        <f t="shared" si="301"/>
        <v>759302.41845560167</v>
      </c>
    </row>
    <row r="358" spans="1:90" x14ac:dyDescent="0.2">
      <c r="A358" s="2" t="s">
        <v>409</v>
      </c>
      <c r="B358" s="2" t="str">
        <f t="shared" si="302"/>
        <v>KOLAGHAT TPS</v>
      </c>
      <c r="C358" s="2" t="str">
        <f>VLOOKUP($A358,'[1]daily coal, energy reqd'!$C$2:$T$599,17,FALSE)</f>
        <v>West Bengal</v>
      </c>
      <c r="D358" s="2" t="str">
        <f>VLOOKUP(C358,'Target PLF'!$I$2:$J$19,2,FALSE)</f>
        <v>ER</v>
      </c>
      <c r="E358" s="2" t="str">
        <f>VLOOKUP(A358,[2]Ownership!$C$2:$D$666,2,FALSE)</f>
        <v>STATE SECTOR</v>
      </c>
      <c r="F358" s="2" t="s">
        <v>547</v>
      </c>
      <c r="G358" s="12">
        <v>26.4229979466119</v>
      </c>
      <c r="H358" s="2">
        <v>210</v>
      </c>
      <c r="I358" s="2">
        <f>VLOOKUP(A358,'[3]Calculated coal req (reg.)'!$A$2:$I$599,9,FALSE)</f>
        <v>2.8428184466782498</v>
      </c>
      <c r="J358" s="2"/>
      <c r="K358" s="11">
        <v>0.56405127910282737</v>
      </c>
      <c r="L358" s="3">
        <f>VLOOKUP(F358,'Target PLF'!$A$2:$B$11,2,FALSE)</f>
        <v>0.65</v>
      </c>
      <c r="M358" s="3">
        <f t="shared" si="289"/>
        <v>8.5948720897172648E-2</v>
      </c>
      <c r="N358" s="2" t="str">
        <f t="shared" si="268"/>
        <v>0.25</v>
      </c>
      <c r="O358" s="2">
        <f t="shared" si="267"/>
        <v>11.011766871500299</v>
      </c>
      <c r="P358" s="2">
        <f t="shared" si="269"/>
        <v>844051.93070049782</v>
      </c>
      <c r="Q358" s="2">
        <f t="shared" si="270"/>
        <v>14.990257209958932</v>
      </c>
      <c r="R358" s="2">
        <f t="shared" si="271"/>
        <v>3.2759999999999998</v>
      </c>
      <c r="S358" s="2"/>
      <c r="T358" s="2" t="str">
        <f>VLOOKUP(A358,'[4]CEA vs MERIT comp. &amp; NPA marker'!$C$2:$K$735,9,FALSE)</f>
        <v>Contracted</v>
      </c>
      <c r="U358" s="3">
        <f>VLOOKUP(B358,'[8]Import-Domestic share'!$A$208:$F$406,6,FALSE)</f>
        <v>1.3520920441206432E-3</v>
      </c>
      <c r="V358" s="3">
        <f t="shared" si="272"/>
        <v>1141.2359003248116</v>
      </c>
      <c r="W358" s="2">
        <f t="shared" si="273"/>
        <v>3210.7255671850749</v>
      </c>
      <c r="X358" s="2">
        <f t="shared" si="274"/>
        <v>3239.1377389905183</v>
      </c>
      <c r="Y358" s="6">
        <f t="shared" si="275"/>
        <v>0.26785222903805633</v>
      </c>
      <c r="Z358" s="2"/>
      <c r="AA358" s="2">
        <f t="shared" si="276"/>
        <v>792762.87833657302</v>
      </c>
      <c r="AB358" s="2" t="s">
        <v>576</v>
      </c>
      <c r="AC358" s="12">
        <f>VLOOKUP(B358,[9]Sheet1!$A$2:$B$137,2,FALSE)</f>
        <v>4239.6313955759369</v>
      </c>
      <c r="AD358" s="12">
        <f t="shared" si="277"/>
        <v>890322.59307094675</v>
      </c>
      <c r="AE358" s="2"/>
      <c r="AF358" s="7">
        <f>VLOOKUP($B358,'[9]Subsidiary wise dispatch'!$A$3:$R$138,11,FALSE)*$H358*$O358*365</f>
        <v>234857.92278859607</v>
      </c>
      <c r="AG358" s="7">
        <f>VLOOKUP($B358,'[9]Subsidiary wise dispatch'!$A$3:$R$138,12,FALSE)*$H358*$O358*365</f>
        <v>93594.34054123862</v>
      </c>
      <c r="AH358" s="7">
        <f>VLOOKUP($B358,'[9]Subsidiary wise dispatch'!$A$3:$R$138,13,FALSE)*$H358*$O358*365</f>
        <v>176722.23780861704</v>
      </c>
      <c r="AI358" s="7">
        <f>VLOOKUP($B358,'[9]Subsidiary wise dispatch'!$A$3:$R$138,14,FALSE)*$H358*$O358*365</f>
        <v>338877.42956204613</v>
      </c>
      <c r="AJ358" s="7">
        <f>VLOOKUP($B358,'[9]Subsidiary wise dispatch'!$A$3:$R$138,15,FALSE)*$H358*$O358*365</f>
        <v>0</v>
      </c>
      <c r="AK358" s="7">
        <f>VLOOKUP($B358,'[9]Subsidiary wise dispatch'!$A$3:$R$138,16,FALSE)*$H358*$O358*365</f>
        <v>0</v>
      </c>
      <c r="AL358" s="7">
        <f>VLOOKUP($B358,'[9]Subsidiary wise dispatch'!$A$3:$R$138,17,FALSE)*$H358*$O358*365</f>
        <v>0</v>
      </c>
      <c r="AM358" s="7">
        <f>VLOOKUP($B358,'[9]Subsidiary wise dispatch'!$A$3:$R$138,18,FALSE)*$H358*$O358*365</f>
        <v>0</v>
      </c>
      <c r="AN358" s="15">
        <f t="shared" si="278"/>
        <v>844051.93070049793</v>
      </c>
      <c r="AO358" s="6">
        <v>0.11038497174813085</v>
      </c>
      <c r="AP358" s="11">
        <f t="shared" si="279"/>
        <v>0.31380443392164381</v>
      </c>
      <c r="AQ358" s="11"/>
      <c r="AR358" s="3">
        <f>VLOOKUP(A358,[10]Sheet1!$A$2:$L$542,12,FALSE)</f>
        <v>3.5887610619468902</v>
      </c>
      <c r="AS358" s="3">
        <f t="shared" si="290"/>
        <v>2.7640827361809528</v>
      </c>
      <c r="AT358" s="2"/>
      <c r="AU358" s="2"/>
      <c r="AV358" s="88">
        <f t="shared" si="291"/>
        <v>6.2984941647866069E-2</v>
      </c>
      <c r="AW358" s="32">
        <f t="shared" si="292"/>
        <v>2.2786923424329333E-2</v>
      </c>
      <c r="AX358" s="12">
        <f t="shared" si="280"/>
        <v>286.80916675544375</v>
      </c>
      <c r="AY358" s="12">
        <f t="shared" si="281"/>
        <v>0</v>
      </c>
      <c r="AZ358" s="3">
        <f>VLOOKUP(A358,[5]Analysis!$A$3:$BJ$543,62,FALSE)</f>
        <v>0.73991191889506969</v>
      </c>
      <c r="BA358" s="2"/>
      <c r="BB358" s="2"/>
      <c r="BC358" s="2" t="str">
        <f>VLOOKUP(A358,'[6]FGD status - Jun 2020'!$I$2:$M$449,5,FALSE)</f>
        <v>Feasibility study completed</v>
      </c>
      <c r="BD358" s="2">
        <f>VLOOKUP(A358,'[1]daily coal, energy reqd'!$C$2:$L$599,10,FALSE)</f>
        <v>0</v>
      </c>
      <c r="BE358" s="2" t="str">
        <f>VLOOKUP(A358,'[1]daily coal, energy reqd'!$C$2:$M$599,11,FALSE)</f>
        <v>Y</v>
      </c>
      <c r="BF358" s="2">
        <f t="shared" si="282"/>
        <v>245.58906620328111</v>
      </c>
      <c r="BG358" s="2">
        <f t="shared" si="283"/>
        <v>0</v>
      </c>
      <c r="BH358" s="2">
        <f t="shared" si="305"/>
        <v>31.5</v>
      </c>
      <c r="BI358" s="2">
        <f t="shared" si="306"/>
        <v>16.8</v>
      </c>
      <c r="BK358">
        <f t="shared" si="286"/>
        <v>118.45076861159374</v>
      </c>
      <c r="BL358">
        <f>VLOOKUP(A358,'[11]Daily coal vs energy req.2'!$C$2:$P$599,14,FALSE)</f>
        <v>0.92</v>
      </c>
      <c r="BM358">
        <f>VLOOKUP(A358,'[11]Daily coal vs energy req.2'!$C$2:$R$599,16,FALSE)</f>
        <v>0.95</v>
      </c>
      <c r="BN358">
        <f t="shared" si="307"/>
        <v>193.20000000000002</v>
      </c>
      <c r="BO358">
        <f t="shared" si="308"/>
        <v>199.5</v>
      </c>
      <c r="BP358" s="2" t="str">
        <f>VLOOKUP(A358,'[7]Table 2'!$J$2:$N$449,5,FALSE)</f>
        <v>Feasibility Study started</v>
      </c>
      <c r="BR358">
        <f t="shared" si="293"/>
        <v>248.68605247340807</v>
      </c>
      <c r="BT358">
        <f>(X358*I358*365*[5]Analysis!BK358)/10^4</f>
        <v>158.32168791448603</v>
      </c>
      <c r="BV358">
        <f>(X358*I358*365*[5]Analysis!BL358)/10^4</f>
        <v>90.36436455892202</v>
      </c>
      <c r="BX358">
        <f t="shared" si="294"/>
        <v>943848.75286272704</v>
      </c>
      <c r="BZ358">
        <f t="shared" si="295"/>
        <v>3977143.8228620719</v>
      </c>
      <c r="CB358">
        <f t="shared" si="296"/>
        <v>-172925.75238461216</v>
      </c>
      <c r="CD358">
        <f t="shared" si="297"/>
        <v>0</v>
      </c>
      <c r="CF358">
        <f t="shared" si="298"/>
        <v>1852788.444302646</v>
      </c>
      <c r="CH358">
        <f t="shared" si="299"/>
        <v>556194.83728276298</v>
      </c>
      <c r="CJ358">
        <f t="shared" si="300"/>
        <v>-359329.40884168411</v>
      </c>
      <c r="CL358">
        <f t="shared" si="301"/>
        <v>887138.94209157967</v>
      </c>
    </row>
    <row r="359" spans="1:90" x14ac:dyDescent="0.2">
      <c r="A359" s="2" t="s">
        <v>425</v>
      </c>
      <c r="B359" s="2" t="str">
        <f t="shared" si="302"/>
        <v>KOLAGHAT TPS</v>
      </c>
      <c r="C359" s="2" t="str">
        <f>VLOOKUP($A359,'[1]daily coal, energy reqd'!$C$2:$T$599,17,FALSE)</f>
        <v>West Bengal</v>
      </c>
      <c r="D359" s="2" t="str">
        <f>VLOOKUP(C359,'Target PLF'!$I$2:$J$19,2,FALSE)</f>
        <v>ER</v>
      </c>
      <c r="E359" s="2" t="str">
        <f>VLOOKUP(A359,[2]Ownership!$C$2:$D$666,2,FALSE)</f>
        <v>STATE SECTOR</v>
      </c>
      <c r="F359" s="2" t="s">
        <v>547</v>
      </c>
      <c r="G359" s="12">
        <v>29.177275838466802</v>
      </c>
      <c r="H359" s="2">
        <v>210</v>
      </c>
      <c r="I359" s="2">
        <f>VLOOKUP(A359,'[3]Calculated coal req (reg.)'!$A$2:$I$599,9,FALSE)</f>
        <v>2.5846070711725502</v>
      </c>
      <c r="J359" s="2"/>
      <c r="K359" s="11">
        <v>0.51281886332788695</v>
      </c>
      <c r="L359" s="3">
        <f>VLOOKUP(F359,'Target PLF'!$A$2:$B$11,2,FALSE)</f>
        <v>0.65</v>
      </c>
      <c r="M359" s="3">
        <f t="shared" si="289"/>
        <v>0.13718113667211307</v>
      </c>
      <c r="N359" s="2" t="str">
        <f t="shared" si="268"/>
        <v>0.25</v>
      </c>
      <c r="O359" s="2">
        <f t="shared" si="267"/>
        <v>10.386196653323324</v>
      </c>
      <c r="P359" s="2">
        <f t="shared" si="269"/>
        <v>796101.97347723274</v>
      </c>
      <c r="Q359" s="2">
        <f t="shared" si="270"/>
        <v>15.077498962183435</v>
      </c>
      <c r="R359" s="2">
        <f t="shared" si="271"/>
        <v>3.2759999999999998</v>
      </c>
      <c r="S359" s="2"/>
      <c r="T359" s="2" t="str">
        <f>VLOOKUP(A359,'[4]CEA vs MERIT comp. &amp; NPA marker'!$C$2:$K$735,9,FALSE)</f>
        <v>Contracted</v>
      </c>
      <c r="U359" s="3">
        <f>VLOOKUP(B359,'[8]Import-Domestic share'!$A$208:$F$406,6,FALSE)</f>
        <v>1.3520920441206432E-3</v>
      </c>
      <c r="V359" s="3">
        <f t="shared" si="272"/>
        <v>1076.4031446473098</v>
      </c>
      <c r="W359" s="2">
        <f t="shared" si="273"/>
        <v>3231.7697293260744</v>
      </c>
      <c r="X359" s="2">
        <f t="shared" si="274"/>
        <v>3277.1178622931388</v>
      </c>
      <c r="Y359" s="6">
        <f t="shared" si="275"/>
        <v>0.2661080683428943</v>
      </c>
      <c r="Z359" s="2"/>
      <c r="AA359" s="2">
        <f t="shared" si="276"/>
        <v>729207.8818944837</v>
      </c>
      <c r="AB359" s="2" t="s">
        <v>576</v>
      </c>
      <c r="AC359" s="12">
        <f>VLOOKUP(B359,[9]Sheet1!$A$2:$B$137,2,FALSE)</f>
        <v>4239.6313955759369</v>
      </c>
      <c r="AD359" s="12">
        <f t="shared" si="277"/>
        <v>890322.59307094675</v>
      </c>
      <c r="AE359" s="2"/>
      <c r="AF359" s="7">
        <f>VLOOKUP($B359,'[9]Subsidiary wise dispatch'!$A$3:$R$138,11,FALSE)*$H359*$O359*365</f>
        <v>221515.82031640343</v>
      </c>
      <c r="AG359" s="7">
        <f>VLOOKUP($B359,'[9]Subsidiary wise dispatch'!$A$3:$R$138,12,FALSE)*$H359*$O359*365</f>
        <v>88277.316242073124</v>
      </c>
      <c r="AH359" s="7">
        <f>VLOOKUP($B359,'[9]Subsidiary wise dispatch'!$A$3:$R$138,13,FALSE)*$H359*$O359*365</f>
        <v>166682.78000382264</v>
      </c>
      <c r="AI359" s="7">
        <f>VLOOKUP($B359,'[9]Subsidiary wise dispatch'!$A$3:$R$138,14,FALSE)*$H359*$O359*365</f>
        <v>319626.05691493355</v>
      </c>
      <c r="AJ359" s="7">
        <f>VLOOKUP($B359,'[9]Subsidiary wise dispatch'!$A$3:$R$138,15,FALSE)*$H359*$O359*365</f>
        <v>0</v>
      </c>
      <c r="AK359" s="7">
        <f>VLOOKUP($B359,'[9]Subsidiary wise dispatch'!$A$3:$R$138,16,FALSE)*$H359*$O359*365</f>
        <v>0</v>
      </c>
      <c r="AL359" s="7">
        <f>VLOOKUP($B359,'[9]Subsidiary wise dispatch'!$A$3:$R$138,17,FALSE)*$H359*$O359*365</f>
        <v>0</v>
      </c>
      <c r="AM359" s="7">
        <f>VLOOKUP($B359,'[9]Subsidiary wise dispatch'!$A$3:$R$138,18,FALSE)*$H359*$O359*365</f>
        <v>0</v>
      </c>
      <c r="AN359" s="15">
        <f t="shared" si="278"/>
        <v>796101.97347723274</v>
      </c>
      <c r="AO359" s="6">
        <v>0.11038497174813085</v>
      </c>
      <c r="AP359" s="11">
        <f t="shared" si="279"/>
        <v>0.28530177853140115</v>
      </c>
      <c r="AQ359" s="11"/>
      <c r="AR359" s="3">
        <f>VLOOKUP(A359,[10]Sheet1!$A$2:$L$542,12,FALSE)</f>
        <v>3.5887610619468902</v>
      </c>
      <c r="AS359" s="3">
        <f t="shared" si="290"/>
        <v>2.7883697494697111</v>
      </c>
      <c r="AT359" s="2"/>
      <c r="AU359" s="2"/>
      <c r="AV359" s="88">
        <f t="shared" si="291"/>
        <v>0.1005290805760579</v>
      </c>
      <c r="AW359" s="32">
        <f t="shared" si="292"/>
        <v>3.6052994978580728E-2</v>
      </c>
      <c r="AX359" s="12">
        <f t="shared" si="280"/>
        <v>263.04966626059121</v>
      </c>
      <c r="AY359" s="12">
        <f t="shared" si="281"/>
        <v>0</v>
      </c>
      <c r="AZ359" s="3">
        <f>VLOOKUP(A359,[5]Analysis!$A$3:$BJ$543,62,FALSE)</f>
        <v>0.73991191889506969</v>
      </c>
      <c r="BA359" s="2"/>
      <c r="BB359" s="2"/>
      <c r="BC359" s="2" t="str">
        <f>VLOOKUP(A359,'[6]FGD status - Jun 2020'!$I$2:$M$449,5,FALSE)</f>
        <v>Feasibility study completed</v>
      </c>
      <c r="BD359" s="2">
        <f>VLOOKUP(A359,'[1]daily coal, energy reqd'!$C$2:$L$599,10,FALSE)</f>
        <v>0</v>
      </c>
      <c r="BE359" s="2" t="str">
        <f>VLOOKUP(A359,'[1]daily coal, energy reqd'!$C$2:$M$599,11,FALSE)</f>
        <v>Y</v>
      </c>
      <c r="BF359" s="2">
        <f t="shared" si="282"/>
        <v>225.9004396854551</v>
      </c>
      <c r="BG359" s="2">
        <f t="shared" si="283"/>
        <v>0</v>
      </c>
      <c r="BH359" s="2">
        <f t="shared" si="305"/>
        <v>31.5</v>
      </c>
      <c r="BI359" s="2">
        <f t="shared" si="306"/>
        <v>16.8</v>
      </c>
      <c r="BK359">
        <f t="shared" si="286"/>
        <v>107.69196129885626</v>
      </c>
      <c r="BL359">
        <f>VLOOKUP(A359,'[11]Daily coal vs energy req.2'!$C$2:$P$599,14,FALSE)</f>
        <v>0.73</v>
      </c>
      <c r="BM359">
        <f>VLOOKUP(A359,'[11]Daily coal vs energy req.2'!$C$2:$R$599,16,FALSE)</f>
        <v>0.7</v>
      </c>
      <c r="BN359">
        <f t="shared" si="307"/>
        <v>153.29999999999998</v>
      </c>
      <c r="BO359">
        <f t="shared" si="308"/>
        <v>147</v>
      </c>
      <c r="BP359" s="2" t="str">
        <f>VLOOKUP(A359,'[7]Table 2'!$J$2:$N$449,5,FALSE)</f>
        <v>Feasibility Study started</v>
      </c>
      <c r="BR359">
        <f t="shared" si="293"/>
        <v>228.74914370529279</v>
      </c>
      <c r="BT359">
        <f>(X359*I359*365*[5]Analysis!BK359)/10^4</f>
        <v>145.62919866319342</v>
      </c>
      <c r="BV359">
        <f>(X359*I359*365*[5]Analysis!BL359)/10^4</f>
        <v>83.119945042099388</v>
      </c>
      <c r="BX359">
        <f t="shared" si="294"/>
        <v>868181.35499474371</v>
      </c>
      <c r="BZ359">
        <f t="shared" si="295"/>
        <v>3615902.4012422119</v>
      </c>
      <c r="CB359">
        <f t="shared" si="296"/>
        <v>-142938.91478601511</v>
      </c>
      <c r="CD359">
        <f t="shared" si="297"/>
        <v>0</v>
      </c>
      <c r="CF359">
        <f t="shared" si="298"/>
        <v>1684500.8586907471</v>
      </c>
      <c r="CH359">
        <f t="shared" si="299"/>
        <v>558386.62459795771</v>
      </c>
      <c r="CJ359">
        <f t="shared" si="300"/>
        <v>-326691.74918913917</v>
      </c>
      <c r="CL359">
        <f t="shared" si="301"/>
        <v>806560.68118652643</v>
      </c>
    </row>
    <row r="360" spans="1:90" x14ac:dyDescent="0.2">
      <c r="A360" s="2" t="s">
        <v>495</v>
      </c>
      <c r="B360" s="2" t="str">
        <f t="shared" si="302"/>
        <v>KORADI TPS</v>
      </c>
      <c r="C360" s="2" t="str">
        <f>VLOOKUP($A360,'[1]daily coal, energy reqd'!$C$2:$T$599,17,FALSE)</f>
        <v>Maharashtra</v>
      </c>
      <c r="D360" s="2" t="str">
        <f>VLOOKUP(C360,'Target PLF'!$I$2:$J$19,2,FALSE)</f>
        <v>WR</v>
      </c>
      <c r="E360" s="2" t="str">
        <f>VLOOKUP(A360,[2]Ownership!$C$2:$D$666,2,FALSE)</f>
        <v>STATE SECTOR</v>
      </c>
      <c r="F360" s="2" t="s">
        <v>549</v>
      </c>
      <c r="G360" s="12">
        <v>38.176591375770002</v>
      </c>
      <c r="H360" s="2">
        <v>210</v>
      </c>
      <c r="I360" s="2">
        <f>VLOOKUP(A360,'[3]Calculated coal req (reg.)'!$A$2:$I$599,9,FALSE)</f>
        <v>0.78318701996927798</v>
      </c>
      <c r="J360" s="2"/>
      <c r="K360" s="11">
        <v>0.15539424999390436</v>
      </c>
      <c r="L360" s="3">
        <f>VLOOKUP(F360,'Target PLF'!$A$2:$B$11,2,FALSE)</f>
        <v>0.55000000000000004</v>
      </c>
      <c r="M360" s="3">
        <f t="shared" si="289"/>
        <v>0.39460575000609566</v>
      </c>
      <c r="N360" s="2" t="str">
        <f t="shared" si="268"/>
        <v>0.25</v>
      </c>
      <c r="O360" s="2">
        <f t="shared" si="267"/>
        <v>5.6982941002677041</v>
      </c>
      <c r="P360" s="2">
        <f t="shared" si="269"/>
        <v>436774.24278551951</v>
      </c>
      <c r="Q360" s="2">
        <f t="shared" si="270"/>
        <v>15.362552281827513</v>
      </c>
      <c r="R360" s="2">
        <f t="shared" si="271"/>
        <v>2.7719999999999998</v>
      </c>
      <c r="S360" s="2"/>
      <c r="T360" s="2" t="str">
        <f>VLOOKUP(A360,'[4]CEA vs MERIT comp. &amp; NPA marker'!$C$2:$K$735,9,FALSE)</f>
        <v>Contracted</v>
      </c>
      <c r="U360" s="3">
        <f>VLOOKUP(B360,'[8]Import-Domestic share'!$A$208:$F$406,6,FALSE)</f>
        <v>7.1458891059498833E-2</v>
      </c>
      <c r="V360" s="3">
        <f t="shared" si="272"/>
        <v>31211.403032805538</v>
      </c>
      <c r="W360" s="2">
        <f t="shared" si="273"/>
        <v>3349.3924230996054</v>
      </c>
      <c r="X360" s="2">
        <f t="shared" si="274"/>
        <v>3479.8377194060204</v>
      </c>
      <c r="Y360" s="6">
        <f t="shared" si="275"/>
        <v>0.25676298604752201</v>
      </c>
      <c r="Z360" s="2"/>
      <c r="AA360" s="2">
        <f t="shared" si="276"/>
        <v>244134.26202992437</v>
      </c>
      <c r="AB360" s="2" t="s">
        <v>576</v>
      </c>
      <c r="AC360" s="12">
        <f>VLOOKUP(B360,[9]Sheet1!$A$2:$B$137,2,FALSE)</f>
        <v>4074.6339921065437</v>
      </c>
      <c r="AD360" s="12">
        <f t="shared" si="277"/>
        <v>855673.13834237412</v>
      </c>
      <c r="AE360" s="2"/>
      <c r="AF360" s="7">
        <f>VLOOKUP($B360,'[9]Subsidiary wise dispatch'!$A$3:$R$138,11,FALSE)*$H360*$O360*365</f>
        <v>0</v>
      </c>
      <c r="AG360" s="7">
        <f>VLOOKUP($B360,'[9]Subsidiary wise dispatch'!$A$3:$R$138,12,FALSE)*$H360*$O360*365</f>
        <v>0</v>
      </c>
      <c r="AH360" s="7">
        <f>VLOOKUP($B360,'[9]Subsidiary wise dispatch'!$A$3:$R$138,13,FALSE)*$H360*$O360*365</f>
        <v>0</v>
      </c>
      <c r="AI360" s="7">
        <f>VLOOKUP($B360,'[9]Subsidiary wise dispatch'!$A$3:$R$138,14,FALSE)*$H360*$O360*365</f>
        <v>69207.561989631795</v>
      </c>
      <c r="AJ360" s="7">
        <f>VLOOKUP($B360,'[9]Subsidiary wise dispatch'!$A$3:$R$138,15,FALSE)*$H360*$O360*365</f>
        <v>0</v>
      </c>
      <c r="AK360" s="7">
        <f>VLOOKUP($B360,'[9]Subsidiary wise dispatch'!$A$3:$R$138,16,FALSE)*$H360*$O360*365</f>
        <v>0</v>
      </c>
      <c r="AL360" s="7">
        <f>VLOOKUP($B360,'[9]Subsidiary wise dispatch'!$A$3:$R$138,17,FALSE)*$H360*$O360*365</f>
        <v>100199.2533727789</v>
      </c>
      <c r="AM360" s="7">
        <f>VLOOKUP($B360,'[9]Subsidiary wise dispatch'!$A$3:$R$138,18,FALSE)*$H360*$O360*365</f>
        <v>267367.42742310883</v>
      </c>
      <c r="AN360" s="15">
        <f t="shared" si="278"/>
        <v>436774.24278551951</v>
      </c>
      <c r="AO360" s="6">
        <v>8.2497496941869752E-2</v>
      </c>
      <c r="AP360" s="11">
        <f t="shared" si="279"/>
        <v>6.4610968784827597E-2</v>
      </c>
      <c r="AQ360" s="11"/>
      <c r="AR360" s="3">
        <f>VLOOKUP(A360,[10]Sheet1!$A$2:$L$542,12,FALSE)</f>
        <v>2.2865934065933602</v>
      </c>
      <c r="AS360" s="3">
        <f t="shared" si="290"/>
        <v>2.6342627409414083</v>
      </c>
      <c r="AT360" s="2"/>
      <c r="AU360" s="2"/>
      <c r="AV360" s="88">
        <f t="shared" si="291"/>
        <v>0.28917498571946704</v>
      </c>
      <c r="AW360" s="32">
        <f t="shared" si="292"/>
        <v>0.10977454193355229</v>
      </c>
      <c r="AX360" s="12">
        <f t="shared" si="280"/>
        <v>75.303894085131134</v>
      </c>
      <c r="AY360" s="12">
        <f t="shared" si="281"/>
        <v>0</v>
      </c>
      <c r="AZ360" s="3">
        <f>VLOOKUP(A360,[5]Analysis!$A$3:$BJ$543,62,FALSE)</f>
        <v>0.653872465730303</v>
      </c>
      <c r="BA360" s="2">
        <v>91.26</v>
      </c>
      <c r="BB360" s="2"/>
      <c r="BC360" s="2" t="str">
        <f>VLOOKUP(A360,'[6]FGD status - Jun 2020'!$I$2:$M$449,5,FALSE)</f>
        <v>Feasiblity Study Carried Out</v>
      </c>
      <c r="BD360" s="2">
        <f>VLOOKUP(A360,'[1]daily coal, energy reqd'!$C$2:$L$599,10,FALSE)</f>
        <v>0</v>
      </c>
      <c r="BE360" s="2" t="str">
        <f>VLOOKUP(A360,'[1]daily coal, energy reqd'!$C$2:$M$599,11,FALSE)</f>
        <v>Y</v>
      </c>
      <c r="BF360" s="2">
        <f t="shared" si="282"/>
        <v>79.285926490545407</v>
      </c>
      <c r="BG360" s="2">
        <f t="shared" si="283"/>
        <v>0</v>
      </c>
      <c r="BH360" s="2">
        <f t="shared" si="305"/>
        <v>31.5</v>
      </c>
      <c r="BI360" s="2">
        <f t="shared" si="306"/>
        <v>16.8</v>
      </c>
      <c r="BK360">
        <f t="shared" si="286"/>
        <v>32.632792498719915</v>
      </c>
      <c r="BL360">
        <f>VLOOKUP(A360,'[11]Daily coal vs energy req.2'!$C$2:$P$599,14,FALSE)</f>
        <v>1.08</v>
      </c>
      <c r="BM360">
        <f>VLOOKUP(A360,'[11]Daily coal vs energy req.2'!$C$2:$R$599,16,FALSE)</f>
        <v>1.21</v>
      </c>
      <c r="BN360">
        <f t="shared" si="307"/>
        <v>226.8</v>
      </c>
      <c r="BO360">
        <f t="shared" si="308"/>
        <v>254.1</v>
      </c>
      <c r="BP360" s="2" t="str">
        <f>VLOOKUP(A360,'[7]Table 2'!$J$2:$N$449,5,FALSE)</f>
        <v>Feasiblity Study Carried Ou</v>
      </c>
      <c r="BR360">
        <f t="shared" si="293"/>
        <v>65.044471110426215</v>
      </c>
      <c r="BT360">
        <f>(X360*I360*365*[5]Analysis!BK360)/10^4</f>
        <v>45.408381301675234</v>
      </c>
      <c r="BV360">
        <f>(X360*I360*365*[5]Analysis!BL360)/10^4</f>
        <v>19.636089808750981</v>
      </c>
      <c r="BX360">
        <f t="shared" si="294"/>
        <v>279349.78267742466</v>
      </c>
      <c r="BZ360">
        <f t="shared" si="295"/>
        <v>968279.3706601609</v>
      </c>
      <c r="CB360">
        <f t="shared" si="296"/>
        <v>-13124.790700640415</v>
      </c>
      <c r="CD360">
        <f t="shared" si="297"/>
        <v>0</v>
      </c>
      <c r="CF360">
        <f t="shared" si="298"/>
        <v>510437.04954934708</v>
      </c>
      <c r="CH360">
        <f t="shared" si="299"/>
        <v>221390.18750683343</v>
      </c>
      <c r="CJ360">
        <f t="shared" si="300"/>
        <v>-98994.056137096777</v>
      </c>
      <c r="CL360">
        <f t="shared" si="301"/>
        <v>182658.05163733414</v>
      </c>
    </row>
    <row r="361" spans="1:90" x14ac:dyDescent="0.2">
      <c r="A361" s="2" t="s">
        <v>487</v>
      </c>
      <c r="B361" s="2" t="str">
        <f t="shared" si="302"/>
        <v>KORADI TPS</v>
      </c>
      <c r="C361" s="2" t="str">
        <f>VLOOKUP($A361,'[1]daily coal, energy reqd'!$C$2:$T$599,17,FALSE)</f>
        <v>Maharashtra</v>
      </c>
      <c r="D361" s="2" t="str">
        <f>VLOOKUP(C361,'Target PLF'!$I$2:$J$19,2,FALSE)</f>
        <v>WR</v>
      </c>
      <c r="E361" s="2" t="str">
        <f>VLOOKUP(A361,[2]Ownership!$C$2:$D$666,2,FALSE)</f>
        <v>STATE SECTOR</v>
      </c>
      <c r="F361" s="2" t="s">
        <v>549</v>
      </c>
      <c r="G361" s="12">
        <v>37.338809034907598</v>
      </c>
      <c r="H361" s="2">
        <v>210</v>
      </c>
      <c r="I361" s="2">
        <f>VLOOKUP(A361,'[3]Calculated coal req (reg.)'!$A$2:$I$599,9,FALSE)</f>
        <v>0.470641502904461</v>
      </c>
      <c r="J361" s="2"/>
      <c r="K361" s="11">
        <v>9.3381250576281938E-2</v>
      </c>
      <c r="L361" s="3">
        <f>VLOOKUP(F361,'Target PLF'!$A$2:$B$11,2,FALSE)</f>
        <v>0.55000000000000004</v>
      </c>
      <c r="M361" s="3">
        <f t="shared" si="289"/>
        <v>0.45661874942371811</v>
      </c>
      <c r="N361" s="2" t="str">
        <f t="shared" si="268"/>
        <v>0.25</v>
      </c>
      <c r="O361" s="2">
        <f t="shared" si="267"/>
        <v>4.8089518798236819</v>
      </c>
      <c r="P361" s="2">
        <f t="shared" si="269"/>
        <v>368606.16158848524</v>
      </c>
      <c r="Q361" s="2">
        <f t="shared" si="270"/>
        <v>15.336015526180697</v>
      </c>
      <c r="R361" s="2">
        <f t="shared" si="271"/>
        <v>2.7719999999999998</v>
      </c>
      <c r="S361" s="2"/>
      <c r="T361" s="2" t="str">
        <f>VLOOKUP(A361,'[4]CEA vs MERIT comp. &amp; NPA marker'!$C$2:$K$735,9,FALSE)</f>
        <v>Contracted</v>
      </c>
      <c r="U361" s="3">
        <f>VLOOKUP(B361,'[8]Import-Domestic share'!$A$208:$F$406,6,FALSE)</f>
        <v>7.1458891059498833E-2</v>
      </c>
      <c r="V361" s="3">
        <f t="shared" si="272"/>
        <v>26340.187544811593</v>
      </c>
      <c r="W361" s="2">
        <f t="shared" si="273"/>
        <v>3342.9913161262998</v>
      </c>
      <c r="X361" s="2">
        <f t="shared" si="274"/>
        <v>3493.9363240657976</v>
      </c>
      <c r="Y361" s="6">
        <f t="shared" si="275"/>
        <v>0.25725463175792135</v>
      </c>
      <c r="Z361" s="2"/>
      <c r="AA361" s="2">
        <f t="shared" si="276"/>
        <v>147302.27984051366</v>
      </c>
      <c r="AB361" s="2" t="s">
        <v>576</v>
      </c>
      <c r="AC361" s="12">
        <f>VLOOKUP(B361,[9]Sheet1!$A$2:$B$137,2,FALSE)</f>
        <v>4074.6339921065437</v>
      </c>
      <c r="AD361" s="12">
        <f t="shared" si="277"/>
        <v>855673.13834237412</v>
      </c>
      <c r="AE361" s="2"/>
      <c r="AF361" s="7">
        <f>VLOOKUP($B361,'[9]Subsidiary wise dispatch'!$A$3:$R$138,11,FALSE)*$H361*$O361*365</f>
        <v>0</v>
      </c>
      <c r="AG361" s="7">
        <f>VLOOKUP($B361,'[9]Subsidiary wise dispatch'!$A$3:$R$138,12,FALSE)*$H361*$O361*365</f>
        <v>0</v>
      </c>
      <c r="AH361" s="7">
        <f>VLOOKUP($B361,'[9]Subsidiary wise dispatch'!$A$3:$R$138,13,FALSE)*$H361*$O361*365</f>
        <v>0</v>
      </c>
      <c r="AI361" s="7">
        <f>VLOOKUP($B361,'[9]Subsidiary wise dispatch'!$A$3:$R$138,14,FALSE)*$H361*$O361*365</f>
        <v>58406.222892640493</v>
      </c>
      <c r="AJ361" s="7">
        <f>VLOOKUP($B361,'[9]Subsidiary wise dispatch'!$A$3:$R$138,15,FALSE)*$H361*$O361*365</f>
        <v>0</v>
      </c>
      <c r="AK361" s="7">
        <f>VLOOKUP($B361,'[9]Subsidiary wise dispatch'!$A$3:$R$138,16,FALSE)*$H361*$O361*365</f>
        <v>0</v>
      </c>
      <c r="AL361" s="7">
        <f>VLOOKUP($B361,'[9]Subsidiary wise dispatch'!$A$3:$R$138,17,FALSE)*$H361*$O361*365</f>
        <v>84560.989549717546</v>
      </c>
      <c r="AM361" s="7">
        <f>VLOOKUP($B361,'[9]Subsidiary wise dispatch'!$A$3:$R$138,18,FALSE)*$H361*$O361*365</f>
        <v>225638.94914612718</v>
      </c>
      <c r="AN361" s="15">
        <f t="shared" si="278"/>
        <v>368606.16158848524</v>
      </c>
      <c r="AO361" s="6">
        <v>8.2497496941869752E-2</v>
      </c>
      <c r="AP361" s="11">
        <f t="shared" si="279"/>
        <v>3.8826745946577756E-2</v>
      </c>
      <c r="AQ361" s="11"/>
      <c r="AR361" s="3">
        <f>VLOOKUP(A361,[10]Sheet1!$A$2:$L$542,12,FALSE)</f>
        <v>2.2865934065933602</v>
      </c>
      <c r="AS361" s="3">
        <f t="shared" si="290"/>
        <v>2.6295044885761198</v>
      </c>
      <c r="AT361" s="2"/>
      <c r="AU361" s="2"/>
      <c r="AV361" s="88">
        <f t="shared" si="291"/>
        <v>0.3346193519526891</v>
      </c>
      <c r="AW361" s="32">
        <f t="shared" si="292"/>
        <v>0.12725566866550053</v>
      </c>
      <c r="AX361" s="12">
        <f t="shared" si="280"/>
        <v>45.170718970508432</v>
      </c>
      <c r="AY361" s="12">
        <f t="shared" si="281"/>
        <v>0</v>
      </c>
      <c r="AZ361" s="3">
        <f>VLOOKUP(A361,[5]Analysis!$A$3:$BJ$543,62,FALSE)</f>
        <v>0.653872465730303</v>
      </c>
      <c r="BA361" s="2">
        <v>91.26</v>
      </c>
      <c r="BB361" s="2"/>
      <c r="BC361" s="2" t="str">
        <f>VLOOKUP(A361,'[6]FGD status - Jun 2020'!$I$2:$M$449,5,FALSE)</f>
        <v>Feasiblity Study Carried Out</v>
      </c>
      <c r="BD361" s="2">
        <f>VLOOKUP(A361,'[1]daily coal, energy reqd'!$C$2:$L$599,10,FALSE)</f>
        <v>0</v>
      </c>
      <c r="BE361" s="2" t="str">
        <f>VLOOKUP(A361,'[1]daily coal, energy reqd'!$C$2:$M$599,11,FALSE)</f>
        <v>Y</v>
      </c>
      <c r="BF361" s="2">
        <f t="shared" si="282"/>
        <v>47.838421507150763</v>
      </c>
      <c r="BG361" s="2">
        <f t="shared" si="283"/>
        <v>0</v>
      </c>
      <c r="BH361" s="2">
        <f t="shared" si="305"/>
        <v>31.5</v>
      </c>
      <c r="BI361" s="2">
        <f t="shared" si="306"/>
        <v>16.8</v>
      </c>
      <c r="BK361">
        <f t="shared" si="286"/>
        <v>19.610062621019207</v>
      </c>
      <c r="BL361">
        <f>VLOOKUP(A361,'[11]Daily coal vs energy req.2'!$C$2:$P$599,14,FALSE)</f>
        <v>0.89</v>
      </c>
      <c r="BM361">
        <f>VLOOKUP(A361,'[11]Daily coal vs energy req.2'!$C$2:$R$599,16,FALSE)</f>
        <v>0.83</v>
      </c>
      <c r="BN361">
        <f t="shared" si="307"/>
        <v>186.9</v>
      </c>
      <c r="BO361">
        <f t="shared" si="308"/>
        <v>174.29999999999998</v>
      </c>
      <c r="BP361" s="2" t="str">
        <f>VLOOKUP(A361,'[7]Table 2'!$J$2:$N$449,5,FALSE)</f>
        <v>Feasiblity Study Carried Ou</v>
      </c>
      <c r="BR361">
        <f t="shared" si="293"/>
        <v>39.245613483009642</v>
      </c>
      <c r="BT361">
        <f>(X361*I361*365*[5]Analysis!BK361)/10^4</f>
        <v>27.397867198108592</v>
      </c>
      <c r="BV361">
        <f>(X361*I361*365*[5]Analysis!BL361)/10^4</f>
        <v>11.847746284901048</v>
      </c>
      <c r="BX361">
        <f t="shared" si="294"/>
        <v>168550.1228676085</v>
      </c>
      <c r="BZ361">
        <f t="shared" si="295"/>
        <v>581869.26828378753</v>
      </c>
      <c r="CB361">
        <f t="shared" si="296"/>
        <v>-4739.6019408845459</v>
      </c>
      <c r="CD361">
        <f t="shared" si="297"/>
        <v>0</v>
      </c>
      <c r="CF361">
        <f t="shared" si="298"/>
        <v>306737.54034821357</v>
      </c>
      <c r="CH361">
        <f t="shared" si="299"/>
        <v>130120.70905570553</v>
      </c>
      <c r="CJ361">
        <f t="shared" si="300"/>
        <v>-59488.615325620973</v>
      </c>
      <c r="CL361">
        <f t="shared" si="301"/>
        <v>109764.91916779696</v>
      </c>
    </row>
    <row r="362" spans="1:90" x14ac:dyDescent="0.2">
      <c r="A362" s="2" t="s">
        <v>491</v>
      </c>
      <c r="B362" s="2" t="str">
        <f t="shared" si="302"/>
        <v>KORBA STPS</v>
      </c>
      <c r="C362" s="2" t="str">
        <f>VLOOKUP($A362,'[1]daily coal, energy reqd'!$C$2:$T$599,17,FALSE)</f>
        <v>Chhatisgarh</v>
      </c>
      <c r="D362" s="2" t="str">
        <f>VLOOKUP(C362,'Target PLF'!$I$2:$J$19,2,FALSE)</f>
        <v>WR</v>
      </c>
      <c r="E362" s="2" t="str">
        <f>VLOOKUP(A362,[2]Ownership!$C$2:$D$666,2,FALSE)</f>
        <v>CENTRAL SECTOR</v>
      </c>
      <c r="F362" s="2" t="s">
        <v>549</v>
      </c>
      <c r="G362" s="12">
        <v>37.2539356605065</v>
      </c>
      <c r="H362" s="2">
        <v>200</v>
      </c>
      <c r="I362" s="2">
        <f>VLOOKUP(A362,'[3]Calculated coal req (reg.)'!$A$2:$I$599,9,FALSE)</f>
        <v>4.2133861963027597</v>
      </c>
      <c r="J362" s="2"/>
      <c r="K362" s="11">
        <v>0.87778879089640816</v>
      </c>
      <c r="L362" s="3">
        <f>VLOOKUP(F362,'Target PLF'!$A$2:$B$11,2,FALSE)</f>
        <v>0.55000000000000004</v>
      </c>
      <c r="M362" s="3">
        <f t="shared" si="289"/>
        <v>-0.32778879089640811</v>
      </c>
      <c r="N362" s="2" t="str">
        <f t="shared" si="268"/>
        <v>0.25</v>
      </c>
      <c r="O362" s="2">
        <f t="shared" si="267"/>
        <v>15.772039946425538</v>
      </c>
      <c r="P362" s="2">
        <f t="shared" si="269"/>
        <v>1151358.9160890644</v>
      </c>
      <c r="Q362" s="2">
        <f t="shared" si="270"/>
        <v>15.385406162046543</v>
      </c>
      <c r="R362" s="2">
        <f t="shared" si="271"/>
        <v>2.64</v>
      </c>
      <c r="S362" s="2"/>
      <c r="T362" s="2" t="str">
        <f>VLOOKUP(A362,'[4]CEA vs MERIT comp. &amp; NPA marker'!$C$2:$K$735,9,FALSE)</f>
        <v>Contracted</v>
      </c>
      <c r="U362" s="3">
        <f>VLOOKUP(B362,'[8]Import-Domestic share'!$A$208:$F$406,6,FALSE)</f>
        <v>0</v>
      </c>
      <c r="V362" s="3">
        <f t="shared" si="272"/>
        <v>0</v>
      </c>
      <c r="W362" s="2">
        <f t="shared" si="273"/>
        <v>3335.4894538097196</v>
      </c>
      <c r="X362" s="2">
        <f t="shared" si="274"/>
        <v>3227.1319198565448</v>
      </c>
      <c r="Y362" s="6">
        <f t="shared" si="275"/>
        <v>0.25783322415177412</v>
      </c>
      <c r="Z362" s="2"/>
      <c r="AA362" s="2">
        <f t="shared" si="276"/>
        <v>1194168.7899561778</v>
      </c>
      <c r="AB362" s="2" t="s">
        <v>576</v>
      </c>
      <c r="AC362" s="12">
        <f>VLOOKUP(B362,[9]Sheet1!$A$2:$B$137,2,FALSE)</f>
        <v>4155.9961352898499</v>
      </c>
      <c r="AD362" s="12">
        <f t="shared" si="277"/>
        <v>831199.22705797001</v>
      </c>
      <c r="AE362" s="2" t="s">
        <v>589</v>
      </c>
      <c r="AF362" s="7">
        <f>VLOOKUP($B362,'[9]Subsidiary wise dispatch'!$A$3:$R$138,11,FALSE)*$H362*$O362*365</f>
        <v>0</v>
      </c>
      <c r="AG362" s="7">
        <f>VLOOKUP($B362,'[9]Subsidiary wise dispatch'!$A$3:$R$138,12,FALSE)*$H362*$O362*365</f>
        <v>0</v>
      </c>
      <c r="AH362" s="7">
        <f>VLOOKUP($B362,'[9]Subsidiary wise dispatch'!$A$3:$R$138,13,FALSE)*$H362*$O362*365</f>
        <v>0</v>
      </c>
      <c r="AI362" s="7">
        <f>VLOOKUP($B362,'[9]Subsidiary wise dispatch'!$A$3:$R$138,14,FALSE)*$H362*$O362*365</f>
        <v>0</v>
      </c>
      <c r="AJ362" s="7">
        <f>VLOOKUP($B362,'[9]Subsidiary wise dispatch'!$A$3:$R$138,15,FALSE)*$H362*$O362*365</f>
        <v>0</v>
      </c>
      <c r="AK362" s="7">
        <f>VLOOKUP($B362,'[9]Subsidiary wise dispatch'!$A$3:$R$138,16,FALSE)*$H362*$O362*365</f>
        <v>0</v>
      </c>
      <c r="AL362" s="7">
        <f>VLOOKUP($B362,'[9]Subsidiary wise dispatch'!$A$3:$R$138,17,FALSE)*$H362*$O362*365</f>
        <v>1151358.9160890644</v>
      </c>
      <c r="AM362" s="7">
        <f>VLOOKUP($B362,'[9]Subsidiary wise dispatch'!$A$3:$R$138,18,FALSE)*$H362*$O362*365</f>
        <v>0</v>
      </c>
      <c r="AN362" s="15">
        <f t="shared" si="278"/>
        <v>1151358.9160890644</v>
      </c>
      <c r="AO362" s="6">
        <v>6.2610933454142856E-2</v>
      </c>
      <c r="AP362" s="11">
        <f t="shared" si="279"/>
        <v>0.26380404275331615</v>
      </c>
      <c r="AQ362" s="11"/>
      <c r="AR362" s="3">
        <f>VLOOKUP(A362,[10]Sheet1!$A$2:$L$542,12,FALSE)</f>
        <v>1.31693546675523</v>
      </c>
      <c r="AS362" s="3">
        <f t="shared" si="290"/>
        <v>2.0588080213964397</v>
      </c>
      <c r="AT362" s="2"/>
      <c r="AU362" s="2"/>
      <c r="AV362" s="88">
        <f t="shared" si="291"/>
        <v>-0.24021018174470579</v>
      </c>
      <c r="AW362" s="32">
        <f t="shared" si="292"/>
        <v>0.11667439569318223</v>
      </c>
      <c r="AX362" s="12">
        <f t="shared" si="280"/>
        <v>316.62119538390419</v>
      </c>
      <c r="AY362" s="12">
        <f t="shared" si="281"/>
        <v>0</v>
      </c>
      <c r="AZ362" s="3">
        <f>VLOOKUP(A362,[5]Analysis!$A$3:$BJ$543,62,FALSE)</f>
        <v>0.3933883912010035</v>
      </c>
      <c r="BA362" s="2">
        <v>77.38</v>
      </c>
      <c r="BB362" s="2"/>
      <c r="BC362" s="2" t="str">
        <f>VLOOKUP(A362,'[6]FGD status - Jun 2020'!$I$2:$M$449,5,FALSE)</f>
        <v>Bid Awarded</v>
      </c>
      <c r="BD362" s="2">
        <f>VLOOKUP(A362,'[1]daily coal, energy reqd'!$C$2:$L$599,10,FALSE)</f>
        <v>0</v>
      </c>
      <c r="BE362" s="2" t="str">
        <f>VLOOKUP(A362,'[1]daily coal, energy reqd'!$C$2:$M$599,11,FALSE)</f>
        <v>Y</v>
      </c>
      <c r="BF362" s="2">
        <f t="shared" si="282"/>
        <v>369.59524049143704</v>
      </c>
      <c r="BG362" s="2">
        <f t="shared" si="283"/>
        <v>0</v>
      </c>
      <c r="BH362" s="2">
        <f t="shared" si="305"/>
        <v>30</v>
      </c>
      <c r="BI362" s="2">
        <f t="shared" si="306"/>
        <v>16</v>
      </c>
      <c r="BK362">
        <f t="shared" si="286"/>
        <v>175.55775817928162</v>
      </c>
      <c r="BL362">
        <f>VLOOKUP(A362,'[11]Daily coal vs energy req.2'!$C$2:$P$599,14,FALSE)</f>
        <v>1.27</v>
      </c>
      <c r="BM362">
        <f>VLOOKUP(A362,'[11]Daily coal vs energy req.2'!$C$2:$R$599,16,FALSE)</f>
        <v>0.43</v>
      </c>
      <c r="BN362">
        <f t="shared" si="307"/>
        <v>254</v>
      </c>
      <c r="BO362">
        <f t="shared" si="308"/>
        <v>86</v>
      </c>
      <c r="BP362" s="2" t="str">
        <f>VLOOKUP(A362,'[7]Table 2'!$J$2:$N$449,5,FALSE)</f>
        <v>Bid Awarded</v>
      </c>
      <c r="BR362">
        <f t="shared" si="293"/>
        <v>195.23711945802012</v>
      </c>
      <c r="BT362">
        <f>(X362*I362*365*[5]Analysis!BK362)/10^4</f>
        <v>192.02929148731093</v>
      </c>
      <c r="BV362">
        <f>(X362*I362*365*[5]Analysis!BL362)/10^4</f>
        <v>3.2078279707091824</v>
      </c>
      <c r="BX362">
        <f t="shared" si="294"/>
        <v>1393708.1911890879</v>
      </c>
      <c r="BZ362">
        <f t="shared" si="295"/>
        <v>3133970.8759597484</v>
      </c>
      <c r="CB362">
        <f t="shared" si="296"/>
        <v>-398853.36416343064</v>
      </c>
      <c r="CD362">
        <f t="shared" si="297"/>
        <v>0</v>
      </c>
      <c r="CF362">
        <f t="shared" si="298"/>
        <v>2746047.0664300476</v>
      </c>
      <c r="CH362">
        <f t="shared" si="299"/>
        <v>1162248.9586796907</v>
      </c>
      <c r="CJ362">
        <f t="shared" si="300"/>
        <v>-507207.43031092628</v>
      </c>
      <c r="CL362">
        <f t="shared" si="301"/>
        <v>745785.63624150597</v>
      </c>
    </row>
    <row r="363" spans="1:90" x14ac:dyDescent="0.2">
      <c r="A363" s="2" t="s">
        <v>483</v>
      </c>
      <c r="B363" s="2" t="str">
        <f t="shared" si="302"/>
        <v>KORBA STPS</v>
      </c>
      <c r="C363" s="2" t="str">
        <f>VLOOKUP($A363,'[1]daily coal, energy reqd'!$C$2:$T$599,17,FALSE)</f>
        <v>Chhatisgarh</v>
      </c>
      <c r="D363" s="2" t="str">
        <f>VLOOKUP(C363,'Target PLF'!$I$2:$J$19,2,FALSE)</f>
        <v>WR</v>
      </c>
      <c r="E363" s="2" t="str">
        <f>VLOOKUP(A363,[2]Ownership!$C$2:$D$666,2,FALSE)</f>
        <v>CENTRAL SECTOR</v>
      </c>
      <c r="F363" s="2" t="s">
        <v>549</v>
      </c>
      <c r="G363" s="12">
        <v>36.591375770020498</v>
      </c>
      <c r="H363" s="2">
        <v>200</v>
      </c>
      <c r="I363" s="2">
        <f>VLOOKUP(A363,'[3]Calculated coal req (reg.)'!$A$2:$I$599,9,FALSE)</f>
        <v>4.1117773672687399</v>
      </c>
      <c r="J363" s="2"/>
      <c r="K363" s="11">
        <v>0.85662028484765418</v>
      </c>
      <c r="L363" s="3">
        <f>VLOOKUP(F363,'Target PLF'!$A$2:$B$11,2,FALSE)</f>
        <v>0.55000000000000004</v>
      </c>
      <c r="M363" s="3">
        <f t="shared" si="289"/>
        <v>-0.30662028484765413</v>
      </c>
      <c r="N363" s="2" t="str">
        <f t="shared" si="268"/>
        <v>0.25</v>
      </c>
      <c r="O363" s="2">
        <f t="shared" si="267"/>
        <v>15.456529586686266</v>
      </c>
      <c r="P363" s="2">
        <f t="shared" si="269"/>
        <v>1128326.6598280973</v>
      </c>
      <c r="Q363" s="2">
        <f t="shared" si="270"/>
        <v>15.364419577515399</v>
      </c>
      <c r="R363" s="2">
        <f t="shared" si="271"/>
        <v>2.64</v>
      </c>
      <c r="S363" s="2"/>
      <c r="T363" s="2" t="str">
        <f>VLOOKUP(A363,'[4]CEA vs MERIT comp. &amp; NPA marker'!$C$2:$K$735,9,FALSE)</f>
        <v>Contracted</v>
      </c>
      <c r="U363" s="3">
        <f>VLOOKUP(B363,'[8]Import-Domestic share'!$A$208:$F$406,6,FALSE)</f>
        <v>0</v>
      </c>
      <c r="V363" s="3">
        <f t="shared" si="272"/>
        <v>0</v>
      </c>
      <c r="W363" s="2">
        <f t="shared" si="273"/>
        <v>3330.4271404517453</v>
      </c>
      <c r="X363" s="2">
        <f t="shared" si="274"/>
        <v>3229.0673049453144</v>
      </c>
      <c r="Y363" s="6">
        <f t="shared" si="275"/>
        <v>0.2582251356152917</v>
      </c>
      <c r="Z363" s="2"/>
      <c r="AA363" s="2">
        <f t="shared" si="276"/>
        <v>1166069.4528633154</v>
      </c>
      <c r="AB363" s="2" t="s">
        <v>576</v>
      </c>
      <c r="AC363" s="12">
        <f>VLOOKUP(B363,[9]Sheet1!$A$2:$B$137,2,FALSE)</f>
        <v>4155.9961352898499</v>
      </c>
      <c r="AD363" s="12">
        <f t="shared" si="277"/>
        <v>831199.22705797001</v>
      </c>
      <c r="AE363" s="2" t="s">
        <v>589</v>
      </c>
      <c r="AF363" s="7">
        <f>VLOOKUP($B363,'[9]Subsidiary wise dispatch'!$A$3:$R$138,11,FALSE)*$H363*$O363*365</f>
        <v>0</v>
      </c>
      <c r="AG363" s="7">
        <f>VLOOKUP($B363,'[9]Subsidiary wise dispatch'!$A$3:$R$138,12,FALSE)*$H363*$O363*365</f>
        <v>0</v>
      </c>
      <c r="AH363" s="7">
        <f>VLOOKUP($B363,'[9]Subsidiary wise dispatch'!$A$3:$R$138,13,FALSE)*$H363*$O363*365</f>
        <v>0</v>
      </c>
      <c r="AI363" s="7">
        <f>VLOOKUP($B363,'[9]Subsidiary wise dispatch'!$A$3:$R$138,14,FALSE)*$H363*$O363*365</f>
        <v>0</v>
      </c>
      <c r="AJ363" s="7">
        <f>VLOOKUP($B363,'[9]Subsidiary wise dispatch'!$A$3:$R$138,15,FALSE)*$H363*$O363*365</f>
        <v>0</v>
      </c>
      <c r="AK363" s="7">
        <f>VLOOKUP($B363,'[9]Subsidiary wise dispatch'!$A$3:$R$138,16,FALSE)*$H363*$O363*365</f>
        <v>0</v>
      </c>
      <c r="AL363" s="7">
        <f>VLOOKUP($B363,'[9]Subsidiary wise dispatch'!$A$3:$R$138,17,FALSE)*$H363*$O363*365</f>
        <v>1128326.6598280973</v>
      </c>
      <c r="AM363" s="7">
        <f>VLOOKUP($B363,'[9]Subsidiary wise dispatch'!$A$3:$R$138,18,FALSE)*$H363*$O363*365</f>
        <v>0</v>
      </c>
      <c r="AN363" s="15">
        <f t="shared" si="278"/>
        <v>1128326.6598280973</v>
      </c>
      <c r="AO363" s="6">
        <v>6.2610933454142856E-2</v>
      </c>
      <c r="AP363" s="11">
        <f t="shared" si="279"/>
        <v>0.25744221912031379</v>
      </c>
      <c r="AQ363" s="11"/>
      <c r="AR363" s="3">
        <f>VLOOKUP(A363,[10]Sheet1!$A$2:$L$542,12,FALSE)</f>
        <v>1.31693546675523</v>
      </c>
      <c r="AS363" s="3">
        <f t="shared" si="290"/>
        <v>2.0541004736589348</v>
      </c>
      <c r="AT363" s="2"/>
      <c r="AU363" s="2"/>
      <c r="AV363" s="88">
        <f t="shared" si="291"/>
        <v>-0.2246974771420579</v>
      </c>
      <c r="AW363" s="32">
        <f t="shared" si="292"/>
        <v>0.10938972071887411</v>
      </c>
      <c r="AX363" s="12">
        <f t="shared" si="280"/>
        <v>308.27914007556842</v>
      </c>
      <c r="AY363" s="12">
        <f t="shared" si="281"/>
        <v>0</v>
      </c>
      <c r="AZ363" s="3">
        <f>VLOOKUP(A363,[5]Analysis!$A$3:$BJ$543,62,FALSE)</f>
        <v>0.3933883912010035</v>
      </c>
      <c r="BA363" s="2">
        <v>77.38</v>
      </c>
      <c r="BB363" s="2"/>
      <c r="BC363" s="2" t="str">
        <f>VLOOKUP(A363,'[6]FGD status - Jun 2020'!$I$2:$M$449,5,FALSE)</f>
        <v>Bid Awarded</v>
      </c>
      <c r="BD363" s="2">
        <f>VLOOKUP(A363,'[1]daily coal, energy reqd'!$C$2:$L$599,10,FALSE)</f>
        <v>0</v>
      </c>
      <c r="BE363" s="2" t="str">
        <f>VLOOKUP(A363,'[1]daily coal, energy reqd'!$C$2:$M$599,11,FALSE)</f>
        <v>Y</v>
      </c>
      <c r="BF363" s="2">
        <f t="shared" si="282"/>
        <v>360.89849566119608</v>
      </c>
      <c r="BG363" s="2">
        <f t="shared" si="283"/>
        <v>0</v>
      </c>
      <c r="BH363" s="2">
        <f t="shared" si="305"/>
        <v>30</v>
      </c>
      <c r="BI363" s="2">
        <f t="shared" si="306"/>
        <v>16</v>
      </c>
      <c r="BK363">
        <f t="shared" si="286"/>
        <v>171.32405696953083</v>
      </c>
      <c r="BL363">
        <f>VLOOKUP(A363,'[11]Daily coal vs energy req.2'!$C$2:$P$599,14,FALSE)</f>
        <v>0.9</v>
      </c>
      <c r="BM363">
        <f>VLOOKUP(A363,'[11]Daily coal vs energy req.2'!$C$2:$R$599,16,FALSE)</f>
        <v>0.8</v>
      </c>
      <c r="BN363">
        <f t="shared" si="307"/>
        <v>180</v>
      </c>
      <c r="BO363">
        <f t="shared" si="308"/>
        <v>160</v>
      </c>
      <c r="BP363" s="2" t="str">
        <f>VLOOKUP(A363,'[7]Table 2'!$J$2:$N$449,5,FALSE)</f>
        <v>Bid Awarded</v>
      </c>
      <c r="BR363">
        <f t="shared" si="293"/>
        <v>190.64310085794293</v>
      </c>
      <c r="BT363">
        <f>(X363*I363*365*[5]Analysis!BK363)/10^4</f>
        <v>187.51075454463677</v>
      </c>
      <c r="BV363">
        <f>(X363*I363*365*[5]Analysis!BL363)/10^4</f>
        <v>3.1323463133061469</v>
      </c>
      <c r="BX363">
        <f t="shared" si="294"/>
        <v>1360913.6008408151</v>
      </c>
      <c r="BZ363">
        <f t="shared" si="295"/>
        <v>3058392.9212941113</v>
      </c>
      <c r="CB363">
        <f t="shared" si="296"/>
        <v>-379848.05474639352</v>
      </c>
      <c r="CD363">
        <f t="shared" si="297"/>
        <v>0</v>
      </c>
      <c r="CF363">
        <f t="shared" si="298"/>
        <v>2679824.1725645144</v>
      </c>
      <c r="CH363">
        <f t="shared" si="299"/>
        <v>1114048.4215484082</v>
      </c>
      <c r="CJ363">
        <f t="shared" si="300"/>
        <v>-494975.759471811</v>
      </c>
      <c r="CL363">
        <f t="shared" si="301"/>
        <v>727800.48091076827</v>
      </c>
    </row>
    <row r="364" spans="1:90" x14ac:dyDescent="0.2">
      <c r="A364" s="2" t="s">
        <v>479</v>
      </c>
      <c r="B364" s="2" t="str">
        <f t="shared" si="302"/>
        <v>KORBA STPS</v>
      </c>
      <c r="C364" s="2" t="str">
        <f>VLOOKUP($A364,'[1]daily coal, energy reqd'!$C$2:$T$599,17,FALSE)</f>
        <v>Chhatisgarh</v>
      </c>
      <c r="D364" s="2" t="str">
        <f>VLOOKUP(C364,'Target PLF'!$I$2:$J$19,2,FALSE)</f>
        <v>WR</v>
      </c>
      <c r="E364" s="2" t="str">
        <f>VLOOKUP(A364,[2]Ownership!$C$2:$D$666,2,FALSE)</f>
        <v>CENTRAL SECTOR</v>
      </c>
      <c r="F364" s="2" t="s">
        <v>549</v>
      </c>
      <c r="G364" s="12">
        <v>36.175222450376403</v>
      </c>
      <c r="H364" s="2">
        <v>200</v>
      </c>
      <c r="I364" s="2">
        <f>VLOOKUP(A364,'[3]Calculated coal req (reg.)'!$A$2:$I$599,9,FALSE)</f>
        <v>4.4069708500142601</v>
      </c>
      <c r="J364" s="2"/>
      <c r="K364" s="11">
        <v>0.91811892708630427</v>
      </c>
      <c r="L364" s="3">
        <f>VLOOKUP(F364,'Target PLF'!$A$2:$B$11,2,FALSE)</f>
        <v>0.55000000000000004</v>
      </c>
      <c r="M364" s="3">
        <f t="shared" si="289"/>
        <v>-0.36811892708630423</v>
      </c>
      <c r="N364" s="2" t="str">
        <f t="shared" si="268"/>
        <v>0.25</v>
      </c>
      <c r="O364" s="2">
        <f t="shared" si="267"/>
        <v>16.29899698934555</v>
      </c>
      <c r="P364" s="2">
        <f t="shared" si="269"/>
        <v>1189826.7802222252</v>
      </c>
      <c r="Q364" s="2">
        <f t="shared" si="270"/>
        <v>15.351237921115672</v>
      </c>
      <c r="R364" s="2">
        <f t="shared" si="271"/>
        <v>2.64</v>
      </c>
      <c r="S364" s="2"/>
      <c r="T364" s="2" t="str">
        <f>VLOOKUP(A364,'[4]CEA vs MERIT comp. &amp; NPA marker'!$C$2:$K$735,9,FALSE)</f>
        <v>Contracted</v>
      </c>
      <c r="U364" s="3">
        <f>VLOOKUP(B364,'[8]Import-Domestic share'!$A$208:$F$406,6,FALSE)</f>
        <v>0</v>
      </c>
      <c r="V364" s="3">
        <f t="shared" si="272"/>
        <v>0</v>
      </c>
      <c r="W364" s="2">
        <f t="shared" si="273"/>
        <v>3327.2475056153316</v>
      </c>
      <c r="X364" s="2">
        <f t="shared" si="274"/>
        <v>3205.5579901456995</v>
      </c>
      <c r="Y364" s="6">
        <f t="shared" si="275"/>
        <v>0.25847190464448305</v>
      </c>
      <c r="Z364" s="2"/>
      <c r="AA364" s="2">
        <f t="shared" si="276"/>
        <v>1240685.0388373283</v>
      </c>
      <c r="AB364" s="2" t="s">
        <v>576</v>
      </c>
      <c r="AC364" s="12">
        <f>VLOOKUP(B364,[9]Sheet1!$A$2:$B$137,2,FALSE)</f>
        <v>4155.9961352898499</v>
      </c>
      <c r="AD364" s="12">
        <f t="shared" si="277"/>
        <v>831199.22705797001</v>
      </c>
      <c r="AE364" s="2" t="s">
        <v>589</v>
      </c>
      <c r="AF364" s="7">
        <f>VLOOKUP($B364,'[9]Subsidiary wise dispatch'!$A$3:$R$138,11,FALSE)*$H364*$O364*365</f>
        <v>0</v>
      </c>
      <c r="AG364" s="7">
        <f>VLOOKUP($B364,'[9]Subsidiary wise dispatch'!$A$3:$R$138,12,FALSE)*$H364*$O364*365</f>
        <v>0</v>
      </c>
      <c r="AH364" s="7">
        <f>VLOOKUP($B364,'[9]Subsidiary wise dispatch'!$A$3:$R$138,13,FALSE)*$H364*$O364*365</f>
        <v>0</v>
      </c>
      <c r="AI364" s="7">
        <f>VLOOKUP($B364,'[9]Subsidiary wise dispatch'!$A$3:$R$138,14,FALSE)*$H364*$O364*365</f>
        <v>0</v>
      </c>
      <c r="AJ364" s="7">
        <f>VLOOKUP($B364,'[9]Subsidiary wise dispatch'!$A$3:$R$138,15,FALSE)*$H364*$O364*365</f>
        <v>0</v>
      </c>
      <c r="AK364" s="7">
        <f>VLOOKUP($B364,'[9]Subsidiary wise dispatch'!$A$3:$R$138,16,FALSE)*$H364*$O364*365</f>
        <v>0</v>
      </c>
      <c r="AL364" s="7">
        <f>VLOOKUP($B364,'[9]Subsidiary wise dispatch'!$A$3:$R$138,17,FALSE)*$H364*$O364*365</f>
        <v>1189826.7802222252</v>
      </c>
      <c r="AM364" s="7">
        <f>VLOOKUP($B364,'[9]Subsidiary wise dispatch'!$A$3:$R$138,18,FALSE)*$H364*$O364*365</f>
        <v>0</v>
      </c>
      <c r="AN364" s="15">
        <f t="shared" si="278"/>
        <v>1189826.7802222252</v>
      </c>
      <c r="AO364" s="6">
        <v>6.2610933454142856E-2</v>
      </c>
      <c r="AP364" s="11">
        <f t="shared" si="279"/>
        <v>0.2759245586245902</v>
      </c>
      <c r="AQ364" s="11"/>
      <c r="AR364" s="3">
        <f>VLOOKUP(A364,[10]Sheet1!$A$2:$L$542,12,FALSE)</f>
        <v>1.31693546675523</v>
      </c>
      <c r="AS364" s="3">
        <f t="shared" si="290"/>
        <v>2.0486093616366698</v>
      </c>
      <c r="AT364" s="2"/>
      <c r="AU364" s="2"/>
      <c r="AV364" s="88">
        <f t="shared" si="291"/>
        <v>-0.26976491214738546</v>
      </c>
      <c r="AW364" s="32">
        <f t="shared" si="292"/>
        <v>0.13168196787496156</v>
      </c>
      <c r="AX364" s="12">
        <f t="shared" si="280"/>
        <v>329.5279035026681</v>
      </c>
      <c r="AY364" s="12">
        <f t="shared" si="281"/>
        <v>0</v>
      </c>
      <c r="AZ364" s="3">
        <f>VLOOKUP(A364,[5]Analysis!$A$3:$BJ$543,62,FALSE)</f>
        <v>0.3933883912010035</v>
      </c>
      <c r="BA364" s="2">
        <v>77.38</v>
      </c>
      <c r="BB364" s="2"/>
      <c r="BC364" s="2" t="str">
        <f>VLOOKUP(A364,'[6]FGD status - Jun 2020'!$I$2:$M$449,5,FALSE)</f>
        <v>Bid Awarded</v>
      </c>
      <c r="BD364" s="2">
        <f>VLOOKUP(A364,'[1]daily coal, energy reqd'!$C$2:$L$599,10,FALSE)</f>
        <v>0</v>
      </c>
      <c r="BE364" s="2" t="str">
        <f>VLOOKUP(A364,'[1]daily coal, energy reqd'!$C$2:$M$599,11,FALSE)</f>
        <v>Y</v>
      </c>
      <c r="BF364" s="2">
        <f t="shared" si="282"/>
        <v>383.99201952015312</v>
      </c>
      <c r="BG364" s="2">
        <f t="shared" si="283"/>
        <v>0</v>
      </c>
      <c r="BH364" s="2">
        <f t="shared" si="305"/>
        <v>30</v>
      </c>
      <c r="BI364" s="2">
        <f t="shared" si="306"/>
        <v>16</v>
      </c>
      <c r="BK364">
        <f t="shared" si="286"/>
        <v>183.62378541726085</v>
      </c>
      <c r="BL364">
        <f>VLOOKUP(A364,'[11]Daily coal vs energy req.2'!$C$2:$P$599,14,FALSE)</f>
        <v>0.77</v>
      </c>
      <c r="BM364">
        <f>VLOOKUP(A364,'[11]Daily coal vs energy req.2'!$C$2:$R$599,16,FALSE)</f>
        <v>0.83</v>
      </c>
      <c r="BN364">
        <f t="shared" si="307"/>
        <v>154</v>
      </c>
      <c r="BO364">
        <f t="shared" si="308"/>
        <v>166</v>
      </c>
      <c r="BP364" s="2" t="str">
        <f>VLOOKUP(A364,'[7]Table 2'!$J$2:$N$449,5,FALSE)</f>
        <v>Bid Awarded</v>
      </c>
      <c r="BR364">
        <f t="shared" si="293"/>
        <v>202.84215696689816</v>
      </c>
      <c r="BT364">
        <f>(X364*I364*365*[5]Analysis!BK364)/10^4</f>
        <v>199.50937503196846</v>
      </c>
      <c r="BV364">
        <f>(X364*I364*365*[5]Analysis!BL364)/10^4</f>
        <v>3.332781934929685</v>
      </c>
      <c r="BX364">
        <f t="shared" si="294"/>
        <v>1447997.0636117456</v>
      </c>
      <c r="BZ364">
        <f t="shared" si="295"/>
        <v>3277961.6326810205</v>
      </c>
      <c r="CB364">
        <f t="shared" si="296"/>
        <v>-436346.08027397975</v>
      </c>
      <c r="CD364">
        <f t="shared" si="297"/>
        <v>0</v>
      </c>
      <c r="CF364">
        <f t="shared" si="298"/>
        <v>2872214.6061862693</v>
      </c>
      <c r="CH364">
        <f t="shared" si="299"/>
        <v>1180448.7203325098</v>
      </c>
      <c r="CJ364">
        <f t="shared" si="300"/>
        <v>-530511.15092471673</v>
      </c>
      <c r="CL364">
        <f t="shared" si="301"/>
        <v>780050.86791229597</v>
      </c>
    </row>
    <row r="365" spans="1:90" x14ac:dyDescent="0.2">
      <c r="A365" s="2" t="s">
        <v>537</v>
      </c>
      <c r="B365" s="2" t="str">
        <f t="shared" si="302"/>
        <v>KORBA-II</v>
      </c>
      <c r="C365" s="2" t="str">
        <f>VLOOKUP($A365,'[1]daily coal, energy reqd'!$C$2:$T$599,17,FALSE)</f>
        <v>Chhatisgarh</v>
      </c>
      <c r="D365" s="2" t="str">
        <f>VLOOKUP(C365,'Target PLF'!$I$2:$J$19,2,FALSE)</f>
        <v>WR</v>
      </c>
      <c r="E365" s="2" t="str">
        <f>VLOOKUP(A365,[2]Ownership!$C$2:$D$666,2,FALSE)</f>
        <v>STATE SECTOR</v>
      </c>
      <c r="F365" s="2" t="s">
        <v>551</v>
      </c>
      <c r="G365" s="12">
        <v>53.0102669404517</v>
      </c>
      <c r="H365" s="2">
        <v>50</v>
      </c>
      <c r="I365" s="2">
        <f>VLOOKUP(A365,'[3]Calculated coal req (reg.)'!$A$2:$I$599,9,FALSE)</f>
        <v>1.66173371647509E-2</v>
      </c>
      <c r="J365" s="2"/>
      <c r="K365" s="11">
        <v>1.384778097062575E-2</v>
      </c>
      <c r="L365" s="3">
        <f>VLOOKUP(F365,'Target PLF'!$A$2:$B$11,2,FALSE)</f>
        <v>0.55000000000000004</v>
      </c>
      <c r="M365" s="3">
        <f t="shared" si="289"/>
        <v>0.53615221902937427</v>
      </c>
      <c r="N365" s="2" t="str">
        <f t="shared" si="268"/>
        <v>0.25</v>
      </c>
      <c r="O365" s="2">
        <f t="shared" si="267"/>
        <v>5.0320362863174148</v>
      </c>
      <c r="P365" s="2">
        <f t="shared" si="269"/>
        <v>91834.662225292821</v>
      </c>
      <c r="Q365" s="2">
        <f t="shared" si="270"/>
        <v>16.665672955338806</v>
      </c>
      <c r="R365" s="2">
        <f t="shared" si="271"/>
        <v>0.66</v>
      </c>
      <c r="S365" s="2"/>
      <c r="T365" s="2" t="str">
        <f>VLOOKUP(A365,'[4]CEA vs MERIT comp. &amp; NPA marker'!$C$2:$K$735,9,FALSE)</f>
        <v>Contracted</v>
      </c>
      <c r="U365" s="3">
        <f>VLOOKUP(B365,'[8]Import-Domestic share'!$A$208:$F$406,6,FALSE)</f>
        <v>0</v>
      </c>
      <c r="V365" s="3">
        <f t="shared" si="272"/>
        <v>0</v>
      </c>
      <c r="W365" s="2">
        <f t="shared" si="273"/>
        <v>3594.7376309383981</v>
      </c>
      <c r="X365" s="2">
        <f t="shared" si="274"/>
        <v>3771.9741133656012</v>
      </c>
      <c r="Y365" s="6">
        <f t="shared" si="275"/>
        <v>0.23923860050267395</v>
      </c>
      <c r="Z365" s="2"/>
      <c r="AA365" s="2">
        <f t="shared" si="276"/>
        <v>6449.439028829649</v>
      </c>
      <c r="AB365" s="2" t="s">
        <v>576</v>
      </c>
      <c r="AC365" s="12">
        <f>VLOOKUP(B365,[9]Sheet1!$A$2:$B$137,2,FALSE)</f>
        <v>3547.3256431276363</v>
      </c>
      <c r="AD365" s="12">
        <f t="shared" si="277"/>
        <v>177366.28215638181</v>
      </c>
      <c r="AE365" s="2" t="s">
        <v>589</v>
      </c>
      <c r="AF365" s="7">
        <f>VLOOKUP($B365,'[9]Subsidiary wise dispatch'!$A$3:$R$138,11,FALSE)*$H365*$O365*365</f>
        <v>0</v>
      </c>
      <c r="AG365" s="7">
        <f>VLOOKUP($B365,'[9]Subsidiary wise dispatch'!$A$3:$R$138,12,FALSE)*$H365*$O365*365</f>
        <v>0</v>
      </c>
      <c r="AH365" s="7">
        <f>VLOOKUP($B365,'[9]Subsidiary wise dispatch'!$A$3:$R$138,13,FALSE)*$H365*$O365*365</f>
        <v>0</v>
      </c>
      <c r="AI365" s="7">
        <f>VLOOKUP($B365,'[9]Subsidiary wise dispatch'!$A$3:$R$138,14,FALSE)*$H365*$O365*365</f>
        <v>0</v>
      </c>
      <c r="AJ365" s="7">
        <f>VLOOKUP($B365,'[9]Subsidiary wise dispatch'!$A$3:$R$138,15,FALSE)*$H365*$O365*365</f>
        <v>0</v>
      </c>
      <c r="AK365" s="7">
        <f>VLOOKUP($B365,'[9]Subsidiary wise dispatch'!$A$3:$R$138,16,FALSE)*$H365*$O365*365</f>
        <v>0</v>
      </c>
      <c r="AL365" s="7">
        <f>VLOOKUP($B365,'[9]Subsidiary wise dispatch'!$A$3:$R$138,17,FALSE)*$H365*$O365*365</f>
        <v>91834.662225292821</v>
      </c>
      <c r="AM365" s="7">
        <f>VLOOKUP($B365,'[9]Subsidiary wise dispatch'!$A$3:$R$138,18,FALSE)*$H365*$O365*365</f>
        <v>0</v>
      </c>
      <c r="AN365" s="15">
        <f t="shared" si="278"/>
        <v>91834.662225292821</v>
      </c>
      <c r="AO365" s="6">
        <v>0.09</v>
      </c>
      <c r="AP365" s="11">
        <f t="shared" si="279"/>
        <v>1.4955603448275809E-3</v>
      </c>
      <c r="AQ365" s="11"/>
      <c r="AR365" s="3">
        <f>VLOOKUP(A365,[10]Sheet1!$A$2:$L$542,12,FALSE)</f>
        <v>2.0382894736842001</v>
      </c>
      <c r="AS365" s="3">
        <f t="shared" si="290"/>
        <v>2.4339578706830807</v>
      </c>
      <c r="AT365" s="2"/>
      <c r="AU365" s="2"/>
      <c r="AV365" s="88">
        <f t="shared" si="291"/>
        <v>0.39290306914910605</v>
      </c>
      <c r="AW365" s="32">
        <f t="shared" si="292"/>
        <v>0.16142558336017515</v>
      </c>
      <c r="AX365" s="12">
        <f t="shared" si="280"/>
        <v>1.4762752982408069</v>
      </c>
      <c r="AY365" s="12">
        <f t="shared" si="281"/>
        <v>0</v>
      </c>
      <c r="AZ365" s="3">
        <f>VLOOKUP(A365,[5]Analysis!$A$3:$BJ$543,62,FALSE)</f>
        <v>0.41185726695659847</v>
      </c>
      <c r="BA365" s="2">
        <v>35.909999999999997</v>
      </c>
      <c r="BB365" s="2"/>
      <c r="BC365" s="2" t="e">
        <f>VLOOKUP(A365,'[6]FGD status - Jun 2020'!$I$2:$M$449,5,FALSE)</f>
        <v>#N/A</v>
      </c>
      <c r="BD365" s="2" t="str">
        <f>VLOOKUP(A365,'[1]daily coal, energy reqd'!$C$2:$L$599,10,FALSE)</f>
        <v>Y</v>
      </c>
      <c r="BE365" s="2"/>
      <c r="BF365" s="2">
        <f t="shared" si="282"/>
        <v>1.9961013794227764</v>
      </c>
      <c r="BG365" s="2">
        <f t="shared" si="283"/>
        <v>0</v>
      </c>
      <c r="BH365" s="2"/>
      <c r="BI365" s="2"/>
      <c r="BK365">
        <f t="shared" si="286"/>
        <v>0.69238904853128758</v>
      </c>
      <c r="BP365" s="2" t="e">
        <f>VLOOKUP(A365,'[7]Table 2'!$J$2:$N$449,5,FALSE)</f>
        <v>#N/A</v>
      </c>
      <c r="BR365">
        <f t="shared" si="293"/>
        <v>0.94225778219694434</v>
      </c>
      <c r="BT365">
        <f>(X365*I365*365*[5]Analysis!BK365)/10^4</f>
        <v>0.92638496178488727</v>
      </c>
      <c r="BV365">
        <f>(X365*I365*365*[5]Analysis!BL365)/10^4</f>
        <v>1.5872820412057228E-2</v>
      </c>
      <c r="BX365">
        <f t="shared" si="294"/>
        <v>6424.716975897124</v>
      </c>
      <c r="BZ365">
        <f t="shared" si="295"/>
        <v>12940.477837265451</v>
      </c>
      <c r="CB365">
        <f t="shared" si="296"/>
        <v>-24.816102720707548</v>
      </c>
      <c r="CD365">
        <f t="shared" si="297"/>
        <v>0</v>
      </c>
      <c r="CF365">
        <f t="shared" si="298"/>
        <v>10830.241484434828</v>
      </c>
      <c r="CH365">
        <f t="shared" si="299"/>
        <v>6522.546146832954</v>
      </c>
      <c r="CJ365">
        <f t="shared" si="300"/>
        <v>-500.0987619731784</v>
      </c>
      <c r="CL365">
        <f t="shared" si="301"/>
        <v>4228.0148994827432</v>
      </c>
    </row>
    <row r="366" spans="1:90" x14ac:dyDescent="0.2">
      <c r="A366" s="2" t="s">
        <v>533</v>
      </c>
      <c r="B366" s="2" t="str">
        <f t="shared" si="302"/>
        <v>KORBA-II</v>
      </c>
      <c r="C366" s="2" t="str">
        <f>VLOOKUP($A366,'[1]daily coal, energy reqd'!$C$2:$T$599,17,FALSE)</f>
        <v>Chhatisgarh</v>
      </c>
      <c r="D366" s="2" t="str">
        <f>VLOOKUP(C366,'Target PLF'!$I$2:$J$19,2,FALSE)</f>
        <v>WR</v>
      </c>
      <c r="E366" s="2" t="str">
        <f>VLOOKUP(A366,[2]Ownership!$C$2:$D$666,2,FALSE)</f>
        <v>STATE SECTOR</v>
      </c>
      <c r="F366" s="2" t="s">
        <v>551</v>
      </c>
      <c r="G366" s="12">
        <v>52.175222450376403</v>
      </c>
      <c r="H366" s="2">
        <v>50</v>
      </c>
      <c r="I366" s="2">
        <f>VLOOKUP(A366,'[3]Calculated coal req (reg.)'!$A$2:$I$599,9,FALSE)</f>
        <v>0.37501944422374001</v>
      </c>
      <c r="J366" s="2"/>
      <c r="K366" s="11">
        <v>0.31251620351978332</v>
      </c>
      <c r="L366" s="3">
        <f>VLOOKUP(F366,'Target PLF'!$A$2:$B$11,2,FALSE)</f>
        <v>0.55000000000000004</v>
      </c>
      <c r="M366" s="3">
        <f t="shared" si="289"/>
        <v>0.23748379648021672</v>
      </c>
      <c r="N366" s="2" t="str">
        <f t="shared" si="268"/>
        <v>0.25</v>
      </c>
      <c r="O366" s="2">
        <f t="shared" si="267"/>
        <v>9.1610496155474728</v>
      </c>
      <c r="P366" s="2">
        <f t="shared" si="269"/>
        <v>167189.15548374137</v>
      </c>
      <c r="Q366" s="2">
        <f t="shared" si="270"/>
        <v>16.639222921115671</v>
      </c>
      <c r="R366" s="2">
        <f t="shared" si="271"/>
        <v>0.66</v>
      </c>
      <c r="S366" s="2"/>
      <c r="T366" s="2" t="str">
        <f>VLOOKUP(A366,'[4]CEA vs MERIT comp. &amp; NPA marker'!$C$2:$K$735,9,FALSE)</f>
        <v>Contracted</v>
      </c>
      <c r="U366" s="3">
        <f>VLOOKUP(B366,'[8]Import-Domestic share'!$A$208:$F$406,6,FALSE)</f>
        <v>0</v>
      </c>
      <c r="V366" s="3">
        <f t="shared" si="272"/>
        <v>0</v>
      </c>
      <c r="W366" s="2">
        <f t="shared" si="273"/>
        <v>3588.3574426153314</v>
      </c>
      <c r="X366" s="2">
        <f t="shared" si="274"/>
        <v>3666.8627461983524</v>
      </c>
      <c r="Y366" s="6">
        <f t="shared" si="275"/>
        <v>0.23966397265407297</v>
      </c>
      <c r="Z366" s="2"/>
      <c r="AA366" s="2">
        <f t="shared" si="276"/>
        <v>141494.7239486397</v>
      </c>
      <c r="AB366" s="2" t="s">
        <v>576</v>
      </c>
      <c r="AC366" s="12">
        <f>VLOOKUP(B366,[9]Sheet1!$A$2:$B$137,2,FALSE)</f>
        <v>3547.3256431276363</v>
      </c>
      <c r="AD366" s="12">
        <f t="shared" si="277"/>
        <v>177366.28215638181</v>
      </c>
      <c r="AE366" s="2" t="s">
        <v>589</v>
      </c>
      <c r="AF366" s="7">
        <f>VLOOKUP($B366,'[9]Subsidiary wise dispatch'!$A$3:$R$138,11,FALSE)*$H366*$O366*365</f>
        <v>0</v>
      </c>
      <c r="AG366" s="7">
        <f>VLOOKUP($B366,'[9]Subsidiary wise dispatch'!$A$3:$R$138,12,FALSE)*$H366*$O366*365</f>
        <v>0</v>
      </c>
      <c r="AH366" s="7">
        <f>VLOOKUP($B366,'[9]Subsidiary wise dispatch'!$A$3:$R$138,13,FALSE)*$H366*$O366*365</f>
        <v>0</v>
      </c>
      <c r="AI366" s="7">
        <f>VLOOKUP($B366,'[9]Subsidiary wise dispatch'!$A$3:$R$138,14,FALSE)*$H366*$O366*365</f>
        <v>0</v>
      </c>
      <c r="AJ366" s="7">
        <f>VLOOKUP($B366,'[9]Subsidiary wise dispatch'!$A$3:$R$138,15,FALSE)*$H366*$O366*365</f>
        <v>0</v>
      </c>
      <c r="AK366" s="7">
        <f>VLOOKUP($B366,'[9]Subsidiary wise dispatch'!$A$3:$R$138,16,FALSE)*$H366*$O366*365</f>
        <v>0</v>
      </c>
      <c r="AL366" s="7">
        <f>VLOOKUP($B366,'[9]Subsidiary wise dispatch'!$A$3:$R$138,17,FALSE)*$H366*$O366*365</f>
        <v>167189.15548374137</v>
      </c>
      <c r="AM366" s="7">
        <f>VLOOKUP($B366,'[9]Subsidiary wise dispatch'!$A$3:$R$138,18,FALSE)*$H366*$O366*365</f>
        <v>0</v>
      </c>
      <c r="AN366" s="15">
        <f t="shared" si="278"/>
        <v>167189.15548374137</v>
      </c>
      <c r="AO366" s="6">
        <v>0.09</v>
      </c>
      <c r="AP366" s="11">
        <f t="shared" si="279"/>
        <v>3.3751749980136601E-2</v>
      </c>
      <c r="AQ366" s="11"/>
      <c r="AR366" s="3">
        <f>VLOOKUP(A366,[10]Sheet1!$A$2:$L$542,12,FALSE)</f>
        <v>2.0382894736842001</v>
      </c>
      <c r="AS366" s="3">
        <f t="shared" si="290"/>
        <v>2.4170008686216748</v>
      </c>
      <c r="AT366" s="2"/>
      <c r="AU366" s="2"/>
      <c r="AV366" s="88">
        <f t="shared" si="291"/>
        <v>0.17403287573663243</v>
      </c>
      <c r="AW366" s="32">
        <f t="shared" si="292"/>
        <v>7.2003646335417684E-2</v>
      </c>
      <c r="AX366" s="12">
        <f t="shared" si="280"/>
        <v>33.084414769016107</v>
      </c>
      <c r="AY366" s="12">
        <f t="shared" si="281"/>
        <v>0</v>
      </c>
      <c r="AZ366" s="3">
        <f>VLOOKUP(A366,[5]Analysis!$A$3:$BJ$543,62,FALSE)</f>
        <v>0.41185726695659847</v>
      </c>
      <c r="BA366" s="2">
        <v>35.909999999999997</v>
      </c>
      <c r="BB366" s="2"/>
      <c r="BC366" s="2" t="e">
        <f>VLOOKUP(A366,'[6]FGD status - Jun 2020'!$I$2:$M$449,5,FALSE)</f>
        <v>#N/A</v>
      </c>
      <c r="BD366" s="2" t="str">
        <f>VLOOKUP(A366,'[1]daily coal, energy reqd'!$C$2:$L$599,10,FALSE)</f>
        <v>Y</v>
      </c>
      <c r="BE366" s="2"/>
      <c r="BF366" s="2">
        <f t="shared" si="282"/>
        <v>43.792617062103986</v>
      </c>
      <c r="BG366" s="2">
        <f t="shared" si="283"/>
        <v>0</v>
      </c>
      <c r="BH366" s="2"/>
      <c r="BI366" s="2"/>
      <c r="BK366">
        <f t="shared" si="286"/>
        <v>15.625810175989166</v>
      </c>
      <c r="BP366" s="2" t="e">
        <f>VLOOKUP(A366,'[7]Table 2'!$J$2:$N$449,5,FALSE)</f>
        <v>#N/A</v>
      </c>
      <c r="BR366">
        <f t="shared" si="293"/>
        <v>20.672263771227236</v>
      </c>
      <c r="BT366">
        <f>(X366*I366*365*[5]Analysis!BK366)/10^4</f>
        <v>20.324028780175944</v>
      </c>
      <c r="BV366">
        <f>(X366*I366*365*[5]Analysis!BL366)/10^4</f>
        <v>0.34823499105129585</v>
      </c>
      <c r="BX366">
        <f t="shared" si="294"/>
        <v>140952.34498521441</v>
      </c>
      <c r="BZ366">
        <f t="shared" si="295"/>
        <v>292040.22030768381</v>
      </c>
      <c r="CB366">
        <f t="shared" si="296"/>
        <v>-12639.162173615536</v>
      </c>
      <c r="CD366">
        <f t="shared" si="297"/>
        <v>0</v>
      </c>
      <c r="CF366">
        <f t="shared" si="298"/>
        <v>244416.48514643509</v>
      </c>
      <c r="CH366">
        <f t="shared" si="299"/>
        <v>144881.79990253234</v>
      </c>
      <c r="CJ366">
        <f t="shared" si="300"/>
        <v>-11286.210173913456</v>
      </c>
      <c r="CL366">
        <f t="shared" si="301"/>
        <v>95417.682270845282</v>
      </c>
    </row>
    <row r="367" spans="1:90" x14ac:dyDescent="0.2">
      <c r="A367" s="2" t="s">
        <v>532</v>
      </c>
      <c r="B367" s="2" t="str">
        <f t="shared" ref="B367:B380" si="309">LEFT(A367,LEN(A367)-LEN(RIGHT(A367,1)))</f>
        <v>KORBA-II</v>
      </c>
      <c r="C367" s="2" t="str">
        <f>VLOOKUP($A367,'[1]daily coal, energy reqd'!$C$2:$T$599,17,FALSE)</f>
        <v>Chhatisgarh</v>
      </c>
      <c r="D367" s="2" t="str">
        <f>VLOOKUP(C367,'Target PLF'!$I$2:$J$19,2,FALSE)</f>
        <v>WR</v>
      </c>
      <c r="E367" s="2" t="str">
        <f>VLOOKUP(A367,[2]Ownership!$C$2:$D$666,2,FALSE)</f>
        <v>STATE SECTOR</v>
      </c>
      <c r="F367" s="2" t="s">
        <v>551</v>
      </c>
      <c r="G367" s="12">
        <v>51.589322381930103</v>
      </c>
      <c r="H367" s="2">
        <v>50</v>
      </c>
      <c r="I367" s="2">
        <f>VLOOKUP(A367,'[3]Calculated coal req (reg.)'!$A$2:$I$599,9,FALSE)</f>
        <v>0.31018653486236902</v>
      </c>
      <c r="J367" s="2"/>
      <c r="K367" s="11">
        <v>0.25848877905197415</v>
      </c>
      <c r="L367" s="3">
        <f>VLOOKUP(F367,'Target PLF'!$A$2:$B$11,2,FALSE)</f>
        <v>0.55000000000000004</v>
      </c>
      <c r="M367" s="3">
        <f t="shared" si="289"/>
        <v>0.2915112209480259</v>
      </c>
      <c r="N367" s="2" t="str">
        <f t="shared" si="268"/>
        <v>0.25</v>
      </c>
      <c r="O367" s="2">
        <f t="shared" si="267"/>
        <v>8.3907914660314677</v>
      </c>
      <c r="P367" s="2">
        <f t="shared" si="269"/>
        <v>153131.94425507428</v>
      </c>
      <c r="Q367" s="2">
        <f t="shared" si="270"/>
        <v>16.620664536447634</v>
      </c>
      <c r="R367" s="2">
        <f t="shared" si="271"/>
        <v>0.66</v>
      </c>
      <c r="S367" s="2"/>
      <c r="T367" s="2" t="str">
        <f>VLOOKUP(A367,'[4]CEA vs MERIT comp. &amp; NPA marker'!$C$2:$K$735,9,FALSE)</f>
        <v>Contracted</v>
      </c>
      <c r="U367" s="3">
        <f>VLOOKUP(B367,'[8]Import-Domestic share'!$A$208:$F$406,6,FALSE)</f>
        <v>0</v>
      </c>
      <c r="V367" s="3">
        <f t="shared" si="272"/>
        <v>0</v>
      </c>
      <c r="W367" s="2">
        <f t="shared" si="273"/>
        <v>3583.880851464065</v>
      </c>
      <c r="X367" s="2">
        <f t="shared" si="274"/>
        <v>3680.2460655863188</v>
      </c>
      <c r="Y367" s="6">
        <f t="shared" si="275"/>
        <v>0.23996333462053518</v>
      </c>
      <c r="Z367" s="2"/>
      <c r="AA367" s="2">
        <f t="shared" si="276"/>
        <v>117460.43487969243</v>
      </c>
      <c r="AB367" s="2" t="s">
        <v>576</v>
      </c>
      <c r="AC367" s="12">
        <f>VLOOKUP(B367,[9]Sheet1!$A$2:$B$137,2,FALSE)</f>
        <v>3547.3256431276363</v>
      </c>
      <c r="AD367" s="12">
        <f t="shared" si="277"/>
        <v>177366.28215638181</v>
      </c>
      <c r="AE367" s="2" t="s">
        <v>589</v>
      </c>
      <c r="AF367" s="7">
        <f>VLOOKUP($B367,'[9]Subsidiary wise dispatch'!$A$3:$R$138,11,FALSE)*$H367*$O367*365</f>
        <v>0</v>
      </c>
      <c r="AG367" s="7">
        <f>VLOOKUP($B367,'[9]Subsidiary wise dispatch'!$A$3:$R$138,12,FALSE)*$H367*$O367*365</f>
        <v>0</v>
      </c>
      <c r="AH367" s="7">
        <f>VLOOKUP($B367,'[9]Subsidiary wise dispatch'!$A$3:$R$138,13,FALSE)*$H367*$O367*365</f>
        <v>0</v>
      </c>
      <c r="AI367" s="7">
        <f>VLOOKUP($B367,'[9]Subsidiary wise dispatch'!$A$3:$R$138,14,FALSE)*$H367*$O367*365</f>
        <v>0</v>
      </c>
      <c r="AJ367" s="7">
        <f>VLOOKUP($B367,'[9]Subsidiary wise dispatch'!$A$3:$R$138,15,FALSE)*$H367*$O367*365</f>
        <v>0</v>
      </c>
      <c r="AK367" s="7">
        <f>VLOOKUP($B367,'[9]Subsidiary wise dispatch'!$A$3:$R$138,16,FALSE)*$H367*$O367*365</f>
        <v>0</v>
      </c>
      <c r="AL367" s="7">
        <f>VLOOKUP($B367,'[9]Subsidiary wise dispatch'!$A$3:$R$138,17,FALSE)*$H367*$O367*365</f>
        <v>153131.94425507428</v>
      </c>
      <c r="AM367" s="7">
        <f>VLOOKUP($B367,'[9]Subsidiary wise dispatch'!$A$3:$R$138,18,FALSE)*$H367*$O367*365</f>
        <v>0</v>
      </c>
      <c r="AN367" s="15">
        <f t="shared" si="278"/>
        <v>153131.94425507428</v>
      </c>
      <c r="AO367" s="6">
        <v>0.09</v>
      </c>
      <c r="AP367" s="11">
        <f t="shared" si="279"/>
        <v>2.791678813761321E-2</v>
      </c>
      <c r="AQ367" s="11"/>
      <c r="AR367" s="3">
        <f>VLOOKUP(A367,[10]Sheet1!$A$2:$L$542,12,FALSE)</f>
        <v>2.0382894736842001</v>
      </c>
      <c r="AS367" s="3">
        <f t="shared" si="290"/>
        <v>2.4140343618021309</v>
      </c>
      <c r="AT367" s="2"/>
      <c r="AU367" s="2"/>
      <c r="AV367" s="88">
        <f t="shared" si="291"/>
        <v>0.21362525293513235</v>
      </c>
      <c r="AW367" s="32">
        <f t="shared" si="292"/>
        <v>8.8493045631569345E-2</v>
      </c>
      <c r="AX367" s="12">
        <f t="shared" si="280"/>
        <v>27.33123481100241</v>
      </c>
      <c r="AY367" s="12">
        <f t="shared" si="281"/>
        <v>0</v>
      </c>
      <c r="AZ367" s="3">
        <f>VLOOKUP(A367,[5]Analysis!$A$3:$BJ$543,62,FALSE)</f>
        <v>0.41185726695659847</v>
      </c>
      <c r="BA367" s="2">
        <v>35.909999999999997</v>
      </c>
      <c r="BB367" s="2"/>
      <c r="BC367" s="2" t="e">
        <f>VLOOKUP(A367,'[6]FGD status - Jun 2020'!$I$2:$M$449,5,FALSE)</f>
        <v>#N/A</v>
      </c>
      <c r="BD367" s="2" t="str">
        <f>VLOOKUP(A367,'[1]daily coal, energy reqd'!$C$2:$L$599,10,FALSE)</f>
        <v>Y</v>
      </c>
      <c r="BE367" s="2"/>
      <c r="BF367" s="2">
        <f t="shared" si="282"/>
        <v>36.354004595264811</v>
      </c>
      <c r="BG367" s="2">
        <f t="shared" si="283"/>
        <v>0</v>
      </c>
      <c r="BH367" s="2"/>
      <c r="BI367" s="2"/>
      <c r="BK367">
        <f t="shared" si="286"/>
        <v>12.924438952598708</v>
      </c>
      <c r="BP367" s="2" t="e">
        <f>VLOOKUP(A367,'[7]Table 2'!$J$2:$N$449,5,FALSE)</f>
        <v>#N/A</v>
      </c>
      <c r="BR367">
        <f t="shared" si="293"/>
        <v>17.160873739698232</v>
      </c>
      <c r="BT367">
        <f>(X367*I367*365*[5]Analysis!BK367)/10^4</f>
        <v>16.871789932558837</v>
      </c>
      <c r="BV367">
        <f>(X367*I367*365*[5]Analysis!BL367)/10^4</f>
        <v>0.28908380713939869</v>
      </c>
      <c r="BX367">
        <f t="shared" si="294"/>
        <v>117010.18438882142</v>
      </c>
      <c r="BZ367">
        <f t="shared" si="295"/>
        <v>241552.65912995776</v>
      </c>
      <c r="CB367">
        <f t="shared" si="296"/>
        <v>-8646.8235579211632</v>
      </c>
      <c r="CD367">
        <f t="shared" si="297"/>
        <v>0</v>
      </c>
      <c r="CF367">
        <f t="shared" si="298"/>
        <v>202162.05788407242</v>
      </c>
      <c r="CH367">
        <f t="shared" si="299"/>
        <v>118489.12768621428</v>
      </c>
      <c r="CJ367">
        <f t="shared" si="300"/>
        <v>-9335.0637666829971</v>
      </c>
      <c r="CL367">
        <f t="shared" si="301"/>
        <v>78921.988403710595</v>
      </c>
    </row>
    <row r="368" spans="1:90" x14ac:dyDescent="0.2">
      <c r="A368" s="2" t="s">
        <v>522</v>
      </c>
      <c r="B368" s="2" t="str">
        <f t="shared" si="309"/>
        <v>KORBA-III</v>
      </c>
      <c r="C368" s="2" t="str">
        <f>VLOOKUP($A368,'[1]daily coal, energy reqd'!$C$2:$T$599,17,FALSE)</f>
        <v>Chhatisgarh</v>
      </c>
      <c r="D368" s="2" t="str">
        <f>VLOOKUP(C368,'Target PLF'!$I$2:$J$19,2,FALSE)</f>
        <v>WR</v>
      </c>
      <c r="E368" s="2" t="str">
        <f>VLOOKUP(A368,[2]Ownership!$C$2:$D$666,2,FALSE)</f>
        <v>STATE SECTOR</v>
      </c>
      <c r="F368" s="2" t="s">
        <v>550</v>
      </c>
      <c r="G368" s="12">
        <v>44.090349075975297</v>
      </c>
      <c r="H368" s="2">
        <v>120</v>
      </c>
      <c r="I368" s="2">
        <f>VLOOKUP(A368,'[3]Calculated coal req (reg.)'!$A$2:$I$599,9,FALSE)</f>
        <v>1.8373763580344999</v>
      </c>
      <c r="J368" s="2"/>
      <c r="K368" s="11">
        <v>0.63797790209531247</v>
      </c>
      <c r="L368" s="3">
        <f>VLOOKUP(F368,'Target PLF'!$A$2:$B$11,2,FALSE)</f>
        <v>0.55000000000000004</v>
      </c>
      <c r="M368" s="3">
        <f t="shared" si="289"/>
        <v>-8.7977902095312421E-2</v>
      </c>
      <c r="N368" s="2" t="str">
        <f t="shared" si="268"/>
        <v>0.25</v>
      </c>
      <c r="O368" s="2">
        <f t="shared" ref="O368:O431" si="310">(13.9133*K368)+(-0.289097*N368)+(-0.0052079*H368)+(0.031675*G368)+3.492937+IF(E368="Pvt Sector",-0.8897511,0)</f>
        <v>13.068654502204229</v>
      </c>
      <c r="P368" s="2">
        <f t="shared" si="269"/>
        <v>572407.06719654519</v>
      </c>
      <c r="Q368" s="2">
        <f t="shared" si="270"/>
        <v>16.01858155698152</v>
      </c>
      <c r="R368" s="2">
        <f t="shared" si="271"/>
        <v>1.5840000000000003</v>
      </c>
      <c r="S368" s="2"/>
      <c r="T368" s="2" t="str">
        <f>VLOOKUP(A368,'[4]CEA vs MERIT comp. &amp; NPA marker'!$C$2:$K$735,9,FALSE)</f>
        <v>Contracted</v>
      </c>
      <c r="U368" s="3">
        <f>VLOOKUP(B368,'[8]Import-Domestic share'!$A$208:$F$406,6,FALSE)</f>
        <v>0</v>
      </c>
      <c r="V368" s="3">
        <f t="shared" si="272"/>
        <v>0</v>
      </c>
      <c r="W368" s="2">
        <f t="shared" si="273"/>
        <v>3461.782707457905</v>
      </c>
      <c r="X368" s="2">
        <f t="shared" si="274"/>
        <v>3432.699746788775</v>
      </c>
      <c r="Y368" s="6">
        <f t="shared" si="275"/>
        <v>0.2484269154581123</v>
      </c>
      <c r="Z368" s="2"/>
      <c r="AA368" s="2">
        <f t="shared" si="276"/>
        <v>552534.74151647289</v>
      </c>
      <c r="AB368" s="2" t="s">
        <v>576</v>
      </c>
      <c r="AC368" s="12">
        <f>VLOOKUP(B368,[9]Sheet1!$A$2:$B$137,2,FALSE)</f>
        <v>4166.4599943700105</v>
      </c>
      <c r="AD368" s="12">
        <f t="shared" si="277"/>
        <v>499975.19932440127</v>
      </c>
      <c r="AE368" s="2" t="s">
        <v>589</v>
      </c>
      <c r="AF368" s="7">
        <f>VLOOKUP($B368,'[9]Subsidiary wise dispatch'!$A$3:$R$138,11,FALSE)*$H368*$O368*365</f>
        <v>0</v>
      </c>
      <c r="AG368" s="7">
        <f>VLOOKUP($B368,'[9]Subsidiary wise dispatch'!$A$3:$R$138,12,FALSE)*$H368*$O368*365</f>
        <v>0</v>
      </c>
      <c r="AH368" s="7">
        <f>VLOOKUP($B368,'[9]Subsidiary wise dispatch'!$A$3:$R$138,13,FALSE)*$H368*$O368*365</f>
        <v>0</v>
      </c>
      <c r="AI368" s="7">
        <f>VLOOKUP($B368,'[9]Subsidiary wise dispatch'!$A$3:$R$138,14,FALSE)*$H368*$O368*365</f>
        <v>0</v>
      </c>
      <c r="AJ368" s="7">
        <f>VLOOKUP($B368,'[9]Subsidiary wise dispatch'!$A$3:$R$138,15,FALSE)*$H368*$O368*365</f>
        <v>0</v>
      </c>
      <c r="AK368" s="7">
        <f>VLOOKUP($B368,'[9]Subsidiary wise dispatch'!$A$3:$R$138,16,FALSE)*$H368*$O368*365</f>
        <v>0</v>
      </c>
      <c r="AL368" s="7">
        <f>VLOOKUP($B368,'[9]Subsidiary wise dispatch'!$A$3:$R$138,17,FALSE)*$H368*$O368*365</f>
        <v>572407.06719654519</v>
      </c>
      <c r="AM368" s="7">
        <f>VLOOKUP($B368,'[9]Subsidiary wise dispatch'!$A$3:$R$138,18,FALSE)*$H368*$O368*365</f>
        <v>0</v>
      </c>
      <c r="AN368" s="15">
        <f t="shared" si="278"/>
        <v>572407.06719654519</v>
      </c>
      <c r="AO368" s="6">
        <v>9.1147078215353963E-2</v>
      </c>
      <c r="AP368" s="11">
        <f t="shared" si="279"/>
        <v>0.16747148661681277</v>
      </c>
      <c r="AQ368" s="11"/>
      <c r="AR368" s="3">
        <f>VLOOKUP(A368,[10]Sheet1!$A$2:$L$542,12,FALSE)</f>
        <v>2.0382894736842001</v>
      </c>
      <c r="AS368" s="3">
        <f t="shared" si="290"/>
        <v>2.2564341837481443</v>
      </c>
      <c r="AT368" s="2"/>
      <c r="AU368" s="2"/>
      <c r="AV368" s="88">
        <f t="shared" si="291"/>
        <v>-6.4471966213486845E-2</v>
      </c>
      <c r="AW368" s="32">
        <f t="shared" si="292"/>
        <v>2.8572500220854211E-2</v>
      </c>
      <c r="AX368" s="12">
        <f t="shared" si="280"/>
        <v>151.3260370278096</v>
      </c>
      <c r="AY368" s="12">
        <f t="shared" si="281"/>
        <v>0</v>
      </c>
      <c r="AZ368" s="3">
        <f>VLOOKUP(A368,[5]Analysis!$A$3:$BJ$543,62,FALSE)</f>
        <v>0.39186008424172425</v>
      </c>
      <c r="BA368" s="2">
        <v>86.19</v>
      </c>
      <c r="BB368" s="2"/>
      <c r="BC368" s="2" t="e">
        <f>VLOOKUP(A368,'[6]FGD status - Jun 2020'!$I$2:$M$449,5,FALSE)</f>
        <v>#N/A</v>
      </c>
      <c r="BD368" s="2" t="str">
        <f>VLOOKUP(A368,'[1]daily coal, energy reqd'!$C$2:$L$599,10,FALSE)</f>
        <v>Y</v>
      </c>
      <c r="BE368" s="2"/>
      <c r="BF368" s="2">
        <f t="shared" si="282"/>
        <v>171.00950249934834</v>
      </c>
      <c r="BG368" s="2">
        <f t="shared" si="283"/>
        <v>0</v>
      </c>
      <c r="BH368" s="2"/>
      <c r="BI368" s="2"/>
      <c r="BK368">
        <f t="shared" si="286"/>
        <v>76.557348251437503</v>
      </c>
      <c r="BP368" s="2" t="e">
        <f>VLOOKUP(A368,'[7]Table 2'!$J$2:$N$449,5,FALSE)</f>
        <v>#N/A</v>
      </c>
      <c r="BR368">
        <f t="shared" si="293"/>
        <v>90.210654523155995</v>
      </c>
      <c r="BT368">
        <f>(X368*I368*365*[5]Analysis!BK368)/10^4</f>
        <v>88.850802188044483</v>
      </c>
      <c r="BV368">
        <f>(X368*I368*365*[5]Analysis!BL368)/10^4</f>
        <v>1.3598523351115299</v>
      </c>
      <c r="BX368">
        <f t="shared" si="294"/>
        <v>646484.03929552261</v>
      </c>
      <c r="BZ368">
        <f t="shared" si="295"/>
        <v>1361354.7145442944</v>
      </c>
      <c r="CB368">
        <f t="shared" si="296"/>
        <v>-126414.15927416603</v>
      </c>
      <c r="CD368">
        <f t="shared" si="297"/>
        <v>0</v>
      </c>
      <c r="CF368">
        <f t="shared" si="298"/>
        <v>1197498.0984026582</v>
      </c>
      <c r="CH368">
        <f t="shared" si="299"/>
        <v>599842.72861421446</v>
      </c>
      <c r="CJ368">
        <f t="shared" si="300"/>
        <v>-132710.01958811589</v>
      </c>
      <c r="CL368">
        <f t="shared" si="301"/>
        <v>473449.26141114085</v>
      </c>
    </row>
    <row r="369" spans="1:90" x14ac:dyDescent="0.2">
      <c r="A369" s="2" t="s">
        <v>517</v>
      </c>
      <c r="B369" s="2" t="str">
        <f t="shared" si="309"/>
        <v>KORBA-III</v>
      </c>
      <c r="C369" s="2" t="str">
        <f>VLOOKUP($A369,'[1]daily coal, energy reqd'!$C$2:$T$599,17,FALSE)</f>
        <v>Chhatisgarh</v>
      </c>
      <c r="D369" s="2" t="str">
        <f>VLOOKUP(C369,'Target PLF'!$I$2:$J$19,2,FALSE)</f>
        <v>WR</v>
      </c>
      <c r="E369" s="2" t="str">
        <f>VLOOKUP(A369,[2]Ownership!$C$2:$D$666,2,FALSE)</f>
        <v>STATE SECTOR</v>
      </c>
      <c r="F369" s="2" t="s">
        <v>549</v>
      </c>
      <c r="G369" s="12">
        <v>39.0910335386721</v>
      </c>
      <c r="H369" s="2">
        <v>120</v>
      </c>
      <c r="I369" s="2">
        <f>VLOOKUP(A369,'[3]Calculated coal req (reg.)'!$A$2:$I$599,9,FALSE)</f>
        <v>1.78898379539876</v>
      </c>
      <c r="J369" s="2"/>
      <c r="K369" s="11">
        <v>0.62117492895790272</v>
      </c>
      <c r="L369" s="3">
        <f>VLOOKUP(F369,'Target PLF'!$A$2:$B$11,2,FALSE)</f>
        <v>0.55000000000000004</v>
      </c>
      <c r="M369" s="3">
        <f t="shared" si="289"/>
        <v>-7.1174928957902672E-2</v>
      </c>
      <c r="N369" s="2" t="str">
        <f t="shared" si="268"/>
        <v>0.25</v>
      </c>
      <c r="O369" s="2">
        <f t="shared" si="310"/>
        <v>12.676516376407426</v>
      </c>
      <c r="P369" s="2">
        <f t="shared" si="269"/>
        <v>555231.41728664527</v>
      </c>
      <c r="Q369" s="2">
        <f t="shared" si="270"/>
        <v>15.860228237337438</v>
      </c>
      <c r="R369" s="2">
        <f t="shared" si="271"/>
        <v>1.5840000000000003</v>
      </c>
      <c r="S369" s="2"/>
      <c r="T369" s="2" t="str">
        <f>VLOOKUP(A369,'[4]CEA vs MERIT comp. &amp; NPA marker'!$C$2:$K$735,9,FALSE)</f>
        <v>Contracted</v>
      </c>
      <c r="U369" s="3">
        <f>VLOOKUP(B369,'[8]Import-Domestic share'!$A$208:$F$406,6,FALSE)</f>
        <v>0</v>
      </c>
      <c r="V369" s="3">
        <f t="shared" si="272"/>
        <v>0</v>
      </c>
      <c r="W369" s="2">
        <f t="shared" si="273"/>
        <v>3423.5852521204652</v>
      </c>
      <c r="X369" s="2">
        <f t="shared" si="274"/>
        <v>3400.0568704449365</v>
      </c>
      <c r="Y369" s="6">
        <f t="shared" si="275"/>
        <v>0.25119865190076457</v>
      </c>
      <c r="Z369" s="2"/>
      <c r="AA369" s="2">
        <f t="shared" si="276"/>
        <v>532866.27695957932</v>
      </c>
      <c r="AB369" s="2" t="s">
        <v>576</v>
      </c>
      <c r="AC369" s="12">
        <f>VLOOKUP(B369,[9]Sheet1!$A$2:$B$137,2,FALSE)</f>
        <v>4166.4599943700105</v>
      </c>
      <c r="AD369" s="12">
        <f t="shared" si="277"/>
        <v>499975.19932440127</v>
      </c>
      <c r="AE369" s="2" t="s">
        <v>589</v>
      </c>
      <c r="AF369" s="7">
        <f>VLOOKUP($B369,'[9]Subsidiary wise dispatch'!$A$3:$R$138,11,FALSE)*$H369*$O369*365</f>
        <v>0</v>
      </c>
      <c r="AG369" s="7">
        <f>VLOOKUP($B369,'[9]Subsidiary wise dispatch'!$A$3:$R$138,12,FALSE)*$H369*$O369*365</f>
        <v>0</v>
      </c>
      <c r="AH369" s="7">
        <f>VLOOKUP($B369,'[9]Subsidiary wise dispatch'!$A$3:$R$138,13,FALSE)*$H369*$O369*365</f>
        <v>0</v>
      </c>
      <c r="AI369" s="7">
        <f>VLOOKUP($B369,'[9]Subsidiary wise dispatch'!$A$3:$R$138,14,FALSE)*$H369*$O369*365</f>
        <v>0</v>
      </c>
      <c r="AJ369" s="7">
        <f>VLOOKUP($B369,'[9]Subsidiary wise dispatch'!$A$3:$R$138,15,FALSE)*$H369*$O369*365</f>
        <v>0</v>
      </c>
      <c r="AK369" s="7">
        <f>VLOOKUP($B369,'[9]Subsidiary wise dispatch'!$A$3:$R$138,16,FALSE)*$H369*$O369*365</f>
        <v>0</v>
      </c>
      <c r="AL369" s="7">
        <f>VLOOKUP($B369,'[9]Subsidiary wise dispatch'!$A$3:$R$138,17,FALSE)*$H369*$O369*365</f>
        <v>555231.41728664527</v>
      </c>
      <c r="AM369" s="7">
        <f>VLOOKUP($B369,'[9]Subsidiary wise dispatch'!$A$3:$R$138,18,FALSE)*$H369*$O369*365</f>
        <v>0</v>
      </c>
      <c r="AN369" s="15">
        <f t="shared" si="278"/>
        <v>555231.41728664527</v>
      </c>
      <c r="AO369" s="6">
        <v>8.5410469335321565E-2</v>
      </c>
      <c r="AP369" s="11">
        <f t="shared" si="279"/>
        <v>0.15279794559829299</v>
      </c>
      <c r="AQ369" s="11"/>
      <c r="AR369" s="3">
        <f>VLOOKUP(A369,[10]Sheet1!$A$2:$L$542,12,FALSE)</f>
        <v>2.0382894736842001</v>
      </c>
      <c r="AS369" s="3">
        <f t="shared" si="290"/>
        <v>2.1998532113122971</v>
      </c>
      <c r="AT369" s="2"/>
      <c r="AU369" s="2"/>
      <c r="AV369" s="88">
        <f t="shared" si="291"/>
        <v>-5.2158411438930241E-2</v>
      </c>
      <c r="AW369" s="32">
        <f t="shared" si="292"/>
        <v>2.3709950814316261E-2</v>
      </c>
      <c r="AX369" s="12">
        <f t="shared" si="280"/>
        <v>143.64581377621727</v>
      </c>
      <c r="AY369" s="12">
        <f t="shared" si="281"/>
        <v>0</v>
      </c>
      <c r="AZ369" s="3">
        <f>VLOOKUP(A369,[5]Analysis!$A$3:$BJ$543,62,FALSE)</f>
        <v>0.39186008424172425</v>
      </c>
      <c r="BA369" s="2">
        <v>86.19</v>
      </c>
      <c r="BB369" s="2"/>
      <c r="BC369" s="2" t="e">
        <f>VLOOKUP(A369,'[6]FGD status - Jun 2020'!$I$2:$M$449,5,FALSE)</f>
        <v>#N/A</v>
      </c>
      <c r="BD369" s="2" t="str">
        <f>VLOOKUP(A369,'[1]daily coal, energy reqd'!$C$2:$L$599,10,FALSE)</f>
        <v>Y</v>
      </c>
      <c r="BE369" s="2"/>
      <c r="BF369" s="2">
        <f t="shared" si="282"/>
        <v>164.92211271898981</v>
      </c>
      <c r="BG369" s="2">
        <f t="shared" si="283"/>
        <v>0</v>
      </c>
      <c r="BH369" s="2"/>
      <c r="BI369" s="2"/>
      <c r="BK369">
        <f t="shared" si="286"/>
        <v>74.540991474948328</v>
      </c>
      <c r="BP369" s="2" t="e">
        <f>VLOOKUP(A369,'[7]Table 2'!$J$2:$N$449,5,FALSE)</f>
        <v>#N/A</v>
      </c>
      <c r="BR369">
        <f t="shared" si="293"/>
        <v>86.999444570505531</v>
      </c>
      <c r="BT369">
        <f>(X369*I369*365*[5]Analysis!BK369)/10^4</f>
        <v>85.687998616832303</v>
      </c>
      <c r="BV369">
        <f>(X369*I369*365*[5]Analysis!BL369)/10^4</f>
        <v>1.3114459536732459</v>
      </c>
      <c r="BX369">
        <f t="shared" si="294"/>
        <v>623471.2810776718</v>
      </c>
      <c r="BZ369">
        <f t="shared" si="295"/>
        <v>1325499.543661657</v>
      </c>
      <c r="CB369">
        <f t="shared" si="296"/>
        <v>-119842.89357199955</v>
      </c>
      <c r="CD369">
        <f t="shared" si="297"/>
        <v>0</v>
      </c>
      <c r="CF369">
        <f t="shared" si="298"/>
        <v>1165958.5602564716</v>
      </c>
      <c r="CH369">
        <f t="shared" si="299"/>
        <v>517820.56855590362</v>
      </c>
      <c r="CJ369">
        <f t="shared" si="300"/>
        <v>-129214.72157406164</v>
      </c>
      <c r="CL369">
        <f t="shared" si="301"/>
        <v>431966.51531598053</v>
      </c>
    </row>
    <row r="370" spans="1:90" x14ac:dyDescent="0.2">
      <c r="A370" s="2" t="s">
        <v>477</v>
      </c>
      <c r="B370" s="2" t="str">
        <f t="shared" si="309"/>
        <v>KORBA-WEST TPS</v>
      </c>
      <c r="C370" s="2" t="str">
        <f>VLOOKUP($A370,'[1]daily coal, energy reqd'!$C$2:$T$599,17,FALSE)</f>
        <v>Chhatisgarh</v>
      </c>
      <c r="D370" s="2" t="str">
        <f>VLOOKUP(C370,'Target PLF'!$I$2:$J$19,2,FALSE)</f>
        <v>WR</v>
      </c>
      <c r="E370" s="2" t="str">
        <f>VLOOKUP(A370,[2]Ownership!$C$2:$D$666,2,FALSE)</f>
        <v>STATE SECTOR</v>
      </c>
      <c r="F370" s="2" t="s">
        <v>549</v>
      </c>
      <c r="G370" s="12">
        <v>36.925393566050602</v>
      </c>
      <c r="H370" s="2">
        <v>210</v>
      </c>
      <c r="I370" s="2">
        <f>VLOOKUP(A370,'[3]Calculated coal req (reg.)'!$A$2:$I$599,9,FALSE)</f>
        <v>3.5678446331020299</v>
      </c>
      <c r="J370" s="2"/>
      <c r="K370" s="11">
        <v>0.67572815020871779</v>
      </c>
      <c r="L370" s="3">
        <f>VLOOKUP(F370,'Target PLF'!$A$2:$B$11,2,FALSE)</f>
        <v>0.55000000000000004</v>
      </c>
      <c r="M370" s="3">
        <f t="shared" si="289"/>
        <v>-0.12572815020871775</v>
      </c>
      <c r="N370" s="2" t="str">
        <f t="shared" si="268"/>
        <v>0.25</v>
      </c>
      <c r="O370" s="2">
        <f t="shared" si="310"/>
        <v>12.898224063503605</v>
      </c>
      <c r="P370" s="2">
        <f t="shared" si="269"/>
        <v>988648.87446755124</v>
      </c>
      <c r="Q370" s="2">
        <f t="shared" si="270"/>
        <v>15.322920591204651</v>
      </c>
      <c r="R370" s="2">
        <f t="shared" si="271"/>
        <v>2.7719999999999998</v>
      </c>
      <c r="S370" s="2"/>
      <c r="T370" s="2" t="str">
        <f>VLOOKUP(A370,'[4]CEA vs MERIT comp. &amp; NPA marker'!$C$2:$K$735,9,FALSE)</f>
        <v>Contracted</v>
      </c>
      <c r="U370" s="3">
        <f>VLOOKUP(B370,'[8]Import-Domestic share'!$A$208:$F$406,6,FALSE)</f>
        <v>0</v>
      </c>
      <c r="V370" s="3">
        <f t="shared" si="272"/>
        <v>0</v>
      </c>
      <c r="W370" s="2">
        <f t="shared" si="273"/>
        <v>3323.7217927809716</v>
      </c>
      <c r="X370" s="2">
        <f t="shared" si="274"/>
        <v>3282.1596872926953</v>
      </c>
      <c r="Y370" s="6">
        <f t="shared" si="275"/>
        <v>0.25874608454531162</v>
      </c>
      <c r="Z370" s="2"/>
      <c r="AA370" s="2">
        <f t="shared" si="276"/>
        <v>1029665.0697186304</v>
      </c>
      <c r="AB370" s="2" t="s">
        <v>576</v>
      </c>
      <c r="AC370" s="12">
        <f>VLOOKUP(B370,[9]Sheet1!$A$2:$B$137,2,FALSE)</f>
        <v>4151.0935953175876</v>
      </c>
      <c r="AD370" s="12">
        <f t="shared" si="277"/>
        <v>871729.6550166934</v>
      </c>
      <c r="AE370" s="2" t="s">
        <v>589</v>
      </c>
      <c r="AF370" s="7">
        <f>VLOOKUP($B370,'[9]Subsidiary wise dispatch'!$A$3:$R$138,11,FALSE)*$H370*$O370*365</f>
        <v>0</v>
      </c>
      <c r="AG370" s="7">
        <f>VLOOKUP($B370,'[9]Subsidiary wise dispatch'!$A$3:$R$138,12,FALSE)*$H370*$O370*365</f>
        <v>0</v>
      </c>
      <c r="AH370" s="7">
        <f>VLOOKUP($B370,'[9]Subsidiary wise dispatch'!$A$3:$R$138,13,FALSE)*$H370*$O370*365</f>
        <v>0</v>
      </c>
      <c r="AI370" s="7">
        <f>VLOOKUP($B370,'[9]Subsidiary wise dispatch'!$A$3:$R$138,14,FALSE)*$H370*$O370*365</f>
        <v>0</v>
      </c>
      <c r="AJ370" s="7">
        <f>VLOOKUP($B370,'[9]Subsidiary wise dispatch'!$A$3:$R$138,15,FALSE)*$H370*$O370*365</f>
        <v>0</v>
      </c>
      <c r="AK370" s="7">
        <f>VLOOKUP($B370,'[9]Subsidiary wise dispatch'!$A$3:$R$138,16,FALSE)*$H370*$O370*365</f>
        <v>0</v>
      </c>
      <c r="AL370" s="7">
        <f>VLOOKUP($B370,'[9]Subsidiary wise dispatch'!$A$3:$R$138,17,FALSE)*$H370*$O370*365</f>
        <v>988648.87446755124</v>
      </c>
      <c r="AM370" s="7">
        <f>VLOOKUP($B370,'[9]Subsidiary wise dispatch'!$A$3:$R$138,18,FALSE)*$H370*$O370*365</f>
        <v>0</v>
      </c>
      <c r="AN370" s="15">
        <f t="shared" si="278"/>
        <v>988648.87446755124</v>
      </c>
      <c r="AO370" s="6">
        <v>6.0941992912102581E-2</v>
      </c>
      <c r="AP370" s="11">
        <f t="shared" si="279"/>
        <v>0.21743156234198716</v>
      </c>
      <c r="AQ370" s="11"/>
      <c r="AR370" s="3">
        <f>VLOOKUP(A370,[10]Sheet1!$A$2:$L$542,12,FALSE)</f>
        <v>1.5377960526315799</v>
      </c>
      <c r="AS370" s="3">
        <f t="shared" si="290"/>
        <v>2.054744439303239</v>
      </c>
      <c r="AT370" s="2"/>
      <c r="AU370" s="2"/>
      <c r="AV370" s="88">
        <f t="shared" si="291"/>
        <v>-9.2136103035952543E-2</v>
      </c>
      <c r="AW370" s="32">
        <f t="shared" si="292"/>
        <v>4.4840663039923234E-2</v>
      </c>
      <c r="AX370" s="12">
        <f t="shared" si="280"/>
        <v>267.58182558599697</v>
      </c>
      <c r="AY370" s="12">
        <f t="shared" si="281"/>
        <v>0</v>
      </c>
      <c r="AZ370" s="3">
        <f>VLOOKUP(A370,[5]Analysis!$A$3:$BJ$543,62,FALSE)</f>
        <v>0.39522145526102337</v>
      </c>
      <c r="BA370" s="2">
        <v>103.35</v>
      </c>
      <c r="BB370" s="2"/>
      <c r="BC370" s="2" t="e">
        <f>VLOOKUP(A370,'[6]FGD status - Jun 2020'!$I$2:$M$449,5,FALSE)</f>
        <v>#N/A</v>
      </c>
      <c r="BD370" s="2" t="str">
        <f>VLOOKUP(A370,'[1]daily coal, energy reqd'!$C$2:$L$599,10,FALSE)</f>
        <v>Y</v>
      </c>
      <c r="BE370" s="2"/>
      <c r="BF370" s="2">
        <f t="shared" si="282"/>
        <v>318.68133907791611</v>
      </c>
      <c r="BG370" s="2">
        <f t="shared" si="283"/>
        <v>0</v>
      </c>
      <c r="BH370" s="2"/>
      <c r="BI370" s="2"/>
      <c r="BK370">
        <f t="shared" si="286"/>
        <v>141.90291154383073</v>
      </c>
      <c r="BP370" s="2" t="e">
        <f>VLOOKUP(A370,'[7]Table 2'!$J$2:$N$449,5,FALSE)</f>
        <v>#N/A</v>
      </c>
      <c r="BR370">
        <f t="shared" si="293"/>
        <v>168.92698021772787</v>
      </c>
      <c r="BT370">
        <f>(X370*I370*365*[5]Analysis!BK370)/10^4</f>
        <v>165.57613586146155</v>
      </c>
      <c r="BV370">
        <f>(X370*I370*365*[5]Analysis!BL370)/10^4</f>
        <v>3.3508443562663173</v>
      </c>
      <c r="BX370">
        <f t="shared" si="294"/>
        <v>1200299.1720923358</v>
      </c>
      <c r="BZ370">
        <f t="shared" si="295"/>
        <v>2666174.653462464</v>
      </c>
      <c r="CB370">
        <f t="shared" si="296"/>
        <v>-259997.93963957584</v>
      </c>
      <c r="CD370">
        <f t="shared" si="297"/>
        <v>0</v>
      </c>
      <c r="CF370">
        <f t="shared" si="298"/>
        <v>2325319.5486341333</v>
      </c>
      <c r="CH370">
        <f t="shared" si="299"/>
        <v>975498.94602529181</v>
      </c>
      <c r="CJ370">
        <f t="shared" si="300"/>
        <v>-450971.99377946352</v>
      </c>
      <c r="CL370">
        <f t="shared" si="301"/>
        <v>614688.59372954071</v>
      </c>
    </row>
    <row r="371" spans="1:90" x14ac:dyDescent="0.2">
      <c r="A371" s="2" t="s">
        <v>473</v>
      </c>
      <c r="B371" s="2" t="str">
        <f t="shared" si="309"/>
        <v>KORBA-WEST TPS</v>
      </c>
      <c r="C371" s="2" t="str">
        <f>VLOOKUP($A371,'[1]daily coal, energy reqd'!$C$2:$T$599,17,FALSE)</f>
        <v>Chhatisgarh</v>
      </c>
      <c r="D371" s="2" t="str">
        <f>VLOOKUP(C371,'Target PLF'!$I$2:$J$19,2,FALSE)</f>
        <v>WR</v>
      </c>
      <c r="E371" s="2" t="str">
        <f>VLOOKUP(A371,[2]Ownership!$C$2:$D$666,2,FALSE)</f>
        <v>STATE SECTOR</v>
      </c>
      <c r="F371" s="2" t="s">
        <v>549</v>
      </c>
      <c r="G371" s="12">
        <v>36.175222450376403</v>
      </c>
      <c r="H371" s="2">
        <v>210</v>
      </c>
      <c r="I371" s="2">
        <f>VLOOKUP(A371,'[3]Calculated coal req (reg.)'!$A$2:$I$599,9,FALSE)</f>
        <v>3.6808928291376799</v>
      </c>
      <c r="J371" s="2"/>
      <c r="K371" s="11">
        <v>0.73033587879715878</v>
      </c>
      <c r="L371" s="3">
        <f>VLOOKUP(F371,'Target PLF'!$A$2:$B$11,2,FALSE)</f>
        <v>0.55000000000000004</v>
      </c>
      <c r="M371" s="3">
        <f t="shared" si="289"/>
        <v>-0.18033587879715873</v>
      </c>
      <c r="N371" s="2" t="str">
        <f t="shared" si="268"/>
        <v>0.25</v>
      </c>
      <c r="O371" s="2">
        <f t="shared" si="310"/>
        <v>13.634236103584181</v>
      </c>
      <c r="P371" s="2">
        <f t="shared" si="269"/>
        <v>1045064.1973397274</v>
      </c>
      <c r="Q371" s="2">
        <f t="shared" si="270"/>
        <v>15.299158921115671</v>
      </c>
      <c r="R371" s="2">
        <f t="shared" si="271"/>
        <v>2.7719999999999998</v>
      </c>
      <c r="S371" s="2"/>
      <c r="T371" s="2" t="str">
        <f>VLOOKUP(A371,'[4]CEA vs MERIT comp. &amp; NPA marker'!$C$2:$K$735,9,FALSE)</f>
        <v>Contracted</v>
      </c>
      <c r="U371" s="3">
        <f>VLOOKUP(B371,'[8]Import-Domestic share'!$A$208:$F$406,6,FALSE)</f>
        <v>0</v>
      </c>
      <c r="V371" s="3">
        <f t="shared" si="272"/>
        <v>0</v>
      </c>
      <c r="W371" s="2">
        <f t="shared" si="273"/>
        <v>3317.9900826153316</v>
      </c>
      <c r="X371" s="2">
        <f t="shared" si="274"/>
        <v>3258.3762347583001</v>
      </c>
      <c r="Y371" s="6">
        <f t="shared" si="275"/>
        <v>0.25919305922762859</v>
      </c>
      <c r="Z371" s="2"/>
      <c r="AA371" s="2">
        <f t="shared" si="276"/>
        <v>1054592.6528130842</v>
      </c>
      <c r="AB371" s="2" t="s">
        <v>576</v>
      </c>
      <c r="AC371" s="12">
        <f>VLOOKUP(B371,[9]Sheet1!$A$2:$B$137,2,FALSE)</f>
        <v>4151.0935953175876</v>
      </c>
      <c r="AD371" s="12">
        <f t="shared" si="277"/>
        <v>871729.6550166934</v>
      </c>
      <c r="AE371" s="2" t="s">
        <v>589</v>
      </c>
      <c r="AF371" s="7">
        <f>VLOOKUP($B371,'[9]Subsidiary wise dispatch'!$A$3:$R$138,11,FALSE)*$H371*$O371*365</f>
        <v>0</v>
      </c>
      <c r="AG371" s="7">
        <f>VLOOKUP($B371,'[9]Subsidiary wise dispatch'!$A$3:$R$138,12,FALSE)*$H371*$O371*365</f>
        <v>0</v>
      </c>
      <c r="AH371" s="7">
        <f>VLOOKUP($B371,'[9]Subsidiary wise dispatch'!$A$3:$R$138,13,FALSE)*$H371*$O371*365</f>
        <v>0</v>
      </c>
      <c r="AI371" s="7">
        <f>VLOOKUP($B371,'[9]Subsidiary wise dispatch'!$A$3:$R$138,14,FALSE)*$H371*$O371*365</f>
        <v>0</v>
      </c>
      <c r="AJ371" s="7">
        <f>VLOOKUP($B371,'[9]Subsidiary wise dispatch'!$A$3:$R$138,15,FALSE)*$H371*$O371*365</f>
        <v>0</v>
      </c>
      <c r="AK371" s="7">
        <f>VLOOKUP($B371,'[9]Subsidiary wise dispatch'!$A$3:$R$138,16,FALSE)*$H371*$O371*365</f>
        <v>0</v>
      </c>
      <c r="AL371" s="7">
        <f>VLOOKUP($B371,'[9]Subsidiary wise dispatch'!$A$3:$R$138,17,FALSE)*$H371*$O371*365</f>
        <v>1045064.1973397274</v>
      </c>
      <c r="AM371" s="7">
        <f>VLOOKUP($B371,'[9]Subsidiary wise dispatch'!$A$3:$R$138,18,FALSE)*$H371*$O371*365</f>
        <v>0</v>
      </c>
      <c r="AN371" s="15">
        <f t="shared" si="278"/>
        <v>1045064.1973397274</v>
      </c>
      <c r="AO371" s="6">
        <v>6.0941992912102581E-2</v>
      </c>
      <c r="AP371" s="11">
        <f t="shared" si="279"/>
        <v>0.22432094470351771</v>
      </c>
      <c r="AQ371" s="11"/>
      <c r="AR371" s="3">
        <f>VLOOKUP(A371,[10]Sheet1!$A$2:$L$542,12,FALSE)</f>
        <v>1.5377960526315799</v>
      </c>
      <c r="AS371" s="3">
        <f t="shared" si="290"/>
        <v>2.0467519933924541</v>
      </c>
      <c r="AT371" s="2"/>
      <c r="AU371" s="2"/>
      <c r="AV371" s="88">
        <f t="shared" si="291"/>
        <v>-0.13215373870013386</v>
      </c>
      <c r="AW371" s="32">
        <f t="shared" si="292"/>
        <v>6.4567538776933817E-2</v>
      </c>
      <c r="AX371" s="12">
        <f t="shared" si="280"/>
        <v>274.98642784580608</v>
      </c>
      <c r="AY371" s="12">
        <f t="shared" si="281"/>
        <v>0</v>
      </c>
      <c r="AZ371" s="3">
        <f>VLOOKUP(A371,[5]Analysis!$A$3:$BJ$543,62,FALSE)</f>
        <v>0.39522145526102337</v>
      </c>
      <c r="BA371" s="2">
        <v>103.35</v>
      </c>
      <c r="BB371" s="2"/>
      <c r="BC371" s="2" t="e">
        <f>VLOOKUP(A371,'[6]FGD status - Jun 2020'!$I$2:$M$449,5,FALSE)</f>
        <v>#N/A</v>
      </c>
      <c r="BD371" s="2" t="str">
        <f>VLOOKUP(A371,'[1]daily coal, energy reqd'!$C$2:$L$599,10,FALSE)</f>
        <v>Y</v>
      </c>
      <c r="BE371" s="2"/>
      <c r="BF371" s="2">
        <f t="shared" si="282"/>
        <v>326.39642604564955</v>
      </c>
      <c r="BG371" s="2">
        <f t="shared" si="283"/>
        <v>0</v>
      </c>
      <c r="BH371" s="2"/>
      <c r="BI371" s="2"/>
      <c r="BK371">
        <f t="shared" si="286"/>
        <v>153.37053454740334</v>
      </c>
      <c r="BP371" s="2" t="e">
        <f>VLOOKUP(A371,'[7]Table 2'!$J$2:$N$449,5,FALSE)</f>
        <v>#N/A</v>
      </c>
      <c r="BR371">
        <f t="shared" si="293"/>
        <v>173.01660262030512</v>
      </c>
      <c r="BT371">
        <f>(X371*I371*365*[5]Analysis!BK371)/10^4</f>
        <v>169.58463630158334</v>
      </c>
      <c r="BV371">
        <f>(X371*I371*365*[5]Analysis!BL371)/10^4</f>
        <v>3.4319663187217744</v>
      </c>
      <c r="BX371">
        <f t="shared" si="294"/>
        <v>1229357.7060083323</v>
      </c>
      <c r="BZ371">
        <f t="shared" si="295"/>
        <v>2750653.1736574001</v>
      </c>
      <c r="CB371">
        <f t="shared" si="296"/>
        <v>-289913.05347409128</v>
      </c>
      <c r="CD371">
        <f t="shared" si="297"/>
        <v>0</v>
      </c>
      <c r="CF371">
        <f t="shared" si="298"/>
        <v>2398997.9755870933</v>
      </c>
      <c r="CH371">
        <f t="shared" si="299"/>
        <v>985961.87216047198</v>
      </c>
      <c r="CJ371">
        <f t="shared" si="300"/>
        <v>-465261.17271017365</v>
      </c>
      <c r="CL371">
        <f t="shared" si="301"/>
        <v>634165.18079841149</v>
      </c>
    </row>
    <row r="372" spans="1:90" x14ac:dyDescent="0.2">
      <c r="A372" s="2" t="s">
        <v>465</v>
      </c>
      <c r="B372" s="2" t="str">
        <f t="shared" si="309"/>
        <v>KORBA-WEST TPS</v>
      </c>
      <c r="C372" s="2" t="str">
        <f>VLOOKUP($A372,'[1]daily coal, energy reqd'!$C$2:$T$599,17,FALSE)</f>
        <v>Chhatisgarh</v>
      </c>
      <c r="D372" s="2" t="str">
        <f>VLOOKUP(C372,'Target PLF'!$I$2:$J$19,2,FALSE)</f>
        <v>WR</v>
      </c>
      <c r="E372" s="2" t="str">
        <f>VLOOKUP(A372,[2]Ownership!$C$2:$D$666,2,FALSE)</f>
        <v>STATE SECTOR</v>
      </c>
      <c r="F372" s="2" t="s">
        <v>549</v>
      </c>
      <c r="G372" s="12">
        <v>35.175906913073199</v>
      </c>
      <c r="H372" s="2">
        <v>210</v>
      </c>
      <c r="I372" s="2">
        <f>VLOOKUP(A372,'[3]Calculated coal req (reg.)'!$A$2:$I$599,9,FALSE)</f>
        <v>3.2784480246527501</v>
      </c>
      <c r="J372" s="2"/>
      <c r="K372" s="11">
        <v>0.65048571917713294</v>
      </c>
      <c r="L372" s="3">
        <f>VLOOKUP(F372,'Target PLF'!$A$2:$B$11,2,FALSE)</f>
        <v>0.55000000000000004</v>
      </c>
      <c r="M372" s="3">
        <f t="shared" si="289"/>
        <v>-0.10048571917713289</v>
      </c>
      <c r="N372" s="2" t="str">
        <f t="shared" si="268"/>
        <v>0.25</v>
      </c>
      <c r="O372" s="2">
        <f t="shared" si="310"/>
        <v>12.491603558098799</v>
      </c>
      <c r="P372" s="2">
        <f t="shared" si="269"/>
        <v>957481.41272827296</v>
      </c>
      <c r="Q372" s="2">
        <f t="shared" si="270"/>
        <v>15.267505601471592</v>
      </c>
      <c r="R372" s="2">
        <f t="shared" si="271"/>
        <v>2.7719999999999998</v>
      </c>
      <c r="S372" s="2"/>
      <c r="T372" s="2" t="str">
        <f>VLOOKUP(A372,'[4]CEA vs MERIT comp. &amp; NPA marker'!$C$2:$K$735,9,FALSE)</f>
        <v>Contracted</v>
      </c>
      <c r="U372" s="3">
        <f>VLOOKUP(B372,'[8]Import-Domestic share'!$A$208:$F$406,6,FALSE)</f>
        <v>0</v>
      </c>
      <c r="V372" s="3">
        <f t="shared" si="272"/>
        <v>0</v>
      </c>
      <c r="W372" s="2">
        <f t="shared" si="273"/>
        <v>3310.3547752778918</v>
      </c>
      <c r="X372" s="2">
        <f t="shared" si="274"/>
        <v>3277.1370905066437</v>
      </c>
      <c r="Y372" s="6">
        <f t="shared" si="275"/>
        <v>0.25979088598677652</v>
      </c>
      <c r="Z372" s="2"/>
      <c r="AA372" s="2">
        <f t="shared" si="276"/>
        <v>944698.5551102733</v>
      </c>
      <c r="AB372" s="2" t="s">
        <v>576</v>
      </c>
      <c r="AC372" s="12">
        <f>VLOOKUP(B372,[9]Sheet1!$A$2:$B$137,2,FALSE)</f>
        <v>4151.0935953175876</v>
      </c>
      <c r="AD372" s="12">
        <f t="shared" si="277"/>
        <v>871729.6550166934</v>
      </c>
      <c r="AE372" s="2" t="s">
        <v>589</v>
      </c>
      <c r="AF372" s="7">
        <f>VLOOKUP($B372,'[9]Subsidiary wise dispatch'!$A$3:$R$138,11,FALSE)*$H372*$O372*365</f>
        <v>0</v>
      </c>
      <c r="AG372" s="7">
        <f>VLOOKUP($B372,'[9]Subsidiary wise dispatch'!$A$3:$R$138,12,FALSE)*$H372*$O372*365</f>
        <v>0</v>
      </c>
      <c r="AH372" s="7">
        <f>VLOOKUP($B372,'[9]Subsidiary wise dispatch'!$A$3:$R$138,13,FALSE)*$H372*$O372*365</f>
        <v>0</v>
      </c>
      <c r="AI372" s="7">
        <f>VLOOKUP($B372,'[9]Subsidiary wise dispatch'!$A$3:$R$138,14,FALSE)*$H372*$O372*365</f>
        <v>0</v>
      </c>
      <c r="AJ372" s="7">
        <f>VLOOKUP($B372,'[9]Subsidiary wise dispatch'!$A$3:$R$138,15,FALSE)*$H372*$O372*365</f>
        <v>0</v>
      </c>
      <c r="AK372" s="7">
        <f>VLOOKUP($B372,'[9]Subsidiary wise dispatch'!$A$3:$R$138,16,FALSE)*$H372*$O372*365</f>
        <v>0</v>
      </c>
      <c r="AL372" s="7">
        <f>VLOOKUP($B372,'[9]Subsidiary wise dispatch'!$A$3:$R$138,17,FALSE)*$H372*$O372*365</f>
        <v>957481.41272827296</v>
      </c>
      <c r="AM372" s="7">
        <f>VLOOKUP($B372,'[9]Subsidiary wise dispatch'!$A$3:$R$138,18,FALSE)*$H372*$O372*365</f>
        <v>0</v>
      </c>
      <c r="AN372" s="15">
        <f t="shared" si="278"/>
        <v>957481.41272827296</v>
      </c>
      <c r="AO372" s="6">
        <v>6.0941992912102581E-2</v>
      </c>
      <c r="AP372" s="11">
        <f t="shared" si="279"/>
        <v>0.1997951562810846</v>
      </c>
      <c r="AQ372" s="11"/>
      <c r="AR372" s="3">
        <f>VLOOKUP(A372,[10]Sheet1!$A$2:$L$542,12,FALSE)</f>
        <v>1.5377960526315799</v>
      </c>
      <c r="AS372" s="3">
        <f t="shared" si="290"/>
        <v>2.041275549210698</v>
      </c>
      <c r="AT372" s="2"/>
      <c r="AU372" s="2"/>
      <c r="AV372" s="88">
        <f t="shared" si="291"/>
        <v>-7.3637944727386523E-2</v>
      </c>
      <c r="AW372" s="32">
        <f t="shared" si="292"/>
        <v>3.6074475469938479E-2</v>
      </c>
      <c r="AX372" s="12">
        <f t="shared" si="280"/>
        <v>244.26587641098459</v>
      </c>
      <c r="AY372" s="12">
        <f t="shared" si="281"/>
        <v>0</v>
      </c>
      <c r="AZ372" s="3">
        <f>VLOOKUP(A372,[5]Analysis!$A$3:$BJ$543,62,FALSE)</f>
        <v>0.39522145526102337</v>
      </c>
      <c r="BA372" s="2">
        <v>103.35</v>
      </c>
      <c r="BB372" s="2"/>
      <c r="BC372" s="2" t="e">
        <f>VLOOKUP(A372,'[6]FGD status - Jun 2020'!$I$2:$M$449,5,FALSE)</f>
        <v>#N/A</v>
      </c>
      <c r="BD372" s="2" t="str">
        <f>VLOOKUP(A372,'[1]daily coal, energy reqd'!$C$2:$L$599,10,FALSE)</f>
        <v>Y</v>
      </c>
      <c r="BE372" s="2"/>
      <c r="BF372" s="2">
        <f t="shared" si="282"/>
        <v>292.38420280662962</v>
      </c>
      <c r="BG372" s="2">
        <f t="shared" si="283"/>
        <v>0</v>
      </c>
      <c r="BH372" s="2"/>
      <c r="BI372" s="2"/>
      <c r="BK372">
        <f t="shared" si="286"/>
        <v>136.60200102719793</v>
      </c>
      <c r="BP372" s="2" t="e">
        <f>VLOOKUP(A372,'[7]Table 2'!$J$2:$N$449,5,FALSE)</f>
        <v>#N/A</v>
      </c>
      <c r="BR372">
        <f t="shared" si="293"/>
        <v>154.98736319610995</v>
      </c>
      <c r="BT372">
        <f>(X372*I372*365*[5]Analysis!BK372)/10^4</f>
        <v>151.9130258073227</v>
      </c>
      <c r="BV372">
        <f>(X372*I372*365*[5]Analysis!BL372)/10^4</f>
        <v>3.0743373887872387</v>
      </c>
      <c r="BX372">
        <f t="shared" si="294"/>
        <v>1101252.171140996</v>
      </c>
      <c r="BZ372">
        <f t="shared" si="295"/>
        <v>2449914.7033831282</v>
      </c>
      <c r="CB372">
        <f t="shared" si="296"/>
        <v>-229984.21545040541</v>
      </c>
      <c r="CD372">
        <f t="shared" si="297"/>
        <v>0</v>
      </c>
      <c r="CF372">
        <f t="shared" si="298"/>
        <v>2136707.1901552696</v>
      </c>
      <c r="CH372">
        <f t="shared" si="299"/>
        <v>853904.58147695579</v>
      </c>
      <c r="CJ372">
        <f t="shared" si="300"/>
        <v>-414392.55186808301</v>
      </c>
      <c r="CL372">
        <f t="shared" si="301"/>
        <v>564829.69779350248</v>
      </c>
    </row>
    <row r="373" spans="1:90" x14ac:dyDescent="0.2">
      <c r="A373" s="2" t="s">
        <v>458</v>
      </c>
      <c r="B373" s="2" t="str">
        <f t="shared" si="309"/>
        <v>KORBA-WEST TPS</v>
      </c>
      <c r="C373" s="2" t="str">
        <f>VLOOKUP($A373,'[1]daily coal, energy reqd'!$C$2:$T$599,17,FALSE)</f>
        <v>Chhatisgarh</v>
      </c>
      <c r="D373" s="2" t="str">
        <f>VLOOKUP(C373,'Target PLF'!$I$2:$J$19,2,FALSE)</f>
        <v>WR</v>
      </c>
      <c r="E373" s="2" t="str">
        <f>VLOOKUP(A373,[2]Ownership!$C$2:$D$666,2,FALSE)</f>
        <v>STATE SECTOR</v>
      </c>
      <c r="F373" s="2" t="s">
        <v>548</v>
      </c>
      <c r="G373" s="12">
        <v>34.176591375770002</v>
      </c>
      <c r="H373" s="2">
        <v>210</v>
      </c>
      <c r="I373" s="2">
        <f>VLOOKUP(A373,'[3]Calculated coal req (reg.)'!$A$2:$I$599,9,FALSE)</f>
        <v>3.7836581479068401</v>
      </c>
      <c r="J373" s="2"/>
      <c r="K373" s="11">
        <v>0.75072582299738888</v>
      </c>
      <c r="L373" s="3">
        <f>VLOOKUP(F373,'Target PLF'!$A$2:$B$11,2,FALSE)</f>
        <v>0.6</v>
      </c>
      <c r="M373" s="3">
        <f t="shared" si="289"/>
        <v>-0.1507258229973889</v>
      </c>
      <c r="N373" s="2" t="str">
        <f t="shared" si="268"/>
        <v>0.25</v>
      </c>
      <c r="O373" s="2">
        <f t="shared" si="310"/>
        <v>13.854620874937085</v>
      </c>
      <c r="P373" s="2">
        <f t="shared" si="269"/>
        <v>1061956.6900639276</v>
      </c>
      <c r="Q373" s="2">
        <f t="shared" si="270"/>
        <v>15.235852281827514</v>
      </c>
      <c r="R373" s="2">
        <f t="shared" si="271"/>
        <v>3.024</v>
      </c>
      <c r="S373" s="2"/>
      <c r="T373" s="2" t="str">
        <f>VLOOKUP(A373,'[4]CEA vs MERIT comp. &amp; NPA marker'!$C$2:$K$735,9,FALSE)</f>
        <v>Contracted</v>
      </c>
      <c r="U373" s="3">
        <f>VLOOKUP(B373,'[8]Import-Domestic share'!$A$208:$F$406,6,FALSE)</f>
        <v>0</v>
      </c>
      <c r="V373" s="3">
        <f t="shared" si="272"/>
        <v>0</v>
      </c>
      <c r="W373" s="2">
        <f t="shared" si="273"/>
        <v>3286.1909079404513</v>
      </c>
      <c r="X373" s="2">
        <f t="shared" si="274"/>
        <v>3236.3652917612171</v>
      </c>
      <c r="Y373" s="6">
        <f t="shared" si="275"/>
        <v>0.26170116834112545</v>
      </c>
      <c r="Z373" s="2"/>
      <c r="AA373" s="2">
        <f t="shared" si="276"/>
        <v>1076712.5247789088</v>
      </c>
      <c r="AB373" s="2" t="s">
        <v>576</v>
      </c>
      <c r="AC373" s="12">
        <f>VLOOKUP(B373,[9]Sheet1!$A$2:$B$137,2,FALSE)</f>
        <v>4151.0935953175876</v>
      </c>
      <c r="AD373" s="12">
        <f t="shared" si="277"/>
        <v>871729.6550166934</v>
      </c>
      <c r="AE373" s="2" t="s">
        <v>589</v>
      </c>
      <c r="AF373" s="7">
        <f>VLOOKUP($B373,'[9]Subsidiary wise dispatch'!$A$3:$R$138,11,FALSE)*$H373*$O373*365</f>
        <v>0</v>
      </c>
      <c r="AG373" s="7">
        <f>VLOOKUP($B373,'[9]Subsidiary wise dispatch'!$A$3:$R$138,12,FALSE)*$H373*$O373*365</f>
        <v>0</v>
      </c>
      <c r="AH373" s="7">
        <f>VLOOKUP($B373,'[9]Subsidiary wise dispatch'!$A$3:$R$138,13,FALSE)*$H373*$O373*365</f>
        <v>0</v>
      </c>
      <c r="AI373" s="7">
        <f>VLOOKUP($B373,'[9]Subsidiary wise dispatch'!$A$3:$R$138,14,FALSE)*$H373*$O373*365</f>
        <v>0</v>
      </c>
      <c r="AJ373" s="7">
        <f>VLOOKUP($B373,'[9]Subsidiary wise dispatch'!$A$3:$R$138,15,FALSE)*$H373*$O373*365</f>
        <v>0</v>
      </c>
      <c r="AK373" s="7">
        <f>VLOOKUP($B373,'[9]Subsidiary wise dispatch'!$A$3:$R$138,16,FALSE)*$H373*$O373*365</f>
        <v>0</v>
      </c>
      <c r="AL373" s="7">
        <f>VLOOKUP($B373,'[9]Subsidiary wise dispatch'!$A$3:$R$138,17,FALSE)*$H373*$O373*365</f>
        <v>1061956.6900639276</v>
      </c>
      <c r="AM373" s="7">
        <f>VLOOKUP($B373,'[9]Subsidiary wise dispatch'!$A$3:$R$138,18,FALSE)*$H373*$O373*365</f>
        <v>0</v>
      </c>
      <c r="AN373" s="15">
        <f t="shared" si="278"/>
        <v>1061956.6900639276</v>
      </c>
      <c r="AO373" s="6">
        <v>6.0941992912102581E-2</v>
      </c>
      <c r="AP373" s="11">
        <f t="shared" si="279"/>
        <v>0.23058366803155783</v>
      </c>
      <c r="AQ373" s="11"/>
      <c r="AR373" s="3">
        <f>VLOOKUP(A373,[10]Sheet1!$A$2:$L$542,12,FALSE)</f>
        <v>1.5377960526315799</v>
      </c>
      <c r="AS373" s="3">
        <f t="shared" si="290"/>
        <v>2.0296970079433301</v>
      </c>
      <c r="AT373" s="2"/>
      <c r="AU373" s="2"/>
      <c r="AV373" s="88">
        <f t="shared" si="291"/>
        <v>-0.11045489760894654</v>
      </c>
      <c r="AW373" s="32">
        <f t="shared" si="292"/>
        <v>5.4419402096310569E-2</v>
      </c>
      <c r="AX373" s="12">
        <f t="shared" si="280"/>
        <v>280.3083061988724</v>
      </c>
      <c r="AY373" s="12">
        <f t="shared" si="281"/>
        <v>0</v>
      </c>
      <c r="AZ373" s="3">
        <f>VLOOKUP(A373,[5]Analysis!$A$3:$BJ$543,62,FALSE)</f>
        <v>0.39522145526102337</v>
      </c>
      <c r="BA373" s="2">
        <v>103.35</v>
      </c>
      <c r="BB373" s="2"/>
      <c r="BC373" s="2" t="e">
        <f>VLOOKUP(A373,'[6]FGD status - Jun 2020'!$I$2:$M$449,5,FALSE)</f>
        <v>#N/A</v>
      </c>
      <c r="BD373" s="2" t="str">
        <f>VLOOKUP(A373,'[1]daily coal, energy reqd'!$C$2:$L$599,10,FALSE)</f>
        <v>Y</v>
      </c>
      <c r="BE373" s="2"/>
      <c r="BF373" s="2">
        <f t="shared" si="282"/>
        <v>333.24252641907231</v>
      </c>
      <c r="BG373" s="2">
        <f t="shared" si="283"/>
        <v>0</v>
      </c>
      <c r="BH373" s="2"/>
      <c r="BI373" s="2"/>
      <c r="BK373">
        <f t="shared" si="286"/>
        <v>157.65242282945167</v>
      </c>
      <c r="BP373" s="2" t="e">
        <f>VLOOKUP(A373,'[7]Table 2'!$J$2:$N$449,5,FALSE)</f>
        <v>#N/A</v>
      </c>
      <c r="BR373">
        <f t="shared" si="293"/>
        <v>176.64559158368775</v>
      </c>
      <c r="BT373">
        <f>(X373*I373*365*[5]Analysis!BK373)/10^4</f>
        <v>173.14164045134277</v>
      </c>
      <c r="BV373">
        <f>(X373*I373*365*[5]Analysis!BL373)/10^4</f>
        <v>3.5039511323449761</v>
      </c>
      <c r="BX373">
        <f t="shared" si="294"/>
        <v>1255143.2403419609</v>
      </c>
      <c r="BZ373">
        <f t="shared" si="295"/>
        <v>2827447.5176754319</v>
      </c>
      <c r="CB373">
        <f t="shared" si="296"/>
        <v>-306326.94980834553</v>
      </c>
      <c r="CD373">
        <f t="shared" si="297"/>
        <v>0</v>
      </c>
      <c r="CF373">
        <f t="shared" si="298"/>
        <v>2465974.604120322</v>
      </c>
      <c r="CH373">
        <f t="shared" si="299"/>
        <v>957494.69077986944</v>
      </c>
      <c r="CJ373">
        <f t="shared" si="300"/>
        <v>-478250.60623727675</v>
      </c>
      <c r="CL373">
        <f t="shared" si="301"/>
        <v>651870.17520660732</v>
      </c>
    </row>
    <row r="374" spans="1:90" x14ac:dyDescent="0.2">
      <c r="A374" s="2" t="s">
        <v>513</v>
      </c>
      <c r="B374" s="2" t="str">
        <f t="shared" si="309"/>
        <v>KOTA TPS</v>
      </c>
      <c r="C374" s="2" t="str">
        <f>VLOOKUP($A374,'[1]daily coal, energy reqd'!$C$2:$T$599,17,FALSE)</f>
        <v>Rajasthan</v>
      </c>
      <c r="D374" s="2" t="str">
        <f>VLOOKUP(C374,'Target PLF'!$I$2:$J$19,2,FALSE)</f>
        <v>NR</v>
      </c>
      <c r="E374" s="2" t="str">
        <f>VLOOKUP(A374,[2]Ownership!$C$2:$D$666,2,FALSE)</f>
        <v>STATE SECTOR</v>
      </c>
      <c r="F374" s="2" t="s">
        <v>549</v>
      </c>
      <c r="G374" s="12">
        <v>37.338809034907598</v>
      </c>
      <c r="H374" s="2">
        <v>110</v>
      </c>
      <c r="I374" s="2">
        <f>VLOOKUP(A374,'[3]Calculated coal req (reg.)'!$A$2:$I$599,9,FALSE)</f>
        <v>1.0723789174920899</v>
      </c>
      <c r="J374" s="2"/>
      <c r="K374" s="11">
        <v>0.4062041354136704</v>
      </c>
      <c r="L374" s="3">
        <f>VLOOKUP(F374,'Target PLF'!$A$2:$B$11,2,FALSE)</f>
        <v>0.55000000000000004</v>
      </c>
      <c r="M374" s="3">
        <f t="shared" si="289"/>
        <v>0.14379586458632965</v>
      </c>
      <c r="N374" s="2" t="str">
        <f t="shared" si="268"/>
        <v>0.25</v>
      </c>
      <c r="O374" s="2">
        <f t="shared" si="310"/>
        <v>9.6821405234317179</v>
      </c>
      <c r="P374" s="2">
        <f t="shared" si="269"/>
        <v>388737.94201578351</v>
      </c>
      <c r="Q374" s="2">
        <f t="shared" si="270"/>
        <v>15.856805526180697</v>
      </c>
      <c r="R374" s="2">
        <f t="shared" si="271"/>
        <v>1.4520000000000002</v>
      </c>
      <c r="S374" s="2"/>
      <c r="T374" s="2" t="str">
        <f>VLOOKUP(A374,'[4]CEA vs MERIT comp. &amp; NPA marker'!$C$2:$K$735,9,FALSE)</f>
        <v>Contracted</v>
      </c>
      <c r="U374" s="3">
        <f>VLOOKUP(B374,'[8]Import-Domestic share'!$A$208:$F$406,6,FALSE)</f>
        <v>0</v>
      </c>
      <c r="V374" s="3">
        <f t="shared" si="272"/>
        <v>0</v>
      </c>
      <c r="W374" s="2">
        <f t="shared" si="273"/>
        <v>3419.4547389671457</v>
      </c>
      <c r="X374" s="2">
        <f t="shared" si="274"/>
        <v>3466.989510478486</v>
      </c>
      <c r="Y374" s="6">
        <f t="shared" si="275"/>
        <v>0.25150208604889007</v>
      </c>
      <c r="Z374" s="2"/>
      <c r="AA374" s="2">
        <f t="shared" si="276"/>
        <v>302429.16370850144</v>
      </c>
      <c r="AB374" s="2" t="s">
        <v>576</v>
      </c>
      <c r="AC374" s="12">
        <f>VLOOKUP(B374,[9]Sheet1!$A$2:$B$137,2,FALSE)</f>
        <v>4487.1438342904594</v>
      </c>
      <c r="AD374" s="12">
        <f t="shared" si="277"/>
        <v>493585.82177195052</v>
      </c>
      <c r="AE374" s="2"/>
      <c r="AF374" s="7">
        <f>VLOOKUP($B374,'[9]Subsidiary wise dispatch'!$A$3:$R$138,11,FALSE)*$H374*$O374*365</f>
        <v>0</v>
      </c>
      <c r="AG374" s="7">
        <f>VLOOKUP($B374,'[9]Subsidiary wise dispatch'!$A$3:$R$138,12,FALSE)*$H374*$O374*365</f>
        <v>0</v>
      </c>
      <c r="AH374" s="7">
        <f>VLOOKUP($B374,'[9]Subsidiary wise dispatch'!$A$3:$R$138,13,FALSE)*$H374*$O374*365</f>
        <v>0</v>
      </c>
      <c r="AI374" s="7">
        <f>VLOOKUP($B374,'[9]Subsidiary wise dispatch'!$A$3:$R$138,14,FALSE)*$H374*$O374*365</f>
        <v>0</v>
      </c>
      <c r="AJ374" s="7">
        <f>VLOOKUP($B374,'[9]Subsidiary wise dispatch'!$A$3:$R$138,15,FALSE)*$H374*$O374*365</f>
        <v>181151.46448327409</v>
      </c>
      <c r="AK374" s="7">
        <f>VLOOKUP($B374,'[9]Subsidiary wise dispatch'!$A$3:$R$138,16,FALSE)*$H374*$O374*365</f>
        <v>0</v>
      </c>
      <c r="AL374" s="7">
        <f>VLOOKUP($B374,'[9]Subsidiary wise dispatch'!$A$3:$R$138,17,FALSE)*$H374*$O374*365</f>
        <v>207586.47753250939</v>
      </c>
      <c r="AM374" s="7">
        <f>VLOOKUP($B374,'[9]Subsidiary wise dispatch'!$A$3:$R$138,18,FALSE)*$H374*$O374*365</f>
        <v>0</v>
      </c>
      <c r="AN374" s="15">
        <f t="shared" si="278"/>
        <v>388737.94201578351</v>
      </c>
      <c r="AO374" s="6">
        <v>0.10601035704694049</v>
      </c>
      <c r="AP374" s="11">
        <f t="shared" si="279"/>
        <v>0.11368327193294799</v>
      </c>
      <c r="AQ374" s="11"/>
      <c r="AR374" s="3">
        <f>VLOOKUP(A374,[10]Sheet1!$A$2:$L$542,12,FALSE)</f>
        <v>2.99934138309548</v>
      </c>
      <c r="AS374" s="3">
        <f t="shared" si="290"/>
        <v>3.1897747038506288</v>
      </c>
      <c r="AT374" s="2"/>
      <c r="AU374" s="2"/>
      <c r="AV374" s="88">
        <f t="shared" si="291"/>
        <v>0.1053764854861541</v>
      </c>
      <c r="AW374" s="32">
        <f t="shared" si="292"/>
        <v>3.3035714202305833E-2</v>
      </c>
      <c r="AX374" s="12">
        <f t="shared" si="280"/>
        <v>124.8536207545031</v>
      </c>
      <c r="AY374" s="12">
        <f t="shared" si="281"/>
        <v>0</v>
      </c>
      <c r="AZ374" s="3">
        <f>VLOOKUP(A374,[5]Analysis!$A$3:$BJ$543,62,FALSE)</f>
        <v>0.88466040491129339</v>
      </c>
      <c r="BA374" s="2"/>
      <c r="BB374" s="2"/>
      <c r="BC374" s="2" t="e">
        <f>VLOOKUP(A374,'[6]FGD status - Jun 2020'!$I$2:$M$449,5,FALSE)</f>
        <v>#N/A</v>
      </c>
      <c r="BD374" s="2" t="str">
        <f>VLOOKUP(A374,'[1]daily coal, energy reqd'!$C$2:$L$599,10,FALSE)</f>
        <v>Y</v>
      </c>
      <c r="BE374" s="2"/>
      <c r="BF374" s="2">
        <f t="shared" si="282"/>
        <v>93.601826167781198</v>
      </c>
      <c r="BG374" s="2">
        <f t="shared" si="283"/>
        <v>0</v>
      </c>
      <c r="BH374" s="2"/>
      <c r="BI374" s="2"/>
      <c r="BK374">
        <f t="shared" si="286"/>
        <v>44.682454895503746</v>
      </c>
      <c r="BL374" t="str">
        <f>VLOOKUP(A374,'[11]Daily coal vs energy req.2'!$C$2:$P$599,14,FALSE)</f>
        <v/>
      </c>
      <c r="BM374" t="str">
        <f>VLOOKUP(A374,'[11]Daily coal vs energy req.2'!$C$2:$R$599,16,FALSE)</f>
        <v/>
      </c>
      <c r="BP374" s="2" t="e">
        <f>VLOOKUP(A374,'[7]Table 2'!$J$2:$N$449,5,FALSE)</f>
        <v>#N/A</v>
      </c>
      <c r="BR374">
        <f t="shared" si="293"/>
        <v>120.05223489697738</v>
      </c>
      <c r="BT374">
        <f>(X374*I374*365*[5]Analysis!BK374)/10^4</f>
        <v>51.228384102117303</v>
      </c>
      <c r="BV374">
        <f>(X374*I374*365*[5]Analysis!BL374)/10^4</f>
        <v>68.82385079486005</v>
      </c>
      <c r="BX374">
        <f t="shared" si="294"/>
        <v>381087.46196584328</v>
      </c>
      <c r="BZ374">
        <f t="shared" si="295"/>
        <v>1793771.028889799</v>
      </c>
      <c r="CB374">
        <f t="shared" si="296"/>
        <v>-46976.923163788524</v>
      </c>
      <c r="CD374">
        <f t="shared" si="297"/>
        <v>0</v>
      </c>
      <c r="CF374">
        <f t="shared" si="298"/>
        <v>698915.98901250598</v>
      </c>
      <c r="CH374">
        <f t="shared" si="299"/>
        <v>296486.18802066555</v>
      </c>
      <c r="CJ374">
        <f t="shared" si="300"/>
        <v>-71001.135748233792</v>
      </c>
      <c r="CL374">
        <f t="shared" si="301"/>
        <v>321387.611818409</v>
      </c>
    </row>
    <row r="375" spans="1:90" x14ac:dyDescent="0.2">
      <c r="A375" s="2" t="s">
        <v>510</v>
      </c>
      <c r="B375" s="2" t="str">
        <f t="shared" si="309"/>
        <v>KOTA TPS</v>
      </c>
      <c r="C375" s="2" t="str">
        <f>VLOOKUP($A375,'[1]daily coal, energy reqd'!$C$2:$T$599,17,FALSE)</f>
        <v>Rajasthan</v>
      </c>
      <c r="D375" s="2" t="str">
        <f>VLOOKUP(C375,'Target PLF'!$I$2:$J$19,2,FALSE)</f>
        <v>NR</v>
      </c>
      <c r="E375" s="2" t="str">
        <f>VLOOKUP(A375,[2]Ownership!$C$2:$D$666,2,FALSE)</f>
        <v>STATE SECTOR</v>
      </c>
      <c r="F375" s="2" t="s">
        <v>549</v>
      </c>
      <c r="G375" s="12">
        <v>36.843258042436602</v>
      </c>
      <c r="H375" s="2">
        <v>110</v>
      </c>
      <c r="I375" s="2">
        <f>VLOOKUP(A375,'[3]Calculated coal req (reg.)'!$A$2:$I$599,9,FALSE)</f>
        <v>1.5016887366915599</v>
      </c>
      <c r="J375" s="2"/>
      <c r="K375" s="11">
        <v>0.56882149117104541</v>
      </c>
      <c r="L375" s="3">
        <f>VLOOKUP(F375,'Target PLF'!$A$2:$B$11,2,FALSE)</f>
        <v>0.55000000000000004</v>
      </c>
      <c r="M375" s="3">
        <f t="shared" si="289"/>
        <v>-1.8821491171045368E-2</v>
      </c>
      <c r="N375" s="2" t="str">
        <f t="shared" si="268"/>
        <v>0.25</v>
      </c>
      <c r="O375" s="2">
        <f t="shared" si="310"/>
        <v>11.928988001604285</v>
      </c>
      <c r="P375" s="2">
        <f t="shared" si="269"/>
        <v>478948.86826441204</v>
      </c>
      <c r="Q375" s="2">
        <f t="shared" si="270"/>
        <v>15.841108948494178</v>
      </c>
      <c r="R375" s="2">
        <f t="shared" si="271"/>
        <v>1.4520000000000002</v>
      </c>
      <c r="S375" s="2"/>
      <c r="T375" s="2" t="str">
        <f>VLOOKUP(A375,'[4]CEA vs MERIT comp. &amp; NPA marker'!$C$2:$K$735,9,FALSE)</f>
        <v>Contracted</v>
      </c>
      <c r="U375" s="3">
        <f>VLOOKUP(B375,'[8]Import-Domestic share'!$A$208:$F$406,6,FALSE)</f>
        <v>0</v>
      </c>
      <c r="V375" s="3">
        <f t="shared" si="272"/>
        <v>0</v>
      </c>
      <c r="W375" s="2">
        <f t="shared" si="273"/>
        <v>3415.6684632737843</v>
      </c>
      <c r="X375" s="2">
        <f t="shared" si="274"/>
        <v>3409.4466203515822</v>
      </c>
      <c r="Y375" s="6">
        <f t="shared" si="275"/>
        <v>0.25178087664155896</v>
      </c>
      <c r="Z375" s="2"/>
      <c r="AA375" s="2">
        <f t="shared" si="276"/>
        <v>416472.84746870096</v>
      </c>
      <c r="AB375" s="2" t="s">
        <v>576</v>
      </c>
      <c r="AC375" s="12">
        <f>VLOOKUP(B375,[9]Sheet1!$A$2:$B$137,2,FALSE)</f>
        <v>4487.1438342904594</v>
      </c>
      <c r="AD375" s="12">
        <f t="shared" si="277"/>
        <v>493585.82177195052</v>
      </c>
      <c r="AE375" s="2"/>
      <c r="AF375" s="7">
        <f>VLOOKUP($B375,'[9]Subsidiary wise dispatch'!$A$3:$R$138,11,FALSE)*$H375*$O375*365</f>
        <v>0</v>
      </c>
      <c r="AG375" s="7">
        <f>VLOOKUP($B375,'[9]Subsidiary wise dispatch'!$A$3:$R$138,12,FALSE)*$H375*$O375*365</f>
        <v>0</v>
      </c>
      <c r="AH375" s="7">
        <f>VLOOKUP($B375,'[9]Subsidiary wise dispatch'!$A$3:$R$138,13,FALSE)*$H375*$O375*365</f>
        <v>0</v>
      </c>
      <c r="AI375" s="7">
        <f>VLOOKUP($B375,'[9]Subsidiary wise dispatch'!$A$3:$R$138,14,FALSE)*$H375*$O375*365</f>
        <v>0</v>
      </c>
      <c r="AJ375" s="7">
        <f>VLOOKUP($B375,'[9]Subsidiary wise dispatch'!$A$3:$R$138,15,FALSE)*$H375*$O375*365</f>
        <v>223189.6594626265</v>
      </c>
      <c r="AK375" s="7">
        <f>VLOOKUP($B375,'[9]Subsidiary wise dispatch'!$A$3:$R$138,16,FALSE)*$H375*$O375*365</f>
        <v>0</v>
      </c>
      <c r="AL375" s="7">
        <f>VLOOKUP($B375,'[9]Subsidiary wise dispatch'!$A$3:$R$138,17,FALSE)*$H375*$O375*365</f>
        <v>255759.20880178554</v>
      </c>
      <c r="AM375" s="7">
        <f>VLOOKUP($B375,'[9]Subsidiary wise dispatch'!$A$3:$R$138,18,FALSE)*$H375*$O375*365</f>
        <v>0</v>
      </c>
      <c r="AN375" s="15">
        <f t="shared" si="278"/>
        <v>478948.86826441204</v>
      </c>
      <c r="AO375" s="6">
        <v>0.10601035704694049</v>
      </c>
      <c r="AP375" s="11">
        <f t="shared" si="279"/>
        <v>0.15919455915004127</v>
      </c>
      <c r="AQ375" s="11"/>
      <c r="AR375" s="3">
        <f>VLOOKUP(A375,[10]Sheet1!$A$2:$L$542,12,FALSE)</f>
        <v>2.99934138309548</v>
      </c>
      <c r="AS375" s="3">
        <f t="shared" si="290"/>
        <v>3.1802072502888694</v>
      </c>
      <c r="AT375" s="2"/>
      <c r="AU375" s="2"/>
      <c r="AV375" s="88">
        <f t="shared" si="291"/>
        <v>-1.3792765159965466E-2</v>
      </c>
      <c r="AW375" s="32">
        <f t="shared" si="292"/>
        <v>4.3370648748482102E-3</v>
      </c>
      <c r="AX375" s="12">
        <f t="shared" si="280"/>
        <v>174.31237139578255</v>
      </c>
      <c r="AY375" s="12">
        <f t="shared" si="281"/>
        <v>0</v>
      </c>
      <c r="AZ375" s="3">
        <f>VLOOKUP(A375,[5]Analysis!$A$3:$BJ$543,62,FALSE)</f>
        <v>0.88466040491129339</v>
      </c>
      <c r="BA375" s="2"/>
      <c r="BB375" s="2"/>
      <c r="BC375" s="2" t="e">
        <f>VLOOKUP(A375,'[6]FGD status - Jun 2020'!$I$2:$M$449,5,FALSE)</f>
        <v>#N/A</v>
      </c>
      <c r="BD375" s="2" t="str">
        <f>VLOOKUP(A375,'[1]daily coal, energy reqd'!$C$2:$L$599,10,FALSE)</f>
        <v>Y</v>
      </c>
      <c r="BE375" s="2"/>
      <c r="BF375" s="2">
        <f t="shared" si="282"/>
        <v>128.89834629156294</v>
      </c>
      <c r="BG375" s="2">
        <f t="shared" si="283"/>
        <v>0</v>
      </c>
      <c r="BH375" s="2"/>
      <c r="BI375" s="2"/>
      <c r="BK375">
        <f t="shared" si="286"/>
        <v>62.570364028814993</v>
      </c>
      <c r="BL375" t="str">
        <f>VLOOKUP(A375,'[11]Daily coal vs energy req.2'!$C$2:$P$599,14,FALSE)</f>
        <v/>
      </c>
      <c r="BM375" t="str">
        <f>VLOOKUP(A375,'[11]Daily coal vs energy req.2'!$C$2:$R$599,16,FALSE)</f>
        <v/>
      </c>
      <c r="BP375" s="2" t="e">
        <f>VLOOKUP(A375,'[7]Table 2'!$J$2:$N$449,5,FALSE)</f>
        <v>#N/A</v>
      </c>
      <c r="BR375">
        <f t="shared" si="293"/>
        <v>165.32299828305227</v>
      </c>
      <c r="BT375">
        <f>(X375*I375*365*[5]Analysis!BK375)/10^4</f>
        <v>70.546209024977642</v>
      </c>
      <c r="BV375">
        <f>(X375*I375*365*[5]Analysis!BL375)/10^4</f>
        <v>94.776789258074601</v>
      </c>
      <c r="BX375">
        <f t="shared" si="294"/>
        <v>524792.57778364024</v>
      </c>
      <c r="BZ375">
        <f t="shared" si="295"/>
        <v>2511878.6898450106</v>
      </c>
      <c r="CB375">
        <f t="shared" si="296"/>
        <v>-92118.716986045591</v>
      </c>
      <c r="CD375">
        <f t="shared" si="297"/>
        <v>0</v>
      </c>
      <c r="CF375">
        <f t="shared" si="298"/>
        <v>978715.87316193571</v>
      </c>
      <c r="CH375">
        <f t="shared" si="299"/>
        <v>409669.55360288761</v>
      </c>
      <c r="CJ375">
        <f t="shared" si="300"/>
        <v>-99425.30956761149</v>
      </c>
      <c r="CL375">
        <f t="shared" si="301"/>
        <v>450050.02327776927</v>
      </c>
    </row>
    <row r="376" spans="1:90" x14ac:dyDescent="0.2">
      <c r="A376" s="2" t="s">
        <v>443</v>
      </c>
      <c r="B376" s="2" t="str">
        <f t="shared" si="309"/>
        <v>KOTA TPS</v>
      </c>
      <c r="C376" s="2" t="str">
        <f>VLOOKUP($A376,'[1]daily coal, energy reqd'!$C$2:$T$599,17,FALSE)</f>
        <v>Rajasthan</v>
      </c>
      <c r="D376" s="2" t="str">
        <f>VLOOKUP(C376,'Target PLF'!$I$2:$J$19,2,FALSE)</f>
        <v>NR</v>
      </c>
      <c r="E376" s="2" t="str">
        <f>VLOOKUP(A376,[2]Ownership!$C$2:$D$666,2,FALSE)</f>
        <v>STATE SECTOR</v>
      </c>
      <c r="F376" s="2" t="s">
        <v>548</v>
      </c>
      <c r="G376" s="12">
        <v>31.671457905544099</v>
      </c>
      <c r="H376" s="2">
        <v>210</v>
      </c>
      <c r="I376" s="2">
        <f>VLOOKUP(A376,'[3]Calculated coal req (reg.)'!$A$2:$I$599,9,FALSE)</f>
        <v>3.4471937722234398</v>
      </c>
      <c r="J376" s="2"/>
      <c r="K376" s="11">
        <v>0.68396701829830153</v>
      </c>
      <c r="L376" s="3">
        <f>VLOOKUP(F376,'Target PLF'!$A$2:$B$11,2,FALSE)</f>
        <v>0.6</v>
      </c>
      <c r="M376" s="3">
        <f t="shared" si="289"/>
        <v>-8.3967018298301555E-2</v>
      </c>
      <c r="N376" s="2" t="str">
        <f t="shared" si="268"/>
        <v>0.25</v>
      </c>
      <c r="O376" s="2">
        <f t="shared" si="310"/>
        <v>12.846435494847867</v>
      </c>
      <c r="P376" s="2">
        <f t="shared" si="269"/>
        <v>984679.28068008902</v>
      </c>
      <c r="Q376" s="2">
        <f t="shared" si="270"/>
        <v>15.156502179158108</v>
      </c>
      <c r="R376" s="2">
        <f t="shared" si="271"/>
        <v>3.024</v>
      </c>
      <c r="S376" s="2"/>
      <c r="T376" s="2" t="str">
        <f>VLOOKUP(A376,'[4]CEA vs MERIT comp. &amp; NPA marker'!$C$2:$K$735,9,FALSE)</f>
        <v>Contracted</v>
      </c>
      <c r="U376" s="3">
        <f>VLOOKUP(B376,'[8]Import-Domestic share'!$A$208:$F$406,6,FALSE)</f>
        <v>0</v>
      </c>
      <c r="V376" s="3">
        <f t="shared" si="272"/>
        <v>0</v>
      </c>
      <c r="W376" s="2">
        <f t="shared" si="273"/>
        <v>3267.0503429712521</v>
      </c>
      <c r="X376" s="2">
        <f t="shared" si="274"/>
        <v>3239.2932649719605</v>
      </c>
      <c r="Y376" s="6">
        <f t="shared" si="275"/>
        <v>0.26323438873545618</v>
      </c>
      <c r="Z376" s="2"/>
      <c r="AA376" s="2">
        <f t="shared" si="276"/>
        <v>908319.91871764383</v>
      </c>
      <c r="AB376" s="2" t="s">
        <v>576</v>
      </c>
      <c r="AC376" s="12">
        <f>VLOOKUP(B376,[9]Sheet1!$A$2:$B$137,2,FALSE)</f>
        <v>4487.1438342904594</v>
      </c>
      <c r="AD376" s="12">
        <f t="shared" si="277"/>
        <v>942300.20520099648</v>
      </c>
      <c r="AE376" s="2"/>
      <c r="AF376" s="7">
        <f>VLOOKUP($B376,'[9]Subsidiary wise dispatch'!$A$3:$R$138,11,FALSE)*$H376*$O376*365</f>
        <v>0</v>
      </c>
      <c r="AG376" s="7">
        <f>VLOOKUP($B376,'[9]Subsidiary wise dispatch'!$A$3:$R$138,12,FALSE)*$H376*$O376*365</f>
        <v>0</v>
      </c>
      <c r="AH376" s="7">
        <f>VLOOKUP($B376,'[9]Subsidiary wise dispatch'!$A$3:$R$138,13,FALSE)*$H376*$O376*365</f>
        <v>0</v>
      </c>
      <c r="AI376" s="7">
        <f>VLOOKUP($B376,'[9]Subsidiary wise dispatch'!$A$3:$R$138,14,FALSE)*$H376*$O376*365</f>
        <v>0</v>
      </c>
      <c r="AJ376" s="7">
        <f>VLOOKUP($B376,'[9]Subsidiary wise dispatch'!$A$3:$R$138,15,FALSE)*$H376*$O376*365</f>
        <v>458859.48980584112</v>
      </c>
      <c r="AK376" s="7">
        <f>VLOOKUP($B376,'[9]Subsidiary wise dispatch'!$A$3:$R$138,16,FALSE)*$H376*$O376*365</f>
        <v>0</v>
      </c>
      <c r="AL376" s="7">
        <f>VLOOKUP($B376,'[9]Subsidiary wise dispatch'!$A$3:$R$138,17,FALSE)*$H376*$O376*365</f>
        <v>525819.79087424802</v>
      </c>
      <c r="AM376" s="7">
        <f>VLOOKUP($B376,'[9]Subsidiary wise dispatch'!$A$3:$R$138,18,FALSE)*$H376*$O376*365</f>
        <v>0</v>
      </c>
      <c r="AN376" s="15">
        <f t="shared" si="278"/>
        <v>984679.28068008914</v>
      </c>
      <c r="AO376" s="6">
        <v>0.10601035704694049</v>
      </c>
      <c r="AP376" s="11">
        <f t="shared" si="279"/>
        <v>0.36543824260339652</v>
      </c>
      <c r="AQ376" s="11"/>
      <c r="AR376" s="3">
        <f>VLOOKUP(A376,[10]Sheet1!$A$2:$L$542,12,FALSE)</f>
        <v>2.99934138309548</v>
      </c>
      <c r="AS376" s="3">
        <f t="shared" si="290"/>
        <v>3.0642819372488375</v>
      </c>
      <c r="AT376" s="2"/>
      <c r="AU376" s="2"/>
      <c r="AV376" s="88">
        <f t="shared" si="291"/>
        <v>-6.153271034936135E-2</v>
      </c>
      <c r="AW376" s="32">
        <f t="shared" si="292"/>
        <v>2.0080629527388209E-2</v>
      </c>
      <c r="AX376" s="12">
        <f t="shared" si="280"/>
        <v>385.55583678036544</v>
      </c>
      <c r="AY376" s="12">
        <f t="shared" si="281"/>
        <v>0</v>
      </c>
      <c r="AZ376" s="3">
        <f>VLOOKUP(A376,[5]Analysis!$A$3:$BJ$543,62,FALSE)</f>
        <v>0.88466040491129339</v>
      </c>
      <c r="BA376" s="2"/>
      <c r="BB376" s="2"/>
      <c r="BC376" s="2" t="e">
        <f>VLOOKUP(A376,'[6]FGD status - Jun 2020'!$I$2:$M$449,5,FALSE)</f>
        <v>#N/A</v>
      </c>
      <c r="BD376" s="2" t="str">
        <f>VLOOKUP(A376,'[1]daily coal, energy reqd'!$C$2:$L$599,10,FALSE)</f>
        <v>Y</v>
      </c>
      <c r="BE376" s="2"/>
      <c r="BF376" s="2">
        <f t="shared" si="282"/>
        <v>281.12501484311076</v>
      </c>
      <c r="BG376" s="2">
        <f t="shared" si="283"/>
        <v>0</v>
      </c>
      <c r="BH376" s="2"/>
      <c r="BI376" s="2"/>
      <c r="BK376">
        <f t="shared" si="286"/>
        <v>143.63307384264331</v>
      </c>
      <c r="BL376">
        <f>VLOOKUP(A376,'[11]Daily coal vs energy req.2'!$C$2:$P$599,14,FALSE)</f>
        <v>1.57</v>
      </c>
      <c r="BM376">
        <f>VLOOKUP(A376,'[11]Daily coal vs energy req.2'!$C$2:$R$599,16,FALSE)</f>
        <v>1.64</v>
      </c>
      <c r="BN376">
        <f>BL376*H376</f>
        <v>329.7</v>
      </c>
      <c r="BO376">
        <f>BM376*H376</f>
        <v>344.4</v>
      </c>
      <c r="BP376" s="2" t="e">
        <f>VLOOKUP(A376,'[7]Table 2'!$J$2:$N$449,5,FALSE)</f>
        <v>#N/A</v>
      </c>
      <c r="BR376">
        <f t="shared" si="293"/>
        <v>360.56653699111695</v>
      </c>
      <c r="BT376">
        <f>(X376*I376*365*[5]Analysis!BK376)/10^4</f>
        <v>153.86003490232642</v>
      </c>
      <c r="BV376">
        <f>(X376*I376*365*[5]Analysis!BL376)/10^4</f>
        <v>206.70650208879053</v>
      </c>
      <c r="BX376">
        <f t="shared" si="294"/>
        <v>1144563.3358652091</v>
      </c>
      <c r="BZ376">
        <f t="shared" si="295"/>
        <v>5766130.0672011366</v>
      </c>
      <c r="CB376">
        <f t="shared" si="296"/>
        <v>-254268.64996068337</v>
      </c>
      <c r="CD376">
        <f t="shared" si="297"/>
        <v>0</v>
      </c>
      <c r="CF376">
        <f t="shared" si="298"/>
        <v>2246686.1342871077</v>
      </c>
      <c r="CH376">
        <f t="shared" si="299"/>
        <v>808405.92756031197</v>
      </c>
      <c r="CJ376">
        <f t="shared" si="300"/>
        <v>-435721.84561527061</v>
      </c>
      <c r="CL376">
        <f t="shared" si="301"/>
        <v>1033109.9911224764</v>
      </c>
    </row>
    <row r="377" spans="1:90" x14ac:dyDescent="0.2">
      <c r="A377" s="2" t="s">
        <v>435</v>
      </c>
      <c r="B377" s="2" t="str">
        <f t="shared" si="309"/>
        <v>KOTA TPS</v>
      </c>
      <c r="C377" s="2" t="str">
        <f>VLOOKUP($A377,'[1]daily coal, energy reqd'!$C$2:$T$599,17,FALSE)</f>
        <v>Rajasthan</v>
      </c>
      <c r="D377" s="2" t="str">
        <f>VLOOKUP(C377,'Target PLF'!$I$2:$J$19,2,FALSE)</f>
        <v>NR</v>
      </c>
      <c r="E377" s="2" t="str">
        <f>VLOOKUP(A377,[2]Ownership!$C$2:$D$666,2,FALSE)</f>
        <v>STATE SECTOR</v>
      </c>
      <c r="F377" s="2" t="s">
        <v>548</v>
      </c>
      <c r="G377" s="12">
        <v>31.008898015058101</v>
      </c>
      <c r="H377" s="2">
        <v>210</v>
      </c>
      <c r="I377" s="2">
        <f>VLOOKUP(A377,'[3]Calculated coal req (reg.)'!$A$2:$I$599,9,FALSE)</f>
        <v>3.4831962014458799</v>
      </c>
      <c r="J377" s="2"/>
      <c r="K377" s="11">
        <v>0.69111035742973814</v>
      </c>
      <c r="L377" s="3">
        <f>VLOOKUP(F377,'Target PLF'!$A$2:$B$11,2,FALSE)</f>
        <v>0.6</v>
      </c>
      <c r="M377" s="3">
        <f t="shared" si="289"/>
        <v>-9.1110357429738165E-2</v>
      </c>
      <c r="N377" s="2" t="str">
        <f t="shared" si="268"/>
        <v>0.25</v>
      </c>
      <c r="O377" s="2">
        <f t="shared" si="310"/>
        <v>12.92483633065414</v>
      </c>
      <c r="P377" s="2">
        <f t="shared" si="269"/>
        <v>990688.70474463981</v>
      </c>
      <c r="Q377" s="2">
        <f t="shared" si="270"/>
        <v>15.135515594626964</v>
      </c>
      <c r="R377" s="2">
        <f t="shared" si="271"/>
        <v>3.024</v>
      </c>
      <c r="S377" s="2"/>
      <c r="T377" s="2" t="str">
        <f>VLOOKUP(A377,'[4]CEA vs MERIT comp. &amp; NPA marker'!$C$2:$K$735,9,FALSE)</f>
        <v>Contracted</v>
      </c>
      <c r="U377" s="3">
        <f>VLOOKUP(B377,'[8]Import-Domestic share'!$A$208:$F$406,6,FALSE)</f>
        <v>0</v>
      </c>
      <c r="V377" s="3">
        <f t="shared" si="272"/>
        <v>0</v>
      </c>
      <c r="W377" s="2">
        <f t="shared" si="273"/>
        <v>3261.9880296132778</v>
      </c>
      <c r="X377" s="2">
        <f t="shared" si="274"/>
        <v>3231.8695694253006</v>
      </c>
      <c r="Y377" s="6">
        <f t="shared" si="275"/>
        <v>0.2636429049379303</v>
      </c>
      <c r="Z377" s="2"/>
      <c r="AA377" s="2">
        <f t="shared" si="276"/>
        <v>915702.99985566398</v>
      </c>
      <c r="AB377" s="2" t="s">
        <v>576</v>
      </c>
      <c r="AC377" s="12">
        <f>VLOOKUP(B377,[9]Sheet1!$A$2:$B$137,2,FALSE)</f>
        <v>4487.1438342904594</v>
      </c>
      <c r="AD377" s="12">
        <f t="shared" si="277"/>
        <v>942300.20520099648</v>
      </c>
      <c r="AE377" s="2"/>
      <c r="AF377" s="7">
        <f>VLOOKUP($B377,'[9]Subsidiary wise dispatch'!$A$3:$R$138,11,FALSE)*$H377*$O377*365</f>
        <v>0</v>
      </c>
      <c r="AG377" s="7">
        <f>VLOOKUP($B377,'[9]Subsidiary wise dispatch'!$A$3:$R$138,12,FALSE)*$H377*$O377*365</f>
        <v>0</v>
      </c>
      <c r="AH377" s="7">
        <f>VLOOKUP($B377,'[9]Subsidiary wise dispatch'!$A$3:$R$138,13,FALSE)*$H377*$O377*365</f>
        <v>0</v>
      </c>
      <c r="AI377" s="7">
        <f>VLOOKUP($B377,'[9]Subsidiary wise dispatch'!$A$3:$R$138,14,FALSE)*$H377*$O377*365</f>
        <v>0</v>
      </c>
      <c r="AJ377" s="7">
        <f>VLOOKUP($B377,'[9]Subsidiary wise dispatch'!$A$3:$R$138,15,FALSE)*$H377*$O377*365</f>
        <v>461659.87498138996</v>
      </c>
      <c r="AK377" s="7">
        <f>VLOOKUP($B377,'[9]Subsidiary wise dispatch'!$A$3:$R$138,16,FALSE)*$H377*$O377*365</f>
        <v>0</v>
      </c>
      <c r="AL377" s="7">
        <f>VLOOKUP($B377,'[9]Subsidiary wise dispatch'!$A$3:$R$138,17,FALSE)*$H377*$O377*365</f>
        <v>529028.82976324984</v>
      </c>
      <c r="AM377" s="7">
        <f>VLOOKUP($B377,'[9]Subsidiary wise dispatch'!$A$3:$R$138,18,FALSE)*$H377*$O377*365</f>
        <v>0</v>
      </c>
      <c r="AN377" s="15">
        <f t="shared" si="278"/>
        <v>990688.70474463981</v>
      </c>
      <c r="AO377" s="6">
        <v>0.10601035704694049</v>
      </c>
      <c r="AP377" s="11">
        <f t="shared" si="279"/>
        <v>0.36925487297982457</v>
      </c>
      <c r="AQ377" s="11"/>
      <c r="AR377" s="3">
        <f>VLOOKUP(A377,[10]Sheet1!$A$2:$L$542,12,FALSE)</f>
        <v>2.99934138309548</v>
      </c>
      <c r="AS377" s="3">
        <f t="shared" si="290"/>
        <v>3.0586150837462016</v>
      </c>
      <c r="AT377" s="2"/>
      <c r="AU377" s="2"/>
      <c r="AV377" s="88">
        <f t="shared" si="291"/>
        <v>-6.6767492131660722E-2</v>
      </c>
      <c r="AW377" s="32">
        <f t="shared" si="292"/>
        <v>2.1829321540480891E-2</v>
      </c>
      <c r="AX377" s="12">
        <f t="shared" si="280"/>
        <v>388.86211011072925</v>
      </c>
      <c r="AY377" s="12">
        <f t="shared" si="281"/>
        <v>0</v>
      </c>
      <c r="AZ377" s="3">
        <f>VLOOKUP(A377,[5]Analysis!$A$3:$BJ$543,62,FALSE)</f>
        <v>0.88466040491129339</v>
      </c>
      <c r="BA377" s="2"/>
      <c r="BB377" s="2"/>
      <c r="BC377" s="2" t="e">
        <f>VLOOKUP(A377,'[6]FGD status - Jun 2020'!$I$2:$M$449,5,FALSE)</f>
        <v>#N/A</v>
      </c>
      <c r="BD377" s="2" t="str">
        <f>VLOOKUP(A377,'[1]daily coal, energy reqd'!$C$2:$L$599,10,FALSE)</f>
        <v>Y</v>
      </c>
      <c r="BE377" s="2"/>
      <c r="BF377" s="2">
        <f t="shared" si="282"/>
        <v>283.41007845532801</v>
      </c>
      <c r="BG377" s="2">
        <f t="shared" si="283"/>
        <v>0</v>
      </c>
      <c r="BH377" s="2"/>
      <c r="BI377" s="2"/>
      <c r="BK377">
        <f t="shared" si="286"/>
        <v>145.13317506024501</v>
      </c>
      <c r="BL377">
        <f>VLOOKUP(A377,'[11]Daily coal vs energy req.2'!$C$2:$P$599,14,FALSE)</f>
        <v>1.68</v>
      </c>
      <c r="BM377">
        <f>VLOOKUP(A377,'[11]Daily coal vs energy req.2'!$C$2:$R$599,16,FALSE)</f>
        <v>1.74</v>
      </c>
      <c r="BN377">
        <f>BL377*H377</f>
        <v>352.8</v>
      </c>
      <c r="BO377">
        <f>BM377*H377</f>
        <v>365.4</v>
      </c>
      <c r="BP377" s="2" t="e">
        <f>VLOOKUP(A377,'[7]Table 2'!$J$2:$N$449,5,FALSE)</f>
        <v>#N/A</v>
      </c>
      <c r="BR377">
        <f t="shared" si="293"/>
        <v>363.49732375842541</v>
      </c>
      <c r="BT377">
        <f>(X377*I377*365*[5]Analysis!BK377)/10^4</f>
        <v>155.110652771839</v>
      </c>
      <c r="BV377">
        <f>(X377*I377*365*[5]Analysis!BL377)/10^4</f>
        <v>208.38667098658641</v>
      </c>
      <c r="BX377">
        <f t="shared" si="294"/>
        <v>1153866.6702985507</v>
      </c>
      <c r="BZ377">
        <f t="shared" si="295"/>
        <v>5826351.4250210924</v>
      </c>
      <c r="CB377">
        <f t="shared" si="296"/>
        <v>-259607.53909558081</v>
      </c>
      <c r="CD377">
        <f t="shared" si="297"/>
        <v>0</v>
      </c>
      <c r="CF377">
        <f t="shared" si="298"/>
        <v>2270150.4835170428</v>
      </c>
      <c r="CH377">
        <f t="shared" si="299"/>
        <v>799760.60609133751</v>
      </c>
      <c r="CJ377">
        <f t="shared" si="300"/>
        <v>-440272.51666655781</v>
      </c>
      <c r="CL377">
        <f t="shared" si="301"/>
        <v>1043899.7731283752</v>
      </c>
    </row>
    <row r="378" spans="1:90" x14ac:dyDescent="0.2">
      <c r="A378" s="2" t="s">
        <v>406</v>
      </c>
      <c r="B378" s="2" t="str">
        <f t="shared" si="309"/>
        <v>KOTA TPS</v>
      </c>
      <c r="C378" s="2" t="str">
        <f>VLOOKUP($A378,'[1]daily coal, energy reqd'!$C$2:$T$599,17,FALSE)</f>
        <v>Rajasthan</v>
      </c>
      <c r="D378" s="2" t="str">
        <f>VLOOKUP(C378,'Target PLF'!$I$2:$J$19,2,FALSE)</f>
        <v>NR</v>
      </c>
      <c r="E378" s="2" t="str">
        <f>VLOOKUP(A378,[2]Ownership!$C$2:$D$666,2,FALSE)</f>
        <v>STATE SECTOR</v>
      </c>
      <c r="F378" s="2" t="s">
        <v>547</v>
      </c>
      <c r="G378" s="12">
        <v>26.176591375769998</v>
      </c>
      <c r="H378" s="2">
        <v>210</v>
      </c>
      <c r="I378" s="2">
        <f>VLOOKUP(A378,'[3]Calculated coal req (reg.)'!$A$2:$I$599,9,FALSE)</f>
        <v>3.5915788387506802</v>
      </c>
      <c r="J378" s="2"/>
      <c r="K378" s="11">
        <v>0.71261484895846827</v>
      </c>
      <c r="L378" s="3">
        <f>VLOOKUP(F378,'Target PLF'!$A$2:$B$11,2,FALSE)</f>
        <v>0.65</v>
      </c>
      <c r="M378" s="3">
        <f t="shared" si="289"/>
        <v>-6.261484895846825E-2</v>
      </c>
      <c r="N378" s="2" t="str">
        <f t="shared" si="268"/>
        <v>0.25</v>
      </c>
      <c r="O378" s="2">
        <f t="shared" si="310"/>
        <v>13.07097145984137</v>
      </c>
      <c r="P378" s="2">
        <f t="shared" si="269"/>
        <v>1001889.962396841</v>
      </c>
      <c r="Q378" s="2">
        <f t="shared" si="270"/>
        <v>14.982452281827515</v>
      </c>
      <c r="R378" s="2">
        <f t="shared" si="271"/>
        <v>3.2759999999999998</v>
      </c>
      <c r="S378" s="2"/>
      <c r="T378" s="2" t="str">
        <f>VLOOKUP(A378,'[4]CEA vs MERIT comp. &amp; NPA marker'!$C$2:$K$735,9,FALSE)</f>
        <v>Contracted</v>
      </c>
      <c r="U378" s="3">
        <f>VLOOKUP(B378,'[8]Import-Domestic share'!$A$208:$F$406,6,FALSE)</f>
        <v>0</v>
      </c>
      <c r="V378" s="3">
        <f t="shared" si="272"/>
        <v>0</v>
      </c>
      <c r="W378" s="2">
        <f t="shared" si="273"/>
        <v>3208.5380519404516</v>
      </c>
      <c r="X378" s="2">
        <f t="shared" si="274"/>
        <v>3187.839386182432</v>
      </c>
      <c r="Y378" s="6">
        <f t="shared" si="275"/>
        <v>0.2680348451781307</v>
      </c>
      <c r="Z378" s="2"/>
      <c r="AA378" s="2">
        <f t="shared" si="276"/>
        <v>931332.39535079943</v>
      </c>
      <c r="AB378" s="2" t="s">
        <v>576</v>
      </c>
      <c r="AC378" s="12">
        <f>VLOOKUP(B378,[9]Sheet1!$A$2:$B$137,2,FALSE)</f>
        <v>4487.1438342904594</v>
      </c>
      <c r="AD378" s="12">
        <f t="shared" si="277"/>
        <v>942300.20520099648</v>
      </c>
      <c r="AE378" s="2"/>
      <c r="AF378" s="7">
        <f>VLOOKUP($B378,'[9]Subsidiary wise dispatch'!$A$3:$R$138,11,FALSE)*$H378*$O378*365</f>
        <v>0</v>
      </c>
      <c r="AG378" s="7">
        <f>VLOOKUP($B378,'[9]Subsidiary wise dispatch'!$A$3:$R$138,12,FALSE)*$H378*$O378*365</f>
        <v>0</v>
      </c>
      <c r="AH378" s="7">
        <f>VLOOKUP($B378,'[9]Subsidiary wise dispatch'!$A$3:$R$138,13,FALSE)*$H378*$O378*365</f>
        <v>0</v>
      </c>
      <c r="AI378" s="7">
        <f>VLOOKUP($B378,'[9]Subsidiary wise dispatch'!$A$3:$R$138,14,FALSE)*$H378*$O378*365</f>
        <v>0</v>
      </c>
      <c r="AJ378" s="7">
        <f>VLOOKUP($B378,'[9]Subsidiary wise dispatch'!$A$3:$R$138,15,FALSE)*$H378*$O378*365</f>
        <v>466879.64904622349</v>
      </c>
      <c r="AK378" s="7">
        <f>VLOOKUP($B378,'[9]Subsidiary wise dispatch'!$A$3:$R$138,16,FALSE)*$H378*$O378*365</f>
        <v>0</v>
      </c>
      <c r="AL378" s="7">
        <f>VLOOKUP($B378,'[9]Subsidiary wise dispatch'!$A$3:$R$138,17,FALSE)*$H378*$O378*365</f>
        <v>535010.31335061754</v>
      </c>
      <c r="AM378" s="7">
        <f>VLOOKUP($B378,'[9]Subsidiary wise dispatch'!$A$3:$R$138,18,FALSE)*$H378*$O378*365</f>
        <v>0</v>
      </c>
      <c r="AN378" s="15">
        <f t="shared" si="278"/>
        <v>1001889.962396841</v>
      </c>
      <c r="AO378" s="6">
        <v>0.10601035704694049</v>
      </c>
      <c r="AP378" s="11">
        <f t="shared" si="279"/>
        <v>0.38074455505819554</v>
      </c>
      <c r="AQ378" s="11"/>
      <c r="AR378" s="3">
        <f>VLOOKUP(A378,[10]Sheet1!$A$2:$L$542,12,FALSE)</f>
        <v>2.99934138309548</v>
      </c>
      <c r="AS378" s="3">
        <f t="shared" si="290"/>
        <v>3.0183211754531989</v>
      </c>
      <c r="AT378" s="2"/>
      <c r="AU378" s="2"/>
      <c r="AV378" s="88">
        <f t="shared" si="291"/>
        <v>-4.5885413613744708E-2</v>
      </c>
      <c r="AW378" s="32">
        <f t="shared" si="292"/>
        <v>1.5202296557076979E-2</v>
      </c>
      <c r="AX378" s="12">
        <f t="shared" si="280"/>
        <v>395.67965387434373</v>
      </c>
      <c r="AY378" s="12">
        <f t="shared" si="281"/>
        <v>0</v>
      </c>
      <c r="AZ378" s="3">
        <f>VLOOKUP(A378,[5]Analysis!$A$3:$BJ$543,62,FALSE)</f>
        <v>0.88466040491129339</v>
      </c>
      <c r="BA378" s="2"/>
      <c r="BB378" s="2"/>
      <c r="BC378" s="2" t="str">
        <f>VLOOKUP(A378,'[6]FGD status - Jun 2020'!$I$2:$M$449,5,FALSE)</f>
        <v>Tender specification made</v>
      </c>
      <c r="BD378" s="2" t="str">
        <f>VLOOKUP(A378,'[1]daily coal, energy reqd'!$C$2:$L$599,10,FALSE)</f>
        <v>Y</v>
      </c>
      <c r="BE378" s="2"/>
      <c r="BF378" s="2">
        <f t="shared" si="282"/>
        <v>288.24737636107244</v>
      </c>
      <c r="BG378" s="2">
        <f t="shared" si="283"/>
        <v>0</v>
      </c>
      <c r="BH378" s="2">
        <f>IF(G378&lt;17,IF(H378&gt;400,H378*5000000,H378*3500000),H378*1500000)/10^7</f>
        <v>31.5</v>
      </c>
      <c r="BI378" s="2">
        <f>(H378*800000)/10^7</f>
        <v>16.8</v>
      </c>
      <c r="BK378">
        <f t="shared" si="286"/>
        <v>149.64911828127833</v>
      </c>
      <c r="BL378">
        <f>VLOOKUP(A378,'[11]Daily coal vs energy req.2'!$C$2:$P$599,14,FALSE)</f>
        <v>0.92</v>
      </c>
      <c r="BM378">
        <f>VLOOKUP(A378,'[11]Daily coal vs energy req.2'!$C$2:$R$599,16,FALSE)</f>
        <v>0.95</v>
      </c>
      <c r="BN378">
        <f>BL378*H378</f>
        <v>193.20000000000002</v>
      </c>
      <c r="BO378">
        <f>BM378*H378</f>
        <v>199.5</v>
      </c>
      <c r="BP378" s="2" t="str">
        <f>VLOOKUP(A378,'[7]Table 2'!$J$2:$N$449,5,FALSE)</f>
        <v>Tender specification made</v>
      </c>
      <c r="BR378">
        <f t="shared" si="293"/>
        <v>369.70156622059852</v>
      </c>
      <c r="BT378">
        <f>(X378*I378*365*[5]Analysis!BK378)/10^4</f>
        <v>157.75811132342375</v>
      </c>
      <c r="BV378">
        <f>(X378*I378*365*[5]Analysis!BL378)/10^4</f>
        <v>211.94345489717472</v>
      </c>
      <c r="BX378">
        <f t="shared" si="294"/>
        <v>1173561.0892767501</v>
      </c>
      <c r="BZ378">
        <f t="shared" si="295"/>
        <v>6007643.3468043795</v>
      </c>
      <c r="CB378">
        <f t="shared" si="296"/>
        <v>-276014.71271482797</v>
      </c>
      <c r="CD378">
        <f t="shared" si="297"/>
        <v>0</v>
      </c>
      <c r="CF378">
        <f t="shared" si="298"/>
        <v>2340788.1628933041</v>
      </c>
      <c r="CH378">
        <f t="shared" si="299"/>
        <v>696136.22706566053</v>
      </c>
      <c r="CJ378">
        <f t="shared" si="300"/>
        <v>-453971.97363924724</v>
      </c>
      <c r="CL378">
        <f t="shared" si="301"/>
        <v>1076381.6099099412</v>
      </c>
    </row>
    <row r="379" spans="1:90" x14ac:dyDescent="0.2">
      <c r="A379" s="2" t="s">
        <v>351</v>
      </c>
      <c r="B379" s="2" t="str">
        <f t="shared" si="309"/>
        <v>KOTA TPS</v>
      </c>
      <c r="C379" s="2" t="str">
        <f>VLOOKUP($A379,'[1]daily coal, energy reqd'!$C$2:$T$599,17,FALSE)</f>
        <v>Rajasthan</v>
      </c>
      <c r="D379" s="2" t="str">
        <f>VLOOKUP(C379,'Target PLF'!$I$2:$J$19,2,FALSE)</f>
        <v>NR</v>
      </c>
      <c r="E379" s="2" t="str">
        <f>VLOOKUP(A379,[2]Ownership!$C$2:$D$666,2,FALSE)</f>
        <v>STATE SECTOR</v>
      </c>
      <c r="F379" s="2" t="s">
        <v>545</v>
      </c>
      <c r="G379" s="12">
        <v>16.843258042436599</v>
      </c>
      <c r="H379" s="2">
        <v>195</v>
      </c>
      <c r="I379" s="2">
        <f>VLOOKUP(A379,'[3]Calculated coal req (reg.)'!$A$2:$I$599,9,FALSE)</f>
        <v>3.8860217673958699</v>
      </c>
      <c r="J379" s="2"/>
      <c r="K379" s="11">
        <v>0.83034653149484405</v>
      </c>
      <c r="L379" s="3">
        <f>VLOOKUP(F379,'Target PLF'!$A$2:$B$11,2,FALSE)</f>
        <v>0.75</v>
      </c>
      <c r="M379" s="3">
        <f t="shared" si="289"/>
        <v>-8.0346531494844053E-2</v>
      </c>
      <c r="N379" s="2" t="str">
        <f t="shared" si="268"/>
        <v>0.25</v>
      </c>
      <c r="O379" s="2">
        <f t="shared" si="310"/>
        <v>14.491492845141392</v>
      </c>
      <c r="P379" s="2">
        <f t="shared" si="269"/>
        <v>1031432.0032529385</v>
      </c>
      <c r="Q379" s="2">
        <f t="shared" si="270"/>
        <v>14.764937448494178</v>
      </c>
      <c r="R379" s="2">
        <f t="shared" si="271"/>
        <v>3.51</v>
      </c>
      <c r="S379" s="2"/>
      <c r="T379" s="2" t="str">
        <f>VLOOKUP(A379,'[4]CEA vs MERIT comp. &amp; NPA marker'!$C$2:$K$735,9,FALSE)</f>
        <v>Contracted</v>
      </c>
      <c r="U379" s="3">
        <f>VLOOKUP(B379,'[8]Import-Domestic share'!$A$208:$F$406,6,FALSE)</f>
        <v>0</v>
      </c>
      <c r="V379" s="3">
        <f t="shared" si="272"/>
        <v>0</v>
      </c>
      <c r="W379" s="2">
        <f t="shared" si="273"/>
        <v>3118.0553877737848</v>
      </c>
      <c r="X379" s="2">
        <f t="shared" si="274"/>
        <v>3091.4951384416963</v>
      </c>
      <c r="Y379" s="6">
        <f t="shared" si="275"/>
        <v>0.27581293243607802</v>
      </c>
      <c r="Z379" s="2"/>
      <c r="AA379" s="2">
        <f t="shared" si="276"/>
        <v>977229.72866194206</v>
      </c>
      <c r="AB379" s="2" t="s">
        <v>576</v>
      </c>
      <c r="AC379" s="12">
        <f>VLOOKUP(B379,[9]Sheet1!$A$2:$B$137,2,FALSE)</f>
        <v>4487.1438342904594</v>
      </c>
      <c r="AD379" s="12">
        <f t="shared" si="277"/>
        <v>874993.04768663959</v>
      </c>
      <c r="AE379" s="2"/>
      <c r="AF379" s="7">
        <f>VLOOKUP($B379,'[9]Subsidiary wise dispatch'!$A$3:$R$138,11,FALSE)*$H379*$O379*365</f>
        <v>0</v>
      </c>
      <c r="AG379" s="7">
        <f>VLOOKUP($B379,'[9]Subsidiary wise dispatch'!$A$3:$R$138,12,FALSE)*$H379*$O379*365</f>
        <v>0</v>
      </c>
      <c r="AH379" s="7">
        <f>VLOOKUP($B379,'[9]Subsidiary wise dispatch'!$A$3:$R$138,13,FALSE)*$H379*$O379*365</f>
        <v>0</v>
      </c>
      <c r="AI379" s="7">
        <f>VLOOKUP($B379,'[9]Subsidiary wise dispatch'!$A$3:$R$138,14,FALSE)*$H379*$O379*365</f>
        <v>0</v>
      </c>
      <c r="AJ379" s="7">
        <f>VLOOKUP($B379,'[9]Subsidiary wise dispatch'!$A$3:$R$138,15,FALSE)*$H379*$O379*365</f>
        <v>480646.20843365137</v>
      </c>
      <c r="AK379" s="7">
        <f>VLOOKUP($B379,'[9]Subsidiary wise dispatch'!$A$3:$R$138,16,FALSE)*$H379*$O379*365</f>
        <v>0</v>
      </c>
      <c r="AL379" s="7">
        <f>VLOOKUP($B379,'[9]Subsidiary wise dispatch'!$A$3:$R$138,17,FALSE)*$H379*$O379*365</f>
        <v>550785.79481928726</v>
      </c>
      <c r="AM379" s="7">
        <f>VLOOKUP($B379,'[9]Subsidiary wise dispatch'!$A$3:$R$138,18,FALSE)*$H379*$O379*365</f>
        <v>0</v>
      </c>
      <c r="AN379" s="15">
        <f t="shared" si="278"/>
        <v>1031432.0032529386</v>
      </c>
      <c r="AO379" s="6">
        <v>0.10601035704694049</v>
      </c>
      <c r="AP379" s="11">
        <f t="shared" si="279"/>
        <v>0.4119585550538189</v>
      </c>
      <c r="AQ379" s="11"/>
      <c r="AR379" s="3">
        <f>VLOOKUP(A379,[10]Sheet1!$A$2:$L$542,12,FALSE)</f>
        <v>2.99934138309548</v>
      </c>
      <c r="AS379" s="3">
        <f t="shared" si="290"/>
        <v>2.9483657233931067</v>
      </c>
      <c r="AT379" s="2"/>
      <c r="AU379" s="2"/>
      <c r="AV379" s="88">
        <f t="shared" si="291"/>
        <v>-5.887954521005162E-2</v>
      </c>
      <c r="AW379" s="32">
        <f t="shared" si="292"/>
        <v>1.997023121754736E-2</v>
      </c>
      <c r="AX379" s="12">
        <f t="shared" si="280"/>
        <v>418.19558834625616</v>
      </c>
      <c r="AY379" s="12">
        <f t="shared" si="281"/>
        <v>0</v>
      </c>
      <c r="AZ379" s="3">
        <f>VLOOKUP(A379,[5]Analysis!$A$3:$BJ$543,62,FALSE)</f>
        <v>0.88466040491129339</v>
      </c>
      <c r="BA379" s="2"/>
      <c r="BB379" s="2"/>
      <c r="BC379" s="2" t="str">
        <f>VLOOKUP(A379,'[6]FGD status - Jun 2020'!$I$2:$M$449,5,FALSE)</f>
        <v>Tender specification made</v>
      </c>
      <c r="BD379" s="2"/>
      <c r="BE379" s="2"/>
      <c r="BF379" s="2">
        <f t="shared" si="282"/>
        <v>302.45260102087104</v>
      </c>
      <c r="BG379" s="2">
        <f t="shared" si="283"/>
        <v>0</v>
      </c>
      <c r="BH379" s="2">
        <f>IF(G379&lt;17,IF(H379&gt;400,H379*5000000,H379*3500000),H379*1500000)/10^7</f>
        <v>68.25</v>
      </c>
      <c r="BI379" s="2">
        <f>(H379*800000)/10^7</f>
        <v>15.6</v>
      </c>
      <c r="BK379">
        <f t="shared" si="286"/>
        <v>161.91757364149458</v>
      </c>
      <c r="BL379">
        <f>VLOOKUP(A379,'[11]Daily coal vs energy req.2'!$C$2:$P$599,14,FALSE)</f>
        <v>0.86</v>
      </c>
      <c r="BM379">
        <f>VLOOKUP(A379,'[11]Daily coal vs energy req.2'!$C$2:$R$599,16,FALSE)</f>
        <v>0.89</v>
      </c>
      <c r="BN379">
        <f>BL379*H379</f>
        <v>167.7</v>
      </c>
      <c r="BO379">
        <f>BM379*H379</f>
        <v>173.55</v>
      </c>
      <c r="BP379" s="2" t="str">
        <f>VLOOKUP(A379,'[7]Table 2'!$J$2:$N$449,5,FALSE)</f>
        <v>Tender specification made</v>
      </c>
      <c r="BR379">
        <f t="shared" si="293"/>
        <v>387.92096468153892</v>
      </c>
      <c r="BT379">
        <f>(X379*I379*365*[5]Analysis!BK379)/10^4</f>
        <v>165.53264666020888</v>
      </c>
      <c r="BV379">
        <f>(X379*I379*365*[5]Analysis!BL379)/10^4</f>
        <v>222.38831802132995</v>
      </c>
      <c r="BX379">
        <f t="shared" si="294"/>
        <v>1231395.7836827512</v>
      </c>
      <c r="BZ379">
        <f t="shared" si="295"/>
        <v>6500158.8060791595</v>
      </c>
      <c r="CB379">
        <f t="shared" si="296"/>
        <v>-347981.82823677571</v>
      </c>
      <c r="CD379">
        <f t="shared" si="297"/>
        <v>0</v>
      </c>
      <c r="CF379">
        <f t="shared" si="298"/>
        <v>2532689.4277587701</v>
      </c>
      <c r="CH379">
        <f t="shared" si="299"/>
        <v>484648.71836536936</v>
      </c>
      <c r="CJ379">
        <f t="shared" si="300"/>
        <v>-456104.31785013695</v>
      </c>
      <c r="CL379">
        <f t="shared" si="301"/>
        <v>1164624.9613135685</v>
      </c>
    </row>
    <row r="380" spans="1:90" x14ac:dyDescent="0.2">
      <c r="A380" s="2" t="s">
        <v>305</v>
      </c>
      <c r="B380" s="2" t="str">
        <f t="shared" si="309"/>
        <v>KOTA TPS</v>
      </c>
      <c r="C380" s="2" t="str">
        <f>VLOOKUP($A380,'[1]daily coal, energy reqd'!$C$2:$T$599,17,FALSE)</f>
        <v>Rajasthan</v>
      </c>
      <c r="D380" s="2" t="str">
        <f>VLOOKUP(C380,'Target PLF'!$I$2:$J$19,2,FALSE)</f>
        <v>NR</v>
      </c>
      <c r="E380" s="2" t="str">
        <f>VLOOKUP(A380,[2]Ownership!$C$2:$D$666,2,FALSE)</f>
        <v>STATE SECTOR</v>
      </c>
      <c r="F380" s="2" t="s">
        <v>544</v>
      </c>
      <c r="G380" s="12">
        <v>10.757015742642</v>
      </c>
      <c r="H380" s="2">
        <v>195</v>
      </c>
      <c r="I380" s="2">
        <f>VLOOKUP(A380,'[3]Calculated coal req (reg.)'!$A$2:$I$599,9,FALSE)</f>
        <v>4.0497795266630101</v>
      </c>
      <c r="J380" s="2"/>
      <c r="K380" s="11">
        <v>0.86533750569722434</v>
      </c>
      <c r="L380" s="3">
        <f>VLOOKUP(F380,'Target PLF'!$A$2:$B$11,2,FALSE)</f>
        <v>0.8</v>
      </c>
      <c r="M380" s="3">
        <f t="shared" si="289"/>
        <v>-6.5337505697224296E-2</v>
      </c>
      <c r="N380" s="2" t="str">
        <f t="shared" si="268"/>
        <v>0.15</v>
      </c>
      <c r="O380" s="2">
        <f t="shared" si="310"/>
        <v>14.814460741665377</v>
      </c>
      <c r="P380" s="2">
        <f t="shared" si="269"/>
        <v>1054419.2432880332</v>
      </c>
      <c r="Q380" s="2">
        <f t="shared" si="270"/>
        <v>14.601065423648185</v>
      </c>
      <c r="R380" s="2">
        <f t="shared" si="271"/>
        <v>3.7440000000000002</v>
      </c>
      <c r="S380" s="2"/>
      <c r="T380" s="2" t="str">
        <f>VLOOKUP(A380,'[4]CEA vs MERIT comp. &amp; NPA marker'!$C$2:$K$735,9,FALSE)</f>
        <v>Contracted</v>
      </c>
      <c r="U380" s="3">
        <f>VLOOKUP(B380,'[8]Import-Domestic share'!$A$208:$F$406,6,FALSE)</f>
        <v>0</v>
      </c>
      <c r="V380" s="3">
        <f t="shared" si="272"/>
        <v>0</v>
      </c>
      <c r="W380" s="2">
        <f t="shared" si="273"/>
        <v>3055.0246682912389</v>
      </c>
      <c r="X380" s="2">
        <f t="shared" si="274"/>
        <v>3033.4259706279008</v>
      </c>
      <c r="Y380" s="6">
        <f t="shared" si="275"/>
        <v>0.28150345525066484</v>
      </c>
      <c r="Z380" s="2"/>
      <c r="AA380" s="2">
        <f t="shared" si="276"/>
        <v>999281.05683408317</v>
      </c>
      <c r="AB380" s="2" t="s">
        <v>576</v>
      </c>
      <c r="AC380" s="12">
        <f>VLOOKUP(B380,[9]Sheet1!$A$2:$B$137,2,FALSE)</f>
        <v>4487.1438342904594</v>
      </c>
      <c r="AD380" s="12">
        <f t="shared" si="277"/>
        <v>874993.04768663959</v>
      </c>
      <c r="AE380" s="2"/>
      <c r="AF380" s="7">
        <f>VLOOKUP($B380,'[9]Subsidiary wise dispatch'!$A$3:$R$138,11,FALSE)*$H380*$O380*365</f>
        <v>0</v>
      </c>
      <c r="AG380" s="7">
        <f>VLOOKUP($B380,'[9]Subsidiary wise dispatch'!$A$3:$R$138,12,FALSE)*$H380*$O380*365</f>
        <v>0</v>
      </c>
      <c r="AH380" s="7">
        <f>VLOOKUP($B380,'[9]Subsidiary wise dispatch'!$A$3:$R$138,13,FALSE)*$H380*$O380*365</f>
        <v>0</v>
      </c>
      <c r="AI380" s="7">
        <f>VLOOKUP($B380,'[9]Subsidiary wise dispatch'!$A$3:$R$138,14,FALSE)*$H380*$O380*365</f>
        <v>0</v>
      </c>
      <c r="AJ380" s="7">
        <f>VLOOKUP($B380,'[9]Subsidiary wise dispatch'!$A$3:$R$138,15,FALSE)*$H380*$O380*365</f>
        <v>491358.23766134342</v>
      </c>
      <c r="AK380" s="7">
        <f>VLOOKUP($B380,'[9]Subsidiary wise dispatch'!$A$3:$R$138,16,FALSE)*$H380*$O380*365</f>
        <v>0</v>
      </c>
      <c r="AL380" s="7">
        <f>VLOOKUP($B380,'[9]Subsidiary wise dispatch'!$A$3:$R$138,17,FALSE)*$H380*$O380*365</f>
        <v>563061.00562668976</v>
      </c>
      <c r="AM380" s="7">
        <f>VLOOKUP($B380,'[9]Subsidiary wise dispatch'!$A$3:$R$138,18,FALSE)*$H380*$O380*365</f>
        <v>0</v>
      </c>
      <c r="AN380" s="15">
        <f t="shared" si="278"/>
        <v>1054419.2432880332</v>
      </c>
      <c r="AO380" s="6">
        <v>0.10601035704694049</v>
      </c>
      <c r="AP380" s="11">
        <f t="shared" si="279"/>
        <v>0.42931857358293535</v>
      </c>
      <c r="AQ380" s="11"/>
      <c r="AR380" s="3">
        <f>VLOOKUP(A380,[10]Sheet1!$A$2:$L$542,12,FALSE)</f>
        <v>2.99934138309548</v>
      </c>
      <c r="AS380" s="3">
        <f t="shared" si="290"/>
        <v>2.8973480525833635</v>
      </c>
      <c r="AT380" s="2"/>
      <c r="AU380" s="2"/>
      <c r="AV380" s="88">
        <f t="shared" si="291"/>
        <v>-4.7880630925039913E-2</v>
      </c>
      <c r="AW380" s="32">
        <f t="shared" si="292"/>
        <v>1.6525674532732817E-2</v>
      </c>
      <c r="AX380" s="12">
        <f t="shared" si="280"/>
        <v>428.27716011137028</v>
      </c>
      <c r="AY380" s="12">
        <f t="shared" si="281"/>
        <v>0</v>
      </c>
      <c r="AZ380" s="3">
        <f>VLOOKUP(A380,[5]Analysis!$A$3:$BJ$543,62,FALSE)</f>
        <v>0.88466040491129339</v>
      </c>
      <c r="BA380" s="2"/>
      <c r="BB380" s="2"/>
      <c r="BC380" s="2" t="str">
        <f>VLOOKUP(A380,'[6]FGD status - Jun 2020'!$I$2:$M$449,5,FALSE)</f>
        <v>Tender specification made</v>
      </c>
      <c r="BD380" s="2"/>
      <c r="BE380" s="2"/>
      <c r="BF380" s="2">
        <f t="shared" si="282"/>
        <v>309.27748709014872</v>
      </c>
      <c r="BG380" s="2">
        <f t="shared" si="283"/>
        <v>0</v>
      </c>
      <c r="BH380" s="2">
        <f>IF(G380&lt;17,IF(H380&gt;400,H380*5000000,H380*3500000),H380*1500000)/10^7</f>
        <v>68.25</v>
      </c>
      <c r="BI380" s="2">
        <f>(H380*800000)/10^7</f>
        <v>15.6</v>
      </c>
      <c r="BK380">
        <f t="shared" si="286"/>
        <v>168.74081361095875</v>
      </c>
      <c r="BL380">
        <f>VLOOKUP(A380,'[11]Daily coal vs energy req.2'!$C$2:$P$599,14,FALSE)</f>
        <v>0.95</v>
      </c>
      <c r="BM380">
        <f>VLOOKUP(A380,'[11]Daily coal vs energy req.2'!$C$2:$R$599,16,FALSE)</f>
        <v>0.98</v>
      </c>
      <c r="BN380">
        <f>BL380*H380</f>
        <v>185.25</v>
      </c>
      <c r="BO380">
        <f>BM380*H380</f>
        <v>191.1</v>
      </c>
      <c r="BP380" s="2" t="str">
        <f>VLOOKUP(A380,'[7]Table 2'!$J$2:$N$449,5,FALSE)</f>
        <v>Tender specification made</v>
      </c>
      <c r="BR380">
        <f t="shared" si="293"/>
        <v>396.67445656390197</v>
      </c>
      <c r="BT380">
        <f>(X380*I380*365*[5]Analysis!BK380)/10^4</f>
        <v>169.26791443568411</v>
      </c>
      <c r="BV380">
        <f>(X380*I380*365*[5]Analysis!BL380)/10^4</f>
        <v>227.40654212821778</v>
      </c>
      <c r="BX380">
        <f t="shared" si="294"/>
        <v>1259182.4051284161</v>
      </c>
      <c r="BZ380">
        <f t="shared" si="295"/>
        <v>6774076.83965657</v>
      </c>
      <c r="CB380">
        <f t="shared" si="296"/>
        <v>-377927.825436502</v>
      </c>
      <c r="CD380">
        <f t="shared" si="297"/>
        <v>0</v>
      </c>
      <c r="CF380">
        <f t="shared" si="298"/>
        <v>2639417.4829356936</v>
      </c>
      <c r="CH380">
        <f t="shared" si="299"/>
        <v>322566.2476463716</v>
      </c>
      <c r="CJ380">
        <f t="shared" si="300"/>
        <v>-475324.64793420082</v>
      </c>
      <c r="CL380">
        <f t="shared" si="301"/>
        <v>1213702.4975361959</v>
      </c>
    </row>
    <row r="381" spans="1:90" x14ac:dyDescent="0.2">
      <c r="A381" s="2" t="s">
        <v>369</v>
      </c>
      <c r="B381" s="2" t="s">
        <v>580</v>
      </c>
      <c r="C381" s="2" t="str">
        <f>VLOOKUP($A381,'[1]daily coal, energy reqd'!$C$2:$T$599,17,FALSE)</f>
        <v>Telangana</v>
      </c>
      <c r="D381" s="2" t="str">
        <f>VLOOKUP(C381,'Target PLF'!$I$2:$J$19,2,FALSE)</f>
        <v>SR</v>
      </c>
      <c r="E381" s="2" t="str">
        <f>VLOOKUP(A381,[2]Ownership!$C$2:$D$666,2,FALSE)</f>
        <v>STATE SECTOR</v>
      </c>
      <c r="F381" s="2" t="s">
        <v>546</v>
      </c>
      <c r="G381" s="12">
        <v>22.179329226557101</v>
      </c>
      <c r="H381" s="2">
        <v>250</v>
      </c>
      <c r="I381" s="2">
        <f>VLOOKUP(A381,'[3]Calculated coal req (reg.)'!$A$2:$I$599,9,FALSE)</f>
        <v>5.1329029609619097</v>
      </c>
      <c r="J381" s="2"/>
      <c r="K381" s="11">
        <v>0.85548382682698487</v>
      </c>
      <c r="L381" s="3">
        <f>VLOOKUP(F381,'Target PLF'!$A$2:$B$11,2,FALSE)</f>
        <v>0.7</v>
      </c>
      <c r="M381" s="3">
        <f t="shared" si="289"/>
        <v>-0.15548382682698492</v>
      </c>
      <c r="N381" s="2" t="str">
        <f t="shared" si="268"/>
        <v>0.25</v>
      </c>
      <c r="O381" s="2">
        <f t="shared" si="310"/>
        <v>14.723821131043083</v>
      </c>
      <c r="P381" s="2">
        <f t="shared" si="269"/>
        <v>1343548.6782076813</v>
      </c>
      <c r="Q381" s="2">
        <f t="shared" si="270"/>
        <v>14.647523003251194</v>
      </c>
      <c r="R381" s="2">
        <f t="shared" si="271"/>
        <v>4.2</v>
      </c>
      <c r="S381" s="2"/>
      <c r="T381" s="2" t="str">
        <f>VLOOKUP(A381,'[4]CEA vs MERIT comp. &amp; NPA marker'!$C$2:$K$735,9,FALSE)</f>
        <v>Contracted</v>
      </c>
      <c r="U381" s="3">
        <f>VLOOKUP(B381,'[8]Import-Domestic share'!$A$208:$F$406,6,FALSE)</f>
        <v>0</v>
      </c>
      <c r="V381" s="3">
        <f t="shared" si="272"/>
        <v>0</v>
      </c>
      <c r="W381" s="2">
        <f t="shared" si="273"/>
        <v>3124.4385705906907</v>
      </c>
      <c r="X381" s="2">
        <f t="shared" si="274"/>
        <v>3073.0400953759022</v>
      </c>
      <c r="Y381" s="6">
        <f t="shared" si="275"/>
        <v>0.27524945060366884</v>
      </c>
      <c r="Z381" s="2"/>
      <c r="AA381" s="2">
        <f t="shared" si="276"/>
        <v>1343296.7943814786</v>
      </c>
      <c r="AB381" s="2" t="s">
        <v>576</v>
      </c>
      <c r="AC381" s="12"/>
      <c r="AD381" s="12">
        <f t="shared" si="277"/>
        <v>0</v>
      </c>
      <c r="AE381" s="2"/>
      <c r="AF381" s="7"/>
      <c r="AG381" s="7"/>
      <c r="AH381" s="7"/>
      <c r="AI381" s="7"/>
      <c r="AJ381" s="7"/>
      <c r="AK381" s="7"/>
      <c r="AL381" s="7"/>
      <c r="AM381" s="7"/>
      <c r="AN381" s="15">
        <f t="shared" si="278"/>
        <v>0</v>
      </c>
      <c r="AO381" s="6">
        <v>7.0000000000000007E-2</v>
      </c>
      <c r="AP381" s="11">
        <f t="shared" si="279"/>
        <v>0.35930320726733372</v>
      </c>
      <c r="AQ381" s="11"/>
      <c r="AR381" s="3">
        <f>VLOOKUP(A381,[10]Sheet1!$A$2:$L$542,12,FALSE)</f>
        <v>2.7390789473684198</v>
      </c>
      <c r="AS381" s="3">
        <f t="shared" si="290"/>
        <v>2.6236682146524561</v>
      </c>
      <c r="AT381" s="2"/>
      <c r="AU381" s="2"/>
      <c r="AV381" s="88">
        <f t="shared" si="291"/>
        <v>-0.11394165797535109</v>
      </c>
      <c r="AW381" s="32">
        <f t="shared" si="292"/>
        <v>4.3428379144519372E-2</v>
      </c>
      <c r="AX381" s="12">
        <f t="shared" si="280"/>
        <v>491.54675368635026</v>
      </c>
      <c r="AY381" s="12">
        <f t="shared" si="281"/>
        <v>0</v>
      </c>
      <c r="AZ381" s="3">
        <f>VLOOKUP(A381,[5]Analysis!$A$3:$BJ$543,62,FALSE)</f>
        <v>0.76438790323510297</v>
      </c>
      <c r="BA381" s="2"/>
      <c r="BB381" s="2"/>
      <c r="BC381" s="2" t="e">
        <f>VLOOKUP(A381,'[6]FGD status - Jun 2020'!$I$2:$M$449,5,FALSE)</f>
        <v>#N/A</v>
      </c>
      <c r="BD381" s="2" t="str">
        <f>VLOOKUP(A381,'[1]daily coal, energy reqd'!$C$2:$L$599,10,FALSE)</f>
        <v>Y</v>
      </c>
      <c r="BE381" s="2"/>
      <c r="BF381" s="2">
        <f t="shared" si="282"/>
        <v>415.75035786106764</v>
      </c>
      <c r="BG381" s="2">
        <f t="shared" si="283"/>
        <v>0</v>
      </c>
      <c r="BH381" s="2"/>
      <c r="BI381" s="2"/>
      <c r="BK381">
        <f t="shared" si="286"/>
        <v>213.87095670674623</v>
      </c>
      <c r="BP381" s="2" t="e">
        <f>VLOOKUP(A381,'[7]Table 2'!$J$2:$N$449,5,FALSE)</f>
        <v>#N/A</v>
      </c>
      <c r="BR381">
        <f t="shared" si="293"/>
        <v>440.08640288615675</v>
      </c>
      <c r="BT381">
        <f>(X381*I381*365*[5]Analysis!BK381)/10^4</f>
        <v>216.36183314405096</v>
      </c>
      <c r="BV381">
        <f>(X381*I381*365*[5]Analysis!BL381)/10^4</f>
        <v>223.72456974210576</v>
      </c>
      <c r="BX381">
        <f t="shared" si="294"/>
        <v>1616795.7019827378</v>
      </c>
      <c r="BZ381">
        <f t="shared" si="295"/>
        <v>7418549.6513870629</v>
      </c>
      <c r="CB381">
        <f t="shared" si="296"/>
        <v>-473551.06539128692</v>
      </c>
      <c r="CD381">
        <f t="shared" si="297"/>
        <v>0</v>
      </c>
      <c r="CF381">
        <f t="shared" si="298"/>
        <v>3345336.1409376785</v>
      </c>
      <c r="CH381">
        <f t="shared" si="299"/>
        <v>842960.45002863149</v>
      </c>
      <c r="CJ381">
        <f t="shared" si="300"/>
        <v>-772373.57305074355</v>
      </c>
      <c r="CL381">
        <f t="shared" si="301"/>
        <v>1015765.9762858722</v>
      </c>
    </row>
    <row r="382" spans="1:90" x14ac:dyDescent="0.2">
      <c r="A382" s="2" t="s">
        <v>379</v>
      </c>
      <c r="B382" s="2" t="str">
        <f t="shared" ref="B382:B419" si="311">LEFT(A382,LEN(A382)-LEN(RIGHT(A382,1)))</f>
        <v>KOTHAGUDEM NEW TPS</v>
      </c>
      <c r="C382" s="2" t="str">
        <f>VLOOKUP($A382,'[1]daily coal, energy reqd'!$C$2:$T$599,17,FALSE)</f>
        <v>Telangana</v>
      </c>
      <c r="D382" s="2" t="str">
        <f>VLOOKUP(C382,'Target PLF'!$I$2:$J$19,2,FALSE)</f>
        <v>SR</v>
      </c>
      <c r="E382" s="2" t="str">
        <f>VLOOKUP(A382,[2]Ownership!$C$2:$D$666,2,FALSE)</f>
        <v>STATE SECTOR</v>
      </c>
      <c r="F382" s="2" t="s">
        <v>546</v>
      </c>
      <c r="G382" s="12">
        <v>23.104722792607799</v>
      </c>
      <c r="H382" s="2">
        <v>250</v>
      </c>
      <c r="I382" s="2">
        <f>VLOOKUP(A382,'[3]Calculated coal req (reg.)'!$A$2:$I$599,9,FALSE)</f>
        <v>5.1830055935166</v>
      </c>
      <c r="J382" s="2"/>
      <c r="K382" s="11">
        <v>0.86383426558609999</v>
      </c>
      <c r="L382" s="3">
        <f>VLOOKUP(F382,'Target PLF'!$A$2:$B$11,2,FALSE)</f>
        <v>0.7</v>
      </c>
      <c r="M382" s="3">
        <f t="shared" si="289"/>
        <v>-0.16383426558610004</v>
      </c>
      <c r="N382" s="2" t="str">
        <f t="shared" si="268"/>
        <v>0.25</v>
      </c>
      <c r="O382" s="2">
        <f t="shared" si="310"/>
        <v>14.869315131834936</v>
      </c>
      <c r="P382" s="2">
        <f t="shared" si="269"/>
        <v>1356825.0057799378</v>
      </c>
      <c r="Q382" s="2">
        <f t="shared" si="270"/>
        <v>14.676834844455851</v>
      </c>
      <c r="R382" s="2">
        <f t="shared" si="271"/>
        <v>4.2</v>
      </c>
      <c r="S382" s="2"/>
      <c r="T382" s="2" t="str">
        <f>VLOOKUP(A382,'[4]CEA vs MERIT comp. &amp; NPA marker'!$C$2:$K$735,9,FALSE)</f>
        <v>Contracted</v>
      </c>
      <c r="U382" s="3">
        <f>VLOOKUP(B382,'[8]Import-Domestic share'!$A$208:$F$406,6,FALSE)</f>
        <v>0</v>
      </c>
      <c r="V382" s="3">
        <f t="shared" si="272"/>
        <v>0</v>
      </c>
      <c r="W382" s="2">
        <f t="shared" si="273"/>
        <v>3131.5090743716632</v>
      </c>
      <c r="X382" s="2">
        <f t="shared" si="274"/>
        <v>3077.3501845957476</v>
      </c>
      <c r="Y382" s="6">
        <f t="shared" si="275"/>
        <v>0.27462797634477837</v>
      </c>
      <c r="Z382" s="2"/>
      <c r="AA382" s="2">
        <f t="shared" si="276"/>
        <v>1358311.2401513583</v>
      </c>
      <c r="AB382" s="2" t="s">
        <v>576</v>
      </c>
      <c r="AC382" s="12"/>
      <c r="AD382" s="12">
        <f t="shared" si="277"/>
        <v>0</v>
      </c>
      <c r="AE382" s="2"/>
      <c r="AF382" s="7"/>
      <c r="AG382" s="7"/>
      <c r="AH382" s="7"/>
      <c r="AI382" s="7"/>
      <c r="AJ382" s="7"/>
      <c r="AK382" s="7"/>
      <c r="AL382" s="7"/>
      <c r="AM382" s="7"/>
      <c r="AN382" s="15">
        <f t="shared" si="278"/>
        <v>0</v>
      </c>
      <c r="AO382" s="6">
        <v>7.0000000000000007E-2</v>
      </c>
      <c r="AP382" s="11">
        <f t="shared" si="279"/>
        <v>0.36281039154616201</v>
      </c>
      <c r="AQ382" s="11"/>
      <c r="AR382" s="3">
        <f>VLOOKUP(A382,[10]Sheet1!$A$2:$L$542,12,FALSE)</f>
        <v>2.7390789473684198</v>
      </c>
      <c r="AS382" s="3">
        <f t="shared" si="290"/>
        <v>2.6309620754573126</v>
      </c>
      <c r="AT382" s="2"/>
      <c r="AU382" s="2"/>
      <c r="AV382" s="88">
        <f t="shared" si="291"/>
        <v>-0.12006102650680583</v>
      </c>
      <c r="AW382" s="32">
        <f t="shared" si="292"/>
        <v>4.5633887172598975E-2</v>
      </c>
      <c r="AX382" s="12">
        <f t="shared" si="280"/>
        <v>497.72462710002321</v>
      </c>
      <c r="AY382" s="12">
        <f t="shared" si="281"/>
        <v>0</v>
      </c>
      <c r="AZ382" s="3">
        <f>VLOOKUP(A382,[5]Analysis!$A$3:$BJ$543,62,FALSE)</f>
        <v>0.76438790323510297</v>
      </c>
      <c r="BA382" s="2"/>
      <c r="BB382" s="2"/>
      <c r="BC382" s="2" t="e">
        <f>VLOOKUP(A382,'[6]FGD status - Jun 2020'!$I$2:$M$449,5,FALSE)</f>
        <v>#N/A</v>
      </c>
      <c r="BD382" s="2" t="str">
        <f>VLOOKUP(A382,'[1]daily coal, energy reqd'!$C$2:$L$599,10,FALSE)</f>
        <v>Y</v>
      </c>
      <c r="BE382" s="2"/>
      <c r="BF382" s="2">
        <f t="shared" si="282"/>
        <v>420.39732882684541</v>
      </c>
      <c r="BG382" s="2">
        <f t="shared" si="283"/>
        <v>0</v>
      </c>
      <c r="BH382" s="2"/>
      <c r="BI382" s="2"/>
      <c r="BK382">
        <f t="shared" si="286"/>
        <v>215.95856639652499</v>
      </c>
      <c r="BP382" s="2" t="e">
        <f>VLOOKUP(A382,'[7]Table 2'!$J$2:$N$449,5,FALSE)</f>
        <v>#N/A</v>
      </c>
      <c r="BR382">
        <f t="shared" si="293"/>
        <v>445.00538539086682</v>
      </c>
      <c r="BT382">
        <f>(X382*I382*365*[5]Analysis!BK382)/10^4</f>
        <v>218.78017659875184</v>
      </c>
      <c r="BV382">
        <f>(X382*I382*365*[5]Analysis!BL382)/10^4</f>
        <v>226.22520879211496</v>
      </c>
      <c r="BX382">
        <f t="shared" si="294"/>
        <v>1634867.1300468328</v>
      </c>
      <c r="BZ382">
        <f t="shared" si="295"/>
        <v>7490962.644599488</v>
      </c>
      <c r="CB382">
        <f t="shared" si="296"/>
        <v>-482840.91620426509</v>
      </c>
      <c r="CD382">
        <f t="shared" si="297"/>
        <v>0</v>
      </c>
      <c r="CF382">
        <f t="shared" si="298"/>
        <v>3377990.2060380862</v>
      </c>
      <c r="CH382">
        <f t="shared" si="299"/>
        <v>886702.99886706984</v>
      </c>
      <c r="CJ382">
        <f t="shared" si="300"/>
        <v>-779912.76668441051</v>
      </c>
      <c r="CL382">
        <f t="shared" si="301"/>
        <v>1025680.9405582279</v>
      </c>
    </row>
    <row r="383" spans="1:90" x14ac:dyDescent="0.2">
      <c r="A383" s="2" t="s">
        <v>538</v>
      </c>
      <c r="B383" s="2" t="str">
        <f t="shared" si="311"/>
        <v>KOTHAGUDEM TPS</v>
      </c>
      <c r="C383" s="2" t="s">
        <v>610</v>
      </c>
      <c r="D383" s="2" t="str">
        <f>VLOOKUP(C383,'Target PLF'!$I$2:$J$19,2,FALSE)</f>
        <v>SR</v>
      </c>
      <c r="E383" s="2" t="str">
        <f>VLOOKUP(A383,[2]Ownership!$C$2:$D$666,2,FALSE)</f>
        <v>STATE SECTOR</v>
      </c>
      <c r="F383" s="2" t="s">
        <v>551</v>
      </c>
      <c r="G383" s="12">
        <v>53.834360027378501</v>
      </c>
      <c r="H383" s="2">
        <v>60</v>
      </c>
      <c r="I383" s="2">
        <f>VLOOKUP(A383,'[3]Calculated coal req (reg.)'!$A$2:$I$599,9,FALSE)</f>
        <v>1.0014563820470701</v>
      </c>
      <c r="J383" s="2"/>
      <c r="K383" s="11">
        <v>0.69545582086602087</v>
      </c>
      <c r="L383" s="3">
        <f>VLOOKUP(F383,'Target PLF'!$A$2:$B$11,2,FALSE)</f>
        <v>0.55000000000000004</v>
      </c>
      <c r="M383" s="3">
        <f t="shared" si="289"/>
        <v>-0.14545582086602082</v>
      </c>
      <c r="N383" s="2" t="str">
        <f t="shared" si="268"/>
        <v>0.25</v>
      </c>
      <c r="O383" s="2">
        <f t="shared" si="310"/>
        <v>14.489477576322422</v>
      </c>
      <c r="P383" s="2">
        <f t="shared" si="269"/>
        <v>317319.55892146105</v>
      </c>
      <c r="Q383" s="2">
        <f t="shared" si="270"/>
        <v>16.639697103867213</v>
      </c>
      <c r="R383" s="2">
        <f t="shared" si="271"/>
        <v>0.79200000000000015</v>
      </c>
      <c r="S383" s="2"/>
      <c r="T383" s="2" t="str">
        <f>VLOOKUP(A383,'[4]CEA vs MERIT comp. &amp; NPA marker'!$C$2:$K$735,9,FALSE)</f>
        <v>Contracted</v>
      </c>
      <c r="U383" s="3">
        <f>VLOOKUP(B383,'[8]Import-Domestic share'!$A$208:$F$406,6,FALSE)</f>
        <v>0</v>
      </c>
      <c r="V383" s="3">
        <f t="shared" si="272"/>
        <v>0</v>
      </c>
      <c r="W383" s="2">
        <f t="shared" si="273"/>
        <v>3591.7767216605062</v>
      </c>
      <c r="X383" s="2">
        <f t="shared" si="274"/>
        <v>3543.6932164098407</v>
      </c>
      <c r="Y383" s="6">
        <f t="shared" si="275"/>
        <v>0.23943581871715439</v>
      </c>
      <c r="Z383" s="2"/>
      <c r="AA383" s="2">
        <f t="shared" si="276"/>
        <v>302223.93338090263</v>
      </c>
      <c r="AB383" s="2" t="s">
        <v>576</v>
      </c>
      <c r="AC383" s="12"/>
      <c r="AD383" s="12">
        <f t="shared" si="277"/>
        <v>0</v>
      </c>
      <c r="AE383" s="2"/>
      <c r="AF383" s="7"/>
      <c r="AG383" s="7"/>
      <c r="AH383" s="7"/>
      <c r="AI383" s="7"/>
      <c r="AJ383" s="7"/>
      <c r="AK383" s="7"/>
      <c r="AL383" s="7"/>
      <c r="AM383" s="7"/>
      <c r="AN383" s="15">
        <f t="shared" si="278"/>
        <v>0</v>
      </c>
      <c r="AO383" s="6">
        <v>0.10678657853863342</v>
      </c>
      <c r="AP383" s="11">
        <f t="shared" si="279"/>
        <v>0.10694210059448513</v>
      </c>
      <c r="AQ383" s="11"/>
      <c r="AR383" s="3">
        <f>VLOOKUP(A383,[10]Sheet1!$A$2:$L$542,12,FALSE)</f>
        <v>3.1011564051114102</v>
      </c>
      <c r="AS383" s="3">
        <f t="shared" si="290"/>
        <v>3.1246581112612892</v>
      </c>
      <c r="AT383" s="2"/>
      <c r="AU383" s="2"/>
      <c r="AV383" s="88">
        <f t="shared" si="291"/>
        <v>-0.10659293464703738</v>
      </c>
      <c r="AW383" s="32">
        <f t="shared" si="292"/>
        <v>3.4113471250782831E-2</v>
      </c>
      <c r="AX383" s="12">
        <f t="shared" si="280"/>
        <v>114.21612146417831</v>
      </c>
      <c r="AY383" s="12">
        <f t="shared" si="281"/>
        <v>0</v>
      </c>
      <c r="AZ383" s="3">
        <f>VLOOKUP(A383,[5]Analysis!$A$3:$BJ$543,62,FALSE)</f>
        <v>0.76438790323510297</v>
      </c>
      <c r="BA383" s="2"/>
      <c r="BB383" s="2"/>
      <c r="BC383" s="2" t="e">
        <f>VLOOKUP(A383,'[6]FGD status - Jun 2020'!$I$2:$M$449,5,FALSE)</f>
        <v>#N/A</v>
      </c>
      <c r="BD383" s="2" t="str">
        <f>VLOOKUP(A383,'[1]daily coal, energy reqd'!$C$2:$L$599,10,FALSE)</f>
        <v>Y</v>
      </c>
      <c r="BE383" s="2"/>
      <c r="BF383" s="2">
        <f t="shared" si="282"/>
        <v>93.538307381389373</v>
      </c>
      <c r="BG383" s="2">
        <f t="shared" si="283"/>
        <v>0</v>
      </c>
      <c r="BH383" s="2"/>
      <c r="BI383" s="2"/>
      <c r="BK383">
        <f t="shared" si="286"/>
        <v>41.72734925196125</v>
      </c>
      <c r="BP383" s="2" t="e">
        <f>VLOOKUP(A383,'[7]Table 2'!$J$2:$N$449,5,FALSE)</f>
        <v>#N/A</v>
      </c>
      <c r="BR383">
        <f t="shared" si="293"/>
        <v>99.013594213889945</v>
      </c>
      <c r="BT383">
        <f>(X383*I383*365*[5]Analysis!BK383)/10^4</f>
        <v>48.678538145701701</v>
      </c>
      <c r="BV383">
        <f>(X383*I383*365*[5]Analysis!BL383)/10^4</f>
        <v>50.335056068188251</v>
      </c>
      <c r="BX383">
        <f t="shared" si="294"/>
        <v>363757.55422803073</v>
      </c>
      <c r="BZ383">
        <f t="shared" si="295"/>
        <v>1447398.0806608459</v>
      </c>
      <c r="CB383">
        <f t="shared" si="296"/>
        <v>-75109.270804483167</v>
      </c>
      <c r="CD383">
        <f t="shared" si="297"/>
        <v>0</v>
      </c>
      <c r="CF383">
        <f t="shared" si="298"/>
        <v>652692.68753269466</v>
      </c>
      <c r="CH383">
        <f t="shared" si="299"/>
        <v>399197.05676440307</v>
      </c>
      <c r="CJ383">
        <f t="shared" si="300"/>
        <v>-36166.595781247888</v>
      </c>
      <c r="CL383">
        <f t="shared" si="301"/>
        <v>302330.02383303567</v>
      </c>
    </row>
    <row r="384" spans="1:90" x14ac:dyDescent="0.2">
      <c r="A384" s="2" t="s">
        <v>536</v>
      </c>
      <c r="B384" s="2" t="str">
        <f t="shared" si="311"/>
        <v>KOTHAGUDEM TPS</v>
      </c>
      <c r="C384" s="2" t="s">
        <v>610</v>
      </c>
      <c r="D384" s="2" t="str">
        <f>VLOOKUP(C384,'Target PLF'!$I$2:$J$19,2,FALSE)</f>
        <v>SR</v>
      </c>
      <c r="E384" s="2" t="str">
        <f>VLOOKUP(A384,[2]Ownership!$C$2:$D$666,2,FALSE)</f>
        <v>STATE SECTOR</v>
      </c>
      <c r="F384" s="2" t="s">
        <v>551</v>
      </c>
      <c r="G384" s="12">
        <v>53.4346338124572</v>
      </c>
      <c r="H384" s="2">
        <v>60</v>
      </c>
      <c r="I384" s="2">
        <f>VLOOKUP(A384,'[3]Calculated coal req (reg.)'!$A$2:$I$599,9,FALSE)</f>
        <v>1.0524373999329</v>
      </c>
      <c r="J384" s="2"/>
      <c r="K384" s="11">
        <v>0.73085930550895839</v>
      </c>
      <c r="L384" s="3">
        <f>VLOOKUP(F384,'Target PLF'!$A$2:$B$11,2,FALSE)</f>
        <v>0.55000000000000004</v>
      </c>
      <c r="M384" s="3">
        <f t="shared" si="289"/>
        <v>-0.18085930550895835</v>
      </c>
      <c r="N384" s="2" t="str">
        <f t="shared" si="268"/>
        <v>0.25</v>
      </c>
      <c r="O384" s="2">
        <f t="shared" si="310"/>
        <v>14.969395551347372</v>
      </c>
      <c r="P384" s="2">
        <f t="shared" si="269"/>
        <v>327829.76257450745</v>
      </c>
      <c r="Q384" s="2">
        <f t="shared" si="270"/>
        <v>16.627035776009581</v>
      </c>
      <c r="R384" s="2">
        <f t="shared" si="271"/>
        <v>0.79200000000000015</v>
      </c>
      <c r="S384" s="2"/>
      <c r="T384" s="2" t="str">
        <f>VLOOKUP(A384,'[4]CEA vs MERIT comp. &amp; NPA marker'!$C$2:$K$735,9,FALSE)</f>
        <v>Contracted</v>
      </c>
      <c r="U384" s="3">
        <f>VLOOKUP(B384,'[8]Import-Domestic share'!$A$208:$F$406,6,FALSE)</f>
        <v>0</v>
      </c>
      <c r="V384" s="3">
        <f t="shared" si="272"/>
        <v>0</v>
      </c>
      <c r="W384" s="2">
        <f t="shared" si="273"/>
        <v>3588.7225987255301</v>
      </c>
      <c r="X384" s="2">
        <f t="shared" si="274"/>
        <v>3528.9357210722669</v>
      </c>
      <c r="Y384" s="6">
        <f t="shared" si="275"/>
        <v>0.23963958660538806</v>
      </c>
      <c r="Z384" s="2"/>
      <c r="AA384" s="2">
        <f t="shared" si="276"/>
        <v>316286.54601206369</v>
      </c>
      <c r="AB384" s="2" t="s">
        <v>576</v>
      </c>
      <c r="AC384" s="12"/>
      <c r="AD384" s="12">
        <f t="shared" si="277"/>
        <v>0</v>
      </c>
      <c r="AE384" s="2"/>
      <c r="AF384" s="7"/>
      <c r="AG384" s="7"/>
      <c r="AH384" s="7"/>
      <c r="AI384" s="7"/>
      <c r="AJ384" s="7"/>
      <c r="AK384" s="7"/>
      <c r="AL384" s="7"/>
      <c r="AM384" s="7"/>
      <c r="AN384" s="15">
        <f t="shared" si="278"/>
        <v>0</v>
      </c>
      <c r="AO384" s="6">
        <v>0.10678657853863342</v>
      </c>
      <c r="AP384" s="11">
        <f t="shared" si="279"/>
        <v>0.11238618906492978</v>
      </c>
      <c r="AQ384" s="11"/>
      <c r="AR384" s="3">
        <f>VLOOKUP(A384,[10]Sheet1!$A$2:$L$542,12,FALSE)</f>
        <v>3.1011564051114102</v>
      </c>
      <c r="AS384" s="3">
        <f t="shared" si="290"/>
        <v>3.1201856952308034</v>
      </c>
      <c r="AT384" s="2"/>
      <c r="AU384" s="2"/>
      <c r="AV384" s="88">
        <f t="shared" si="291"/>
        <v>-0.13253731626307486</v>
      </c>
      <c r="AW384" s="32">
        <f t="shared" si="292"/>
        <v>4.2477380902571867E-2</v>
      </c>
      <c r="AX384" s="12">
        <f t="shared" si="280"/>
        <v>119.85870439447351</v>
      </c>
      <c r="AY384" s="12">
        <f t="shared" si="281"/>
        <v>0</v>
      </c>
      <c r="AZ384" s="3">
        <f>VLOOKUP(A384,[5]Analysis!$A$3:$BJ$543,62,FALSE)</f>
        <v>0.76438790323510297</v>
      </c>
      <c r="BA384" s="2"/>
      <c r="BB384" s="2"/>
      <c r="BC384" s="2" t="e">
        <f>VLOOKUP(A384,'[6]FGD status - Jun 2020'!$I$2:$M$449,5,FALSE)</f>
        <v>#N/A</v>
      </c>
      <c r="BD384" s="2" t="str">
        <f>VLOOKUP(A384,'[1]daily coal, energy reqd'!$C$2:$L$599,10,FALSE)</f>
        <v>Y</v>
      </c>
      <c r="BE384" s="2"/>
      <c r="BF384" s="2">
        <f t="shared" si="282"/>
        <v>97.890685990733701</v>
      </c>
      <c r="BG384" s="2">
        <f t="shared" si="283"/>
        <v>0</v>
      </c>
      <c r="BH384" s="2"/>
      <c r="BI384" s="2"/>
      <c r="BK384">
        <f t="shared" si="286"/>
        <v>43.8515583305375</v>
      </c>
      <c r="BP384" s="2" t="e">
        <f>VLOOKUP(A384,'[7]Table 2'!$J$2:$N$449,5,FALSE)</f>
        <v>#N/A</v>
      </c>
      <c r="BR384">
        <f t="shared" si="293"/>
        <v>103.62074032926405</v>
      </c>
      <c r="BT384">
        <f>(X384*I384*365*[5]Analysis!BK384)/10^4</f>
        <v>50.943571949399313</v>
      </c>
      <c r="BV384">
        <f>(X384*I384*365*[5]Analysis!BL384)/10^4</f>
        <v>52.677168379864725</v>
      </c>
      <c r="BX384">
        <f t="shared" si="294"/>
        <v>380683.35331860208</v>
      </c>
      <c r="BZ384">
        <f t="shared" si="295"/>
        <v>1521080.5982032008</v>
      </c>
      <c r="CB384">
        <f t="shared" si="296"/>
        <v>-82951.074222562791</v>
      </c>
      <c r="CD384">
        <f t="shared" si="297"/>
        <v>0</v>
      </c>
      <c r="CF384">
        <f t="shared" si="298"/>
        <v>685919.23456316802</v>
      </c>
      <c r="CH384">
        <f t="shared" si="299"/>
        <v>416403.95709386497</v>
      </c>
      <c r="CJ384">
        <f t="shared" si="300"/>
        <v>-38007.724261176743</v>
      </c>
      <c r="CL384">
        <f t="shared" si="301"/>
        <v>317720.7014788753</v>
      </c>
    </row>
    <row r="385" spans="1:90" x14ac:dyDescent="0.2">
      <c r="A385" s="2" t="s">
        <v>534</v>
      </c>
      <c r="B385" s="2" t="str">
        <f t="shared" si="311"/>
        <v>KOTHAGUDEM TPS</v>
      </c>
      <c r="C385" s="2" t="s">
        <v>610</v>
      </c>
      <c r="D385" s="2" t="str">
        <f>VLOOKUP(C385,'Target PLF'!$I$2:$J$19,2,FALSE)</f>
        <v>SR</v>
      </c>
      <c r="E385" s="2" t="str">
        <f>VLOOKUP(A385,[2]Ownership!$C$2:$D$666,2,FALSE)</f>
        <v>STATE SECTOR</v>
      </c>
      <c r="F385" s="2" t="s">
        <v>551</v>
      </c>
      <c r="G385" s="12">
        <v>52.824093086926702</v>
      </c>
      <c r="H385" s="2">
        <v>60</v>
      </c>
      <c r="I385" s="2">
        <f>VLOOKUP(A385,'[3]Calculated coal req (reg.)'!$A$2:$I$599,9,FALSE)</f>
        <v>1.0980221196391</v>
      </c>
      <c r="J385" s="2"/>
      <c r="K385" s="11">
        <v>0.76251536086048621</v>
      </c>
      <c r="L385" s="3">
        <f>VLOOKUP(F385,'Target PLF'!$A$2:$B$11,2,FALSE)</f>
        <v>0.55000000000000004</v>
      </c>
      <c r="M385" s="3">
        <f t="shared" si="289"/>
        <v>-0.21251536086048617</v>
      </c>
      <c r="N385" s="2" t="str">
        <f t="shared" si="268"/>
        <v>0.25</v>
      </c>
      <c r="O385" s="2">
        <f t="shared" si="310"/>
        <v>15.390496868788606</v>
      </c>
      <c r="P385" s="2">
        <f t="shared" si="269"/>
        <v>337051.88142647047</v>
      </c>
      <c r="Q385" s="2">
        <f t="shared" si="270"/>
        <v>16.607696898528403</v>
      </c>
      <c r="R385" s="2">
        <f t="shared" si="271"/>
        <v>0.79200000000000015</v>
      </c>
      <c r="S385" s="2"/>
      <c r="T385" s="2" t="str">
        <f>VLOOKUP(A385,'[4]CEA vs MERIT comp. &amp; NPA marker'!$C$2:$K$735,9,FALSE)</f>
        <v>Contracted</v>
      </c>
      <c r="U385" s="3">
        <f>VLOOKUP(B385,'[8]Import-Domestic share'!$A$208:$F$406,6,FALSE)</f>
        <v>0</v>
      </c>
      <c r="V385" s="3">
        <f t="shared" si="272"/>
        <v>0</v>
      </c>
      <c r="W385" s="2">
        <f t="shared" si="273"/>
        <v>3584.0577397221077</v>
      </c>
      <c r="X385" s="2">
        <f t="shared" si="274"/>
        <v>3513.8062818640237</v>
      </c>
      <c r="Y385" s="6">
        <f t="shared" si="275"/>
        <v>0.23995149142510205</v>
      </c>
      <c r="Z385" s="2"/>
      <c r="AA385" s="2">
        <f t="shared" si="276"/>
        <v>328571.28158864554</v>
      </c>
      <c r="AB385" s="2" t="s">
        <v>576</v>
      </c>
      <c r="AC385" s="12"/>
      <c r="AD385" s="12">
        <f t="shared" si="277"/>
        <v>0</v>
      </c>
      <c r="AE385" s="2"/>
      <c r="AF385" s="7"/>
      <c r="AG385" s="7"/>
      <c r="AH385" s="7"/>
      <c r="AI385" s="7"/>
      <c r="AJ385" s="7"/>
      <c r="AK385" s="7"/>
      <c r="AL385" s="7"/>
      <c r="AM385" s="7"/>
      <c r="AN385" s="15">
        <f t="shared" si="278"/>
        <v>0</v>
      </c>
      <c r="AO385" s="6">
        <v>0.10678657853863342</v>
      </c>
      <c r="AP385" s="11">
        <f t="shared" si="279"/>
        <v>0.1172540253159975</v>
      </c>
      <c r="AQ385" s="11"/>
      <c r="AR385" s="3">
        <f>VLOOKUP(A385,[10]Sheet1!$A$2:$L$542,12,FALSE)</f>
        <v>3.1011564051114102</v>
      </c>
      <c r="AS385" s="3">
        <f t="shared" si="290"/>
        <v>3.1141141789097677</v>
      </c>
      <c r="AT385" s="2"/>
      <c r="AU385" s="2"/>
      <c r="AV385" s="88">
        <f t="shared" si="291"/>
        <v>-0.15573550674578149</v>
      </c>
      <c r="AW385" s="32">
        <f t="shared" si="292"/>
        <v>5.0009568628053176E-2</v>
      </c>
      <c r="AX385" s="12">
        <f t="shared" si="280"/>
        <v>124.80686818065075</v>
      </c>
      <c r="AY385" s="12">
        <f t="shared" si="281"/>
        <v>0</v>
      </c>
      <c r="AZ385" s="3">
        <f>VLOOKUP(A385,[5]Analysis!$A$3:$BJ$543,62,FALSE)</f>
        <v>0.76438790323510297</v>
      </c>
      <c r="BA385" s="2"/>
      <c r="BB385" s="2"/>
      <c r="BC385" s="2" t="e">
        <f>VLOOKUP(A385,'[6]FGD status - Jun 2020'!$I$2:$M$449,5,FALSE)</f>
        <v>#N/A</v>
      </c>
      <c r="BD385" s="2" t="str">
        <f>VLOOKUP(A385,'[1]daily coal, energy reqd'!$C$2:$L$599,10,FALSE)</f>
        <v>Y</v>
      </c>
      <c r="BE385" s="2"/>
      <c r="BF385" s="2">
        <f t="shared" si="282"/>
        <v>101.6928116516858</v>
      </c>
      <c r="BG385" s="2">
        <f t="shared" si="283"/>
        <v>0</v>
      </c>
      <c r="BH385" s="2"/>
      <c r="BI385" s="2"/>
      <c r="BK385">
        <f t="shared" si="286"/>
        <v>45.75092165162917</v>
      </c>
      <c r="BP385" s="2" t="e">
        <f>VLOOKUP(A385,'[7]Table 2'!$J$2:$N$449,5,FALSE)</f>
        <v>#N/A</v>
      </c>
      <c r="BR385">
        <f t="shared" si="293"/>
        <v>107.64542431043505</v>
      </c>
      <c r="BT385">
        <f>(X385*I385*365*[5]Analysis!BK385)/10^4</f>
        <v>52.922247042019514</v>
      </c>
      <c r="BV385">
        <f>(X385*I385*365*[5]Analysis!BL385)/10^4</f>
        <v>54.72317726841554</v>
      </c>
      <c r="BX385">
        <f t="shared" si="294"/>
        <v>395469.29471538583</v>
      </c>
      <c r="BZ385">
        <f t="shared" si="295"/>
        <v>1586963.8827805568</v>
      </c>
      <c r="CB385">
        <f t="shared" si="296"/>
        <v>-90292.493520207732</v>
      </c>
      <c r="CD385">
        <f t="shared" si="297"/>
        <v>0</v>
      </c>
      <c r="CF385">
        <f t="shared" si="298"/>
        <v>715628.77933100576</v>
      </c>
      <c r="CH385">
        <f t="shared" si="299"/>
        <v>429475.97678093781</v>
      </c>
      <c r="CJ385">
        <f t="shared" si="300"/>
        <v>-39653.970828646459</v>
      </c>
      <c r="CL385">
        <f t="shared" si="301"/>
        <v>331482.28874543885</v>
      </c>
    </row>
    <row r="386" spans="1:90" x14ac:dyDescent="0.2">
      <c r="A386" s="2" t="s">
        <v>524</v>
      </c>
      <c r="B386" s="2" t="str">
        <f t="shared" si="311"/>
        <v>KOTHAGUDEM TPS</v>
      </c>
      <c r="C386" s="2" t="s">
        <v>610</v>
      </c>
      <c r="D386" s="2" t="str">
        <f>VLOOKUP(C386,'Target PLF'!$I$2:$J$19,2,FALSE)</f>
        <v>SR</v>
      </c>
      <c r="E386" s="2" t="str">
        <f>VLOOKUP(A386,[2]Ownership!$C$2:$D$666,2,FALSE)</f>
        <v>STATE SECTOR</v>
      </c>
      <c r="F386" s="2" t="s">
        <v>551</v>
      </c>
      <c r="G386" s="12">
        <v>45.724845995893197</v>
      </c>
      <c r="H386" s="2">
        <v>120</v>
      </c>
      <c r="I386" s="2">
        <f>VLOOKUP(A386,'[3]Calculated coal req (reg.)'!$A$2:$I$599,9,FALSE)</f>
        <v>1.93434099304915</v>
      </c>
      <c r="J386" s="2"/>
      <c r="K386" s="11">
        <v>0.67164617814206595</v>
      </c>
      <c r="L386" s="3">
        <f>VLOOKUP(F386,'Target PLF'!$A$2:$B$11,2,FALSE)</f>
        <v>0.55000000000000004</v>
      </c>
      <c r="M386" s="3">
        <f t="shared" si="289"/>
        <v>-0.12164617814206591</v>
      </c>
      <c r="N386" s="2" t="str">
        <f t="shared" si="268"/>
        <v>0.25</v>
      </c>
      <c r="O386" s="2">
        <f t="shared" si="310"/>
        <v>13.588864017263925</v>
      </c>
      <c r="P386" s="2">
        <f t="shared" si="269"/>
        <v>595192.24395615992</v>
      </c>
      <c r="Q386" s="2">
        <f t="shared" si="270"/>
        <v>16.070354246919919</v>
      </c>
      <c r="R386" s="2">
        <f t="shared" si="271"/>
        <v>1.5840000000000003</v>
      </c>
      <c r="S386" s="2"/>
      <c r="T386" s="2" t="str">
        <f>VLOOKUP(A386,'[4]CEA vs MERIT comp. &amp; NPA marker'!$C$2:$K$735,9,FALSE)</f>
        <v>Contracted</v>
      </c>
      <c r="U386" s="3">
        <f>VLOOKUP(B386,'[8]Import-Domestic share'!$A$208:$F$406,6,FALSE)</f>
        <v>0</v>
      </c>
      <c r="V386" s="3">
        <f t="shared" si="272"/>
        <v>0</v>
      </c>
      <c r="W386" s="2">
        <f t="shared" si="273"/>
        <v>3474.2711416509237</v>
      </c>
      <c r="X386" s="2">
        <f t="shared" si="274"/>
        <v>3434.0584185670873</v>
      </c>
      <c r="Y386" s="6">
        <f t="shared" si="275"/>
        <v>0.24753393299963927</v>
      </c>
      <c r="Z386" s="2"/>
      <c r="AA386" s="2">
        <f t="shared" si="276"/>
        <v>565693.79132509243</v>
      </c>
      <c r="AB386" s="2" t="s">
        <v>576</v>
      </c>
      <c r="AC386" s="12"/>
      <c r="AD386" s="12">
        <f t="shared" si="277"/>
        <v>0</v>
      </c>
      <c r="AE386" s="2"/>
      <c r="AF386" s="7"/>
      <c r="AG386" s="7"/>
      <c r="AH386" s="7"/>
      <c r="AI386" s="7"/>
      <c r="AJ386" s="7"/>
      <c r="AK386" s="7"/>
      <c r="AL386" s="7"/>
      <c r="AM386" s="7"/>
      <c r="AN386" s="15">
        <f t="shared" si="278"/>
        <v>0</v>
      </c>
      <c r="AO386" s="6">
        <v>0.10678657853863342</v>
      </c>
      <c r="AP386" s="11">
        <f t="shared" si="279"/>
        <v>0.20656165637474122</v>
      </c>
      <c r="AQ386" s="11"/>
      <c r="AR386" s="3">
        <f>VLOOKUP(A386,[10]Sheet1!$A$2:$L$542,12,FALSE)</f>
        <v>3.1011564051114102</v>
      </c>
      <c r="AS386" s="3">
        <f t="shared" si="290"/>
        <v>3.0172596478362741</v>
      </c>
      <c r="AT386" s="2"/>
      <c r="AU386" s="2"/>
      <c r="AV386" s="88">
        <f t="shared" si="291"/>
        <v>-8.9144752266068744E-2</v>
      </c>
      <c r="AW386" s="32">
        <f t="shared" si="292"/>
        <v>2.9544939007816545E-2</v>
      </c>
      <c r="AX386" s="12">
        <f t="shared" si="280"/>
        <v>213.02892935712026</v>
      </c>
      <c r="AY386" s="12">
        <f t="shared" si="281"/>
        <v>0</v>
      </c>
      <c r="AZ386" s="3">
        <f>VLOOKUP(A386,[5]Analysis!$A$3:$BJ$543,62,FALSE)</f>
        <v>0.76438790323510297</v>
      </c>
      <c r="BA386" s="2"/>
      <c r="BB386" s="2"/>
      <c r="BC386" s="2" t="e">
        <f>VLOOKUP(A386,'[6]FGD status - Jun 2020'!$I$2:$M$449,5,FALSE)</f>
        <v>#N/A</v>
      </c>
      <c r="BD386" s="2" t="str">
        <f>VLOOKUP(A386,'[1]daily coal, energy reqd'!$C$2:$L$599,10,FALSE)</f>
        <v>Y</v>
      </c>
      <c r="BE386" s="2"/>
      <c r="BF386" s="2">
        <f t="shared" si="282"/>
        <v>175.08222841511611</v>
      </c>
      <c r="BG386" s="2">
        <f t="shared" si="283"/>
        <v>0</v>
      </c>
      <c r="BH386" s="2"/>
      <c r="BI386" s="2"/>
      <c r="BK386">
        <f t="shared" si="286"/>
        <v>80.597541377047918</v>
      </c>
      <c r="BP386" s="2" t="e">
        <f>VLOOKUP(A386,'[7]Table 2'!$J$2:$N$449,5,FALSE)</f>
        <v>#N/A</v>
      </c>
      <c r="BR386">
        <f t="shared" si="293"/>
        <v>185.33070785293069</v>
      </c>
      <c r="BT386">
        <f>(X386*I386*365*[5]Analysis!BK386)/10^4</f>
        <v>91.115043377782982</v>
      </c>
      <c r="BV386">
        <f>(X386*I386*365*[5]Analysis!BL386)/10^4</f>
        <v>94.215664475147719</v>
      </c>
      <c r="BX386">
        <f t="shared" si="294"/>
        <v>680870.59708488488</v>
      </c>
      <c r="BZ386">
        <f t="shared" si="295"/>
        <v>2795689.8481788705</v>
      </c>
      <c r="CB386">
        <f t="shared" si="296"/>
        <v>-140108.84214271174</v>
      </c>
      <c r="CD386">
        <f t="shared" si="297"/>
        <v>0</v>
      </c>
      <c r="CF386">
        <f t="shared" si="298"/>
        <v>1260694.1690033285</v>
      </c>
      <c r="CH386">
        <f t="shared" si="299"/>
        <v>654909.09917734284</v>
      </c>
      <c r="CJ386">
        <f t="shared" si="300"/>
        <v>-139713.581245954</v>
      </c>
      <c r="CL386">
        <f t="shared" si="301"/>
        <v>583958.89128427394</v>
      </c>
    </row>
    <row r="387" spans="1:90" x14ac:dyDescent="0.2">
      <c r="A387" s="2" t="s">
        <v>523</v>
      </c>
      <c r="B387" s="2" t="str">
        <f t="shared" si="311"/>
        <v>KOTHAGUDEM TPS</v>
      </c>
      <c r="C387" s="2" t="s">
        <v>610</v>
      </c>
      <c r="D387" s="2" t="str">
        <f>VLOOKUP(C387,'Target PLF'!$I$2:$J$19,2,FALSE)</f>
        <v>SR</v>
      </c>
      <c r="E387" s="2" t="s">
        <v>570</v>
      </c>
      <c r="F387" s="2" t="s">
        <v>550</v>
      </c>
      <c r="G387" s="12">
        <v>45.3744010951403</v>
      </c>
      <c r="H387" s="2">
        <v>120</v>
      </c>
      <c r="I387" s="2">
        <f>VLOOKUP(A387,'[3]Calculated coal req (reg.)'!$A$2:$I$599,9,FALSE)</f>
        <v>1.45773894138851</v>
      </c>
      <c r="J387" s="2"/>
      <c r="K387" s="11">
        <v>0.50615935464878825</v>
      </c>
      <c r="L387" s="3">
        <f>VLOOKUP(F387,'Target PLF'!$A$2:$B$11,2,FALSE)</f>
        <v>0.55000000000000004</v>
      </c>
      <c r="M387" s="3">
        <f t="shared" si="289"/>
        <v>4.3840645351211793E-2</v>
      </c>
      <c r="N387" s="2" t="str">
        <f t="shared" ref="N387:N450" si="312">IF(L387&gt;0.75,"0.15","0.25")</f>
        <v>0.25</v>
      </c>
      <c r="O387" s="2">
        <f t="shared" si="310"/>
        <v>11.275295853723554</v>
      </c>
      <c r="P387" s="2">
        <f t="shared" ref="P387:P450" si="313">(O387*H387*365)</f>
        <v>493857.95839309169</v>
      </c>
      <c r="Q387" s="2">
        <f t="shared" ref="Q387:Q450" si="314">(13.9133*0.85)+(-0.289097*N387)+(-0.0052079*H387)+(0.031675*G387)+3.492937+IF(E387="Pvt Sector",-0.8897511,0)</f>
        <v>16.059253904688571</v>
      </c>
      <c r="R387" s="2">
        <f t="shared" ref="R387:R450" si="315">(H387*24*L387)/1000</f>
        <v>1.5840000000000003</v>
      </c>
      <c r="S387" s="2"/>
      <c r="T387" s="2" t="str">
        <f>VLOOKUP(A387,'[4]CEA vs MERIT comp. &amp; NPA marker'!$C$2:$K$735,9,FALSE)</f>
        <v>Contracted</v>
      </c>
      <c r="U387" s="3">
        <f>VLOOKUP(B387,'[8]Import-Domestic share'!$A$208:$F$406,6,FALSE)</f>
        <v>0</v>
      </c>
      <c r="V387" s="3">
        <f t="shared" ref="V387:V450" si="316">(U387*O387*H387*365)</f>
        <v>0</v>
      </c>
      <c r="W387" s="2">
        <f t="shared" ref="W387:W450" si="317">3417.812+(7.640537*G387)+(-0.9257423*H387)+(-330.5712*L387)+(225.4556*U387)</f>
        <v>3471.5935544202598</v>
      </c>
      <c r="X387" s="2">
        <f t="shared" ref="X387:X450" si="318">3417.812+(7.640537*G387)+(-0.9257423*H387)+(-330.5712*K387)+(225.4556*U387)</f>
        <v>3486.0860091627842</v>
      </c>
      <c r="Y387" s="6">
        <f t="shared" ref="Y387:Y450" si="319">860/W387</f>
        <v>0.2477248521518286</v>
      </c>
      <c r="Z387" s="2"/>
      <c r="AA387" s="2">
        <f t="shared" ref="AA387:AA450" si="320">(X387*I387*365*10^6)/((IF(AC387,AC387,4286))*1000)</f>
        <v>432771.39872468094</v>
      </c>
      <c r="AB387" s="2" t="s">
        <v>576</v>
      </c>
      <c r="AC387" s="12"/>
      <c r="AD387" s="12">
        <f t="shared" ref="AD387:AD450" si="321">AC387*H387</f>
        <v>0</v>
      </c>
      <c r="AE387" s="2"/>
      <c r="AF387" s="7"/>
      <c r="AG387" s="7"/>
      <c r="AH387" s="7"/>
      <c r="AI387" s="7"/>
      <c r="AJ387" s="7"/>
      <c r="AK387" s="7"/>
      <c r="AL387" s="7"/>
      <c r="AM387" s="7"/>
      <c r="AN387" s="15">
        <f t="shared" ref="AN387:AN450" si="322">SUM(AF387:AM387)</f>
        <v>0</v>
      </c>
      <c r="AO387" s="6">
        <v>0.10678657853863342</v>
      </c>
      <c r="AP387" s="11">
        <f t="shared" ref="AP387:AP450" si="323">AO387*I387</f>
        <v>0.15566695395340846</v>
      </c>
      <c r="AQ387" s="11"/>
      <c r="AR387" s="3">
        <f>VLOOKUP(A387,[10]Sheet1!$A$2:$L$542,12,FALSE)</f>
        <v>3.1011564051114102</v>
      </c>
      <c r="AS387" s="3">
        <f t="shared" si="290"/>
        <v>3.0199976066047087</v>
      </c>
      <c r="AT387" s="2"/>
      <c r="AU387" s="2"/>
      <c r="AV387" s="88">
        <f t="shared" si="291"/>
        <v>3.212730172627503E-2</v>
      </c>
      <c r="AW387" s="32">
        <f t="shared" si="292"/>
        <v>1.063818781048465E-2</v>
      </c>
      <c r="AX387" s="12">
        <f t="shared" ref="AX387:AX450" si="324">(AS387*I387*365)/10</f>
        <v>160.68643616274403</v>
      </c>
      <c r="AY387" s="12">
        <f t="shared" ref="AY387:AY450" si="325">(AT387*R387*365)/10</f>
        <v>0</v>
      </c>
      <c r="AZ387" s="3">
        <f>VLOOKUP(A387,[5]Analysis!$A$3:$BJ$543,62,FALSE)</f>
        <v>0.76438790323510297</v>
      </c>
      <c r="BA387" s="2"/>
      <c r="BB387" s="2"/>
      <c r="BC387" s="2" t="e">
        <f>VLOOKUP(A387,'[6]FGD status - Jun 2020'!$I$2:$M$449,5,FALSE)</f>
        <v>#N/A</v>
      </c>
      <c r="BD387" s="2" t="str">
        <f>VLOOKUP(A387,'[1]daily coal, energy reqd'!$C$2:$L$599,10,FALSE)</f>
        <v>Y</v>
      </c>
      <c r="BE387" s="2"/>
      <c r="BF387" s="2">
        <f t="shared" ref="BF387:BF450" si="326">((AA387*(1-U387)*3095)+(AA387*U387*5231))/10^7</f>
        <v>133.94274790528874</v>
      </c>
      <c r="BG387" s="2">
        <f t="shared" ref="BG387:BG450" si="327">((Z387*(1-U387)*3095)+(Z387*U387*5231))/10^7</f>
        <v>0</v>
      </c>
      <c r="BH387" s="2"/>
      <c r="BI387" s="2"/>
      <c r="BK387">
        <f t="shared" ref="BK387:BK450" si="328">K387*H387</f>
        <v>60.739122557854593</v>
      </c>
      <c r="BP387" s="2" t="e">
        <f>VLOOKUP(A387,'[7]Table 2'!$J$2:$N$449,5,FALSE)</f>
        <v>#N/A</v>
      </c>
      <c r="BR387">
        <f t="shared" si="293"/>
        <v>141.78311817117927</v>
      </c>
      <c r="BT387">
        <f>(X387*I387*365*[5]Analysis!BK387)/10^4</f>
        <v>69.70552863077539</v>
      </c>
      <c r="BV387">
        <f>(X387*I387*365*[5]Analysis!BL387)/10^4</f>
        <v>72.077589540403878</v>
      </c>
      <c r="BX387">
        <f t="shared" si="294"/>
        <v>520884.84118009097</v>
      </c>
      <c r="BZ387">
        <f t="shared" si="295"/>
        <v>2106860.1525684143</v>
      </c>
      <c r="CB387">
        <f t="shared" si="296"/>
        <v>-79571.76362883285</v>
      </c>
      <c r="CD387">
        <f t="shared" si="297"/>
        <v>0</v>
      </c>
      <c r="CF387">
        <f t="shared" si="298"/>
        <v>950071.87974684243</v>
      </c>
      <c r="CH387">
        <f t="shared" si="299"/>
        <v>489763.48063878278</v>
      </c>
      <c r="CJ387">
        <f t="shared" si="300"/>
        <v>-105289.5682586093</v>
      </c>
      <c r="CL387">
        <f t="shared" si="301"/>
        <v>440077.32817225967</v>
      </c>
    </row>
    <row r="388" spans="1:90" x14ac:dyDescent="0.2">
      <c r="A388" s="2" t="s">
        <v>521</v>
      </c>
      <c r="B388" s="2" t="str">
        <f t="shared" si="311"/>
        <v>KOTHAGUDEM TPS</v>
      </c>
      <c r="C388" s="2" t="s">
        <v>610</v>
      </c>
      <c r="D388" s="2" t="str">
        <f>VLOOKUP(C388,'Target PLF'!$I$2:$J$19,2,FALSE)</f>
        <v>SR</v>
      </c>
      <c r="E388" s="2" t="str">
        <f>VLOOKUP(A388,[2]Ownership!$C$2:$D$666,2,FALSE)</f>
        <v>STATE SECTOR</v>
      </c>
      <c r="F388" s="2" t="s">
        <v>550</v>
      </c>
      <c r="G388" s="12">
        <v>43.151266255989</v>
      </c>
      <c r="H388" s="2">
        <v>120</v>
      </c>
      <c r="I388" s="2">
        <f>VLOOKUP(A388,'[3]Calculated coal req (reg.)'!$A$2:$I$599,9,FALSE)</f>
        <v>1.7979097337429499</v>
      </c>
      <c r="J388" s="2"/>
      <c r="K388" s="11">
        <v>0.62427421310519093</v>
      </c>
      <c r="L388" s="3">
        <f>VLOOKUP(F388,'Target PLF'!$A$2:$B$11,2,FALSE)</f>
        <v>0.55000000000000004</v>
      </c>
      <c r="M388" s="3">
        <f t="shared" ref="M388:M451" si="329">L388-K388</f>
        <v>-7.4274213105190889E-2</v>
      </c>
      <c r="N388" s="2" t="str">
        <f t="shared" si="312"/>
        <v>0.25</v>
      </c>
      <c r="O388" s="2">
        <f t="shared" si="310"/>
        <v>12.848245517854906</v>
      </c>
      <c r="P388" s="2">
        <f t="shared" si="313"/>
        <v>562753.15368204494</v>
      </c>
      <c r="Q388" s="2">
        <f t="shared" si="314"/>
        <v>15.988836108658452</v>
      </c>
      <c r="R388" s="2">
        <f t="shared" si="315"/>
        <v>1.5840000000000003</v>
      </c>
      <c r="S388" s="2"/>
      <c r="T388" s="2" t="str">
        <f>VLOOKUP(A388,'[4]CEA vs MERIT comp. &amp; NPA marker'!$C$2:$K$735,9,FALSE)</f>
        <v>Contracted</v>
      </c>
      <c r="U388" s="3">
        <f>VLOOKUP(B388,'[8]Import-Domestic share'!$A$208:$F$406,6,FALSE)</f>
        <v>0</v>
      </c>
      <c r="V388" s="3">
        <f t="shared" si="316"/>
        <v>0</v>
      </c>
      <c r="W388" s="2">
        <f t="shared" si="317"/>
        <v>3454.6076104257354</v>
      </c>
      <c r="X388" s="2">
        <f t="shared" si="318"/>
        <v>3430.0546946704967</v>
      </c>
      <c r="Y388" s="6">
        <f t="shared" si="319"/>
        <v>0.24894288931819269</v>
      </c>
      <c r="Z388" s="2"/>
      <c r="AA388" s="2">
        <f t="shared" si="320"/>
        <v>525181.75077668158</v>
      </c>
      <c r="AB388" s="2" t="s">
        <v>576</v>
      </c>
      <c r="AC388" s="12"/>
      <c r="AD388" s="12">
        <f t="shared" si="321"/>
        <v>0</v>
      </c>
      <c r="AE388" s="2"/>
      <c r="AF388" s="7"/>
      <c r="AG388" s="7"/>
      <c r="AH388" s="7"/>
      <c r="AI388" s="7"/>
      <c r="AJ388" s="7"/>
      <c r="AK388" s="7"/>
      <c r="AL388" s="7"/>
      <c r="AM388" s="7"/>
      <c r="AN388" s="15">
        <f t="shared" si="322"/>
        <v>0</v>
      </c>
      <c r="AO388" s="6">
        <v>0.10678657853863342</v>
      </c>
      <c r="AP388" s="11">
        <f t="shared" si="323"/>
        <v>0.19199262898771502</v>
      </c>
      <c r="AQ388" s="11"/>
      <c r="AR388" s="3">
        <f>VLOOKUP(A388,[10]Sheet1!$A$2:$L$542,12,FALSE)</f>
        <v>3.1011564051114102</v>
      </c>
      <c r="AS388" s="3">
        <f t="shared" ref="AS388:AS451" si="330">0.6517435+(0.0001025*X388)+(1.890785*AZ388)+(0.0074045*G388 )+(-0.0006019*H388)+(2.827044*AO388)</f>
        <v>2.9977931949527528</v>
      </c>
      <c r="AT388" s="2"/>
      <c r="AU388" s="2"/>
      <c r="AV388" s="88">
        <f t="shared" ref="AV388:AV451" si="331">0.73282*M388</f>
        <v>-5.4429628847745992E-2</v>
      </c>
      <c r="AW388" s="32">
        <f t="shared" ref="AW388:AW451" si="332">ABS(AU388-AV388)/AS388</f>
        <v>1.8156565616129449E-2</v>
      </c>
      <c r="AX388" s="12">
        <f t="shared" si="324"/>
        <v>196.72629712081849</v>
      </c>
      <c r="AY388" s="12">
        <f t="shared" si="325"/>
        <v>0</v>
      </c>
      <c r="AZ388" s="3">
        <f>VLOOKUP(A388,[5]Analysis!$A$3:$BJ$543,62,FALSE)</f>
        <v>0.76438790323510297</v>
      </c>
      <c r="BA388" s="2"/>
      <c r="BB388" s="2"/>
      <c r="BC388" s="2" t="e">
        <f>VLOOKUP(A388,'[6]FGD status - Jun 2020'!$I$2:$M$449,5,FALSE)</f>
        <v>#N/A</v>
      </c>
      <c r="BD388" s="2" t="str">
        <f>VLOOKUP(A388,'[1]daily coal, energy reqd'!$C$2:$L$599,10,FALSE)</f>
        <v>Y</v>
      </c>
      <c r="BE388" s="2"/>
      <c r="BF388" s="2">
        <f t="shared" si="326"/>
        <v>162.54375186538294</v>
      </c>
      <c r="BG388" s="2">
        <f t="shared" si="327"/>
        <v>0</v>
      </c>
      <c r="BH388" s="2"/>
      <c r="BI388" s="2"/>
      <c r="BK388">
        <f t="shared" si="328"/>
        <v>74.912905572622918</v>
      </c>
      <c r="BP388" s="2" t="e">
        <f>VLOOKUP(A388,'[7]Table 2'!$J$2:$N$449,5,FALSE)</f>
        <v>#N/A</v>
      </c>
      <c r="BR388">
        <f t="shared" ref="BR388:BR451" si="333">(X388*I388*365*AZ388)/10^4</f>
        <v>172.05828862800615</v>
      </c>
      <c r="BT388">
        <f>(X388*I388*365*[5]Analysis!BK388)/10^4</f>
        <v>84.589858925529256</v>
      </c>
      <c r="BV388">
        <f>(X388*I388*365*[5]Analysis!BL388)/10^4</f>
        <v>87.468429702476882</v>
      </c>
      <c r="BX388">
        <f t="shared" ref="BX388:BX451" si="334">0.0001025*((X388*I388*10^6))</f>
        <v>632110.19408892572</v>
      </c>
      <c r="BZ388">
        <f t="shared" ref="BZ388:BZ451" si="335">(1.890785*AZ388*I388*10^6)</f>
        <v>2598506.6793440101</v>
      </c>
      <c r="CB388">
        <f t="shared" ref="CB388:CB451" si="336">(-0.107843*I388*K388*10^6)</f>
        <v>-121041.76287735684</v>
      </c>
      <c r="CD388">
        <f t="shared" ref="CD388:CD451" si="337">IF(E388="PVT SECTOR",-0.3690444,0)*I388*10^6</f>
        <v>0</v>
      </c>
      <c r="CF388">
        <f t="shared" ref="CF388:CF451" si="338" xml:space="preserve"> 0.6517435*I388*10^6</f>
        <v>1171775.9825536984</v>
      </c>
      <c r="CH388">
        <f t="shared" ref="CH388:CH451" si="339">0.0074045*(G388*I388*10^6)</f>
        <v>574456.52339213714</v>
      </c>
      <c r="CJ388">
        <f t="shared" ref="CJ388:CJ451" si="340">-0.0006019*H388*I388*10^6</f>
        <v>-129859.4242487858</v>
      </c>
      <c r="CL388">
        <f t="shared" ref="CL388:CL451" si="341">2.827044*AO388*I388*10^6</f>
        <v>542771.60982394591</v>
      </c>
    </row>
    <row r="389" spans="1:90" x14ac:dyDescent="0.2">
      <c r="A389" s="2" t="s">
        <v>519</v>
      </c>
      <c r="B389" s="2" t="str">
        <f t="shared" si="311"/>
        <v>KOTHAGUDEM TPS</v>
      </c>
      <c r="C389" s="2" t="s">
        <v>610</v>
      </c>
      <c r="D389" s="2" t="str">
        <f>VLOOKUP(C389,'Target PLF'!$I$2:$J$19,2,FALSE)</f>
        <v>SR</v>
      </c>
      <c r="E389" s="2" t="s">
        <v>570</v>
      </c>
      <c r="F389" s="2" t="s">
        <v>550</v>
      </c>
      <c r="G389" s="12">
        <v>42.313483915126596</v>
      </c>
      <c r="H389" s="2">
        <v>120</v>
      </c>
      <c r="I389" s="2">
        <f>VLOOKUP(A389,'[3]Calculated coal req (reg.)'!$A$2:$I$599,9,FALSE)</f>
        <v>1.44369283470076</v>
      </c>
      <c r="J389" s="2"/>
      <c r="K389" s="11">
        <v>0.50128223427109719</v>
      </c>
      <c r="L389" s="3">
        <f>VLOOKUP(F389,'Target PLF'!$A$2:$B$11,2,FALSE)</f>
        <v>0.55000000000000004</v>
      </c>
      <c r="M389" s="3">
        <f t="shared" si="329"/>
        <v>4.8717765728902851E-2</v>
      </c>
      <c r="N389" s="2" t="str">
        <f t="shared" si="312"/>
        <v>0.25</v>
      </c>
      <c r="O389" s="2">
        <f t="shared" si="310"/>
        <v>11.110484463095691</v>
      </c>
      <c r="P389" s="2">
        <f t="shared" si="313"/>
        <v>486639.21948359127</v>
      </c>
      <c r="Q389" s="2">
        <f t="shared" si="314"/>
        <v>15.962299353011636</v>
      </c>
      <c r="R389" s="2">
        <f t="shared" si="315"/>
        <v>1.5840000000000003</v>
      </c>
      <c r="S389" s="2"/>
      <c r="T389" s="2" t="str">
        <f>VLOOKUP(A389,'[4]CEA vs MERIT comp. &amp; NPA marker'!$C$2:$K$735,9,FALSE)</f>
        <v>Contracted</v>
      </c>
      <c r="U389" s="3">
        <f>VLOOKUP(B389,'[8]Import-Domestic share'!$A$208:$F$406,6,FALSE)</f>
        <v>0</v>
      </c>
      <c r="V389" s="3">
        <f t="shared" si="316"/>
        <v>0</v>
      </c>
      <c r="W389" s="2">
        <f t="shared" si="317"/>
        <v>3448.2065034524294</v>
      </c>
      <c r="X389" s="2">
        <f t="shared" si="318"/>
        <v>3464.3111937307517</v>
      </c>
      <c r="Y389" s="6">
        <f t="shared" si="319"/>
        <v>0.24940501653220212</v>
      </c>
      <c r="Z389" s="2"/>
      <c r="AA389" s="2">
        <f t="shared" si="320"/>
        <v>425924.2779655609</v>
      </c>
      <c r="AB389" s="2" t="s">
        <v>576</v>
      </c>
      <c r="AC389" s="12"/>
      <c r="AD389" s="12">
        <f t="shared" si="321"/>
        <v>0</v>
      </c>
      <c r="AE389" s="2"/>
      <c r="AF389" s="7"/>
      <c r="AG389" s="7"/>
      <c r="AH389" s="7"/>
      <c r="AI389" s="7"/>
      <c r="AJ389" s="7"/>
      <c r="AK389" s="7"/>
      <c r="AL389" s="7"/>
      <c r="AM389" s="7"/>
      <c r="AN389" s="15">
        <f t="shared" si="322"/>
        <v>0</v>
      </c>
      <c r="AO389" s="6">
        <v>0.10678657853863342</v>
      </c>
      <c r="AP389" s="11">
        <f t="shared" si="323"/>
        <v>0.15416701827843504</v>
      </c>
      <c r="AQ389" s="11"/>
      <c r="AR389" s="3">
        <f>VLOOKUP(A389,[10]Sheet1!$A$2:$L$542,12,FALSE)</f>
        <v>3.1011564051114102</v>
      </c>
      <c r="AS389" s="3">
        <f t="shared" si="330"/>
        <v>2.9951011267635135</v>
      </c>
      <c r="AT389" s="2"/>
      <c r="AU389" s="2"/>
      <c r="AV389" s="88">
        <f t="shared" si="331"/>
        <v>3.5701353081454591E-2</v>
      </c>
      <c r="AW389" s="32">
        <f t="shared" si="332"/>
        <v>1.1919915745894443E-2</v>
      </c>
      <c r="AX389" s="12">
        <f t="shared" si="324"/>
        <v>157.826220310812</v>
      </c>
      <c r="AY389" s="12">
        <f t="shared" si="325"/>
        <v>0</v>
      </c>
      <c r="AZ389" s="3">
        <f>VLOOKUP(A389,[5]Analysis!$A$3:$BJ$543,62,FALSE)</f>
        <v>0.76438790323510297</v>
      </c>
      <c r="BA389" s="2"/>
      <c r="BB389" s="2"/>
      <c r="BC389" s="2" t="e">
        <f>VLOOKUP(A389,'[6]FGD status - Jun 2020'!$I$2:$M$449,5,FALSE)</f>
        <v>#N/A</v>
      </c>
      <c r="BD389" s="2" t="str">
        <f>VLOOKUP(A389,'[1]daily coal, energy reqd'!$C$2:$L$599,10,FALSE)</f>
        <v>Y</v>
      </c>
      <c r="BE389" s="2"/>
      <c r="BF389" s="2">
        <f t="shared" si="326"/>
        <v>131.82356403034109</v>
      </c>
      <c r="BG389" s="2">
        <f t="shared" si="327"/>
        <v>0</v>
      </c>
      <c r="BH389" s="2"/>
      <c r="BI389" s="2"/>
      <c r="BK389">
        <f t="shared" si="328"/>
        <v>60.153868112531661</v>
      </c>
      <c r="BP389" s="2" t="e">
        <f>VLOOKUP(A389,'[7]Table 2'!$J$2:$N$449,5,FALSE)</f>
        <v>#N/A</v>
      </c>
      <c r="BR389">
        <f t="shared" si="333"/>
        <v>139.53988736945928</v>
      </c>
      <c r="BT389">
        <f>(X389*I389*365*[5]Analysis!BK389)/10^4</f>
        <v>68.602678087694898</v>
      </c>
      <c r="BV389">
        <f>(X389*I389*365*[5]Analysis!BL389)/10^4</f>
        <v>70.937209281764382</v>
      </c>
      <c r="BX389">
        <f t="shared" si="334"/>
        <v>512643.62787517911</v>
      </c>
      <c r="BZ389">
        <f t="shared" si="335"/>
        <v>2086559.4103443255</v>
      </c>
      <c r="CB389">
        <f t="shared" si="336"/>
        <v>-78045.717017781382</v>
      </c>
      <c r="CD389">
        <f t="shared" si="337"/>
        <v>0</v>
      </c>
      <c r="CF389">
        <f t="shared" si="338"/>
        <v>940917.42101279483</v>
      </c>
      <c r="CH389">
        <f t="shared" si="339"/>
        <v>452323.67872318428</v>
      </c>
      <c r="CJ389">
        <f t="shared" si="340"/>
        <v>-104275.04606476649</v>
      </c>
      <c r="CL389">
        <f t="shared" si="341"/>
        <v>435836.94402194006</v>
      </c>
    </row>
    <row r="390" spans="1:90" x14ac:dyDescent="0.2">
      <c r="A390" s="2" t="s">
        <v>338</v>
      </c>
      <c r="B390" s="2" t="str">
        <f t="shared" si="311"/>
        <v>KUNDARKI TPS</v>
      </c>
      <c r="C390" s="2" t="str">
        <f>VLOOKUP($A390,'[1]daily coal, energy reqd'!$C$2:$T$599,17,FALSE)</f>
        <v>Uttar Pradesh</v>
      </c>
      <c r="D390" s="2" t="str">
        <f>VLOOKUP(C390,'Target PLF'!$I$2:$J$19,2,FALSE)</f>
        <v>NR</v>
      </c>
      <c r="E390" s="2" t="str">
        <f>VLOOKUP(A390,[2]Ownership!$C$2:$D$666,2,FALSE)</f>
        <v>PVT SECTOR</v>
      </c>
      <c r="F390" s="2" t="s">
        <v>543</v>
      </c>
      <c r="G390" s="12">
        <v>8.33949349760438</v>
      </c>
      <c r="H390" s="2">
        <v>45</v>
      </c>
      <c r="I390" s="2">
        <f>VLOOKUP(A390,'[3]Calculated coal req (reg.)'!$A$2:$I$599,9,FALSE)</f>
        <v>0.22812321556579601</v>
      </c>
      <c r="J390" s="2"/>
      <c r="K390" s="11">
        <v>0.21122519959795927</v>
      </c>
      <c r="L390" s="3">
        <f>VLOOKUP(F390,'Target PLF'!$A$2:$B$11,2,FALSE)</f>
        <v>0.85</v>
      </c>
      <c r="M390" s="3">
        <f t="shared" si="329"/>
        <v>0.63877480040204071</v>
      </c>
      <c r="N390" s="2" t="str">
        <f t="shared" si="312"/>
        <v>0.15</v>
      </c>
      <c r="O390" s="2">
        <f t="shared" si="310"/>
        <v>5.5284588761029054</v>
      </c>
      <c r="P390" s="2">
        <f t="shared" si="313"/>
        <v>90804.937039990225</v>
      </c>
      <c r="Q390" s="2">
        <f t="shared" si="314"/>
        <v>14.415924306536619</v>
      </c>
      <c r="R390" s="2">
        <f t="shared" si="315"/>
        <v>0.91800000000000004</v>
      </c>
      <c r="S390" s="2"/>
      <c r="T390" s="2" t="str">
        <f>VLOOKUP(A390,'[4]CEA vs MERIT comp. &amp; NPA marker'!$C$2:$K$735,9,FALSE)</f>
        <v>Contracted</v>
      </c>
      <c r="U390" s="3">
        <f>VLOOKUP(B390,'[8]Import-Domestic share'!$A$208:$F$406,6,FALSE)</f>
        <v>0</v>
      </c>
      <c r="V390" s="3">
        <f t="shared" si="316"/>
        <v>0</v>
      </c>
      <c r="W390" s="2">
        <f t="shared" si="317"/>
        <v>3158.8862851297054</v>
      </c>
      <c r="X390" s="2">
        <f t="shared" si="318"/>
        <v>3370.0468374283687</v>
      </c>
      <c r="Y390" s="6">
        <f t="shared" si="319"/>
        <v>0.27224785015162012</v>
      </c>
      <c r="Z390" s="2"/>
      <c r="AA390" s="2">
        <f t="shared" si="320"/>
        <v>65470.569580949079</v>
      </c>
      <c r="AB390" s="2" t="s">
        <v>576</v>
      </c>
      <c r="AC390" s="12"/>
      <c r="AD390" s="12">
        <f t="shared" si="321"/>
        <v>0</v>
      </c>
      <c r="AE390" s="2"/>
      <c r="AF390" s="7"/>
      <c r="AG390" s="7"/>
      <c r="AH390" s="7"/>
      <c r="AI390" s="7"/>
      <c r="AJ390" s="7"/>
      <c r="AK390" s="7"/>
      <c r="AL390" s="7"/>
      <c r="AM390" s="7"/>
      <c r="AN390" s="15">
        <f t="shared" si="322"/>
        <v>0</v>
      </c>
      <c r="AO390" s="6">
        <v>9.1179878523889146E-2</v>
      </c>
      <c r="AP390" s="11">
        <f t="shared" si="323"/>
        <v>2.0800247083768257E-2</v>
      </c>
      <c r="AQ390" s="11"/>
      <c r="AR390" s="3">
        <f>VLOOKUP(A390,[10]Sheet1!$A$2:$L$542,12,FALSE)</f>
        <v>3.3738486842105302</v>
      </c>
      <c r="AS390" s="3">
        <f t="shared" si="330"/>
        <v>2.539252368428869</v>
      </c>
      <c r="AT390" s="2"/>
      <c r="AU390" s="2"/>
      <c r="AV390" s="88">
        <f t="shared" si="331"/>
        <v>0.46810694923062351</v>
      </c>
      <c r="AW390" s="32">
        <f t="shared" si="332"/>
        <v>0.18434833616804261</v>
      </c>
      <c r="AX390" s="12">
        <f t="shared" si="324"/>
        <v>21.143078162795582</v>
      </c>
      <c r="AY390" s="12">
        <f t="shared" si="325"/>
        <v>0</v>
      </c>
      <c r="AZ390" s="3">
        <f>VLOOKUP(A390,[5]Analysis!$A$3:$BJ$543,62,FALSE)</f>
        <v>0.66091346159809805</v>
      </c>
      <c r="BA390" s="2"/>
      <c r="BB390" s="2"/>
      <c r="BC390" s="2" t="e">
        <f>VLOOKUP(A390,'[6]FGD status - Jun 2020'!$I$2:$M$449,5,FALSE)</f>
        <v>#N/A</v>
      </c>
      <c r="BD390" s="2"/>
      <c r="BE390" s="2"/>
      <c r="BF390" s="2">
        <f t="shared" si="326"/>
        <v>20.263141285303739</v>
      </c>
      <c r="BG390" s="2">
        <f t="shared" si="327"/>
        <v>0</v>
      </c>
      <c r="BH390" s="2"/>
      <c r="BI390" s="2"/>
      <c r="BK390">
        <f t="shared" si="328"/>
        <v>9.5051339819081662</v>
      </c>
      <c r="BL390" t="str">
        <f>VLOOKUP(A390,'[11]Daily coal vs energy req.2'!$C$2:$P$599,14,FALSE)</f>
        <v/>
      </c>
      <c r="BM390" t="str">
        <f>VLOOKUP(A390,'[11]Daily coal vs energy req.2'!$C$2:$R$599,16,FALSE)</f>
        <v/>
      </c>
      <c r="BP390" s="2" t="e">
        <f>VLOOKUP(A390,'[7]Table 2'!$J$2:$N$449,5,FALSE)</f>
        <v>#N/A</v>
      </c>
      <c r="BR390">
        <f t="shared" si="333"/>
        <v>18.545685199969643</v>
      </c>
      <c r="BT390">
        <f>(X390*I390*365*[5]Analysis!BK390)/10^4</f>
        <v>10.555384075356555</v>
      </c>
      <c r="BV390">
        <f>(X390*I390*365*[5]Analysis!BL390)/10^4</f>
        <v>7.9903011246130902</v>
      </c>
      <c r="BX390">
        <f t="shared" si="334"/>
        <v>78800.556919053837</v>
      </c>
      <c r="BZ390">
        <f t="shared" si="335"/>
        <v>285073.09491090133</v>
      </c>
      <c r="CB390">
        <f t="shared" si="336"/>
        <v>-5196.4550446445555</v>
      </c>
      <c r="CD390">
        <f t="shared" si="337"/>
        <v>-84187.59521454986</v>
      </c>
      <c r="CF390">
        <f t="shared" si="338"/>
        <v>148677.82294410639</v>
      </c>
      <c r="CH390">
        <f t="shared" si="339"/>
        <v>14086.558283518218</v>
      </c>
      <c r="CJ390">
        <f t="shared" si="340"/>
        <v>-6178.8313552073678</v>
      </c>
      <c r="CL390">
        <f t="shared" si="341"/>
        <v>58803.21371668455</v>
      </c>
    </row>
    <row r="391" spans="1:90" x14ac:dyDescent="0.2">
      <c r="A391" s="2" t="s">
        <v>335</v>
      </c>
      <c r="B391" s="2" t="str">
        <f t="shared" si="311"/>
        <v>KUNDARKI TPS</v>
      </c>
      <c r="C391" s="2" t="str">
        <f>VLOOKUP($A391,'[1]daily coal, energy reqd'!$C$2:$T$599,17,FALSE)</f>
        <v>Uttar Pradesh</v>
      </c>
      <c r="D391" s="2" t="str">
        <f>VLOOKUP(C391,'Target PLF'!$I$2:$J$19,2,FALSE)</f>
        <v>NR</v>
      </c>
      <c r="E391" s="2" t="str">
        <f>VLOOKUP(A391,[2]Ownership!$C$2:$D$666,2,FALSE)</f>
        <v>PVT SECTOR</v>
      </c>
      <c r="F391" s="2" t="s">
        <v>543</v>
      </c>
      <c r="G391" s="12">
        <v>8.2546201232032796</v>
      </c>
      <c r="H391" s="2">
        <v>45</v>
      </c>
      <c r="I391" s="2">
        <f>VLOOKUP(A391,'[3]Calculated coal req (reg.)'!$A$2:$I$599,9,FALSE)</f>
        <v>0.19832163850486401</v>
      </c>
      <c r="J391" s="2"/>
      <c r="K391" s="11">
        <v>0.18363114676376296</v>
      </c>
      <c r="L391" s="3">
        <f>VLOOKUP(F391,'Target PLF'!$A$2:$B$11,2,FALSE)</f>
        <v>0.85</v>
      </c>
      <c r="M391" s="3">
        <f t="shared" si="329"/>
        <v>0.66636885323623707</v>
      </c>
      <c r="N391" s="2" t="str">
        <f t="shared" si="312"/>
        <v>0.15</v>
      </c>
      <c r="O391" s="2">
        <f t="shared" si="310"/>
        <v>5.1418461766707271</v>
      </c>
      <c r="P391" s="2">
        <f t="shared" si="313"/>
        <v>84454.823451816701</v>
      </c>
      <c r="Q391" s="2">
        <f t="shared" si="314"/>
        <v>14.413235942402464</v>
      </c>
      <c r="R391" s="2">
        <f t="shared" si="315"/>
        <v>0.91800000000000004</v>
      </c>
      <c r="S391" s="2"/>
      <c r="T391" s="2" t="str">
        <f>VLOOKUP(A391,'[4]CEA vs MERIT comp. &amp; NPA marker'!$C$2:$K$735,9,FALSE)</f>
        <v>Contracted</v>
      </c>
      <c r="U391" s="3">
        <f>VLOOKUP(B391,'[8]Import-Domestic share'!$A$208:$F$406,6,FALSE)</f>
        <v>0</v>
      </c>
      <c r="V391" s="3">
        <f t="shared" si="316"/>
        <v>0</v>
      </c>
      <c r="W391" s="2">
        <f t="shared" si="317"/>
        <v>3158.237806972279</v>
      </c>
      <c r="X391" s="2">
        <f t="shared" si="318"/>
        <v>3378.5201584292058</v>
      </c>
      <c r="Y391" s="6">
        <f t="shared" si="319"/>
        <v>0.27230375056033534</v>
      </c>
      <c r="Z391" s="2"/>
      <c r="AA391" s="2">
        <f t="shared" si="320"/>
        <v>57060.728778023418</v>
      </c>
      <c r="AB391" s="2" t="s">
        <v>576</v>
      </c>
      <c r="AC391" s="12"/>
      <c r="AD391" s="12">
        <f t="shared" si="321"/>
        <v>0</v>
      </c>
      <c r="AE391" s="2"/>
      <c r="AF391" s="7"/>
      <c r="AG391" s="7"/>
      <c r="AH391" s="7"/>
      <c r="AI391" s="7"/>
      <c r="AJ391" s="7"/>
      <c r="AK391" s="7"/>
      <c r="AL391" s="7"/>
      <c r="AM391" s="7"/>
      <c r="AN391" s="15">
        <f t="shared" si="322"/>
        <v>0</v>
      </c>
      <c r="AO391" s="6">
        <v>9.1179878523889146E-2</v>
      </c>
      <c r="AP391" s="11">
        <f t="shared" si="323"/>
        <v>1.8082942907532155E-2</v>
      </c>
      <c r="AQ391" s="11"/>
      <c r="AR391" s="3">
        <f>VLOOKUP(A391,[10]Sheet1!$A$2:$L$542,12,FALSE)</f>
        <v>3.3738486842105302</v>
      </c>
      <c r="AS391" s="3">
        <f t="shared" si="330"/>
        <v>2.5394924389307021</v>
      </c>
      <c r="AT391" s="2"/>
      <c r="AU391" s="2"/>
      <c r="AV391" s="88">
        <f t="shared" si="331"/>
        <v>0.48832842302857926</v>
      </c>
      <c r="AW391" s="32">
        <f t="shared" si="332"/>
        <v>0.19229371016918584</v>
      </c>
      <c r="AX391" s="12">
        <f t="shared" si="324"/>
        <v>18.382725003269933</v>
      </c>
      <c r="AY391" s="12">
        <f t="shared" si="325"/>
        <v>0</v>
      </c>
      <c r="AZ391" s="3">
        <f>VLOOKUP(A391,[5]Analysis!$A$3:$BJ$543,62,FALSE)</f>
        <v>0.66091346159809805</v>
      </c>
      <c r="BA391" s="2"/>
      <c r="BB391" s="2"/>
      <c r="BC391" s="2" t="e">
        <f>VLOOKUP(A391,'[6]FGD status - Jun 2020'!$I$2:$M$449,5,FALSE)</f>
        <v>#N/A</v>
      </c>
      <c r="BD391" s="2"/>
      <c r="BE391" s="2"/>
      <c r="BF391" s="2">
        <f t="shared" si="326"/>
        <v>17.660295556798246</v>
      </c>
      <c r="BG391" s="2">
        <f t="shared" si="327"/>
        <v>0</v>
      </c>
      <c r="BH391" s="2"/>
      <c r="BI391" s="2"/>
      <c r="BK391">
        <f t="shared" si="328"/>
        <v>8.2634016043693332</v>
      </c>
      <c r="BL391" t="str">
        <f>VLOOKUP(A391,'[11]Daily coal vs energy req.2'!$C$2:$P$599,14,FALSE)</f>
        <v/>
      </c>
      <c r="BM391" t="str">
        <f>VLOOKUP(A391,'[11]Daily coal vs energy req.2'!$C$2:$R$599,16,FALSE)</f>
        <v/>
      </c>
      <c r="BP391" s="2" t="e">
        <f>VLOOKUP(A391,'[7]Table 2'!$J$2:$N$449,5,FALSE)</f>
        <v>#N/A</v>
      </c>
      <c r="BR391">
        <f t="shared" si="333"/>
        <v>16.163450539248089</v>
      </c>
      <c r="BT391">
        <f>(X391*I391*365*[5]Analysis!BK391)/10^4</f>
        <v>9.1995214296569561</v>
      </c>
      <c r="BV391">
        <f>(X391*I391*365*[5]Analysis!BL391)/10^4</f>
        <v>6.963929109591132</v>
      </c>
      <c r="BX391">
        <f t="shared" si="334"/>
        <v>68678.449487992766</v>
      </c>
      <c r="BZ391">
        <f t="shared" si="335"/>
        <v>247831.69541144848</v>
      </c>
      <c r="CB391">
        <f t="shared" si="336"/>
        <v>-3927.4295992300413</v>
      </c>
      <c r="CD391">
        <f t="shared" si="337"/>
        <v>-73189.490089044441</v>
      </c>
      <c r="CF391">
        <f t="shared" si="338"/>
        <v>129254.83880489483</v>
      </c>
      <c r="CH391">
        <f t="shared" si="339"/>
        <v>12121.683245756147</v>
      </c>
      <c r="CJ391">
        <f t="shared" si="340"/>
        <v>-5371.6407397234943</v>
      </c>
      <c r="CL391">
        <f t="shared" si="341"/>
        <v>51121.275249081329</v>
      </c>
    </row>
    <row r="392" spans="1:90" x14ac:dyDescent="0.2">
      <c r="A392" s="2" t="s">
        <v>343</v>
      </c>
      <c r="B392" s="2" t="str">
        <f t="shared" si="311"/>
        <v>MAQSOODPUR TPS</v>
      </c>
      <c r="C392" s="2" t="str">
        <f>VLOOKUP($A392,'[1]daily coal, energy reqd'!$C$2:$T$599,17,FALSE)</f>
        <v>Uttar Pradesh</v>
      </c>
      <c r="D392" s="2" t="str">
        <f>VLOOKUP(C392,'Target PLF'!$I$2:$J$19,2,FALSE)</f>
        <v>NR</v>
      </c>
      <c r="E392" s="2" t="str">
        <f>VLOOKUP(A392,[2]Ownership!$C$2:$D$666,2,FALSE)</f>
        <v>PVT SECTOR</v>
      </c>
      <c r="F392" s="2" t="s">
        <v>543</v>
      </c>
      <c r="G392" s="12">
        <v>8.5065023956194299</v>
      </c>
      <c r="H392" s="2">
        <v>45</v>
      </c>
      <c r="I392" s="2">
        <f>VLOOKUP(A392,'[3]Calculated coal req (reg.)'!$A$2:$I$599,9,FALSE)</f>
        <v>0.16263442396313299</v>
      </c>
      <c r="J392" s="2"/>
      <c r="K392" s="11">
        <v>0.15058742959549351</v>
      </c>
      <c r="L392" s="3">
        <f>VLOOKUP(F392,'Target PLF'!$A$2:$B$11,2,FALSE)</f>
        <v>0.85</v>
      </c>
      <c r="M392" s="3">
        <f t="shared" si="329"/>
        <v>0.69941257040450644</v>
      </c>
      <c r="N392" s="2" t="str">
        <f t="shared" si="312"/>
        <v>0.15</v>
      </c>
      <c r="O392" s="2">
        <f t="shared" si="310"/>
        <v>4.6900773975722245</v>
      </c>
      <c r="P392" s="2">
        <f t="shared" si="313"/>
        <v>77034.521255123793</v>
      </c>
      <c r="Q392" s="2">
        <f t="shared" si="314"/>
        <v>14.421214313381245</v>
      </c>
      <c r="R392" s="2">
        <f t="shared" si="315"/>
        <v>0.91800000000000004</v>
      </c>
      <c r="S392" s="2"/>
      <c r="T392" s="2" t="str">
        <f>VLOOKUP(A392,'[4]CEA vs MERIT comp. &amp; NPA marker'!$C$2:$K$735,9,FALSE)</f>
        <v>Contracted</v>
      </c>
      <c r="U392" s="3">
        <f>VLOOKUP(B392,'[8]Import-Domestic share'!$A$208:$F$406,6,FALSE)</f>
        <v>0</v>
      </c>
      <c r="V392" s="3">
        <f t="shared" si="316"/>
        <v>0</v>
      </c>
      <c r="W392" s="2">
        <f t="shared" si="317"/>
        <v>3160.1623227943192</v>
      </c>
      <c r="X392" s="2">
        <f t="shared" si="318"/>
        <v>3391.3679754880209</v>
      </c>
      <c r="Y392" s="6">
        <f t="shared" si="319"/>
        <v>0.272137919560904</v>
      </c>
      <c r="Z392" s="2"/>
      <c r="AA392" s="2">
        <f t="shared" si="320"/>
        <v>46970.814198853579</v>
      </c>
      <c r="AB392" s="2" t="s">
        <v>576</v>
      </c>
      <c r="AC392" s="12"/>
      <c r="AD392" s="12">
        <f t="shared" si="321"/>
        <v>0</v>
      </c>
      <c r="AE392" s="2"/>
      <c r="AF392" s="7"/>
      <c r="AG392" s="7"/>
      <c r="AH392" s="7"/>
      <c r="AI392" s="7"/>
      <c r="AJ392" s="7"/>
      <c r="AK392" s="7"/>
      <c r="AL392" s="7"/>
      <c r="AM392" s="7"/>
      <c r="AN392" s="15">
        <f t="shared" si="322"/>
        <v>0</v>
      </c>
      <c r="AO392" s="6">
        <v>0.10171085784825233</v>
      </c>
      <c r="AP392" s="11">
        <f t="shared" si="323"/>
        <v>1.6541686776946622E-2</v>
      </c>
      <c r="AQ392" s="11"/>
      <c r="AR392" s="3">
        <f>VLOOKUP(A392,[10]Sheet1!$A$2:$L$542,12,FALSE)</f>
        <v>3.6779057017544101</v>
      </c>
      <c r="AS392" s="3">
        <f t="shared" si="330"/>
        <v>2.732220788424355</v>
      </c>
      <c r="AT392" s="2"/>
      <c r="AU392" s="2"/>
      <c r="AV392" s="88">
        <f t="shared" si="331"/>
        <v>0.5125435198438304</v>
      </c>
      <c r="AW392" s="32">
        <f t="shared" si="332"/>
        <v>0.18759227732082706</v>
      </c>
      <c r="AX392" s="12">
        <f t="shared" si="324"/>
        <v>16.218890123390459</v>
      </c>
      <c r="AY392" s="12">
        <f t="shared" si="325"/>
        <v>0</v>
      </c>
      <c r="AZ392" s="3">
        <f>VLOOKUP(A392,[5]Analysis!$A$3:$BJ$543,62,FALSE)</f>
        <v>0.7454153187875483</v>
      </c>
      <c r="BA392" s="2"/>
      <c r="BB392" s="2"/>
      <c r="BC392" s="2" t="e">
        <f>VLOOKUP(A392,'[6]FGD status - Jun 2020'!$I$2:$M$449,5,FALSE)</f>
        <v>#N/A</v>
      </c>
      <c r="BD392" s="2"/>
      <c r="BE392" s="2"/>
      <c r="BF392" s="2">
        <f t="shared" si="326"/>
        <v>14.537466994545182</v>
      </c>
      <c r="BG392" s="2">
        <f t="shared" si="327"/>
        <v>0</v>
      </c>
      <c r="BH392" s="2"/>
      <c r="BI392" s="2"/>
      <c r="BK392">
        <f t="shared" si="328"/>
        <v>6.7764343317972076</v>
      </c>
      <c r="BL392" t="str">
        <f>VLOOKUP(A392,'[11]Daily coal vs energy req.2'!$C$2:$P$599,14,FALSE)</f>
        <v/>
      </c>
      <c r="BM392" t="str">
        <f>VLOOKUP(A392,'[11]Daily coal vs energy req.2'!$C$2:$R$599,16,FALSE)</f>
        <v/>
      </c>
      <c r="BP392" s="2" t="e">
        <f>VLOOKUP(A392,'[7]Table 2'!$J$2:$N$449,5,FALSE)</f>
        <v>#N/A</v>
      </c>
      <c r="BR392">
        <f t="shared" si="333"/>
        <v>15.006470838876481</v>
      </c>
      <c r="BT392">
        <f>(X392*I392*365*[5]Analysis!BK392)/10^4</f>
        <v>7.5727916737932155</v>
      </c>
      <c r="BV392">
        <f>(X392*I392*365*[5]Analysis!BL392)/10^4</f>
        <v>7.4336791650832659</v>
      </c>
      <c r="BX392">
        <f t="shared" si="334"/>
        <v>56534.200656902358</v>
      </c>
      <c r="BZ392">
        <f t="shared" si="335"/>
        <v>229220.22666026489</v>
      </c>
      <c r="CB392">
        <f t="shared" si="336"/>
        <v>-2641.1505459026775</v>
      </c>
      <c r="CD392">
        <f t="shared" si="337"/>
        <v>-60019.323410820034</v>
      </c>
      <c r="CF392">
        <f t="shared" si="338"/>
        <v>105995.92869421617</v>
      </c>
      <c r="CH392">
        <f t="shared" si="339"/>
        <v>10243.756391715804</v>
      </c>
      <c r="CJ392">
        <f t="shared" si="340"/>
        <v>-4405.0346902534393</v>
      </c>
      <c r="CL392">
        <f t="shared" si="341"/>
        <v>46764.076352646283</v>
      </c>
    </row>
    <row r="393" spans="1:90" x14ac:dyDescent="0.2">
      <c r="A393" s="2" t="s">
        <v>340</v>
      </c>
      <c r="B393" s="2" t="str">
        <f t="shared" si="311"/>
        <v>MAQSOODPUR TPS</v>
      </c>
      <c r="C393" s="2" t="str">
        <f>VLOOKUP($A393,'[1]daily coal, energy reqd'!$C$2:$T$599,17,FALSE)</f>
        <v>Uttar Pradesh</v>
      </c>
      <c r="D393" s="2" t="str">
        <f>VLOOKUP(C393,'Target PLF'!$I$2:$J$19,2,FALSE)</f>
        <v>NR</v>
      </c>
      <c r="E393" s="2" t="str">
        <f>VLOOKUP(A393,[2]Ownership!$C$2:$D$666,2,FALSE)</f>
        <v>PVT SECTOR</v>
      </c>
      <c r="F393" s="2" t="s">
        <v>543</v>
      </c>
      <c r="G393" s="12">
        <v>8.33949349760438</v>
      </c>
      <c r="H393" s="2">
        <v>45</v>
      </c>
      <c r="I393" s="2">
        <f>VLOOKUP(A393,'[3]Calculated coal req (reg.)'!$A$2:$I$599,9,FALSE)</f>
        <v>0.15001169994879601</v>
      </c>
      <c r="J393" s="2"/>
      <c r="K393" s="11">
        <v>0.13889972217481111</v>
      </c>
      <c r="L393" s="3">
        <f>VLOOKUP(F393,'Target PLF'!$A$2:$B$11,2,FALSE)</f>
        <v>0.85</v>
      </c>
      <c r="M393" s="3">
        <f t="shared" si="329"/>
        <v>0.71110027782518892</v>
      </c>
      <c r="N393" s="2" t="str">
        <f t="shared" si="312"/>
        <v>0.15</v>
      </c>
      <c r="O393" s="2">
        <f t="shared" si="310"/>
        <v>4.5221728110714183</v>
      </c>
      <c r="P393" s="2">
        <f t="shared" si="313"/>
        <v>74276.688421848041</v>
      </c>
      <c r="Q393" s="2">
        <f t="shared" si="314"/>
        <v>14.415924306536619</v>
      </c>
      <c r="R393" s="2">
        <f t="shared" si="315"/>
        <v>0.91800000000000004</v>
      </c>
      <c r="S393" s="2"/>
      <c r="T393" s="2" t="str">
        <f>VLOOKUP(A393,'[4]CEA vs MERIT comp. &amp; NPA marker'!$C$2:$K$735,9,FALSE)</f>
        <v>Contracted</v>
      </c>
      <c r="U393" s="3">
        <f>VLOOKUP(B393,'[8]Import-Domestic share'!$A$208:$F$406,6,FALSE)</f>
        <v>0</v>
      </c>
      <c r="V393" s="3">
        <f t="shared" si="316"/>
        <v>0</v>
      </c>
      <c r="W393" s="2">
        <f t="shared" si="317"/>
        <v>3158.8862851297054</v>
      </c>
      <c r="X393" s="2">
        <f t="shared" si="318"/>
        <v>3393.9555572907116</v>
      </c>
      <c r="Y393" s="6">
        <f t="shared" si="319"/>
        <v>0.27224785015162012</v>
      </c>
      <c r="Z393" s="2"/>
      <c r="AA393" s="2">
        <f t="shared" si="320"/>
        <v>43358.273585030962</v>
      </c>
      <c r="AB393" s="2" t="s">
        <v>576</v>
      </c>
      <c r="AC393" s="12"/>
      <c r="AD393" s="12">
        <f t="shared" si="321"/>
        <v>0</v>
      </c>
      <c r="AE393" s="2"/>
      <c r="AF393" s="7"/>
      <c r="AG393" s="7"/>
      <c r="AH393" s="7"/>
      <c r="AI393" s="7"/>
      <c r="AJ393" s="7"/>
      <c r="AK393" s="7"/>
      <c r="AL393" s="7"/>
      <c r="AM393" s="7"/>
      <c r="AN393" s="15">
        <f t="shared" si="322"/>
        <v>0</v>
      </c>
      <c r="AO393" s="6">
        <v>0.10171085784825233</v>
      </c>
      <c r="AP393" s="11">
        <f t="shared" si="323"/>
        <v>1.5257818689066673E-2</v>
      </c>
      <c r="AQ393" s="11"/>
      <c r="AR393" s="3">
        <f>VLOOKUP(A393,[10]Sheet1!$A$2:$L$542,12,FALSE)</f>
        <v>3.6779057017544101</v>
      </c>
      <c r="AS393" s="3">
        <f t="shared" si="330"/>
        <v>2.7312493981737784</v>
      </c>
      <c r="AT393" s="2"/>
      <c r="AU393" s="2"/>
      <c r="AV393" s="88">
        <f t="shared" si="331"/>
        <v>0.52110850559585498</v>
      </c>
      <c r="AW393" s="32">
        <f t="shared" si="332"/>
        <v>0.19079491823203285</v>
      </c>
      <c r="AX393" s="12">
        <f t="shared" si="324"/>
        <v>14.95475682995237</v>
      </c>
      <c r="AY393" s="12">
        <f t="shared" si="325"/>
        <v>0</v>
      </c>
      <c r="AZ393" s="3">
        <f>VLOOKUP(A393,[5]Analysis!$A$3:$BJ$543,62,FALSE)</f>
        <v>0.7454153187875483</v>
      </c>
      <c r="BA393" s="2"/>
      <c r="BB393" s="2"/>
      <c r="BC393" s="2" t="e">
        <f>VLOOKUP(A393,'[6]FGD status - Jun 2020'!$I$2:$M$449,5,FALSE)</f>
        <v>#N/A</v>
      </c>
      <c r="BD393" s="2"/>
      <c r="BE393" s="2"/>
      <c r="BF393" s="2">
        <f t="shared" si="326"/>
        <v>13.419385674567083</v>
      </c>
      <c r="BG393" s="2">
        <f t="shared" si="327"/>
        <v>0</v>
      </c>
      <c r="BH393" s="2"/>
      <c r="BI393" s="2"/>
      <c r="BK393">
        <f t="shared" si="328"/>
        <v>6.2504874978664997</v>
      </c>
      <c r="BL393" t="str">
        <f>VLOOKUP(A393,'[11]Daily coal vs energy req.2'!$C$2:$P$599,14,FALSE)</f>
        <v/>
      </c>
      <c r="BM393" t="str">
        <f>VLOOKUP(A393,'[11]Daily coal vs energy req.2'!$C$2:$R$599,16,FALSE)</f>
        <v/>
      </c>
      <c r="BP393" s="2" t="e">
        <f>VLOOKUP(A393,'[7]Table 2'!$J$2:$N$449,5,FALSE)</f>
        <v>#N/A</v>
      </c>
      <c r="BR393">
        <f t="shared" si="333"/>
        <v>13.852318280522292</v>
      </c>
      <c r="BT393">
        <f>(X393*I393*365*[5]Analysis!BK393)/10^4</f>
        <v>6.9903658004460292</v>
      </c>
      <c r="BV393">
        <f>(X393*I393*365*[5]Analysis!BL393)/10^4</f>
        <v>6.8619524800762655</v>
      </c>
      <c r="BX393">
        <f t="shared" si="334"/>
        <v>52186.136876733908</v>
      </c>
      <c r="BZ393">
        <f t="shared" si="335"/>
        <v>211429.50567310056</v>
      </c>
      <c r="CB393">
        <f t="shared" si="336"/>
        <v>-2247.0796685517603</v>
      </c>
      <c r="CD393">
        <f t="shared" si="337"/>
        <v>-55360.977800583452</v>
      </c>
      <c r="CF393">
        <f t="shared" si="338"/>
        <v>97769.150365578142</v>
      </c>
      <c r="CH393">
        <f t="shared" si="339"/>
        <v>9263.1894097112654</v>
      </c>
      <c r="CJ393">
        <f t="shared" si="340"/>
        <v>-4063.1418989631152</v>
      </c>
      <c r="CL393">
        <f t="shared" si="341"/>
        <v>43134.524778013802</v>
      </c>
    </row>
    <row r="394" spans="1:90" x14ac:dyDescent="0.2">
      <c r="A394" s="2" t="s">
        <v>393</v>
      </c>
      <c r="B394" s="2" t="str">
        <f t="shared" si="311"/>
        <v>MEJIA TPS</v>
      </c>
      <c r="C394" s="2" t="str">
        <f>VLOOKUP($A394,'[1]daily coal, energy reqd'!$C$2:$T$599,17,FALSE)</f>
        <v>West Bengal</v>
      </c>
      <c r="D394" s="2" t="str">
        <f>VLOOKUP(C394,'Target PLF'!$I$2:$J$19,2,FALSE)</f>
        <v>ER</v>
      </c>
      <c r="E394" s="2" t="str">
        <f>VLOOKUP(A394,[2]Ownership!$C$2:$D$666,2,FALSE)</f>
        <v>CENTRAL SECTOR</v>
      </c>
      <c r="F394" s="2" t="s">
        <v>546</v>
      </c>
      <c r="G394" s="12">
        <v>24.175222450376399</v>
      </c>
      <c r="H394" s="2">
        <v>210</v>
      </c>
      <c r="I394" s="2">
        <f>VLOOKUP(A394,'[3]Calculated coal req (reg.)'!$A$2:$I$599,9,FALSE)</f>
        <v>3.04854419778589</v>
      </c>
      <c r="J394" s="2"/>
      <c r="K394" s="11">
        <v>0.60486988051307344</v>
      </c>
      <c r="L394" s="3">
        <f>VLOOKUP(F394,'Target PLF'!$A$2:$B$11,2,FALSE)</f>
        <v>0.7</v>
      </c>
      <c r="M394" s="3">
        <f t="shared" si="329"/>
        <v>9.5130119486926512E-2</v>
      </c>
      <c r="N394" s="2" t="str">
        <f t="shared" si="312"/>
        <v>0.25</v>
      </c>
      <c r="O394" s="2">
        <f t="shared" si="310"/>
        <v>11.508490029658217</v>
      </c>
      <c r="P394" s="2">
        <f t="shared" si="313"/>
        <v>882125.76077330241</v>
      </c>
      <c r="Q394" s="2">
        <f t="shared" si="314"/>
        <v>14.919058921115672</v>
      </c>
      <c r="R394" s="2">
        <f t="shared" si="315"/>
        <v>3.528</v>
      </c>
      <c r="S394" s="2"/>
      <c r="T394" s="2" t="str">
        <f>VLOOKUP(A394,'[4]CEA vs MERIT comp. &amp; NPA marker'!$C$2:$K$735,9,FALSE)</f>
        <v>Contracted</v>
      </c>
      <c r="U394" s="3">
        <f>VLOOKUP(B394,'[8]Import-Domestic share'!$A$208:$F$406,6,FALSE)</f>
        <v>0</v>
      </c>
      <c r="V394" s="3">
        <f t="shared" si="316"/>
        <v>0</v>
      </c>
      <c r="W394" s="2">
        <f t="shared" si="317"/>
        <v>3176.7179586153316</v>
      </c>
      <c r="X394" s="2">
        <f t="shared" si="318"/>
        <v>3208.1652363702683</v>
      </c>
      <c r="Y394" s="6">
        <f t="shared" si="319"/>
        <v>0.27071965821443494</v>
      </c>
      <c r="Z394" s="2"/>
      <c r="AA394" s="2">
        <f t="shared" si="320"/>
        <v>777145.14042977919</v>
      </c>
      <c r="AB394" s="2" t="s">
        <v>576</v>
      </c>
      <c r="AC394" s="12">
        <f>VLOOKUP(B394,[9]Sheet1!$A$2:$B$137,2,FALSE)</f>
        <v>4593.4601504233742</v>
      </c>
      <c r="AD394" s="12">
        <f t="shared" si="321"/>
        <v>964626.63158890861</v>
      </c>
      <c r="AE394" s="2"/>
      <c r="AF394" s="7">
        <f>VLOOKUP($B394,'[9]Subsidiary wise dispatch'!$A$3:$R$138,11,FALSE)*$H394*$O394*365</f>
        <v>551949.64925518248</v>
      </c>
      <c r="AG394" s="7">
        <f>VLOOKUP($B394,'[9]Subsidiary wise dispatch'!$A$3:$R$138,12,FALSE)*$H394*$O394*365</f>
        <v>12986.096088078049</v>
      </c>
      <c r="AH394" s="7">
        <f>VLOOKUP($B394,'[9]Subsidiary wise dispatch'!$A$3:$R$138,13,FALSE)*$H394*$O394*365</f>
        <v>273558.80298696889</v>
      </c>
      <c r="AI394" s="7">
        <f>VLOOKUP($B394,'[9]Subsidiary wise dispatch'!$A$3:$R$138,14,FALSE)*$H394*$O394*365</f>
        <v>43631.212443072953</v>
      </c>
      <c r="AJ394" s="7">
        <f>VLOOKUP($B394,'[9]Subsidiary wise dispatch'!$A$3:$R$138,15,FALSE)*$H394*$O394*365</f>
        <v>0</v>
      </c>
      <c r="AK394" s="7">
        <f>VLOOKUP($B394,'[9]Subsidiary wise dispatch'!$A$3:$R$138,16,FALSE)*$H394*$O394*365</f>
        <v>0</v>
      </c>
      <c r="AL394" s="7">
        <f>VLOOKUP($B394,'[9]Subsidiary wise dispatch'!$A$3:$R$138,17,FALSE)*$H394*$O394*365</f>
        <v>0</v>
      </c>
      <c r="AM394" s="7">
        <f>VLOOKUP($B394,'[9]Subsidiary wise dispatch'!$A$3:$R$138,18,FALSE)*$H394*$O394*365</f>
        <v>0</v>
      </c>
      <c r="AN394" s="15">
        <f t="shared" si="322"/>
        <v>882125.76077330241</v>
      </c>
      <c r="AO394" s="6">
        <v>8.3678646324733194E-2</v>
      </c>
      <c r="AP394" s="11">
        <f t="shared" si="323"/>
        <v>0.25509805173184297</v>
      </c>
      <c r="AQ394" s="11"/>
      <c r="AR394" s="3">
        <f>VLOOKUP(A394,[10]Sheet1!$A$2:$L$542,12,FALSE)</f>
        <v>2.5933434925569898</v>
      </c>
      <c r="AS394" s="3">
        <f t="shared" si="330"/>
        <v>2.2939794400134743</v>
      </c>
      <c r="AT394" s="2"/>
      <c r="AU394" s="2"/>
      <c r="AV394" s="88">
        <f t="shared" si="331"/>
        <v>6.9713254162409491E-2</v>
      </c>
      <c r="AW394" s="32">
        <f t="shared" si="332"/>
        <v>3.0389659535047974E-2</v>
      </c>
      <c r="AX394" s="12">
        <f t="shared" si="324"/>
        <v>255.25536647680187</v>
      </c>
      <c r="AY394" s="12">
        <f t="shared" si="325"/>
        <v>0</v>
      </c>
      <c r="AZ394" s="3">
        <f>VLOOKUP(A394,[5]Analysis!$A$3:$BJ$543,62,FALSE)</f>
        <v>0.54169530307848368</v>
      </c>
      <c r="BA394" s="66">
        <f>482.36/3</f>
        <v>160.78666666666666</v>
      </c>
      <c r="BB394" s="2"/>
      <c r="BC394" s="2" t="str">
        <f>VLOOKUP(A394,'[6]FGD status - Jun 2020'!$I$2:$M$449,5,FALSE)</f>
        <v>NIT issued</v>
      </c>
      <c r="BD394" s="2">
        <f>VLOOKUP(A394,'[1]daily coal, energy reqd'!$C$2:$L$599,10,FALSE)</f>
        <v>0</v>
      </c>
      <c r="BE394" s="2" t="str">
        <f>VLOOKUP(A394,'[1]daily coal, energy reqd'!$C$2:$M$599,11,FALSE)</f>
        <v>Y</v>
      </c>
      <c r="BF394" s="2">
        <f t="shared" si="326"/>
        <v>240.52642096301665</v>
      </c>
      <c r="BG394" s="2">
        <f t="shared" si="327"/>
        <v>0</v>
      </c>
      <c r="BH394" s="2">
        <f t="shared" ref="BH394:BH399" si="342">IF(G394&lt;17,IF(H394&gt;400,H394*5000000,H394*3500000),H394*1500000)/10^7</f>
        <v>31.5</v>
      </c>
      <c r="BI394" s="2">
        <f t="shared" ref="BI394:BI399" si="343">(H394*800000)/10^7</f>
        <v>16.8</v>
      </c>
      <c r="BK394">
        <f t="shared" si="328"/>
        <v>127.02267490774543</v>
      </c>
      <c r="BL394">
        <f>VLOOKUP(A394,'[11]Daily coal vs energy req.2'!$C$2:$P$599,14,FALSE)</f>
        <v>1.1399999999999999</v>
      </c>
      <c r="BM394">
        <f>VLOOKUP(A394,'[11]Daily coal vs energy req.2'!$C$2:$R$599,16,FALSE)</f>
        <v>1.05</v>
      </c>
      <c r="BN394">
        <f t="shared" ref="BN394:BN407" si="344">BL394*H394</f>
        <v>239.39999999999998</v>
      </c>
      <c r="BO394">
        <f t="shared" ref="BO394:BO407" si="345">BM394*H394</f>
        <v>220.5</v>
      </c>
      <c r="BP394" s="2" t="str">
        <f>VLOOKUP(A394,'[7]Table 2'!$J$2:$N$449,5,FALSE)</f>
        <v>Bid opened</v>
      </c>
      <c r="BR394">
        <f t="shared" si="333"/>
        <v>193.37358940722066</v>
      </c>
      <c r="BT394">
        <f>(X394*I394*365*[5]Analysis!BK394)/10^4</f>
        <v>153.52001874635579</v>
      </c>
      <c r="BV394">
        <f>(X394*I394*365*[5]Analysis!BL394)/10^4</f>
        <v>39.853570660864868</v>
      </c>
      <c r="BX394">
        <f t="shared" si="334"/>
        <v>1002473.9354796853</v>
      </c>
      <c r="BZ394">
        <f t="shared" si="335"/>
        <v>3122408.453214542</v>
      </c>
      <c r="CB394">
        <f t="shared" si="336"/>
        <v>-198859.53328993544</v>
      </c>
      <c r="CD394">
        <f t="shared" si="337"/>
        <v>0</v>
      </c>
      <c r="CF394">
        <f t="shared" si="338"/>
        <v>1986868.8653696682</v>
      </c>
      <c r="CH394">
        <f t="shared" si="339"/>
        <v>545705.97912504908</v>
      </c>
      <c r="CJ394">
        <f t="shared" si="340"/>
        <v>-385332.93805593875</v>
      </c>
      <c r="CL394">
        <f t="shared" si="341"/>
        <v>721173.41656019632</v>
      </c>
    </row>
    <row r="395" spans="1:90" x14ac:dyDescent="0.2">
      <c r="A395" s="2" t="s">
        <v>387</v>
      </c>
      <c r="B395" s="2" t="str">
        <f t="shared" si="311"/>
        <v>MEJIA TPS</v>
      </c>
      <c r="C395" s="2" t="str">
        <f>VLOOKUP($A395,'[1]daily coal, energy reqd'!$C$2:$T$599,17,FALSE)</f>
        <v>West Bengal</v>
      </c>
      <c r="D395" s="2" t="str">
        <f>VLOOKUP(C395,'Target PLF'!$I$2:$J$19,2,FALSE)</f>
        <v>ER</v>
      </c>
      <c r="E395" s="2" t="str">
        <f>VLOOKUP(A395,[2]Ownership!$C$2:$D$666,2,FALSE)</f>
        <v>CENTRAL SECTOR</v>
      </c>
      <c r="F395" s="2" t="s">
        <v>546</v>
      </c>
      <c r="G395" s="12">
        <v>23.175906913073199</v>
      </c>
      <c r="H395" s="2">
        <v>210</v>
      </c>
      <c r="I395" s="2">
        <f>VLOOKUP(A395,'[3]Calculated coal req (reg.)'!$A$2:$I$599,9,FALSE)</f>
        <v>2.5729211444815201</v>
      </c>
      <c r="J395" s="2"/>
      <c r="K395" s="11">
        <v>0.51050022707966669</v>
      </c>
      <c r="L395" s="3">
        <f>VLOOKUP(F395,'Target PLF'!$A$2:$B$11,2,FALSE)</f>
        <v>0.7</v>
      </c>
      <c r="M395" s="3">
        <f t="shared" si="329"/>
        <v>0.18949977292033326</v>
      </c>
      <c r="N395" s="2" t="str">
        <f t="shared" si="312"/>
        <v>0.25</v>
      </c>
      <c r="O395" s="2">
        <f t="shared" si="310"/>
        <v>10.163843410899119</v>
      </c>
      <c r="P395" s="2">
        <f t="shared" si="313"/>
        <v>779058.59744541743</v>
      </c>
      <c r="Q395" s="2">
        <f t="shared" si="314"/>
        <v>14.887405601471592</v>
      </c>
      <c r="R395" s="2">
        <f t="shared" si="315"/>
        <v>3.528</v>
      </c>
      <c r="S395" s="2"/>
      <c r="T395" s="2" t="str">
        <f>VLOOKUP(A395,'[4]CEA vs MERIT comp. &amp; NPA marker'!$C$2:$K$735,9,FALSE)</f>
        <v>Contracted</v>
      </c>
      <c r="U395" s="3">
        <f>VLOOKUP(B395,'[8]Import-Domestic share'!$A$208:$F$406,6,FALSE)</f>
        <v>0</v>
      </c>
      <c r="V395" s="3">
        <f t="shared" si="316"/>
        <v>0</v>
      </c>
      <c r="W395" s="2">
        <f t="shared" si="317"/>
        <v>3169.0826512778917</v>
      </c>
      <c r="X395" s="2">
        <f t="shared" si="318"/>
        <v>3231.7258186118938</v>
      </c>
      <c r="Y395" s="6">
        <f t="shared" si="319"/>
        <v>0.27137190620548068</v>
      </c>
      <c r="Z395" s="2"/>
      <c r="AA395" s="2">
        <f t="shared" si="320"/>
        <v>660714.58729299274</v>
      </c>
      <c r="AB395" s="2" t="s">
        <v>576</v>
      </c>
      <c r="AC395" s="12">
        <f>VLOOKUP(B395,[9]Sheet1!$A$2:$B$137,2,FALSE)</f>
        <v>4593.4601504233742</v>
      </c>
      <c r="AD395" s="12">
        <f t="shared" si="321"/>
        <v>964626.63158890861</v>
      </c>
      <c r="AE395" s="2"/>
      <c r="AF395" s="7">
        <f>VLOOKUP($B395,'[9]Subsidiary wise dispatch'!$A$3:$R$138,11,FALSE)*$H395*$O395*365</f>
        <v>487460.10912579915</v>
      </c>
      <c r="AG395" s="7">
        <f>VLOOKUP($B395,'[9]Subsidiary wise dispatch'!$A$3:$R$138,12,FALSE)*$H395*$O395*365</f>
        <v>11468.806665163766</v>
      </c>
      <c r="AH395" s="7">
        <f>VLOOKUP($B395,'[9]Subsidiary wise dispatch'!$A$3:$R$138,13,FALSE)*$H395*$O395*365</f>
        <v>241596.31976629759</v>
      </c>
      <c r="AI395" s="7">
        <f>VLOOKUP($B395,'[9]Subsidiary wise dispatch'!$A$3:$R$138,14,FALSE)*$H395*$O395*365</f>
        <v>38533.361888156993</v>
      </c>
      <c r="AJ395" s="7">
        <f>VLOOKUP($B395,'[9]Subsidiary wise dispatch'!$A$3:$R$138,15,FALSE)*$H395*$O395*365</f>
        <v>0</v>
      </c>
      <c r="AK395" s="7">
        <f>VLOOKUP($B395,'[9]Subsidiary wise dispatch'!$A$3:$R$138,16,FALSE)*$H395*$O395*365</f>
        <v>0</v>
      </c>
      <c r="AL395" s="7">
        <f>VLOOKUP($B395,'[9]Subsidiary wise dispatch'!$A$3:$R$138,17,FALSE)*$H395*$O395*365</f>
        <v>0</v>
      </c>
      <c r="AM395" s="7">
        <f>VLOOKUP($B395,'[9]Subsidiary wise dispatch'!$A$3:$R$138,18,FALSE)*$H395*$O395*365</f>
        <v>0</v>
      </c>
      <c r="AN395" s="15">
        <f t="shared" si="322"/>
        <v>779058.59744541743</v>
      </c>
      <c r="AO395" s="6">
        <v>8.3678646324733194E-2</v>
      </c>
      <c r="AP395" s="11">
        <f t="shared" si="323"/>
        <v>0.21529855847049686</v>
      </c>
      <c r="AQ395" s="11"/>
      <c r="AR395" s="3">
        <f>VLOOKUP(A395,[10]Sheet1!$A$2:$L$542,12,FALSE)</f>
        <v>2.5933434925569898</v>
      </c>
      <c r="AS395" s="3">
        <f t="shared" si="330"/>
        <v>2.2889949677972794</v>
      </c>
      <c r="AT395" s="2"/>
      <c r="AU395" s="2"/>
      <c r="AV395" s="88">
        <f t="shared" si="331"/>
        <v>0.13886922359147863</v>
      </c>
      <c r="AW395" s="32">
        <f t="shared" si="332"/>
        <v>6.0668208338227038E-2</v>
      </c>
      <c r="AX395" s="12">
        <f t="shared" si="324"/>
        <v>214.96322965739569</v>
      </c>
      <c r="AY395" s="12">
        <f t="shared" si="325"/>
        <v>0</v>
      </c>
      <c r="AZ395" s="3">
        <f>VLOOKUP(A395,[5]Analysis!$A$3:$BJ$543,62,FALSE)</f>
        <v>0.54169530307848368</v>
      </c>
      <c r="BA395" s="66">
        <f>482.36/3</f>
        <v>160.78666666666666</v>
      </c>
      <c r="BB395" s="2"/>
      <c r="BC395" s="2" t="str">
        <f>VLOOKUP(A395,'[6]FGD status - Jun 2020'!$I$2:$M$449,5,FALSE)</f>
        <v>NIT issued</v>
      </c>
      <c r="BD395" s="2">
        <f>VLOOKUP(A395,'[1]daily coal, energy reqd'!$C$2:$L$599,10,FALSE)</f>
        <v>0</v>
      </c>
      <c r="BE395" s="2" t="str">
        <f>VLOOKUP(A395,'[1]daily coal, energy reqd'!$C$2:$M$599,11,FALSE)</f>
        <v>Y</v>
      </c>
      <c r="BF395" s="2">
        <f t="shared" si="326"/>
        <v>204.49116476718126</v>
      </c>
      <c r="BG395" s="2">
        <f t="shared" si="327"/>
        <v>0</v>
      </c>
      <c r="BH395" s="2">
        <f t="shared" si="342"/>
        <v>31.5</v>
      </c>
      <c r="BI395" s="2">
        <f t="shared" si="343"/>
        <v>16.8</v>
      </c>
      <c r="BK395">
        <f t="shared" si="328"/>
        <v>107.20504768673001</v>
      </c>
      <c r="BL395">
        <f>VLOOKUP(A395,'[11]Daily coal vs energy req.2'!$C$2:$P$599,14,FALSE)</f>
        <v>1.21</v>
      </c>
      <c r="BM395">
        <f>VLOOKUP(A395,'[11]Daily coal vs energy req.2'!$C$2:$R$599,16,FALSE)</f>
        <v>0.98</v>
      </c>
      <c r="BN395">
        <f t="shared" si="344"/>
        <v>254.1</v>
      </c>
      <c r="BO395">
        <f t="shared" si="345"/>
        <v>205.79999999999998</v>
      </c>
      <c r="BP395" s="2" t="str">
        <f>VLOOKUP(A395,'[7]Table 2'!$J$2:$N$449,5,FALSE)</f>
        <v>Bid opened</v>
      </c>
      <c r="BR395">
        <f t="shared" si="333"/>
        <v>164.40268962873472</v>
      </c>
      <c r="BT395">
        <f>(X395*I395*365*[5]Analysis!BK395)/10^4</f>
        <v>130.51991262676651</v>
      </c>
      <c r="BV395">
        <f>(X395*I395*365*[5]Analysis!BL395)/10^4</f>
        <v>33.882777001968186</v>
      </c>
      <c r="BX395">
        <f t="shared" si="334"/>
        <v>852285.00841702253</v>
      </c>
      <c r="BZ395">
        <f t="shared" si="335"/>
        <v>2635261.3607564853</v>
      </c>
      <c r="CB395">
        <f t="shared" si="336"/>
        <v>-141649.28161763932</v>
      </c>
      <c r="CD395">
        <f t="shared" si="337"/>
        <v>0</v>
      </c>
      <c r="CF395">
        <f t="shared" si="338"/>
        <v>1676884.6319283918</v>
      </c>
      <c r="CH395">
        <f t="shared" si="339"/>
        <v>441528.7129641691</v>
      </c>
      <c r="CJ395">
        <f t="shared" si="340"/>
        <v>-325214.65974131972</v>
      </c>
      <c r="CL395">
        <f t="shared" si="341"/>
        <v>608658.49793266738</v>
      </c>
    </row>
    <row r="396" spans="1:90" x14ac:dyDescent="0.2">
      <c r="A396" s="2" t="s">
        <v>382</v>
      </c>
      <c r="B396" s="2" t="str">
        <f t="shared" si="311"/>
        <v>MEJIA TPS</v>
      </c>
      <c r="C396" s="2" t="str">
        <f>VLOOKUP($A396,'[1]daily coal, energy reqd'!$C$2:$T$599,17,FALSE)</f>
        <v>West Bengal</v>
      </c>
      <c r="D396" s="2" t="str">
        <f>VLOOKUP(C396,'Target PLF'!$I$2:$J$19,2,FALSE)</f>
        <v>ER</v>
      </c>
      <c r="E396" s="2" t="str">
        <f>VLOOKUP(A396,[2]Ownership!$C$2:$D$666,2,FALSE)</f>
        <v>CENTRAL SECTOR</v>
      </c>
      <c r="F396" s="2" t="s">
        <v>546</v>
      </c>
      <c r="G396" s="12">
        <v>22.176591375769998</v>
      </c>
      <c r="H396" s="2">
        <v>210</v>
      </c>
      <c r="I396" s="2">
        <f>VLOOKUP(A396,'[3]Calculated coal req (reg.)'!$A$2:$I$599,9,FALSE)</f>
        <v>2.8040686801913899</v>
      </c>
      <c r="J396" s="2"/>
      <c r="K396" s="11">
        <v>0.55636283337130754</v>
      </c>
      <c r="L396" s="3">
        <f>VLOOKUP(F396,'Target PLF'!$A$2:$B$11,2,FALSE)</f>
        <v>0.7</v>
      </c>
      <c r="M396" s="3">
        <f t="shared" si="329"/>
        <v>0.14363716662869241</v>
      </c>
      <c r="N396" s="2" t="str">
        <f t="shared" si="312"/>
        <v>0.25</v>
      </c>
      <c r="O396" s="2">
        <f t="shared" si="310"/>
        <v>10.770290291372527</v>
      </c>
      <c r="P396" s="2">
        <f t="shared" si="313"/>
        <v>825542.75083370425</v>
      </c>
      <c r="Q396" s="2">
        <f t="shared" si="314"/>
        <v>14.855752281827513</v>
      </c>
      <c r="R396" s="2">
        <f t="shared" si="315"/>
        <v>3.528</v>
      </c>
      <c r="S396" s="2"/>
      <c r="T396" s="2" t="str">
        <f>VLOOKUP(A396,'[4]CEA vs MERIT comp. &amp; NPA marker'!$C$2:$K$735,9,FALSE)</f>
        <v>Contracted</v>
      </c>
      <c r="U396" s="3">
        <f>VLOOKUP(B396,'[8]Import-Domestic share'!$A$208:$F$406,6,FALSE)</f>
        <v>0</v>
      </c>
      <c r="V396" s="3">
        <f t="shared" si="316"/>
        <v>0</v>
      </c>
      <c r="W396" s="2">
        <f t="shared" si="317"/>
        <v>3161.4473439404514</v>
      </c>
      <c r="X396" s="2">
        <f t="shared" si="318"/>
        <v>3208.9296544774984</v>
      </c>
      <c r="Y396" s="6">
        <f t="shared" si="319"/>
        <v>0.2720273047243259</v>
      </c>
      <c r="Z396" s="2"/>
      <c r="AA396" s="2">
        <f t="shared" si="320"/>
        <v>714992.9419074991</v>
      </c>
      <c r="AB396" s="2" t="s">
        <v>576</v>
      </c>
      <c r="AC396" s="12">
        <f>VLOOKUP(B396,[9]Sheet1!$A$2:$B$137,2,FALSE)</f>
        <v>4593.4601504233742</v>
      </c>
      <c r="AD396" s="12">
        <f t="shared" si="321"/>
        <v>964626.63158890861</v>
      </c>
      <c r="AE396" s="2"/>
      <c r="AF396" s="7">
        <f>VLOOKUP($B396,'[9]Subsidiary wise dispatch'!$A$3:$R$138,11,FALSE)*$H396*$O396*365</f>
        <v>516545.43153617432</v>
      </c>
      <c r="AG396" s="7">
        <f>VLOOKUP($B396,'[9]Subsidiary wise dispatch'!$A$3:$R$138,12,FALSE)*$H396*$O396*365</f>
        <v>12153.116895423986</v>
      </c>
      <c r="AH396" s="7">
        <f>VLOOKUP($B396,'[9]Subsidiary wise dispatch'!$A$3:$R$138,13,FALSE)*$H396*$O396*365</f>
        <v>256011.66724193978</v>
      </c>
      <c r="AI396" s="7">
        <f>VLOOKUP($B396,'[9]Subsidiary wise dispatch'!$A$3:$R$138,14,FALSE)*$H396*$O396*365</f>
        <v>40832.53516016616</v>
      </c>
      <c r="AJ396" s="7">
        <f>VLOOKUP($B396,'[9]Subsidiary wise dispatch'!$A$3:$R$138,15,FALSE)*$H396*$O396*365</f>
        <v>0</v>
      </c>
      <c r="AK396" s="7">
        <f>VLOOKUP($B396,'[9]Subsidiary wise dispatch'!$A$3:$R$138,16,FALSE)*$H396*$O396*365</f>
        <v>0</v>
      </c>
      <c r="AL396" s="7">
        <f>VLOOKUP($B396,'[9]Subsidiary wise dispatch'!$A$3:$R$138,17,FALSE)*$H396*$O396*365</f>
        <v>0</v>
      </c>
      <c r="AM396" s="7">
        <f>VLOOKUP($B396,'[9]Subsidiary wise dispatch'!$A$3:$R$138,18,FALSE)*$H396*$O396*365</f>
        <v>0</v>
      </c>
      <c r="AN396" s="15">
        <f t="shared" si="322"/>
        <v>825542.75083370437</v>
      </c>
      <c r="AO396" s="6">
        <v>8.3678646324733194E-2</v>
      </c>
      <c r="AP396" s="11">
        <f t="shared" si="323"/>
        <v>0.23464067135999669</v>
      </c>
      <c r="AQ396" s="11"/>
      <c r="AR396" s="3">
        <f>VLOOKUP(A396,[10]Sheet1!$A$2:$L$542,12,FALSE)</f>
        <v>2.5933434925569898</v>
      </c>
      <c r="AS396" s="3">
        <f t="shared" si="330"/>
        <v>2.2792589290775425</v>
      </c>
      <c r="AT396" s="2"/>
      <c r="AU396" s="2"/>
      <c r="AV396" s="88">
        <f t="shared" si="331"/>
        <v>0.10526018844883837</v>
      </c>
      <c r="AW396" s="32">
        <f t="shared" si="332"/>
        <v>4.6181759828155672E-2</v>
      </c>
      <c r="AX396" s="12">
        <f t="shared" si="324"/>
        <v>233.27874806316103</v>
      </c>
      <c r="AY396" s="12">
        <f t="shared" si="325"/>
        <v>0</v>
      </c>
      <c r="AZ396" s="3">
        <f>VLOOKUP(A396,[5]Analysis!$A$3:$BJ$543,62,FALSE)</f>
        <v>0.54169530307848368</v>
      </c>
      <c r="BA396" s="66">
        <f>482.36/3</f>
        <v>160.78666666666666</v>
      </c>
      <c r="BB396" s="2"/>
      <c r="BC396" s="2" t="str">
        <f>VLOOKUP(A396,'[6]FGD status - Jun 2020'!$I$2:$M$449,5,FALSE)</f>
        <v>NIT issued</v>
      </c>
      <c r="BD396" s="2"/>
      <c r="BE396" s="2"/>
      <c r="BF396" s="2">
        <f t="shared" si="326"/>
        <v>221.29031552037097</v>
      </c>
      <c r="BG396" s="2">
        <f t="shared" si="327"/>
        <v>0</v>
      </c>
      <c r="BH396" s="2">
        <f t="shared" si="342"/>
        <v>31.5</v>
      </c>
      <c r="BI396" s="2">
        <f t="shared" si="343"/>
        <v>16.8</v>
      </c>
      <c r="BK396">
        <f t="shared" si="328"/>
        <v>116.83619500797458</v>
      </c>
      <c r="BL396">
        <f>VLOOKUP(A396,'[11]Daily coal vs energy req.2'!$C$2:$P$599,14,FALSE)</f>
        <v>1.27</v>
      </c>
      <c r="BM396">
        <f>VLOOKUP(A396,'[11]Daily coal vs energy req.2'!$C$2:$R$599,16,FALSE)</f>
        <v>1.1100000000000001</v>
      </c>
      <c r="BN396">
        <f t="shared" si="344"/>
        <v>266.7</v>
      </c>
      <c r="BO396">
        <f t="shared" si="345"/>
        <v>233.10000000000002</v>
      </c>
      <c r="BP396" s="2" t="str">
        <f>VLOOKUP(A396,'[7]Table 2'!$J$2:$N$449,5,FALSE)</f>
        <v>Bid opened</v>
      </c>
      <c r="BR396">
        <f t="shared" si="333"/>
        <v>177.90853263396866</v>
      </c>
      <c r="BT396">
        <f>(X396*I396*365*[5]Analysis!BK396)/10^4</f>
        <v>141.24225210293199</v>
      </c>
      <c r="BV396">
        <f>(X396*I396*365*[5]Analysis!BL396)/10^4</f>
        <v>36.666280531036669</v>
      </c>
      <c r="BX396">
        <f t="shared" si="334"/>
        <v>922301.06195841753</v>
      </c>
      <c r="BZ396">
        <f t="shared" si="335"/>
        <v>2872009.4518500618</v>
      </c>
      <c r="CB396">
        <f t="shared" si="336"/>
        <v>-168243.66385838162</v>
      </c>
      <c r="CD396">
        <f t="shared" si="337"/>
        <v>0</v>
      </c>
      <c r="CF396">
        <f t="shared" si="338"/>
        <v>1827533.5358683171</v>
      </c>
      <c r="CH396">
        <f t="shared" si="339"/>
        <v>460446.50237936946</v>
      </c>
      <c r="CJ396">
        <f t="shared" si="340"/>
        <v>-354431.47710751148</v>
      </c>
      <c r="CL396">
        <f t="shared" si="341"/>
        <v>663339.50212425052</v>
      </c>
    </row>
    <row r="397" spans="1:90" x14ac:dyDescent="0.2">
      <c r="A397" s="2" t="s">
        <v>337</v>
      </c>
      <c r="B397" s="2" t="str">
        <f t="shared" si="311"/>
        <v>MEJIA TPS</v>
      </c>
      <c r="C397" s="2" t="str">
        <f>VLOOKUP($A397,'[1]daily coal, energy reqd'!$C$2:$T$599,17,FALSE)</f>
        <v>West Bengal</v>
      </c>
      <c r="D397" s="2" t="str">
        <f>VLOOKUP(C397,'Target PLF'!$I$2:$J$19,2,FALSE)</f>
        <v>ER</v>
      </c>
      <c r="E397" s="2" t="str">
        <f>VLOOKUP(A397,[2]Ownership!$C$2:$D$666,2,FALSE)</f>
        <v>CENTRAL SECTOR</v>
      </c>
      <c r="F397" s="2" t="s">
        <v>545</v>
      </c>
      <c r="G397" s="12">
        <v>15.589322381930099</v>
      </c>
      <c r="H397" s="2">
        <v>210</v>
      </c>
      <c r="I397" s="2">
        <f>VLOOKUP(A397,'[3]Calculated coal req (reg.)'!$A$2:$I$599,9,FALSE)</f>
        <v>2.9852944150267602</v>
      </c>
      <c r="J397" s="2"/>
      <c r="K397" s="11">
        <v>0.59232032044181748</v>
      </c>
      <c r="L397" s="3">
        <f>VLOOKUP(F397,'Target PLF'!$A$2:$B$11,2,FALSE)</f>
        <v>0.75</v>
      </c>
      <c r="M397" s="3">
        <f t="shared" si="329"/>
        <v>0.15767967955818252</v>
      </c>
      <c r="N397" s="2" t="str">
        <f t="shared" si="312"/>
        <v>0.25</v>
      </c>
      <c r="O397" s="2">
        <f t="shared" si="310"/>
        <v>11.061925850850775</v>
      </c>
      <c r="P397" s="2">
        <f t="shared" si="313"/>
        <v>847896.61646771198</v>
      </c>
      <c r="Q397" s="2">
        <f t="shared" si="314"/>
        <v>14.647100536447635</v>
      </c>
      <c r="R397" s="2">
        <f t="shared" si="315"/>
        <v>3.78</v>
      </c>
      <c r="S397" s="2"/>
      <c r="T397" s="2" t="str">
        <f>VLOOKUP(A397,'[4]CEA vs MERIT comp. &amp; NPA marker'!$C$2:$K$735,9,FALSE)</f>
        <v>Contracted</v>
      </c>
      <c r="U397" s="3">
        <f>VLOOKUP(B397,'[8]Import-Domestic share'!$A$208:$F$406,6,FALSE)</f>
        <v>0</v>
      </c>
      <c r="V397" s="3">
        <f t="shared" si="316"/>
        <v>0</v>
      </c>
      <c r="W397" s="2">
        <f t="shared" si="317"/>
        <v>3094.588511464065</v>
      </c>
      <c r="X397" s="2">
        <f t="shared" si="318"/>
        <v>3146.7128723512287</v>
      </c>
      <c r="Y397" s="6">
        <f t="shared" si="319"/>
        <v>0.27790447641555088</v>
      </c>
      <c r="Z397" s="2"/>
      <c r="AA397" s="2">
        <f t="shared" si="320"/>
        <v>746443.93995011528</v>
      </c>
      <c r="AB397" s="2" t="s">
        <v>576</v>
      </c>
      <c r="AC397" s="12">
        <f>VLOOKUP(B397,[9]Sheet1!$A$2:$B$137,2,FALSE)</f>
        <v>4593.4601504233742</v>
      </c>
      <c r="AD397" s="12">
        <f t="shared" si="321"/>
        <v>964626.63158890861</v>
      </c>
      <c r="AE397" s="2"/>
      <c r="AF397" s="7">
        <f>VLOOKUP($B397,'[9]Subsidiary wise dispatch'!$A$3:$R$138,11,FALSE)*$H397*$O397*365</f>
        <v>530532.33549573214</v>
      </c>
      <c r="AG397" s="7">
        <f>VLOOKUP($B397,'[9]Subsidiary wise dispatch'!$A$3:$R$138,12,FALSE)*$H397*$O397*365</f>
        <v>12482.196330547536</v>
      </c>
      <c r="AH397" s="7">
        <f>VLOOKUP($B397,'[9]Subsidiary wise dispatch'!$A$3:$R$138,13,FALSE)*$H397*$O397*365</f>
        <v>262943.89504538808</v>
      </c>
      <c r="AI397" s="7">
        <f>VLOOKUP($B397,'[9]Subsidiary wise dispatch'!$A$3:$R$138,14,FALSE)*$H397*$O397*365</f>
        <v>41938.189596044205</v>
      </c>
      <c r="AJ397" s="7">
        <f>VLOOKUP($B397,'[9]Subsidiary wise dispatch'!$A$3:$R$138,15,FALSE)*$H397*$O397*365</f>
        <v>0</v>
      </c>
      <c r="AK397" s="7">
        <f>VLOOKUP($B397,'[9]Subsidiary wise dispatch'!$A$3:$R$138,16,FALSE)*$H397*$O397*365</f>
        <v>0</v>
      </c>
      <c r="AL397" s="7">
        <f>VLOOKUP($B397,'[9]Subsidiary wise dispatch'!$A$3:$R$138,17,FALSE)*$H397*$O397*365</f>
        <v>0</v>
      </c>
      <c r="AM397" s="7">
        <f>VLOOKUP($B397,'[9]Subsidiary wise dispatch'!$A$3:$R$138,18,FALSE)*$H397*$O397*365</f>
        <v>0</v>
      </c>
      <c r="AN397" s="15">
        <f t="shared" si="322"/>
        <v>847896.6164677121</v>
      </c>
      <c r="AO397" s="6">
        <v>8.3678646324733194E-2</v>
      </c>
      <c r="AP397" s="11">
        <f t="shared" si="323"/>
        <v>0.24980539553022554</v>
      </c>
      <c r="AQ397" s="11"/>
      <c r="AR397" s="3">
        <f>VLOOKUP(A397,[10]Sheet1!$A$2:$L$542,12,FALSE)</f>
        <v>2.5933434925569898</v>
      </c>
      <c r="AS397" s="3">
        <f t="shared" si="330"/>
        <v>2.2241062756447119</v>
      </c>
      <c r="AT397" s="2"/>
      <c r="AU397" s="2"/>
      <c r="AV397" s="88">
        <f t="shared" si="331"/>
        <v>0.11555082277382732</v>
      </c>
      <c r="AW397" s="32">
        <f t="shared" si="332"/>
        <v>5.1953822548489535E-2</v>
      </c>
      <c r="AX397" s="12">
        <f t="shared" si="324"/>
        <v>242.34583957344663</v>
      </c>
      <c r="AY397" s="12">
        <f t="shared" si="325"/>
        <v>0</v>
      </c>
      <c r="AZ397" s="3">
        <f>VLOOKUP(A397,[5]Analysis!$A$3:$BJ$543,62,FALSE)</f>
        <v>0.54169530307848368</v>
      </c>
      <c r="BA397" s="66">
        <v>168.03</v>
      </c>
      <c r="BB397" s="2"/>
      <c r="BC397" s="2" t="str">
        <f>VLOOKUP(A397,'[6]FGD status - Jun 2020'!$I$2:$M$449,5,FALSE)</f>
        <v>NIT issued</v>
      </c>
      <c r="BD397" s="2"/>
      <c r="BE397" s="2"/>
      <c r="BF397" s="2">
        <f t="shared" si="326"/>
        <v>231.02439941456069</v>
      </c>
      <c r="BG397" s="2">
        <f t="shared" si="327"/>
        <v>0</v>
      </c>
      <c r="BH397" s="2">
        <f t="shared" si="342"/>
        <v>73.5</v>
      </c>
      <c r="BI397" s="2">
        <f t="shared" si="343"/>
        <v>16.8</v>
      </c>
      <c r="BK397">
        <f t="shared" si="328"/>
        <v>124.38726729278167</v>
      </c>
      <c r="BL397">
        <f>VLOOKUP(A397,'[11]Daily coal vs energy req.2'!$C$2:$P$599,14,FALSE)</f>
        <v>0.92</v>
      </c>
      <c r="BM397">
        <f>VLOOKUP(A397,'[11]Daily coal vs energy req.2'!$C$2:$R$599,16,FALSE)</f>
        <v>0.73</v>
      </c>
      <c r="BN397">
        <f t="shared" si="344"/>
        <v>193.20000000000002</v>
      </c>
      <c r="BO397">
        <f t="shared" si="345"/>
        <v>153.29999999999998</v>
      </c>
      <c r="BP397" s="2" t="str">
        <f>VLOOKUP(A397,'[7]Table 2'!$J$2:$N$449,5,FALSE)</f>
        <v>Bid opened</v>
      </c>
      <c r="BR397">
        <f t="shared" si="333"/>
        <v>185.73434542690049</v>
      </c>
      <c r="BT397">
        <f>(X397*I397*365*[5]Analysis!BK397)/10^4</f>
        <v>147.4551942650921</v>
      </c>
      <c r="BV397">
        <f>(X397*I397*365*[5]Analysis!BL397)/10^4</f>
        <v>38.279151161808343</v>
      </c>
      <c r="BX397">
        <f t="shared" si="334"/>
        <v>962871.09726110112</v>
      </c>
      <c r="BZ397">
        <f t="shared" si="335"/>
        <v>3057626.1691018413</v>
      </c>
      <c r="CB397">
        <f t="shared" si="336"/>
        <v>-190693.44347286649</v>
      </c>
      <c r="CD397">
        <f t="shared" si="337"/>
        <v>0</v>
      </c>
      <c r="CF397">
        <f t="shared" si="338"/>
        <v>1945646.2305799932</v>
      </c>
      <c r="CH397">
        <f t="shared" si="339"/>
        <v>344595.93032880791</v>
      </c>
      <c r="CJ397">
        <f t="shared" si="340"/>
        <v>-377338.22876496747</v>
      </c>
      <c r="CL397">
        <f t="shared" si="341"/>
        <v>706210.84460135084</v>
      </c>
    </row>
    <row r="398" spans="1:90" x14ac:dyDescent="0.2">
      <c r="A398" s="2" t="s">
        <v>299</v>
      </c>
      <c r="B398" s="2" t="str">
        <f t="shared" si="311"/>
        <v>MEJIA TPS</v>
      </c>
      <c r="C398" s="2" t="str">
        <f>VLOOKUP($A398,'[1]daily coal, energy reqd'!$C$2:$T$599,17,FALSE)</f>
        <v>West Bengal</v>
      </c>
      <c r="D398" s="2" t="str">
        <f>VLOOKUP(C398,'Target PLF'!$I$2:$J$19,2,FALSE)</f>
        <v>ER</v>
      </c>
      <c r="E398" s="2" t="str">
        <f>VLOOKUP(A398,[2]Ownership!$C$2:$D$666,2,FALSE)</f>
        <v>CENTRAL SECTOR</v>
      </c>
      <c r="F398" s="2" t="s">
        <v>544</v>
      </c>
      <c r="G398" s="12">
        <v>12.5913757700205</v>
      </c>
      <c r="H398" s="2">
        <v>250</v>
      </c>
      <c r="I398" s="2">
        <f>VLOOKUP(A398,'[3]Calculated coal req (reg.)'!$A$2:$I$599,9,FALSE)</f>
        <v>3.8637143951833601</v>
      </c>
      <c r="J398" s="2"/>
      <c r="K398" s="11">
        <v>0.64395239919722669</v>
      </c>
      <c r="L398" s="3">
        <f>VLOOKUP(F398,'Target PLF'!$A$2:$B$11,2,FALSE)</f>
        <v>0.8</v>
      </c>
      <c r="M398" s="3">
        <f t="shared" si="329"/>
        <v>0.15604760080277336</v>
      </c>
      <c r="N398" s="2" t="str">
        <f t="shared" si="312"/>
        <v>0.15</v>
      </c>
      <c r="O398" s="2">
        <f t="shared" si="310"/>
        <v>11.505932193266172</v>
      </c>
      <c r="P398" s="2">
        <f t="shared" si="313"/>
        <v>1049916.3126355384</v>
      </c>
      <c r="Q398" s="2">
        <f t="shared" si="314"/>
        <v>14.372734277515399</v>
      </c>
      <c r="R398" s="2">
        <f t="shared" si="315"/>
        <v>4.8</v>
      </c>
      <c r="S398" s="2"/>
      <c r="T398" s="2" t="str">
        <f>VLOOKUP(A398,'[4]CEA vs MERIT comp. &amp; NPA marker'!$C$2:$K$735,9,FALSE)</f>
        <v>Contracted</v>
      </c>
      <c r="U398" s="3">
        <f>VLOOKUP(B398,'[8]Import-Domestic share'!$A$208:$F$406,6,FALSE)</f>
        <v>0</v>
      </c>
      <c r="V398" s="3">
        <f t="shared" si="316"/>
        <v>0</v>
      </c>
      <c r="W398" s="2">
        <f t="shared" si="317"/>
        <v>3018.1243374517449</v>
      </c>
      <c r="X398" s="2">
        <f t="shared" si="318"/>
        <v>3069.7091801062388</v>
      </c>
      <c r="Y398" s="6">
        <f t="shared" si="319"/>
        <v>0.28494518576597577</v>
      </c>
      <c r="Z398" s="2"/>
      <c r="AA398" s="2">
        <f t="shared" si="320"/>
        <v>942443.14597898116</v>
      </c>
      <c r="AB398" s="2" t="s">
        <v>576</v>
      </c>
      <c r="AC398" s="12">
        <f>VLOOKUP(B398,[9]Sheet1!$A$2:$B$137,2,FALSE)</f>
        <v>4593.4601504233742</v>
      </c>
      <c r="AD398" s="12">
        <f t="shared" si="321"/>
        <v>1148365.0376058435</v>
      </c>
      <c r="AE398" s="2"/>
      <c r="AF398" s="7">
        <f>VLOOKUP($B398,'[9]Subsidiary wise dispatch'!$A$3:$R$138,11,FALSE)*$H398*$O398*365</f>
        <v>656936.87484930607</v>
      </c>
      <c r="AG398" s="7">
        <f>VLOOKUP($B398,'[9]Subsidiary wise dispatch'!$A$3:$R$138,12,FALSE)*$H398*$O398*365</f>
        <v>15456.202195448157</v>
      </c>
      <c r="AH398" s="7">
        <f>VLOOKUP($B398,'[9]Subsidiary wise dispatch'!$A$3:$R$138,13,FALSE)*$H398*$O398*365</f>
        <v>325592.86044349091</v>
      </c>
      <c r="AI398" s="7">
        <f>VLOOKUP($B398,'[9]Subsidiary wise dispatch'!$A$3:$R$138,14,FALSE)*$H398*$O398*365</f>
        <v>51930.375147293154</v>
      </c>
      <c r="AJ398" s="7">
        <f>VLOOKUP($B398,'[9]Subsidiary wise dispatch'!$A$3:$R$138,15,FALSE)*$H398*$O398*365</f>
        <v>0</v>
      </c>
      <c r="AK398" s="7">
        <f>VLOOKUP($B398,'[9]Subsidiary wise dispatch'!$A$3:$R$138,16,FALSE)*$H398*$O398*365</f>
        <v>0</v>
      </c>
      <c r="AL398" s="7">
        <f>VLOOKUP($B398,'[9]Subsidiary wise dispatch'!$A$3:$R$138,17,FALSE)*$H398*$O398*365</f>
        <v>0</v>
      </c>
      <c r="AM398" s="7">
        <f>VLOOKUP($B398,'[9]Subsidiary wise dispatch'!$A$3:$R$138,18,FALSE)*$H398*$O398*365</f>
        <v>0</v>
      </c>
      <c r="AN398" s="15">
        <f t="shared" si="322"/>
        <v>1049916.3126355382</v>
      </c>
      <c r="AO398" s="6">
        <v>8.3678646324733194E-2</v>
      </c>
      <c r="AP398" s="11">
        <f t="shared" si="323"/>
        <v>0.32331039037432879</v>
      </c>
      <c r="AQ398" s="11"/>
      <c r="AR398" s="3">
        <f>VLOOKUP(A398,[10]Sheet1!$A$2:$L$542,12,FALSE)</f>
        <v>2.5933434925569898</v>
      </c>
      <c r="AS398" s="3">
        <f t="shared" si="330"/>
        <v>2.1699391015017158</v>
      </c>
      <c r="AT398" s="2"/>
      <c r="AU398" s="2"/>
      <c r="AV398" s="88">
        <f t="shared" si="331"/>
        <v>0.11435480282028837</v>
      </c>
      <c r="AW398" s="32">
        <f t="shared" si="332"/>
        <v>5.2699544766555258E-2</v>
      </c>
      <c r="AX398" s="12">
        <f t="shared" si="324"/>
        <v>306.01691042473499</v>
      </c>
      <c r="AY398" s="12">
        <f t="shared" si="325"/>
        <v>0</v>
      </c>
      <c r="AZ398" s="3">
        <f>VLOOKUP(A398,[5]Analysis!$A$3:$BJ$543,62,FALSE)</f>
        <v>0.54169530307848368</v>
      </c>
      <c r="BA398" s="2">
        <f>590.14/2</f>
        <v>295.07</v>
      </c>
      <c r="BB398" s="2"/>
      <c r="BC398" s="2" t="str">
        <f>VLOOKUP(A398,'[6]FGD status - Jun 2020'!$I$2:$M$449,5,FALSE)</f>
        <v>NIT issued</v>
      </c>
      <c r="BD398" s="2"/>
      <c r="BE398" s="2"/>
      <c r="BF398" s="2">
        <f t="shared" si="326"/>
        <v>291.68615368049467</v>
      </c>
      <c r="BG398" s="2">
        <f t="shared" si="327"/>
        <v>0</v>
      </c>
      <c r="BH398" s="2">
        <f t="shared" si="342"/>
        <v>87.5</v>
      </c>
      <c r="BI398" s="2">
        <f t="shared" si="343"/>
        <v>20</v>
      </c>
      <c r="BK398">
        <f t="shared" si="328"/>
        <v>160.98809979930667</v>
      </c>
      <c r="BL398">
        <f>VLOOKUP(A398,'[11]Daily coal vs energy req.2'!$C$2:$P$599,14,FALSE)</f>
        <v>0.99</v>
      </c>
      <c r="BM398">
        <f>VLOOKUP(A398,'[11]Daily coal vs energy req.2'!$C$2:$R$599,16,FALSE)</f>
        <v>0.83</v>
      </c>
      <c r="BN398">
        <f t="shared" si="344"/>
        <v>247.5</v>
      </c>
      <c r="BO398">
        <f t="shared" si="345"/>
        <v>207.5</v>
      </c>
      <c r="BP398" s="2" t="str">
        <f>VLOOKUP(A398,'[7]Table 2'!$J$2:$N$449,5,FALSE)</f>
        <v>Bid opened</v>
      </c>
      <c r="BR398">
        <f t="shared" si="333"/>
        <v>234.50396131847896</v>
      </c>
      <c r="BT398">
        <f>(X398*I398*365*[5]Analysis!BK398)/10^4</f>
        <v>186.1735754508536</v>
      </c>
      <c r="BV398">
        <f>(X398*I398*365*[5]Analysis!BL398)/10^4</f>
        <v>48.330385867625338</v>
      </c>
      <c r="BX398">
        <f t="shared" si="334"/>
        <v>1215699.1536908059</v>
      </c>
      <c r="BZ398">
        <f t="shared" si="335"/>
        <v>3957329.6975944121</v>
      </c>
      <c r="CB398">
        <f t="shared" si="336"/>
        <v>-268318.57713557727</v>
      </c>
      <c r="CD398">
        <f t="shared" si="337"/>
        <v>0</v>
      </c>
      <c r="CF398">
        <f t="shared" si="338"/>
        <v>2518150.7429171861</v>
      </c>
      <c r="CH398">
        <f t="shared" si="339"/>
        <v>360225.0733108347</v>
      </c>
      <c r="CJ398">
        <f t="shared" si="340"/>
        <v>-581392.42361521628</v>
      </c>
      <c r="CL398">
        <f t="shared" si="341"/>
        <v>914012.69924540399</v>
      </c>
    </row>
    <row r="399" spans="1:90" x14ac:dyDescent="0.2">
      <c r="A399" s="2" t="s">
        <v>307</v>
      </c>
      <c r="B399" s="2" t="str">
        <f t="shared" si="311"/>
        <v>MEJIA TPS</v>
      </c>
      <c r="C399" s="2" t="str">
        <f>VLOOKUP($A399,'[1]daily coal, energy reqd'!$C$2:$T$599,17,FALSE)</f>
        <v>West Bengal</v>
      </c>
      <c r="D399" s="2" t="str">
        <f>VLOOKUP(C399,'Target PLF'!$I$2:$J$19,2,FALSE)</f>
        <v>ER</v>
      </c>
      <c r="E399" s="2" t="str">
        <f>VLOOKUP(A399,[2]Ownership!$C$2:$D$666,2,FALSE)</f>
        <v>CENTRAL SECTOR</v>
      </c>
      <c r="F399" s="2" t="s">
        <v>544</v>
      </c>
      <c r="G399" s="12">
        <v>13.1772758384668</v>
      </c>
      <c r="H399" s="2">
        <v>250</v>
      </c>
      <c r="I399" s="2">
        <f>VLOOKUP(A399,'[3]Calculated coal req (reg.)'!$A$2:$I$599,9,FALSE)</f>
        <v>4.3123122375831997</v>
      </c>
      <c r="J399" s="2"/>
      <c r="K399" s="11">
        <v>0.71871870626386669</v>
      </c>
      <c r="L399" s="3">
        <f>VLOOKUP(F399,'Target PLF'!$A$2:$B$11,2,FALSE)</f>
        <v>0.8</v>
      </c>
      <c r="M399" s="3">
        <f t="shared" si="329"/>
        <v>8.1281293736133353E-2</v>
      </c>
      <c r="N399" s="2" t="str">
        <f t="shared" si="312"/>
        <v>0.15</v>
      </c>
      <c r="O399" s="2">
        <f t="shared" si="310"/>
        <v>12.564736638044492</v>
      </c>
      <c r="P399" s="2">
        <f t="shared" si="313"/>
        <v>1146532.2182215599</v>
      </c>
      <c r="Q399" s="2">
        <f t="shared" si="314"/>
        <v>14.391292662183435</v>
      </c>
      <c r="R399" s="2">
        <f t="shared" si="315"/>
        <v>4.8</v>
      </c>
      <c r="S399" s="2"/>
      <c r="T399" s="2" t="str">
        <f>VLOOKUP(A399,'[4]CEA vs MERIT comp. &amp; NPA marker'!$C$2:$K$735,9,FALSE)</f>
        <v>Contracted</v>
      </c>
      <c r="U399" s="3">
        <f>VLOOKUP(B399,'[8]Import-Domestic share'!$A$208:$F$406,6,FALSE)</f>
        <v>0</v>
      </c>
      <c r="V399" s="3">
        <f t="shared" si="316"/>
        <v>0</v>
      </c>
      <c r="W399" s="2">
        <f t="shared" si="317"/>
        <v>3022.6009286030117</v>
      </c>
      <c r="X399" s="2">
        <f t="shared" si="318"/>
        <v>3049.4701834109178</v>
      </c>
      <c r="Y399" s="6">
        <f t="shared" si="319"/>
        <v>0.28452317071095307</v>
      </c>
      <c r="Z399" s="2"/>
      <c r="AA399" s="2">
        <f t="shared" si="320"/>
        <v>1044930.7304717597</v>
      </c>
      <c r="AB399" s="2" t="s">
        <v>576</v>
      </c>
      <c r="AC399" s="12">
        <f>VLOOKUP(B399,[9]Sheet1!$A$2:$B$137,2,FALSE)</f>
        <v>4593.4601504233742</v>
      </c>
      <c r="AD399" s="12">
        <f t="shared" si="321"/>
        <v>1148365.0376058435</v>
      </c>
      <c r="AE399" s="2"/>
      <c r="AF399" s="7">
        <f>VLOOKUP($B399,'[9]Subsidiary wise dispatch'!$A$3:$R$138,11,FALSE)*$H399*$O399*365</f>
        <v>717389.83696882066</v>
      </c>
      <c r="AG399" s="7">
        <f>VLOOKUP($B399,'[9]Subsidiary wise dispatch'!$A$3:$R$138,12,FALSE)*$H399*$O399*365</f>
        <v>16878.520292673744</v>
      </c>
      <c r="AH399" s="7">
        <f>VLOOKUP($B399,'[9]Subsidiary wise dispatch'!$A$3:$R$138,13,FALSE)*$H399*$O399*365</f>
        <v>355554.72377060261</v>
      </c>
      <c r="AI399" s="7">
        <f>VLOOKUP($B399,'[9]Subsidiary wise dispatch'!$A$3:$R$138,14,FALSE)*$H399*$O399*365</f>
        <v>56709.137189462926</v>
      </c>
      <c r="AJ399" s="7">
        <f>VLOOKUP($B399,'[9]Subsidiary wise dispatch'!$A$3:$R$138,15,FALSE)*$H399*$O399*365</f>
        <v>0</v>
      </c>
      <c r="AK399" s="7">
        <f>VLOOKUP($B399,'[9]Subsidiary wise dispatch'!$A$3:$R$138,16,FALSE)*$H399*$O399*365</f>
        <v>0</v>
      </c>
      <c r="AL399" s="7">
        <f>VLOOKUP($B399,'[9]Subsidiary wise dispatch'!$A$3:$R$138,17,FALSE)*$H399*$O399*365</f>
        <v>0</v>
      </c>
      <c r="AM399" s="7">
        <f>VLOOKUP($B399,'[9]Subsidiary wise dispatch'!$A$3:$R$138,18,FALSE)*$H399*$O399*365</f>
        <v>0</v>
      </c>
      <c r="AN399" s="15">
        <f t="shared" si="322"/>
        <v>1146532.2182215599</v>
      </c>
      <c r="AO399" s="6">
        <v>8.3678646324733194E-2</v>
      </c>
      <c r="AP399" s="11">
        <f t="shared" si="323"/>
        <v>0.36084845057054338</v>
      </c>
      <c r="AQ399" s="11"/>
      <c r="AR399" s="3">
        <f>VLOOKUP(A399,[10]Sheet1!$A$2:$L$542,12,FALSE)</f>
        <v>2.5933434925569898</v>
      </c>
      <c r="AS399" s="3">
        <f t="shared" si="330"/>
        <v>2.1722029013972564</v>
      </c>
      <c r="AT399" s="2"/>
      <c r="AU399" s="2"/>
      <c r="AV399" s="88">
        <f t="shared" si="331"/>
        <v>5.9564557675713246E-2</v>
      </c>
      <c r="AW399" s="32">
        <f t="shared" si="332"/>
        <v>2.7421267892331194E-2</v>
      </c>
      <c r="AX399" s="12">
        <f t="shared" si="324"/>
        <v>341.90342612863287</v>
      </c>
      <c r="AY399" s="12">
        <f t="shared" si="325"/>
        <v>0</v>
      </c>
      <c r="AZ399" s="3">
        <f>VLOOKUP(A399,[5]Analysis!$A$3:$BJ$543,62,FALSE)</f>
        <v>0.54169530307848368</v>
      </c>
      <c r="BA399" s="2">
        <f>590.14/2</f>
        <v>295.07</v>
      </c>
      <c r="BB399" s="2"/>
      <c r="BC399" s="2" t="str">
        <f>VLOOKUP(A399,'[6]FGD status - Jun 2020'!$I$2:$M$449,5,FALSE)</f>
        <v>NIT issued</v>
      </c>
      <c r="BD399" s="2"/>
      <c r="BE399" s="2"/>
      <c r="BF399" s="2">
        <f t="shared" si="326"/>
        <v>323.40606108100963</v>
      </c>
      <c r="BG399" s="2">
        <f t="shared" si="327"/>
        <v>0</v>
      </c>
      <c r="BH399" s="2">
        <f t="shared" si="342"/>
        <v>87.5</v>
      </c>
      <c r="BI399" s="2">
        <f t="shared" si="343"/>
        <v>20</v>
      </c>
      <c r="BK399">
        <f t="shared" si="328"/>
        <v>179.67967656596667</v>
      </c>
      <c r="BL399">
        <f>VLOOKUP(A399,'[11]Daily coal vs energy req.2'!$C$2:$P$599,14,FALSE)</f>
        <v>0.91</v>
      </c>
      <c r="BM399">
        <f>VLOOKUP(A399,'[11]Daily coal vs energy req.2'!$C$2:$R$599,16,FALSE)</f>
        <v>1.01</v>
      </c>
      <c r="BN399">
        <f t="shared" si="344"/>
        <v>227.5</v>
      </c>
      <c r="BO399">
        <f t="shared" si="345"/>
        <v>252.5</v>
      </c>
      <c r="BP399" s="2" t="str">
        <f>VLOOKUP(A399,'[7]Table 2'!$J$2:$N$449,5,FALSE)</f>
        <v>Bid opened</v>
      </c>
      <c r="BR399">
        <f t="shared" si="333"/>
        <v>260.00549385342396</v>
      </c>
      <c r="BT399">
        <f>(X399*I399*365*[5]Analysis!BK399)/10^4</f>
        <v>206.41933788835513</v>
      </c>
      <c r="BV399">
        <f>(X399*I399*365*[5]Analysis!BL399)/10^4</f>
        <v>53.586155965068777</v>
      </c>
      <c r="BX399">
        <f t="shared" si="334"/>
        <v>1347902.4279819685</v>
      </c>
      <c r="BZ399">
        <f t="shared" si="335"/>
        <v>4416796.7757559726</v>
      </c>
      <c r="CB399">
        <f t="shared" si="336"/>
        <v>-334242.0667222098</v>
      </c>
      <c r="CD399">
        <f t="shared" si="337"/>
        <v>0</v>
      </c>
      <c r="CF399">
        <f t="shared" si="338"/>
        <v>2810521.4708153065</v>
      </c>
      <c r="CH399">
        <f t="shared" si="339"/>
        <v>420757.2165114535</v>
      </c>
      <c r="CJ399">
        <f t="shared" si="340"/>
        <v>-648895.18395033211</v>
      </c>
      <c r="CL399">
        <f t="shared" si="341"/>
        <v>1020134.4470947513</v>
      </c>
    </row>
    <row r="400" spans="1:90" x14ac:dyDescent="0.2">
      <c r="A400" s="2" t="s">
        <v>452</v>
      </c>
      <c r="B400" s="2" t="str">
        <f t="shared" si="311"/>
        <v>METTUR TPS</v>
      </c>
      <c r="C400" s="2" t="str">
        <f>VLOOKUP($A400,'[1]daily coal, energy reqd'!$C$2:$T$599,17,FALSE)</f>
        <v>Tamil Nadu</v>
      </c>
      <c r="D400" s="2" t="str">
        <f>VLOOKUP(C400,'Target PLF'!$I$2:$J$19,2,FALSE)</f>
        <v>SR</v>
      </c>
      <c r="E400" s="2" t="str">
        <f>VLOOKUP(A400,[2]Ownership!$C$2:$D$666,2,FALSE)</f>
        <v>STATE SECTOR</v>
      </c>
      <c r="F400" s="2" t="s">
        <v>548</v>
      </c>
      <c r="G400" s="12">
        <v>33.338809034907598</v>
      </c>
      <c r="H400" s="2">
        <v>210</v>
      </c>
      <c r="I400" s="2">
        <f>VLOOKUP(A400,'[3]Calculated coal req (reg.)'!$A$2:$I$599,9,FALSE)</f>
        <v>3.14629416388579</v>
      </c>
      <c r="J400" s="2"/>
      <c r="K400" s="11">
        <v>0.62426471505670433</v>
      </c>
      <c r="L400" s="3">
        <f>VLOOKUP(F400,'Target PLF'!$A$2:$B$11,2,FALSE)</f>
        <v>0.6</v>
      </c>
      <c r="M400" s="3">
        <f t="shared" si="329"/>
        <v>-2.4264715056704356E-2</v>
      </c>
      <c r="N400" s="2" t="str">
        <f t="shared" si="312"/>
        <v>0.25</v>
      </c>
      <c r="O400" s="2">
        <f t="shared" si="310"/>
        <v>12.068592786179142</v>
      </c>
      <c r="P400" s="2">
        <f t="shared" si="313"/>
        <v>925057.63706063118</v>
      </c>
      <c r="Q400" s="2">
        <f t="shared" si="314"/>
        <v>15.209315526180697</v>
      </c>
      <c r="R400" s="2">
        <f t="shared" si="315"/>
        <v>3.024</v>
      </c>
      <c r="S400" s="2"/>
      <c r="T400" s="2" t="str">
        <f>VLOOKUP(A400,'[4]CEA vs MERIT comp. &amp; NPA marker'!$C$2:$K$735,9,FALSE)</f>
        <v>Contracted</v>
      </c>
      <c r="U400" s="3">
        <f>VLOOKUP(B400,'[8]Import-Domestic share'!$A$208:$F$406,6,FALSE)</f>
        <v>0.20637747185706132</v>
      </c>
      <c r="V400" s="3">
        <f t="shared" si="316"/>
        <v>190911.05645864009</v>
      </c>
      <c r="W400" s="2">
        <f t="shared" si="317"/>
        <v>3326.3187577111626</v>
      </c>
      <c r="X400" s="2">
        <f t="shared" si="318"/>
        <v>3318.2975417372099</v>
      </c>
      <c r="Y400" s="6">
        <f t="shared" si="319"/>
        <v>0.2585440730856971</v>
      </c>
      <c r="Z400" s="2"/>
      <c r="AA400" s="2">
        <f t="shared" si="320"/>
        <v>1011485.396146438</v>
      </c>
      <c r="AB400" s="2" t="s">
        <v>576</v>
      </c>
      <c r="AC400" s="12">
        <f>VLOOKUP(B400,[9]Sheet1!$A$2:$B$137,2,FALSE)</f>
        <v>3767.4534735980392</v>
      </c>
      <c r="AD400" s="12">
        <f t="shared" si="321"/>
        <v>791165.22945558827</v>
      </c>
      <c r="AE400" s="2"/>
      <c r="AF400" s="7">
        <f>VLOOKUP($B400,'[9]Subsidiary wise dispatch'!$A$3:$R$138,11,FALSE)*$H400*$O400*365</f>
        <v>0</v>
      </c>
      <c r="AG400" s="7">
        <f>VLOOKUP($B400,'[9]Subsidiary wise dispatch'!$A$3:$R$138,12,FALSE)*$H400*$O400*365</f>
        <v>0</v>
      </c>
      <c r="AH400" s="7">
        <f>VLOOKUP($B400,'[9]Subsidiary wise dispatch'!$A$3:$R$138,13,FALSE)*$H400*$O400*365</f>
        <v>0</v>
      </c>
      <c r="AI400" s="7">
        <f>VLOOKUP($B400,'[9]Subsidiary wise dispatch'!$A$3:$R$138,14,FALSE)*$H400*$O400*365</f>
        <v>923907.33347293991</v>
      </c>
      <c r="AJ400" s="7">
        <f>VLOOKUP($B400,'[9]Subsidiary wise dispatch'!$A$3:$R$138,15,FALSE)*$H400*$O400*365</f>
        <v>0</v>
      </c>
      <c r="AK400" s="7">
        <f>VLOOKUP($B400,'[9]Subsidiary wise dispatch'!$A$3:$R$138,16,FALSE)*$H400*$O400*365</f>
        <v>0</v>
      </c>
      <c r="AL400" s="7">
        <f>VLOOKUP($B400,'[9]Subsidiary wise dispatch'!$A$3:$R$138,17,FALSE)*$H400*$O400*365</f>
        <v>0</v>
      </c>
      <c r="AM400" s="7">
        <f>VLOOKUP($B400,'[9]Subsidiary wise dispatch'!$A$3:$R$138,18,FALSE)*$H400*$O400*365</f>
        <v>1150.3035876912286</v>
      </c>
      <c r="AN400" s="15">
        <f t="shared" si="322"/>
        <v>925057.63706063118</v>
      </c>
      <c r="AO400" s="6">
        <v>7.9545486780113542E-2</v>
      </c>
      <c r="AP400" s="11">
        <f t="shared" si="323"/>
        <v>0.25027350081972549</v>
      </c>
      <c r="AQ400" s="11"/>
      <c r="AR400" s="3">
        <f>VLOOKUP(A400,[10]Sheet1!$A$2:$L$542,12,FALSE)</f>
        <v>3.5978045977011401</v>
      </c>
      <c r="AS400" s="3">
        <f t="shared" si="330"/>
        <v>3.9137293290512689</v>
      </c>
      <c r="AT400" s="2"/>
      <c r="AU400" s="2"/>
      <c r="AV400" s="88">
        <f t="shared" si="331"/>
        <v>-1.7781668487854087E-2</v>
      </c>
      <c r="AW400" s="32">
        <f t="shared" si="332"/>
        <v>4.543407832489162E-3</v>
      </c>
      <c r="AX400" s="12">
        <f t="shared" si="324"/>
        <v>449.45164676632692</v>
      </c>
      <c r="AY400" s="12">
        <f t="shared" si="325"/>
        <v>0</v>
      </c>
      <c r="AZ400" s="3">
        <f>VLOOKUP(A400,[5]Analysis!$A$3:$BJ$543,62,FALSE)</f>
        <v>1.3626739837662307</v>
      </c>
      <c r="BA400" s="2">
        <f>604.33/4</f>
        <v>151.08250000000001</v>
      </c>
      <c r="BB400" s="2"/>
      <c r="BC400" s="2" t="e">
        <f>VLOOKUP(A400,'[6]FGD status - Jun 2020'!$I$2:$M$449,5,FALSE)</f>
        <v>#N/A</v>
      </c>
      <c r="BD400" s="2" t="str">
        <f>VLOOKUP(A400,'[1]daily coal, energy reqd'!$C$2:$L$599,10,FALSE)</f>
        <v>Y</v>
      </c>
      <c r="BE400" s="2"/>
      <c r="BF400" s="2">
        <f t="shared" si="326"/>
        <v>357.64325994745826</v>
      </c>
      <c r="BG400" s="2">
        <f t="shared" si="327"/>
        <v>0</v>
      </c>
      <c r="BH400" s="2"/>
      <c r="BI400" s="2"/>
      <c r="BK400">
        <f t="shared" si="328"/>
        <v>131.09559016190792</v>
      </c>
      <c r="BL400">
        <f>VLOOKUP(A400,'[11]Daily coal vs energy req.2'!$C$2:$P$599,14,FALSE)</f>
        <v>0.89</v>
      </c>
      <c r="BM400">
        <f>VLOOKUP(A400,'[11]Daily coal vs energy req.2'!$C$2:$R$599,16,FALSE)</f>
        <v>0.79</v>
      </c>
      <c r="BN400">
        <f t="shared" si="344"/>
        <v>186.9</v>
      </c>
      <c r="BO400">
        <f t="shared" si="345"/>
        <v>165.9</v>
      </c>
      <c r="BP400" s="2" t="e">
        <f>VLOOKUP(A400,'[7]Table 2'!$J$2:$N$449,5,FALSE)</f>
        <v>#N/A</v>
      </c>
      <c r="BR400">
        <f t="shared" si="333"/>
        <v>519.2774684685636</v>
      </c>
      <c r="BT400">
        <f>(X400*I400*365*[5]Analysis!BK400)/10^4</f>
        <v>231.40738800981683</v>
      </c>
      <c r="BV400">
        <f>(X400*I400*365*[5]Analysis!BL400)/10^4</f>
        <v>287.87008045874677</v>
      </c>
      <c r="BX400">
        <f t="shared" si="334"/>
        <v>1070134.8694344456</v>
      </c>
      <c r="BZ400">
        <f t="shared" si="335"/>
        <v>8106500.9405049738</v>
      </c>
      <c r="CB400">
        <f t="shared" si="336"/>
        <v>-211816.63950043201</v>
      </c>
      <c r="CD400">
        <f t="shared" si="337"/>
        <v>0</v>
      </c>
      <c r="CF400">
        <f t="shared" si="338"/>
        <v>2050576.7704004985</v>
      </c>
      <c r="CH400">
        <f t="shared" si="339"/>
        <v>776685.40385233972</v>
      </c>
      <c r="CJ400">
        <f t="shared" si="340"/>
        <v>-397688.43602100003</v>
      </c>
      <c r="CL400">
        <f t="shared" si="341"/>
        <v>707534.19885140005</v>
      </c>
    </row>
    <row r="401" spans="1:91" x14ac:dyDescent="0.2">
      <c r="A401" s="2" t="s">
        <v>447</v>
      </c>
      <c r="B401" s="2" t="str">
        <f t="shared" si="311"/>
        <v>METTUR TPS</v>
      </c>
      <c r="C401" s="2" t="str">
        <f>VLOOKUP($A401,'[1]daily coal, energy reqd'!$C$2:$T$599,17,FALSE)</f>
        <v>Tamil Nadu</v>
      </c>
      <c r="D401" s="2" t="str">
        <f>VLOOKUP(C401,'Target PLF'!$I$2:$J$19,2,FALSE)</f>
        <v>SR</v>
      </c>
      <c r="E401" s="2" t="str">
        <f>VLOOKUP(A401,[2]Ownership!$C$2:$D$666,2,FALSE)</f>
        <v>STATE SECTOR</v>
      </c>
      <c r="F401" s="2" t="s">
        <v>548</v>
      </c>
      <c r="G401" s="12">
        <v>32.4243668720054</v>
      </c>
      <c r="H401" s="2">
        <v>210</v>
      </c>
      <c r="I401" s="2">
        <f>VLOOKUP(A401,'[3]Calculated coal req (reg.)'!$A$2:$I$599,9,FALSE)</f>
        <v>3.57367686671257</v>
      </c>
      <c r="J401" s="2"/>
      <c r="K401" s="11">
        <v>0.70906287037947813</v>
      </c>
      <c r="L401" s="3">
        <f>VLOOKUP(F401,'Target PLF'!$A$2:$B$11,2,FALSE)</f>
        <v>0.6</v>
      </c>
      <c r="M401" s="3">
        <f t="shared" si="329"/>
        <v>-0.10906287037947815</v>
      </c>
      <c r="N401" s="2" t="str">
        <f t="shared" si="312"/>
        <v>0.25</v>
      </c>
      <c r="O401" s="2">
        <f t="shared" si="310"/>
        <v>13.219450005121564</v>
      </c>
      <c r="P401" s="2">
        <f t="shared" si="313"/>
        <v>1013270.8428925679</v>
      </c>
      <c r="Q401" s="2">
        <f t="shared" si="314"/>
        <v>15.18035057067077</v>
      </c>
      <c r="R401" s="2">
        <f t="shared" si="315"/>
        <v>3.024</v>
      </c>
      <c r="S401" s="2"/>
      <c r="T401" s="2" t="str">
        <f>VLOOKUP(A401,'[4]CEA vs MERIT comp. &amp; NPA marker'!$C$2:$K$735,9,FALSE)</f>
        <v>Contracted</v>
      </c>
      <c r="U401" s="3">
        <f>VLOOKUP(B401,'[8]Import-Domestic share'!$A$208:$F$406,6,FALSE)</f>
        <v>0.20637747185706132</v>
      </c>
      <c r="V401" s="3">
        <f t="shared" si="316"/>
        <v>209116.2748626417</v>
      </c>
      <c r="W401" s="2">
        <f t="shared" si="317"/>
        <v>3319.3319285311482</v>
      </c>
      <c r="X401" s="2">
        <f t="shared" si="318"/>
        <v>3283.2788845943596</v>
      </c>
      <c r="Y401" s="6">
        <f t="shared" si="319"/>
        <v>0.25908827996619255</v>
      </c>
      <c r="Z401" s="2"/>
      <c r="AA401" s="2">
        <f t="shared" si="320"/>
        <v>1136758.005336894</v>
      </c>
      <c r="AB401" s="2" t="s">
        <v>576</v>
      </c>
      <c r="AC401" s="12">
        <f>VLOOKUP(B401,[9]Sheet1!$A$2:$B$137,2,FALSE)</f>
        <v>3767.4534735980392</v>
      </c>
      <c r="AD401" s="12">
        <f t="shared" si="321"/>
        <v>791165.22945558827</v>
      </c>
      <c r="AE401" s="2"/>
      <c r="AF401" s="7">
        <f>VLOOKUP($B401,'[9]Subsidiary wise dispatch'!$A$3:$R$138,11,FALSE)*$H401*$O401*365</f>
        <v>0</v>
      </c>
      <c r="AG401" s="7">
        <f>VLOOKUP($B401,'[9]Subsidiary wise dispatch'!$A$3:$R$138,12,FALSE)*$H401*$O401*365</f>
        <v>0</v>
      </c>
      <c r="AH401" s="7">
        <f>VLOOKUP($B401,'[9]Subsidiary wise dispatch'!$A$3:$R$138,13,FALSE)*$H401*$O401*365</f>
        <v>0</v>
      </c>
      <c r="AI401" s="7">
        <f>VLOOKUP($B401,'[9]Subsidiary wise dispatch'!$A$3:$R$138,14,FALSE)*$H401*$O401*365</f>
        <v>1012010.8467159125</v>
      </c>
      <c r="AJ401" s="7">
        <f>VLOOKUP($B401,'[9]Subsidiary wise dispatch'!$A$3:$R$138,15,FALSE)*$H401*$O401*365</f>
        <v>0</v>
      </c>
      <c r="AK401" s="7">
        <f>VLOOKUP($B401,'[9]Subsidiary wise dispatch'!$A$3:$R$138,16,FALSE)*$H401*$O401*365</f>
        <v>0</v>
      </c>
      <c r="AL401" s="7">
        <f>VLOOKUP($B401,'[9]Subsidiary wise dispatch'!$A$3:$R$138,17,FALSE)*$H401*$O401*365</f>
        <v>0</v>
      </c>
      <c r="AM401" s="7">
        <f>VLOOKUP($B401,'[9]Subsidiary wise dispatch'!$A$3:$R$138,18,FALSE)*$H401*$O401*365</f>
        <v>1259.996176655359</v>
      </c>
      <c r="AN401" s="15">
        <f t="shared" si="322"/>
        <v>1013270.8428925679</v>
      </c>
      <c r="AO401" s="6">
        <v>7.9545486780113542E-2</v>
      </c>
      <c r="AP401" s="11">
        <f t="shared" si="323"/>
        <v>0.28426986595748233</v>
      </c>
      <c r="AQ401" s="11"/>
      <c r="AR401" s="3">
        <f>VLOOKUP(A401,[10]Sheet1!$A$2:$L$542,12,FALSE)</f>
        <v>3.5978045977011401</v>
      </c>
      <c r="AS401" s="3">
        <f t="shared" si="330"/>
        <v>3.9033689296989174</v>
      </c>
      <c r="AT401" s="2"/>
      <c r="AU401" s="2"/>
      <c r="AV401" s="88">
        <f t="shared" si="331"/>
        <v>-7.9923452671489176E-2</v>
      </c>
      <c r="AW401" s="32">
        <f t="shared" si="332"/>
        <v>2.0475505674953966E-2</v>
      </c>
      <c r="AX401" s="12">
        <f t="shared" si="324"/>
        <v>509.15234249030135</v>
      </c>
      <c r="AY401" s="12">
        <f t="shared" si="325"/>
        <v>0</v>
      </c>
      <c r="AZ401" s="3">
        <f>VLOOKUP(A401,[5]Analysis!$A$3:$BJ$543,62,FALSE)</f>
        <v>1.3626739837662307</v>
      </c>
      <c r="BA401" s="2">
        <f>604.33/4</f>
        <v>151.08250000000001</v>
      </c>
      <c r="BB401" s="2"/>
      <c r="BC401" s="2" t="e">
        <f>VLOOKUP(A401,'[6]FGD status - Jun 2020'!$I$2:$M$449,5,FALSE)</f>
        <v>#N/A</v>
      </c>
      <c r="BD401" s="2" t="str">
        <f>VLOOKUP(A401,'[1]daily coal, energy reqd'!$C$2:$L$599,10,FALSE)</f>
        <v>Y</v>
      </c>
      <c r="BE401" s="2"/>
      <c r="BF401" s="2">
        <f t="shared" si="326"/>
        <v>401.93742821097345</v>
      </c>
      <c r="BG401" s="2">
        <f t="shared" si="327"/>
        <v>0</v>
      </c>
      <c r="BH401" s="2"/>
      <c r="BI401" s="2"/>
      <c r="BK401">
        <f t="shared" si="328"/>
        <v>148.90320277969042</v>
      </c>
      <c r="BL401">
        <f>VLOOKUP(A401,'[11]Daily coal vs energy req.2'!$C$2:$P$599,14,FALSE)</f>
        <v>0.86</v>
      </c>
      <c r="BM401">
        <f>VLOOKUP(A401,'[11]Daily coal vs energy req.2'!$C$2:$R$599,16,FALSE)</f>
        <v>0.86</v>
      </c>
      <c r="BN401">
        <f t="shared" si="344"/>
        <v>180.6</v>
      </c>
      <c r="BO401">
        <f t="shared" si="345"/>
        <v>180.6</v>
      </c>
      <c r="BP401" s="2" t="e">
        <f>VLOOKUP(A401,'[7]Table 2'!$J$2:$N$449,5,FALSE)</f>
        <v>#N/A</v>
      </c>
      <c r="BR401">
        <f t="shared" si="333"/>
        <v>583.59005628911382</v>
      </c>
      <c r="BT401">
        <f>(X401*I401*365*[5]Analysis!BK401)/10^4</f>
        <v>260.06722570236332</v>
      </c>
      <c r="BV401">
        <f>(X401*I401*365*[5]Analysis!BL401)/10^4</f>
        <v>323.52283058675039</v>
      </c>
      <c r="BX401">
        <f t="shared" si="334"/>
        <v>1202671.2241761729</v>
      </c>
      <c r="BZ401">
        <f t="shared" si="335"/>
        <v>9207662.5299674068</v>
      </c>
      <c r="CB401">
        <f t="shared" si="336"/>
        <v>-273270.01833977865</v>
      </c>
      <c r="CD401">
        <f t="shared" si="337"/>
        <v>0</v>
      </c>
      <c r="CF401">
        <f t="shared" si="338"/>
        <v>2329120.6689802841</v>
      </c>
      <c r="CH401">
        <f t="shared" si="339"/>
        <v>857990.58652546187</v>
      </c>
      <c r="CJ401">
        <f t="shared" si="340"/>
        <v>-451709.18227560219</v>
      </c>
      <c r="CL401">
        <f t="shared" si="341"/>
        <v>803643.41893590463</v>
      </c>
    </row>
    <row r="402" spans="1:91" x14ac:dyDescent="0.2">
      <c r="A402" s="2" t="s">
        <v>436</v>
      </c>
      <c r="B402" s="2" t="str">
        <f t="shared" si="311"/>
        <v>METTUR TPS</v>
      </c>
      <c r="C402" s="2" t="str">
        <f>VLOOKUP($A402,'[1]daily coal, energy reqd'!$C$2:$T$599,17,FALSE)</f>
        <v>Tamil Nadu</v>
      </c>
      <c r="D402" s="2" t="str">
        <f>VLOOKUP(C402,'Target PLF'!$I$2:$J$19,2,FALSE)</f>
        <v>SR</v>
      </c>
      <c r="E402" s="2" t="str">
        <f>VLOOKUP(A402,[2]Ownership!$C$2:$D$666,2,FALSE)</f>
        <v>STATE SECTOR</v>
      </c>
      <c r="F402" s="2" t="s">
        <v>548</v>
      </c>
      <c r="G402" s="12">
        <v>31.175906913073199</v>
      </c>
      <c r="H402" s="2">
        <v>210</v>
      </c>
      <c r="I402" s="2">
        <f>VLOOKUP(A402,'[3]Calculated coal req (reg.)'!$A$2:$I$599,9,FALSE)</f>
        <v>3.68113536563069</v>
      </c>
      <c r="J402" s="2"/>
      <c r="K402" s="11">
        <v>0.73038400111720037</v>
      </c>
      <c r="L402" s="3">
        <f>VLOOKUP(F402,'Target PLF'!$A$2:$B$11,2,FALSE)</f>
        <v>0.6</v>
      </c>
      <c r="M402" s="3">
        <f t="shared" si="329"/>
        <v>-0.13038400111720039</v>
      </c>
      <c r="N402" s="2" t="str">
        <f t="shared" si="312"/>
        <v>0.25</v>
      </c>
      <c r="O402" s="2">
        <f t="shared" si="310"/>
        <v>13.476552324215536</v>
      </c>
      <c r="P402" s="2">
        <f t="shared" si="313"/>
        <v>1032977.7356511208</v>
      </c>
      <c r="Q402" s="2">
        <f t="shared" si="314"/>
        <v>15.140805601471593</v>
      </c>
      <c r="R402" s="2">
        <f t="shared" si="315"/>
        <v>3.024</v>
      </c>
      <c r="S402" s="2"/>
      <c r="T402" s="2" t="str">
        <f>VLOOKUP(A402,'[4]CEA vs MERIT comp. &amp; NPA marker'!$C$2:$K$735,9,FALSE)</f>
        <v>Contracted</v>
      </c>
      <c r="U402" s="3">
        <f>VLOOKUP(B402,'[8]Import-Domestic share'!$A$208:$F$406,6,FALSE)</f>
        <v>0.20637747185706132</v>
      </c>
      <c r="V402" s="3">
        <f t="shared" si="316"/>
        <v>213183.33356831013</v>
      </c>
      <c r="W402" s="2">
        <f t="shared" si="317"/>
        <v>3309.7930240219084</v>
      </c>
      <c r="X402" s="2">
        <f t="shared" si="318"/>
        <v>3266.6918283117943</v>
      </c>
      <c r="Y402" s="6">
        <f t="shared" si="319"/>
        <v>0.25983497873077499</v>
      </c>
      <c r="Z402" s="2"/>
      <c r="AA402" s="2">
        <f t="shared" si="320"/>
        <v>1165024.1308251088</v>
      </c>
      <c r="AB402" s="2" t="s">
        <v>576</v>
      </c>
      <c r="AC402" s="12">
        <f>VLOOKUP(B402,[9]Sheet1!$A$2:$B$137,2,FALSE)</f>
        <v>3767.4534735980392</v>
      </c>
      <c r="AD402" s="12">
        <f t="shared" si="321"/>
        <v>791165.22945558827</v>
      </c>
      <c r="AE402" s="2"/>
      <c r="AF402" s="7">
        <f>VLOOKUP($B402,'[9]Subsidiary wise dispatch'!$A$3:$R$138,11,FALSE)*$H402*$O402*365</f>
        <v>0</v>
      </c>
      <c r="AG402" s="7">
        <f>VLOOKUP($B402,'[9]Subsidiary wise dispatch'!$A$3:$R$138,12,FALSE)*$H402*$O402*365</f>
        <v>0</v>
      </c>
      <c r="AH402" s="7">
        <f>VLOOKUP($B402,'[9]Subsidiary wise dispatch'!$A$3:$R$138,13,FALSE)*$H402*$O402*365</f>
        <v>0</v>
      </c>
      <c r="AI402" s="7">
        <f>VLOOKUP($B402,'[9]Subsidiary wise dispatch'!$A$3:$R$138,14,FALSE)*$H402*$O402*365</f>
        <v>1031693.2340722784</v>
      </c>
      <c r="AJ402" s="7">
        <f>VLOOKUP($B402,'[9]Subsidiary wise dispatch'!$A$3:$R$138,15,FALSE)*$H402*$O402*365</f>
        <v>0</v>
      </c>
      <c r="AK402" s="7">
        <f>VLOOKUP($B402,'[9]Subsidiary wise dispatch'!$A$3:$R$138,16,FALSE)*$H402*$O402*365</f>
        <v>0</v>
      </c>
      <c r="AL402" s="7">
        <f>VLOOKUP($B402,'[9]Subsidiary wise dispatch'!$A$3:$R$138,17,FALSE)*$H402*$O402*365</f>
        <v>0</v>
      </c>
      <c r="AM402" s="7">
        <f>VLOOKUP($B402,'[9]Subsidiary wise dispatch'!$A$3:$R$138,18,FALSE)*$H402*$O402*365</f>
        <v>1284.5015788424489</v>
      </c>
      <c r="AN402" s="15">
        <f t="shared" si="322"/>
        <v>1032977.7356511208</v>
      </c>
      <c r="AO402" s="6">
        <v>7.9545486780113542E-2</v>
      </c>
      <c r="AP402" s="11">
        <f t="shared" si="323"/>
        <v>0.29281770456258449</v>
      </c>
      <c r="AQ402" s="11"/>
      <c r="AR402" s="3">
        <f>VLOOKUP(A402,[10]Sheet1!$A$2:$L$542,12,FALSE)</f>
        <v>3.5978045977011401</v>
      </c>
      <c r="AS402" s="3">
        <f t="shared" si="330"/>
        <v>3.8924245346640411</v>
      </c>
      <c r="AT402" s="2"/>
      <c r="AU402" s="2"/>
      <c r="AV402" s="88">
        <f t="shared" si="331"/>
        <v>-9.5548003698706793E-2</v>
      </c>
      <c r="AW402" s="32">
        <f t="shared" si="332"/>
        <v>2.4547169212351509E-2</v>
      </c>
      <c r="AX402" s="12">
        <f t="shared" si="324"/>
        <v>522.99176885991403</v>
      </c>
      <c r="AY402" s="12">
        <f t="shared" si="325"/>
        <v>0</v>
      </c>
      <c r="AZ402" s="3">
        <f>VLOOKUP(A402,[5]Analysis!$A$3:$BJ$543,62,FALSE)</f>
        <v>1.3626739837662307</v>
      </c>
      <c r="BA402" s="2">
        <f>604.33/4</f>
        <v>151.08250000000001</v>
      </c>
      <c r="BB402" s="2"/>
      <c r="BC402" s="2" t="e">
        <f>VLOOKUP(A402,'[6]FGD status - Jun 2020'!$I$2:$M$449,5,FALSE)</f>
        <v>#N/A</v>
      </c>
      <c r="BD402" s="2" t="str">
        <f>VLOOKUP(A402,'[1]daily coal, energy reqd'!$C$2:$L$599,10,FALSE)</f>
        <v>Y</v>
      </c>
      <c r="BE402" s="2"/>
      <c r="BF402" s="2">
        <f t="shared" si="326"/>
        <v>411.93182783770374</v>
      </c>
      <c r="BG402" s="2">
        <f t="shared" si="327"/>
        <v>0</v>
      </c>
      <c r="BH402" s="2"/>
      <c r="BI402" s="2"/>
      <c r="BK402">
        <f t="shared" si="328"/>
        <v>153.38064023461209</v>
      </c>
      <c r="BL402">
        <f>VLOOKUP(A402,'[11]Daily coal vs energy req.2'!$C$2:$P$599,14,FALSE)</f>
        <v>0.89</v>
      </c>
      <c r="BM402">
        <f>VLOOKUP(A402,'[11]Daily coal vs energy req.2'!$C$2:$R$599,16,FALSE)</f>
        <v>0.83</v>
      </c>
      <c r="BN402">
        <f t="shared" si="344"/>
        <v>186.9</v>
      </c>
      <c r="BO402">
        <f t="shared" si="345"/>
        <v>174.29999999999998</v>
      </c>
      <c r="BP402" s="2" t="e">
        <f>VLOOKUP(A402,'[7]Table 2'!$J$2:$N$449,5,FALSE)</f>
        <v>#N/A</v>
      </c>
      <c r="BR402">
        <f t="shared" si="333"/>
        <v>598.1013504144222</v>
      </c>
      <c r="BT402">
        <f>(X402*I402*365*[5]Analysis!BK402)/10^4</f>
        <v>266.53394315899237</v>
      </c>
      <c r="BV402">
        <f>(X402*I402*365*[5]Analysis!BL402)/10^4</f>
        <v>331.56740725542971</v>
      </c>
      <c r="BX402">
        <f t="shared" si="334"/>
        <v>1232576.3188260708</v>
      </c>
      <c r="BZ402">
        <f t="shared" si="335"/>
        <v>9484531.8807559963</v>
      </c>
      <c r="CB402">
        <f t="shared" si="336"/>
        <v>-289951.25986317458</v>
      </c>
      <c r="CD402">
        <f t="shared" si="337"/>
        <v>0</v>
      </c>
      <c r="CF402">
        <f t="shared" si="338"/>
        <v>2399156.0471699256</v>
      </c>
      <c r="CH402">
        <f t="shared" si="339"/>
        <v>849760.66015131795</v>
      </c>
      <c r="CJ402">
        <f t="shared" si="340"/>
        <v>-465291.82908035361</v>
      </c>
      <c r="CL402">
        <f t="shared" si="341"/>
        <v>827808.53477742698</v>
      </c>
    </row>
    <row r="403" spans="1:91" x14ac:dyDescent="0.2">
      <c r="A403" s="2" t="s">
        <v>429</v>
      </c>
      <c r="B403" s="2" t="str">
        <f t="shared" si="311"/>
        <v>METTUR TPS</v>
      </c>
      <c r="C403" s="2" t="str">
        <f>VLOOKUP($A403,'[1]daily coal, energy reqd'!$C$2:$T$599,17,FALSE)</f>
        <v>Tamil Nadu</v>
      </c>
      <c r="D403" s="2" t="str">
        <f>VLOOKUP(C403,'Target PLF'!$I$2:$J$19,2,FALSE)</f>
        <v>SR</v>
      </c>
      <c r="E403" s="2" t="str">
        <f>VLOOKUP(A403,[2]Ownership!$C$2:$D$666,2,FALSE)</f>
        <v>STATE SECTOR</v>
      </c>
      <c r="F403" s="2" t="s">
        <v>548</v>
      </c>
      <c r="G403" s="12">
        <v>30.176591375769998</v>
      </c>
      <c r="H403" s="2">
        <v>210</v>
      </c>
      <c r="I403" s="2">
        <f>VLOOKUP(A403,'[3]Calculated coal req (reg.)'!$A$2:$I$599,9,FALSE)</f>
        <v>3.7380261505786399</v>
      </c>
      <c r="J403" s="2"/>
      <c r="K403" s="11">
        <v>0.74167185527353963</v>
      </c>
      <c r="L403" s="3">
        <f>VLOOKUP(F403,'Target PLF'!$A$2:$B$11,2,FALSE)</f>
        <v>0.6</v>
      </c>
      <c r="M403" s="3">
        <f t="shared" si="329"/>
        <v>-0.14167185527353965</v>
      </c>
      <c r="N403" s="2" t="str">
        <f t="shared" si="312"/>
        <v>0.25</v>
      </c>
      <c r="O403" s="2">
        <f t="shared" si="310"/>
        <v>13.601950305804854</v>
      </c>
      <c r="P403" s="2">
        <f t="shared" si="313"/>
        <v>1042589.490939942</v>
      </c>
      <c r="Q403" s="2">
        <f t="shared" si="314"/>
        <v>15.109152281827514</v>
      </c>
      <c r="R403" s="2">
        <f t="shared" si="315"/>
        <v>3.024</v>
      </c>
      <c r="S403" s="2"/>
      <c r="T403" s="2" t="str">
        <f>VLOOKUP(A403,'[4]CEA vs MERIT comp. &amp; NPA marker'!$C$2:$K$735,9,FALSE)</f>
        <v>Contracted</v>
      </c>
      <c r="U403" s="3">
        <f>VLOOKUP(B403,'[8]Import-Domestic share'!$A$208:$F$406,6,FALSE)</f>
        <v>0.20637747185706132</v>
      </c>
      <c r="V403" s="3">
        <f t="shared" si="316"/>
        <v>215166.98332492579</v>
      </c>
      <c r="W403" s="2">
        <f t="shared" si="317"/>
        <v>3302.1577166844681</v>
      </c>
      <c r="X403" s="2">
        <f t="shared" si="318"/>
        <v>3255.3250814804678</v>
      </c>
      <c r="Y403" s="6">
        <f t="shared" si="319"/>
        <v>0.26043577375325461</v>
      </c>
      <c r="Z403" s="2"/>
      <c r="AA403" s="2">
        <f t="shared" si="320"/>
        <v>1178912.7548612668</v>
      </c>
      <c r="AB403" s="2" t="s">
        <v>576</v>
      </c>
      <c r="AC403" s="12">
        <f>VLOOKUP(B403,[9]Sheet1!$A$2:$B$137,2,FALSE)</f>
        <v>3767.4534735980392</v>
      </c>
      <c r="AD403" s="12">
        <f t="shared" si="321"/>
        <v>791165.22945558827</v>
      </c>
      <c r="AE403" s="2"/>
      <c r="AF403" s="7">
        <f>VLOOKUP($B403,'[9]Subsidiary wise dispatch'!$A$3:$R$138,11,FALSE)*$H403*$O403*365</f>
        <v>0</v>
      </c>
      <c r="AG403" s="7">
        <f>VLOOKUP($B403,'[9]Subsidiary wise dispatch'!$A$3:$R$138,12,FALSE)*$H403*$O403*365</f>
        <v>0</v>
      </c>
      <c r="AH403" s="7">
        <f>VLOOKUP($B403,'[9]Subsidiary wise dispatch'!$A$3:$R$138,13,FALSE)*$H403*$O403*365</f>
        <v>0</v>
      </c>
      <c r="AI403" s="7">
        <f>VLOOKUP($B403,'[9]Subsidiary wise dispatch'!$A$3:$R$138,14,FALSE)*$H403*$O403*365</f>
        <v>1041293.037201418</v>
      </c>
      <c r="AJ403" s="7">
        <f>VLOOKUP($B403,'[9]Subsidiary wise dispatch'!$A$3:$R$138,15,FALSE)*$H403*$O403*365</f>
        <v>0</v>
      </c>
      <c r="AK403" s="7">
        <f>VLOOKUP($B403,'[9]Subsidiary wise dispatch'!$A$3:$R$138,16,FALSE)*$H403*$O403*365</f>
        <v>0</v>
      </c>
      <c r="AL403" s="7">
        <f>VLOOKUP($B403,'[9]Subsidiary wise dispatch'!$A$3:$R$138,17,FALSE)*$H403*$O403*365</f>
        <v>0</v>
      </c>
      <c r="AM403" s="7">
        <f>VLOOKUP($B403,'[9]Subsidiary wise dispatch'!$A$3:$R$138,18,FALSE)*$H403*$O403*365</f>
        <v>1296.4537385239505</v>
      </c>
      <c r="AN403" s="15">
        <f t="shared" si="322"/>
        <v>1042589.490939942</v>
      </c>
      <c r="AO403" s="6">
        <v>7.9545486780113542E-2</v>
      </c>
      <c r="AP403" s="11">
        <f t="shared" si="323"/>
        <v>0.2973431097445719</v>
      </c>
      <c r="AQ403" s="11"/>
      <c r="AR403" s="3">
        <f>VLOOKUP(A403,[10]Sheet1!$A$2:$L$542,12,FALSE)</f>
        <v>3.5978045977011401</v>
      </c>
      <c r="AS403" s="3">
        <f t="shared" si="330"/>
        <v>3.8838600112178683</v>
      </c>
      <c r="AT403" s="2"/>
      <c r="AU403" s="2"/>
      <c r="AV403" s="88">
        <f t="shared" si="331"/>
        <v>-0.10381996898155534</v>
      </c>
      <c r="AW403" s="32">
        <f t="shared" si="332"/>
        <v>2.6731130545820145E-2</v>
      </c>
      <c r="AX403" s="12">
        <f t="shared" si="324"/>
        <v>529.90591547984502</v>
      </c>
      <c r="AY403" s="12">
        <f t="shared" si="325"/>
        <v>0</v>
      </c>
      <c r="AZ403" s="3">
        <f>VLOOKUP(A403,[5]Analysis!$A$3:$BJ$543,62,FALSE)</f>
        <v>1.3626739837662307</v>
      </c>
      <c r="BA403" s="2">
        <f>604.33/4</f>
        <v>151.08250000000001</v>
      </c>
      <c r="BB403" s="2"/>
      <c r="BC403" s="2" t="e">
        <f>VLOOKUP(A403,'[6]FGD status - Jun 2020'!$I$2:$M$449,5,FALSE)</f>
        <v>#N/A</v>
      </c>
      <c r="BD403" s="2" t="str">
        <f>VLOOKUP(A403,'[1]daily coal, energy reqd'!$C$2:$L$599,10,FALSE)</f>
        <v>Y</v>
      </c>
      <c r="BE403" s="2"/>
      <c r="BF403" s="2">
        <f t="shared" si="326"/>
        <v>416.84259846810539</v>
      </c>
      <c r="BG403" s="2">
        <f t="shared" si="327"/>
        <v>0</v>
      </c>
      <c r="BH403" s="2"/>
      <c r="BI403" s="2"/>
      <c r="BK403">
        <f t="shared" si="328"/>
        <v>155.75108960744333</v>
      </c>
      <c r="BL403">
        <f>VLOOKUP(A403,'[11]Daily coal vs energy req.2'!$C$2:$P$599,14,FALSE)</f>
        <v>0.86</v>
      </c>
      <c r="BM403">
        <f>VLOOKUP(A403,'[11]Daily coal vs energy req.2'!$C$2:$R$599,16,FALSE)</f>
        <v>0.86</v>
      </c>
      <c r="BN403">
        <f t="shared" si="344"/>
        <v>180.6</v>
      </c>
      <c r="BO403">
        <f t="shared" si="345"/>
        <v>180.6</v>
      </c>
      <c r="BP403" s="2" t="e">
        <f>VLOOKUP(A403,'[7]Table 2'!$J$2:$N$449,5,FALSE)</f>
        <v>#N/A</v>
      </c>
      <c r="BR403">
        <f t="shared" si="333"/>
        <v>605.23150726837594</v>
      </c>
      <c r="BT403">
        <f>(X403*I403*365*[5]Analysis!BK403)/10^4</f>
        <v>269.7113792579238</v>
      </c>
      <c r="BV403">
        <f>(X403*I403*365*[5]Analysis!BL403)/10^4</f>
        <v>335.52012801045208</v>
      </c>
      <c r="BX403">
        <f t="shared" si="334"/>
        <v>1247270.2540288744</v>
      </c>
      <c r="BZ403">
        <f t="shared" si="335"/>
        <v>9631112.3267232738</v>
      </c>
      <c r="CB403">
        <f t="shared" si="336"/>
        <v>-298982.72429729684</v>
      </c>
      <c r="CD403">
        <f t="shared" si="337"/>
        <v>0</v>
      </c>
      <c r="CF403">
        <f t="shared" si="338"/>
        <v>2436234.24646965</v>
      </c>
      <c r="CH403">
        <f t="shared" si="339"/>
        <v>835234.17295950116</v>
      </c>
      <c r="CJ403">
        <f t="shared" si="340"/>
        <v>-472482.76740698953</v>
      </c>
      <c r="CL403">
        <f t="shared" si="341"/>
        <v>840602.05434473348</v>
      </c>
    </row>
    <row r="404" spans="1:91" x14ac:dyDescent="0.2">
      <c r="A404" s="2" t="s">
        <v>248</v>
      </c>
      <c r="B404" s="2" t="str">
        <f t="shared" si="311"/>
        <v>MUNDRA TPS</v>
      </c>
      <c r="C404" s="2" t="str">
        <f>VLOOKUP($A404,'[1]daily coal, energy reqd'!$C$2:$T$599,17,FALSE)</f>
        <v>Gujarat</v>
      </c>
      <c r="D404" s="2" t="str">
        <f>VLOOKUP(C404,'Target PLF'!$I$2:$J$19,2,FALSE)</f>
        <v>WR</v>
      </c>
      <c r="E404" s="2" t="str">
        <f>VLOOKUP(A404,[2]Ownership!$C$2:$D$666,2,FALSE)</f>
        <v>PVT SECTOR</v>
      </c>
      <c r="F404" s="2" t="s">
        <v>544</v>
      </c>
      <c r="G404" s="12">
        <v>10.757015742642</v>
      </c>
      <c r="H404" s="2">
        <v>330</v>
      </c>
      <c r="I404" s="2">
        <f>VLOOKUP(A404,'[3]Calculated coal req (reg.)'!$A$2:$I$599,9,FALSE)</f>
        <v>5.3440898274067896</v>
      </c>
      <c r="J404" s="2"/>
      <c r="K404" s="11">
        <v>0.6747588165917664</v>
      </c>
      <c r="L404" s="3">
        <f>VLOOKUP(F404,'Target PLF'!$A$2:$B$11,2,FALSE)</f>
        <v>0.8</v>
      </c>
      <c r="M404" s="3">
        <f t="shared" si="329"/>
        <v>0.12524118340823365</v>
      </c>
      <c r="N404" s="2" t="str">
        <f t="shared" si="312"/>
        <v>0.15</v>
      </c>
      <c r="O404" s="2">
        <f t="shared" si="310"/>
        <v>10.570064666534408</v>
      </c>
      <c r="P404" s="2">
        <f t="shared" si="313"/>
        <v>1273164.2890840694</v>
      </c>
      <c r="Q404" s="2">
        <f t="shared" si="314"/>
        <v>13.008247823648185</v>
      </c>
      <c r="R404" s="2">
        <f t="shared" si="315"/>
        <v>6.3360000000000003</v>
      </c>
      <c r="S404" s="2"/>
      <c r="T404" s="2" t="str">
        <f>VLOOKUP(A404,'[4]CEA vs MERIT comp. &amp; NPA marker'!$C$2:$K$735,9,FALSE)</f>
        <v>Contracted</v>
      </c>
      <c r="U404" s="3">
        <f>VLOOKUP(B404,'[8]Import-Domestic share'!$A$208:$F$406,6,FALSE)</f>
        <v>1</v>
      </c>
      <c r="V404" s="3">
        <f t="shared" si="316"/>
        <v>1273164.2890840694</v>
      </c>
      <c r="W404" s="2">
        <f t="shared" si="317"/>
        <v>3155.5050577912389</v>
      </c>
      <c r="X404" s="2">
        <f t="shared" si="318"/>
        <v>3196.9061860799184</v>
      </c>
      <c r="Y404" s="6">
        <f t="shared" si="319"/>
        <v>0.27253957266732282</v>
      </c>
      <c r="Z404" s="2"/>
      <c r="AA404" s="2">
        <f t="shared" si="320"/>
        <v>1904567.2792835222</v>
      </c>
      <c r="AB404" s="2" t="s">
        <v>576</v>
      </c>
      <c r="AC404" s="12">
        <f>VLOOKUP(B404,[9]Sheet1!$A$2:$B$137,2,FALSE)</f>
        <v>3274.1621759038899</v>
      </c>
      <c r="AD404" s="12">
        <f t="shared" si="321"/>
        <v>1080473.5180482836</v>
      </c>
      <c r="AE404" s="2"/>
      <c r="AF404" s="7">
        <f>VLOOKUP($B404,'[9]Subsidiary wise dispatch'!$A$3:$R$138,11,FALSE)*$H404*$O404*365</f>
        <v>0</v>
      </c>
      <c r="AG404" s="7">
        <f>VLOOKUP($B404,'[9]Subsidiary wise dispatch'!$A$3:$R$138,12,FALSE)*$H404*$O404*365</f>
        <v>0</v>
      </c>
      <c r="AH404" s="7">
        <f>VLOOKUP($B404,'[9]Subsidiary wise dispatch'!$A$3:$R$138,13,FALSE)*$H404*$O404*365</f>
        <v>0</v>
      </c>
      <c r="AI404" s="7">
        <f>VLOOKUP($B404,'[9]Subsidiary wise dispatch'!$A$3:$R$138,14,FALSE)*$H404*$O404*365</f>
        <v>1260151.2550763541</v>
      </c>
      <c r="AJ404" s="7">
        <f>VLOOKUP($B404,'[9]Subsidiary wise dispatch'!$A$3:$R$138,15,FALSE)*$H404*$O404*365</f>
        <v>0</v>
      </c>
      <c r="AK404" s="7">
        <f>VLOOKUP($B404,'[9]Subsidiary wise dispatch'!$A$3:$R$138,16,FALSE)*$H404*$O404*365</f>
        <v>0</v>
      </c>
      <c r="AL404" s="7">
        <f>VLOOKUP($B404,'[9]Subsidiary wise dispatch'!$A$3:$R$138,17,FALSE)*$H404*$O404*365</f>
        <v>13013.034007715318</v>
      </c>
      <c r="AM404" s="7">
        <f>VLOOKUP($B404,'[9]Subsidiary wise dispatch'!$A$3:$R$138,18,FALSE)*$H404*$O404*365</f>
        <v>0</v>
      </c>
      <c r="AN404" s="15">
        <f t="shared" si="322"/>
        <v>1273164.2890840694</v>
      </c>
      <c r="AO404" s="6">
        <v>7.3165418961100362E-2</v>
      </c>
      <c r="AP404" s="11">
        <f t="shared" si="323"/>
        <v>0.39100257118797227</v>
      </c>
      <c r="AQ404" s="11"/>
      <c r="AR404" s="3">
        <f>VLOOKUP(A404,[10]Sheet1!$A$2:$L$542,12,FALSE)</f>
        <v>2.5818872950819598</v>
      </c>
      <c r="AS404" s="3">
        <f t="shared" si="330"/>
        <v>4.0881243174148212</v>
      </c>
      <c r="AT404" s="2"/>
      <c r="AU404" s="2"/>
      <c r="AV404" s="88">
        <f t="shared" si="331"/>
        <v>9.1779244025221779E-2</v>
      </c>
      <c r="AW404" s="32">
        <f t="shared" si="332"/>
        <v>2.2450208677425833E-2</v>
      </c>
      <c r="AX404" s="12">
        <f t="shared" si="324"/>
        <v>797.42658059228677</v>
      </c>
      <c r="AY404" s="12">
        <f t="shared" si="325"/>
        <v>0</v>
      </c>
      <c r="AZ404" s="3">
        <f>VLOOKUP(A404,[5]Analysis!$A$3:$BJ$543,62,FALSE)</f>
        <v>1.5976606285716104</v>
      </c>
      <c r="BA404" s="2"/>
      <c r="BB404" s="2"/>
      <c r="BC404" s="2" t="str">
        <f>VLOOKUP(A404,'[6]FGD status - Jun 2020'!$I$2:$M$449,5,FALSE)</f>
        <v>NIT issued</v>
      </c>
      <c r="BD404" s="2"/>
      <c r="BE404" s="2"/>
      <c r="BF404" s="2">
        <f t="shared" si="326"/>
        <v>996.27914379321044</v>
      </c>
      <c r="BG404" s="2">
        <f t="shared" si="327"/>
        <v>0</v>
      </c>
      <c r="BH404" s="2">
        <f t="shared" ref="BH404:BH413" si="346">IF(G404&lt;17,IF(H404&gt;400,H404*5000000,H404*3500000),H404*1500000)/10^7</f>
        <v>115.5</v>
      </c>
      <c r="BI404" s="2">
        <f t="shared" ref="BI404:BI413" si="347">(H404*800000)/10^7</f>
        <v>26.4</v>
      </c>
      <c r="BK404">
        <f t="shared" si="328"/>
        <v>222.67040947528292</v>
      </c>
      <c r="BL404">
        <f>VLOOKUP(A404,'[11]Daily coal vs energy req.2'!$C$2:$P$599,14,FALSE)</f>
        <v>0.79</v>
      </c>
      <c r="BM404">
        <f>VLOOKUP(A404,'[11]Daily coal vs energy req.2'!$C$2:$R$599,16,FALSE)</f>
        <v>1.01</v>
      </c>
      <c r="BN404">
        <f t="shared" si="344"/>
        <v>260.7</v>
      </c>
      <c r="BO404">
        <f t="shared" si="345"/>
        <v>333.3</v>
      </c>
      <c r="BP404" s="2" t="str">
        <f>VLOOKUP(A404,'[7]Table 2'!$J$2:$N$449,5,FALSE)</f>
        <v>NIT issued</v>
      </c>
      <c r="BR404">
        <f t="shared" si="333"/>
        <v>996.27914379321055</v>
      </c>
      <c r="BT404">
        <f>(X404*I404*365*[5]Analysis!BK404)/10^4</f>
        <v>996.27914379321055</v>
      </c>
      <c r="BV404">
        <f>(X404*I404*365*[5]Analysis!BL404)/10^4</f>
        <v>0</v>
      </c>
      <c r="BX404">
        <f t="shared" si="334"/>
        <v>1751166.7673908619</v>
      </c>
      <c r="BZ404">
        <f t="shared" si="335"/>
        <v>16143601.578089537</v>
      </c>
      <c r="CB404">
        <f t="shared" si="336"/>
        <v>-388878.80903047003</v>
      </c>
      <c r="CD404">
        <f t="shared" si="337"/>
        <v>-1972206.4239014422</v>
      </c>
      <c r="CF404">
        <f t="shared" si="338"/>
        <v>3482975.8084284971</v>
      </c>
      <c r="CH404">
        <f t="shared" si="339"/>
        <v>425658.48124877352</v>
      </c>
      <c r="CJ404">
        <f t="shared" si="340"/>
        <v>-1061480.5301483285</v>
      </c>
      <c r="CL404">
        <f t="shared" si="341"/>
        <v>1105381.4728615298</v>
      </c>
    </row>
    <row r="405" spans="1:91" x14ac:dyDescent="0.2">
      <c r="A405" s="2" t="s">
        <v>239</v>
      </c>
      <c r="B405" s="2" t="str">
        <f t="shared" si="311"/>
        <v>MUNDRA TPS</v>
      </c>
      <c r="C405" s="2" t="str">
        <f>VLOOKUP($A405,'[1]daily coal, energy reqd'!$C$2:$T$599,17,FALSE)</f>
        <v>Gujarat</v>
      </c>
      <c r="D405" s="2" t="str">
        <f>VLOOKUP(C405,'Target PLF'!$I$2:$J$19,2,FALSE)</f>
        <v>WR</v>
      </c>
      <c r="E405" s="2" t="str">
        <f>VLOOKUP(A405,[2]Ownership!$C$2:$D$666,2,FALSE)</f>
        <v>PVT SECTOR</v>
      </c>
      <c r="F405" s="2" t="s">
        <v>544</v>
      </c>
      <c r="G405" s="12">
        <v>10.17659137577</v>
      </c>
      <c r="H405" s="2">
        <v>330</v>
      </c>
      <c r="I405" s="2">
        <f>VLOOKUP(A405,'[3]Calculated coal req (reg.)'!$A$2:$I$599,9,FALSE)</f>
        <v>5.7565654102783599</v>
      </c>
      <c r="J405" s="2"/>
      <c r="K405" s="11">
        <v>0.72683906695433842</v>
      </c>
      <c r="L405" s="3">
        <f>VLOOKUP(F405,'Target PLF'!$A$2:$B$11,2,FALSE)</f>
        <v>0.8</v>
      </c>
      <c r="M405" s="3">
        <f t="shared" si="329"/>
        <v>7.3160933045661625E-2</v>
      </c>
      <c r="N405" s="2" t="str">
        <f t="shared" si="312"/>
        <v>0.15</v>
      </c>
      <c r="O405" s="2">
        <f t="shared" si="310"/>
        <v>11.276287872083312</v>
      </c>
      <c r="P405" s="2">
        <f t="shared" si="313"/>
        <v>1358228.8741924348</v>
      </c>
      <c r="Q405" s="2">
        <f t="shared" si="314"/>
        <v>12.989862881827515</v>
      </c>
      <c r="R405" s="2">
        <f t="shared" si="315"/>
        <v>6.3360000000000003</v>
      </c>
      <c r="S405" s="2"/>
      <c r="T405" s="2" t="str">
        <f>VLOOKUP(A405,'[4]CEA vs MERIT comp. &amp; NPA marker'!$C$2:$K$735,9,FALSE)</f>
        <v>Contracted</v>
      </c>
      <c r="U405" s="3">
        <f>VLOOKUP(B405,'[8]Import-Domestic share'!$A$208:$F$406,6,FALSE)</f>
        <v>1</v>
      </c>
      <c r="V405" s="3">
        <f t="shared" si="316"/>
        <v>1358228.8741924348</v>
      </c>
      <c r="W405" s="2">
        <f t="shared" si="317"/>
        <v>3151.0703039404516</v>
      </c>
      <c r="X405" s="2">
        <f t="shared" si="318"/>
        <v>3175.2552013704753</v>
      </c>
      <c r="Y405" s="6">
        <f t="shared" si="319"/>
        <v>0.27292313945663466</v>
      </c>
      <c r="Z405" s="2"/>
      <c r="AA405" s="2">
        <f t="shared" si="320"/>
        <v>2037674.2497273847</v>
      </c>
      <c r="AB405" s="2" t="s">
        <v>576</v>
      </c>
      <c r="AC405" s="12">
        <f>VLOOKUP(B405,[9]Sheet1!$A$2:$B$137,2,FALSE)</f>
        <v>3274.1621759038899</v>
      </c>
      <c r="AD405" s="12">
        <f t="shared" si="321"/>
        <v>1080473.5180482836</v>
      </c>
      <c r="AE405" s="2"/>
      <c r="AF405" s="7">
        <f>VLOOKUP($B405,'[9]Subsidiary wise dispatch'!$A$3:$R$138,11,FALSE)*$H405*$O405*365</f>
        <v>0</v>
      </c>
      <c r="AG405" s="7">
        <f>VLOOKUP($B405,'[9]Subsidiary wise dispatch'!$A$3:$R$138,12,FALSE)*$H405*$O405*365</f>
        <v>0</v>
      </c>
      <c r="AH405" s="7">
        <f>VLOOKUP($B405,'[9]Subsidiary wise dispatch'!$A$3:$R$138,13,FALSE)*$H405*$O405*365</f>
        <v>0</v>
      </c>
      <c r="AI405" s="7">
        <f>VLOOKUP($B405,'[9]Subsidiary wise dispatch'!$A$3:$R$138,14,FALSE)*$H405*$O405*365</f>
        <v>1344346.3936031919</v>
      </c>
      <c r="AJ405" s="7">
        <f>VLOOKUP($B405,'[9]Subsidiary wise dispatch'!$A$3:$R$138,15,FALSE)*$H405*$O405*365</f>
        <v>0</v>
      </c>
      <c r="AK405" s="7">
        <f>VLOOKUP($B405,'[9]Subsidiary wise dispatch'!$A$3:$R$138,16,FALSE)*$H405*$O405*365</f>
        <v>0</v>
      </c>
      <c r="AL405" s="7">
        <f>VLOOKUP($B405,'[9]Subsidiary wise dispatch'!$A$3:$R$138,17,FALSE)*$H405*$O405*365</f>
        <v>13882.480589243069</v>
      </c>
      <c r="AM405" s="7">
        <f>VLOOKUP($B405,'[9]Subsidiary wise dispatch'!$A$3:$R$138,18,FALSE)*$H405*$O405*365</f>
        <v>0</v>
      </c>
      <c r="AN405" s="15">
        <f t="shared" si="322"/>
        <v>1358228.8741924351</v>
      </c>
      <c r="AO405" s="6">
        <v>7.3165418961100362E-2</v>
      </c>
      <c r="AP405" s="11">
        <f t="shared" si="323"/>
        <v>0.42118152001999482</v>
      </c>
      <c r="AQ405" s="11"/>
      <c r="AR405" s="3">
        <f>VLOOKUP(A405,[10]Sheet1!$A$2:$L$542,12,FALSE)</f>
        <v>2.5818872950819598</v>
      </c>
      <c r="AS405" s="3">
        <f t="shared" si="330"/>
        <v>4.0816073392575998</v>
      </c>
      <c r="AT405" s="2"/>
      <c r="AU405" s="2"/>
      <c r="AV405" s="88">
        <f t="shared" si="331"/>
        <v>5.3613794954521753E-2</v>
      </c>
      <c r="AW405" s="32">
        <f t="shared" si="332"/>
        <v>1.3135461228436913E-2</v>
      </c>
      <c r="AX405" s="12">
        <f t="shared" si="324"/>
        <v>857.60544640406351</v>
      </c>
      <c r="AY405" s="12">
        <f t="shared" si="325"/>
        <v>0</v>
      </c>
      <c r="AZ405" s="3">
        <f>VLOOKUP(A405,[5]Analysis!$A$3:$BJ$543,62,FALSE)</f>
        <v>1.5976606285716104</v>
      </c>
      <c r="BA405" s="2"/>
      <c r="BB405" s="2"/>
      <c r="BC405" s="2" t="str">
        <f>VLOOKUP(A405,'[6]FGD status - Jun 2020'!$I$2:$M$449,5,FALSE)</f>
        <v>NIT issued</v>
      </c>
      <c r="BD405" s="2"/>
      <c r="BE405" s="2"/>
      <c r="BF405" s="2">
        <f t="shared" si="326"/>
        <v>1065.9074000323949</v>
      </c>
      <c r="BG405" s="2">
        <f t="shared" si="327"/>
        <v>0</v>
      </c>
      <c r="BH405" s="2">
        <f t="shared" si="346"/>
        <v>115.5</v>
      </c>
      <c r="BI405" s="2">
        <f t="shared" si="347"/>
        <v>26.4</v>
      </c>
      <c r="BK405">
        <f t="shared" si="328"/>
        <v>239.85689209493168</v>
      </c>
      <c r="BL405">
        <f>VLOOKUP(A405,'[11]Daily coal vs energy req.2'!$C$2:$P$599,14,FALSE)</f>
        <v>0.77</v>
      </c>
      <c r="BM405">
        <f>VLOOKUP(A405,'[11]Daily coal vs energy req.2'!$C$2:$R$599,16,FALSE)</f>
        <v>0.91</v>
      </c>
      <c r="BN405">
        <f t="shared" si="344"/>
        <v>254.1</v>
      </c>
      <c r="BO405">
        <f t="shared" si="345"/>
        <v>300.3</v>
      </c>
      <c r="BP405" s="2" t="str">
        <f>VLOOKUP(A405,'[7]Table 2'!$J$2:$N$449,5,FALSE)</f>
        <v>NIT issued</v>
      </c>
      <c r="BR405">
        <f t="shared" si="333"/>
        <v>1065.9074000323949</v>
      </c>
      <c r="BT405">
        <f>(X405*I405*365*[5]Analysis!BK405)/10^4</f>
        <v>1065.9074000323949</v>
      </c>
      <c r="BV405">
        <f>(X405*I405*365*[5]Analysis!BL405)/10^4</f>
        <v>0</v>
      </c>
      <c r="BX405">
        <f t="shared" si="334"/>
        <v>1873552.836754112</v>
      </c>
      <c r="BZ405">
        <f t="shared" si="335"/>
        <v>17389621.328060709</v>
      </c>
      <c r="CB405">
        <f t="shared" si="336"/>
        <v>-451225.53304900893</v>
      </c>
      <c r="CD405">
        <f t="shared" si="337"/>
        <v>-2124428.2278969311</v>
      </c>
      <c r="CF405">
        <f t="shared" si="338"/>
        <v>3751804.0884737545</v>
      </c>
      <c r="CH405">
        <f t="shared" si="339"/>
        <v>433772.00288396771</v>
      </c>
      <c r="CJ405">
        <f t="shared" si="340"/>
        <v>-1143409.3177473599</v>
      </c>
      <c r="CL405">
        <f t="shared" si="341"/>
        <v>1190698.6890834062</v>
      </c>
    </row>
    <row r="406" spans="1:91" x14ac:dyDescent="0.2">
      <c r="A406" s="2" t="s">
        <v>231</v>
      </c>
      <c r="B406" s="2" t="str">
        <f t="shared" si="311"/>
        <v>MUNDRA TPS</v>
      </c>
      <c r="C406" s="2" t="str">
        <f>VLOOKUP($A406,'[1]daily coal, energy reqd'!$C$2:$T$599,17,FALSE)</f>
        <v>Gujarat</v>
      </c>
      <c r="D406" s="2" t="str">
        <f>VLOOKUP(C406,'Target PLF'!$I$2:$J$19,2,FALSE)</f>
        <v>WR</v>
      </c>
      <c r="E406" s="2" t="str">
        <f>VLOOKUP(A406,[2]Ownership!$C$2:$D$666,2,FALSE)</f>
        <v>PVT SECTOR</v>
      </c>
      <c r="F406" s="2" t="s">
        <v>543</v>
      </c>
      <c r="G406" s="12">
        <v>9.7577002053388</v>
      </c>
      <c r="H406" s="2">
        <v>330</v>
      </c>
      <c r="I406" s="2">
        <f>VLOOKUP(A406,'[3]Calculated coal req (reg.)'!$A$2:$I$599,9,FALSE)</f>
        <v>5.7373718952104102</v>
      </c>
      <c r="J406" s="2"/>
      <c r="K406" s="11">
        <v>0.7244156433346477</v>
      </c>
      <c r="L406" s="3">
        <f>VLOOKUP(F406,'Target PLF'!$A$2:$B$11,2,FALSE)</f>
        <v>0.85</v>
      </c>
      <c r="M406" s="3">
        <f t="shared" si="329"/>
        <v>0.12558435666535228</v>
      </c>
      <c r="N406" s="2" t="str">
        <f t="shared" si="312"/>
        <v>0.15</v>
      </c>
      <c r="O406" s="2">
        <f t="shared" si="310"/>
        <v>11.22930167441206</v>
      </c>
      <c r="P406" s="2">
        <f t="shared" si="313"/>
        <v>1352569.3866829327</v>
      </c>
      <c r="Q406" s="2">
        <f t="shared" si="314"/>
        <v>12.976594504004106</v>
      </c>
      <c r="R406" s="2">
        <f t="shared" si="315"/>
        <v>6.7320000000000002</v>
      </c>
      <c r="S406" s="2"/>
      <c r="T406" s="2" t="str">
        <f>VLOOKUP(A406,'[4]CEA vs MERIT comp. &amp; NPA marker'!$C$2:$K$735,9,FALSE)</f>
        <v>Contracted</v>
      </c>
      <c r="U406" s="3">
        <f>VLOOKUP(B406,'[8]Import-Domestic share'!$A$208:$F$406,6,FALSE)</f>
        <v>1</v>
      </c>
      <c r="V406" s="3">
        <f t="shared" si="316"/>
        <v>1352569.3866829327</v>
      </c>
      <c r="W406" s="2">
        <f t="shared" si="317"/>
        <v>3131.3411904537988</v>
      </c>
      <c r="X406" s="2">
        <f t="shared" si="318"/>
        <v>3172.8557619378917</v>
      </c>
      <c r="Y406" s="6">
        <f t="shared" si="319"/>
        <v>0.27464270026587789</v>
      </c>
      <c r="Z406" s="2"/>
      <c r="AA406" s="2">
        <f t="shared" si="320"/>
        <v>2029345.5735563203</v>
      </c>
      <c r="AB406" s="2" t="s">
        <v>576</v>
      </c>
      <c r="AC406" s="12">
        <f>VLOOKUP(B406,[9]Sheet1!$A$2:$B$137,2,FALSE)</f>
        <v>3274.1621759038899</v>
      </c>
      <c r="AD406" s="12">
        <f t="shared" si="321"/>
        <v>1080473.5180482836</v>
      </c>
      <c r="AE406" s="2"/>
      <c r="AF406" s="7">
        <f>VLOOKUP($B406,'[9]Subsidiary wise dispatch'!$A$3:$R$138,11,FALSE)*$H406*$O406*365</f>
        <v>0</v>
      </c>
      <c r="AG406" s="7">
        <f>VLOOKUP($B406,'[9]Subsidiary wise dispatch'!$A$3:$R$138,12,FALSE)*$H406*$O406*365</f>
        <v>0</v>
      </c>
      <c r="AH406" s="7">
        <f>VLOOKUP($B406,'[9]Subsidiary wise dispatch'!$A$3:$R$138,13,FALSE)*$H406*$O406*365</f>
        <v>0</v>
      </c>
      <c r="AI406" s="7">
        <f>VLOOKUP($B406,'[9]Subsidiary wise dispatch'!$A$3:$R$138,14,FALSE)*$H406*$O406*365</f>
        <v>1338744.7518124699</v>
      </c>
      <c r="AJ406" s="7">
        <f>VLOOKUP($B406,'[9]Subsidiary wise dispatch'!$A$3:$R$138,15,FALSE)*$H406*$O406*365</f>
        <v>0</v>
      </c>
      <c r="AK406" s="7">
        <f>VLOOKUP($B406,'[9]Subsidiary wise dispatch'!$A$3:$R$138,16,FALSE)*$H406*$O406*365</f>
        <v>0</v>
      </c>
      <c r="AL406" s="7">
        <f>VLOOKUP($B406,'[9]Subsidiary wise dispatch'!$A$3:$R$138,17,FALSE)*$H406*$O406*365</f>
        <v>13824.634870462834</v>
      </c>
      <c r="AM406" s="7">
        <f>VLOOKUP($B406,'[9]Subsidiary wise dispatch'!$A$3:$R$138,18,FALSE)*$H406*$O406*365</f>
        <v>0</v>
      </c>
      <c r="AN406" s="15">
        <f t="shared" si="322"/>
        <v>1352569.3866829327</v>
      </c>
      <c r="AO406" s="6">
        <v>7.3165418961100362E-2</v>
      </c>
      <c r="AP406" s="11">
        <f t="shared" si="323"/>
        <v>0.41977721844871208</v>
      </c>
      <c r="AQ406" s="11"/>
      <c r="AR406" s="3">
        <f>VLOOKUP(A406,[10]Sheet1!$A$2:$L$542,12,FALSE)</f>
        <v>2.5818872950819598</v>
      </c>
      <c r="AS406" s="3">
        <f t="shared" si="330"/>
        <v>4.0782597170443022</v>
      </c>
      <c r="AT406" s="2"/>
      <c r="AU406" s="2"/>
      <c r="AV406" s="88">
        <f t="shared" si="331"/>
        <v>9.2030728251503463E-2</v>
      </c>
      <c r="AW406" s="32">
        <f t="shared" si="332"/>
        <v>2.2566176417573098E-2</v>
      </c>
      <c r="AX406" s="12">
        <f t="shared" si="324"/>
        <v>854.044982890764</v>
      </c>
      <c r="AY406" s="12">
        <f t="shared" si="325"/>
        <v>0</v>
      </c>
      <c r="AZ406" s="3">
        <f>VLOOKUP(A406,[5]Analysis!$A$3:$BJ$543,62,FALSE)</f>
        <v>1.5976606285716104</v>
      </c>
      <c r="BA406" s="2"/>
      <c r="BB406" s="2"/>
      <c r="BC406" s="2" t="str">
        <f>VLOOKUP(A406,'[6]FGD status - Jun 2020'!$I$2:$M$449,5,FALSE)</f>
        <v>NIT issued</v>
      </c>
      <c r="BD406" s="2"/>
      <c r="BE406" s="2"/>
      <c r="BF406" s="2">
        <f t="shared" si="326"/>
        <v>1061.5506695273111</v>
      </c>
      <c r="BG406" s="2">
        <f t="shared" si="327"/>
        <v>0</v>
      </c>
      <c r="BH406" s="2">
        <f t="shared" si="346"/>
        <v>115.5</v>
      </c>
      <c r="BI406" s="2">
        <f t="shared" si="347"/>
        <v>26.4</v>
      </c>
      <c r="BK406">
        <f t="shared" si="328"/>
        <v>239.05716230043373</v>
      </c>
      <c r="BL406">
        <f>VLOOKUP(A406,'[11]Daily coal vs energy req.2'!$C$2:$P$599,14,FALSE)</f>
        <v>0.85</v>
      </c>
      <c r="BM406">
        <f>VLOOKUP(A406,'[11]Daily coal vs energy req.2'!$C$2:$R$599,16,FALSE)</f>
        <v>0.69</v>
      </c>
      <c r="BN406">
        <f t="shared" si="344"/>
        <v>280.5</v>
      </c>
      <c r="BO406">
        <f t="shared" si="345"/>
        <v>227.7</v>
      </c>
      <c r="BP406" s="2" t="str">
        <f>VLOOKUP(A406,'[7]Table 2'!$J$2:$N$449,5,FALSE)</f>
        <v>NIT issued</v>
      </c>
      <c r="BR406">
        <f t="shared" si="333"/>
        <v>1061.5506695273114</v>
      </c>
      <c r="BT406">
        <f>(X406*I406*365*[5]Analysis!BK406)/10^4</f>
        <v>1061.5506695273114</v>
      </c>
      <c r="BV406">
        <f>(X406*I406*365*[5]Analysis!BL406)/10^4</f>
        <v>0</v>
      </c>
      <c r="BX406">
        <f t="shared" si="334"/>
        <v>1865894.9813001344</v>
      </c>
      <c r="BZ406">
        <f t="shared" si="335"/>
        <v>17331640.929125238</v>
      </c>
      <c r="CB406">
        <f t="shared" si="336"/>
        <v>-448221.60088550393</v>
      </c>
      <c r="CD406">
        <f t="shared" si="337"/>
        <v>-2117344.9686447885</v>
      </c>
      <c r="CF406">
        <f t="shared" si="338"/>
        <v>3739294.8397860662</v>
      </c>
      <c r="CH406">
        <f t="shared" si="339"/>
        <v>414530.23240513762</v>
      </c>
      <c r="CJ406">
        <f t="shared" si="340"/>
        <v>-1139596.9674299583</v>
      </c>
      <c r="CL406">
        <f t="shared" si="341"/>
        <v>1186728.6667521209</v>
      </c>
    </row>
    <row r="407" spans="1:91" x14ac:dyDescent="0.2">
      <c r="A407" s="2" t="s">
        <v>226</v>
      </c>
      <c r="B407" s="2" t="str">
        <f t="shared" si="311"/>
        <v>MUNDRA TPS</v>
      </c>
      <c r="C407" s="2" t="str">
        <f>VLOOKUP($A407,'[1]daily coal, energy reqd'!$C$2:$T$599,17,FALSE)</f>
        <v>Gujarat</v>
      </c>
      <c r="D407" s="2" t="str">
        <f>VLOOKUP(C407,'Target PLF'!$I$2:$J$19,2,FALSE)</f>
        <v>WR</v>
      </c>
      <c r="E407" s="2" t="str">
        <f>VLOOKUP(A407,[2]Ownership!$C$2:$D$666,2,FALSE)</f>
        <v>PVT SECTOR</v>
      </c>
      <c r="F407" s="2" t="s">
        <v>543</v>
      </c>
      <c r="G407" s="12">
        <v>9.4236824093086895</v>
      </c>
      <c r="H407" s="2">
        <v>330</v>
      </c>
      <c r="I407" s="2">
        <f>VLOOKUP(A407,'[3]Calculated coal req (reg.)'!$A$2:$I$599,9,FALSE)</f>
        <v>5.7211063239749196</v>
      </c>
      <c r="J407" s="2"/>
      <c r="K407" s="11">
        <v>0.72236190959279278</v>
      </c>
      <c r="L407" s="3">
        <f>VLOOKUP(F407,'Target PLF'!$A$2:$B$11,2,FALSE)</f>
        <v>0.85</v>
      </c>
      <c r="M407" s="3">
        <f t="shared" si="329"/>
        <v>0.12763809040720719</v>
      </c>
      <c r="N407" s="2" t="str">
        <f t="shared" si="312"/>
        <v>0.15</v>
      </c>
      <c r="O407" s="2">
        <f t="shared" si="310"/>
        <v>11.190147447052254</v>
      </c>
      <c r="P407" s="2">
        <f t="shared" si="313"/>
        <v>1347853.2599974442</v>
      </c>
      <c r="Q407" s="2">
        <f t="shared" si="314"/>
        <v>12.966014490314851</v>
      </c>
      <c r="R407" s="2">
        <f t="shared" si="315"/>
        <v>6.7320000000000002</v>
      </c>
      <c r="S407" s="2"/>
      <c r="T407" s="2" t="str">
        <f>VLOOKUP(A407,'[4]CEA vs MERIT comp. &amp; NPA marker'!$C$2:$K$735,9,FALSE)</f>
        <v>Contracted</v>
      </c>
      <c r="U407" s="3">
        <f>VLOOKUP(B407,'[8]Import-Domestic share'!$A$208:$F$406,6,FALSE)</f>
        <v>1</v>
      </c>
      <c r="V407" s="3">
        <f t="shared" si="316"/>
        <v>1347853.2599974442</v>
      </c>
      <c r="W407" s="2">
        <f t="shared" si="317"/>
        <v>3128.7891151245722</v>
      </c>
      <c r="X407" s="2">
        <f t="shared" si="318"/>
        <v>3170.9825918361912</v>
      </c>
      <c r="Y407" s="6">
        <f t="shared" si="319"/>
        <v>0.27486671947391994</v>
      </c>
      <c r="Z407" s="2"/>
      <c r="AA407" s="2">
        <f t="shared" si="320"/>
        <v>2022397.6603545749</v>
      </c>
      <c r="AB407" s="2" t="s">
        <v>576</v>
      </c>
      <c r="AC407" s="12">
        <f>VLOOKUP(B407,[9]Sheet1!$A$2:$B$137,2,FALSE)</f>
        <v>3274.1621759038899</v>
      </c>
      <c r="AD407" s="12">
        <f t="shared" si="321"/>
        <v>1080473.5180482836</v>
      </c>
      <c r="AE407" s="2"/>
      <c r="AF407" s="7">
        <f>VLOOKUP($B407,'[9]Subsidiary wise dispatch'!$A$3:$R$138,11,FALSE)*$H407*$O407*365</f>
        <v>0</v>
      </c>
      <c r="AG407" s="7">
        <f>VLOOKUP($B407,'[9]Subsidiary wise dispatch'!$A$3:$R$138,12,FALSE)*$H407*$O407*365</f>
        <v>0</v>
      </c>
      <c r="AH407" s="7">
        <f>VLOOKUP($B407,'[9]Subsidiary wise dispatch'!$A$3:$R$138,13,FALSE)*$H407*$O407*365</f>
        <v>0</v>
      </c>
      <c r="AI407" s="7">
        <f>VLOOKUP($B407,'[9]Subsidiary wise dispatch'!$A$3:$R$138,14,FALSE)*$H407*$O407*365</f>
        <v>1334076.8287386196</v>
      </c>
      <c r="AJ407" s="7">
        <f>VLOOKUP($B407,'[9]Subsidiary wise dispatch'!$A$3:$R$138,15,FALSE)*$H407*$O407*365</f>
        <v>0</v>
      </c>
      <c r="AK407" s="7">
        <f>VLOOKUP($B407,'[9]Subsidiary wise dispatch'!$A$3:$R$138,16,FALSE)*$H407*$O407*365</f>
        <v>0</v>
      </c>
      <c r="AL407" s="7">
        <f>VLOOKUP($B407,'[9]Subsidiary wise dispatch'!$A$3:$R$138,17,FALSE)*$H407*$O407*365</f>
        <v>13776.431258824381</v>
      </c>
      <c r="AM407" s="7">
        <f>VLOOKUP($B407,'[9]Subsidiary wise dispatch'!$A$3:$R$138,18,FALSE)*$H407*$O407*365</f>
        <v>0</v>
      </c>
      <c r="AN407" s="15">
        <f t="shared" si="322"/>
        <v>1347853.259997444</v>
      </c>
      <c r="AO407" s="6">
        <v>7.3165418961100362E-2</v>
      </c>
      <c r="AP407" s="11">
        <f t="shared" si="323"/>
        <v>0.41858714111462575</v>
      </c>
      <c r="AQ407" s="11"/>
      <c r="AR407" s="3">
        <f>VLOOKUP(A407,[10]Sheet1!$A$2:$L$542,12,FALSE)</f>
        <v>2.5818872950819598</v>
      </c>
      <c r="AS407" s="3">
        <f t="shared" si="330"/>
        <v>4.0755944823381727</v>
      </c>
      <c r="AT407" s="2"/>
      <c r="AU407" s="2"/>
      <c r="AV407" s="88">
        <f t="shared" si="331"/>
        <v>9.3535745412209576E-2</v>
      </c>
      <c r="AW407" s="32">
        <f t="shared" si="332"/>
        <v>2.2950209059697229E-2</v>
      </c>
      <c r="AX407" s="12">
        <f t="shared" si="324"/>
        <v>851.06719189047067</v>
      </c>
      <c r="AY407" s="12">
        <f t="shared" si="325"/>
        <v>0</v>
      </c>
      <c r="AZ407" s="3">
        <f>VLOOKUP(A407,[5]Analysis!$A$3:$BJ$543,62,FALSE)</f>
        <v>1.5976606285716104</v>
      </c>
      <c r="BA407" s="2"/>
      <c r="BB407" s="2"/>
      <c r="BC407" s="2" t="str">
        <f>VLOOKUP(A407,'[6]FGD status - Jun 2020'!$I$2:$M$449,5,FALSE)</f>
        <v>NIT issued</v>
      </c>
      <c r="BD407" s="2"/>
      <c r="BE407" s="2"/>
      <c r="BF407" s="2">
        <f t="shared" si="326"/>
        <v>1057.9162161314782</v>
      </c>
      <c r="BG407" s="2">
        <f t="shared" si="327"/>
        <v>0</v>
      </c>
      <c r="BH407" s="2">
        <f t="shared" si="346"/>
        <v>115.5</v>
      </c>
      <c r="BI407" s="2">
        <f t="shared" si="347"/>
        <v>26.4</v>
      </c>
      <c r="BK407">
        <f t="shared" si="328"/>
        <v>238.37943016562161</v>
      </c>
      <c r="BL407">
        <f>VLOOKUP(A407,'[11]Daily coal vs energy req.2'!$C$2:$P$599,14,FALSE)</f>
        <v>0.89</v>
      </c>
      <c r="BM407">
        <f>VLOOKUP(A407,'[11]Daily coal vs energy req.2'!$C$2:$R$599,16,FALSE)</f>
        <v>0.81</v>
      </c>
      <c r="BN407">
        <f t="shared" si="344"/>
        <v>293.7</v>
      </c>
      <c r="BO407">
        <f t="shared" si="345"/>
        <v>267.3</v>
      </c>
      <c r="BP407" s="2" t="str">
        <f>VLOOKUP(A407,'[7]Table 2'!$J$2:$N$449,5,FALSE)</f>
        <v>NIT issued</v>
      </c>
      <c r="BR407">
        <f t="shared" si="333"/>
        <v>1057.9162161314782</v>
      </c>
      <c r="BT407">
        <f>(X407*I407*365*[5]Analysis!BK407)/10^4</f>
        <v>1057.9162161314782</v>
      </c>
      <c r="BV407">
        <f>(X407*I407*365*[5]Analysis!BL407)/10^4</f>
        <v>0</v>
      </c>
      <c r="BX407">
        <f t="shared" si="334"/>
        <v>1859506.6773352623</v>
      </c>
      <c r="BZ407">
        <f t="shared" si="335"/>
        <v>17282505.358813688</v>
      </c>
      <c r="CB407">
        <f t="shared" si="336"/>
        <v>-445683.76787195232</v>
      </c>
      <c r="CD407">
        <f t="shared" si="337"/>
        <v>-2111342.2506675301</v>
      </c>
      <c r="CF407">
        <f t="shared" si="338"/>
        <v>3728693.8594595483</v>
      </c>
      <c r="CH407">
        <f t="shared" si="339"/>
        <v>399205.39130062255</v>
      </c>
      <c r="CJ407">
        <f t="shared" si="340"/>
        <v>-1136366.1858121664</v>
      </c>
      <c r="CL407">
        <f t="shared" si="341"/>
        <v>1183364.265765256</v>
      </c>
    </row>
    <row r="408" spans="1:91" s="38" customFormat="1" x14ac:dyDescent="0.2">
      <c r="A408" s="39" t="s">
        <v>300</v>
      </c>
      <c r="B408" s="39" t="str">
        <f t="shared" si="311"/>
        <v>MUZAFFARPUR TPS</v>
      </c>
      <c r="C408" s="39" t="str">
        <f>VLOOKUP($A408,'[1]daily coal, energy reqd'!$C$2:$T$599,17,FALSE)</f>
        <v>Bihar</v>
      </c>
      <c r="D408" s="39" t="str">
        <f>VLOOKUP(C408,'Target PLF'!$I$2:$J$19,2,FALSE)</f>
        <v>ER</v>
      </c>
      <c r="E408" s="39" t="str">
        <f>VLOOKUP(A408,[2]Ownership!$C$2:$D$666,2,FALSE)</f>
        <v>CENTRAL SECTOR</v>
      </c>
      <c r="F408" s="39" t="s">
        <v>543</v>
      </c>
      <c r="G408" s="57">
        <v>6.5051334702258696</v>
      </c>
      <c r="H408" s="39">
        <v>110</v>
      </c>
      <c r="I408" s="39">
        <f>VLOOKUP(A408,'[3]Calculated coal req (reg.)'!$A$2:$I$599,9,FALSE)</f>
        <v>1.1600711039232801</v>
      </c>
      <c r="J408" s="39"/>
      <c r="K408" s="82">
        <v>0.43942087269821217</v>
      </c>
      <c r="L408" s="83">
        <f>VLOOKUP(F408,'Target PLF'!$A$2:$B$11,2,FALSE)</f>
        <v>0.85</v>
      </c>
      <c r="M408" s="3">
        <f t="shared" si="329"/>
        <v>0.41057912730178781</v>
      </c>
      <c r="N408" s="39" t="str">
        <f t="shared" si="312"/>
        <v>0.15</v>
      </c>
      <c r="O408" s="39">
        <f t="shared" si="310"/>
        <v>9.1965479807814408</v>
      </c>
      <c r="P408" s="39">
        <f t="shared" si="313"/>
        <v>369241.40142837481</v>
      </c>
      <c r="Q408" s="39">
        <f t="shared" si="314"/>
        <v>14.909058552669403</v>
      </c>
      <c r="R408" s="39">
        <f t="shared" si="315"/>
        <v>2.2440000000000002</v>
      </c>
      <c r="S408" s="39"/>
      <c r="T408" s="39" t="str">
        <f>VLOOKUP(A408,'[4]CEA vs MERIT comp. &amp; NPA marker'!$C$2:$K$735,9,FALSE)</f>
        <v>Contracted</v>
      </c>
      <c r="U408" s="83">
        <f>VLOOKUP(B408,'[8]Import-Domestic share'!$A$208:$F$406,6,FALSE)</f>
        <v>0</v>
      </c>
      <c r="V408" s="83">
        <f t="shared" si="316"/>
        <v>0</v>
      </c>
      <c r="W408" s="39">
        <f t="shared" si="317"/>
        <v>3084.6975399691992</v>
      </c>
      <c r="X408" s="39">
        <f t="shared" si="318"/>
        <v>3220.4231747763038</v>
      </c>
      <c r="Y408" s="74">
        <f t="shared" si="319"/>
        <v>0.27879556710399139</v>
      </c>
      <c r="Z408" s="39"/>
      <c r="AA408" s="39">
        <f t="shared" si="320"/>
        <v>295167.99641378177</v>
      </c>
      <c r="AB408" s="39" t="s">
        <v>576</v>
      </c>
      <c r="AC408" s="57">
        <f>VLOOKUP(B408,[9]Sheet1!$A$2:$B$137,2,FALSE)</f>
        <v>4619.7784590181791</v>
      </c>
      <c r="AD408" s="57">
        <f t="shared" si="321"/>
        <v>508175.63049199968</v>
      </c>
      <c r="AE408" s="39"/>
      <c r="AF408" s="84">
        <f>VLOOKUP($B408,'[9]Subsidiary wise dispatch'!$A$3:$R$138,11,FALSE)*$H408*$O408*365</f>
        <v>0</v>
      </c>
      <c r="AG408" s="84">
        <f>VLOOKUP($B408,'[9]Subsidiary wise dispatch'!$A$3:$R$138,12,FALSE)*$H408*$O408*365</f>
        <v>301934.16753657989</v>
      </c>
      <c r="AH408" s="84">
        <f>VLOOKUP($B408,'[9]Subsidiary wise dispatch'!$A$3:$R$138,13,FALSE)*$H408*$O408*365</f>
        <v>67307.233891795011</v>
      </c>
      <c r="AI408" s="84">
        <f>VLOOKUP($B408,'[9]Subsidiary wise dispatch'!$A$3:$R$138,14,FALSE)*$H408*$O408*365</f>
        <v>0</v>
      </c>
      <c r="AJ408" s="84">
        <f>VLOOKUP($B408,'[9]Subsidiary wise dispatch'!$A$3:$R$138,15,FALSE)*$H408*$O408*365</f>
        <v>0</v>
      </c>
      <c r="AK408" s="84">
        <f>VLOOKUP($B408,'[9]Subsidiary wise dispatch'!$A$3:$R$138,16,FALSE)*$H408*$O408*365</f>
        <v>0</v>
      </c>
      <c r="AL408" s="84">
        <f>VLOOKUP($B408,'[9]Subsidiary wise dispatch'!$A$3:$R$138,17,FALSE)*$H408*$O408*365</f>
        <v>0</v>
      </c>
      <c r="AM408" s="84">
        <f>VLOOKUP($B408,'[9]Subsidiary wise dispatch'!$A$3:$R$138,18,FALSE)*$H408*$O408*365</f>
        <v>0</v>
      </c>
      <c r="AN408" s="85">
        <f t="shared" si="322"/>
        <v>369241.40142837493</v>
      </c>
      <c r="AO408" s="74">
        <v>9.4599688742977306E-2</v>
      </c>
      <c r="AP408" s="82">
        <f t="shared" si="323"/>
        <v>0.10974236535086437</v>
      </c>
      <c r="AQ408" s="82"/>
      <c r="AR408" s="83">
        <f>VLOOKUP(A408,[10]Sheet1!$A$2:$L$542,12,FALSE)</f>
        <v>3.3885559566787098</v>
      </c>
      <c r="AS408" s="3">
        <f t="shared" si="330"/>
        <v>2.5961957496127379</v>
      </c>
      <c r="AT408" s="39"/>
      <c r="AU408" s="39"/>
      <c r="AV408" s="88">
        <f t="shared" si="331"/>
        <v>0.30088059606929612</v>
      </c>
      <c r="AW408" s="32">
        <f t="shared" si="332"/>
        <v>0.11589287753597818</v>
      </c>
      <c r="AX408" s="57">
        <f t="shared" si="324"/>
        <v>109.92966592777744</v>
      </c>
      <c r="AY408" s="57">
        <f t="shared" si="325"/>
        <v>0</v>
      </c>
      <c r="AZ408" s="3">
        <f>VLOOKUP(A408,[5]Analysis!$A$3:$BJ$543,62,FALSE)</f>
        <v>0.72190287682374155</v>
      </c>
      <c r="BA408" s="86">
        <v>182.3</v>
      </c>
      <c r="BB408" s="39"/>
      <c r="BC408" s="39" t="str">
        <f>VLOOKUP(A408,'[6]FGD status - Jun 2020'!$I$2:$M$449,5,FALSE)</f>
        <v>NIT issued</v>
      </c>
      <c r="BD408" s="39" t="str">
        <f>VLOOKUP(A408,'[1]daily coal, energy reqd'!$C$2:$L$599,10,FALSE)</f>
        <v>Y</v>
      </c>
      <c r="BE408" s="39"/>
      <c r="BF408" s="39">
        <f t="shared" si="326"/>
        <v>91.354494890065453</v>
      </c>
      <c r="BG408" s="39">
        <f t="shared" si="327"/>
        <v>0</v>
      </c>
      <c r="BH408" s="39">
        <f t="shared" si="346"/>
        <v>38.5</v>
      </c>
      <c r="BI408" s="39">
        <f t="shared" si="347"/>
        <v>8.8000000000000007</v>
      </c>
      <c r="BK408" s="38">
        <f t="shared" si="328"/>
        <v>48.336295996803337</v>
      </c>
      <c r="BP408" s="39" t="str">
        <f>VLOOKUP(A408,'[7]Table 2'!$J$2:$N$449,5,FALSE)</f>
        <v>NIT issued</v>
      </c>
      <c r="BR408">
        <f t="shared" si="333"/>
        <v>98.439452446510998</v>
      </c>
      <c r="BS408"/>
      <c r="BT408">
        <f>(X408*I408*365*[5]Analysis!BK408)/10^4</f>
        <v>61.464427468607248</v>
      </c>
      <c r="BU408"/>
      <c r="BV408">
        <f>(X408*I408*365*[5]Analysis!BL408)/10^4</f>
        <v>36.97502497790375</v>
      </c>
      <c r="BW408"/>
      <c r="BX408">
        <f t="shared" si="334"/>
        <v>382931.78641494323</v>
      </c>
      <c r="BY408"/>
      <c r="BZ408">
        <f t="shared" si="335"/>
        <v>1583454.2861417502</v>
      </c>
      <c r="CA408"/>
      <c r="CB408">
        <f t="shared" si="336"/>
        <v>-54973.989108088339</v>
      </c>
      <c r="CC408"/>
      <c r="CD408">
        <f t="shared" si="337"/>
        <v>0</v>
      </c>
      <c r="CE408"/>
      <c r="CF408">
        <f t="shared" si="338"/>
        <v>756068.80151982233</v>
      </c>
      <c r="CG408"/>
      <c r="CH408">
        <f t="shared" si="339"/>
        <v>55877.447386348569</v>
      </c>
      <c r="CI408"/>
      <c r="CJ408">
        <f t="shared" si="340"/>
        <v>-76807.147719656452</v>
      </c>
      <c r="CK408"/>
      <c r="CL408">
        <f t="shared" si="341"/>
        <v>310246.49551096908</v>
      </c>
      <c r="CM408"/>
    </row>
    <row r="409" spans="1:91" s="38" customFormat="1" x14ac:dyDescent="0.2">
      <c r="A409" s="39" t="s">
        <v>287</v>
      </c>
      <c r="B409" s="39" t="str">
        <f t="shared" si="311"/>
        <v>MUZAFFARPUR TPS</v>
      </c>
      <c r="C409" s="39" t="str">
        <f>VLOOKUP($A409,'[1]daily coal, energy reqd'!$C$2:$T$599,17,FALSE)</f>
        <v>Bihar</v>
      </c>
      <c r="D409" s="39" t="str">
        <f>VLOOKUP(C409,'Target PLF'!$I$2:$J$19,2,FALSE)</f>
        <v>ER</v>
      </c>
      <c r="E409" s="39" t="str">
        <f>VLOOKUP(A409,[2]Ownership!$C$2:$D$666,2,FALSE)</f>
        <v>CENTRAL SECTOR</v>
      </c>
      <c r="F409" s="39" t="s">
        <v>543</v>
      </c>
      <c r="G409" s="57">
        <v>5.5058179329226498</v>
      </c>
      <c r="H409" s="39">
        <v>110</v>
      </c>
      <c r="I409" s="39">
        <f>VLOOKUP(A409,'[3]Calculated coal req (reg.)'!$A$2:$I$599,9,FALSE)</f>
        <v>0.87331513167899399</v>
      </c>
      <c r="J409" s="39"/>
      <c r="K409" s="82">
        <v>0.33080118624204319</v>
      </c>
      <c r="L409" s="83">
        <f>VLOOKUP(F409,'Target PLF'!$A$2:$B$11,2,FALSE)</f>
        <v>0.85</v>
      </c>
      <c r="M409" s="3">
        <f t="shared" si="329"/>
        <v>0.51919881375795685</v>
      </c>
      <c r="N409" s="39" t="str">
        <f t="shared" si="312"/>
        <v>0.15</v>
      </c>
      <c r="O409" s="39">
        <f t="shared" si="310"/>
        <v>7.6536363775667446</v>
      </c>
      <c r="P409" s="39">
        <f t="shared" si="313"/>
        <v>307293.50055930478</v>
      </c>
      <c r="Q409" s="39">
        <f t="shared" si="314"/>
        <v>14.877405233025323</v>
      </c>
      <c r="R409" s="39">
        <f t="shared" si="315"/>
        <v>2.2440000000000002</v>
      </c>
      <c r="S409" s="39"/>
      <c r="T409" s="39" t="str">
        <f>VLOOKUP(A409,'[4]CEA vs MERIT comp. &amp; NPA marker'!$C$2:$K$735,9,FALSE)</f>
        <v>Contracted</v>
      </c>
      <c r="U409" s="83">
        <f>VLOOKUP(B409,'[8]Import-Domestic share'!$A$208:$F$406,6,FALSE)</f>
        <v>0</v>
      </c>
      <c r="V409" s="83">
        <f t="shared" si="316"/>
        <v>0</v>
      </c>
      <c r="W409" s="39">
        <f t="shared" si="317"/>
        <v>3077.0622326317589</v>
      </c>
      <c r="X409" s="39">
        <f t="shared" si="318"/>
        <v>3248.6944075343031</v>
      </c>
      <c r="Y409" s="74">
        <f t="shared" si="319"/>
        <v>0.2794873600149636</v>
      </c>
      <c r="Z409" s="39"/>
      <c r="AA409" s="39">
        <f t="shared" si="320"/>
        <v>224156.61561611161</v>
      </c>
      <c r="AB409" s="39" t="s">
        <v>576</v>
      </c>
      <c r="AC409" s="57">
        <f>VLOOKUP(B409,[9]Sheet1!$A$2:$B$137,2,FALSE)</f>
        <v>4619.7784590181791</v>
      </c>
      <c r="AD409" s="57">
        <f t="shared" si="321"/>
        <v>508175.63049199968</v>
      </c>
      <c r="AE409" s="39"/>
      <c r="AF409" s="84">
        <f>VLOOKUP($B409,'[9]Subsidiary wise dispatch'!$A$3:$R$138,11,FALSE)*$H409*$O409*365</f>
        <v>0</v>
      </c>
      <c r="AG409" s="84">
        <f>VLOOKUP($B409,'[9]Subsidiary wise dispatch'!$A$3:$R$138,12,FALSE)*$H409*$O409*365</f>
        <v>251278.4506879657</v>
      </c>
      <c r="AH409" s="84">
        <f>VLOOKUP($B409,'[9]Subsidiary wise dispatch'!$A$3:$R$138,13,FALSE)*$H409*$O409*365</f>
        <v>56015.049871339121</v>
      </c>
      <c r="AI409" s="84">
        <f>VLOOKUP($B409,'[9]Subsidiary wise dispatch'!$A$3:$R$138,14,FALSE)*$H409*$O409*365</f>
        <v>0</v>
      </c>
      <c r="AJ409" s="84">
        <f>VLOOKUP($B409,'[9]Subsidiary wise dispatch'!$A$3:$R$138,15,FALSE)*$H409*$O409*365</f>
        <v>0</v>
      </c>
      <c r="AK409" s="84">
        <f>VLOOKUP($B409,'[9]Subsidiary wise dispatch'!$A$3:$R$138,16,FALSE)*$H409*$O409*365</f>
        <v>0</v>
      </c>
      <c r="AL409" s="84">
        <f>VLOOKUP($B409,'[9]Subsidiary wise dispatch'!$A$3:$R$138,17,FALSE)*$H409*$O409*365</f>
        <v>0</v>
      </c>
      <c r="AM409" s="84">
        <f>VLOOKUP($B409,'[9]Subsidiary wise dispatch'!$A$3:$R$138,18,FALSE)*$H409*$O409*365</f>
        <v>0</v>
      </c>
      <c r="AN409" s="85">
        <f t="shared" si="322"/>
        <v>307293.50055930484</v>
      </c>
      <c r="AO409" s="74">
        <v>9.4599688742977306E-2</v>
      </c>
      <c r="AP409" s="82">
        <f t="shared" si="323"/>
        <v>8.2615339631365067E-2</v>
      </c>
      <c r="AQ409" s="82"/>
      <c r="AR409" s="83">
        <f>VLOOKUP(A409,[10]Sheet1!$A$2:$L$542,12,FALSE)</f>
        <v>3.3885559566787098</v>
      </c>
      <c r="AS409" s="3">
        <f t="shared" si="330"/>
        <v>2.5916941190744716</v>
      </c>
      <c r="AT409" s="39"/>
      <c r="AU409" s="39"/>
      <c r="AV409" s="88">
        <f t="shared" si="331"/>
        <v>0.38047927469810594</v>
      </c>
      <c r="AW409" s="32">
        <f t="shared" si="332"/>
        <v>0.14680716829113311</v>
      </c>
      <c r="AX409" s="57">
        <f t="shared" si="324"/>
        <v>82.612847716798669</v>
      </c>
      <c r="AY409" s="57">
        <f t="shared" si="325"/>
        <v>0</v>
      </c>
      <c r="AZ409" s="3">
        <f>VLOOKUP(A409,[5]Analysis!$A$3:$BJ$543,62,FALSE)</f>
        <v>0.72190287682374155</v>
      </c>
      <c r="BA409" s="39"/>
      <c r="BB409" s="39"/>
      <c r="BC409" s="39" t="str">
        <f>VLOOKUP(A409,'[6]FGD status - Jun 2020'!$I$2:$M$449,5,FALSE)</f>
        <v>NIT issued</v>
      </c>
      <c r="BD409" s="39" t="str">
        <f>VLOOKUP(A409,'[1]daily coal, energy reqd'!$C$2:$L$599,10,FALSE)</f>
        <v>Y</v>
      </c>
      <c r="BE409" s="39"/>
      <c r="BF409" s="39">
        <f t="shared" si="326"/>
        <v>69.376472533186544</v>
      </c>
      <c r="BG409" s="39">
        <f t="shared" si="327"/>
        <v>0</v>
      </c>
      <c r="BH409" s="39">
        <f t="shared" si="346"/>
        <v>38.5</v>
      </c>
      <c r="BI409" s="39">
        <f t="shared" si="347"/>
        <v>8.8000000000000007</v>
      </c>
      <c r="BK409" s="38">
        <f t="shared" si="328"/>
        <v>36.388130486624753</v>
      </c>
      <c r="BP409" s="39" t="str">
        <f>VLOOKUP(A409,'[7]Table 2'!$J$2:$N$449,5,FALSE)</f>
        <v>NIT issued</v>
      </c>
      <c r="BR409">
        <f t="shared" si="333"/>
        <v>74.756934259837593</v>
      </c>
      <c r="BS409"/>
      <c r="BT409">
        <f>(X409*I409*365*[5]Analysis!BK409)/10^4</f>
        <v>46.677343782320939</v>
      </c>
      <c r="BU409"/>
      <c r="BV409">
        <f>(X409*I409*365*[5]Analysis!BL409)/10^4</f>
        <v>28.079590477516646</v>
      </c>
      <c r="BW409"/>
      <c r="BX409">
        <f t="shared" si="334"/>
        <v>290806.23339081468</v>
      </c>
      <c r="BY409"/>
      <c r="BZ409">
        <f t="shared" si="335"/>
        <v>1192042.9564470933</v>
      </c>
      <c r="CA409"/>
      <c r="CB409">
        <f t="shared" si="336"/>
        <v>-31155.161296434995</v>
      </c>
      <c r="CC409"/>
      <c r="CD409">
        <f t="shared" si="337"/>
        <v>0</v>
      </c>
      <c r="CE409"/>
      <c r="CF409">
        <f t="shared" si="338"/>
        <v>569177.4605234284</v>
      </c>
      <c r="CG409"/>
      <c r="CH409">
        <f t="shared" si="339"/>
        <v>35603.161850381643</v>
      </c>
      <c r="CI409"/>
      <c r="CJ409">
        <f t="shared" si="340"/>
        <v>-57821.321553334521</v>
      </c>
      <c r="CK409"/>
      <c r="CL409">
        <f t="shared" si="341"/>
        <v>233557.20021281284</v>
      </c>
      <c r="CM409"/>
    </row>
    <row r="410" spans="1:91" x14ac:dyDescent="0.2">
      <c r="A410" s="2" t="s">
        <v>251</v>
      </c>
      <c r="B410" s="2" t="str">
        <f t="shared" si="311"/>
        <v>MUZAFFARPUR TPS</v>
      </c>
      <c r="C410" s="2" t="str">
        <f>VLOOKUP($A410,'[1]daily coal, energy reqd'!$C$2:$T$599,17,FALSE)</f>
        <v>Bihar</v>
      </c>
      <c r="D410" s="2" t="str">
        <f>VLOOKUP(C410,'Target PLF'!$I$2:$J$19,2,FALSE)</f>
        <v>ER</v>
      </c>
      <c r="E410" s="2" t="str">
        <f>VLOOKUP(A410,[2]Ownership!$C$2:$D$666,2,FALSE)</f>
        <v>CENTRAL SECTOR</v>
      </c>
      <c r="F410" s="2" t="s">
        <v>543</v>
      </c>
      <c r="G410" s="12">
        <v>5.1772758384667998</v>
      </c>
      <c r="H410" s="2">
        <v>195</v>
      </c>
      <c r="I410" s="2">
        <f>VLOOKUP(A410,'[3]Calculated coal req (reg.)'!$A$2:$I$599,9,FALSE)</f>
        <v>2.81276400728578</v>
      </c>
      <c r="J410" s="2"/>
      <c r="K410" s="11">
        <v>0.60101795027473925</v>
      </c>
      <c r="L410" s="3">
        <f>VLOOKUP(F410,'Target PLF'!$A$2:$B$11,2,FALSE)</f>
        <v>0.85</v>
      </c>
      <c r="M410" s="3">
        <f t="shared" si="329"/>
        <v>0.24898204972526072</v>
      </c>
      <c r="N410" s="2" t="str">
        <f t="shared" si="312"/>
        <v>0.15</v>
      </c>
      <c r="O410" s="2">
        <f t="shared" si="310"/>
        <v>10.960165209740966</v>
      </c>
      <c r="P410" s="2">
        <f t="shared" si="313"/>
        <v>780089.75880331325</v>
      </c>
      <c r="Q410" s="2">
        <f t="shared" si="314"/>
        <v>14.424327162183435</v>
      </c>
      <c r="R410" s="2">
        <f t="shared" si="315"/>
        <v>3.9780000000000002</v>
      </c>
      <c r="S410" s="2"/>
      <c r="T410" s="2" t="str">
        <f>VLOOKUP(A410,'[4]CEA vs MERIT comp. &amp; NPA marker'!$C$2:$K$735,9,FALSE)</f>
        <v>Contracted</v>
      </c>
      <c r="U410" s="3">
        <f>VLOOKUP(B410,'[8]Import-Domestic share'!$A$208:$F$406,6,FALSE)</f>
        <v>0</v>
      </c>
      <c r="V410" s="3">
        <f t="shared" si="316"/>
        <v>0</v>
      </c>
      <c r="W410" s="2">
        <f t="shared" si="317"/>
        <v>2995.863899103012</v>
      </c>
      <c r="X410" s="2">
        <f t="shared" si="318"/>
        <v>3078.1701940591511</v>
      </c>
      <c r="Y410" s="6">
        <f t="shared" si="319"/>
        <v>0.2870624397381642</v>
      </c>
      <c r="Z410" s="2"/>
      <c r="AA410" s="2">
        <f t="shared" si="320"/>
        <v>684065.42403251608</v>
      </c>
      <c r="AB410" s="2" t="s">
        <v>576</v>
      </c>
      <c r="AC410" s="12">
        <f>VLOOKUP(B410,[9]Sheet1!$A$2:$B$137,2,FALSE)</f>
        <v>4619.7784590181791</v>
      </c>
      <c r="AD410" s="12">
        <f t="shared" si="321"/>
        <v>900856.79950854497</v>
      </c>
      <c r="AE410" s="2"/>
      <c r="AF410" s="7">
        <f>VLOOKUP($B410,'[9]Subsidiary wise dispatch'!$A$3:$R$138,11,FALSE)*$H410*$O410*365</f>
        <v>0</v>
      </c>
      <c r="AG410" s="7">
        <f>VLOOKUP($B410,'[9]Subsidiary wise dispatch'!$A$3:$R$138,12,FALSE)*$H410*$O410*365</f>
        <v>637890.95972700347</v>
      </c>
      <c r="AH410" s="7">
        <f>VLOOKUP($B410,'[9]Subsidiary wise dispatch'!$A$3:$R$138,13,FALSE)*$H410*$O410*365</f>
        <v>142198.79907630986</v>
      </c>
      <c r="AI410" s="7">
        <f>VLOOKUP($B410,'[9]Subsidiary wise dispatch'!$A$3:$R$138,14,FALSE)*$H410*$O410*365</f>
        <v>0</v>
      </c>
      <c r="AJ410" s="7">
        <f>VLOOKUP($B410,'[9]Subsidiary wise dispatch'!$A$3:$R$138,15,FALSE)*$H410*$O410*365</f>
        <v>0</v>
      </c>
      <c r="AK410" s="7">
        <f>VLOOKUP($B410,'[9]Subsidiary wise dispatch'!$A$3:$R$138,16,FALSE)*$H410*$O410*365</f>
        <v>0</v>
      </c>
      <c r="AL410" s="7">
        <f>VLOOKUP($B410,'[9]Subsidiary wise dispatch'!$A$3:$R$138,17,FALSE)*$H410*$O410*365</f>
        <v>0</v>
      </c>
      <c r="AM410" s="7">
        <f>VLOOKUP($B410,'[9]Subsidiary wise dispatch'!$A$3:$R$138,18,FALSE)*$H410*$O410*365</f>
        <v>0</v>
      </c>
      <c r="AN410" s="15">
        <f t="shared" si="322"/>
        <v>780089.75880331337</v>
      </c>
      <c r="AO410" s="6">
        <v>9.4599688742977306E-2</v>
      </c>
      <c r="AP410" s="11">
        <f t="shared" si="323"/>
        <v>0.26608659959668435</v>
      </c>
      <c r="AQ410" s="11"/>
      <c r="AR410" s="3">
        <f>VLOOKUP(A410,[10]Sheet1!$A$2:$L$542,12,FALSE)</f>
        <v>2.68938639281129</v>
      </c>
      <c r="AS410" s="3">
        <f t="shared" si="330"/>
        <v>2.52062119725487</v>
      </c>
      <c r="AT410" s="2"/>
      <c r="AU410" s="2"/>
      <c r="AV410" s="88">
        <f t="shared" si="331"/>
        <v>0.18245902567966557</v>
      </c>
      <c r="AW410" s="32">
        <f t="shared" si="332"/>
        <v>7.2386531494052345E-2</v>
      </c>
      <c r="AX410" s="12">
        <f t="shared" si="324"/>
        <v>258.78180915686323</v>
      </c>
      <c r="AY410" s="12">
        <f t="shared" si="325"/>
        <v>0</v>
      </c>
      <c r="AZ410" s="3">
        <f>VLOOKUP(A410,[5]Analysis!$A$3:$BJ$543,62,FALSE)</f>
        <v>0.72190287682374155</v>
      </c>
      <c r="BA410" s="39"/>
      <c r="BB410" s="2"/>
      <c r="BC410" s="2" t="str">
        <f>VLOOKUP(A410,'[6]FGD status - Jun 2020'!$I$2:$M$449,5,FALSE)</f>
        <v>NIT issued</v>
      </c>
      <c r="BD410" s="2"/>
      <c r="BE410" s="2"/>
      <c r="BF410" s="2">
        <f t="shared" si="326"/>
        <v>211.71824873806372</v>
      </c>
      <c r="BG410" s="2">
        <f t="shared" si="327"/>
        <v>0</v>
      </c>
      <c r="BH410" s="2">
        <f t="shared" si="346"/>
        <v>68.25</v>
      </c>
      <c r="BI410" s="2">
        <f t="shared" si="347"/>
        <v>15.6</v>
      </c>
      <c r="BK410">
        <f t="shared" si="328"/>
        <v>117.19850030357415</v>
      </c>
      <c r="BL410" t="str">
        <f>VLOOKUP(A410,'[11]Daily coal vs energy req.2'!$C$2:$P$599,14,FALSE)</f>
        <v/>
      </c>
      <c r="BM410" t="str">
        <f>VLOOKUP(A410,'[11]Daily coal vs energy req.2'!$C$2:$R$599,16,FALSE)</f>
        <v/>
      </c>
      <c r="BP410" s="2" t="str">
        <f>VLOOKUP(A410,'[7]Table 2'!$J$2:$N$449,5,FALSE)</f>
        <v>NIT issued</v>
      </c>
      <c r="BR410">
        <f t="shared" si="333"/>
        <v>228.13796413399749</v>
      </c>
      <c r="BT410">
        <f>(X410*I410*365*[5]Analysis!BK410)/10^4</f>
        <v>142.44664106567578</v>
      </c>
      <c r="BV410">
        <f>(X410*I410*365*[5]Analysis!BL410)/10^4</f>
        <v>85.691323068321722</v>
      </c>
      <c r="BX410">
        <f t="shared" si="334"/>
        <v>887462.04884031997</v>
      </c>
      <c r="BZ410">
        <f t="shared" si="335"/>
        <v>3839319.166022832</v>
      </c>
      <c r="CB410">
        <f t="shared" si="336"/>
        <v>-182310.92719232212</v>
      </c>
      <c r="CD410">
        <f t="shared" si="337"/>
        <v>0</v>
      </c>
      <c r="CF410">
        <f t="shared" si="338"/>
        <v>1833200.6587824598</v>
      </c>
      <c r="CH410">
        <f t="shared" si="339"/>
        <v>107827.69904140396</v>
      </c>
      <c r="CJ410">
        <f t="shared" si="340"/>
        <v>-330135.51791713561</v>
      </c>
      <c r="CL410">
        <f t="shared" si="341"/>
        <v>752238.52487020893</v>
      </c>
    </row>
    <row r="411" spans="1:91" x14ac:dyDescent="0.2">
      <c r="A411" s="2" t="s">
        <v>509</v>
      </c>
      <c r="B411" s="2" t="str">
        <f t="shared" si="311"/>
        <v>NASIK TPS</v>
      </c>
      <c r="C411" s="2" t="str">
        <f>VLOOKUP($A411,'[1]daily coal, energy reqd'!$C$2:$T$599,17,FALSE)</f>
        <v>Maharashtra</v>
      </c>
      <c r="D411" s="2" t="str">
        <f>VLOOKUP(C411,'Target PLF'!$I$2:$J$19,2,FALSE)</f>
        <v>WR</v>
      </c>
      <c r="E411" s="2" t="str">
        <f>VLOOKUP(A411,[2]Ownership!$C$2:$D$666,2,FALSE)</f>
        <v>STATE SECTOR</v>
      </c>
      <c r="F411" s="2" t="s">
        <v>550</v>
      </c>
      <c r="G411" s="12">
        <v>41.0924024640657</v>
      </c>
      <c r="H411" s="2">
        <v>210</v>
      </c>
      <c r="I411" s="2">
        <f>VLOOKUP(A411,'[3]Calculated coal req (reg.)'!$A$2:$I$599,9,FALSE)</f>
        <v>2.1689763206031398</v>
      </c>
      <c r="J411" s="2"/>
      <c r="K411" s="11">
        <v>0.43035244456411503</v>
      </c>
      <c r="L411" s="3">
        <f>VLOOKUP(F411,'Target PLF'!$A$2:$B$11,2,FALSE)</f>
        <v>0.55000000000000004</v>
      </c>
      <c r="M411" s="3">
        <f t="shared" si="329"/>
        <v>0.11964755543588501</v>
      </c>
      <c r="N411" s="2" t="str">
        <f t="shared" si="312"/>
        <v>0.25</v>
      </c>
      <c r="O411" s="2">
        <f t="shared" si="310"/>
        <v>9.6162282650031834</v>
      </c>
      <c r="P411" s="2">
        <f t="shared" si="313"/>
        <v>737083.89651249407</v>
      </c>
      <c r="Q411" s="2">
        <f t="shared" si="314"/>
        <v>15.454910598049279</v>
      </c>
      <c r="R411" s="2">
        <f t="shared" si="315"/>
        <v>2.7719999999999998</v>
      </c>
      <c r="S411" s="2"/>
      <c r="T411" s="2" t="str">
        <f>VLOOKUP(A411,'[4]CEA vs MERIT comp. &amp; NPA marker'!$C$2:$K$735,9,FALSE)</f>
        <v>Contracted</v>
      </c>
      <c r="U411" s="3">
        <f>VLOOKUP(B411,'[8]Import-Domestic share'!$A$208:$F$406,6,FALSE)</f>
        <v>0</v>
      </c>
      <c r="V411" s="3">
        <f t="shared" si="316"/>
        <v>0</v>
      </c>
      <c r="W411" s="2">
        <f t="shared" si="317"/>
        <v>3355.5599784455853</v>
      </c>
      <c r="X411" s="2">
        <f t="shared" si="318"/>
        <v>3395.1120144230922</v>
      </c>
      <c r="Y411" s="6">
        <f t="shared" si="319"/>
        <v>0.25629105291641446</v>
      </c>
      <c r="Z411" s="2"/>
      <c r="AA411" s="2">
        <f t="shared" si="320"/>
        <v>615463.28481141839</v>
      </c>
      <c r="AB411" s="2" t="s">
        <v>576</v>
      </c>
      <c r="AC411" s="12">
        <f>VLOOKUP(B411,[9]Sheet1!$A$2:$B$137,2,FALSE)</f>
        <v>4367.1653169000492</v>
      </c>
      <c r="AD411" s="12">
        <f t="shared" si="321"/>
        <v>917104.71654901037</v>
      </c>
      <c r="AE411" s="2"/>
      <c r="AF411" s="7">
        <f>VLOOKUP($B411,'[9]Subsidiary wise dispatch'!$A$3:$R$138,11,FALSE)*$H411*$O411*365</f>
        <v>0</v>
      </c>
      <c r="AG411" s="7">
        <f>VLOOKUP($B411,'[9]Subsidiary wise dispatch'!$A$3:$R$138,12,FALSE)*$H411*$O411*365</f>
        <v>0</v>
      </c>
      <c r="AH411" s="7">
        <f>VLOOKUP($B411,'[9]Subsidiary wise dispatch'!$A$3:$R$138,13,FALSE)*$H411*$O411*365</f>
        <v>0</v>
      </c>
      <c r="AI411" s="7">
        <f>VLOOKUP($B411,'[9]Subsidiary wise dispatch'!$A$3:$R$138,14,FALSE)*$H411*$O411*365</f>
        <v>0</v>
      </c>
      <c r="AJ411" s="7">
        <f>VLOOKUP($B411,'[9]Subsidiary wise dispatch'!$A$3:$R$138,15,FALSE)*$H411*$O411*365</f>
        <v>0</v>
      </c>
      <c r="AK411" s="7">
        <f>VLOOKUP($B411,'[9]Subsidiary wise dispatch'!$A$3:$R$138,16,FALSE)*$H411*$O411*365</f>
        <v>0</v>
      </c>
      <c r="AL411" s="7">
        <f>VLOOKUP($B411,'[9]Subsidiary wise dispatch'!$A$3:$R$138,17,FALSE)*$H411*$O411*365</f>
        <v>24893.000781446073</v>
      </c>
      <c r="AM411" s="7">
        <f>VLOOKUP($B411,'[9]Subsidiary wise dispatch'!$A$3:$R$138,18,FALSE)*$H411*$O411*365</f>
        <v>712190.89573104796</v>
      </c>
      <c r="AN411" s="15">
        <f t="shared" si="322"/>
        <v>737083.89651249407</v>
      </c>
      <c r="AO411" s="6">
        <v>0.10328378773749107</v>
      </c>
      <c r="AP411" s="11">
        <f t="shared" si="323"/>
        <v>0.22402008990481909</v>
      </c>
      <c r="AQ411" s="11"/>
      <c r="AR411" s="3">
        <f>VLOOKUP(A411,[10]Sheet1!$A$2:$L$542,12,FALSE)</f>
        <v>3.27290109890115</v>
      </c>
      <c r="AS411" s="3">
        <f t="shared" si="330"/>
        <v>3.0355834624785958</v>
      </c>
      <c r="AT411" s="2"/>
      <c r="AU411" s="2"/>
      <c r="AV411" s="88">
        <f t="shared" si="331"/>
        <v>8.768012157452526E-2</v>
      </c>
      <c r="AW411" s="32">
        <f t="shared" si="332"/>
        <v>2.8884108329847478E-2</v>
      </c>
      <c r="AX411" s="12">
        <f t="shared" si="324"/>
        <v>240.31996570056558</v>
      </c>
      <c r="AY411" s="12">
        <f t="shared" si="325"/>
        <v>0</v>
      </c>
      <c r="AZ411" s="3">
        <f>VLOOKUP(A411,[5]Analysis!$A$3:$BJ$543,62,FALSE)</f>
        <v>0.82821868934569876</v>
      </c>
      <c r="BA411" s="2">
        <f>332.68/3</f>
        <v>110.89333333333333</v>
      </c>
      <c r="BB411" s="2"/>
      <c r="BC411" s="2" t="str">
        <f>VLOOKUP(A411,'[6]FGD status - Jun 2020'!$I$2:$M$449,5,FALSE)</f>
        <v>Feasiblity Study Carried Out</v>
      </c>
      <c r="BD411" s="2">
        <f>VLOOKUP(A411,'[1]daily coal, energy reqd'!$C$2:$L$599,10,FALSE)</f>
        <v>0</v>
      </c>
      <c r="BE411" s="2" t="str">
        <f>VLOOKUP(A411,'[1]daily coal, energy reqd'!$C$2:$M$599,11,FALSE)</f>
        <v>Y</v>
      </c>
      <c r="BF411" s="2">
        <f t="shared" si="326"/>
        <v>190.48588664913399</v>
      </c>
      <c r="BG411" s="2">
        <f t="shared" si="327"/>
        <v>0</v>
      </c>
      <c r="BH411" s="2">
        <f t="shared" si="346"/>
        <v>31.5</v>
      </c>
      <c r="BI411" s="2">
        <f t="shared" si="347"/>
        <v>16.8</v>
      </c>
      <c r="BK411">
        <f t="shared" si="328"/>
        <v>90.374013358464154</v>
      </c>
      <c r="BL411">
        <f>VLOOKUP(A411,'[11]Daily coal vs energy req.2'!$C$2:$P$599,14,FALSE)</f>
        <v>0.73</v>
      </c>
      <c r="BM411">
        <f>VLOOKUP(A411,'[11]Daily coal vs energy req.2'!$C$2:$R$599,16,FALSE)</f>
        <v>0.98</v>
      </c>
      <c r="BN411">
        <f>BL411*H411</f>
        <v>153.29999999999998</v>
      </c>
      <c r="BO411">
        <f>BM411*H411</f>
        <v>205.79999999999998</v>
      </c>
      <c r="BP411" s="2" t="str">
        <f>VLOOKUP(A411,'[7]Table 2'!$J$2:$N$449,5,FALSE)</f>
        <v>Feasiblity Study Carried Ou</v>
      </c>
      <c r="BR411">
        <f t="shared" si="333"/>
        <v>222.61109662827909</v>
      </c>
      <c r="BT411">
        <f>(X411*I411*365*[5]Analysis!BK411)/10^4</f>
        <v>105.39348148539823</v>
      </c>
      <c r="BV411">
        <f>(X411*I411*365*[5]Analysis!BL411)/10^4</f>
        <v>117.21761514288085</v>
      </c>
      <c r="BX411">
        <f t="shared" si="334"/>
        <v>754801.55042058858</v>
      </c>
      <c r="BZ411">
        <f t="shared" si="335"/>
        <v>3396581.0747211757</v>
      </c>
      <c r="CB411">
        <f t="shared" si="336"/>
        <v>-100663.2726624116</v>
      </c>
      <c r="CD411">
        <f t="shared" si="337"/>
        <v>0</v>
      </c>
      <c r="CF411">
        <f t="shared" si="338"/>
        <v>1413616.2186070124</v>
      </c>
      <c r="CH411">
        <f t="shared" si="339"/>
        <v>659951.59248482494</v>
      </c>
      <c r="CJ411">
        <f t="shared" si="340"/>
        <v>-274156.43794791627</v>
      </c>
      <c r="CL411">
        <f t="shared" si="341"/>
        <v>633314.65104487934</v>
      </c>
    </row>
    <row r="412" spans="1:91" x14ac:dyDescent="0.2">
      <c r="A412" s="2" t="s">
        <v>505</v>
      </c>
      <c r="B412" s="2" t="str">
        <f t="shared" si="311"/>
        <v>NASIK TPS</v>
      </c>
      <c r="C412" s="2" t="str">
        <f>VLOOKUP($A412,'[1]daily coal, energy reqd'!$C$2:$T$599,17,FALSE)</f>
        <v>Maharashtra</v>
      </c>
      <c r="D412" s="2" t="str">
        <f>VLOOKUP(C412,'Target PLF'!$I$2:$J$19,2,FALSE)</f>
        <v>WR</v>
      </c>
      <c r="E412" s="2" t="str">
        <f>VLOOKUP(A412,[2]Ownership!$C$2:$D$666,2,FALSE)</f>
        <v>STATE SECTOR</v>
      </c>
      <c r="F412" s="2" t="s">
        <v>549</v>
      </c>
      <c r="G412" s="12">
        <v>39.841204654346299</v>
      </c>
      <c r="H412" s="2">
        <v>210</v>
      </c>
      <c r="I412" s="2">
        <f>VLOOKUP(A412,'[3]Calculated coal req (reg.)'!$A$2:$I$599,9,FALSE)</f>
        <v>2.83990647741388</v>
      </c>
      <c r="J412" s="2"/>
      <c r="K412" s="11">
        <v>0.56347350742338886</v>
      </c>
      <c r="L412" s="3">
        <f>VLOOKUP(F412,'Target PLF'!$A$2:$B$11,2,FALSE)</f>
        <v>0.55000000000000004</v>
      </c>
      <c r="M412" s="3">
        <f t="shared" si="329"/>
        <v>-1.347350742338882E-2</v>
      </c>
      <c r="N412" s="2" t="str">
        <f t="shared" si="312"/>
        <v>0.25</v>
      </c>
      <c r="O412" s="2">
        <f t="shared" si="310"/>
        <v>11.428749858260256</v>
      </c>
      <c r="P412" s="2">
        <f t="shared" si="313"/>
        <v>876013.67663564847</v>
      </c>
      <c r="Q412" s="2">
        <f t="shared" si="314"/>
        <v>15.415278907426417</v>
      </c>
      <c r="R412" s="2">
        <f t="shared" si="315"/>
        <v>2.7719999999999998</v>
      </c>
      <c r="S412" s="2"/>
      <c r="T412" s="2" t="str">
        <f>VLOOKUP(A412,'[4]CEA vs MERIT comp. &amp; NPA marker'!$C$2:$K$735,9,FALSE)</f>
        <v>Contracted</v>
      </c>
      <c r="U412" s="3">
        <f>VLOOKUP(B412,'[8]Import-Domestic share'!$A$208:$F$406,6,FALSE)</f>
        <v>0</v>
      </c>
      <c r="V412" s="3">
        <f t="shared" si="316"/>
        <v>0</v>
      </c>
      <c r="W412" s="2">
        <f t="shared" si="317"/>
        <v>3346.0001552861054</v>
      </c>
      <c r="X412" s="2">
        <f t="shared" si="318"/>
        <v>3341.546201768947</v>
      </c>
      <c r="Y412" s="6">
        <f t="shared" si="319"/>
        <v>0.25702329948830033</v>
      </c>
      <c r="Z412" s="2"/>
      <c r="AA412" s="2">
        <f t="shared" si="320"/>
        <v>793130.66377044551</v>
      </c>
      <c r="AB412" s="2" t="s">
        <v>576</v>
      </c>
      <c r="AC412" s="12">
        <f>VLOOKUP(B412,[9]Sheet1!$A$2:$B$137,2,FALSE)</f>
        <v>4367.1653169000492</v>
      </c>
      <c r="AD412" s="12">
        <f t="shared" si="321"/>
        <v>917104.71654901037</v>
      </c>
      <c r="AE412" s="2"/>
      <c r="AF412" s="7">
        <f>VLOOKUP($B412,'[9]Subsidiary wise dispatch'!$A$3:$R$138,11,FALSE)*$H412*$O412*365</f>
        <v>0</v>
      </c>
      <c r="AG412" s="7">
        <f>VLOOKUP($B412,'[9]Subsidiary wise dispatch'!$A$3:$R$138,12,FALSE)*$H412*$O412*365</f>
        <v>0</v>
      </c>
      <c r="AH412" s="7">
        <f>VLOOKUP($B412,'[9]Subsidiary wise dispatch'!$A$3:$R$138,13,FALSE)*$H412*$O412*365</f>
        <v>0</v>
      </c>
      <c r="AI412" s="7">
        <f>VLOOKUP($B412,'[9]Subsidiary wise dispatch'!$A$3:$R$138,14,FALSE)*$H412*$O412*365</f>
        <v>0</v>
      </c>
      <c r="AJ412" s="7">
        <f>VLOOKUP($B412,'[9]Subsidiary wise dispatch'!$A$3:$R$138,15,FALSE)*$H412*$O412*365</f>
        <v>0</v>
      </c>
      <c r="AK412" s="7">
        <f>VLOOKUP($B412,'[9]Subsidiary wise dispatch'!$A$3:$R$138,16,FALSE)*$H412*$O412*365</f>
        <v>0</v>
      </c>
      <c r="AL412" s="7">
        <f>VLOOKUP($B412,'[9]Subsidiary wise dispatch'!$A$3:$R$138,17,FALSE)*$H412*$O412*365</f>
        <v>29584.975659116182</v>
      </c>
      <c r="AM412" s="7">
        <f>VLOOKUP($B412,'[9]Subsidiary wise dispatch'!$A$3:$R$138,18,FALSE)*$H412*$O412*365</f>
        <v>846428.70097653242</v>
      </c>
      <c r="AN412" s="15">
        <f t="shared" si="322"/>
        <v>876013.67663564859</v>
      </c>
      <c r="AO412" s="6">
        <v>0.10328378773749107</v>
      </c>
      <c r="AP412" s="11">
        <f t="shared" si="323"/>
        <v>0.29331629780754115</v>
      </c>
      <c r="AQ412" s="11"/>
      <c r="AR412" s="3">
        <f>VLOOKUP(A412,[10]Sheet1!$A$2:$L$542,12,FALSE)</f>
        <v>3.27290109890115</v>
      </c>
      <c r="AS412" s="3">
        <f t="shared" si="330"/>
        <v>3.0208284724994785</v>
      </c>
      <c r="AT412" s="2"/>
      <c r="AU412" s="2"/>
      <c r="AV412" s="88">
        <f t="shared" si="331"/>
        <v>-9.8736557100077959E-3</v>
      </c>
      <c r="AW412" s="32">
        <f t="shared" si="332"/>
        <v>3.2685257702957846E-3</v>
      </c>
      <c r="AX412" s="12">
        <f t="shared" si="324"/>
        <v>313.12876763657545</v>
      </c>
      <c r="AY412" s="12">
        <f t="shared" si="325"/>
        <v>0</v>
      </c>
      <c r="AZ412" s="3">
        <f>VLOOKUP(A412,[5]Analysis!$A$3:$BJ$543,62,FALSE)</f>
        <v>0.82821868934569876</v>
      </c>
      <c r="BA412" s="2">
        <f>332.68/3</f>
        <v>110.89333333333333</v>
      </c>
      <c r="BB412" s="2"/>
      <c r="BC412" s="2" t="str">
        <f>VLOOKUP(A412,'[6]FGD status - Jun 2020'!$I$2:$M$449,5,FALSE)</f>
        <v>Feasiblity Study Carried Out</v>
      </c>
      <c r="BD412" s="2">
        <f>VLOOKUP(A412,'[1]daily coal, energy reqd'!$C$2:$L$599,10,FALSE)</f>
        <v>0</v>
      </c>
      <c r="BE412" s="2" t="str">
        <f>VLOOKUP(A412,'[1]daily coal, energy reqd'!$C$2:$M$599,11,FALSE)</f>
        <v>Y</v>
      </c>
      <c r="BF412" s="2">
        <f t="shared" si="326"/>
        <v>245.47394043695289</v>
      </c>
      <c r="BG412" s="2">
        <f t="shared" si="327"/>
        <v>0</v>
      </c>
      <c r="BH412" s="2">
        <f t="shared" si="346"/>
        <v>31.5</v>
      </c>
      <c r="BI412" s="2">
        <f t="shared" si="347"/>
        <v>16.8</v>
      </c>
      <c r="BK412">
        <f t="shared" si="328"/>
        <v>118.32943655891167</v>
      </c>
      <c r="BL412">
        <f>VLOOKUP(A412,'[11]Daily coal vs energy req.2'!$C$2:$P$599,14,FALSE)</f>
        <v>0.89</v>
      </c>
      <c r="BM412">
        <f>VLOOKUP(A412,'[11]Daily coal vs energy req.2'!$C$2:$R$599,16,FALSE)</f>
        <v>0.89</v>
      </c>
      <c r="BN412">
        <f>BL412*H412</f>
        <v>186.9</v>
      </c>
      <c r="BO412">
        <f>BM412*H412</f>
        <v>186.9</v>
      </c>
      <c r="BP412" s="2" t="str">
        <f>VLOOKUP(A412,'[7]Table 2'!$J$2:$N$449,5,FALSE)</f>
        <v>Feasiblity Study Carried Ou</v>
      </c>
      <c r="BR412">
        <f t="shared" si="333"/>
        <v>286.8728179058686</v>
      </c>
      <c r="BT412">
        <f>(X412*I412*365*[5]Analysis!BK412)/10^4</f>
        <v>135.81769049506303</v>
      </c>
      <c r="BV412">
        <f>(X412*I412*365*[5]Analysis!BL412)/10^4</f>
        <v>151.05512741080554</v>
      </c>
      <c r="BX412">
        <f t="shared" si="334"/>
        <v>972692.0670555915</v>
      </c>
      <c r="BZ412">
        <f t="shared" si="335"/>
        <v>4447246.6128536398</v>
      </c>
      <c r="CB412">
        <f t="shared" si="336"/>
        <v>-172571.66957295989</v>
      </c>
      <c r="CD412">
        <f t="shared" si="337"/>
        <v>0</v>
      </c>
      <c r="CF412">
        <f t="shared" si="338"/>
        <v>1850890.5872623932</v>
      </c>
      <c r="CH412">
        <f t="shared" si="339"/>
        <v>837784.33805553697</v>
      </c>
      <c r="CJ412">
        <f t="shared" si="340"/>
        <v>-358961.33883863705</v>
      </c>
      <c r="CL412">
        <f t="shared" si="341"/>
        <v>829218.07981902245</v>
      </c>
    </row>
    <row r="413" spans="1:91" x14ac:dyDescent="0.2">
      <c r="A413" s="2" t="s">
        <v>499</v>
      </c>
      <c r="B413" s="2" t="str">
        <f t="shared" si="311"/>
        <v>NASIK TPS</v>
      </c>
      <c r="C413" s="2" t="str">
        <f>VLOOKUP($A413,'[1]daily coal, energy reqd'!$C$2:$T$599,17,FALSE)</f>
        <v>Maharashtra</v>
      </c>
      <c r="D413" s="2" t="str">
        <f>VLOOKUP(C413,'Target PLF'!$I$2:$J$19,2,FALSE)</f>
        <v>WR</v>
      </c>
      <c r="E413" s="2" t="str">
        <f>VLOOKUP(A413,[2]Ownership!$C$2:$D$666,2,FALSE)</f>
        <v>STATE SECTOR</v>
      </c>
      <c r="F413" s="2" t="s">
        <v>549</v>
      </c>
      <c r="G413" s="12">
        <v>39.337440109513999</v>
      </c>
      <c r="H413" s="2">
        <v>210</v>
      </c>
      <c r="I413" s="2">
        <f>VLOOKUP(A413,'[3]Calculated coal req (reg.)'!$A$2:$I$599,9,FALSE)</f>
        <v>1.79778670053259</v>
      </c>
      <c r="J413" s="2"/>
      <c r="K413" s="11">
        <v>0.35670371042313292</v>
      </c>
      <c r="L413" s="3">
        <f>VLOOKUP(F413,'Target PLF'!$A$2:$B$11,2,FALSE)</f>
        <v>0.55000000000000004</v>
      </c>
      <c r="M413" s="3">
        <f t="shared" si="329"/>
        <v>0.19329628957686712</v>
      </c>
      <c r="N413" s="2" t="str">
        <f t="shared" si="312"/>
        <v>0.25</v>
      </c>
      <c r="O413" s="2">
        <f t="shared" si="310"/>
        <v>8.5359428996990321</v>
      </c>
      <c r="P413" s="2">
        <f t="shared" si="313"/>
        <v>654280.02326193079</v>
      </c>
      <c r="Q413" s="2">
        <f t="shared" si="314"/>
        <v>15.399322165468854</v>
      </c>
      <c r="R413" s="2">
        <f t="shared" si="315"/>
        <v>2.7719999999999998</v>
      </c>
      <c r="S413" s="2"/>
      <c r="T413" s="2" t="str">
        <f>VLOOKUP(A413,'[4]CEA vs MERIT comp. &amp; NPA marker'!$C$2:$K$735,9,FALSE)</f>
        <v>Contracted</v>
      </c>
      <c r="U413" s="3">
        <f>VLOOKUP(B413,'[8]Import-Domestic share'!$A$208:$F$406,6,FALSE)</f>
        <v>0</v>
      </c>
      <c r="V413" s="3">
        <f t="shared" si="316"/>
        <v>0</v>
      </c>
      <c r="W413" s="2">
        <f t="shared" si="317"/>
        <v>3342.1511236420261</v>
      </c>
      <c r="X413" s="2">
        <f t="shared" si="318"/>
        <v>3406.0493100429985</v>
      </c>
      <c r="Y413" s="6">
        <f t="shared" si="319"/>
        <v>0.25731930370127498</v>
      </c>
      <c r="Z413" s="2"/>
      <c r="AA413" s="2">
        <f t="shared" si="320"/>
        <v>511778.84117391723</v>
      </c>
      <c r="AB413" s="2" t="s">
        <v>576</v>
      </c>
      <c r="AC413" s="12">
        <f>VLOOKUP(B413,[9]Sheet1!$A$2:$B$137,2,FALSE)</f>
        <v>4367.1653169000492</v>
      </c>
      <c r="AD413" s="12">
        <f t="shared" si="321"/>
        <v>917104.71654901037</v>
      </c>
      <c r="AE413" s="2"/>
      <c r="AF413" s="7">
        <f>VLOOKUP($B413,'[9]Subsidiary wise dispatch'!$A$3:$R$138,11,FALSE)*$H413*$O413*365</f>
        <v>0</v>
      </c>
      <c r="AG413" s="7">
        <f>VLOOKUP($B413,'[9]Subsidiary wise dispatch'!$A$3:$R$138,12,FALSE)*$H413*$O413*365</f>
        <v>0</v>
      </c>
      <c r="AH413" s="7">
        <f>VLOOKUP($B413,'[9]Subsidiary wise dispatch'!$A$3:$R$138,13,FALSE)*$H413*$O413*365</f>
        <v>0</v>
      </c>
      <c r="AI413" s="7">
        <f>VLOOKUP($B413,'[9]Subsidiary wise dispatch'!$A$3:$R$138,14,FALSE)*$H413*$O413*365</f>
        <v>0</v>
      </c>
      <c r="AJ413" s="7">
        <f>VLOOKUP($B413,'[9]Subsidiary wise dispatch'!$A$3:$R$138,15,FALSE)*$H413*$O413*365</f>
        <v>0</v>
      </c>
      <c r="AK413" s="7">
        <f>VLOOKUP($B413,'[9]Subsidiary wise dispatch'!$A$3:$R$138,16,FALSE)*$H413*$O413*365</f>
        <v>0</v>
      </c>
      <c r="AL413" s="7">
        <f>VLOOKUP($B413,'[9]Subsidiary wise dispatch'!$A$3:$R$138,17,FALSE)*$H413*$O413*365</f>
        <v>22096.525520915002</v>
      </c>
      <c r="AM413" s="7">
        <f>VLOOKUP($B413,'[9]Subsidiary wise dispatch'!$A$3:$R$138,18,FALSE)*$H413*$O413*365</f>
        <v>632183.49774101586</v>
      </c>
      <c r="AN413" s="15">
        <f t="shared" si="322"/>
        <v>654280.02326193091</v>
      </c>
      <c r="AO413" s="6">
        <v>0.10328378773749107</v>
      </c>
      <c r="AP413" s="11">
        <f t="shared" si="323"/>
        <v>0.18568221997509246</v>
      </c>
      <c r="AQ413" s="11"/>
      <c r="AR413" s="3">
        <f>VLOOKUP(A413,[10]Sheet1!$A$2:$L$542,12,FALSE)</f>
        <v>3.27290109890115</v>
      </c>
      <c r="AS413" s="3">
        <f t="shared" si="330"/>
        <v>3.023709916525358</v>
      </c>
      <c r="AT413" s="2"/>
      <c r="AU413" s="2"/>
      <c r="AV413" s="88">
        <f t="shared" si="331"/>
        <v>0.14165138692771978</v>
      </c>
      <c r="AW413" s="32">
        <f t="shared" si="332"/>
        <v>4.6846883741577937E-2</v>
      </c>
      <c r="AX413" s="12">
        <f t="shared" si="324"/>
        <v>198.41346980821959</v>
      </c>
      <c r="AY413" s="12">
        <f t="shared" si="325"/>
        <v>0</v>
      </c>
      <c r="AZ413" s="3">
        <f>VLOOKUP(A413,[5]Analysis!$A$3:$BJ$543,62,FALSE)</f>
        <v>0.82821868934569876</v>
      </c>
      <c r="BA413" s="2">
        <f>332.68/3</f>
        <v>110.89333333333333</v>
      </c>
      <c r="BB413" s="2"/>
      <c r="BC413" s="2" t="str">
        <f>VLOOKUP(A413,'[6]FGD status - Jun 2020'!$I$2:$M$449,5,FALSE)</f>
        <v>Feasiblity Study Carried Out</v>
      </c>
      <c r="BD413" s="2">
        <f>VLOOKUP(A413,'[1]daily coal, energy reqd'!$C$2:$L$599,10,FALSE)</f>
        <v>0</v>
      </c>
      <c r="BE413" s="2" t="str">
        <f>VLOOKUP(A413,'[1]daily coal, energy reqd'!$C$2:$M$599,11,FALSE)</f>
        <v>Y</v>
      </c>
      <c r="BF413" s="2">
        <f t="shared" si="326"/>
        <v>158.39555134332738</v>
      </c>
      <c r="BG413" s="2">
        <f t="shared" si="327"/>
        <v>0</v>
      </c>
      <c r="BH413" s="2">
        <f t="shared" si="346"/>
        <v>31.5</v>
      </c>
      <c r="BI413" s="2">
        <f t="shared" si="347"/>
        <v>16.8</v>
      </c>
      <c r="BK413">
        <f t="shared" si="328"/>
        <v>74.907779188857916</v>
      </c>
      <c r="BL413">
        <f>VLOOKUP(A413,'[11]Daily coal vs energy req.2'!$C$2:$P$599,14,FALSE)</f>
        <v>0.83</v>
      </c>
      <c r="BM413">
        <f>VLOOKUP(A413,'[11]Daily coal vs energy req.2'!$C$2:$R$599,16,FALSE)</f>
        <v>0.79</v>
      </c>
      <c r="BN413">
        <f>BL413*H413</f>
        <v>174.29999999999998</v>
      </c>
      <c r="BO413">
        <f>BM413*H413</f>
        <v>165.9</v>
      </c>
      <c r="BP413" s="2" t="str">
        <f>VLOOKUP(A413,'[7]Table 2'!$J$2:$N$449,5,FALSE)</f>
        <v>Feasiblity Study Carried Ou</v>
      </c>
      <c r="BR413">
        <f t="shared" si="333"/>
        <v>185.10876582960378</v>
      </c>
      <c r="BT413">
        <f>(X413*I413*365*[5]Analysis!BK413)/10^4</f>
        <v>87.638296471915098</v>
      </c>
      <c r="BV413">
        <f>(X413*I413*365*[5]Analysis!BL413)/10^4</f>
        <v>97.470469357688671</v>
      </c>
      <c r="BX413">
        <f t="shared" si="334"/>
        <v>627643.39047273446</v>
      </c>
      <c r="BZ413">
        <f t="shared" si="335"/>
        <v>2815304.2637719526</v>
      </c>
      <c r="CB413">
        <f t="shared" si="336"/>
        <v>-69157.255637667549</v>
      </c>
      <c r="CD413">
        <f t="shared" si="337"/>
        <v>0</v>
      </c>
      <c r="CF413">
        <f t="shared" si="338"/>
        <v>1171695.7964585621</v>
      </c>
      <c r="CH413">
        <f t="shared" si="339"/>
        <v>523648.65876790183</v>
      </c>
      <c r="CJ413">
        <f t="shared" si="340"/>
        <v>-227238.44116061885</v>
      </c>
      <c r="CL413">
        <f t="shared" si="341"/>
        <v>524931.80588726525</v>
      </c>
    </row>
    <row r="414" spans="1:91" x14ac:dyDescent="0.2">
      <c r="A414" s="2" t="s">
        <v>324</v>
      </c>
      <c r="B414" s="2" t="str">
        <f t="shared" si="311"/>
        <v>NIWARI TPP</v>
      </c>
      <c r="C414" s="2" t="str">
        <f>VLOOKUP($A414,'[1]daily coal, energy reqd'!$C$2:$T$599,17,FALSE)</f>
        <v>Madhya Pradesh</v>
      </c>
      <c r="D414" s="2" t="str">
        <f>VLOOKUP(C414,'Target PLF'!$I$2:$J$19,2,FALSE)</f>
        <v>WR</v>
      </c>
      <c r="E414" s="2" t="str">
        <f>VLOOKUP(A414,[2]Ownership!$C$2:$D$666,2,FALSE)</f>
        <v>PVT SECTOR</v>
      </c>
      <c r="F414" s="2" t="s">
        <v>543</v>
      </c>
      <c r="G414" s="12">
        <v>6.4229979466118996</v>
      </c>
      <c r="H414" s="2">
        <v>45</v>
      </c>
      <c r="I414" s="2">
        <f>VLOOKUP(A414,'[3]Calculated coal req (reg.)'!$A$2:$I$599,9,FALSE)</f>
        <v>0.37471153628626402</v>
      </c>
      <c r="J414" s="2"/>
      <c r="K414" s="11">
        <v>0.34695512619098523</v>
      </c>
      <c r="L414" s="3">
        <f>VLOOKUP(F414,'Target PLF'!$A$2:$B$11,2,FALSE)</f>
        <v>0.85</v>
      </c>
      <c r="M414" s="3">
        <f t="shared" si="329"/>
        <v>0.50304487380901475</v>
      </c>
      <c r="N414" s="2" t="str">
        <f t="shared" si="312"/>
        <v>0.15</v>
      </c>
      <c r="O414" s="2">
        <f t="shared" si="310"/>
        <v>7.3562050671919668</v>
      </c>
      <c r="P414" s="2">
        <f t="shared" si="313"/>
        <v>120825.66822862806</v>
      </c>
      <c r="Q414" s="2">
        <f t="shared" si="314"/>
        <v>14.355219309958931</v>
      </c>
      <c r="R414" s="2">
        <f t="shared" si="315"/>
        <v>0.91800000000000004</v>
      </c>
      <c r="S414" s="2"/>
      <c r="T414" s="2" t="str">
        <f>VLOOKUP(A414,'[4]CEA vs MERIT comp. &amp; NPA marker'!$C$2:$K$735,9,FALSE)</f>
        <v>Not contracted</v>
      </c>
      <c r="U414" s="3">
        <v>0.28000000000000003</v>
      </c>
      <c r="V414" s="3">
        <f t="shared" si="316"/>
        <v>33831.187104015858</v>
      </c>
      <c r="W414" s="2">
        <f t="shared" si="317"/>
        <v>3207.3707979620121</v>
      </c>
      <c r="X414" s="2">
        <f t="shared" si="318"/>
        <v>3373.6629455509064</v>
      </c>
      <c r="Y414" s="6">
        <f t="shared" si="319"/>
        <v>0.26813239072527895</v>
      </c>
      <c r="Z414" s="2"/>
      <c r="AA414" s="2">
        <f t="shared" si="320"/>
        <v>107656.3007961711</v>
      </c>
      <c r="AB414" s="2" t="s">
        <v>576</v>
      </c>
      <c r="AC414" s="12"/>
      <c r="AD414" s="12">
        <f t="shared" si="321"/>
        <v>0</v>
      </c>
      <c r="AE414" s="2"/>
      <c r="AF414" s="7"/>
      <c r="AG414" s="7"/>
      <c r="AH414" s="7"/>
      <c r="AI414" s="7"/>
      <c r="AJ414" s="7"/>
      <c r="AK414" s="7"/>
      <c r="AL414" s="7"/>
      <c r="AM414" s="7"/>
      <c r="AN414" s="15">
        <f t="shared" si="322"/>
        <v>0</v>
      </c>
      <c r="AO414" s="6">
        <v>0.11909037109527723</v>
      </c>
      <c r="AP414" s="11">
        <f t="shared" si="323"/>
        <v>4.4624535910012621E-2</v>
      </c>
      <c r="AQ414" s="11"/>
      <c r="AR414" s="3"/>
      <c r="AS414" s="3">
        <f t="shared" si="330"/>
        <v>2.8698106862533659</v>
      </c>
      <c r="AT414" s="2"/>
      <c r="AU414" s="2"/>
      <c r="AV414" s="88">
        <f t="shared" si="331"/>
        <v>0.36864134442472218</v>
      </c>
      <c r="AW414" s="32">
        <f t="shared" si="332"/>
        <v>0.12845493474205291</v>
      </c>
      <c r="AX414" s="12">
        <f t="shared" si="324"/>
        <v>39.25031774503087</v>
      </c>
      <c r="AY414" s="12">
        <f t="shared" si="325"/>
        <v>0</v>
      </c>
      <c r="AZ414" s="3">
        <f>VLOOKUP(A414,[5]Analysis!$A$3:$BJ$543,62,FALSE)</f>
        <v>0.80131766804582949</v>
      </c>
      <c r="BA414" s="2">
        <v>84.01</v>
      </c>
      <c r="BB414" s="2"/>
      <c r="BC414" s="2" t="e">
        <f>VLOOKUP(A414,'[6]FGD status - Jun 2020'!$I$2:$M$449,5,FALSE)</f>
        <v>#N/A</v>
      </c>
      <c r="BD414" s="2"/>
      <c r="BE414" s="2"/>
      <c r="BF414" s="2">
        <f t="shared" si="326"/>
        <v>39.758333134432348</v>
      </c>
      <c r="BG414" s="2">
        <f t="shared" si="327"/>
        <v>0</v>
      </c>
      <c r="BH414" s="2"/>
      <c r="BI414" s="2"/>
      <c r="BK414">
        <f t="shared" si="328"/>
        <v>15.612980678594335</v>
      </c>
      <c r="BL414" t="str">
        <f>VLOOKUP(A414,'[11]Daily coal vs energy req.2'!$C$2:$P$599,14,FALSE)</f>
        <v/>
      </c>
      <c r="BM414" t="str">
        <f>VLOOKUP(A414,'[11]Daily coal vs energy req.2'!$C$2:$R$599,16,FALSE)</f>
        <v/>
      </c>
      <c r="BP414" s="2" t="e">
        <f>VLOOKUP(A414,'[7]Table 2'!$J$2:$N$449,5,FALSE)</f>
        <v>#N/A</v>
      </c>
      <c r="BR414">
        <f t="shared" si="333"/>
        <v>36.973991584637929</v>
      </c>
      <c r="BT414">
        <f>(X414*I414*365*[5]Analysis!BK414)/10^4</f>
        <v>28.278662450894451</v>
      </c>
      <c r="BV414">
        <f>(X414*I414*365*[5]Analysis!BL414)/10^4</f>
        <v>8.6953291337434795</v>
      </c>
      <c r="BX414">
        <f t="shared" si="334"/>
        <v>129575.41858704085</v>
      </c>
      <c r="BZ414">
        <f t="shared" si="335"/>
        <v>567732.72813935357</v>
      </c>
      <c r="CB414">
        <f t="shared" si="336"/>
        <v>-14020.462272729103</v>
      </c>
      <c r="CD414">
        <f t="shared" si="337"/>
        <v>-138285.19408184252</v>
      </c>
      <c r="CF414">
        <f t="shared" si="338"/>
        <v>244215.80814958675</v>
      </c>
      <c r="CH414">
        <f t="shared" si="339"/>
        <v>17820.939039651257</v>
      </c>
      <c r="CJ414">
        <f t="shared" si="340"/>
        <v>-10149.249316081605</v>
      </c>
      <c r="CL414">
        <f t="shared" si="341"/>
        <v>126155.52649718573</v>
      </c>
    </row>
    <row r="415" spans="1:91" x14ac:dyDescent="0.2">
      <c r="A415" s="2" t="s">
        <v>266</v>
      </c>
      <c r="B415" s="2" t="str">
        <f t="shared" si="311"/>
        <v>NIWARI TPP</v>
      </c>
      <c r="C415" s="2" t="str">
        <f>VLOOKUP($A415,'[1]daily coal, energy reqd'!$C$2:$T$599,17,FALSE)</f>
        <v>Madhya Pradesh</v>
      </c>
      <c r="D415" s="2" t="str">
        <f>VLOOKUP(C415,'Target PLF'!$I$2:$J$19,2,FALSE)</f>
        <v>WR</v>
      </c>
      <c r="E415" s="2" t="str">
        <f>VLOOKUP(A415,[2]Ownership!$C$2:$D$666,2,FALSE)</f>
        <v>PVT SECTOR</v>
      </c>
      <c r="F415" s="2" t="s">
        <v>542</v>
      </c>
      <c r="G415" s="13">
        <v>0.84325804243668701</v>
      </c>
      <c r="H415" s="2">
        <v>45</v>
      </c>
      <c r="I415" s="2">
        <f>VLOOKUP(A415,'[3]Calculated coal req (reg.)'!$A$2:$I$599,9,FALSE)</f>
        <v>7.2983870967741902E-3</v>
      </c>
      <c r="J415" s="2"/>
      <c r="K415" s="11">
        <v>6.7577658303464728E-3</v>
      </c>
      <c r="L415" s="3">
        <f>VLOOKUP(F415,'Target PLF'!$A$2:$B$11,2,FALSE)</f>
        <v>0.85</v>
      </c>
      <c r="M415" s="3">
        <f t="shared" si="329"/>
        <v>0.84324223416965349</v>
      </c>
      <c r="N415" s="2" t="str">
        <f t="shared" si="312"/>
        <v>0.15</v>
      </c>
      <c r="O415" s="2">
        <f t="shared" si="310"/>
        <v>2.4461988718215419</v>
      </c>
      <c r="P415" s="2">
        <f t="shared" si="313"/>
        <v>40178.816469668825</v>
      </c>
      <c r="Q415" s="2">
        <f t="shared" si="314"/>
        <v>14.178481048494183</v>
      </c>
      <c r="R415" s="2">
        <f t="shared" si="315"/>
        <v>0.91800000000000004</v>
      </c>
      <c r="S415" s="2"/>
      <c r="T415" s="2" t="str">
        <f>VLOOKUP(A415,'[4]CEA vs MERIT comp. &amp; NPA marker'!$C$2:$K$735,9,FALSE)</f>
        <v>Not contracted</v>
      </c>
      <c r="U415" s="3">
        <v>0.28000000000000003</v>
      </c>
      <c r="V415" s="3">
        <f t="shared" si="316"/>
        <v>11250.068611507273</v>
      </c>
      <c r="W415" s="2">
        <f t="shared" si="317"/>
        <v>3164.7385887737846</v>
      </c>
      <c r="X415" s="2">
        <f t="shared" si="318"/>
        <v>3443.490186013928</v>
      </c>
      <c r="Y415" s="6">
        <f t="shared" si="319"/>
        <v>0.27174440348743534</v>
      </c>
      <c r="Z415" s="2"/>
      <c r="AA415" s="2">
        <f t="shared" si="320"/>
        <v>2140.2595391128098</v>
      </c>
      <c r="AB415" s="2" t="s">
        <v>576</v>
      </c>
      <c r="AC415" s="12"/>
      <c r="AD415" s="12">
        <f t="shared" si="321"/>
        <v>0</v>
      </c>
      <c r="AE415" s="2"/>
      <c r="AF415" s="7"/>
      <c r="AG415" s="7"/>
      <c r="AH415" s="7"/>
      <c r="AI415" s="7"/>
      <c r="AJ415" s="7"/>
      <c r="AK415" s="7"/>
      <c r="AL415" s="7"/>
      <c r="AM415" s="7"/>
      <c r="AN415" s="15">
        <f t="shared" si="322"/>
        <v>0</v>
      </c>
      <c r="AO415" s="6">
        <v>0.11909037109527723</v>
      </c>
      <c r="AP415" s="11">
        <f t="shared" si="323"/>
        <v>8.6916762775182134E-4</v>
      </c>
      <c r="AQ415" s="11"/>
      <c r="AR415" s="3"/>
      <c r="AS415" s="3">
        <f t="shared" si="330"/>
        <v>2.8356527942803602</v>
      </c>
      <c r="AT415" s="2"/>
      <c r="AU415" s="2"/>
      <c r="AV415" s="88">
        <f t="shared" si="331"/>
        <v>0.61794477404420545</v>
      </c>
      <c r="AW415" s="32">
        <f t="shared" si="332"/>
        <v>0.21791975917877815</v>
      </c>
      <c r="AX415" s="12">
        <f t="shared" si="324"/>
        <v>0.75539274941182222</v>
      </c>
      <c r="AY415" s="12">
        <f t="shared" si="325"/>
        <v>0</v>
      </c>
      <c r="AZ415" s="3">
        <f>VLOOKUP(A415,[5]Analysis!$A$3:$BJ$543,62,FALSE)</f>
        <v>0.80131766804582949</v>
      </c>
      <c r="BA415" s="39"/>
      <c r="BB415" s="2"/>
      <c r="BC415" s="2" t="e">
        <f>VLOOKUP(A415,'[6]FGD status - Jun 2020'!$I$2:$M$449,5,FALSE)</f>
        <v>#N/A</v>
      </c>
      <c r="BD415" s="2"/>
      <c r="BE415" s="2"/>
      <c r="BF415" s="2">
        <f t="shared" si="326"/>
        <v>0.7904149698706735</v>
      </c>
      <c r="BG415" s="2">
        <f t="shared" si="327"/>
        <v>0</v>
      </c>
      <c r="BH415" s="2"/>
      <c r="BI415" s="2"/>
      <c r="BK415">
        <f t="shared" si="328"/>
        <v>0.30409946236559127</v>
      </c>
      <c r="BP415" s="2" t="e">
        <f>VLOOKUP(A415,'[7]Table 2'!$J$2:$N$449,5,FALSE)</f>
        <v>#N/A</v>
      </c>
      <c r="BR415">
        <f t="shared" si="333"/>
        <v>0.73506090774867638</v>
      </c>
      <c r="BT415">
        <f>(X415*I415*365*[5]Analysis!BK415)/10^4</f>
        <v>0.56219354200614191</v>
      </c>
      <c r="BV415">
        <f>(X415*I415*365*[5]Analysis!BL415)/10^4</f>
        <v>0.17286736574253436</v>
      </c>
      <c r="BX415">
        <f t="shared" si="334"/>
        <v>2576.0222450009423</v>
      </c>
      <c r="BZ415">
        <f t="shared" si="335"/>
        <v>11057.928075913789</v>
      </c>
      <c r="CB415">
        <f t="shared" si="336"/>
        <v>-5.3189020572585406</v>
      </c>
      <c r="CD415">
        <f t="shared" si="337"/>
        <v>-2693.428887096773</v>
      </c>
      <c r="CF415">
        <f t="shared" si="338"/>
        <v>4756.6763508064496</v>
      </c>
      <c r="CH415">
        <f t="shared" si="339"/>
        <v>45.570429665938008</v>
      </c>
      <c r="CJ415">
        <f t="shared" si="340"/>
        <v>-197.68046370967733</v>
      </c>
      <c r="CL415">
        <f t="shared" si="341"/>
        <v>2457.1751270300201</v>
      </c>
    </row>
    <row r="416" spans="1:91" x14ac:dyDescent="0.2">
      <c r="A416" s="2" t="s">
        <v>346</v>
      </c>
      <c r="B416" s="2" t="str">
        <f t="shared" si="311"/>
        <v>NORTH CHENNAI TPS</v>
      </c>
      <c r="C416" s="2" t="str">
        <f>VLOOKUP($A416,'[1]daily coal, energy reqd'!$C$2:$T$599,17,FALSE)</f>
        <v>Tamil Nadu</v>
      </c>
      <c r="D416" s="2" t="str">
        <f>VLOOKUP(C416,'Target PLF'!$I$2:$J$19,2,FALSE)</f>
        <v>SR</v>
      </c>
      <c r="E416" s="2" t="str">
        <f>VLOOKUP(A416,[2]Ownership!$C$2:$D$666,2,FALSE)</f>
        <v>STATE SECTOR</v>
      </c>
      <c r="F416" s="2" t="s">
        <v>547</v>
      </c>
      <c r="G416" s="12">
        <v>16.383299110198401</v>
      </c>
      <c r="H416" s="2">
        <v>210</v>
      </c>
      <c r="I416" s="2">
        <f>VLOOKUP(A416,'[3]Calculated coal req (reg.)'!$A$2:$I$599,9,FALSE)</f>
        <v>3.2111540370556502</v>
      </c>
      <c r="J416" s="2"/>
      <c r="K416" s="11">
        <v>0.63713373751104163</v>
      </c>
      <c r="L416" s="3">
        <f>VLOOKUP(F416,'Target PLF'!$A$2:$B$11,2,FALSE)</f>
        <v>0.65</v>
      </c>
      <c r="M416" s="3">
        <f t="shared" si="329"/>
        <v>1.2866262488958391E-2</v>
      </c>
      <c r="N416" s="2" t="str">
        <f t="shared" si="312"/>
        <v>0.25</v>
      </c>
      <c r="O416" s="2">
        <f t="shared" si="310"/>
        <v>11.710577579427911</v>
      </c>
      <c r="P416" s="2">
        <f t="shared" si="313"/>
        <v>897615.77146314934</v>
      </c>
      <c r="Q416" s="2">
        <f t="shared" si="314"/>
        <v>14.672249749315533</v>
      </c>
      <c r="R416" s="2">
        <f t="shared" si="315"/>
        <v>3.2759999999999998</v>
      </c>
      <c r="S416" s="2"/>
      <c r="T416" s="2" t="str">
        <f>VLOOKUP(A416,'[4]CEA vs MERIT comp. &amp; NPA marker'!$C$2:$K$735,9,FALSE)</f>
        <v>Contracted</v>
      </c>
      <c r="U416" s="3">
        <f>VLOOKUP(B416,'[8]Import-Domestic share'!$A$208:$F$406,6,FALSE)</f>
        <v>0.17717116061028612</v>
      </c>
      <c r="V416" s="3">
        <f t="shared" si="316"/>
        <v>159031.62801222352</v>
      </c>
      <c r="W416" s="2">
        <f t="shared" si="317"/>
        <v>3173.6562703516265</v>
      </c>
      <c r="X416" s="2">
        <f t="shared" si="318"/>
        <v>3177.9094861821163</v>
      </c>
      <c r="Y416" s="6">
        <f t="shared" si="319"/>
        <v>0.2709808267625391</v>
      </c>
      <c r="Z416" s="2"/>
      <c r="AA416" s="2">
        <f t="shared" si="320"/>
        <v>995367.33896830177</v>
      </c>
      <c r="AB416" s="2" t="s">
        <v>576</v>
      </c>
      <c r="AC416" s="12">
        <f>VLOOKUP(B416,[9]Sheet1!$A$2:$B$137,2,FALSE)</f>
        <v>3742.0720109048975</v>
      </c>
      <c r="AD416" s="12">
        <f t="shared" si="321"/>
        <v>785835.12229002849</v>
      </c>
      <c r="AE416" s="2"/>
      <c r="AF416" s="7">
        <f>VLOOKUP($B416,'[9]Subsidiary wise dispatch'!$A$3:$R$138,11,FALSE)*$H416*$O416*365</f>
        <v>0</v>
      </c>
      <c r="AG416" s="7">
        <f>VLOOKUP($B416,'[9]Subsidiary wise dispatch'!$A$3:$R$138,12,FALSE)*$H416*$O416*365</f>
        <v>0</v>
      </c>
      <c r="AH416" s="7">
        <f>VLOOKUP($B416,'[9]Subsidiary wise dispatch'!$A$3:$R$138,13,FALSE)*$H416*$O416*365</f>
        <v>0</v>
      </c>
      <c r="AI416" s="7">
        <f>VLOOKUP($B416,'[9]Subsidiary wise dispatch'!$A$3:$R$138,14,FALSE)*$H416*$O416*365</f>
        <v>897615.77146314934</v>
      </c>
      <c r="AJ416" s="7">
        <f>VLOOKUP($B416,'[9]Subsidiary wise dispatch'!$A$3:$R$138,15,FALSE)*$H416*$O416*365</f>
        <v>0</v>
      </c>
      <c r="AK416" s="7">
        <f>VLOOKUP($B416,'[9]Subsidiary wise dispatch'!$A$3:$R$138,16,FALSE)*$H416*$O416*365</f>
        <v>0</v>
      </c>
      <c r="AL416" s="7">
        <f>VLOOKUP($B416,'[9]Subsidiary wise dispatch'!$A$3:$R$138,17,FALSE)*$H416*$O416*365</f>
        <v>0</v>
      </c>
      <c r="AM416" s="7">
        <f>VLOOKUP($B416,'[9]Subsidiary wise dispatch'!$A$3:$R$138,18,FALSE)*$H416*$O416*365</f>
        <v>0</v>
      </c>
      <c r="AN416" s="15">
        <f t="shared" si="322"/>
        <v>897615.77146314934</v>
      </c>
      <c r="AO416" s="6">
        <v>7.8776329249988286E-2</v>
      </c>
      <c r="AP416" s="11">
        <f t="shared" si="323"/>
        <v>0.25296292769552498</v>
      </c>
      <c r="AQ416" s="11"/>
      <c r="AR416" s="3">
        <f>VLOOKUP(A416,[10]Sheet1!$A$2:$L$542,12,FALSE)</f>
        <v>3.0684827586207</v>
      </c>
      <c r="AS416" s="3">
        <f t="shared" si="330"/>
        <v>3.6013095169622829</v>
      </c>
      <c r="AT416" s="2"/>
      <c r="AU416" s="2"/>
      <c r="AV416" s="88">
        <f t="shared" si="331"/>
        <v>9.4286544771584879E-3</v>
      </c>
      <c r="AW416" s="32">
        <f t="shared" si="332"/>
        <v>2.6181183352192374E-3</v>
      </c>
      <c r="AX416" s="12">
        <f t="shared" si="324"/>
        <v>422.0991251839335</v>
      </c>
      <c r="AY416" s="12">
        <f t="shared" si="325"/>
        <v>0</v>
      </c>
      <c r="AZ416" s="3">
        <f>VLOOKUP(A416,[5]Analysis!$A$3:$BJ$543,62,FALSE)</f>
        <v>1.2726010664453911</v>
      </c>
      <c r="BA416" s="2">
        <f>788.98/3</f>
        <v>262.99333333333334</v>
      </c>
      <c r="BB416" s="2"/>
      <c r="BC416" s="2" t="str">
        <f>VLOOKUP(A416,'[6]FGD status - Jun 2020'!$I$2:$M$449,5,FALSE)</f>
        <v>Feasibility study completed</v>
      </c>
      <c r="BD416" s="2" t="str">
        <f>VLOOKUP(A416,'[1]daily coal, energy reqd'!$C$2:$L$599,10,FALSE)</f>
        <v>Y</v>
      </c>
      <c r="BE416" s="2"/>
      <c r="BF416" s="2">
        <f t="shared" si="326"/>
        <v>345.73463400523536</v>
      </c>
      <c r="BG416" s="2">
        <f t="shared" si="327"/>
        <v>0</v>
      </c>
      <c r="BH416" s="2">
        <f>IF(G416&lt;17,IF(H416&gt;400,H416*5000000,H416*3500000),H416*1500000)/10^7</f>
        <v>73.5</v>
      </c>
      <c r="BI416" s="2">
        <f>(H416*800000)/10^7</f>
        <v>16.8</v>
      </c>
      <c r="BK416">
        <f t="shared" si="328"/>
        <v>133.79808487731873</v>
      </c>
      <c r="BL416">
        <f>VLOOKUP(A416,'[11]Daily coal vs energy req.2'!$C$2:$P$599,14,FALSE)</f>
        <v>1.37</v>
      </c>
      <c r="BM416">
        <f>VLOOKUP(A416,'[11]Daily coal vs energy req.2'!$C$2:$R$599,16,FALSE)</f>
        <v>1.43</v>
      </c>
      <c r="BN416">
        <f>BL416*H416</f>
        <v>287.70000000000005</v>
      </c>
      <c r="BO416">
        <f>BM416*H416</f>
        <v>300.3</v>
      </c>
      <c r="BP416" s="2" t="str">
        <f>VLOOKUP(A416,'[7]Table 2'!$J$2:$N$449,5,FALSE)</f>
        <v>Feasibility Study completed</v>
      </c>
      <c r="BR416">
        <f t="shared" si="333"/>
        <v>474.01033363502512</v>
      </c>
      <c r="BT416">
        <f>(X416*I416*365*[5]Analysis!BK416)/10^4</f>
        <v>216.92123991806417</v>
      </c>
      <c r="BV416">
        <f>(X416*I416*365*[5]Analysis!BL416)/10^4</f>
        <v>257.0890937169608</v>
      </c>
      <c r="BX416">
        <f t="shared" si="334"/>
        <v>1045987.579784993</v>
      </c>
      <c r="BZ416">
        <f t="shared" si="335"/>
        <v>7726727.0350972479</v>
      </c>
      <c r="CB416">
        <f t="shared" si="336"/>
        <v>-220639.7221941007</v>
      </c>
      <c r="CD416">
        <f t="shared" si="337"/>
        <v>0</v>
      </c>
      <c r="CF416">
        <f t="shared" si="338"/>
        <v>2092848.7711497792</v>
      </c>
      <c r="CH416">
        <f t="shared" si="339"/>
        <v>389545.54021407937</v>
      </c>
      <c r="CJ416">
        <f t="shared" si="340"/>
        <v>-405886.65912979713</v>
      </c>
      <c r="CL416">
        <f t="shared" si="341"/>
        <v>715137.32696406764</v>
      </c>
    </row>
    <row r="417" spans="1:90" x14ac:dyDescent="0.2">
      <c r="A417" s="2" t="s">
        <v>345</v>
      </c>
      <c r="B417" s="2" t="str">
        <f t="shared" si="311"/>
        <v>NORTH CHENNAI TPS</v>
      </c>
      <c r="C417" s="2" t="str">
        <f>VLOOKUP($A417,'[1]daily coal, energy reqd'!$C$2:$T$599,17,FALSE)</f>
        <v>Tamil Nadu</v>
      </c>
      <c r="D417" s="2" t="str">
        <f>VLOOKUP(C417,'Target PLF'!$I$2:$J$19,2,FALSE)</f>
        <v>SR</v>
      </c>
      <c r="E417" s="2" t="str">
        <f>VLOOKUP(A417,[2]Ownership!$C$2:$D$666,2,FALSE)</f>
        <v>STATE SECTOR</v>
      </c>
      <c r="F417" s="2" t="s">
        <v>547</v>
      </c>
      <c r="G417" s="12">
        <v>15.9247091033538</v>
      </c>
      <c r="H417" s="2">
        <v>210</v>
      </c>
      <c r="I417" s="2">
        <f>VLOOKUP(A417,'[3]Calculated coal req (reg.)'!$A$2:$I$599,9,FALSE)</f>
        <v>3.64097022207641</v>
      </c>
      <c r="J417" s="2"/>
      <c r="K417" s="11">
        <v>0.7224147266024622</v>
      </c>
      <c r="L417" s="3">
        <f>VLOOKUP(F417,'Target PLF'!$A$2:$B$11,2,FALSE)</f>
        <v>0.65</v>
      </c>
      <c r="M417" s="3">
        <f t="shared" si="329"/>
        <v>-7.2414726602462176E-2</v>
      </c>
      <c r="N417" s="2" t="str">
        <f t="shared" si="312"/>
        <v>0.25</v>
      </c>
      <c r="O417" s="2">
        <f t="shared" si="310"/>
        <v>12.882591726486767</v>
      </c>
      <c r="P417" s="2">
        <f t="shared" si="313"/>
        <v>987450.65583521069</v>
      </c>
      <c r="Q417" s="2">
        <f t="shared" si="314"/>
        <v>14.65772391084873</v>
      </c>
      <c r="R417" s="2">
        <f t="shared" si="315"/>
        <v>3.2759999999999998</v>
      </c>
      <c r="S417" s="2"/>
      <c r="T417" s="2" t="str">
        <f>VLOOKUP(A417,'[4]CEA vs MERIT comp. &amp; NPA marker'!$C$2:$K$735,9,FALSE)</f>
        <v>Contracted</v>
      </c>
      <c r="U417" s="3">
        <f>VLOOKUP(B417,'[8]Import-Domestic share'!$A$208:$F$406,6,FALSE)</f>
        <v>0.17717116061028612</v>
      </c>
      <c r="V417" s="3">
        <f t="shared" si="316"/>
        <v>174947.77873971246</v>
      </c>
      <c r="W417" s="2">
        <f t="shared" si="317"/>
        <v>3170.1523964365001</v>
      </c>
      <c r="X417" s="2">
        <f t="shared" si="318"/>
        <v>3146.2141733658523</v>
      </c>
      <c r="Y417" s="6">
        <f t="shared" si="319"/>
        <v>0.2712803337046848</v>
      </c>
      <c r="Z417" s="2"/>
      <c r="AA417" s="2">
        <f t="shared" si="320"/>
        <v>1117342.0262097928</v>
      </c>
      <c r="AB417" s="2" t="s">
        <v>576</v>
      </c>
      <c r="AC417" s="12">
        <f>VLOOKUP(B417,[9]Sheet1!$A$2:$B$137,2,FALSE)</f>
        <v>3742.0720109048975</v>
      </c>
      <c r="AD417" s="12">
        <f t="shared" si="321"/>
        <v>785835.12229002849</v>
      </c>
      <c r="AE417" s="2"/>
      <c r="AF417" s="7">
        <f>VLOOKUP($B417,'[9]Subsidiary wise dispatch'!$A$3:$R$138,11,FALSE)*$H417*$O417*365</f>
        <v>0</v>
      </c>
      <c r="AG417" s="7">
        <f>VLOOKUP($B417,'[9]Subsidiary wise dispatch'!$A$3:$R$138,12,FALSE)*$H417*$O417*365</f>
        <v>0</v>
      </c>
      <c r="AH417" s="7">
        <f>VLOOKUP($B417,'[9]Subsidiary wise dispatch'!$A$3:$R$138,13,FALSE)*$H417*$O417*365</f>
        <v>0</v>
      </c>
      <c r="AI417" s="7">
        <f>VLOOKUP($B417,'[9]Subsidiary wise dispatch'!$A$3:$R$138,14,FALSE)*$H417*$O417*365</f>
        <v>987450.65583521069</v>
      </c>
      <c r="AJ417" s="7">
        <f>VLOOKUP($B417,'[9]Subsidiary wise dispatch'!$A$3:$R$138,15,FALSE)*$H417*$O417*365</f>
        <v>0</v>
      </c>
      <c r="AK417" s="7">
        <f>VLOOKUP($B417,'[9]Subsidiary wise dispatch'!$A$3:$R$138,16,FALSE)*$H417*$O417*365</f>
        <v>0</v>
      </c>
      <c r="AL417" s="7">
        <f>VLOOKUP($B417,'[9]Subsidiary wise dispatch'!$A$3:$R$138,17,FALSE)*$H417*$O417*365</f>
        <v>0</v>
      </c>
      <c r="AM417" s="7">
        <f>VLOOKUP($B417,'[9]Subsidiary wise dispatch'!$A$3:$R$138,18,FALSE)*$H417*$O417*365</f>
        <v>0</v>
      </c>
      <c r="AN417" s="15">
        <f t="shared" si="322"/>
        <v>987450.65583521069</v>
      </c>
      <c r="AO417" s="6">
        <v>7.8776329249988286E-2</v>
      </c>
      <c r="AP417" s="11">
        <f t="shared" si="323"/>
        <v>0.28682226900369423</v>
      </c>
      <c r="AQ417" s="11"/>
      <c r="AR417" s="3">
        <f>VLOOKUP(A417,[10]Sheet1!$A$2:$L$542,12,FALSE)</f>
        <v>3.0684827586207</v>
      </c>
      <c r="AS417" s="3">
        <f t="shared" si="330"/>
        <v>3.594665117692935</v>
      </c>
      <c r="AT417" s="2"/>
      <c r="AU417" s="2"/>
      <c r="AV417" s="88">
        <f t="shared" si="331"/>
        <v>-5.3066959948816335E-2</v>
      </c>
      <c r="AW417" s="32">
        <f t="shared" si="332"/>
        <v>1.476269922547746E-2</v>
      </c>
      <c r="AX417" s="12">
        <f t="shared" si="324"/>
        <v>477.71450579277206</v>
      </c>
      <c r="AY417" s="12">
        <f t="shared" si="325"/>
        <v>0</v>
      </c>
      <c r="AZ417" s="3">
        <f>VLOOKUP(A417,[5]Analysis!$A$3:$BJ$543,62,FALSE)</f>
        <v>1.2726010664453911</v>
      </c>
      <c r="BA417" s="2">
        <f>788.98/3</f>
        <v>262.99333333333334</v>
      </c>
      <c r="BB417" s="2"/>
      <c r="BC417" s="2" t="str">
        <f>VLOOKUP(A417,'[6]FGD status - Jun 2020'!$I$2:$M$449,5,FALSE)</f>
        <v>Feasibility study completed</v>
      </c>
      <c r="BD417" s="2" t="str">
        <f>VLOOKUP(A417,'[1]daily coal, energy reqd'!$C$2:$L$599,10,FALSE)</f>
        <v>Y</v>
      </c>
      <c r="BE417" s="2"/>
      <c r="BF417" s="2">
        <f t="shared" si="326"/>
        <v>388.10178048509681</v>
      </c>
      <c r="BG417" s="2">
        <f t="shared" si="327"/>
        <v>0</v>
      </c>
      <c r="BH417" s="2">
        <f>IF(G417&lt;17,IF(H417&gt;400,H417*5000000,H417*3500000),H417*1500000)/10^7</f>
        <v>73.5</v>
      </c>
      <c r="BI417" s="2">
        <f>(H417*800000)/10^7</f>
        <v>16.8</v>
      </c>
      <c r="BK417">
        <f t="shared" si="328"/>
        <v>151.70709258651706</v>
      </c>
      <c r="BL417">
        <f>VLOOKUP(A417,'[11]Daily coal vs energy req.2'!$C$2:$P$599,14,FALSE)</f>
        <v>1.27</v>
      </c>
      <c r="BM417">
        <f>VLOOKUP(A417,'[11]Daily coal vs energy req.2'!$C$2:$R$599,16,FALSE)</f>
        <v>1.17</v>
      </c>
      <c r="BN417">
        <f>BL417*H417</f>
        <v>266.7</v>
      </c>
      <c r="BO417">
        <f>BM417*H417</f>
        <v>245.7</v>
      </c>
      <c r="BP417" s="2" t="str">
        <f>VLOOKUP(A417,'[7]Table 2'!$J$2:$N$449,5,FALSE)</f>
        <v>Feasibility Study completed</v>
      </c>
      <c r="BR417">
        <f t="shared" si="333"/>
        <v>532.09669023006325</v>
      </c>
      <c r="BT417">
        <f>(X417*I417*365*[5]Analysis!BK417)/10^4</f>
        <v>243.5032859217707</v>
      </c>
      <c r="BV417">
        <f>(X417*I417*365*[5]Analysis!BL417)/10^4</f>
        <v>288.59340430829252</v>
      </c>
      <c r="BX417">
        <f t="shared" si="334"/>
        <v>1174165.3920437309</v>
      </c>
      <c r="BZ417">
        <f t="shared" si="335"/>
        <v>8760957.18992576</v>
      </c>
      <c r="CB417">
        <f t="shared" si="336"/>
        <v>-283658.41920561064</v>
      </c>
      <c r="CD417">
        <f t="shared" si="337"/>
        <v>0</v>
      </c>
      <c r="CF417">
        <f t="shared" si="338"/>
        <v>2372978.675931857</v>
      </c>
      <c r="CH417">
        <f t="shared" si="339"/>
        <v>429323.21440238075</v>
      </c>
      <c r="CJ417">
        <f t="shared" si="340"/>
        <v>-460214.99510023615</v>
      </c>
      <c r="CL417">
        <f t="shared" si="341"/>
        <v>810859.17465327971</v>
      </c>
    </row>
    <row r="418" spans="1:90" x14ac:dyDescent="0.2">
      <c r="A418" s="2" t="s">
        <v>395</v>
      </c>
      <c r="B418" s="2" t="str">
        <f t="shared" si="311"/>
        <v>NORTH CHENNAI TPS</v>
      </c>
      <c r="C418" s="2" t="str">
        <f>VLOOKUP($A418,'[1]daily coal, energy reqd'!$C$2:$T$599,17,FALSE)</f>
        <v>Tamil Nadu</v>
      </c>
      <c r="D418" s="2" t="str">
        <f>VLOOKUP(C418,'Target PLF'!$I$2:$J$19,2,FALSE)</f>
        <v>SR</v>
      </c>
      <c r="E418" s="2" t="str">
        <f>VLOOKUP(A418,[2]Ownership!$C$2:$D$666,2,FALSE)</f>
        <v>STATE SECTOR</v>
      </c>
      <c r="F418" s="2" t="s">
        <v>546</v>
      </c>
      <c r="G418" s="12">
        <v>24.2546201232032</v>
      </c>
      <c r="H418" s="2">
        <v>210</v>
      </c>
      <c r="I418" s="2">
        <f>VLOOKUP(A418,'[3]Calculated coal req (reg.)'!$A$2:$I$599,9,FALSE)</f>
        <v>3.6123119578162401</v>
      </c>
      <c r="J418" s="2"/>
      <c r="K418" s="11">
        <v>0.71672856305877775</v>
      </c>
      <c r="L418" s="3">
        <f>VLOOKUP(F418,'Target PLF'!$A$2:$B$11,2,FALSE)</f>
        <v>0.7</v>
      </c>
      <c r="M418" s="3">
        <f t="shared" si="329"/>
        <v>-1.672856305877779E-2</v>
      </c>
      <c r="N418" s="2" t="str">
        <f t="shared" si="312"/>
        <v>0.25</v>
      </c>
      <c r="O418" s="2">
        <f t="shared" si="310"/>
        <v>13.067328358808153</v>
      </c>
      <c r="P418" s="2">
        <f t="shared" si="313"/>
        <v>1001610.7187026449</v>
      </c>
      <c r="Q418" s="2">
        <f t="shared" si="314"/>
        <v>14.921573842402461</v>
      </c>
      <c r="R418" s="2">
        <f t="shared" si="315"/>
        <v>3.528</v>
      </c>
      <c r="S418" s="2"/>
      <c r="T418" s="2" t="str">
        <f>VLOOKUP(A418,'[4]CEA vs MERIT comp. &amp; NPA marker'!$C$2:$K$735,9,FALSE)</f>
        <v>Contracted</v>
      </c>
      <c r="U418" s="3">
        <f>VLOOKUP(B418,'[8]Import-Domestic share'!$A$208:$F$406,6,FALSE)</f>
        <v>0.17717116061028612</v>
      </c>
      <c r="V418" s="3">
        <f t="shared" si="316"/>
        <v>177456.53351225043</v>
      </c>
      <c r="W418" s="2">
        <f t="shared" si="317"/>
        <v>3217.2688297903669</v>
      </c>
      <c r="X418" s="2">
        <f t="shared" si="318"/>
        <v>3211.738848625751</v>
      </c>
      <c r="Y418" s="6">
        <f t="shared" si="319"/>
        <v>0.26730747273489003</v>
      </c>
      <c r="Z418" s="2"/>
      <c r="AA418" s="2">
        <f t="shared" si="320"/>
        <v>1131634.5474591523</v>
      </c>
      <c r="AB418" s="2" t="s">
        <v>576</v>
      </c>
      <c r="AC418" s="12">
        <f>VLOOKUP(B418,[9]Sheet1!$A$2:$B$137,2,FALSE)</f>
        <v>3742.0720109048975</v>
      </c>
      <c r="AD418" s="12">
        <f t="shared" si="321"/>
        <v>785835.12229002849</v>
      </c>
      <c r="AE418" s="2"/>
      <c r="AF418" s="7">
        <f>VLOOKUP($B418,'[9]Subsidiary wise dispatch'!$A$3:$R$138,11,FALSE)*$H418*$O418*365</f>
        <v>0</v>
      </c>
      <c r="AG418" s="7">
        <f>VLOOKUP($B418,'[9]Subsidiary wise dispatch'!$A$3:$R$138,12,FALSE)*$H418*$O418*365</f>
        <v>0</v>
      </c>
      <c r="AH418" s="7">
        <f>VLOOKUP($B418,'[9]Subsidiary wise dispatch'!$A$3:$R$138,13,FALSE)*$H418*$O418*365</f>
        <v>0</v>
      </c>
      <c r="AI418" s="7">
        <f>VLOOKUP($B418,'[9]Subsidiary wise dispatch'!$A$3:$R$138,14,FALSE)*$H418*$O418*365</f>
        <v>1001610.7187026449</v>
      </c>
      <c r="AJ418" s="7">
        <f>VLOOKUP($B418,'[9]Subsidiary wise dispatch'!$A$3:$R$138,15,FALSE)*$H418*$O418*365</f>
        <v>0</v>
      </c>
      <c r="AK418" s="7">
        <f>VLOOKUP($B418,'[9]Subsidiary wise dispatch'!$A$3:$R$138,16,FALSE)*$H418*$O418*365</f>
        <v>0</v>
      </c>
      <c r="AL418" s="7">
        <f>VLOOKUP($B418,'[9]Subsidiary wise dispatch'!$A$3:$R$138,17,FALSE)*$H418*$O418*365</f>
        <v>0</v>
      </c>
      <c r="AM418" s="7">
        <f>VLOOKUP($B418,'[9]Subsidiary wise dispatch'!$A$3:$R$138,18,FALSE)*$H418*$O418*365</f>
        <v>0</v>
      </c>
      <c r="AN418" s="15">
        <f t="shared" si="322"/>
        <v>1001610.7187026449</v>
      </c>
      <c r="AO418" s="6">
        <v>7.8776329249988286E-2</v>
      </c>
      <c r="AP418" s="11">
        <f t="shared" si="323"/>
        <v>0.28456467614260195</v>
      </c>
      <c r="AQ418" s="11"/>
      <c r="AR418" s="3">
        <f>VLOOKUP(A418,[10]Sheet1!$A$2:$L$542,12,FALSE)</f>
        <v>3.0684827586207</v>
      </c>
      <c r="AS418" s="3">
        <f t="shared" si="330"/>
        <v>3.6630602230535496</v>
      </c>
      <c r="AT418" s="2"/>
      <c r="AU418" s="2"/>
      <c r="AV418" s="88">
        <f t="shared" si="331"/>
        <v>-1.2259025580733541E-2</v>
      </c>
      <c r="AW418" s="32">
        <f t="shared" si="332"/>
        <v>3.3466623080835789E-3</v>
      </c>
      <c r="AX418" s="12">
        <f t="shared" si="324"/>
        <v>482.97224297671363</v>
      </c>
      <c r="AY418" s="12">
        <f t="shared" si="325"/>
        <v>0</v>
      </c>
      <c r="AZ418" s="3">
        <f>VLOOKUP(A418,[5]Analysis!$A$3:$BJ$543,62,FALSE)</f>
        <v>1.2726010664453911</v>
      </c>
      <c r="BA418" s="2">
        <f>788.98/3</f>
        <v>262.99333333333334</v>
      </c>
      <c r="BB418" s="2"/>
      <c r="BC418" s="2" t="str">
        <f>VLOOKUP(A418,'[6]FGD status - Jun 2020'!$I$2:$M$449,5,FALSE)</f>
        <v>Feasibility study completed</v>
      </c>
      <c r="BD418" s="2" t="str">
        <f>VLOOKUP(A418,'[1]daily coal, energy reqd'!$C$2:$L$599,10,FALSE)</f>
        <v>Y</v>
      </c>
      <c r="BE418" s="2"/>
      <c r="BF418" s="2">
        <f t="shared" si="326"/>
        <v>393.06619855439084</v>
      </c>
      <c r="BG418" s="2">
        <f t="shared" si="327"/>
        <v>0</v>
      </c>
      <c r="BH418" s="2">
        <f>IF(G418&lt;17,IF(H418&gt;400,H418*5000000,H418*3500000),H418*1500000)/10^7</f>
        <v>31.5</v>
      </c>
      <c r="BI418" s="2">
        <f>(H418*800000)/10^7</f>
        <v>16.8</v>
      </c>
      <c r="BK418">
        <f t="shared" si="328"/>
        <v>150.51299824234331</v>
      </c>
      <c r="BL418">
        <f>VLOOKUP(A418,'[11]Daily coal vs energy req.2'!$C$2:$P$599,14,FALSE)</f>
        <v>1.1399999999999999</v>
      </c>
      <c r="BM418">
        <f>VLOOKUP(A418,'[11]Daily coal vs energy req.2'!$C$2:$R$599,16,FALSE)</f>
        <v>1.21</v>
      </c>
      <c r="BN418">
        <f>BL418*H418</f>
        <v>239.39999999999998</v>
      </c>
      <c r="BO418">
        <f>BM418*H418</f>
        <v>254.1</v>
      </c>
      <c r="BP418" s="2" t="str">
        <f>VLOOKUP(A418,'[7]Table 2'!$J$2:$N$449,5,FALSE)</f>
        <v>Feasibility Study completed</v>
      </c>
      <c r="BR418">
        <f t="shared" si="333"/>
        <v>538.90302443519863</v>
      </c>
      <c r="BT418">
        <f>(X418*I418*365*[5]Analysis!BK418)/10^4</f>
        <v>246.61806707802188</v>
      </c>
      <c r="BV418">
        <f>(X418*I418*365*[5]Analysis!BL418)/10^4</f>
        <v>292.28495735717672</v>
      </c>
      <c r="BX418">
        <f t="shared" si="334"/>
        <v>1189184.7714480606</v>
      </c>
      <c r="BZ418">
        <f t="shared" si="335"/>
        <v>8691999.2443763595</v>
      </c>
      <c r="CB418">
        <f t="shared" si="336"/>
        <v>-279210.61275139404</v>
      </c>
      <c r="CD418">
        <f t="shared" si="337"/>
        <v>0</v>
      </c>
      <c r="CF418">
        <f t="shared" si="338"/>
        <v>2354300.8384790085</v>
      </c>
      <c r="CH418">
        <f t="shared" si="339"/>
        <v>648747.15048906114</v>
      </c>
      <c r="CJ418">
        <f t="shared" si="340"/>
        <v>-456592.61915601493</v>
      </c>
      <c r="CL418">
        <f t="shared" si="341"/>
        <v>804476.86030088586</v>
      </c>
    </row>
    <row r="419" spans="1:90" x14ac:dyDescent="0.2">
      <c r="A419" s="2" t="s">
        <v>535</v>
      </c>
      <c r="B419" s="2" t="str">
        <f t="shared" si="311"/>
        <v>OBRA TPS</v>
      </c>
      <c r="C419" s="2" t="str">
        <f>VLOOKUP($A419,'[1]daily coal, energy reqd'!$C$2:$T$599,17,FALSE)</f>
        <v>Uttar Pradesh</v>
      </c>
      <c r="D419" s="2" t="str">
        <f>VLOOKUP(C419,'Target PLF'!$I$2:$J$19,2,FALSE)</f>
        <v>NR</v>
      </c>
      <c r="E419" s="2" t="s">
        <v>570</v>
      </c>
      <c r="F419" s="2" t="s">
        <v>551</v>
      </c>
      <c r="G419" s="12">
        <v>52.758384668035497</v>
      </c>
      <c r="H419" s="2">
        <v>50</v>
      </c>
      <c r="I419" s="2">
        <f>VLOOKUP(A419,'[3]Calculated coal req (reg.)'!$A$2:$I$599,9,FALSE)</f>
        <v>1.5340792540792501</v>
      </c>
      <c r="J419" s="2"/>
      <c r="K419" s="11">
        <v>1.278399378399375</v>
      </c>
      <c r="L419" s="3">
        <f>VLOOKUP(F419,'Target PLF'!$A$2:$B$11,2,FALSE)</f>
        <v>0.55000000000000004</v>
      </c>
      <c r="M419" s="3">
        <f t="shared" si="329"/>
        <v>-0.72839937839937496</v>
      </c>
      <c r="N419" s="2" t="str">
        <f t="shared" si="312"/>
        <v>0.25</v>
      </c>
      <c r="O419" s="2">
        <f t="shared" si="310"/>
        <v>22.618143655844051</v>
      </c>
      <c r="P419" s="2">
        <f t="shared" si="313"/>
        <v>412781.12171915395</v>
      </c>
      <c r="Q419" s="2">
        <f t="shared" si="314"/>
        <v>16.657694584360023</v>
      </c>
      <c r="R419" s="2">
        <f t="shared" si="315"/>
        <v>0.66</v>
      </c>
      <c r="S419" s="2"/>
      <c r="T419" s="2" t="s">
        <v>575</v>
      </c>
      <c r="U419" s="3">
        <f>VLOOKUP(B419,'[8]Import-Domestic share'!$A$208:$F$406,6,FALSE)</f>
        <v>0</v>
      </c>
      <c r="V419" s="3">
        <f t="shared" si="316"/>
        <v>0</v>
      </c>
      <c r="W419" s="2">
        <f t="shared" si="317"/>
        <v>3592.8131151163579</v>
      </c>
      <c r="X419" s="2">
        <f t="shared" si="318"/>
        <v>3352.0252585196222</v>
      </c>
      <c r="Y419" s="6">
        <f t="shared" si="319"/>
        <v>0.23936675035549346</v>
      </c>
      <c r="Z419" s="2"/>
      <c r="AA419" s="2">
        <f t="shared" si="320"/>
        <v>411324.10917950468</v>
      </c>
      <c r="AB419" s="2" t="s">
        <v>576</v>
      </c>
      <c r="AC419" s="12">
        <f>VLOOKUP(B419,[9]Sheet1!$A$2:$B$137,2,FALSE)</f>
        <v>4563.1398382003654</v>
      </c>
      <c r="AD419" s="12">
        <f t="shared" si="321"/>
        <v>228156.99191001826</v>
      </c>
      <c r="AE419" s="2"/>
      <c r="AF419" s="7">
        <f>VLOOKUP($B419,'[9]Subsidiary wise dispatch'!$A$3:$R$138,11,FALSE)*$H419*$O419*365</f>
        <v>2773.812761299288</v>
      </c>
      <c r="AG419" s="7">
        <f>VLOOKUP($B419,'[9]Subsidiary wise dispatch'!$A$3:$R$138,12,FALSE)*$H419*$O419*365</f>
        <v>0</v>
      </c>
      <c r="AH419" s="7">
        <f>VLOOKUP($B419,'[9]Subsidiary wise dispatch'!$A$3:$R$138,13,FALSE)*$H419*$O419*365</f>
        <v>0</v>
      </c>
      <c r="AI419" s="7">
        <f>VLOOKUP($B419,'[9]Subsidiary wise dispatch'!$A$3:$R$138,14,FALSE)*$H419*$O419*365</f>
        <v>0</v>
      </c>
      <c r="AJ419" s="7">
        <f>VLOOKUP($B419,'[9]Subsidiary wise dispatch'!$A$3:$R$138,15,FALSE)*$H419*$O419*365</f>
        <v>410007.30895785464</v>
      </c>
      <c r="AK419" s="7">
        <f>VLOOKUP($B419,'[9]Subsidiary wise dispatch'!$A$3:$R$138,16,FALSE)*$H419*$O419*365</f>
        <v>0</v>
      </c>
      <c r="AL419" s="7">
        <f>VLOOKUP($B419,'[9]Subsidiary wise dispatch'!$A$3:$R$138,17,FALSE)*$H419*$O419*365</f>
        <v>0</v>
      </c>
      <c r="AM419" s="7">
        <f>VLOOKUP($B419,'[9]Subsidiary wise dispatch'!$A$3:$R$138,18,FALSE)*$H419*$O419*365</f>
        <v>0</v>
      </c>
      <c r="AN419" s="15">
        <f t="shared" si="322"/>
        <v>412781.12171915395</v>
      </c>
      <c r="AO419" s="6">
        <v>9.0180179439313821E-2</v>
      </c>
      <c r="AP419" s="11">
        <f t="shared" si="323"/>
        <v>0.13834354240699548</v>
      </c>
      <c r="AQ419" s="11"/>
      <c r="AR419" s="3">
        <f>VLOOKUP(A419,[10]Sheet1!$A$2:$L$542,12,FALSE)</f>
        <v>2.3353287197231798</v>
      </c>
      <c r="AS419" s="3">
        <f t="shared" si="330"/>
        <v>2.4755908454186679</v>
      </c>
      <c r="AT419" s="2"/>
      <c r="AU419" s="2"/>
      <c r="AV419" s="88">
        <f t="shared" si="331"/>
        <v>-0.53378563247862998</v>
      </c>
      <c r="AW419" s="32">
        <f t="shared" si="332"/>
        <v>0.21561948876424974</v>
      </c>
      <c r="AX419" s="12">
        <f t="shared" si="324"/>
        <v>138.61796835040309</v>
      </c>
      <c r="AY419" s="12">
        <f t="shared" si="325"/>
        <v>0</v>
      </c>
      <c r="AZ419" s="3">
        <f>VLOOKUP(A419,[5]Analysis!$A$3:$BJ$543,62,FALSE)</f>
        <v>0.45735869596125545</v>
      </c>
      <c r="BA419" s="39">
        <v>196.43</v>
      </c>
      <c r="BB419" s="2"/>
      <c r="BC419" s="2" t="e">
        <f>VLOOKUP(A419,'[6]FGD status - Jun 2020'!$I$2:$M$449,5,FALSE)</f>
        <v>#N/A</v>
      </c>
      <c r="BD419" s="2" t="str">
        <f>VLOOKUP(A419,'[1]daily coal, energy reqd'!$C$2:$L$599,10,FALSE)</f>
        <v>Y</v>
      </c>
      <c r="BE419" s="2"/>
      <c r="BF419" s="2">
        <f t="shared" si="326"/>
        <v>127.30481179105671</v>
      </c>
      <c r="BG419" s="2">
        <f t="shared" si="327"/>
        <v>0</v>
      </c>
      <c r="BH419" s="2"/>
      <c r="BI419" s="2"/>
      <c r="BK419">
        <f t="shared" si="328"/>
        <v>63.919968919968753</v>
      </c>
      <c r="BL419">
        <f>VLOOKUP(A419,'[11]Daily coal vs energy req.2'!$C$2:$P$599,14,FALSE)</f>
        <v>1.2</v>
      </c>
      <c r="BM419">
        <f>VLOOKUP(A419,'[11]Daily coal vs energy req.2'!$C$2:$R$599,16,FALSE)</f>
        <v>1.3</v>
      </c>
      <c r="BN419">
        <f>BL419*H419</f>
        <v>60</v>
      </c>
      <c r="BO419">
        <f>BM419*H419</f>
        <v>65</v>
      </c>
      <c r="BP419" s="2" t="e">
        <f>VLOOKUP(A419,'[7]Table 2'!$J$2:$N$449,5,FALSE)</f>
        <v>#N/A</v>
      </c>
      <c r="BR419">
        <f t="shared" si="333"/>
        <v>85.842999606298548</v>
      </c>
      <c r="BT419">
        <f>(X419*I419*365*[5]Analysis!BK419)/10^4</f>
        <v>69.650339790079386</v>
      </c>
      <c r="BV419">
        <f>(X419*I419*365*[5]Analysis!BL419)/10^4</f>
        <v>16.192659816219177</v>
      </c>
      <c r="BX419">
        <f t="shared" si="334"/>
        <v>527082.9218450702</v>
      </c>
      <c r="BZ419">
        <f t="shared" si="335"/>
        <v>1326621.0559300536</v>
      </c>
      <c r="CB419">
        <f t="shared" si="336"/>
        <v>-211498.02114519294</v>
      </c>
      <c r="CD419">
        <f t="shared" si="337"/>
        <v>0</v>
      </c>
      <c r="CF419">
        <f t="shared" si="338"/>
        <v>999826.18233099976</v>
      </c>
      <c r="CH419">
        <f t="shared" si="339"/>
        <v>599287.23109023948</v>
      </c>
      <c r="CJ419">
        <f t="shared" si="340"/>
        <v>-46168.115151515041</v>
      </c>
      <c r="CL419">
        <f t="shared" si="341"/>
        <v>391103.28150044207</v>
      </c>
    </row>
    <row r="420" spans="1:90" x14ac:dyDescent="0.2">
      <c r="A420" s="2" t="s">
        <v>515</v>
      </c>
      <c r="B420" s="2" t="s">
        <v>582</v>
      </c>
      <c r="C420" s="2" t="str">
        <f>VLOOKUP($A420,'[1]daily coal, energy reqd'!$C$2:$T$599,17,FALSE)</f>
        <v>Uttar Pradesh</v>
      </c>
      <c r="D420" s="2" t="str">
        <f>VLOOKUP(C420,'Target PLF'!$I$2:$J$19,2,FALSE)</f>
        <v>NR</v>
      </c>
      <c r="E420" s="2" t="str">
        <f>VLOOKUP(A420,[2]Ownership!$C$2:$D$666,2,FALSE)</f>
        <v>STATE SECTOR</v>
      </c>
      <c r="F420" s="2" t="s">
        <v>550</v>
      </c>
      <c r="G420" s="12">
        <v>41.338809034907598</v>
      </c>
      <c r="H420" s="2">
        <v>200</v>
      </c>
      <c r="I420" s="2">
        <f>VLOOKUP(A420,'[3]Calculated coal req (reg.)'!$A$2:$I$599,9,FALSE)</f>
        <v>3.0038180028956298</v>
      </c>
      <c r="J420" s="2"/>
      <c r="K420" s="11">
        <v>0.62579541726992294</v>
      </c>
      <c r="L420" s="3">
        <f>VLOOKUP(F420,'Target PLF'!$A$2:$B$11,2,FALSE)</f>
        <v>0.55000000000000004</v>
      </c>
      <c r="M420" s="3">
        <f t="shared" si="329"/>
        <v>-7.5795417269922893E-2</v>
      </c>
      <c r="N420" s="2" t="str">
        <f t="shared" si="312"/>
        <v>0.25</v>
      </c>
      <c r="O420" s="2">
        <f t="shared" si="310"/>
        <v>12.395368905282316</v>
      </c>
      <c r="P420" s="2">
        <f t="shared" si="313"/>
        <v>904861.93008560908</v>
      </c>
      <c r="Q420" s="2">
        <f t="shared" si="314"/>
        <v>15.514794526180697</v>
      </c>
      <c r="R420" s="2">
        <f t="shared" si="315"/>
        <v>2.64</v>
      </c>
      <c r="S420" s="2"/>
      <c r="T420" s="2" t="str">
        <f>VLOOKUP(A420,'[4]CEA vs MERIT comp. &amp; NPA marker'!$C$2:$K$735,9,FALSE)</f>
        <v>Contracted</v>
      </c>
      <c r="U420" s="3">
        <f>VLOOKUP(B420,'[8]Import-Domestic share'!$A$208:$F$406,6,FALSE)</f>
        <v>0</v>
      </c>
      <c r="V420" s="3">
        <f t="shared" si="316"/>
        <v>0</v>
      </c>
      <c r="W420" s="2">
        <f t="shared" si="317"/>
        <v>3366.7000799671459</v>
      </c>
      <c r="X420" s="2">
        <f t="shared" si="318"/>
        <v>3341.6442979257267</v>
      </c>
      <c r="Y420" s="6">
        <f t="shared" si="319"/>
        <v>0.25544300934830888</v>
      </c>
      <c r="Z420" s="2"/>
      <c r="AA420" s="2">
        <f t="shared" si="320"/>
        <v>802902.7062316949</v>
      </c>
      <c r="AB420" s="2" t="s">
        <v>576</v>
      </c>
      <c r="AC420" s="12">
        <f>VLOOKUP(B420,[9]Sheet1!$A$2:$B$137,2,FALSE)</f>
        <v>4563.1398382003654</v>
      </c>
      <c r="AD420" s="12">
        <f t="shared" si="321"/>
        <v>912627.96764007304</v>
      </c>
      <c r="AE420" s="2"/>
      <c r="AF420" s="7">
        <f>VLOOKUP($B420,'[9]Subsidiary wise dispatch'!$A$3:$R$138,11,FALSE)*$H420*$O420*365</f>
        <v>6080.5047440930521</v>
      </c>
      <c r="AG420" s="7">
        <f>VLOOKUP($B420,'[9]Subsidiary wise dispatch'!$A$3:$R$138,12,FALSE)*$H420*$O420*365</f>
        <v>0</v>
      </c>
      <c r="AH420" s="7">
        <f>VLOOKUP($B420,'[9]Subsidiary wise dispatch'!$A$3:$R$138,13,FALSE)*$H420*$O420*365</f>
        <v>0</v>
      </c>
      <c r="AI420" s="7">
        <f>VLOOKUP($B420,'[9]Subsidiary wise dispatch'!$A$3:$R$138,14,FALSE)*$H420*$O420*365</f>
        <v>0</v>
      </c>
      <c r="AJ420" s="7">
        <f>VLOOKUP($B420,'[9]Subsidiary wise dispatch'!$A$3:$R$138,15,FALSE)*$H420*$O420*365</f>
        <v>898781.42534151592</v>
      </c>
      <c r="AK420" s="7">
        <f>VLOOKUP($B420,'[9]Subsidiary wise dispatch'!$A$3:$R$138,16,FALSE)*$H420*$O420*365</f>
        <v>0</v>
      </c>
      <c r="AL420" s="7">
        <f>VLOOKUP($B420,'[9]Subsidiary wise dispatch'!$A$3:$R$138,17,FALSE)*$H420*$O420*365</f>
        <v>0</v>
      </c>
      <c r="AM420" s="7">
        <f>VLOOKUP($B420,'[9]Subsidiary wise dispatch'!$A$3:$R$138,18,FALSE)*$H420*$O420*365</f>
        <v>0</v>
      </c>
      <c r="AN420" s="15">
        <f t="shared" si="322"/>
        <v>904861.93008560897</v>
      </c>
      <c r="AO420" s="6">
        <v>9.0180179439313821E-2</v>
      </c>
      <c r="AP420" s="11">
        <f t="shared" si="323"/>
        <v>0.27088484650416916</v>
      </c>
      <c r="AQ420" s="11"/>
      <c r="AR420" s="3">
        <f>VLOOKUP(A420,[10]Sheet1!$A$2:$L$542,12,FALSE)</f>
        <v>1.88889254385964</v>
      </c>
      <c r="AS420" s="3">
        <f t="shared" si="330"/>
        <v>2.2996855491822981</v>
      </c>
      <c r="AT420" s="2"/>
      <c r="AU420" s="2"/>
      <c r="AV420" s="88">
        <f t="shared" si="331"/>
        <v>-5.5544397683744896E-2</v>
      </c>
      <c r="AW420" s="32">
        <f t="shared" si="332"/>
        <v>2.4153040272612437E-2</v>
      </c>
      <c r="AX420" s="12">
        <f t="shared" si="324"/>
        <v>252.13604515759394</v>
      </c>
      <c r="AY420" s="12">
        <f t="shared" si="325"/>
        <v>0</v>
      </c>
      <c r="AZ420" s="3">
        <f>VLOOKUP(A420,[5]Analysis!$A$3:$BJ$543,62,FALSE)</f>
        <v>0.45735869596125545</v>
      </c>
      <c r="BA420" s="2">
        <f>463.79/5</f>
        <v>92.75800000000001</v>
      </c>
      <c r="BB420" s="2"/>
      <c r="BC420" s="2" t="str">
        <f>VLOOKUP(A420,'[6]FGD status - Jun 2020'!$I$2:$M$449,5,FALSE)</f>
        <v>Feasibility study completed</v>
      </c>
      <c r="BD420" s="2">
        <f>VLOOKUP(A420,'[1]daily coal, energy reqd'!$C$2:$L$599,10,FALSE)</f>
        <v>0</v>
      </c>
      <c r="BE420" s="2" t="str">
        <f>VLOOKUP(A420,'[1]daily coal, energy reqd'!$C$2:$M$599,11,FALSE)</f>
        <v>Y</v>
      </c>
      <c r="BF420" s="2">
        <f t="shared" si="326"/>
        <v>248.49838757870955</v>
      </c>
      <c r="BG420" s="2">
        <f t="shared" si="327"/>
        <v>0</v>
      </c>
      <c r="BH420" s="2">
        <f>IF(G420&lt;17,IF(H420&gt;400,H420*5000000,H420*3500000),H420*1500000)/10^7</f>
        <v>30</v>
      </c>
      <c r="BI420" s="2">
        <f>(H420*800000)/10^7</f>
        <v>16</v>
      </c>
      <c r="BK420">
        <f t="shared" si="328"/>
        <v>125.15908345398459</v>
      </c>
      <c r="BL420" t="str">
        <f>VLOOKUP(A420,'[11]Daily coal vs energy req.2'!$C$2:$P$599,14,FALSE)</f>
        <v/>
      </c>
      <c r="BM420" t="str">
        <f>VLOOKUP(A420,'[11]Daily coal vs energy req.2'!$C$2:$R$599,16,FALSE)</f>
        <v/>
      </c>
      <c r="BP420" s="2" t="str">
        <f>VLOOKUP(A420,'[7]Table 2'!$J$2:$N$449,5,FALSE)</f>
        <v>Feasibility Study completed</v>
      </c>
      <c r="BR420">
        <f t="shared" si="333"/>
        <v>167.56512724826615</v>
      </c>
      <c r="BT420">
        <f>(X420*I420*365*[5]Analysis!BK420)/10^4</f>
        <v>135.9571322453333</v>
      </c>
      <c r="BV420">
        <f>(X420*I420*365*[5]Analysis!BL420)/10^4</f>
        <v>31.607995002932864</v>
      </c>
      <c r="BX420">
        <f t="shared" si="334"/>
        <v>1028863.3583917397</v>
      </c>
      <c r="BZ420">
        <f t="shared" si="335"/>
        <v>2597602.5685940506</v>
      </c>
      <c r="CB420">
        <f t="shared" si="336"/>
        <v>-202720.63361683511</v>
      </c>
      <c r="CD420">
        <f t="shared" si="337"/>
        <v>0</v>
      </c>
      <c r="CF420">
        <f t="shared" si="338"/>
        <v>1957718.8585702081</v>
      </c>
      <c r="CH420">
        <f t="shared" si="339"/>
        <v>919448.29926475557</v>
      </c>
      <c r="CJ420">
        <f t="shared" si="340"/>
        <v>-361599.61118857597</v>
      </c>
      <c r="CL420">
        <f t="shared" si="341"/>
        <v>765803.38000053237</v>
      </c>
    </row>
    <row r="421" spans="1:90" x14ac:dyDescent="0.2">
      <c r="A421" s="2" t="s">
        <v>516</v>
      </c>
      <c r="B421" s="2" t="s">
        <v>582</v>
      </c>
      <c r="C421" s="2" t="str">
        <f>VLOOKUP($A421,'[1]daily coal, energy reqd'!$C$2:$T$599,17,FALSE)</f>
        <v>Uttar Pradesh</v>
      </c>
      <c r="D421" s="2" t="str">
        <f>VLOOKUP(C421,'Target PLF'!$I$2:$J$19,2,FALSE)</f>
        <v>NR</v>
      </c>
      <c r="E421" s="2" t="str">
        <f>VLOOKUP(A421,[2]Ownership!$C$2:$D$666,2,FALSE)</f>
        <v>STATE SECTOR</v>
      </c>
      <c r="F421" s="2" t="s">
        <v>550</v>
      </c>
      <c r="G421" s="12">
        <v>42.4229979466119</v>
      </c>
      <c r="H421" s="2">
        <v>200</v>
      </c>
      <c r="I421" s="2">
        <f>VLOOKUP(A421,'[3]Calculated coal req (reg.)'!$A$2:$I$599,9,FALSE)</f>
        <v>3.4475288629341199</v>
      </c>
      <c r="J421" s="2"/>
      <c r="K421" s="11">
        <v>0.7182351797779416</v>
      </c>
      <c r="L421" s="3">
        <f>VLOOKUP(F421,'Target PLF'!$A$2:$B$11,2,FALSE)</f>
        <v>0.55000000000000004</v>
      </c>
      <c r="M421" s="3">
        <f t="shared" si="329"/>
        <v>-0.16823517977794156</v>
      </c>
      <c r="N421" s="2" t="str">
        <f t="shared" si="312"/>
        <v>0.25</v>
      </c>
      <c r="O421" s="2">
        <f t="shared" si="310"/>
        <v>13.715852736763368</v>
      </c>
      <c r="P421" s="2">
        <f t="shared" si="313"/>
        <v>1001257.2497837258</v>
      </c>
      <c r="Q421" s="2">
        <f t="shared" si="314"/>
        <v>15.549136209958933</v>
      </c>
      <c r="R421" s="2">
        <f t="shared" si="315"/>
        <v>2.64</v>
      </c>
      <c r="S421" s="2"/>
      <c r="T421" s="2" t="str">
        <f>VLOOKUP(A421,'[4]CEA vs MERIT comp. &amp; NPA marker'!$C$2:$K$735,9,FALSE)</f>
        <v>Contracted</v>
      </c>
      <c r="U421" s="3">
        <f>VLOOKUP(B421,'[8]Import-Domestic share'!$A$208:$F$406,6,FALSE)</f>
        <v>0</v>
      </c>
      <c r="V421" s="3">
        <f t="shared" si="316"/>
        <v>0</v>
      </c>
      <c r="W421" s="2">
        <f t="shared" si="317"/>
        <v>3374.9838654620125</v>
      </c>
      <c r="X421" s="2">
        <f t="shared" si="318"/>
        <v>3319.3701602006026</v>
      </c>
      <c r="Y421" s="6">
        <f t="shared" si="319"/>
        <v>0.2548160329893227</v>
      </c>
      <c r="Z421" s="2"/>
      <c r="AA421" s="2">
        <f t="shared" si="320"/>
        <v>915361.58577970834</v>
      </c>
      <c r="AB421" s="2" t="s">
        <v>576</v>
      </c>
      <c r="AC421" s="12">
        <f>VLOOKUP(B421,[9]Sheet1!$A$2:$B$137,2,FALSE)</f>
        <v>4563.1398382003654</v>
      </c>
      <c r="AD421" s="12">
        <f t="shared" si="321"/>
        <v>912627.96764007304</v>
      </c>
      <c r="AE421" s="2"/>
      <c r="AF421" s="7">
        <f>VLOOKUP($B421,'[9]Subsidiary wise dispatch'!$A$3:$R$138,11,FALSE)*$H421*$O421*365</f>
        <v>6728.2634564938617</v>
      </c>
      <c r="AG421" s="7">
        <f>VLOOKUP($B421,'[9]Subsidiary wise dispatch'!$A$3:$R$138,12,FALSE)*$H421*$O421*365</f>
        <v>0</v>
      </c>
      <c r="AH421" s="7">
        <f>VLOOKUP($B421,'[9]Subsidiary wise dispatch'!$A$3:$R$138,13,FALSE)*$H421*$O421*365</f>
        <v>0</v>
      </c>
      <c r="AI421" s="7">
        <f>VLOOKUP($B421,'[9]Subsidiary wise dispatch'!$A$3:$R$138,14,FALSE)*$H421*$O421*365</f>
        <v>0</v>
      </c>
      <c r="AJ421" s="7">
        <f>VLOOKUP($B421,'[9]Subsidiary wise dispatch'!$A$3:$R$138,15,FALSE)*$H421*$O421*365</f>
        <v>994528.98632723209</v>
      </c>
      <c r="AK421" s="7">
        <f>VLOOKUP($B421,'[9]Subsidiary wise dispatch'!$A$3:$R$138,16,FALSE)*$H421*$O421*365</f>
        <v>0</v>
      </c>
      <c r="AL421" s="7">
        <f>VLOOKUP($B421,'[9]Subsidiary wise dispatch'!$A$3:$R$138,17,FALSE)*$H421*$O421*365</f>
        <v>0</v>
      </c>
      <c r="AM421" s="7">
        <f>VLOOKUP($B421,'[9]Subsidiary wise dispatch'!$A$3:$R$138,18,FALSE)*$H421*$O421*365</f>
        <v>0</v>
      </c>
      <c r="AN421" s="15">
        <f t="shared" si="322"/>
        <v>1001257.2497837259</v>
      </c>
      <c r="AO421" s="6">
        <v>9.0180179439313821E-2</v>
      </c>
      <c r="AP421" s="11">
        <f t="shared" si="323"/>
        <v>0.31089877148161249</v>
      </c>
      <c r="AQ421" s="11"/>
      <c r="AR421" s="3">
        <f>VLOOKUP(A421,[10]Sheet1!$A$2:$L$542,12,FALSE)</f>
        <v>1.88889254385964</v>
      </c>
      <c r="AS421" s="3">
        <f t="shared" si="330"/>
        <v>2.3054303268621874</v>
      </c>
      <c r="AT421" s="2"/>
      <c r="AU421" s="2"/>
      <c r="AV421" s="88">
        <f t="shared" si="331"/>
        <v>-0.12328610444487113</v>
      </c>
      <c r="AW421" s="32">
        <f t="shared" si="332"/>
        <v>5.3476395711628398E-2</v>
      </c>
      <c r="AX421" s="12">
        <f t="shared" si="324"/>
        <v>290.10337215694773</v>
      </c>
      <c r="AY421" s="12">
        <f t="shared" si="325"/>
        <v>0</v>
      </c>
      <c r="AZ421" s="3">
        <f>VLOOKUP(A421,[5]Analysis!$A$3:$BJ$543,62,FALSE)</f>
        <v>0.45735869596125545</v>
      </c>
      <c r="BA421" s="2">
        <f>463.79/5</f>
        <v>92.75800000000001</v>
      </c>
      <c r="BB421" s="2"/>
      <c r="BC421" s="2" t="str">
        <f>VLOOKUP(A421,'[6]FGD status - Jun 2020'!$I$2:$M$449,5,FALSE)</f>
        <v>Feasibility study completed</v>
      </c>
      <c r="BD421" s="2">
        <f>VLOOKUP(A421,'[1]daily coal, energy reqd'!$C$2:$L$599,10,FALSE)</f>
        <v>0</v>
      </c>
      <c r="BE421" s="2" t="str">
        <f>VLOOKUP(A421,'[1]daily coal, energy reqd'!$C$2:$M$599,11,FALSE)</f>
        <v>Y</v>
      </c>
      <c r="BF421" s="2">
        <f t="shared" si="326"/>
        <v>283.30441079881973</v>
      </c>
      <c r="BG421" s="2">
        <f t="shared" si="327"/>
        <v>0</v>
      </c>
      <c r="BH421" s="2">
        <f>IF(G421&lt;17,IF(H421&gt;400,H421*5000000,H421*3500000),H421*1500000)/10^7</f>
        <v>30</v>
      </c>
      <c r="BI421" s="2">
        <f>(H421*800000)/10^7</f>
        <v>16</v>
      </c>
      <c r="BK421">
        <f t="shared" si="328"/>
        <v>143.64703595558831</v>
      </c>
      <c r="BL421" t="str">
        <f>VLOOKUP(A421,'[11]Daily coal vs energy req.2'!$C$2:$P$599,14,FALSE)</f>
        <v/>
      </c>
      <c r="BM421" t="str">
        <f>VLOOKUP(A421,'[11]Daily coal vs energy req.2'!$C$2:$R$599,16,FALSE)</f>
        <v/>
      </c>
      <c r="BP421" s="2" t="str">
        <f>VLOOKUP(A421,'[7]Table 2'!$J$2:$N$449,5,FALSE)</f>
        <v>Feasibility Study completed</v>
      </c>
      <c r="BR421">
        <f t="shared" si="333"/>
        <v>191.03520191036651</v>
      </c>
      <c r="BT421">
        <f>(X421*I421*365*[5]Analysis!BK421)/10^4</f>
        <v>155.0000208048086</v>
      </c>
      <c r="BV421">
        <f>(X421*I421*365*[5]Analysis!BL421)/10^4</f>
        <v>36.03518110555796</v>
      </c>
      <c r="BX421">
        <f t="shared" si="334"/>
        <v>1172971.5044905178</v>
      </c>
      <c r="BZ421">
        <f t="shared" si="335"/>
        <v>2981309.0610106969</v>
      </c>
      <c r="CB421">
        <f t="shared" si="336"/>
        <v>-267033.98993469856</v>
      </c>
      <c r="CD421">
        <f t="shared" si="337"/>
        <v>0</v>
      </c>
      <c r="CF421">
        <f t="shared" si="338"/>
        <v>2246904.5274797035</v>
      </c>
      <c r="CH421">
        <f t="shared" si="339"/>
        <v>1082941.5183556608</v>
      </c>
      <c r="CJ421">
        <f t="shared" si="340"/>
        <v>-415013.52452000941</v>
      </c>
      <c r="CL421">
        <f t="shared" si="341"/>
        <v>878924.50652446353</v>
      </c>
    </row>
    <row r="422" spans="1:90" x14ac:dyDescent="0.2">
      <c r="A422" s="2" t="s">
        <v>502</v>
      </c>
      <c r="B422" s="2" t="s">
        <v>582</v>
      </c>
      <c r="C422" s="2" t="str">
        <f>VLOOKUP($A422,'[1]daily coal, energy reqd'!$C$2:$T$599,17,FALSE)</f>
        <v>Uttar Pradesh</v>
      </c>
      <c r="D422" s="2" t="str">
        <f>VLOOKUP(C422,'Target PLF'!$I$2:$J$19,2,FALSE)</f>
        <v>NR</v>
      </c>
      <c r="E422" s="2" t="str">
        <f>VLOOKUP(A422,[2]Ownership!$C$2:$D$666,2,FALSE)</f>
        <v>STATE SECTOR</v>
      </c>
      <c r="F422" s="2" t="s">
        <v>549</v>
      </c>
      <c r="G422" s="12">
        <v>39.175906913073199</v>
      </c>
      <c r="H422" s="2">
        <v>200</v>
      </c>
      <c r="I422" s="2">
        <f>VLOOKUP(A422,'[3]Calculated coal req (reg.)'!$A$2:$I$599,9,FALSE)</f>
        <v>4.2275800271906999E-2</v>
      </c>
      <c r="J422" s="2"/>
      <c r="K422" s="11">
        <v>8.8074583899806248E-3</v>
      </c>
      <c r="L422" s="3">
        <f>VLOOKUP(F422,'Target PLF'!$A$2:$B$11,2,FALSE)</f>
        <v>0.55000000000000004</v>
      </c>
      <c r="M422" s="3">
        <f t="shared" si="329"/>
        <v>0.5411925416100194</v>
      </c>
      <c r="N422" s="2" t="str">
        <f t="shared" si="312"/>
        <v>0.25</v>
      </c>
      <c r="O422" s="2">
        <f t="shared" si="310"/>
        <v>3.7425204122889113</v>
      </c>
      <c r="P422" s="2">
        <f t="shared" si="313"/>
        <v>273203.99009709054</v>
      </c>
      <c r="Q422" s="2">
        <f t="shared" si="314"/>
        <v>15.446284601471593</v>
      </c>
      <c r="R422" s="2">
        <f t="shared" si="315"/>
        <v>2.64</v>
      </c>
      <c r="S422" s="2"/>
      <c r="T422" s="2" t="str">
        <f>VLOOKUP(A422,'[4]CEA vs MERIT comp. &amp; NPA marker'!$C$2:$K$735,9,FALSE)</f>
        <v>Contracted</v>
      </c>
      <c r="U422" s="3">
        <f>VLOOKUP(B422,'[8]Import-Domestic share'!$A$208:$F$406,6,FALSE)</f>
        <v>0</v>
      </c>
      <c r="V422" s="3">
        <f t="shared" si="316"/>
        <v>0</v>
      </c>
      <c r="W422" s="2">
        <f t="shared" si="317"/>
        <v>3350.1743462778918</v>
      </c>
      <c r="X422" s="2">
        <f t="shared" si="318"/>
        <v>3529.0770141889657</v>
      </c>
      <c r="Y422" s="6">
        <f t="shared" si="319"/>
        <v>0.25670305814247446</v>
      </c>
      <c r="Z422" s="2"/>
      <c r="AA422" s="2">
        <f t="shared" si="320"/>
        <v>11933.890808620894</v>
      </c>
      <c r="AB422" s="2" t="s">
        <v>576</v>
      </c>
      <c r="AC422" s="12">
        <f>VLOOKUP(B422,[9]Sheet1!$A$2:$B$137,2,FALSE)</f>
        <v>4563.1398382003654</v>
      </c>
      <c r="AD422" s="12">
        <f t="shared" si="321"/>
        <v>912627.96764007304</v>
      </c>
      <c r="AE422" s="2"/>
      <c r="AF422" s="7">
        <f>VLOOKUP($B422,'[9]Subsidiary wise dispatch'!$A$3:$R$138,11,FALSE)*$H422*$O422*365</f>
        <v>1835.8802626753695</v>
      </c>
      <c r="AG422" s="7">
        <f>VLOOKUP($B422,'[9]Subsidiary wise dispatch'!$A$3:$R$138,12,FALSE)*$H422*$O422*365</f>
        <v>0</v>
      </c>
      <c r="AH422" s="7">
        <f>VLOOKUP($B422,'[9]Subsidiary wise dispatch'!$A$3:$R$138,13,FALSE)*$H422*$O422*365</f>
        <v>0</v>
      </c>
      <c r="AI422" s="7">
        <f>VLOOKUP($B422,'[9]Subsidiary wise dispatch'!$A$3:$R$138,14,FALSE)*$H422*$O422*365</f>
        <v>0</v>
      </c>
      <c r="AJ422" s="7">
        <f>VLOOKUP($B422,'[9]Subsidiary wise dispatch'!$A$3:$R$138,15,FALSE)*$H422*$O422*365</f>
        <v>271368.10983441514</v>
      </c>
      <c r="AK422" s="7">
        <f>VLOOKUP($B422,'[9]Subsidiary wise dispatch'!$A$3:$R$138,16,FALSE)*$H422*$O422*365</f>
        <v>0</v>
      </c>
      <c r="AL422" s="7">
        <f>VLOOKUP($B422,'[9]Subsidiary wise dispatch'!$A$3:$R$138,17,FALSE)*$H422*$O422*365</f>
        <v>0</v>
      </c>
      <c r="AM422" s="7">
        <f>VLOOKUP($B422,'[9]Subsidiary wise dispatch'!$A$3:$R$138,18,FALSE)*$H422*$O422*365</f>
        <v>0</v>
      </c>
      <c r="AN422" s="15">
        <f t="shared" si="322"/>
        <v>273203.99009709049</v>
      </c>
      <c r="AO422" s="6">
        <v>9.0180179439313821E-2</v>
      </c>
      <c r="AP422" s="11">
        <f t="shared" si="323"/>
        <v>3.8124392544611652E-3</v>
      </c>
      <c r="AQ422" s="11"/>
      <c r="AR422" s="3">
        <f>VLOOKUP(A422,[10]Sheet1!$A$2:$L$542,12,FALSE)</f>
        <v>1.88889254385964</v>
      </c>
      <c r="AS422" s="3">
        <f t="shared" si="330"/>
        <v>2.3028821938381578</v>
      </c>
      <c r="AT422" s="2"/>
      <c r="AU422" s="2"/>
      <c r="AV422" s="88">
        <f t="shared" si="331"/>
        <v>0.39659671834265442</v>
      </c>
      <c r="AW422" s="32">
        <f t="shared" si="332"/>
        <v>0.17221754521522281</v>
      </c>
      <c r="AX422" s="12">
        <f t="shared" si="324"/>
        <v>3.5535008501898036</v>
      </c>
      <c r="AY422" s="12">
        <f t="shared" si="325"/>
        <v>0</v>
      </c>
      <c r="AZ422" s="3">
        <f>VLOOKUP(A422,[5]Analysis!$A$3:$BJ$543,62,FALSE)</f>
        <v>0.45735869596125545</v>
      </c>
      <c r="BA422" s="2">
        <f>463.79/5</f>
        <v>92.75800000000001</v>
      </c>
      <c r="BB422" s="2"/>
      <c r="BC422" s="2" t="str">
        <f>VLOOKUP(A422,'[6]FGD status - Jun 2020'!$I$2:$M$449,5,FALSE)</f>
        <v>Feasibility study completed</v>
      </c>
      <c r="BD422" s="2">
        <f>VLOOKUP(A422,'[1]daily coal, energy reqd'!$C$2:$L$599,10,FALSE)</f>
        <v>0</v>
      </c>
      <c r="BE422" s="2" t="str">
        <f>VLOOKUP(A422,'[1]daily coal, energy reqd'!$C$2:$M$599,11,FALSE)</f>
        <v>Y</v>
      </c>
      <c r="BF422" s="2">
        <f t="shared" si="326"/>
        <v>3.6935392052681668</v>
      </c>
      <c r="BG422" s="2">
        <f t="shared" si="327"/>
        <v>0</v>
      </c>
      <c r="BH422" s="2">
        <f>IF(G422&lt;17,IF(H422&gt;400,H422*5000000,H422*3500000),H422*1500000)/10^7</f>
        <v>30</v>
      </c>
      <c r="BI422" s="2">
        <f>(H422*800000)/10^7</f>
        <v>16</v>
      </c>
      <c r="BK422">
        <f t="shared" si="328"/>
        <v>1.7614916779961249</v>
      </c>
      <c r="BL422" t="str">
        <f>VLOOKUP(A422,'[11]Daily coal vs energy req.2'!$C$2:$P$599,14,FALSE)</f>
        <v/>
      </c>
      <c r="BM422" t="str">
        <f>VLOOKUP(A422,'[11]Daily coal vs energy req.2'!$C$2:$R$599,16,FALSE)</f>
        <v/>
      </c>
      <c r="BP422" s="2" t="str">
        <f>VLOOKUP(A422,'[7]Table 2'!$J$2:$N$449,5,FALSE)</f>
        <v>Feasibility Study completed</v>
      </c>
      <c r="BR422">
        <f t="shared" si="333"/>
        <v>2.4905930897889093</v>
      </c>
      <c r="BT422">
        <f>(X422*I422*365*[5]Analysis!BK422)/10^4</f>
        <v>2.0207897647823247</v>
      </c>
      <c r="BV422">
        <f>(X422*I422*365*[5]Analysis!BL422)/10^4</f>
        <v>0.46980332500658506</v>
      </c>
      <c r="BX422">
        <f t="shared" si="334"/>
        <v>15292.441887093137</v>
      </c>
      <c r="BZ422">
        <f t="shared" si="335"/>
        <v>36558.715364850388</v>
      </c>
      <c r="CB422">
        <f t="shared" si="336"/>
        <v>-40.154516244946585</v>
      </c>
      <c r="CD422">
        <f t="shared" si="337"/>
        <v>0</v>
      </c>
      <c r="CF422">
        <f t="shared" si="338"/>
        <v>27552.978034513621</v>
      </c>
      <c r="CH422">
        <f t="shared" si="339"/>
        <v>12263.279707019057</v>
      </c>
      <c r="CJ422">
        <f t="shared" si="340"/>
        <v>-5089.1608367321651</v>
      </c>
      <c r="CL422">
        <f t="shared" si="341"/>
        <v>10777.933519688908</v>
      </c>
    </row>
    <row r="423" spans="1:90" x14ac:dyDescent="0.2">
      <c r="A423" s="2" t="s">
        <v>496</v>
      </c>
      <c r="B423" s="2" t="s">
        <v>582</v>
      </c>
      <c r="C423" s="2" t="str">
        <f>VLOOKUP($A423,'[1]daily coal, energy reqd'!$C$2:$T$599,17,FALSE)</f>
        <v>Uttar Pradesh</v>
      </c>
      <c r="D423" s="2" t="str">
        <f>VLOOKUP(C423,'Target PLF'!$I$2:$J$19,2,FALSE)</f>
        <v>NR</v>
      </c>
      <c r="E423" s="2" t="str">
        <f>VLOOKUP(A423,[2]Ownership!$C$2:$D$666,2,FALSE)</f>
        <v>STATE SECTOR</v>
      </c>
      <c r="F423" s="2" t="s">
        <v>549</v>
      </c>
      <c r="G423" s="12">
        <v>37.842573579739899</v>
      </c>
      <c r="H423" s="2">
        <v>200</v>
      </c>
      <c r="I423" s="2">
        <f>VLOOKUP(A423,'[3]Calculated coal req (reg.)'!$A$2:$I$599,9,FALSE)</f>
        <v>0.392669921311745</v>
      </c>
      <c r="J423" s="2"/>
      <c r="K423" s="11">
        <v>8.1806233606613543E-2</v>
      </c>
      <c r="L423" s="3">
        <f>VLOOKUP(F423,'Target PLF'!$A$2:$B$11,2,FALSE)</f>
        <v>0.55000000000000004</v>
      </c>
      <c r="M423" s="3">
        <f t="shared" si="329"/>
        <v>0.4681937663933865</v>
      </c>
      <c r="N423" s="2" t="str">
        <f t="shared" si="312"/>
        <v>0.25</v>
      </c>
      <c r="O423" s="2">
        <f t="shared" si="310"/>
        <v>4.7159409381771571</v>
      </c>
      <c r="P423" s="2">
        <f t="shared" si="313"/>
        <v>344263.68848693249</v>
      </c>
      <c r="Q423" s="2">
        <f t="shared" si="314"/>
        <v>15.404051268138261</v>
      </c>
      <c r="R423" s="2">
        <f t="shared" si="315"/>
        <v>2.64</v>
      </c>
      <c r="S423" s="2"/>
      <c r="T423" s="2" t="str">
        <f>VLOOKUP(A423,'[4]CEA vs MERIT comp. &amp; NPA marker'!$C$2:$K$735,9,FALSE)</f>
        <v>Contracted</v>
      </c>
      <c r="U423" s="3">
        <f>VLOOKUP(B423,'[8]Import-Domestic share'!$A$208:$F$406,6,FALSE)</f>
        <v>0</v>
      </c>
      <c r="V423" s="3">
        <f t="shared" si="316"/>
        <v>0</v>
      </c>
      <c r="W423" s="2">
        <f t="shared" si="317"/>
        <v>3339.9869636112253</v>
      </c>
      <c r="X423" s="2">
        <f t="shared" si="318"/>
        <v>3494.7583388004068</v>
      </c>
      <c r="Y423" s="6">
        <f t="shared" si="319"/>
        <v>0.25748603493654354</v>
      </c>
      <c r="Z423" s="2"/>
      <c r="AA423" s="2">
        <f t="shared" si="320"/>
        <v>109767.5249179211</v>
      </c>
      <c r="AB423" s="2" t="s">
        <v>576</v>
      </c>
      <c r="AC423" s="12">
        <f>VLOOKUP(B423,[9]Sheet1!$A$2:$B$137,2,FALSE)</f>
        <v>4563.1398382003654</v>
      </c>
      <c r="AD423" s="12">
        <f t="shared" si="321"/>
        <v>912627.96764007304</v>
      </c>
      <c r="AE423" s="2"/>
      <c r="AF423" s="7">
        <f>VLOOKUP($B423,'[9]Subsidiary wise dispatch'!$A$3:$R$138,11,FALSE)*$H423*$O423*365</f>
        <v>2313.388287720004</v>
      </c>
      <c r="AG423" s="7">
        <f>VLOOKUP($B423,'[9]Subsidiary wise dispatch'!$A$3:$R$138,12,FALSE)*$H423*$O423*365</f>
        <v>0</v>
      </c>
      <c r="AH423" s="7">
        <f>VLOOKUP($B423,'[9]Subsidiary wise dispatch'!$A$3:$R$138,13,FALSE)*$H423*$O423*365</f>
        <v>0</v>
      </c>
      <c r="AI423" s="7">
        <f>VLOOKUP($B423,'[9]Subsidiary wise dispatch'!$A$3:$R$138,14,FALSE)*$H423*$O423*365</f>
        <v>0</v>
      </c>
      <c r="AJ423" s="7">
        <f>VLOOKUP($B423,'[9]Subsidiary wise dispatch'!$A$3:$R$138,15,FALSE)*$H423*$O423*365</f>
        <v>341950.30019921251</v>
      </c>
      <c r="AK423" s="7">
        <f>VLOOKUP($B423,'[9]Subsidiary wise dispatch'!$A$3:$R$138,16,FALSE)*$H423*$O423*365</f>
        <v>0</v>
      </c>
      <c r="AL423" s="7">
        <f>VLOOKUP($B423,'[9]Subsidiary wise dispatch'!$A$3:$R$138,17,FALSE)*$H423*$O423*365</f>
        <v>0</v>
      </c>
      <c r="AM423" s="7">
        <f>VLOOKUP($B423,'[9]Subsidiary wise dispatch'!$A$3:$R$138,18,FALSE)*$H423*$O423*365</f>
        <v>0</v>
      </c>
      <c r="AN423" s="15">
        <f t="shared" si="322"/>
        <v>344263.68848693249</v>
      </c>
      <c r="AO423" s="6">
        <v>9.0180179439313821E-2</v>
      </c>
      <c r="AP423" s="11">
        <f t="shared" si="323"/>
        <v>3.5411043964314402E-2</v>
      </c>
      <c r="AQ423" s="11"/>
      <c r="AR423" s="3">
        <f>VLOOKUP(A423,[10]Sheet1!$A$2:$L$542,12,FALSE)</f>
        <v>1.88889254385964</v>
      </c>
      <c r="AS423" s="3">
        <f t="shared" si="330"/>
        <v>2.2894918629441641</v>
      </c>
      <c r="AT423" s="2"/>
      <c r="AU423" s="2"/>
      <c r="AV423" s="88">
        <f t="shared" si="331"/>
        <v>0.34310175588840153</v>
      </c>
      <c r="AW423" s="32">
        <f t="shared" si="332"/>
        <v>0.14985934715102722</v>
      </c>
      <c r="AX423" s="12">
        <f t="shared" si="324"/>
        <v>32.814032522815033</v>
      </c>
      <c r="AY423" s="12">
        <f t="shared" si="325"/>
        <v>0</v>
      </c>
      <c r="AZ423" s="3">
        <f>VLOOKUP(A423,[5]Analysis!$A$3:$BJ$543,62,FALSE)</f>
        <v>0.45735869596125545</v>
      </c>
      <c r="BA423" s="2">
        <f>463.79/5</f>
        <v>92.75800000000001</v>
      </c>
      <c r="BB423" s="2"/>
      <c r="BC423" s="2" t="str">
        <f>VLOOKUP(A423,'[6]FGD status - Jun 2020'!$I$2:$M$449,5,FALSE)</f>
        <v>Feasibility study completed</v>
      </c>
      <c r="BD423" s="2">
        <f>VLOOKUP(A423,'[1]daily coal, energy reqd'!$C$2:$L$599,10,FALSE)</f>
        <v>0</v>
      </c>
      <c r="BE423" s="2" t="str">
        <f>VLOOKUP(A423,'[1]daily coal, energy reqd'!$C$2:$M$599,11,FALSE)</f>
        <v>Y</v>
      </c>
      <c r="BF423" s="2">
        <f t="shared" si="326"/>
        <v>33.973048962096577</v>
      </c>
      <c r="BG423" s="2">
        <f t="shared" si="327"/>
        <v>0</v>
      </c>
      <c r="BH423" s="2">
        <f>IF(G423&lt;17,IF(H423&gt;400,H423*5000000,H423*3500000),H423*1500000)/10^7</f>
        <v>30</v>
      </c>
      <c r="BI423" s="2">
        <f>(H423*800000)/10^7</f>
        <v>16</v>
      </c>
      <c r="BK423">
        <f t="shared" si="328"/>
        <v>16.361246721322708</v>
      </c>
      <c r="BL423" t="str">
        <f>VLOOKUP(A423,'[11]Daily coal vs energy req.2'!$C$2:$P$599,14,FALSE)</f>
        <v/>
      </c>
      <c r="BM423" t="str">
        <f>VLOOKUP(A423,'[11]Daily coal vs energy req.2'!$C$2:$R$599,16,FALSE)</f>
        <v/>
      </c>
      <c r="BP423" s="2" t="str">
        <f>VLOOKUP(A423,'[7]Table 2'!$J$2:$N$449,5,FALSE)</f>
        <v>Feasibility Study completed</v>
      </c>
      <c r="BR423">
        <f t="shared" si="333"/>
        <v>22.908391188422417</v>
      </c>
      <c r="BT423">
        <f>(X423*I423*365*[5]Analysis!BK423)/10^4</f>
        <v>18.587156059730816</v>
      </c>
      <c r="BV423">
        <f>(X423*I423*365*[5]Analysis!BL423)/10^4</f>
        <v>4.3212351286916082</v>
      </c>
      <c r="BX423">
        <f t="shared" si="334"/>
        <v>140659.36439478284</v>
      </c>
      <c r="BZ423">
        <f t="shared" si="335"/>
        <v>339567.97489919479</v>
      </c>
      <c r="CB423">
        <f t="shared" si="336"/>
        <v>-3464.22422278871</v>
      </c>
      <c r="CD423">
        <f t="shared" si="337"/>
        <v>0</v>
      </c>
      <c r="CF423">
        <f t="shared" si="338"/>
        <v>255920.06886044127</v>
      </c>
      <c r="CH423">
        <f t="shared" si="339"/>
        <v>110028.20726620291</v>
      </c>
      <c r="CJ423">
        <f t="shared" si="340"/>
        <v>-47269.605127507872</v>
      </c>
      <c r="CL423">
        <f t="shared" si="341"/>
        <v>100108.57937305124</v>
      </c>
    </row>
    <row r="424" spans="1:90" x14ac:dyDescent="0.2">
      <c r="A424" s="2" t="s">
        <v>506</v>
      </c>
      <c r="B424" s="2" t="str">
        <f t="shared" ref="B424:B455" si="348">LEFT(A424,LEN(A424)-LEN(RIGHT(A424,1)))</f>
        <v>OBRA TPS</v>
      </c>
      <c r="C424" s="2" t="str">
        <f>VLOOKUP($A424,'[1]daily coal, energy reqd'!$C$2:$T$599,17,FALSE)</f>
        <v>Uttar Pradesh</v>
      </c>
      <c r="D424" s="2" t="str">
        <f>VLOOKUP(C424,'Target PLF'!$I$2:$J$19,2,FALSE)</f>
        <v>NR</v>
      </c>
      <c r="E424" s="2" t="str">
        <f>VLOOKUP(A424,[2]Ownership!$C$2:$D$666,2,FALSE)</f>
        <v>STATE SECTOR</v>
      </c>
      <c r="F424" s="2" t="s">
        <v>549</v>
      </c>
      <c r="G424" s="12">
        <v>39.589322381930103</v>
      </c>
      <c r="H424" s="2">
        <v>200</v>
      </c>
      <c r="I424" s="2">
        <f>VLOOKUP(A424,'[3]Calculated coal req (reg.)'!$A$2:$I$599,9,FALSE)</f>
        <v>3.1869830530252901</v>
      </c>
      <c r="J424" s="2"/>
      <c r="K424" s="11">
        <v>0.66395480271360219</v>
      </c>
      <c r="L424" s="3">
        <f>VLOOKUP(F424,'Target PLF'!$A$2:$B$11,2,FALSE)</f>
        <v>0.55000000000000004</v>
      </c>
      <c r="M424" s="3">
        <f t="shared" si="329"/>
        <v>-0.11395480271360214</v>
      </c>
      <c r="N424" s="2" t="str">
        <f t="shared" si="312"/>
        <v>0.25</v>
      </c>
      <c r="O424" s="2">
        <f t="shared" si="310"/>
        <v>12.870876893042796</v>
      </c>
      <c r="P424" s="2">
        <f t="shared" si="313"/>
        <v>939574.01319212408</v>
      </c>
      <c r="Q424" s="2">
        <f t="shared" si="314"/>
        <v>15.459379536447637</v>
      </c>
      <c r="R424" s="2">
        <f t="shared" si="315"/>
        <v>2.64</v>
      </c>
      <c r="S424" s="2"/>
      <c r="T424" s="2" t="str">
        <f>VLOOKUP(A424,'[4]CEA vs MERIT comp. &amp; NPA marker'!$C$2:$K$735,9,FALSE)</f>
        <v>Contracted</v>
      </c>
      <c r="U424" s="3">
        <f>VLOOKUP(B424,'[8]Import-Domestic share'!$A$208:$F$406,6,FALSE)</f>
        <v>0</v>
      </c>
      <c r="V424" s="3">
        <f t="shared" si="316"/>
        <v>0</v>
      </c>
      <c r="W424" s="2">
        <f t="shared" si="317"/>
        <v>3353.3330624640653</v>
      </c>
      <c r="X424" s="2">
        <f t="shared" si="318"/>
        <v>3315.6628865852663</v>
      </c>
      <c r="Y424" s="6">
        <f t="shared" si="319"/>
        <v>0.25646125332031966</v>
      </c>
      <c r="Z424" s="2"/>
      <c r="AA424" s="2">
        <f t="shared" si="320"/>
        <v>845238.37935673655</v>
      </c>
      <c r="AB424" s="2" t="s">
        <v>576</v>
      </c>
      <c r="AC424" s="12">
        <f>VLOOKUP(B424,[9]Sheet1!$A$2:$B$137,2,FALSE)</f>
        <v>4563.1398382003654</v>
      </c>
      <c r="AD424" s="12">
        <f t="shared" si="321"/>
        <v>912627.96764007304</v>
      </c>
      <c r="AE424" s="2"/>
      <c r="AF424" s="7">
        <f>VLOOKUP($B424,'[9]Subsidiary wise dispatch'!$A$3:$R$138,11,FALSE)*$H424*$O424*365</f>
        <v>6313.7635198120697</v>
      </c>
      <c r="AG424" s="7">
        <f>VLOOKUP($B424,'[9]Subsidiary wise dispatch'!$A$3:$R$138,12,FALSE)*$H424*$O424*365</f>
        <v>0</v>
      </c>
      <c r="AH424" s="7">
        <f>VLOOKUP($B424,'[9]Subsidiary wise dispatch'!$A$3:$R$138,13,FALSE)*$H424*$O424*365</f>
        <v>0</v>
      </c>
      <c r="AI424" s="7">
        <f>VLOOKUP($B424,'[9]Subsidiary wise dispatch'!$A$3:$R$138,14,FALSE)*$H424*$O424*365</f>
        <v>0</v>
      </c>
      <c r="AJ424" s="7">
        <f>VLOOKUP($B424,'[9]Subsidiary wise dispatch'!$A$3:$R$138,15,FALSE)*$H424*$O424*365</f>
        <v>933260.24967231194</v>
      </c>
      <c r="AK424" s="7">
        <f>VLOOKUP($B424,'[9]Subsidiary wise dispatch'!$A$3:$R$138,16,FALSE)*$H424*$O424*365</f>
        <v>0</v>
      </c>
      <c r="AL424" s="7">
        <f>VLOOKUP($B424,'[9]Subsidiary wise dispatch'!$A$3:$R$138,17,FALSE)*$H424*$O424*365</f>
        <v>0</v>
      </c>
      <c r="AM424" s="7">
        <f>VLOOKUP($B424,'[9]Subsidiary wise dispatch'!$A$3:$R$138,18,FALSE)*$H424*$O424*365</f>
        <v>0</v>
      </c>
      <c r="AN424" s="15">
        <f t="shared" si="322"/>
        <v>939574.01319212397</v>
      </c>
      <c r="AO424" s="6">
        <v>9.0180179439313821E-2</v>
      </c>
      <c r="AP424" s="11">
        <f t="shared" si="323"/>
        <v>0.28740270359187287</v>
      </c>
      <c r="AQ424" s="11"/>
      <c r="AR424" s="3">
        <f>VLOOKUP(A424,[10]Sheet1!$A$2:$L$542,12,FALSE)</f>
        <v>1.88889254385964</v>
      </c>
      <c r="AS424" s="3">
        <f t="shared" si="330"/>
        <v>2.2840683805979292</v>
      </c>
      <c r="AT424" s="2"/>
      <c r="AU424" s="2"/>
      <c r="AV424" s="88">
        <f t="shared" si="331"/>
        <v>-8.3508358524581924E-2</v>
      </c>
      <c r="AW424" s="32">
        <f t="shared" si="332"/>
        <v>3.6561233995420439E-2</v>
      </c>
      <c r="AX424" s="12">
        <f t="shared" si="324"/>
        <v>265.69398356345289</v>
      </c>
      <c r="AY424" s="12">
        <f t="shared" si="325"/>
        <v>0</v>
      </c>
      <c r="AZ424" s="3">
        <f>VLOOKUP(A424,[5]Analysis!$A$3:$BJ$543,62,FALSE)</f>
        <v>0.45735869596125545</v>
      </c>
      <c r="BA424" s="2">
        <f>463.79/5</f>
        <v>92.75800000000001</v>
      </c>
      <c r="BB424" s="2"/>
      <c r="BC424" s="2" t="str">
        <f>VLOOKUP(A424,'[6]FGD status - Jun 2020'!$I$2:$M$449,5,FALSE)</f>
        <v>Feasibility study completed</v>
      </c>
      <c r="BD424" s="2">
        <f>VLOOKUP(A424,'[1]daily coal, energy reqd'!$C$2:$L$599,10,FALSE)</f>
        <v>0</v>
      </c>
      <c r="BE424" s="2" t="str">
        <f>VLOOKUP(A424,'[1]daily coal, energy reqd'!$C$2:$M$599,11,FALSE)</f>
        <v>Y</v>
      </c>
      <c r="BF424" s="2">
        <f t="shared" si="326"/>
        <v>261.60127841090991</v>
      </c>
      <c r="BG424" s="2">
        <f t="shared" si="327"/>
        <v>0</v>
      </c>
      <c r="BH424" s="2">
        <f>IF(G424&lt;17,IF(H424&gt;400,H424*5000000,H424*3500000),H424*1500000)/10^7</f>
        <v>30</v>
      </c>
      <c r="BI424" s="2">
        <f>(H424*800000)/10^7</f>
        <v>16</v>
      </c>
      <c r="BK424">
        <f t="shared" si="328"/>
        <v>132.79096054272043</v>
      </c>
      <c r="BL424">
        <f>VLOOKUP(A424,'[11]Daily coal vs energy req.2'!$C$2:$P$599,14,FALSE)</f>
        <v>1.2</v>
      </c>
      <c r="BM424">
        <f>VLOOKUP(A424,'[11]Daily coal vs energy req.2'!$C$2:$R$599,16,FALSE)</f>
        <v>0.97</v>
      </c>
      <c r="BN424">
        <f>BL424*H424</f>
        <v>240</v>
      </c>
      <c r="BO424">
        <f>BM424*H424</f>
        <v>194</v>
      </c>
      <c r="BP424" s="2" t="str">
        <f>VLOOKUP(A424,'[7]Table 2'!$J$2:$N$449,5,FALSE)</f>
        <v>Feasibility Study completed</v>
      </c>
      <c r="BR424">
        <f t="shared" si="333"/>
        <v>176.40054703111028</v>
      </c>
      <c r="BT424">
        <f>(X424*I424*365*[5]Analysis!BK424)/10^4</f>
        <v>143.12591703716774</v>
      </c>
      <c r="BV424">
        <f>(X424*I424*365*[5]Analysis!BL424)/10^4</f>
        <v>33.274629993942554</v>
      </c>
      <c r="BX424">
        <f t="shared" si="334"/>
        <v>1083113.546481946</v>
      </c>
      <c r="BZ424">
        <f t="shared" si="335"/>
        <v>2755997.6525288331</v>
      </c>
      <c r="CB424">
        <f t="shared" si="336"/>
        <v>-228197.15806152098</v>
      </c>
      <c r="CD424">
        <f t="shared" si="337"/>
        <v>0</v>
      </c>
      <c r="CF424">
        <f t="shared" si="338"/>
        <v>2077095.4894193881</v>
      </c>
      <c r="CH424">
        <f t="shared" si="339"/>
        <v>934229.46363635256</v>
      </c>
      <c r="CJ424">
        <f t="shared" si="340"/>
        <v>-383649.01992318447</v>
      </c>
      <c r="CL424">
        <f t="shared" si="341"/>
        <v>812500.08877318248</v>
      </c>
    </row>
    <row r="425" spans="1:90" x14ac:dyDescent="0.2">
      <c r="A425" s="2" t="s">
        <v>301</v>
      </c>
      <c r="B425" s="2" t="str">
        <f t="shared" si="348"/>
        <v>OP JINDAL TPS</v>
      </c>
      <c r="C425" s="2" t="str">
        <f>VLOOKUP($A425,'[1]daily coal, energy reqd'!$C$2:$T$599,17,FALSE)</f>
        <v>Chhatisgarh</v>
      </c>
      <c r="D425" s="2" t="str">
        <f>VLOOKUP(C425,'Target PLF'!$I$2:$J$19,2,FALSE)</f>
        <v>WR</v>
      </c>
      <c r="E425" s="2" t="str">
        <f>VLOOKUP(A425,[2]Ownership!$C$2:$D$666,2,FALSE)</f>
        <v>PVT SECTOR</v>
      </c>
      <c r="F425" s="2" t="s">
        <v>544</v>
      </c>
      <c r="G425" s="12">
        <v>12.6735112936344</v>
      </c>
      <c r="H425" s="2">
        <v>250</v>
      </c>
      <c r="I425" s="2">
        <f>VLOOKUP(A425,'[3]Calculated coal req (reg.)'!$A$2:$I$599,9,FALSE)</f>
        <v>1.2454308806963601</v>
      </c>
      <c r="J425" s="2"/>
      <c r="K425" s="11">
        <v>0.20757181344939338</v>
      </c>
      <c r="L425" s="3">
        <f>VLOOKUP(F425,'Target PLF'!$A$2:$B$11,2,FALSE)</f>
        <v>0.8</v>
      </c>
      <c r="M425" s="3">
        <f t="shared" si="329"/>
        <v>0.59242818655060669</v>
      </c>
      <c r="N425" s="2" t="str">
        <f t="shared" si="312"/>
        <v>0.15</v>
      </c>
      <c r="O425" s="2">
        <f t="shared" si="310"/>
        <v>4.5472887322913138</v>
      </c>
      <c r="P425" s="2">
        <f t="shared" si="313"/>
        <v>414940.09682158241</v>
      </c>
      <c r="Q425" s="2">
        <f t="shared" si="314"/>
        <v>13.485584820225869</v>
      </c>
      <c r="R425" s="2">
        <f t="shared" si="315"/>
        <v>4.8</v>
      </c>
      <c r="S425" s="2"/>
      <c r="T425" s="2" t="str">
        <f>VLOOKUP(A425,'[4]CEA vs MERIT comp. &amp; NPA marker'!$C$2:$K$735,9,FALSE)</f>
        <v>Contracted</v>
      </c>
      <c r="U425" s="3">
        <f>VLOOKUP(B425,'[8]Import-Domestic share'!$A$208:$F$406,6,FALSE)</f>
        <v>4.4056157568821169E-2</v>
      </c>
      <c r="V425" s="3">
        <f t="shared" si="316"/>
        <v>18280.666287193544</v>
      </c>
      <c r="W425" s="2">
        <f t="shared" si="317"/>
        <v>3028.6846043973046</v>
      </c>
      <c r="X425" s="2">
        <f t="shared" si="318"/>
        <v>3224.5243009391625</v>
      </c>
      <c r="Y425" s="6">
        <f t="shared" si="319"/>
        <v>0.28395165305472153</v>
      </c>
      <c r="Z425" s="2"/>
      <c r="AA425" s="2">
        <f t="shared" si="320"/>
        <v>341999.90225853911</v>
      </c>
      <c r="AB425" s="2" t="s">
        <v>576</v>
      </c>
      <c r="AC425" s="12"/>
      <c r="AD425" s="12">
        <f t="shared" si="321"/>
        <v>0</v>
      </c>
      <c r="AE425" s="2"/>
      <c r="AF425" s="7"/>
      <c r="AG425" s="7"/>
      <c r="AH425" s="7"/>
      <c r="AI425" s="7"/>
      <c r="AJ425" s="7"/>
      <c r="AK425" s="7"/>
      <c r="AL425" s="7"/>
      <c r="AM425" s="7"/>
      <c r="AN425" s="15">
        <f t="shared" si="322"/>
        <v>0</v>
      </c>
      <c r="AO425" s="6">
        <v>9.6900494936795964E-2</v>
      </c>
      <c r="AP425" s="11">
        <f t="shared" si="323"/>
        <v>0.12068286874904698</v>
      </c>
      <c r="AQ425" s="11"/>
      <c r="AR425" s="3"/>
      <c r="AS425" s="3">
        <f t="shared" si="330"/>
        <v>2.2686343964215108</v>
      </c>
      <c r="AT425" s="2"/>
      <c r="AU425" s="2"/>
      <c r="AV425" s="88">
        <f t="shared" si="331"/>
        <v>0.43414322366801561</v>
      </c>
      <c r="AW425" s="32">
        <f t="shared" si="332"/>
        <v>0.1913676458193628</v>
      </c>
      <c r="AX425" s="12">
        <f t="shared" si="324"/>
        <v>103.12809770243537</v>
      </c>
      <c r="AY425" s="12">
        <f t="shared" si="325"/>
        <v>0</v>
      </c>
      <c r="AZ425" s="3">
        <f>VLOOKUP(A425,[5]Analysis!$A$3:$BJ$543,62,FALSE)</f>
        <v>0.56541022823506215</v>
      </c>
      <c r="BA425" s="2"/>
      <c r="BB425" s="2"/>
      <c r="BC425" s="2" t="e">
        <f>VLOOKUP(A425,'[6]FGD status - Jun 2020'!$I$2:$M$449,5,FALSE)</f>
        <v>#N/A</v>
      </c>
      <c r="BD425" s="2"/>
      <c r="BE425" s="2"/>
      <c r="BF425" s="2">
        <f t="shared" si="326"/>
        <v>109.06732400702354</v>
      </c>
      <c r="BG425" s="2">
        <f t="shared" si="327"/>
        <v>0</v>
      </c>
      <c r="BH425" s="2"/>
      <c r="BI425" s="2"/>
      <c r="BK425">
        <f t="shared" si="328"/>
        <v>51.892953362348344</v>
      </c>
      <c r="BL425">
        <f>VLOOKUP(A425,'[11]Daily coal vs energy req.2'!$C$2:$P$599,14,FALSE)</f>
        <v>1.1200000000000001</v>
      </c>
      <c r="BM425">
        <f>VLOOKUP(A425,'[11]Daily coal vs energy req.2'!$C$2:$R$599,16,FALSE)</f>
        <v>1.0900000000000001</v>
      </c>
      <c r="BN425">
        <f>BL425*H425</f>
        <v>280</v>
      </c>
      <c r="BO425">
        <f>BM425*H425</f>
        <v>272.5</v>
      </c>
      <c r="BP425" s="2" t="str">
        <f>VLOOKUP(A425,'[7]Table 2'!$J$2:$N$449,5,FALSE)</f>
        <v>NIT issued</v>
      </c>
      <c r="BR425">
        <f t="shared" si="333"/>
        <v>82.878486060809593</v>
      </c>
      <c r="BT425">
        <f>(X425*I425*365*[5]Analysis!BK425)/10^4</f>
        <v>60.568565838661719</v>
      </c>
      <c r="BV425">
        <f>(X425*I425*365*[5]Analysis!BL425)/10^4</f>
        <v>22.309920222147873</v>
      </c>
      <c r="BX425">
        <f t="shared" si="334"/>
        <v>411632.01934441127</v>
      </c>
      <c r="BZ425">
        <f t="shared" si="335"/>
        <v>1331451.7683718659</v>
      </c>
      <c r="CB425">
        <f t="shared" si="336"/>
        <v>-27879.178348268175</v>
      </c>
      <c r="CD425">
        <f t="shared" si="337"/>
        <v>-459619.2921080598</v>
      </c>
      <c r="CF425">
        <f t="shared" si="338"/>
        <v>811701.48119312827</v>
      </c>
      <c r="CH425">
        <f t="shared" si="339"/>
        <v>116872.4971768968</v>
      </c>
      <c r="CJ425">
        <f t="shared" si="340"/>
        <v>-187406.21177278482</v>
      </c>
      <c r="CL425">
        <f t="shared" si="341"/>
        <v>341175.77999978076</v>
      </c>
    </row>
    <row r="426" spans="1:90" x14ac:dyDescent="0.2">
      <c r="A426" s="2" t="s">
        <v>294</v>
      </c>
      <c r="B426" s="2" t="str">
        <f t="shared" si="348"/>
        <v>OP JINDAL TPS</v>
      </c>
      <c r="C426" s="2" t="str">
        <f>VLOOKUP($A426,'[1]daily coal, energy reqd'!$C$2:$T$599,17,FALSE)</f>
        <v>Chhatisgarh</v>
      </c>
      <c r="D426" s="2" t="str">
        <f>VLOOKUP(C426,'Target PLF'!$I$2:$J$19,2,FALSE)</f>
        <v>WR</v>
      </c>
      <c r="E426" s="2" t="str">
        <f>VLOOKUP(A426,[2]Ownership!$C$2:$D$666,2,FALSE)</f>
        <v>PVT SECTOR</v>
      </c>
      <c r="F426" s="2" t="s">
        <v>544</v>
      </c>
      <c r="G426" s="12">
        <v>12.2546201232032</v>
      </c>
      <c r="H426" s="2">
        <v>250</v>
      </c>
      <c r="I426" s="2">
        <f>VLOOKUP(A426,'[3]Calculated coal req (reg.)'!$A$2:$I$599,9,FALSE)</f>
        <v>0.73616970266786697</v>
      </c>
      <c r="J426" s="2"/>
      <c r="K426" s="11">
        <v>0.1226949504446445</v>
      </c>
      <c r="L426" s="3">
        <f>VLOOKUP(F426,'Target PLF'!$A$2:$B$11,2,FALSE)</f>
        <v>0.8</v>
      </c>
      <c r="M426" s="3">
        <f t="shared" si="329"/>
        <v>0.67730504955535553</v>
      </c>
      <c r="N426" s="2" t="str">
        <f t="shared" si="312"/>
        <v>0.15</v>
      </c>
      <c r="O426" s="2">
        <f t="shared" si="310"/>
        <v>3.3531030964239337</v>
      </c>
      <c r="P426" s="2">
        <f t="shared" si="313"/>
        <v>305970.65754868393</v>
      </c>
      <c r="Q426" s="2">
        <f t="shared" si="314"/>
        <v>13.472316442402461</v>
      </c>
      <c r="R426" s="2">
        <f t="shared" si="315"/>
        <v>4.8</v>
      </c>
      <c r="S426" s="2"/>
      <c r="T426" s="2" t="str">
        <f>VLOOKUP(A426,'[4]CEA vs MERIT comp. &amp; NPA marker'!$C$2:$K$735,9,FALSE)</f>
        <v>Contracted</v>
      </c>
      <c r="U426" s="3">
        <f>VLOOKUP(B426,'[8]Import-Domestic share'!$A$208:$F$406,6,FALSE)</f>
        <v>4.4056157568821169E-2</v>
      </c>
      <c r="V426" s="3">
        <f t="shared" si="316"/>
        <v>13479.891500400641</v>
      </c>
      <c r="W426" s="2">
        <f t="shared" si="317"/>
        <v>3025.4840509106516</v>
      </c>
      <c r="X426" s="2">
        <f t="shared" si="318"/>
        <v>3249.3815939082251</v>
      </c>
      <c r="Y426" s="6">
        <f t="shared" si="319"/>
        <v>0.28425203555151629</v>
      </c>
      <c r="Z426" s="2"/>
      <c r="AA426" s="2">
        <f t="shared" si="320"/>
        <v>203713.28578447926</v>
      </c>
      <c r="AB426" s="2" t="s">
        <v>576</v>
      </c>
      <c r="AC426" s="12"/>
      <c r="AD426" s="12">
        <f t="shared" si="321"/>
        <v>0</v>
      </c>
      <c r="AE426" s="2"/>
      <c r="AF426" s="7"/>
      <c r="AG426" s="7"/>
      <c r="AH426" s="7"/>
      <c r="AI426" s="7"/>
      <c r="AJ426" s="7"/>
      <c r="AK426" s="7"/>
      <c r="AL426" s="7"/>
      <c r="AM426" s="7"/>
      <c r="AN426" s="15">
        <f t="shared" si="322"/>
        <v>0</v>
      </c>
      <c r="AO426" s="6">
        <v>9.6900494936795964E-2</v>
      </c>
      <c r="AP426" s="11">
        <f t="shared" si="323"/>
        <v>7.1335208545990236E-2</v>
      </c>
      <c r="AQ426" s="11"/>
      <c r="AR426" s="3"/>
      <c r="AS426" s="3">
        <f t="shared" si="330"/>
        <v>2.2680805892793821</v>
      </c>
      <c r="AT426" s="2"/>
      <c r="AU426" s="2"/>
      <c r="AV426" s="88">
        <f t="shared" si="331"/>
        <v>0.49634268641515567</v>
      </c>
      <c r="AW426" s="32">
        <f t="shared" si="332"/>
        <v>0.21883820564455975</v>
      </c>
      <c r="AX426" s="12">
        <f t="shared" si="324"/>
        <v>60.943765775834564</v>
      </c>
      <c r="AY426" s="12">
        <f t="shared" si="325"/>
        <v>0</v>
      </c>
      <c r="AZ426" s="3">
        <f>VLOOKUP(A426,[5]Analysis!$A$3:$BJ$543,62,FALSE)</f>
        <v>0.56541022823506215</v>
      </c>
      <c r="BA426" s="2"/>
      <c r="BB426" s="2"/>
      <c r="BC426" s="2" t="e">
        <f>VLOOKUP(A426,'[6]FGD status - Jun 2020'!$I$2:$M$449,5,FALSE)</f>
        <v>#N/A</v>
      </c>
      <c r="BD426" s="2"/>
      <c r="BE426" s="2"/>
      <c r="BF426" s="2">
        <f t="shared" si="326"/>
        <v>64.9662844885694</v>
      </c>
      <c r="BG426" s="2">
        <f t="shared" si="327"/>
        <v>0</v>
      </c>
      <c r="BH426" s="2"/>
      <c r="BI426" s="2"/>
      <c r="BK426">
        <f t="shared" si="328"/>
        <v>30.673737611161126</v>
      </c>
      <c r="BL426">
        <f>VLOOKUP(A426,'[11]Daily coal vs energy req.2'!$C$2:$P$599,14,FALSE)</f>
        <v>1.23</v>
      </c>
      <c r="BM426">
        <f>VLOOKUP(A426,'[11]Daily coal vs energy req.2'!$C$2:$R$599,16,FALSE)</f>
        <v>1.2</v>
      </c>
      <c r="BN426">
        <f>BL426*H426</f>
        <v>307.5</v>
      </c>
      <c r="BO426">
        <f>BM426*H426</f>
        <v>300</v>
      </c>
      <c r="BP426" s="2" t="str">
        <f>VLOOKUP(A426,'[7]Table 2'!$J$2:$N$449,5,FALSE)</f>
        <v>NIT issued</v>
      </c>
      <c r="BR426">
        <f t="shared" si="333"/>
        <v>49.366823220690371</v>
      </c>
      <c r="BT426">
        <f>(X426*I426*365*[5]Analysis!BK426)/10^4</f>
        <v>36.077851136108826</v>
      </c>
      <c r="BV426">
        <f>(X426*I426*365*[5]Analysis!BL426)/10^4</f>
        <v>13.288972084581543</v>
      </c>
      <c r="BX426">
        <f t="shared" si="334"/>
        <v>245189.86888879043</v>
      </c>
      <c r="BZ426">
        <f t="shared" si="335"/>
        <v>787016.33918927365</v>
      </c>
      <c r="CB426">
        <f t="shared" si="336"/>
        <v>-9740.8440443552554</v>
      </c>
      <c r="CD426">
        <f t="shared" si="337"/>
        <v>-271679.30621924135</v>
      </c>
      <c r="CF426">
        <f t="shared" si="338"/>
        <v>479793.81861071498</v>
      </c>
      <c r="CH426">
        <f t="shared" si="339"/>
        <v>66799.549048041401</v>
      </c>
      <c r="CJ426">
        <f t="shared" si="340"/>
        <v>-110775.1360089473</v>
      </c>
      <c r="CL426">
        <f t="shared" si="341"/>
        <v>201667.7733086904</v>
      </c>
    </row>
    <row r="427" spans="1:90" x14ac:dyDescent="0.2">
      <c r="A427" s="2" t="s">
        <v>291</v>
      </c>
      <c r="B427" s="2" t="str">
        <f t="shared" si="348"/>
        <v>OP JINDAL TPS</v>
      </c>
      <c r="C427" s="2" t="str">
        <f>VLOOKUP($A427,'[1]daily coal, energy reqd'!$C$2:$T$599,17,FALSE)</f>
        <v>Chhatisgarh</v>
      </c>
      <c r="D427" s="2" t="str">
        <f>VLOOKUP(C427,'Target PLF'!$I$2:$J$19,2,FALSE)</f>
        <v>WR</v>
      </c>
      <c r="E427" s="2" t="str">
        <f>VLOOKUP(A427,[2]Ownership!$C$2:$D$666,2,FALSE)</f>
        <v>PVT SECTOR</v>
      </c>
      <c r="F427" s="2" t="s">
        <v>544</v>
      </c>
      <c r="G427" s="12">
        <v>12.175222450376401</v>
      </c>
      <c r="H427" s="2">
        <v>250</v>
      </c>
      <c r="I427" s="2">
        <f>VLOOKUP(A427,'[3]Calculated coal req (reg.)'!$A$2:$I$599,9,FALSE)</f>
        <v>3.0174750292211798</v>
      </c>
      <c r="J427" s="2"/>
      <c r="K427" s="11">
        <v>0.50291250487019667</v>
      </c>
      <c r="L427" s="3">
        <f>VLOOKUP(F427,'Target PLF'!$A$2:$B$11,2,FALSE)</f>
        <v>0.8</v>
      </c>
      <c r="M427" s="3">
        <f t="shared" si="329"/>
        <v>0.29708749512980337</v>
      </c>
      <c r="N427" s="2" t="str">
        <f t="shared" si="312"/>
        <v>0.15</v>
      </c>
      <c r="O427" s="2">
        <f t="shared" si="310"/>
        <v>8.6406690751261799</v>
      </c>
      <c r="P427" s="2">
        <f t="shared" si="313"/>
        <v>788461.05310526385</v>
      </c>
      <c r="Q427" s="2">
        <f t="shared" si="314"/>
        <v>13.469801521115672</v>
      </c>
      <c r="R427" s="2">
        <f t="shared" si="315"/>
        <v>4.8</v>
      </c>
      <c r="S427" s="2"/>
      <c r="T427" s="2" t="str">
        <f>VLOOKUP(A427,'[4]CEA vs MERIT comp. &amp; NPA marker'!$C$2:$K$735,9,FALSE)</f>
        <v>Contracted</v>
      </c>
      <c r="U427" s="3">
        <f>VLOOKUP(B427,'[8]Import-Domestic share'!$A$208:$F$406,6,FALSE)</f>
        <v>4.4056157568821169E-2</v>
      </c>
      <c r="V427" s="3">
        <f t="shared" si="316"/>
        <v>34736.564392484179</v>
      </c>
      <c r="W427" s="2">
        <f t="shared" si="317"/>
        <v>3024.8774100537048</v>
      </c>
      <c r="X427" s="2">
        <f t="shared" si="318"/>
        <v>3123.085979823758</v>
      </c>
      <c r="Y427" s="6">
        <f t="shared" si="319"/>
        <v>0.28430904245627964</v>
      </c>
      <c r="Z427" s="2"/>
      <c r="AA427" s="2">
        <f t="shared" si="320"/>
        <v>802543.02257432742</v>
      </c>
      <c r="AB427" s="2" t="s">
        <v>576</v>
      </c>
      <c r="AC427" s="12"/>
      <c r="AD427" s="12">
        <f t="shared" si="321"/>
        <v>0</v>
      </c>
      <c r="AE427" s="2"/>
      <c r="AF427" s="7"/>
      <c r="AG427" s="7"/>
      <c r="AH427" s="7"/>
      <c r="AI427" s="7"/>
      <c r="AJ427" s="7"/>
      <c r="AK427" s="7"/>
      <c r="AL427" s="7"/>
      <c r="AM427" s="7"/>
      <c r="AN427" s="15">
        <f t="shared" si="322"/>
        <v>0</v>
      </c>
      <c r="AO427" s="6">
        <v>9.6900494936795964E-2</v>
      </c>
      <c r="AP427" s="11">
        <f t="shared" si="323"/>
        <v>0.29239482379095522</v>
      </c>
      <c r="AQ427" s="11"/>
      <c r="AR427" s="3"/>
      <c r="AS427" s="3">
        <f t="shared" si="330"/>
        <v>2.2545473887672784</v>
      </c>
      <c r="AT427" s="2"/>
      <c r="AU427" s="2"/>
      <c r="AV427" s="88">
        <f t="shared" si="331"/>
        <v>0.2177116581810225</v>
      </c>
      <c r="AW427" s="32">
        <f t="shared" si="332"/>
        <v>9.6565571992727542E-2</v>
      </c>
      <c r="AX427" s="12">
        <f t="shared" si="324"/>
        <v>248.31097634473934</v>
      </c>
      <c r="AY427" s="12">
        <f t="shared" si="325"/>
        <v>0</v>
      </c>
      <c r="AZ427" s="3">
        <f>VLOOKUP(A427,[5]Analysis!$A$3:$BJ$543,62,FALSE)</f>
        <v>0.56541022823506215</v>
      </c>
      <c r="BA427" s="2"/>
      <c r="BB427" s="2"/>
      <c r="BC427" s="2" t="e">
        <f>VLOOKUP(A427,'[6]FGD status - Jun 2020'!$I$2:$M$449,5,FALSE)</f>
        <v>#N/A</v>
      </c>
      <c r="BD427" s="2"/>
      <c r="BE427" s="2"/>
      <c r="BF427" s="2">
        <f t="shared" si="326"/>
        <v>255.93931253968563</v>
      </c>
      <c r="BG427" s="2">
        <f t="shared" si="327"/>
        <v>0</v>
      </c>
      <c r="BH427" s="2"/>
      <c r="BI427" s="2"/>
      <c r="BK427">
        <f t="shared" si="328"/>
        <v>125.72812621754917</v>
      </c>
      <c r="BL427">
        <f>VLOOKUP(A427,'[11]Daily coal vs energy req.2'!$C$2:$P$599,14,FALSE)</f>
        <v>0.99</v>
      </c>
      <c r="BM427">
        <f>VLOOKUP(A427,'[11]Daily coal vs energy req.2'!$C$2:$R$599,16,FALSE)</f>
        <v>1.1200000000000001</v>
      </c>
      <c r="BN427">
        <f>BL427*H427</f>
        <v>247.5</v>
      </c>
      <c r="BO427">
        <f>BM427*H427</f>
        <v>280</v>
      </c>
      <c r="BP427" s="2" t="str">
        <f>VLOOKUP(A427,'[7]Table 2'!$J$2:$N$449,5,FALSE)</f>
        <v>NIT issued</v>
      </c>
      <c r="BR427">
        <f t="shared" si="333"/>
        <v>194.48412198476197</v>
      </c>
      <c r="BT427">
        <f>(X427*I427*365*[5]Analysis!BK427)/10^4</f>
        <v>142.13126840137295</v>
      </c>
      <c r="BV427">
        <f>(X427*I427*365*[5]Analysis!BL427)/10^4</f>
        <v>52.352853583389056</v>
      </c>
      <c r="BX427">
        <f t="shared" si="334"/>
        <v>965942.98071846762</v>
      </c>
      <c r="BZ427">
        <f t="shared" si="335"/>
        <v>3225889.5503121833</v>
      </c>
      <c r="CB427">
        <f t="shared" si="336"/>
        <v>-163654.54836524386</v>
      </c>
      <c r="CD427">
        <f t="shared" si="337"/>
        <v>-1113582.2616739129</v>
      </c>
      <c r="CF427">
        <f t="shared" si="338"/>
        <v>1966619.736707214</v>
      </c>
      <c r="CH427">
        <f t="shared" si="339"/>
        <v>272029.7028559933</v>
      </c>
      <c r="CJ427">
        <f t="shared" si="340"/>
        <v>-454054.55502205709</v>
      </c>
      <c r="CL427">
        <f t="shared" si="341"/>
        <v>826613.03222927707</v>
      </c>
    </row>
    <row r="428" spans="1:90" x14ac:dyDescent="0.2">
      <c r="A428" s="2" t="s">
        <v>289</v>
      </c>
      <c r="B428" s="2" t="str">
        <f t="shared" si="348"/>
        <v>OP JINDAL TPS</v>
      </c>
      <c r="C428" s="2" t="str">
        <f>VLOOKUP($A428,'[1]daily coal, energy reqd'!$C$2:$T$599,17,FALSE)</f>
        <v>Chhatisgarh</v>
      </c>
      <c r="D428" s="2" t="str">
        <f>VLOOKUP(C428,'Target PLF'!$I$2:$J$19,2,FALSE)</f>
        <v>WR</v>
      </c>
      <c r="E428" s="2" t="str">
        <f>VLOOKUP(A428,[2]Ownership!$C$2:$D$666,2,FALSE)</f>
        <v>PVT SECTOR</v>
      </c>
      <c r="F428" s="2" t="s">
        <v>544</v>
      </c>
      <c r="G428" s="12">
        <v>11.9233401779603</v>
      </c>
      <c r="H428" s="2">
        <v>250</v>
      </c>
      <c r="I428" s="2">
        <f>VLOOKUP(A428,'[3]Calculated coal req (reg.)'!$A$2:$I$599,9,FALSE)</f>
        <v>2.7790745224853</v>
      </c>
      <c r="J428" s="2"/>
      <c r="K428" s="11">
        <v>0.46317908708088329</v>
      </c>
      <c r="L428" s="3">
        <f>VLOOKUP(F428,'Target PLF'!$A$2:$B$11,2,FALSE)</f>
        <v>0.8</v>
      </c>
      <c r="M428" s="3">
        <f t="shared" si="329"/>
        <v>0.33682091291911676</v>
      </c>
      <c r="N428" s="2" t="str">
        <f t="shared" si="312"/>
        <v>0.15</v>
      </c>
      <c r="O428" s="2">
        <f t="shared" si="310"/>
        <v>8.0798677424193457</v>
      </c>
      <c r="P428" s="2">
        <f t="shared" si="313"/>
        <v>737287.93149576534</v>
      </c>
      <c r="Q428" s="2">
        <f t="shared" si="314"/>
        <v>13.461823150136892</v>
      </c>
      <c r="R428" s="2">
        <f t="shared" si="315"/>
        <v>4.8</v>
      </c>
      <c r="S428" s="2"/>
      <c r="T428" s="2" t="str">
        <f>VLOOKUP(A428,'[4]CEA vs MERIT comp. &amp; NPA marker'!$C$2:$K$735,9,FALSE)</f>
        <v>Contracted</v>
      </c>
      <c r="U428" s="3">
        <f>VLOOKUP(B428,'[8]Import-Domestic share'!$A$208:$F$406,6,FALSE)</f>
        <v>4.4056157568821169E-2</v>
      </c>
      <c r="V428" s="3">
        <f t="shared" si="316"/>
        <v>32482.073283567668</v>
      </c>
      <c r="W428" s="2">
        <f t="shared" si="317"/>
        <v>3022.9528942316656</v>
      </c>
      <c r="X428" s="2">
        <f t="shared" si="318"/>
        <v>3134.2961876004333</v>
      </c>
      <c r="Y428" s="6">
        <f t="shared" si="319"/>
        <v>0.28449004337481859</v>
      </c>
      <c r="Z428" s="2"/>
      <c r="AA428" s="2">
        <f t="shared" si="320"/>
        <v>741789.91566083918</v>
      </c>
      <c r="AB428" s="2" t="s">
        <v>576</v>
      </c>
      <c r="AC428" s="12"/>
      <c r="AD428" s="12">
        <f t="shared" si="321"/>
        <v>0</v>
      </c>
      <c r="AE428" s="2"/>
      <c r="AF428" s="7"/>
      <c r="AG428" s="7"/>
      <c r="AH428" s="7"/>
      <c r="AI428" s="7"/>
      <c r="AJ428" s="7"/>
      <c r="AK428" s="7"/>
      <c r="AL428" s="7"/>
      <c r="AM428" s="7"/>
      <c r="AN428" s="15">
        <f t="shared" si="322"/>
        <v>0</v>
      </c>
      <c r="AO428" s="6">
        <v>9.6900494936795964E-2</v>
      </c>
      <c r="AP428" s="11">
        <f t="shared" si="323"/>
        <v>0.26929369669506548</v>
      </c>
      <c r="AQ428" s="11"/>
      <c r="AR428" s="3"/>
      <c r="AS428" s="3">
        <f t="shared" si="330"/>
        <v>2.2538313727782824</v>
      </c>
      <c r="AT428" s="2"/>
      <c r="AU428" s="2"/>
      <c r="AV428" s="88">
        <f t="shared" si="331"/>
        <v>0.24682910140538714</v>
      </c>
      <c r="AW428" s="32">
        <f t="shared" si="332"/>
        <v>0.10951533658932194</v>
      </c>
      <c r="AX428" s="12">
        <f t="shared" si="324"/>
        <v>228.62013513141605</v>
      </c>
      <c r="AY428" s="12">
        <f t="shared" si="325"/>
        <v>0</v>
      </c>
      <c r="AZ428" s="3">
        <f>VLOOKUP(A428,[5]Analysis!$A$3:$BJ$543,62,FALSE)</f>
        <v>0.56541022823506215</v>
      </c>
      <c r="BA428" s="2"/>
      <c r="BB428" s="2"/>
      <c r="BC428" s="2" t="e">
        <f>VLOOKUP(A428,'[6]FGD status - Jun 2020'!$I$2:$M$449,5,FALSE)</f>
        <v>#N/A</v>
      </c>
      <c r="BD428" s="2"/>
      <c r="BE428" s="2"/>
      <c r="BF428" s="2">
        <f t="shared" si="326"/>
        <v>236.56451520083255</v>
      </c>
      <c r="BG428" s="2">
        <f t="shared" si="327"/>
        <v>0</v>
      </c>
      <c r="BH428" s="2"/>
      <c r="BI428" s="2"/>
      <c r="BK428">
        <f t="shared" si="328"/>
        <v>115.79477177022082</v>
      </c>
      <c r="BL428">
        <f>VLOOKUP(A428,'[11]Daily coal vs energy req.2'!$C$2:$P$599,14,FALSE)</f>
        <v>1.1200000000000001</v>
      </c>
      <c r="BM428">
        <f>VLOOKUP(A428,'[11]Daily coal vs energy req.2'!$C$2:$R$599,16,FALSE)</f>
        <v>1.07</v>
      </c>
      <c r="BN428">
        <f>BL428*H428</f>
        <v>280</v>
      </c>
      <c r="BO428">
        <f>BM428*H428</f>
        <v>267.5</v>
      </c>
      <c r="BP428" s="2" t="str">
        <f>VLOOKUP(A428,'[7]Table 2'!$J$2:$N$449,5,FALSE)</f>
        <v>NIT issued</v>
      </c>
      <c r="BR428">
        <f t="shared" si="333"/>
        <v>179.76152852427018</v>
      </c>
      <c r="BT428">
        <f>(X428*I428*365*[5]Analysis!BK428)/10^4</f>
        <v>131.37182510418998</v>
      </c>
      <c r="BV428">
        <f>(X428*I428*365*[5]Analysis!BL428)/10^4</f>
        <v>48.389703420080195</v>
      </c>
      <c r="BX428">
        <f t="shared" si="334"/>
        <v>892820.37479052506</v>
      </c>
      <c r="BZ428">
        <f t="shared" si="335"/>
        <v>2971022.9164474783</v>
      </c>
      <c r="CB428">
        <f t="shared" si="336"/>
        <v>-138816.50178304419</v>
      </c>
      <c r="CD428">
        <f t="shared" si="337"/>
        <v>-1025601.889705874</v>
      </c>
      <c r="CF428">
        <f t="shared" si="338"/>
        <v>1811243.7560453983</v>
      </c>
      <c r="CH428">
        <f t="shared" si="339"/>
        <v>245354.40807416334</v>
      </c>
      <c r="CJ428">
        <f t="shared" si="340"/>
        <v>-418181.23877097556</v>
      </c>
      <c r="CL428">
        <f t="shared" si="341"/>
        <v>761305.12947960466</v>
      </c>
    </row>
    <row r="429" spans="1:90" x14ac:dyDescent="0.2">
      <c r="A429" s="2" t="s">
        <v>438</v>
      </c>
      <c r="B429" s="2" t="str">
        <f t="shared" si="348"/>
        <v>PANIPAT TPS</v>
      </c>
      <c r="C429" s="2" t="str">
        <f>VLOOKUP($A429,'[1]daily coal, energy reqd'!$C$2:$T$599,17,FALSE)</f>
        <v>Haryana</v>
      </c>
      <c r="D429" s="2" t="str">
        <f>VLOOKUP(C429,'Target PLF'!$I$2:$J$19,2,FALSE)</f>
        <v>NR</v>
      </c>
      <c r="E429" s="2" t="str">
        <f>VLOOKUP(A429,[2]Ownership!$C$2:$D$666,2,FALSE)</f>
        <v>STATE SECTOR</v>
      </c>
      <c r="F429" s="2" t="s">
        <v>548</v>
      </c>
      <c r="G429" s="12">
        <v>31.175906913073199</v>
      </c>
      <c r="H429" s="2">
        <v>210</v>
      </c>
      <c r="I429" s="2">
        <f>VLOOKUP(A429,'[3]Calculated coal req (reg.)'!$A$2:$I$599,9,FALSE)</f>
        <v>0.26302802755750099</v>
      </c>
      <c r="J429" s="2"/>
      <c r="K429" s="11">
        <v>5.218810070585337E-2</v>
      </c>
      <c r="L429" s="3">
        <f>VLOOKUP(F429,'Target PLF'!$A$2:$B$11,2,FALSE)</f>
        <v>0.6</v>
      </c>
      <c r="M429" s="3">
        <f t="shared" si="329"/>
        <v>0.54781189929414664</v>
      </c>
      <c r="N429" s="2" t="str">
        <f t="shared" si="312"/>
        <v>0.25</v>
      </c>
      <c r="O429" s="2">
        <f t="shared" si="310"/>
        <v>4.0406093030223431</v>
      </c>
      <c r="P429" s="2">
        <f t="shared" si="313"/>
        <v>309712.70307666261</v>
      </c>
      <c r="Q429" s="2">
        <f t="shared" si="314"/>
        <v>15.140805601471593</v>
      </c>
      <c r="R429" s="2">
        <f t="shared" si="315"/>
        <v>3.024</v>
      </c>
      <c r="S429" s="2"/>
      <c r="T429" s="2" t="str">
        <f>VLOOKUP(A429,'[4]CEA vs MERIT comp. &amp; NPA marker'!$C$2:$K$735,9,FALSE)</f>
        <v>Contracted</v>
      </c>
      <c r="U429" s="3">
        <f>VLOOKUP(B429,'[8]Import-Domestic share'!$A$208:$F$406,6,FALSE)</f>
        <v>0</v>
      </c>
      <c r="V429" s="3">
        <f t="shared" si="316"/>
        <v>0</v>
      </c>
      <c r="W429" s="2">
        <f t="shared" si="317"/>
        <v>3263.2640672778916</v>
      </c>
      <c r="X429" s="2">
        <f t="shared" si="318"/>
        <v>3444.3549042018371</v>
      </c>
      <c r="Y429" s="6">
        <f t="shared" si="319"/>
        <v>0.26353981236871948</v>
      </c>
      <c r="Z429" s="2"/>
      <c r="AA429" s="2">
        <f t="shared" si="320"/>
        <v>76701.846659250994</v>
      </c>
      <c r="AB429" s="2" t="s">
        <v>576</v>
      </c>
      <c r="AC429" s="12">
        <f>VLOOKUP(B429,[9]Sheet1!$A$2:$B$137,2,FALSE)</f>
        <v>4311.1880532682781</v>
      </c>
      <c r="AD429" s="12">
        <f t="shared" si="321"/>
        <v>905349.49118633836</v>
      </c>
      <c r="AE429" s="2"/>
      <c r="AF429" s="7">
        <f>VLOOKUP($B429,'[9]Subsidiary wise dispatch'!$A$3:$R$138,11,FALSE)*$H429*$O429*365</f>
        <v>129860.68138969426</v>
      </c>
      <c r="AG429" s="7">
        <f>VLOOKUP($B429,'[9]Subsidiary wise dispatch'!$A$3:$R$138,12,FALSE)*$H429*$O429*365</f>
        <v>153880.51008462079</v>
      </c>
      <c r="AH429" s="7">
        <f>VLOOKUP($B429,'[9]Subsidiary wise dispatch'!$A$3:$R$138,13,FALSE)*$H429*$O429*365</f>
        <v>1475.377221969218</v>
      </c>
      <c r="AI429" s="7">
        <f>VLOOKUP($B429,'[9]Subsidiary wise dispatch'!$A$3:$R$138,14,FALSE)*$H429*$O429*365</f>
        <v>3274.4318422228225</v>
      </c>
      <c r="AJ429" s="7">
        <f>VLOOKUP($B429,'[9]Subsidiary wise dispatch'!$A$3:$R$138,15,FALSE)*$H429*$O429*365</f>
        <v>4520.2671873896297</v>
      </c>
      <c r="AK429" s="7">
        <f>VLOOKUP($B429,'[9]Subsidiary wise dispatch'!$A$3:$R$138,16,FALSE)*$H429*$O429*365</f>
        <v>0</v>
      </c>
      <c r="AL429" s="7">
        <f>VLOOKUP($B429,'[9]Subsidiary wise dispatch'!$A$3:$R$138,17,FALSE)*$H429*$O429*365</f>
        <v>0</v>
      </c>
      <c r="AM429" s="7">
        <f>VLOOKUP($B429,'[9]Subsidiary wise dispatch'!$A$3:$R$138,18,FALSE)*$H429*$O429*365</f>
        <v>16701.435350765889</v>
      </c>
      <c r="AN429" s="15">
        <f t="shared" si="322"/>
        <v>309712.70307666255</v>
      </c>
      <c r="AO429" s="6">
        <v>9.6798449718982396E-2</v>
      </c>
      <c r="AP429" s="11">
        <f t="shared" si="323"/>
        <v>2.5460705300207876E-2</v>
      </c>
      <c r="AQ429" s="11"/>
      <c r="AR429" s="3">
        <f>VLOOKUP(A429,[10]Sheet1!$A$2:$L$542,12,FALSE)</f>
        <v>3.9239052496798998</v>
      </c>
      <c r="AS429" s="3">
        <f t="shared" si="330"/>
        <v>3.3865073895664146</v>
      </c>
      <c r="AT429" s="2"/>
      <c r="AU429" s="2"/>
      <c r="AV429" s="88">
        <f t="shared" si="331"/>
        <v>0.40144751604073659</v>
      </c>
      <c r="AW429" s="32">
        <f t="shared" si="332"/>
        <v>0.11854322753807285</v>
      </c>
      <c r="AX429" s="12">
        <f t="shared" si="324"/>
        <v>32.512242103009285</v>
      </c>
      <c r="AY429" s="12">
        <f t="shared" si="325"/>
        <v>0</v>
      </c>
      <c r="AZ429" s="3">
        <f>VLOOKUP(A429,[5]Analysis!$A$3:$BJ$543,62,FALSE)</f>
        <v>1.0596768181789709</v>
      </c>
      <c r="BA429" s="2"/>
      <c r="BB429" s="2"/>
      <c r="BC429" s="2" t="e">
        <f>VLOOKUP(A429,'[6]FGD status - Jun 2020'!$I$2:$M$449,5,FALSE)</f>
        <v>#N/A</v>
      </c>
      <c r="BD429" s="2" t="str">
        <f>VLOOKUP(A429,'[1]daily coal, energy reqd'!$C$2:$L$599,10,FALSE)</f>
        <v>Y</v>
      </c>
      <c r="BE429" s="2"/>
      <c r="BF429" s="2">
        <f t="shared" si="326"/>
        <v>23.739221541038184</v>
      </c>
      <c r="BG429" s="2">
        <f t="shared" si="327"/>
        <v>0</v>
      </c>
      <c r="BH429" s="2"/>
      <c r="BI429" s="2"/>
      <c r="BK429">
        <f t="shared" si="328"/>
        <v>10.959501148229208</v>
      </c>
      <c r="BL429" t="str">
        <f>VLOOKUP(A429,'[11]Daily coal vs energy req.2'!$C$2:$P$599,14,FALSE)</f>
        <v/>
      </c>
      <c r="BM429" t="str">
        <f>VLOOKUP(A429,'[11]Daily coal vs energy req.2'!$C$2:$R$599,16,FALSE)</f>
        <v/>
      </c>
      <c r="BP429" s="2" t="e">
        <f>VLOOKUP(A429,'[7]Table 2'!$J$2:$N$449,5,FALSE)</f>
        <v>#N/A</v>
      </c>
      <c r="BR429">
        <f t="shared" si="333"/>
        <v>35.040978158052205</v>
      </c>
      <c r="BT429">
        <f>(X429*I429*365*[5]Analysis!BK429)/10^4</f>
        <v>12.458251453587316</v>
      </c>
      <c r="BV429">
        <f>(X429*I429*365*[5]Analysis!BL429)/10^4</f>
        <v>22.582726704464889</v>
      </c>
      <c r="BX429">
        <f t="shared" si="334"/>
        <v>92861.09235767198</v>
      </c>
      <c r="BZ429">
        <f t="shared" si="335"/>
        <v>527008.48819342128</v>
      </c>
      <c r="CB429">
        <f t="shared" si="336"/>
        <v>-1480.3536560774171</v>
      </c>
      <c r="CD429">
        <f t="shared" si="337"/>
        <v>0</v>
      </c>
      <c r="CF429">
        <f t="shared" si="338"/>
        <v>171426.80727842217</v>
      </c>
      <c r="CH429">
        <f t="shared" si="339"/>
        <v>60717.916657560054</v>
      </c>
      <c r="CJ429">
        <f t="shared" si="340"/>
        <v>-33246.479655240575</v>
      </c>
      <c r="CL429">
        <f t="shared" si="341"/>
        <v>71978.534154720852</v>
      </c>
    </row>
    <row r="430" spans="1:90" x14ac:dyDescent="0.2">
      <c r="A430" s="2" t="s">
        <v>359</v>
      </c>
      <c r="B430" s="2" t="str">
        <f t="shared" si="348"/>
        <v>PANIPAT TPS</v>
      </c>
      <c r="C430" s="2" t="str">
        <f>VLOOKUP($A430,'[1]daily coal, energy reqd'!$C$2:$T$599,17,FALSE)</f>
        <v>Haryana</v>
      </c>
      <c r="D430" s="2" t="str">
        <f>VLOOKUP(C430,'Target PLF'!$I$2:$J$19,2,FALSE)</f>
        <v>NR</v>
      </c>
      <c r="E430" s="2" t="str">
        <f>VLOOKUP(A430,[2]Ownership!$C$2:$D$666,2,FALSE)</f>
        <v>STATE SECTOR</v>
      </c>
      <c r="F430" s="2" t="s">
        <v>545</v>
      </c>
      <c r="G430" s="12">
        <v>19.175906913073199</v>
      </c>
      <c r="H430" s="2">
        <v>210</v>
      </c>
      <c r="I430" s="2">
        <f>VLOOKUP(A430,'[3]Calculated coal req (reg.)'!$A$2:$I$599,9,FALSE)</f>
        <v>0.61630677790137101</v>
      </c>
      <c r="J430" s="2"/>
      <c r="K430" s="11">
        <v>0.12228309085344663</v>
      </c>
      <c r="L430" s="3">
        <f>VLOOKUP(F430,'Target PLF'!$A$2:$B$11,2,FALSE)</f>
        <v>0.75</v>
      </c>
      <c r="M430" s="3">
        <f t="shared" si="329"/>
        <v>0.62771690914655331</v>
      </c>
      <c r="N430" s="2" t="str">
        <f t="shared" si="312"/>
        <v>0.25</v>
      </c>
      <c r="O430" s="2">
        <f t="shared" si="310"/>
        <v>4.635761929442852</v>
      </c>
      <c r="P430" s="2">
        <f t="shared" si="313"/>
        <v>355331.15189179464</v>
      </c>
      <c r="Q430" s="2">
        <f t="shared" si="314"/>
        <v>14.760705601471592</v>
      </c>
      <c r="R430" s="2">
        <f t="shared" si="315"/>
        <v>3.78</v>
      </c>
      <c r="S430" s="2"/>
      <c r="T430" s="2" t="str">
        <f>VLOOKUP(A430,'[4]CEA vs MERIT comp. &amp; NPA marker'!$C$2:$K$735,9,FALSE)</f>
        <v>Contracted</v>
      </c>
      <c r="U430" s="3">
        <f>VLOOKUP(B430,'[8]Import-Domestic share'!$A$208:$F$406,6,FALSE)</f>
        <v>0</v>
      </c>
      <c r="V430" s="3">
        <f t="shared" si="316"/>
        <v>0</v>
      </c>
      <c r="W430" s="2">
        <f t="shared" si="317"/>
        <v>3121.991943277892</v>
      </c>
      <c r="X430" s="2">
        <f t="shared" si="318"/>
        <v>3329.497075194759</v>
      </c>
      <c r="Y430" s="6">
        <f t="shared" si="319"/>
        <v>0.27546515674126149</v>
      </c>
      <c r="Z430" s="2"/>
      <c r="AA430" s="2">
        <f t="shared" si="320"/>
        <v>173728.66365797902</v>
      </c>
      <c r="AB430" s="2" t="s">
        <v>576</v>
      </c>
      <c r="AC430" s="12">
        <f>VLOOKUP(B430,[9]Sheet1!$A$2:$B$137,2,FALSE)</f>
        <v>4311.1880532682781</v>
      </c>
      <c r="AD430" s="12">
        <f t="shared" si="321"/>
        <v>905349.49118633836</v>
      </c>
      <c r="AE430" s="2"/>
      <c r="AF430" s="7">
        <f>VLOOKUP($B430,'[9]Subsidiary wise dispatch'!$A$3:$R$138,11,FALSE)*$H430*$O430*365</f>
        <v>148988.22374822508</v>
      </c>
      <c r="AG430" s="7">
        <f>VLOOKUP($B430,'[9]Subsidiary wise dispatch'!$A$3:$R$138,12,FALSE)*$H430*$O430*365</f>
        <v>176546.00007972791</v>
      </c>
      <c r="AH430" s="7">
        <f>VLOOKUP($B430,'[9]Subsidiary wise dispatch'!$A$3:$R$138,13,FALSE)*$H430*$O430*365</f>
        <v>1692.6896525373459</v>
      </c>
      <c r="AI430" s="7">
        <f>VLOOKUP($B430,'[9]Subsidiary wise dispatch'!$A$3:$R$138,14,FALSE)*$H430*$O430*365</f>
        <v>3756.7320511235398</v>
      </c>
      <c r="AJ430" s="7">
        <f>VLOOKUP($B430,'[9]Subsidiary wise dispatch'!$A$3:$R$138,15,FALSE)*$H430*$O430*365</f>
        <v>5186.069962898041</v>
      </c>
      <c r="AK430" s="7">
        <f>VLOOKUP($B430,'[9]Subsidiary wise dispatch'!$A$3:$R$138,16,FALSE)*$H430*$O430*365</f>
        <v>0</v>
      </c>
      <c r="AL430" s="7">
        <f>VLOOKUP($B430,'[9]Subsidiary wise dispatch'!$A$3:$R$138,17,FALSE)*$H430*$O430*365</f>
        <v>0</v>
      </c>
      <c r="AM430" s="7">
        <f>VLOOKUP($B430,'[9]Subsidiary wise dispatch'!$A$3:$R$138,18,FALSE)*$H430*$O430*365</f>
        <v>19161.43639728273</v>
      </c>
      <c r="AN430" s="15">
        <f t="shared" si="322"/>
        <v>355331.15189179464</v>
      </c>
      <c r="AO430" s="6">
        <v>9.6798449718982396E-2</v>
      </c>
      <c r="AP430" s="11">
        <f t="shared" si="323"/>
        <v>5.9657540652153909E-2</v>
      </c>
      <c r="AQ430" s="11"/>
      <c r="AR430" s="3">
        <f>VLOOKUP(A430,[10]Sheet1!$A$2:$L$542,12,FALSE)</f>
        <v>3.81410654827974</v>
      </c>
      <c r="AS430" s="3">
        <f t="shared" si="330"/>
        <v>3.2858804620931892</v>
      </c>
      <c r="AT430" s="2"/>
      <c r="AU430" s="2"/>
      <c r="AV430" s="88">
        <f t="shared" si="331"/>
        <v>0.46000350536077722</v>
      </c>
      <c r="AW430" s="32">
        <f t="shared" si="332"/>
        <v>0.13999398659430945</v>
      </c>
      <c r="AX430" s="12">
        <f t="shared" si="324"/>
        <v>73.916529605902824</v>
      </c>
      <c r="AY430" s="12">
        <f t="shared" si="325"/>
        <v>0</v>
      </c>
      <c r="AZ430" s="3">
        <f>VLOOKUP(A430,[5]Analysis!$A$3:$BJ$543,62,FALSE)</f>
        <v>1.0596768181789709</v>
      </c>
      <c r="BA430" s="2"/>
      <c r="BB430" s="2"/>
      <c r="BC430" s="2" t="str">
        <f>VLOOKUP(A430,'[6]FGD status - Jun 2020'!$I$2:$M$449,5,FALSE)</f>
        <v>Retendering to be done</v>
      </c>
      <c r="BD430" s="2"/>
      <c r="BE430" s="2"/>
      <c r="BF430" s="2">
        <f t="shared" si="326"/>
        <v>53.769021402144503</v>
      </c>
      <c r="BG430" s="2">
        <f t="shared" si="327"/>
        <v>0</v>
      </c>
      <c r="BH430" s="2">
        <f>IF(G430&lt;17,IF(H430&gt;400,H430*5000000,H430*3500000),H430*1500000)/10^7</f>
        <v>31.5</v>
      </c>
      <c r="BI430" s="2">
        <f>(H430*800000)/10^7</f>
        <v>16.8</v>
      </c>
      <c r="BK430">
        <f t="shared" si="328"/>
        <v>25.679449079223794</v>
      </c>
      <c r="BL430">
        <f>VLOOKUP(A430,'[11]Daily coal vs energy req.2'!$C$2:$P$599,14,FALSE)</f>
        <v>0.76</v>
      </c>
      <c r="BM430">
        <f>VLOOKUP(A430,'[11]Daily coal vs energy req.2'!$C$2:$R$599,16,FALSE)</f>
        <v>0.48</v>
      </c>
      <c r="BN430">
        <f>BL430*H430</f>
        <v>159.6</v>
      </c>
      <c r="BO430">
        <f>BM430*H430</f>
        <v>100.8</v>
      </c>
      <c r="BP430" s="2" t="str">
        <f>VLOOKUP(A430,'[7]Table 2'!$J$2:$N$449,5,FALSE)</f>
        <v>NIT issued</v>
      </c>
      <c r="BR430">
        <f t="shared" si="333"/>
        <v>79.367349989775164</v>
      </c>
      <c r="BT430">
        <f>(X430*I430*365*[5]Analysis!BK430)/10^4</f>
        <v>28.217774027814187</v>
      </c>
      <c r="BV430">
        <f>(X430*I430*365*[5]Analysis!BL430)/10^4</f>
        <v>51.149575961960977</v>
      </c>
      <c r="BX430">
        <f t="shared" si="334"/>
        <v>210329.14048064532</v>
      </c>
      <c r="BZ430">
        <f t="shared" si="335"/>
        <v>1234845.222774426</v>
      </c>
      <c r="CB430">
        <f t="shared" si="336"/>
        <v>-8127.4688213551299</v>
      </c>
      <c r="CD430">
        <f t="shared" si="337"/>
        <v>0</v>
      </c>
      <c r="CF430">
        <f t="shared" si="338"/>
        <v>401673.9365031622</v>
      </c>
      <c r="CH430">
        <f t="shared" si="339"/>
        <v>87508.168468015676</v>
      </c>
      <c r="CJ430">
        <f t="shared" si="340"/>
        <v>-77900.560419955393</v>
      </c>
      <c r="CL430">
        <f t="shared" si="341"/>
        <v>168654.49235542779</v>
      </c>
    </row>
    <row r="431" spans="1:90" x14ac:dyDescent="0.2">
      <c r="A431" s="2" t="s">
        <v>325</v>
      </c>
      <c r="B431" s="2" t="str">
        <f t="shared" si="348"/>
        <v>PANIPAT TPS</v>
      </c>
      <c r="C431" s="2" t="str">
        <f>VLOOKUP($A431,'[1]daily coal, energy reqd'!$C$2:$T$599,17,FALSE)</f>
        <v>Haryana</v>
      </c>
      <c r="D431" s="2" t="str">
        <f>VLOOKUP(C431,'Target PLF'!$I$2:$J$19,2,FALSE)</f>
        <v>NR</v>
      </c>
      <c r="E431" s="2" t="str">
        <f>VLOOKUP(A431,[2]Ownership!$C$2:$D$666,2,FALSE)</f>
        <v>STATE SECTOR</v>
      </c>
      <c r="F431" s="2" t="s">
        <v>545</v>
      </c>
      <c r="G431" s="12">
        <v>15.6714579055441</v>
      </c>
      <c r="H431" s="2">
        <v>250</v>
      </c>
      <c r="I431" s="2">
        <f>VLOOKUP(A431,'[3]Calculated coal req (reg.)'!$A$2:$I$599,9,FALSE)</f>
        <v>3.21206361189852</v>
      </c>
      <c r="J431" s="2"/>
      <c r="K431" s="11">
        <v>0.53534393531641999</v>
      </c>
      <c r="L431" s="3">
        <f>VLOOKUP(F431,'Target PLF'!$A$2:$B$11,2,FALSE)</f>
        <v>0.75</v>
      </c>
      <c r="M431" s="3">
        <f t="shared" si="329"/>
        <v>0.21465606468358001</v>
      </c>
      <c r="N431" s="2" t="str">
        <f t="shared" si="312"/>
        <v>0.25</v>
      </c>
      <c r="O431" s="2">
        <f t="shared" si="310"/>
        <v>10.063481954396055</v>
      </c>
      <c r="P431" s="2">
        <f t="shared" si="313"/>
        <v>918292.72833863995</v>
      </c>
      <c r="Q431" s="2">
        <f t="shared" si="314"/>
        <v>14.441386179158108</v>
      </c>
      <c r="R431" s="2">
        <f t="shared" si="315"/>
        <v>4.5</v>
      </c>
      <c r="S431" s="2"/>
      <c r="T431" s="2" t="str">
        <f>VLOOKUP(A431,'[4]CEA vs MERIT comp. &amp; NPA marker'!$C$2:$K$735,9,FALSE)</f>
        <v>Contracted</v>
      </c>
      <c r="U431" s="3">
        <f>VLOOKUP(B431,'[8]Import-Domestic share'!$A$208:$F$406,6,FALSE)</f>
        <v>0</v>
      </c>
      <c r="V431" s="3">
        <f t="shared" si="316"/>
        <v>0</v>
      </c>
      <c r="W431" s="2">
        <f t="shared" si="317"/>
        <v>3058.1863789712525</v>
      </c>
      <c r="X431" s="2">
        <f t="shared" si="318"/>
        <v>3129.1454918609811</v>
      </c>
      <c r="Y431" s="6">
        <f t="shared" si="319"/>
        <v>0.28121242247154882</v>
      </c>
      <c r="Z431" s="2"/>
      <c r="AA431" s="2">
        <f t="shared" si="320"/>
        <v>850953.42629278859</v>
      </c>
      <c r="AB431" s="2" t="s">
        <v>576</v>
      </c>
      <c r="AC431" s="12">
        <f>VLOOKUP(B431,[9]Sheet1!$A$2:$B$137,2,FALSE)</f>
        <v>4311.1880532682781</v>
      </c>
      <c r="AD431" s="12">
        <f t="shared" si="321"/>
        <v>1077797.0133170695</v>
      </c>
      <c r="AE431" s="2"/>
      <c r="AF431" s="7">
        <f>VLOOKUP($B431,'[9]Subsidiary wise dispatch'!$A$3:$R$138,11,FALSE)*$H431*$O431*365</f>
        <v>385034.64091926336</v>
      </c>
      <c r="AG431" s="7">
        <f>VLOOKUP($B431,'[9]Subsidiary wise dispatch'!$A$3:$R$138,12,FALSE)*$H431*$O431*365</f>
        <v>456253.01138768747</v>
      </c>
      <c r="AH431" s="7">
        <f>VLOOKUP($B431,'[9]Subsidiary wise dispatch'!$A$3:$R$138,13,FALSE)*$H431*$O431*365</f>
        <v>4374.4675663349799</v>
      </c>
      <c r="AI431" s="7">
        <f>VLOOKUP($B431,'[9]Subsidiary wise dispatch'!$A$3:$R$138,14,FALSE)*$H431*$O431*365</f>
        <v>9708.6329371818683</v>
      </c>
      <c r="AJ431" s="7">
        <f>VLOOKUP($B431,'[9]Subsidiary wise dispatch'!$A$3:$R$138,15,FALSE)*$H431*$O431*365</f>
        <v>13402.51286786962</v>
      </c>
      <c r="AK431" s="7">
        <f>VLOOKUP($B431,'[9]Subsidiary wise dispatch'!$A$3:$R$138,16,FALSE)*$H431*$O431*365</f>
        <v>0</v>
      </c>
      <c r="AL431" s="7">
        <f>VLOOKUP($B431,'[9]Subsidiary wise dispatch'!$A$3:$R$138,17,FALSE)*$H431*$O431*365</f>
        <v>0</v>
      </c>
      <c r="AM431" s="7">
        <f>VLOOKUP($B431,'[9]Subsidiary wise dispatch'!$A$3:$R$138,18,FALSE)*$H431*$O431*365</f>
        <v>49519.462660302728</v>
      </c>
      <c r="AN431" s="15">
        <f t="shared" si="322"/>
        <v>918292.72833864007</v>
      </c>
      <c r="AO431" s="6">
        <v>9.6798449718982396E-2</v>
      </c>
      <c r="AP431" s="11">
        <f t="shared" si="323"/>
        <v>0.31092277803053187</v>
      </c>
      <c r="AQ431" s="11"/>
      <c r="AR431" s="3">
        <f>VLOOKUP(A431,[10]Sheet1!$A$2:$L$542,12,FALSE)</f>
        <v>3.5561709211986599</v>
      </c>
      <c r="AS431" s="3">
        <f t="shared" si="330"/>
        <v>3.2153197321252276</v>
      </c>
      <c r="AT431" s="2"/>
      <c r="AU431" s="2"/>
      <c r="AV431" s="88">
        <f t="shared" si="331"/>
        <v>0.15730425732142111</v>
      </c>
      <c r="AW431" s="32">
        <f t="shared" si="332"/>
        <v>4.8923363903672447E-2</v>
      </c>
      <c r="AX431" s="12">
        <f t="shared" si="324"/>
        <v>376.96512019452405</v>
      </c>
      <c r="AY431" s="12">
        <f t="shared" si="325"/>
        <v>0</v>
      </c>
      <c r="AZ431" s="3">
        <f>VLOOKUP(A431,[5]Analysis!$A$3:$BJ$543,62,FALSE)</f>
        <v>1.0596768181789709</v>
      </c>
      <c r="BA431" s="2"/>
      <c r="BB431" s="2"/>
      <c r="BC431" s="2" t="str">
        <f>VLOOKUP(A431,'[6]FGD status - Jun 2020'!$I$2:$M$449,5,FALSE)</f>
        <v>Retendering to be done</v>
      </c>
      <c r="BD431" s="2"/>
      <c r="BE431" s="2"/>
      <c r="BF431" s="2">
        <f t="shared" si="326"/>
        <v>263.37008543761806</v>
      </c>
      <c r="BG431" s="2">
        <f t="shared" si="327"/>
        <v>0</v>
      </c>
      <c r="BH431" s="2">
        <f>IF(G431&lt;17,IF(H431&gt;400,H431*5000000,H431*3500000),H431*1500000)/10^7</f>
        <v>87.5</v>
      </c>
      <c r="BI431" s="2">
        <f>(H431*800000)/10^7</f>
        <v>20</v>
      </c>
      <c r="BK431">
        <f t="shared" si="328"/>
        <v>133.835983829105</v>
      </c>
      <c r="BL431">
        <f>VLOOKUP(A431,'[11]Daily coal vs energy req.2'!$C$2:$P$599,14,FALSE)</f>
        <v>0.88</v>
      </c>
      <c r="BM431">
        <f>VLOOKUP(A431,'[11]Daily coal vs energy req.2'!$C$2:$R$599,16,FALSE)</f>
        <v>0.59</v>
      </c>
      <c r="BN431">
        <f>BL431*H431</f>
        <v>220</v>
      </c>
      <c r="BO431">
        <f>BM431*H431</f>
        <v>147.5</v>
      </c>
      <c r="BP431" s="2" t="str">
        <f>VLOOKUP(A431,'[7]Table 2'!$J$2:$N$449,5,FALSE)</f>
        <v>NIT issued</v>
      </c>
      <c r="BR431">
        <f t="shared" si="333"/>
        <v>388.75518286689015</v>
      </c>
      <c r="BT431">
        <f>(X431*I431*365*[5]Analysis!BK431)/10^4</f>
        <v>138.21560003821116</v>
      </c>
      <c r="BV431">
        <f>(X431*I431*365*[5]Analysis!BL431)/10^4</f>
        <v>250.53958282867902</v>
      </c>
      <c r="BX431">
        <f t="shared" si="334"/>
        <v>1030228.9730011527</v>
      </c>
      <c r="BZ431">
        <f t="shared" si="335"/>
        <v>6435758.2110434091</v>
      </c>
      <c r="CB431">
        <f t="shared" si="336"/>
        <v>-185442.37691629276</v>
      </c>
      <c r="CD431">
        <f t="shared" si="337"/>
        <v>0</v>
      </c>
      <c r="CF431">
        <f t="shared" si="338"/>
        <v>2093441.5806413833</v>
      </c>
      <c r="CH431">
        <f t="shared" si="339"/>
        <v>372725.64539867931</v>
      </c>
      <c r="CJ431">
        <f t="shared" si="340"/>
        <v>-483335.27200042986</v>
      </c>
      <c r="CL431">
        <f t="shared" si="341"/>
        <v>878992.37409454677</v>
      </c>
    </row>
    <row r="432" spans="1:90" x14ac:dyDescent="0.2">
      <c r="A432" s="2" t="s">
        <v>322</v>
      </c>
      <c r="B432" s="2" t="str">
        <f t="shared" si="348"/>
        <v>PANIPAT TPS</v>
      </c>
      <c r="C432" s="2" t="str">
        <f>VLOOKUP($A432,'[1]daily coal, energy reqd'!$C$2:$T$599,17,FALSE)</f>
        <v>Haryana</v>
      </c>
      <c r="D432" s="2" t="str">
        <f>VLOOKUP(C432,'Target PLF'!$I$2:$J$19,2,FALSE)</f>
        <v>NR</v>
      </c>
      <c r="E432" s="2" t="str">
        <f>VLOOKUP(A432,[2]Ownership!$C$2:$D$666,2,FALSE)</f>
        <v>STATE SECTOR</v>
      </c>
      <c r="F432" s="2" t="s">
        <v>545</v>
      </c>
      <c r="G432" s="12">
        <v>15.337440109514</v>
      </c>
      <c r="H432" s="2">
        <v>250</v>
      </c>
      <c r="I432" s="2">
        <f>VLOOKUP(A432,'[3]Calculated coal req (reg.)'!$A$2:$I$599,9,FALSE)</f>
        <v>3.4156200073814702</v>
      </c>
      <c r="J432" s="2"/>
      <c r="K432" s="11">
        <v>0.56927000123024507</v>
      </c>
      <c r="L432" s="3">
        <f>VLOOKUP(F432,'Target PLF'!$A$2:$B$11,2,FALSE)</f>
        <v>0.75</v>
      </c>
      <c r="M432" s="3">
        <f t="shared" si="329"/>
        <v>0.18072999876975493</v>
      </c>
      <c r="N432" s="2" t="str">
        <f t="shared" si="312"/>
        <v>0.25</v>
      </c>
      <c r="O432" s="2">
        <f t="shared" ref="O432:O495" si="349">(13.9133*K432)+(-0.289097*N432)+(-0.0052079*H432)+(0.031675*G432)+3.492937+IF(E432="Pvt Sector",-0.8897511,0)</f>
        <v>10.524925473585624</v>
      </c>
      <c r="P432" s="2">
        <f t="shared" si="313"/>
        <v>960399.44946468808</v>
      </c>
      <c r="Q432" s="2">
        <f t="shared" si="314"/>
        <v>14.430806165468855</v>
      </c>
      <c r="R432" s="2">
        <f t="shared" si="315"/>
        <v>4.5</v>
      </c>
      <c r="S432" s="2"/>
      <c r="T432" s="2" t="str">
        <f>VLOOKUP(A432,'[4]CEA vs MERIT comp. &amp; NPA marker'!$C$2:$K$735,9,FALSE)</f>
        <v>Contracted</v>
      </c>
      <c r="U432" s="3">
        <f>VLOOKUP(B432,'[8]Import-Domestic share'!$A$208:$F$406,6,FALSE)</f>
        <v>0</v>
      </c>
      <c r="V432" s="3">
        <f t="shared" si="316"/>
        <v>0</v>
      </c>
      <c r="W432" s="2">
        <f t="shared" si="317"/>
        <v>3055.6343036420258</v>
      </c>
      <c r="X432" s="2">
        <f t="shared" si="318"/>
        <v>3115.378436211342</v>
      </c>
      <c r="Y432" s="6">
        <f t="shared" si="319"/>
        <v>0.2814472919665032</v>
      </c>
      <c r="Z432" s="2"/>
      <c r="AA432" s="2">
        <f t="shared" si="320"/>
        <v>900899.31286245433</v>
      </c>
      <c r="AB432" s="2" t="s">
        <v>576</v>
      </c>
      <c r="AC432" s="12">
        <f>VLOOKUP(B432,[9]Sheet1!$A$2:$B$137,2,FALSE)</f>
        <v>4311.1880532682781</v>
      </c>
      <c r="AD432" s="12">
        <f t="shared" si="321"/>
        <v>1077797.0133170695</v>
      </c>
      <c r="AE432" s="2"/>
      <c r="AF432" s="7">
        <f>VLOOKUP($B432,'[9]Subsidiary wise dispatch'!$A$3:$R$138,11,FALSE)*$H432*$O432*365</f>
        <v>402689.73689109675</v>
      </c>
      <c r="AG432" s="7">
        <f>VLOOKUP($B432,'[9]Subsidiary wise dispatch'!$A$3:$R$138,12,FALSE)*$H432*$O432*365</f>
        <v>477173.70227476209</v>
      </c>
      <c r="AH432" s="7">
        <f>VLOOKUP($B432,'[9]Subsidiary wise dispatch'!$A$3:$R$138,13,FALSE)*$H432*$O432*365</f>
        <v>4575.051193109256</v>
      </c>
      <c r="AI432" s="7">
        <f>VLOOKUP($B432,'[9]Subsidiary wise dispatch'!$A$3:$R$138,14,FALSE)*$H432*$O432*365</f>
        <v>10153.805469845471</v>
      </c>
      <c r="AJ432" s="7">
        <f>VLOOKUP($B432,'[9]Subsidiary wise dispatch'!$A$3:$R$138,15,FALSE)*$H432*$O432*365</f>
        <v>14017.061861126536</v>
      </c>
      <c r="AK432" s="7">
        <f>VLOOKUP($B432,'[9]Subsidiary wise dispatch'!$A$3:$R$138,16,FALSE)*$H432*$O432*365</f>
        <v>0</v>
      </c>
      <c r="AL432" s="7">
        <f>VLOOKUP($B432,'[9]Subsidiary wise dispatch'!$A$3:$R$138,17,FALSE)*$H432*$O432*365</f>
        <v>0</v>
      </c>
      <c r="AM432" s="7">
        <f>VLOOKUP($B432,'[9]Subsidiary wise dispatch'!$A$3:$R$138,18,FALSE)*$H432*$O432*365</f>
        <v>51790.09177474802</v>
      </c>
      <c r="AN432" s="15">
        <f t="shared" si="322"/>
        <v>960399.44946468808</v>
      </c>
      <c r="AO432" s="6">
        <v>9.6798449718982396E-2</v>
      </c>
      <c r="AP432" s="11">
        <f t="shared" si="323"/>
        <v>0.33062672154366551</v>
      </c>
      <c r="AQ432" s="11"/>
      <c r="AR432" s="3">
        <f>VLOOKUP(A432,[10]Sheet1!$A$2:$L$542,12,FALSE)</f>
        <v>3.5740621531631498</v>
      </c>
      <c r="AS432" s="3">
        <f t="shared" si="330"/>
        <v>3.2114353741504349</v>
      </c>
      <c r="AT432" s="2"/>
      <c r="AU432" s="2"/>
      <c r="AV432" s="88">
        <f t="shared" si="331"/>
        <v>0.13244255769845181</v>
      </c>
      <c r="AW432" s="32">
        <f t="shared" si="332"/>
        <v>4.124092259944314E-2</v>
      </c>
      <c r="AX432" s="12">
        <f t="shared" si="324"/>
        <v>400.37006644717007</v>
      </c>
      <c r="AY432" s="12">
        <f t="shared" si="325"/>
        <v>0</v>
      </c>
      <c r="AZ432" s="3">
        <f>VLOOKUP(A432,[5]Analysis!$A$3:$BJ$543,62,FALSE)</f>
        <v>1.0596768181789709</v>
      </c>
      <c r="BA432" s="2"/>
      <c r="BB432" s="2"/>
      <c r="BC432" s="2" t="str">
        <f>VLOOKUP(A432,'[6]FGD status - Jun 2020'!$I$2:$M$449,5,FALSE)</f>
        <v>Retendering to be done</v>
      </c>
      <c r="BD432" s="2"/>
      <c r="BE432" s="2"/>
      <c r="BF432" s="2">
        <f t="shared" si="326"/>
        <v>278.82833733092963</v>
      </c>
      <c r="BG432" s="2">
        <f t="shared" si="327"/>
        <v>0</v>
      </c>
      <c r="BH432" s="2">
        <f>IF(G432&lt;17,IF(H432&gt;400,H432*5000000,H432*3500000),H432*1500000)/10^7</f>
        <v>87.5</v>
      </c>
      <c r="BI432" s="2">
        <f>(H432*800000)/10^7</f>
        <v>20</v>
      </c>
      <c r="BK432">
        <f t="shared" si="328"/>
        <v>142.31750030756126</v>
      </c>
      <c r="BL432">
        <f>VLOOKUP(A432,'[11]Daily coal vs energy req.2'!$C$2:$P$599,14,FALSE)</f>
        <v>1.1499999999999999</v>
      </c>
      <c r="BM432">
        <f>VLOOKUP(A432,'[11]Daily coal vs energy req.2'!$C$2:$R$599,16,FALSE)</f>
        <v>0.61</v>
      </c>
      <c r="BN432">
        <f>BL432*H432</f>
        <v>287.5</v>
      </c>
      <c r="BO432">
        <f>BM432*H432</f>
        <v>152.5</v>
      </c>
      <c r="BP432" s="2" t="str">
        <f>VLOOKUP(A432,'[7]Table 2'!$J$2:$N$449,5,FALSE)</f>
        <v>NIT issued</v>
      </c>
      <c r="BR432">
        <f t="shared" si="333"/>
        <v>411.57279152430993</v>
      </c>
      <c r="BT432">
        <f>(X432*I432*365*[5]Analysis!BK432)/10^4</f>
        <v>146.32803071698672</v>
      </c>
      <c r="BV432">
        <f>(X432*I432*365*[5]Analysis!BL432)/10^4</f>
        <v>265.24476080732325</v>
      </c>
      <c r="BX432">
        <f t="shared" si="334"/>
        <v>1090697.2640220465</v>
      </c>
      <c r="BZ432">
        <f t="shared" si="335"/>
        <v>6843608.0863656122</v>
      </c>
      <c r="CB432">
        <f t="shared" si="336"/>
        <v>-209691.00825593149</v>
      </c>
      <c r="CD432">
        <f t="shared" si="337"/>
        <v>0</v>
      </c>
      <c r="CF432">
        <f t="shared" si="338"/>
        <v>2226108.1382808252</v>
      </c>
      <c r="CH432">
        <f t="shared" si="339"/>
        <v>387898.5589233762</v>
      </c>
      <c r="CJ432">
        <f t="shared" si="340"/>
        <v>-513965.42061072681</v>
      </c>
      <c r="CL432">
        <f t="shared" si="341"/>
        <v>934696.28937969019</v>
      </c>
    </row>
    <row r="433" spans="1:90" x14ac:dyDescent="0.2">
      <c r="A433" s="2" t="s">
        <v>304</v>
      </c>
      <c r="B433" s="2" t="str">
        <f t="shared" si="348"/>
        <v>PARAS TPS</v>
      </c>
      <c r="C433" s="2" t="str">
        <f>VLOOKUP($A433,'[1]daily coal, energy reqd'!$C$2:$T$599,17,FALSE)</f>
        <v>Maharashtra</v>
      </c>
      <c r="D433" s="2" t="str">
        <f>VLOOKUP(C433,'Target PLF'!$I$2:$J$19,2,FALSE)</f>
        <v>WR</v>
      </c>
      <c r="E433" s="2" t="str">
        <f>VLOOKUP(A433,[2]Ownership!$C$2:$D$666,2,FALSE)</f>
        <v>STATE SECTOR</v>
      </c>
      <c r="F433" s="2" t="s">
        <v>544</v>
      </c>
      <c r="G433" s="12">
        <v>13.0102669404517</v>
      </c>
      <c r="H433" s="2">
        <v>250</v>
      </c>
      <c r="I433" s="2">
        <f>VLOOKUP(A433,'[3]Calculated coal req (reg.)'!$A$2:$I$599,9,FALSE)</f>
        <v>3.1893327460847098</v>
      </c>
      <c r="J433" s="2"/>
      <c r="K433" s="11">
        <v>0.53155545768078494</v>
      </c>
      <c r="L433" s="3">
        <f>VLOOKUP(F433,'Target PLF'!$A$2:$B$11,2,FALSE)</f>
        <v>0.8</v>
      </c>
      <c r="M433" s="3">
        <f t="shared" si="329"/>
        <v>0.26844454231921511</v>
      </c>
      <c r="N433" s="2" t="str">
        <f t="shared" si="312"/>
        <v>0.15</v>
      </c>
      <c r="O433" s="2">
        <f t="shared" si="349"/>
        <v>9.9553882046888731</v>
      </c>
      <c r="P433" s="2">
        <f t="shared" si="313"/>
        <v>908429.17367785971</v>
      </c>
      <c r="Q433" s="2">
        <f t="shared" si="314"/>
        <v>14.386002655338807</v>
      </c>
      <c r="R433" s="2">
        <f t="shared" si="315"/>
        <v>4.8</v>
      </c>
      <c r="S433" s="2"/>
      <c r="T433" s="2" t="str">
        <f>VLOOKUP(A433,'[4]CEA vs MERIT comp. &amp; NPA marker'!$C$2:$K$735,9,FALSE)</f>
        <v>Contracted</v>
      </c>
      <c r="U433" s="3">
        <f>VLOOKUP(B433,'[8]Import-Domestic share'!$A$208:$F$406,6,FALSE)</f>
        <v>0</v>
      </c>
      <c r="V433" s="3">
        <f t="shared" si="316"/>
        <v>0</v>
      </c>
      <c r="W433" s="2">
        <f t="shared" si="317"/>
        <v>3021.3248909383979</v>
      </c>
      <c r="X433" s="2">
        <f t="shared" si="318"/>
        <v>3110.0649254263117</v>
      </c>
      <c r="Y433" s="6">
        <f t="shared" si="319"/>
        <v>0.28464333729196906</v>
      </c>
      <c r="Z433" s="2"/>
      <c r="AA433" s="2">
        <f t="shared" si="320"/>
        <v>828588.85533476435</v>
      </c>
      <c r="AB433" s="2" t="s">
        <v>576</v>
      </c>
      <c r="AC433" s="12">
        <f>VLOOKUP(B433,[9]Sheet1!$A$2:$B$137,2,FALSE)</f>
        <v>4369.4126749544839</v>
      </c>
      <c r="AD433" s="12">
        <f t="shared" si="321"/>
        <v>1092353.1687386211</v>
      </c>
      <c r="AE433" s="2"/>
      <c r="AF433" s="7">
        <f>VLOOKUP($B433,'[9]Subsidiary wise dispatch'!$A$3:$R$138,11,FALSE)*$H433*$O433*365</f>
        <v>0</v>
      </c>
      <c r="AG433" s="7">
        <f>VLOOKUP($B433,'[9]Subsidiary wise dispatch'!$A$3:$R$138,12,FALSE)*$H433*$O433*365</f>
        <v>0</v>
      </c>
      <c r="AH433" s="7">
        <f>VLOOKUP($B433,'[9]Subsidiary wise dispatch'!$A$3:$R$138,13,FALSE)*$H433*$O433*365</f>
        <v>0</v>
      </c>
      <c r="AI433" s="7">
        <f>VLOOKUP($B433,'[9]Subsidiary wise dispatch'!$A$3:$R$138,14,FALSE)*$H433*$O433*365</f>
        <v>0</v>
      </c>
      <c r="AJ433" s="7">
        <f>VLOOKUP($B433,'[9]Subsidiary wise dispatch'!$A$3:$R$138,15,FALSE)*$H433*$O433*365</f>
        <v>0</v>
      </c>
      <c r="AK433" s="7">
        <f>VLOOKUP($B433,'[9]Subsidiary wise dispatch'!$A$3:$R$138,16,FALSE)*$H433*$O433*365</f>
        <v>0</v>
      </c>
      <c r="AL433" s="7">
        <f>VLOOKUP($B433,'[9]Subsidiary wise dispatch'!$A$3:$R$138,17,FALSE)*$H433*$O433*365</f>
        <v>0</v>
      </c>
      <c r="AM433" s="7">
        <f>VLOOKUP($B433,'[9]Subsidiary wise dispatch'!$A$3:$R$138,18,FALSE)*$H433*$O433*365</f>
        <v>908429.17367785971</v>
      </c>
      <c r="AN433" s="15">
        <f t="shared" si="322"/>
        <v>908429.17367785971</v>
      </c>
      <c r="AO433" s="6">
        <v>0.10363937129574924</v>
      </c>
      <c r="AP433" s="11">
        <f t="shared" si="323"/>
        <v>0.33054044065716476</v>
      </c>
      <c r="AQ433" s="11"/>
      <c r="AR433" s="3">
        <f>VLOOKUP(A433,[10]Sheet1!$A$2:$L$542,12,FALSE)</f>
        <v>2.24048351648351</v>
      </c>
      <c r="AS433" s="3">
        <f t="shared" si="330"/>
        <v>2.3590373558269655</v>
      </c>
      <c r="AT433" s="2"/>
      <c r="AU433" s="2"/>
      <c r="AV433" s="88">
        <f t="shared" si="331"/>
        <v>0.19672152950236721</v>
      </c>
      <c r="AW433" s="32">
        <f t="shared" si="332"/>
        <v>8.3390595327561504E-2</v>
      </c>
      <c r="AX433" s="12">
        <f t="shared" si="324"/>
        <v>274.61706071842502</v>
      </c>
      <c r="AY433" s="12">
        <f t="shared" si="325"/>
        <v>0</v>
      </c>
      <c r="AZ433" s="3">
        <f>VLOOKUP(A433,[5]Analysis!$A$3:$BJ$543,62,FALSE)</f>
        <v>0.60803296864782308</v>
      </c>
      <c r="BA433" s="2">
        <f>474.31/2</f>
        <v>237.155</v>
      </c>
      <c r="BB433" s="2"/>
      <c r="BC433" s="2" t="e">
        <f>VLOOKUP(A433,'[6]FGD status - Jun 2020'!$I$2:$M$449,5,FALSE)</f>
        <v>#N/A</v>
      </c>
      <c r="BD433" s="2"/>
      <c r="BE433" s="2"/>
      <c r="BF433" s="2">
        <f t="shared" si="326"/>
        <v>256.44825072610956</v>
      </c>
      <c r="BG433" s="2">
        <f t="shared" si="327"/>
        <v>0</v>
      </c>
      <c r="BH433" s="2"/>
      <c r="BI433" s="2"/>
      <c r="BK433">
        <f t="shared" si="328"/>
        <v>132.88886442019623</v>
      </c>
      <c r="BL433">
        <f>VLOOKUP(A433,'[11]Daily coal vs energy req.2'!$C$2:$P$599,14,FALSE)</f>
        <v>0.8</v>
      </c>
      <c r="BM433">
        <f>VLOOKUP(A433,'[11]Daily coal vs energy req.2'!$C$2:$R$599,16,FALSE)</f>
        <v>1.0900000000000001</v>
      </c>
      <c r="BN433">
        <f>BL433*H433</f>
        <v>200</v>
      </c>
      <c r="BO433">
        <f>BM433*H433</f>
        <v>272.5</v>
      </c>
      <c r="BP433" s="2" t="e">
        <f>VLOOKUP(A433,'[7]Table 2'!$J$2:$N$449,5,FALSE)</f>
        <v>#N/A</v>
      </c>
      <c r="BR433">
        <f t="shared" si="333"/>
        <v>220.13509225005157</v>
      </c>
      <c r="BT433">
        <f>(X433*I433*365*[5]Analysis!BK433)/10^4</f>
        <v>140.35441431414375</v>
      </c>
      <c r="BV433">
        <f>(X433*I433*365*[5]Analysis!BL433)/10^4</f>
        <v>79.780677935907804</v>
      </c>
      <c r="BX433">
        <f t="shared" si="334"/>
        <v>1016700.7706839428</v>
      </c>
      <c r="BZ433">
        <f t="shared" si="335"/>
        <v>3666647.0621525855</v>
      </c>
      <c r="CB433">
        <f t="shared" si="336"/>
        <v>-182827.01733974423</v>
      </c>
      <c r="CD433">
        <f t="shared" si="337"/>
        <v>0</v>
      </c>
      <c r="CF433">
        <f t="shared" si="338"/>
        <v>2078626.8865978604</v>
      </c>
      <c r="CH433">
        <f t="shared" si="339"/>
        <v>307242.84419154411</v>
      </c>
      <c r="CJ433">
        <f t="shared" si="340"/>
        <v>-479914.84496709681</v>
      </c>
      <c r="CL433">
        <f t="shared" si="341"/>
        <v>934452.36951719364</v>
      </c>
    </row>
    <row r="434" spans="1:90" x14ac:dyDescent="0.2">
      <c r="A434" s="2" t="s">
        <v>271</v>
      </c>
      <c r="B434" s="2" t="str">
        <f t="shared" si="348"/>
        <v>PARAS TPS</v>
      </c>
      <c r="C434" s="2" t="str">
        <f>VLOOKUP($A434,'[1]daily coal, energy reqd'!$C$2:$T$599,17,FALSE)</f>
        <v>Maharashtra</v>
      </c>
      <c r="D434" s="2" t="str">
        <f>VLOOKUP(C434,'Target PLF'!$I$2:$J$19,2,FALSE)</f>
        <v>WR</v>
      </c>
      <c r="E434" s="2" t="str">
        <f>VLOOKUP(A434,[2]Ownership!$C$2:$D$666,2,FALSE)</f>
        <v>STATE SECTOR</v>
      </c>
      <c r="F434" s="2" t="s">
        <v>544</v>
      </c>
      <c r="G434" s="12">
        <v>10.17659137577</v>
      </c>
      <c r="H434" s="2">
        <v>250</v>
      </c>
      <c r="I434" s="2">
        <f>VLOOKUP(A434,'[3]Calculated coal req (reg.)'!$A$2:$I$599,9,FALSE)</f>
        <v>4.3568097115928399</v>
      </c>
      <c r="J434" s="2"/>
      <c r="K434" s="11">
        <v>0.72613495193214006</v>
      </c>
      <c r="L434" s="3">
        <f>VLOOKUP(F434,'Target PLF'!$A$2:$B$11,2,FALSE)</f>
        <v>0.8</v>
      </c>
      <c r="M434" s="3">
        <f t="shared" si="329"/>
        <v>7.3865048067859984E-2</v>
      </c>
      <c r="N434" s="2" t="str">
        <f t="shared" si="312"/>
        <v>0.15</v>
      </c>
      <c r="O434" s="2">
        <f t="shared" si="349"/>
        <v>12.572874408544958</v>
      </c>
      <c r="P434" s="2">
        <f t="shared" si="313"/>
        <v>1147274.7897797273</v>
      </c>
      <c r="Q434" s="2">
        <f t="shared" si="314"/>
        <v>14.296245981827514</v>
      </c>
      <c r="R434" s="2">
        <f t="shared" si="315"/>
        <v>4.8</v>
      </c>
      <c r="S434" s="2"/>
      <c r="T434" s="2" t="str">
        <f>VLOOKUP(A434,'[4]CEA vs MERIT comp. &amp; NPA marker'!$C$2:$K$735,9,FALSE)</f>
        <v>Contracted</v>
      </c>
      <c r="U434" s="3">
        <f>VLOOKUP(B434,'[8]Import-Domestic share'!$A$208:$F$406,6,FALSE)</f>
        <v>0</v>
      </c>
      <c r="V434" s="3">
        <f t="shared" si="316"/>
        <v>0</v>
      </c>
      <c r="W434" s="2">
        <f t="shared" si="317"/>
        <v>2999.6740879404515</v>
      </c>
      <c r="X434" s="2">
        <f t="shared" si="318"/>
        <v>3024.0917455183017</v>
      </c>
      <c r="Y434" s="6">
        <f t="shared" si="319"/>
        <v>0.28669781275820805</v>
      </c>
      <c r="Z434" s="2"/>
      <c r="AA434" s="2">
        <f t="shared" si="320"/>
        <v>1100609.748266014</v>
      </c>
      <c r="AB434" s="2" t="s">
        <v>576</v>
      </c>
      <c r="AC434" s="12">
        <f>VLOOKUP(B434,[9]Sheet1!$A$2:$B$137,2,FALSE)</f>
        <v>4369.4126749544839</v>
      </c>
      <c r="AD434" s="12">
        <f t="shared" si="321"/>
        <v>1092353.1687386211</v>
      </c>
      <c r="AE434" s="2"/>
      <c r="AF434" s="7">
        <f>VLOOKUP($B434,'[9]Subsidiary wise dispatch'!$A$3:$R$138,11,FALSE)*$H434*$O434*365</f>
        <v>0</v>
      </c>
      <c r="AG434" s="7">
        <f>VLOOKUP($B434,'[9]Subsidiary wise dispatch'!$A$3:$R$138,12,FALSE)*$H434*$O434*365</f>
        <v>0</v>
      </c>
      <c r="AH434" s="7">
        <f>VLOOKUP($B434,'[9]Subsidiary wise dispatch'!$A$3:$R$138,13,FALSE)*$H434*$O434*365</f>
        <v>0</v>
      </c>
      <c r="AI434" s="7">
        <f>VLOOKUP($B434,'[9]Subsidiary wise dispatch'!$A$3:$R$138,14,FALSE)*$H434*$O434*365</f>
        <v>0</v>
      </c>
      <c r="AJ434" s="7">
        <f>VLOOKUP($B434,'[9]Subsidiary wise dispatch'!$A$3:$R$138,15,FALSE)*$H434*$O434*365</f>
        <v>0</v>
      </c>
      <c r="AK434" s="7">
        <f>VLOOKUP($B434,'[9]Subsidiary wise dispatch'!$A$3:$R$138,16,FALSE)*$H434*$O434*365</f>
        <v>0</v>
      </c>
      <c r="AL434" s="7">
        <f>VLOOKUP($B434,'[9]Subsidiary wise dispatch'!$A$3:$R$138,17,FALSE)*$H434*$O434*365</f>
        <v>0</v>
      </c>
      <c r="AM434" s="7">
        <f>VLOOKUP($B434,'[9]Subsidiary wise dispatch'!$A$3:$R$138,18,FALSE)*$H434*$O434*365</f>
        <v>1147274.7897797273</v>
      </c>
      <c r="AN434" s="15">
        <f t="shared" si="322"/>
        <v>1147274.7897797273</v>
      </c>
      <c r="AO434" s="6">
        <v>0.10363937129574924</v>
      </c>
      <c r="AP434" s="11">
        <f t="shared" si="323"/>
        <v>0.45153701936469648</v>
      </c>
      <c r="AQ434" s="11"/>
      <c r="AR434" s="3">
        <f>VLOOKUP(A434,[10]Sheet1!$A$2:$L$542,12,FALSE)</f>
        <v>2.24048351648351</v>
      </c>
      <c r="AS434" s="3">
        <f t="shared" si="330"/>
        <v>2.3292431541677088</v>
      </c>
      <c r="AT434" s="3"/>
      <c r="AU434" s="3"/>
      <c r="AV434" s="88">
        <f t="shared" si="331"/>
        <v>5.4129784525089153E-2</v>
      </c>
      <c r="AW434" s="32">
        <f t="shared" si="332"/>
        <v>2.3239215892181489E-2</v>
      </c>
      <c r="AX434" s="12">
        <f t="shared" si="324"/>
        <v>370.40452560797394</v>
      </c>
      <c r="AY434" s="12">
        <f t="shared" si="325"/>
        <v>0</v>
      </c>
      <c r="AZ434" s="3">
        <f>VLOOKUP(A434,[5]Analysis!$A$3:$BJ$543,62,FALSE)</f>
        <v>0.60803296864782308</v>
      </c>
      <c r="BA434" s="2">
        <f>474.31/2</f>
        <v>237.155</v>
      </c>
      <c r="BB434" s="2"/>
      <c r="BC434" s="2" t="e">
        <f>VLOOKUP(A434,'[6]FGD status - Jun 2020'!$I$2:$M$449,5,FALSE)</f>
        <v>#N/A</v>
      </c>
      <c r="BD434" s="2"/>
      <c r="BE434" s="2"/>
      <c r="BF434" s="2">
        <f t="shared" si="326"/>
        <v>340.63871708833136</v>
      </c>
      <c r="BG434" s="2">
        <f t="shared" si="327"/>
        <v>0</v>
      </c>
      <c r="BH434" s="2"/>
      <c r="BI434" s="2"/>
      <c r="BK434">
        <f t="shared" si="328"/>
        <v>181.53373798303502</v>
      </c>
      <c r="BL434">
        <f>VLOOKUP(A434,'[11]Daily coal vs energy req.2'!$C$2:$P$599,14,FALSE)</f>
        <v>1.07</v>
      </c>
      <c r="BM434">
        <f>VLOOKUP(A434,'[11]Daily coal vs energy req.2'!$C$2:$R$599,16,FALSE)</f>
        <v>1.04</v>
      </c>
      <c r="BN434">
        <f>BL434*H434</f>
        <v>267.5</v>
      </c>
      <c r="BO434">
        <f>BM434*H434</f>
        <v>260</v>
      </c>
      <c r="BP434" s="2" t="e">
        <f>VLOOKUP(A434,'[7]Table 2'!$J$2:$N$449,5,FALSE)</f>
        <v>#N/A</v>
      </c>
      <c r="BR434">
        <f t="shared" si="333"/>
        <v>292.40416028520991</v>
      </c>
      <c r="BT434">
        <f>(X434*I434*365*[5]Analysis!BK434)/10^4</f>
        <v>186.43195067341671</v>
      </c>
      <c r="BV434">
        <f>(X434*I434*365*[5]Analysis!BL434)/10^4</f>
        <v>105.97220961179319</v>
      </c>
      <c r="BX434">
        <f t="shared" si="334"/>
        <v>1350477.7092762426</v>
      </c>
      <c r="BZ434">
        <f t="shared" si="335"/>
        <v>5008848.1827369165</v>
      </c>
      <c r="CB434">
        <f t="shared" si="336"/>
        <v>-341175.54534028505</v>
      </c>
      <c r="CD434">
        <f t="shared" si="337"/>
        <v>0</v>
      </c>
      <c r="CF434">
        <f t="shared" si="338"/>
        <v>2839522.4102675081</v>
      </c>
      <c r="CH434">
        <f t="shared" si="339"/>
        <v>328296.81243742933</v>
      </c>
      <c r="CJ434">
        <f t="shared" si="340"/>
        <v>-655590.94135193271</v>
      </c>
      <c r="CL434">
        <f t="shared" si="341"/>
        <v>1276515.0213728489</v>
      </c>
    </row>
    <row r="435" spans="1:90" x14ac:dyDescent="0.2">
      <c r="A435" s="2" t="s">
        <v>503</v>
      </c>
      <c r="B435" s="2" t="str">
        <f t="shared" si="348"/>
        <v>PARICHHA TPS</v>
      </c>
      <c r="C435" s="2" t="str">
        <f>VLOOKUP($A435,'[1]daily coal, energy reqd'!$C$2:$T$599,17,FALSE)</f>
        <v>Uttar Pradesh</v>
      </c>
      <c r="D435" s="2" t="str">
        <f>VLOOKUP(C435,'Target PLF'!$I$2:$J$19,2,FALSE)</f>
        <v>NR</v>
      </c>
      <c r="E435" s="2" t="str">
        <f>VLOOKUP(A435,[2]Ownership!$C$2:$D$666,2,FALSE)</f>
        <v>STATE SECTOR</v>
      </c>
      <c r="F435" s="2" t="s">
        <v>549</v>
      </c>
      <c r="G435" s="12">
        <v>35.2525667351129</v>
      </c>
      <c r="H435" s="2">
        <v>110</v>
      </c>
      <c r="I435" s="2">
        <f>VLOOKUP(A435,'[3]Calculated coal req (reg.)'!$A$2:$I$599,9,FALSE)</f>
        <v>0.56961224094359797</v>
      </c>
      <c r="J435" s="2"/>
      <c r="K435" s="11">
        <v>0.21576221247863558</v>
      </c>
      <c r="L435" s="3">
        <f>VLOOKUP(F435,'Target PLF'!$A$2:$B$11,2,FALSE)</f>
        <v>0.55000000000000004</v>
      </c>
      <c r="M435" s="3">
        <f t="shared" si="329"/>
        <v>0.33423778752136446</v>
      </c>
      <c r="N435" s="2" t="str">
        <f t="shared" si="312"/>
        <v>0.25</v>
      </c>
      <c r="O435" s="2">
        <f t="shared" si="349"/>
        <v>6.9663831922137014</v>
      </c>
      <c r="P435" s="2">
        <f t="shared" si="313"/>
        <v>279700.28516738012</v>
      </c>
      <c r="Q435" s="2">
        <f t="shared" si="314"/>
        <v>15.7907238013347</v>
      </c>
      <c r="R435" s="2">
        <f t="shared" si="315"/>
        <v>1.4520000000000002</v>
      </c>
      <c r="S435" s="2"/>
      <c r="T435" s="2" t="str">
        <f>VLOOKUP(A435,'[4]CEA vs MERIT comp. &amp; NPA marker'!$C$2:$K$735,9,FALSE)</f>
        <v>Contracted</v>
      </c>
      <c r="U435" s="3">
        <f>VLOOKUP(B435,'[8]Import-Domestic share'!$A$208:$F$406,6,FALSE)</f>
        <v>0</v>
      </c>
      <c r="V435" s="3">
        <f t="shared" si="316"/>
        <v>0</v>
      </c>
      <c r="W435" s="2">
        <f t="shared" si="317"/>
        <v>3403.514727484599</v>
      </c>
      <c r="X435" s="2">
        <f t="shared" si="318"/>
        <v>3514.0041139908813</v>
      </c>
      <c r="Y435" s="6">
        <f t="shared" si="319"/>
        <v>0.25267997022465993</v>
      </c>
      <c r="Z435" s="2"/>
      <c r="AA435" s="2">
        <f t="shared" si="320"/>
        <v>165917.44529278361</v>
      </c>
      <c r="AB435" s="2" t="s">
        <v>576</v>
      </c>
      <c r="AC435" s="12">
        <f>VLOOKUP(B435,[9]Sheet1!$A$2:$B$137,2,FALSE)</f>
        <v>4403.3417366147551</v>
      </c>
      <c r="AD435" s="12">
        <f t="shared" si="321"/>
        <v>484367.59102762304</v>
      </c>
      <c r="AE435" s="2"/>
      <c r="AF435" s="7">
        <f>VLOOKUP($B435,'[9]Subsidiary wise dispatch'!$A$3:$R$138,11,FALSE)*$H435*$O435*365</f>
        <v>107869.38581355583</v>
      </c>
      <c r="AG435" s="7">
        <f>VLOOKUP($B435,'[9]Subsidiary wise dispatch'!$A$3:$R$138,12,FALSE)*$H435*$O435*365</f>
        <v>67290.793910588895</v>
      </c>
      <c r="AH435" s="7">
        <f>VLOOKUP($B435,'[9]Subsidiary wise dispatch'!$A$3:$R$138,13,FALSE)*$H435*$O435*365</f>
        <v>0</v>
      </c>
      <c r="AI435" s="7">
        <f>VLOOKUP($B435,'[9]Subsidiary wise dispatch'!$A$3:$R$138,14,FALSE)*$H435*$O435*365</f>
        <v>0</v>
      </c>
      <c r="AJ435" s="7">
        <f>VLOOKUP($B435,'[9]Subsidiary wise dispatch'!$A$3:$R$138,15,FALSE)*$H435*$O435*365</f>
        <v>99235.542059080472</v>
      </c>
      <c r="AK435" s="7">
        <f>VLOOKUP($B435,'[9]Subsidiary wise dispatch'!$A$3:$R$138,16,FALSE)*$H435*$O435*365</f>
        <v>0</v>
      </c>
      <c r="AL435" s="7">
        <f>VLOOKUP($B435,'[9]Subsidiary wise dispatch'!$A$3:$R$138,17,FALSE)*$H435*$O435*365</f>
        <v>5304.5633841548797</v>
      </c>
      <c r="AM435" s="7">
        <f>VLOOKUP($B435,'[9]Subsidiary wise dispatch'!$A$3:$R$138,18,FALSE)*$H435*$O435*365</f>
        <v>0</v>
      </c>
      <c r="AN435" s="15">
        <f t="shared" si="322"/>
        <v>279700.28516738006</v>
      </c>
      <c r="AO435" s="6">
        <v>0.10527848654994208</v>
      </c>
      <c r="AP435" s="11">
        <f t="shared" si="323"/>
        <v>5.9967914646862949E-2</v>
      </c>
      <c r="AQ435" s="11"/>
      <c r="AR435" s="3">
        <f>VLOOKUP(A435,[10]Sheet1!$A$2:$L$542,12,FALSE)</f>
        <v>3.4864035087719101</v>
      </c>
      <c r="AS435" s="3">
        <f t="shared" si="330"/>
        <v>3.0937900531603404</v>
      </c>
      <c r="AT435" s="2"/>
      <c r="AU435" s="2"/>
      <c r="AV435" s="88">
        <f t="shared" si="331"/>
        <v>0.2449361354514063</v>
      </c>
      <c r="AW435" s="32">
        <f t="shared" si="332"/>
        <v>7.9170251129743394E-2</v>
      </c>
      <c r="AX435" s="12">
        <f t="shared" si="324"/>
        <v>64.322515009423114</v>
      </c>
      <c r="AY435" s="12">
        <f t="shared" si="325"/>
        <v>0</v>
      </c>
      <c r="AZ435" s="3">
        <f>VLOOKUP(A435,[5]Analysis!$A$3:$BJ$543,62,FALSE)</f>
        <v>0.84061148536509289</v>
      </c>
      <c r="BA435" s="39"/>
      <c r="BB435" s="2"/>
      <c r="BC435" s="2" t="e">
        <f>VLOOKUP(A435,'[6]FGD status - Jun 2020'!$I$2:$M$449,5,FALSE)</f>
        <v>#N/A</v>
      </c>
      <c r="BD435" s="2" t="str">
        <f>VLOOKUP(A435,'[1]daily coal, energy reqd'!$C$2:$L$599,10,FALSE)</f>
        <v>Y</v>
      </c>
      <c r="BE435" s="2"/>
      <c r="BF435" s="2">
        <f t="shared" si="326"/>
        <v>51.351449318116529</v>
      </c>
      <c r="BG435" s="2">
        <f t="shared" si="327"/>
        <v>0</v>
      </c>
      <c r="BH435" s="2"/>
      <c r="BI435" s="2"/>
      <c r="BK435">
        <f t="shared" si="328"/>
        <v>23.733843372649915</v>
      </c>
      <c r="BL435" t="str">
        <f>VLOOKUP(A435,'[11]Daily coal vs energy req.2'!$C$2:$P$599,14,FALSE)</f>
        <v/>
      </c>
      <c r="BM435" t="str">
        <f>VLOOKUP(A435,'[11]Daily coal vs energy req.2'!$C$2:$R$599,16,FALSE)</f>
        <v/>
      </c>
      <c r="BP435" s="2" t="e">
        <f>VLOOKUP(A435,'[7]Table 2'!$J$2:$N$449,5,FALSE)</f>
        <v>#N/A</v>
      </c>
      <c r="BR435">
        <f t="shared" si="333"/>
        <v>61.414336365358999</v>
      </c>
      <c r="BT435">
        <f>(X435*I435*365*[5]Analysis!BK435)/10^4</f>
        <v>27.728074229521987</v>
      </c>
      <c r="BV435">
        <f>(X435*I435*365*[5]Analysis!BL435)/10^4</f>
        <v>33.686262135837026</v>
      </c>
      <c r="BX435">
        <f t="shared" si="334"/>
        <v>205166.02520067524</v>
      </c>
      <c r="BZ435">
        <f t="shared" si="335"/>
        <v>905350.57450455741</v>
      </c>
      <c r="CB435">
        <f t="shared" si="336"/>
        <v>-13253.990689792008</v>
      </c>
      <c r="CD435">
        <f t="shared" si="337"/>
        <v>0</v>
      </c>
      <c r="CF435">
        <f t="shared" si="338"/>
        <v>371241.07555542386</v>
      </c>
      <c r="CH435">
        <f t="shared" si="339"/>
        <v>148684.53349472681</v>
      </c>
      <c r="CJ435">
        <f t="shared" si="340"/>
        <v>-37713.45686063468</v>
      </c>
      <c r="CL435">
        <f t="shared" si="341"/>
        <v>169531.93329492601</v>
      </c>
    </row>
    <row r="436" spans="1:90" x14ac:dyDescent="0.2">
      <c r="A436" s="2" t="s">
        <v>328</v>
      </c>
      <c r="B436" s="2" t="str">
        <f t="shared" si="348"/>
        <v>PARICHHA TPS</v>
      </c>
      <c r="C436" s="2" t="str">
        <f>VLOOKUP($A436,'[1]daily coal, energy reqd'!$C$2:$T$599,17,FALSE)</f>
        <v>Uttar Pradesh</v>
      </c>
      <c r="D436" s="2" t="str">
        <f>VLOOKUP(C436,'Target PLF'!$I$2:$J$19,2,FALSE)</f>
        <v>NR</v>
      </c>
      <c r="E436" s="2" t="str">
        <f>VLOOKUP(A436,[2]Ownership!$C$2:$D$666,2,FALSE)</f>
        <v>STATE SECTOR</v>
      </c>
      <c r="F436" s="2" t="s">
        <v>544</v>
      </c>
      <c r="G436" s="12">
        <v>14.17659137577</v>
      </c>
      <c r="H436" s="2">
        <v>210</v>
      </c>
      <c r="I436" s="2">
        <f>VLOOKUP(A436,'[3]Calculated coal req (reg.)'!$A$2:$I$599,9,FALSE)</f>
        <v>3.1025981805180298</v>
      </c>
      <c r="J436" s="2"/>
      <c r="K436" s="11">
        <v>0.61559487708691074</v>
      </c>
      <c r="L436" s="3">
        <f>VLOOKUP(F436,'Target PLF'!$A$2:$B$11,2,FALSE)</f>
        <v>0.8</v>
      </c>
      <c r="M436" s="3">
        <f t="shared" si="329"/>
        <v>0.1844051229130893</v>
      </c>
      <c r="N436" s="2" t="str">
        <f t="shared" si="312"/>
        <v>0.15</v>
      </c>
      <c r="O436" s="2">
        <f t="shared" si="349"/>
        <v>11.369913185200831</v>
      </c>
      <c r="P436" s="2">
        <f t="shared" si="313"/>
        <v>871503.84564564377</v>
      </c>
      <c r="Q436" s="2">
        <f t="shared" si="314"/>
        <v>14.631261981827514</v>
      </c>
      <c r="R436" s="2">
        <f t="shared" si="315"/>
        <v>4.032</v>
      </c>
      <c r="S436" s="2"/>
      <c r="T436" s="2" t="str">
        <f>VLOOKUP(A436,'[4]CEA vs MERIT comp. &amp; NPA marker'!$C$2:$K$735,9,FALSE)</f>
        <v>Contracted</v>
      </c>
      <c r="U436" s="3">
        <f>VLOOKUP(B436,'[8]Import-Domestic share'!$A$208:$F$406,6,FALSE)</f>
        <v>0</v>
      </c>
      <c r="V436" s="3">
        <f t="shared" si="316"/>
        <v>0</v>
      </c>
      <c r="W436" s="2">
        <f t="shared" si="317"/>
        <v>3067.2659279404515</v>
      </c>
      <c r="X436" s="2">
        <f t="shared" si="318"/>
        <v>3128.2249507079791</v>
      </c>
      <c r="Y436" s="6">
        <f t="shared" si="319"/>
        <v>0.28037999319395701</v>
      </c>
      <c r="Z436" s="2"/>
      <c r="AA436" s="2">
        <f t="shared" si="320"/>
        <v>804514.69624963345</v>
      </c>
      <c r="AB436" s="2" t="s">
        <v>576</v>
      </c>
      <c r="AC436" s="12">
        <f>VLOOKUP(B436,[9]Sheet1!$A$2:$B$137,2,FALSE)</f>
        <v>4403.3417366147551</v>
      </c>
      <c r="AD436" s="12">
        <f t="shared" si="321"/>
        <v>924701.76468909858</v>
      </c>
      <c r="AE436" s="2"/>
      <c r="AF436" s="7">
        <f>VLOOKUP($B436,'[9]Subsidiary wise dispatch'!$A$3:$R$138,11,FALSE)*$H436*$O436*365</f>
        <v>336104.71475812152</v>
      </c>
      <c r="AG436" s="7">
        <f>VLOOKUP($B436,'[9]Subsidiary wise dispatch'!$A$3:$R$138,12,FALSE)*$H436*$O436*365</f>
        <v>209667.9509444634</v>
      </c>
      <c r="AH436" s="7">
        <f>VLOOKUP($B436,'[9]Subsidiary wise dispatch'!$A$3:$R$138,13,FALSE)*$H436*$O436*365</f>
        <v>0</v>
      </c>
      <c r="AI436" s="7">
        <f>VLOOKUP($B436,'[9]Subsidiary wise dispatch'!$A$3:$R$138,14,FALSE)*$H436*$O436*365</f>
        <v>0</v>
      </c>
      <c r="AJ436" s="7">
        <f>VLOOKUP($B436,'[9]Subsidiary wise dispatch'!$A$3:$R$138,15,FALSE)*$H436*$O436*365</f>
        <v>309202.96158248186</v>
      </c>
      <c r="AK436" s="7">
        <f>VLOOKUP($B436,'[9]Subsidiary wise dispatch'!$A$3:$R$138,16,FALSE)*$H436*$O436*365</f>
        <v>0</v>
      </c>
      <c r="AL436" s="7">
        <f>VLOOKUP($B436,'[9]Subsidiary wise dispatch'!$A$3:$R$138,17,FALSE)*$H436*$O436*365</f>
        <v>16528.21836057676</v>
      </c>
      <c r="AM436" s="7">
        <f>VLOOKUP($B436,'[9]Subsidiary wise dispatch'!$A$3:$R$138,18,FALSE)*$H436*$O436*365</f>
        <v>0</v>
      </c>
      <c r="AN436" s="15">
        <f t="shared" si="322"/>
        <v>871503.84564564354</v>
      </c>
      <c r="AO436" s="6">
        <v>0.10527848654994208</v>
      </c>
      <c r="AP436" s="11">
        <f t="shared" si="323"/>
        <v>0.32663684081754218</v>
      </c>
      <c r="AQ436" s="11"/>
      <c r="AR436" s="3">
        <f>VLOOKUP(A436,[10]Sheet1!$A$2:$L$542,12,FALSE)</f>
        <v>2.9735605170387802</v>
      </c>
      <c r="AS436" s="3">
        <f t="shared" si="330"/>
        <v>2.8380006293755882</v>
      </c>
      <c r="AT436" s="2"/>
      <c r="AU436" s="2"/>
      <c r="AV436" s="88">
        <f t="shared" si="331"/>
        <v>0.13513576217317011</v>
      </c>
      <c r="AW436" s="32">
        <f t="shared" si="332"/>
        <v>4.7616537069938014E-2</v>
      </c>
      <c r="AX436" s="12">
        <f t="shared" si="324"/>
        <v>321.38890899885484</v>
      </c>
      <c r="AY436" s="12">
        <f t="shared" si="325"/>
        <v>0</v>
      </c>
      <c r="AZ436" s="3">
        <f>VLOOKUP(A436,[5]Analysis!$A$3:$BJ$543,62,FALSE)</f>
        <v>0.84061148536509289</v>
      </c>
      <c r="BA436" s="39"/>
      <c r="BB436" s="2"/>
      <c r="BC436" s="2" t="str">
        <f>VLOOKUP(A436,'[6]FGD status - Jun 2020'!$I$2:$M$449,5,FALSE)</f>
        <v>Retendering to be done</v>
      </c>
      <c r="BD436" s="2"/>
      <c r="BE436" s="2"/>
      <c r="BF436" s="2">
        <f t="shared" si="326"/>
        <v>248.99729848926154</v>
      </c>
      <c r="BG436" s="2">
        <f t="shared" si="327"/>
        <v>0</v>
      </c>
      <c r="BH436" s="2">
        <f t="shared" ref="BH436:BH446" si="350">IF(G436&lt;17,IF(H436&gt;400,H436*5000000,H436*3500000),H436*1500000)/10^7</f>
        <v>73.5</v>
      </c>
      <c r="BI436" s="2">
        <f t="shared" ref="BI436:BI446" si="351">(H436*800000)/10^7</f>
        <v>16.8</v>
      </c>
      <c r="BK436">
        <f t="shared" si="328"/>
        <v>129.27492418825125</v>
      </c>
      <c r="BL436">
        <f>VLOOKUP(A436,'[11]Daily coal vs energy req.2'!$C$2:$P$599,14,FALSE)</f>
        <v>1.37</v>
      </c>
      <c r="BM436">
        <f>VLOOKUP(A436,'[11]Daily coal vs energy req.2'!$C$2:$R$599,16,FALSE)</f>
        <v>1.3</v>
      </c>
      <c r="BN436">
        <f t="shared" ref="BN436:BN446" si="352">BL436*H436</f>
        <v>287.70000000000005</v>
      </c>
      <c r="BO436">
        <f t="shared" ref="BO436:BO446" si="353">BM436*H436</f>
        <v>273</v>
      </c>
      <c r="BP436" s="2" t="str">
        <f>VLOOKUP(A436,'[7]Table 2'!$J$2:$N$449,5,FALSE)</f>
        <v>Tender specification made</v>
      </c>
      <c r="BR436">
        <f t="shared" si="333"/>
        <v>297.79108567614009</v>
      </c>
      <c r="BT436">
        <f>(X436*I436*365*[5]Analysis!BK436)/10^4</f>
        <v>134.45025733723381</v>
      </c>
      <c r="BV436">
        <f>(X436*I436*365*[5]Analysis!BL436)/10^4</f>
        <v>163.34082833890633</v>
      </c>
      <c r="BX436">
        <f t="shared" si="334"/>
        <v>994826.5666325622</v>
      </c>
      <c r="BZ436">
        <f t="shared" si="335"/>
        <v>4931317.9094178369</v>
      </c>
      <c r="CB436">
        <f t="shared" si="336"/>
        <v>-205974.0417866385</v>
      </c>
      <c r="CD436">
        <f t="shared" si="337"/>
        <v>0</v>
      </c>
      <c r="CF436">
        <f t="shared" si="338"/>
        <v>2022098.1972644525</v>
      </c>
      <c r="CH436">
        <f t="shared" si="339"/>
        <v>325681.50210198364</v>
      </c>
      <c r="CJ436">
        <f t="shared" si="340"/>
        <v>-392165.30741929851</v>
      </c>
      <c r="CL436">
        <f t="shared" si="341"/>
        <v>923416.72101218777</v>
      </c>
    </row>
    <row r="437" spans="1:90" x14ac:dyDescent="0.2">
      <c r="A437" s="2" t="s">
        <v>320</v>
      </c>
      <c r="B437" s="2" t="str">
        <f t="shared" si="348"/>
        <v>PARICHHA TPS</v>
      </c>
      <c r="C437" s="2" t="str">
        <f>VLOOKUP($A437,'[1]daily coal, energy reqd'!$C$2:$T$599,17,FALSE)</f>
        <v>Uttar Pradesh</v>
      </c>
      <c r="D437" s="2" t="str">
        <f>VLOOKUP(C437,'Target PLF'!$I$2:$J$19,2,FALSE)</f>
        <v>NR</v>
      </c>
      <c r="E437" s="2" t="str">
        <f>VLOOKUP(A437,[2]Ownership!$C$2:$D$666,2,FALSE)</f>
        <v>STATE SECTOR</v>
      </c>
      <c r="F437" s="2" t="s">
        <v>544</v>
      </c>
      <c r="G437" s="12">
        <v>13.423682409308601</v>
      </c>
      <c r="H437" s="2">
        <v>210</v>
      </c>
      <c r="I437" s="2">
        <f>VLOOKUP(A437,'[3]Calculated coal req (reg.)'!$A$2:$I$599,9,FALSE)</f>
        <v>3.2355399447357698</v>
      </c>
      <c r="J437" s="2"/>
      <c r="K437" s="11">
        <v>0.64197221125709725</v>
      </c>
      <c r="L437" s="3">
        <f>VLOOKUP(F437,'Target PLF'!$A$2:$B$11,2,FALSE)</f>
        <v>0.8</v>
      </c>
      <c r="M437" s="3">
        <f t="shared" si="329"/>
        <v>0.1580277887429028</v>
      </c>
      <c r="N437" s="2" t="str">
        <f t="shared" si="312"/>
        <v>0.15</v>
      </c>
      <c r="O437" s="2">
        <f t="shared" si="349"/>
        <v>11.71306055719822</v>
      </c>
      <c r="P437" s="2">
        <f t="shared" si="313"/>
        <v>897806.0917092436</v>
      </c>
      <c r="Q437" s="2">
        <f t="shared" si="314"/>
        <v>14.607413590314849</v>
      </c>
      <c r="R437" s="2">
        <f t="shared" si="315"/>
        <v>4.032</v>
      </c>
      <c r="S437" s="2"/>
      <c r="T437" s="2" t="str">
        <f>VLOOKUP(A437,'[4]CEA vs MERIT comp. &amp; NPA marker'!$C$2:$K$735,9,FALSE)</f>
        <v>Contracted</v>
      </c>
      <c r="U437" s="3">
        <f>VLOOKUP(B437,'[8]Import-Domestic share'!$A$208:$F$406,6,FALSE)</f>
        <v>0</v>
      </c>
      <c r="V437" s="3">
        <f t="shared" si="316"/>
        <v>0</v>
      </c>
      <c r="W437" s="2">
        <f t="shared" si="317"/>
        <v>3061.5132991245714</v>
      </c>
      <c r="X437" s="2">
        <f t="shared" si="318"/>
        <v>3113.7527348826593</v>
      </c>
      <c r="Y437" s="6">
        <f t="shared" si="319"/>
        <v>0.28090683135229688</v>
      </c>
      <c r="Z437" s="2"/>
      <c r="AA437" s="2">
        <f t="shared" si="320"/>
        <v>835105.53196656145</v>
      </c>
      <c r="AB437" s="2" t="s">
        <v>576</v>
      </c>
      <c r="AC437" s="12">
        <f>VLOOKUP(B437,[9]Sheet1!$A$2:$B$137,2,FALSE)</f>
        <v>4403.3417366147551</v>
      </c>
      <c r="AD437" s="12">
        <f t="shared" si="321"/>
        <v>924701.76468909858</v>
      </c>
      <c r="AE437" s="2"/>
      <c r="AF437" s="7">
        <f>VLOOKUP($B437,'[9]Subsidiary wise dispatch'!$A$3:$R$138,11,FALSE)*$H437*$O437*365</f>
        <v>346248.45532206009</v>
      </c>
      <c r="AG437" s="7">
        <f>VLOOKUP($B437,'[9]Subsidiary wise dispatch'!$A$3:$R$138,12,FALSE)*$H437*$O437*365</f>
        <v>215995.79225571611</v>
      </c>
      <c r="AH437" s="7">
        <f>VLOOKUP($B437,'[9]Subsidiary wise dispatch'!$A$3:$R$138,13,FALSE)*$H437*$O437*365</f>
        <v>0</v>
      </c>
      <c r="AI437" s="7">
        <f>VLOOKUP($B437,'[9]Subsidiary wise dispatch'!$A$3:$R$138,14,FALSE)*$H437*$O437*365</f>
        <v>0</v>
      </c>
      <c r="AJ437" s="7">
        <f>VLOOKUP($B437,'[9]Subsidiary wise dispatch'!$A$3:$R$138,15,FALSE)*$H437*$O437*365</f>
        <v>318534.799209786</v>
      </c>
      <c r="AK437" s="7">
        <f>VLOOKUP($B437,'[9]Subsidiary wise dispatch'!$A$3:$R$138,16,FALSE)*$H437*$O437*365</f>
        <v>0</v>
      </c>
      <c r="AL437" s="7">
        <f>VLOOKUP($B437,'[9]Subsidiary wise dispatch'!$A$3:$R$138,17,FALSE)*$H437*$O437*365</f>
        <v>17027.044921681303</v>
      </c>
      <c r="AM437" s="7">
        <f>VLOOKUP($B437,'[9]Subsidiary wise dispatch'!$A$3:$R$138,18,FALSE)*$H437*$O437*365</f>
        <v>0</v>
      </c>
      <c r="AN437" s="15">
        <f t="shared" si="322"/>
        <v>897806.09170924348</v>
      </c>
      <c r="AO437" s="6">
        <v>0.10527848654994208</v>
      </c>
      <c r="AP437" s="11">
        <f t="shared" si="323"/>
        <v>0.3406327485536651</v>
      </c>
      <c r="AQ437" s="11"/>
      <c r="AR437" s="3">
        <f>VLOOKUP(A437,[10]Sheet1!$A$2:$L$542,12,FALSE)</f>
        <v>2.9735605170387802</v>
      </c>
      <c r="AS437" s="3">
        <f t="shared" si="330"/>
        <v>2.8309423128113296</v>
      </c>
      <c r="AT437" s="2"/>
      <c r="AU437" s="2"/>
      <c r="AV437" s="88">
        <f t="shared" si="331"/>
        <v>0.11580592414657404</v>
      </c>
      <c r="AW437" s="32">
        <f t="shared" si="332"/>
        <v>4.0907200271266007E-2</v>
      </c>
      <c r="AX437" s="12">
        <f t="shared" si="324"/>
        <v>334.32638310354582</v>
      </c>
      <c r="AY437" s="12">
        <f t="shared" si="325"/>
        <v>0</v>
      </c>
      <c r="AZ437" s="3">
        <f>VLOOKUP(A437,[5]Analysis!$A$3:$BJ$543,62,FALSE)</f>
        <v>0.84061148536509289</v>
      </c>
      <c r="BA437" s="39"/>
      <c r="BB437" s="2"/>
      <c r="BC437" s="2" t="str">
        <f>VLOOKUP(A437,'[6]FGD status - Jun 2020'!$I$2:$M$449,5,FALSE)</f>
        <v>Retendering to be done</v>
      </c>
      <c r="BD437" s="2"/>
      <c r="BE437" s="2"/>
      <c r="BF437" s="2">
        <f t="shared" si="326"/>
        <v>258.46516214365079</v>
      </c>
      <c r="BG437" s="2">
        <f t="shared" si="327"/>
        <v>0</v>
      </c>
      <c r="BH437" s="2">
        <f t="shared" si="350"/>
        <v>73.5</v>
      </c>
      <c r="BI437" s="2">
        <f t="shared" si="351"/>
        <v>16.8</v>
      </c>
      <c r="BK437">
        <f t="shared" si="328"/>
        <v>134.81416436399041</v>
      </c>
      <c r="BL437">
        <f>VLOOKUP(A437,'[11]Daily coal vs energy req.2'!$C$2:$P$599,14,FALSE)</f>
        <v>1.33</v>
      </c>
      <c r="BM437">
        <f>VLOOKUP(A437,'[11]Daily coal vs energy req.2'!$C$2:$R$599,16,FALSE)</f>
        <v>1.4</v>
      </c>
      <c r="BN437">
        <f t="shared" si="352"/>
        <v>279.3</v>
      </c>
      <c r="BO437">
        <f t="shared" si="353"/>
        <v>294</v>
      </c>
      <c r="BP437" s="2" t="str">
        <f>VLOOKUP(A437,'[7]Table 2'!$J$2:$N$449,5,FALSE)</f>
        <v>Tender specification made</v>
      </c>
      <c r="BR437">
        <f t="shared" si="333"/>
        <v>309.1142824087176</v>
      </c>
      <c r="BT437">
        <f>(X437*I437*365*[5]Analysis!BK437)/10^4</f>
        <v>139.56258872592704</v>
      </c>
      <c r="BV437">
        <f>(X437*I437*365*[5]Analysis!BL437)/10^4</f>
        <v>169.55169368279061</v>
      </c>
      <c r="BX437">
        <f t="shared" si="334"/>
        <v>1032653.8135536668</v>
      </c>
      <c r="BZ437">
        <f t="shared" si="335"/>
        <v>5142617.6216761237</v>
      </c>
      <c r="CB437">
        <f t="shared" si="336"/>
        <v>-224003.57825965987</v>
      </c>
      <c r="CD437">
        <f t="shared" si="337"/>
        <v>0</v>
      </c>
      <c r="CF437">
        <f t="shared" si="338"/>
        <v>2108742.1279718974</v>
      </c>
      <c r="CH437">
        <f t="shared" si="339"/>
        <v>321598.61661454348</v>
      </c>
      <c r="CJ437">
        <f t="shared" si="340"/>
        <v>-408969.01347465656</v>
      </c>
      <c r="CL437">
        <f t="shared" si="341"/>
        <v>962983.76800214755</v>
      </c>
    </row>
    <row r="438" spans="1:90" x14ac:dyDescent="0.2">
      <c r="A438" s="2" t="s">
        <v>309</v>
      </c>
      <c r="B438" s="2" t="str">
        <f t="shared" si="348"/>
        <v>PARLI TPS</v>
      </c>
      <c r="C438" s="2" t="str">
        <f>VLOOKUP($A438,'[1]daily coal, energy reqd'!$C$2:$T$599,17,FALSE)</f>
        <v>Maharashtra</v>
      </c>
      <c r="D438" s="2" t="str">
        <f>VLOOKUP(C438,'Target PLF'!$I$2:$J$19,2,FALSE)</f>
        <v>WR</v>
      </c>
      <c r="E438" s="2" t="str">
        <f>VLOOKUP(A438,[2]Ownership!$C$2:$D$666,2,FALSE)</f>
        <v>STATE SECTOR</v>
      </c>
      <c r="F438" s="2" t="s">
        <v>544</v>
      </c>
      <c r="G438" s="12">
        <v>13.2539356605065</v>
      </c>
      <c r="H438" s="2">
        <v>250</v>
      </c>
      <c r="I438" s="2">
        <f>VLOOKUP(A438,'[3]Calculated coal req (reg.)'!$A$2:$I$599,9,FALSE)</f>
        <v>2.4483679697017799</v>
      </c>
      <c r="J438" s="2"/>
      <c r="K438" s="11">
        <v>0.40806132828363001</v>
      </c>
      <c r="L438" s="3">
        <f>VLOOKUP(F438,'Target PLF'!$A$2:$B$11,2,FALSE)</f>
        <v>0.8</v>
      </c>
      <c r="M438" s="3">
        <f t="shared" si="329"/>
        <v>0.39193867171637004</v>
      </c>
      <c r="N438" s="2" t="str">
        <f t="shared" si="312"/>
        <v>0.15</v>
      </c>
      <c r="O438" s="2">
        <f t="shared" si="349"/>
        <v>8.2448955408551736</v>
      </c>
      <c r="P438" s="2">
        <f t="shared" si="313"/>
        <v>752346.71810303465</v>
      </c>
      <c r="Q438" s="2">
        <f t="shared" si="314"/>
        <v>14.393720862046543</v>
      </c>
      <c r="R438" s="2">
        <f t="shared" si="315"/>
        <v>4.8</v>
      </c>
      <c r="S438" s="2"/>
      <c r="T438" s="2" t="str">
        <f>VLOOKUP(A438,'[4]CEA vs MERIT comp. &amp; NPA marker'!$C$2:$K$735,9,FALSE)</f>
        <v>Contracted</v>
      </c>
      <c r="U438" s="3">
        <f>VLOOKUP(B438,'[8]Import-Domestic share'!$A$208:$F$406,6,FALSE)</f>
        <v>0</v>
      </c>
      <c r="V438" s="3">
        <f t="shared" si="316"/>
        <v>0</v>
      </c>
      <c r="W438" s="2">
        <f t="shared" si="317"/>
        <v>3023.1866508097191</v>
      </c>
      <c r="X438" s="2">
        <f t="shared" si="318"/>
        <v>3152.7502878454056</v>
      </c>
      <c r="Y438" s="6">
        <f t="shared" si="319"/>
        <v>0.28446804624837196</v>
      </c>
      <c r="Z438" s="2"/>
      <c r="AA438" s="2">
        <f t="shared" si="320"/>
        <v>670834.46614610357</v>
      </c>
      <c r="AB438" s="2" t="s">
        <v>576</v>
      </c>
      <c r="AC438" s="12">
        <f>VLOOKUP(B438,[9]Sheet1!$A$2:$B$137,2,FALSE)</f>
        <v>4199.9465172602941</v>
      </c>
      <c r="AD438" s="12">
        <f t="shared" si="321"/>
        <v>1049986.6293150736</v>
      </c>
      <c r="AE438" s="2"/>
      <c r="AF438" s="7">
        <f>VLOOKUP($B438,'[9]Subsidiary wise dispatch'!$A$3:$R$138,11,FALSE)*$H438*$O438*365</f>
        <v>0</v>
      </c>
      <c r="AG438" s="7">
        <f>VLOOKUP($B438,'[9]Subsidiary wise dispatch'!$A$3:$R$138,12,FALSE)*$H438*$O438*365</f>
        <v>0</v>
      </c>
      <c r="AH438" s="7">
        <f>VLOOKUP($B438,'[9]Subsidiary wise dispatch'!$A$3:$R$138,13,FALSE)*$H438*$O438*365</f>
        <v>0</v>
      </c>
      <c r="AI438" s="7">
        <f>VLOOKUP($B438,'[9]Subsidiary wise dispatch'!$A$3:$R$138,14,FALSE)*$H438*$O438*365</f>
        <v>1005.9952513904864</v>
      </c>
      <c r="AJ438" s="7">
        <f>VLOOKUP($B438,'[9]Subsidiary wise dispatch'!$A$3:$R$138,15,FALSE)*$H438*$O438*365</f>
        <v>0</v>
      </c>
      <c r="AK438" s="7">
        <f>VLOOKUP($B438,'[9]Subsidiary wise dispatch'!$A$3:$R$138,16,FALSE)*$H438*$O438*365</f>
        <v>0</v>
      </c>
      <c r="AL438" s="7">
        <f>VLOOKUP($B438,'[9]Subsidiary wise dispatch'!$A$3:$R$138,17,FALSE)*$H438*$O438*365</f>
        <v>0</v>
      </c>
      <c r="AM438" s="7">
        <f>VLOOKUP($B438,'[9]Subsidiary wise dispatch'!$A$3:$R$138,18,FALSE)*$H438*$O438*365</f>
        <v>751340.72285164404</v>
      </c>
      <c r="AN438" s="15">
        <f t="shared" si="322"/>
        <v>752346.71810303454</v>
      </c>
      <c r="AO438" s="6">
        <v>0.10765374232246352</v>
      </c>
      <c r="AP438" s="11">
        <f t="shared" si="323"/>
        <v>0.26357597452084858</v>
      </c>
      <c r="AQ438" s="11"/>
      <c r="AR438" s="3">
        <f>VLOOKUP(A438,[10]Sheet1!$A$2:$L$542,12,FALSE)</f>
        <v>3.4627692307692302</v>
      </c>
      <c r="AS438" s="3">
        <f t="shared" si="330"/>
        <v>2.6016916206621836</v>
      </c>
      <c r="AT438" s="2"/>
      <c r="AU438" s="2"/>
      <c r="AV438" s="88">
        <f t="shared" si="331"/>
        <v>0.2872204974071903</v>
      </c>
      <c r="AW438" s="32">
        <f t="shared" si="332"/>
        <v>0.11039759482873947</v>
      </c>
      <c r="AX438" s="12">
        <f t="shared" si="324"/>
        <v>232.50129273408433</v>
      </c>
      <c r="AY438" s="12">
        <f t="shared" si="325"/>
        <v>0</v>
      </c>
      <c r="AZ438" s="3">
        <f>VLOOKUP(A438,[5]Analysis!$A$3:$BJ$543,62,FALSE)</f>
        <v>0.72709778385672752</v>
      </c>
      <c r="BA438" s="2">
        <f>610.55/2</f>
        <v>305.27499999999998</v>
      </c>
      <c r="BB438" s="2"/>
      <c r="BC438" s="2" t="str">
        <f>VLOOKUP(A438,'[6]FGD status - Jun 2020'!$I$2:$M$449,5,FALSE)</f>
        <v>Feasiblity Study Carried Out</v>
      </c>
      <c r="BD438" s="2"/>
      <c r="BE438" s="2"/>
      <c r="BF438" s="2">
        <f t="shared" si="326"/>
        <v>207.62326727221907</v>
      </c>
      <c r="BG438" s="2">
        <f t="shared" si="327"/>
        <v>0</v>
      </c>
      <c r="BH438" s="2">
        <f t="shared" si="350"/>
        <v>87.5</v>
      </c>
      <c r="BI438" s="2">
        <f t="shared" si="351"/>
        <v>20</v>
      </c>
      <c r="BK438">
        <f t="shared" si="328"/>
        <v>102.0153320709075</v>
      </c>
      <c r="BL438">
        <f>VLOOKUP(A438,'[11]Daily coal vs energy req.2'!$C$2:$P$599,14,FALSE)</f>
        <v>0.83</v>
      </c>
      <c r="BM438">
        <f>VLOOKUP(A438,'[11]Daily coal vs energy req.2'!$C$2:$R$599,16,FALSE)</f>
        <v>1.07</v>
      </c>
      <c r="BN438">
        <f t="shared" si="352"/>
        <v>207.5</v>
      </c>
      <c r="BO438">
        <f t="shared" si="353"/>
        <v>267.5</v>
      </c>
      <c r="BP438" s="2" t="str">
        <f>VLOOKUP(A438,'[7]Table 2'!$J$2:$N$449,5,FALSE)</f>
        <v>Feasiblity Study Carried Ou</v>
      </c>
      <c r="BR438">
        <f t="shared" si="333"/>
        <v>204.85753785504286</v>
      </c>
      <c r="BT438">
        <f>(X438*I438*365*[5]Analysis!BK438)/10^4</f>
        <v>107.85098715871449</v>
      </c>
      <c r="BV438">
        <f>(X438*I438*365*[5]Analysis!BL438)/10^4</f>
        <v>97.006550696328404</v>
      </c>
      <c r="BX438">
        <f t="shared" si="334"/>
        <v>791207.01417594764</v>
      </c>
      <c r="BZ438">
        <f t="shared" si="335"/>
        <v>3365980.9872359601</v>
      </c>
      <c r="CB438">
        <f t="shared" si="336"/>
        <v>-107744.24663823163</v>
      </c>
      <c r="CD438">
        <f t="shared" si="337"/>
        <v>0</v>
      </c>
      <c r="CF438">
        <f t="shared" si="338"/>
        <v>1595707.909861332</v>
      </c>
      <c r="CH438">
        <f t="shared" si="339"/>
        <v>240279.81272512168</v>
      </c>
      <c r="CJ438">
        <f t="shared" si="340"/>
        <v>-368418.17024087539</v>
      </c>
      <c r="CL438">
        <f t="shared" si="341"/>
        <v>745140.87731331796</v>
      </c>
    </row>
    <row r="439" spans="1:90" x14ac:dyDescent="0.2">
      <c r="A439" s="2" t="s">
        <v>275</v>
      </c>
      <c r="B439" s="2" t="str">
        <f t="shared" si="348"/>
        <v>PARLI TPS</v>
      </c>
      <c r="C439" s="2" t="str">
        <f>VLOOKUP($A439,'[1]daily coal, energy reqd'!$C$2:$T$599,17,FALSE)</f>
        <v>Maharashtra</v>
      </c>
      <c r="D439" s="2" t="str">
        <f>VLOOKUP(C439,'Target PLF'!$I$2:$J$19,2,FALSE)</f>
        <v>WR</v>
      </c>
      <c r="E439" s="2" t="str">
        <f>VLOOKUP(A439,[2]Ownership!$C$2:$D$666,2,FALSE)</f>
        <v>STATE SECTOR</v>
      </c>
      <c r="F439" s="2" t="s">
        <v>544</v>
      </c>
      <c r="G439" s="12">
        <v>10.2532511978097</v>
      </c>
      <c r="H439" s="2">
        <v>250</v>
      </c>
      <c r="I439" s="2">
        <f>VLOOKUP(A439,'[3]Calculated coal req (reg.)'!$A$2:$I$599,9,FALSE)</f>
        <v>2.0910672243779902</v>
      </c>
      <c r="J439" s="2"/>
      <c r="K439" s="11">
        <v>0.34851120406299835</v>
      </c>
      <c r="L439" s="3">
        <f>VLOOKUP(F439,'Target PLF'!$A$2:$B$11,2,FALSE)</f>
        <v>0.8</v>
      </c>
      <c r="M439" s="3">
        <f t="shared" si="329"/>
        <v>0.4514887959370017</v>
      </c>
      <c r="N439" s="2" t="str">
        <f t="shared" si="312"/>
        <v>0.15</v>
      </c>
      <c r="O439" s="2">
        <f t="shared" si="349"/>
        <v>7.321310117180337</v>
      </c>
      <c r="P439" s="2">
        <f t="shared" si="313"/>
        <v>668069.54819270573</v>
      </c>
      <c r="Q439" s="2">
        <f t="shared" si="314"/>
        <v>14.298674181690622</v>
      </c>
      <c r="R439" s="2">
        <f t="shared" si="315"/>
        <v>4.8</v>
      </c>
      <c r="S439" s="2"/>
      <c r="T439" s="2" t="str">
        <f>VLOOKUP(A439,'[4]CEA vs MERIT comp. &amp; NPA marker'!$C$2:$K$735,9,FALSE)</f>
        <v>Contracted</v>
      </c>
      <c r="U439" s="3">
        <f>VLOOKUP(B439,'[8]Import-Domestic share'!$A$208:$F$406,6,FALSE)</f>
        <v>0</v>
      </c>
      <c r="V439" s="3">
        <f t="shared" si="316"/>
        <v>0</v>
      </c>
      <c r="W439" s="2">
        <f t="shared" si="317"/>
        <v>3000.2598101471594</v>
      </c>
      <c r="X439" s="2">
        <f t="shared" si="318"/>
        <v>3149.5090032066091</v>
      </c>
      <c r="Y439" s="6">
        <f t="shared" si="319"/>
        <v>0.2866418425135715</v>
      </c>
      <c r="Z439" s="2"/>
      <c r="AA439" s="2">
        <f t="shared" si="320"/>
        <v>572347.71518744295</v>
      </c>
      <c r="AB439" s="2" t="s">
        <v>576</v>
      </c>
      <c r="AC439" s="12">
        <f>VLOOKUP(B439,[9]Sheet1!$A$2:$B$137,2,FALSE)</f>
        <v>4199.9465172602941</v>
      </c>
      <c r="AD439" s="12">
        <f t="shared" si="321"/>
        <v>1049986.6293150736</v>
      </c>
      <c r="AE439" s="2"/>
      <c r="AF439" s="7">
        <f>VLOOKUP($B439,'[9]Subsidiary wise dispatch'!$A$3:$R$138,11,FALSE)*$H439*$O439*365</f>
        <v>0</v>
      </c>
      <c r="AG439" s="7">
        <f>VLOOKUP($B439,'[9]Subsidiary wise dispatch'!$A$3:$R$138,12,FALSE)*$H439*$O439*365</f>
        <v>0</v>
      </c>
      <c r="AH439" s="7">
        <f>VLOOKUP($B439,'[9]Subsidiary wise dispatch'!$A$3:$R$138,13,FALSE)*$H439*$O439*365</f>
        <v>0</v>
      </c>
      <c r="AI439" s="7">
        <f>VLOOKUP($B439,'[9]Subsidiary wise dispatch'!$A$3:$R$138,14,FALSE)*$H439*$O439*365</f>
        <v>893.30461196802662</v>
      </c>
      <c r="AJ439" s="7">
        <f>VLOOKUP($B439,'[9]Subsidiary wise dispatch'!$A$3:$R$138,15,FALSE)*$H439*$O439*365</f>
        <v>0</v>
      </c>
      <c r="AK439" s="7">
        <f>VLOOKUP($B439,'[9]Subsidiary wise dispatch'!$A$3:$R$138,16,FALSE)*$H439*$O439*365</f>
        <v>0</v>
      </c>
      <c r="AL439" s="7">
        <f>VLOOKUP($B439,'[9]Subsidiary wise dispatch'!$A$3:$R$138,17,FALSE)*$H439*$O439*365</f>
        <v>0</v>
      </c>
      <c r="AM439" s="7">
        <f>VLOOKUP($B439,'[9]Subsidiary wise dispatch'!$A$3:$R$138,18,FALSE)*$H439*$O439*365</f>
        <v>667176.24358073762</v>
      </c>
      <c r="AN439" s="15">
        <f t="shared" si="322"/>
        <v>668069.54819270561</v>
      </c>
      <c r="AO439" s="6">
        <v>0.10765374232246352</v>
      </c>
      <c r="AP439" s="11">
        <f t="shared" si="323"/>
        <v>0.22511121215213717</v>
      </c>
      <c r="AQ439" s="11"/>
      <c r="AR439" s="3">
        <f>VLOOKUP(A439,[10]Sheet1!$A$2:$L$542,12,FALSE)</f>
        <v>3.4627692307692302</v>
      </c>
      <c r="AS439" s="3">
        <f t="shared" si="330"/>
        <v>2.5791408208826687</v>
      </c>
      <c r="AT439" s="3"/>
      <c r="AU439" s="3"/>
      <c r="AV439" s="88">
        <f t="shared" si="331"/>
        <v>0.33086001943855359</v>
      </c>
      <c r="AW439" s="32">
        <f t="shared" si="332"/>
        <v>0.12828303780842884</v>
      </c>
      <c r="AX439" s="12">
        <f t="shared" si="324"/>
        <v>196.8502245725129</v>
      </c>
      <c r="AY439" s="12">
        <f t="shared" si="325"/>
        <v>0</v>
      </c>
      <c r="AZ439" s="3">
        <f>VLOOKUP(A439,[5]Analysis!$A$3:$BJ$543,62,FALSE)</f>
        <v>0.72709778385672752</v>
      </c>
      <c r="BA439" s="2">
        <f>610.55/2</f>
        <v>305.27499999999998</v>
      </c>
      <c r="BB439" s="2"/>
      <c r="BC439" s="2" t="str">
        <f>VLOOKUP(A439,'[6]FGD status - Jun 2020'!$I$2:$M$449,5,FALSE)</f>
        <v>Feasiblity Study Carried Out</v>
      </c>
      <c r="BD439" s="2"/>
      <c r="BE439" s="2"/>
      <c r="BF439" s="2">
        <f t="shared" si="326"/>
        <v>177.1416178505136</v>
      </c>
      <c r="BG439" s="2">
        <f t="shared" si="327"/>
        <v>0</v>
      </c>
      <c r="BH439" s="2">
        <f t="shared" si="350"/>
        <v>87.5</v>
      </c>
      <c r="BI439" s="2">
        <f t="shared" si="351"/>
        <v>20</v>
      </c>
      <c r="BK439">
        <f t="shared" si="328"/>
        <v>87.127801015749583</v>
      </c>
      <c r="BL439">
        <f>VLOOKUP(A439,'[11]Daily coal vs energy req.2'!$C$2:$P$599,14,FALSE)</f>
        <v>0.45</v>
      </c>
      <c r="BM439">
        <f>VLOOKUP(A439,'[11]Daily coal vs energy req.2'!$C$2:$R$599,16,FALSE)</f>
        <v>0.45</v>
      </c>
      <c r="BN439">
        <f t="shared" si="352"/>
        <v>112.5</v>
      </c>
      <c r="BO439">
        <f t="shared" si="353"/>
        <v>112.5</v>
      </c>
      <c r="BP439" s="2" t="str">
        <f>VLOOKUP(A439,'[7]Table 2'!$J$2:$N$449,5,FALSE)</f>
        <v>Feasiblity Study Carried Ou</v>
      </c>
      <c r="BR439">
        <f t="shared" si="333"/>
        <v>174.78193153051654</v>
      </c>
      <c r="BT439">
        <f>(X439*I439*365*[5]Analysis!BK439)/10^4</f>
        <v>92.017135666306771</v>
      </c>
      <c r="BV439">
        <f>(X439*I439*365*[5]Analysis!BL439)/10^4</f>
        <v>82.764795864209788</v>
      </c>
      <c r="BX439">
        <f t="shared" si="334"/>
        <v>675048.09257259523</v>
      </c>
      <c r="BZ439">
        <f t="shared" si="335"/>
        <v>2874769.0736804972</v>
      </c>
      <c r="CB439">
        <f t="shared" si="336"/>
        <v>-78591.703087706977</v>
      </c>
      <c r="CD439">
        <f t="shared" si="337"/>
        <v>0</v>
      </c>
      <c r="CF439">
        <f t="shared" si="338"/>
        <v>1362839.4715513967</v>
      </c>
      <c r="CH439">
        <f t="shared" si="339"/>
        <v>158754.23873945503</v>
      </c>
      <c r="CJ439">
        <f t="shared" si="340"/>
        <v>-314653.34058827814</v>
      </c>
      <c r="CL439">
        <f t="shared" si="341"/>
        <v>636399.30164742644</v>
      </c>
    </row>
    <row r="440" spans="1:90" x14ac:dyDescent="0.2">
      <c r="A440" s="2" t="s">
        <v>464</v>
      </c>
      <c r="B440" s="2" t="str">
        <f t="shared" si="348"/>
        <v>RAICHUR TPS</v>
      </c>
      <c r="C440" s="2" t="str">
        <f>VLOOKUP($A440,'[1]daily coal, energy reqd'!$C$2:$T$599,17,FALSE)</f>
        <v>Karnataka</v>
      </c>
      <c r="D440" s="2" t="str">
        <f>VLOOKUP(C440,'Target PLF'!$I$2:$J$19,2,FALSE)</f>
        <v>SR</v>
      </c>
      <c r="E440" s="2" t="str">
        <f>VLOOKUP(A440,[2]Ownership!$C$2:$D$666,2,FALSE)</f>
        <v>STATE SECTOR</v>
      </c>
      <c r="F440" s="2" t="s">
        <v>549</v>
      </c>
      <c r="G440" s="12">
        <v>35.175906913073199</v>
      </c>
      <c r="H440" s="2">
        <v>210</v>
      </c>
      <c r="I440" s="2">
        <f>VLOOKUP(A440,'[3]Calculated coal req (reg.)'!$A$2:$I$599,9,FALSE)</f>
        <v>2.2336675263007701</v>
      </c>
      <c r="J440" s="2"/>
      <c r="K440" s="11">
        <v>0.44318800125015279</v>
      </c>
      <c r="L440" s="3">
        <f>VLOOKUP(F440,'Target PLF'!$A$2:$B$11,2,FALSE)</f>
        <v>0.55000000000000004</v>
      </c>
      <c r="M440" s="3">
        <f t="shared" si="329"/>
        <v>0.10681199874984726</v>
      </c>
      <c r="N440" s="2" t="str">
        <f t="shared" si="312"/>
        <v>0.25</v>
      </c>
      <c r="O440" s="2">
        <f t="shared" si="349"/>
        <v>9.6074082192653432</v>
      </c>
      <c r="P440" s="2">
        <f t="shared" si="313"/>
        <v>736407.84000668861</v>
      </c>
      <c r="Q440" s="2">
        <f t="shared" si="314"/>
        <v>15.267505601471592</v>
      </c>
      <c r="R440" s="2">
        <f t="shared" si="315"/>
        <v>2.7719999999999998</v>
      </c>
      <c r="S440" s="2"/>
      <c r="T440" s="2" t="str">
        <f>VLOOKUP(A440,'[4]CEA vs MERIT comp. &amp; NPA marker'!$C$2:$K$735,9,FALSE)</f>
        <v>Contracted</v>
      </c>
      <c r="U440" s="3">
        <f>VLOOKUP(B440,'[8]Import-Domestic share'!$A$208:$F$406,6,FALSE)</f>
        <v>0</v>
      </c>
      <c r="V440" s="3">
        <f t="shared" si="316"/>
        <v>0</v>
      </c>
      <c r="W440" s="2">
        <f t="shared" si="317"/>
        <v>3310.3547752778918</v>
      </c>
      <c r="X440" s="2">
        <f t="shared" si="318"/>
        <v>3345.6637458790274</v>
      </c>
      <c r="Y440" s="6">
        <f t="shared" si="319"/>
        <v>0.25979088598677652</v>
      </c>
      <c r="Z440" s="2"/>
      <c r="AA440" s="2">
        <f t="shared" si="320"/>
        <v>684925.3904745162</v>
      </c>
      <c r="AB440" s="2" t="s">
        <v>576</v>
      </c>
      <c r="AC440" s="12">
        <f>VLOOKUP(B440,[9]Sheet1!$A$2:$B$137,2,FALSE)</f>
        <v>3982.4507996977022</v>
      </c>
      <c r="AD440" s="12">
        <f t="shared" si="321"/>
        <v>836314.66793651751</v>
      </c>
      <c r="AE440" s="2"/>
      <c r="AF440" s="7">
        <f>VLOOKUP($B440,'[9]Subsidiary wise dispatch'!$A$3:$R$138,11,FALSE)*$H440*$O440*365</f>
        <v>0</v>
      </c>
      <c r="AG440" s="7">
        <f>VLOOKUP($B440,'[9]Subsidiary wise dispatch'!$A$3:$R$138,12,FALSE)*$H440*$O440*365</f>
        <v>0</v>
      </c>
      <c r="AH440" s="7">
        <f>VLOOKUP($B440,'[9]Subsidiary wise dispatch'!$A$3:$R$138,13,FALSE)*$H440*$O440*365</f>
        <v>0</v>
      </c>
      <c r="AI440" s="7">
        <f>VLOOKUP($B440,'[9]Subsidiary wise dispatch'!$A$3:$R$138,14,FALSE)*$H440*$O440*365</f>
        <v>483403.31206513755</v>
      </c>
      <c r="AJ440" s="7">
        <f>VLOOKUP($B440,'[9]Subsidiary wise dispatch'!$A$3:$R$138,15,FALSE)*$H440*$O440*365</f>
        <v>0</v>
      </c>
      <c r="AK440" s="7">
        <f>VLOOKUP($B440,'[9]Subsidiary wise dispatch'!$A$3:$R$138,16,FALSE)*$H440*$O440*365</f>
        <v>0</v>
      </c>
      <c r="AL440" s="7">
        <f>VLOOKUP($B440,'[9]Subsidiary wise dispatch'!$A$3:$R$138,17,FALSE)*$H440*$O440*365</f>
        <v>0</v>
      </c>
      <c r="AM440" s="7">
        <f>VLOOKUP($B440,'[9]Subsidiary wise dispatch'!$A$3:$R$138,18,FALSE)*$H440*$O440*365</f>
        <v>253004.527941551</v>
      </c>
      <c r="AN440" s="15">
        <f t="shared" si="322"/>
        <v>736407.84000668861</v>
      </c>
      <c r="AO440" s="6">
        <v>9.2407885740745169E-2</v>
      </c>
      <c r="AP440" s="11">
        <f t="shared" si="323"/>
        <v>0.20640849355321447</v>
      </c>
      <c r="AQ440" s="11"/>
      <c r="AR440" s="3">
        <f>VLOOKUP(A440,[10]Sheet1!$A$2:$L$542,12,FALSE)</f>
        <v>3.5867184035477</v>
      </c>
      <c r="AS440" s="3">
        <f t="shared" si="330"/>
        <v>3.3589888110745094</v>
      </c>
      <c r="AT440" s="2"/>
      <c r="AU440" s="2"/>
      <c r="AV440" s="88">
        <f t="shared" si="331"/>
        <v>7.8273968923863069E-2</v>
      </c>
      <c r="AW440" s="32">
        <f t="shared" si="332"/>
        <v>2.3302837051970993E-2</v>
      </c>
      <c r="AX440" s="12">
        <f t="shared" si="324"/>
        <v>273.8545443404239</v>
      </c>
      <c r="AY440" s="12">
        <f t="shared" si="325"/>
        <v>0</v>
      </c>
      <c r="AZ440" s="3">
        <f>VLOOKUP(A440,[5]Analysis!$A$3:$BJ$543,62,FALSE)</f>
        <v>1.041373088663174</v>
      </c>
      <c r="BA440" s="2"/>
      <c r="BB440" s="2"/>
      <c r="BC440" s="2" t="str">
        <f>VLOOKUP(A440,'[6]FGD status - Jun 2020'!$I$2:$M$449,5,FALSE)</f>
        <v>Bid opened</v>
      </c>
      <c r="BD440" s="2" t="str">
        <f>VLOOKUP(A440,'[1]daily coal, energy reqd'!$C$2:$L$599,10,FALSE)</f>
        <v>Y</v>
      </c>
      <c r="BE440" s="2"/>
      <c r="BF440" s="2">
        <f t="shared" si="326"/>
        <v>211.98440835186275</v>
      </c>
      <c r="BG440" s="2">
        <f t="shared" si="327"/>
        <v>0</v>
      </c>
      <c r="BH440" s="2">
        <f t="shared" si="350"/>
        <v>31.5</v>
      </c>
      <c r="BI440" s="2">
        <f t="shared" si="351"/>
        <v>16.8</v>
      </c>
      <c r="BK440">
        <f t="shared" si="328"/>
        <v>93.069480262532082</v>
      </c>
      <c r="BL440">
        <f>VLOOKUP(A440,'[11]Daily coal vs energy req.2'!$C$2:$P$599,14,FALSE)</f>
        <v>0.67</v>
      </c>
      <c r="BM440">
        <f>VLOOKUP(A440,'[11]Daily coal vs energy req.2'!$C$2:$R$599,16,FALSE)</f>
        <v>0.7</v>
      </c>
      <c r="BN440">
        <f t="shared" si="352"/>
        <v>140.70000000000002</v>
      </c>
      <c r="BO440">
        <f t="shared" si="353"/>
        <v>147</v>
      </c>
      <c r="BP440" s="2" t="str">
        <f>VLOOKUP(A440,'[7]Table 2'!$J$2:$N$449,5,FALSE)</f>
        <v>Bid Awarded</v>
      </c>
      <c r="BR440">
        <f t="shared" si="333"/>
        <v>284.05342845661283</v>
      </c>
      <c r="BT440">
        <f>(X440*I440*365*[5]Analysis!BK440)/10^4</f>
        <v>108.30053696436637</v>
      </c>
      <c r="BV440">
        <f>(X440*I440*365*[5]Analysis!BL440)/10^4</f>
        <v>175.75289149224648</v>
      </c>
      <c r="BX440">
        <f t="shared" si="334"/>
        <v>765992.79746690707</v>
      </c>
      <c r="BZ440">
        <f t="shared" si="335"/>
        <v>4398119.5380027425</v>
      </c>
      <c r="CB440">
        <f t="shared" si="336"/>
        <v>-106757.52207587915</v>
      </c>
      <c r="CD440">
        <f t="shared" si="337"/>
        <v>0</v>
      </c>
      <c r="CF440">
        <f t="shared" si="338"/>
        <v>1455778.291427606</v>
      </c>
      <c r="CH440">
        <f t="shared" si="339"/>
        <v>581781.05001574638</v>
      </c>
      <c r="CJ440">
        <f t="shared" si="340"/>
        <v>-282333.34165689105</v>
      </c>
      <c r="CL440">
        <f t="shared" si="341"/>
        <v>583525.8932486535</v>
      </c>
    </row>
    <row r="441" spans="1:90" x14ac:dyDescent="0.2">
      <c r="A441" s="2" t="s">
        <v>457</v>
      </c>
      <c r="B441" s="2" t="str">
        <f t="shared" si="348"/>
        <v>RAICHUR TPS</v>
      </c>
      <c r="C441" s="2" t="str">
        <f>VLOOKUP($A441,'[1]daily coal, energy reqd'!$C$2:$T$599,17,FALSE)</f>
        <v>Karnataka</v>
      </c>
      <c r="D441" s="2" t="str">
        <f>VLOOKUP(C441,'Target PLF'!$I$2:$J$19,2,FALSE)</f>
        <v>SR</v>
      </c>
      <c r="E441" s="2" t="str">
        <f>VLOOKUP(A441,[2]Ownership!$C$2:$D$666,2,FALSE)</f>
        <v>STATE SECTOR</v>
      </c>
      <c r="F441" s="2" t="s">
        <v>548</v>
      </c>
      <c r="G441" s="12">
        <v>34.176591375770002</v>
      </c>
      <c r="H441" s="2">
        <v>210</v>
      </c>
      <c r="I441" s="2">
        <f>VLOOKUP(A441,'[3]Calculated coal req (reg.)'!$A$2:$I$599,9,FALSE)</f>
        <v>2.3410211183501901</v>
      </c>
      <c r="J441" s="2"/>
      <c r="K441" s="11">
        <v>0.46448831713297423</v>
      </c>
      <c r="L441" s="3">
        <f>VLOOKUP(F441,'Target PLF'!$A$2:$B$11,2,FALSE)</f>
        <v>0.6</v>
      </c>
      <c r="M441" s="3">
        <f t="shared" si="329"/>
        <v>0.13551168286702575</v>
      </c>
      <c r="N441" s="2" t="str">
        <f t="shared" si="312"/>
        <v>0.25</v>
      </c>
      <c r="O441" s="2">
        <f t="shared" si="349"/>
        <v>9.8721125845937241</v>
      </c>
      <c r="P441" s="2">
        <f t="shared" si="313"/>
        <v>756697.42960910907</v>
      </c>
      <c r="Q441" s="2">
        <f t="shared" si="314"/>
        <v>15.235852281827514</v>
      </c>
      <c r="R441" s="2">
        <f t="shared" si="315"/>
        <v>3.024</v>
      </c>
      <c r="S441" s="2"/>
      <c r="T441" s="2" t="str">
        <f>VLOOKUP(A441,'[4]CEA vs MERIT comp. &amp; NPA marker'!$C$2:$K$735,9,FALSE)</f>
        <v>Contracted</v>
      </c>
      <c r="U441" s="3">
        <f>VLOOKUP(B441,'[8]Import-Domestic share'!$A$208:$F$406,6,FALSE)</f>
        <v>0</v>
      </c>
      <c r="V441" s="3">
        <f t="shared" si="316"/>
        <v>0</v>
      </c>
      <c r="W441" s="2">
        <f t="shared" si="317"/>
        <v>3286.1909079404513</v>
      </c>
      <c r="X441" s="2">
        <f t="shared" si="318"/>
        <v>3330.9871675598238</v>
      </c>
      <c r="Y441" s="6">
        <f t="shared" si="319"/>
        <v>0.26170116834112545</v>
      </c>
      <c r="Z441" s="2"/>
      <c r="AA441" s="2">
        <f t="shared" si="320"/>
        <v>714694.987883611</v>
      </c>
      <c r="AB441" s="2" t="s">
        <v>576</v>
      </c>
      <c r="AC441" s="12">
        <f>VLOOKUP(B441,[9]Sheet1!$A$2:$B$137,2,FALSE)</f>
        <v>3982.4507996977022</v>
      </c>
      <c r="AD441" s="12">
        <f t="shared" si="321"/>
        <v>836314.66793651751</v>
      </c>
      <c r="AE441" s="2"/>
      <c r="AF441" s="7">
        <f>VLOOKUP($B441,'[9]Subsidiary wise dispatch'!$A$3:$R$138,11,FALSE)*$H441*$O441*365</f>
        <v>0</v>
      </c>
      <c r="AG441" s="7">
        <f>VLOOKUP($B441,'[9]Subsidiary wise dispatch'!$A$3:$R$138,12,FALSE)*$H441*$O441*365</f>
        <v>0</v>
      </c>
      <c r="AH441" s="7">
        <f>VLOOKUP($B441,'[9]Subsidiary wise dispatch'!$A$3:$R$138,13,FALSE)*$H441*$O441*365</f>
        <v>0</v>
      </c>
      <c r="AI441" s="7">
        <f>VLOOKUP($B441,'[9]Subsidiary wise dispatch'!$A$3:$R$138,14,FALSE)*$H441*$O441*365</f>
        <v>496722.09315546829</v>
      </c>
      <c r="AJ441" s="7">
        <f>VLOOKUP($B441,'[9]Subsidiary wise dispatch'!$A$3:$R$138,15,FALSE)*$H441*$O441*365</f>
        <v>0</v>
      </c>
      <c r="AK441" s="7">
        <f>VLOOKUP($B441,'[9]Subsidiary wise dispatch'!$A$3:$R$138,16,FALSE)*$H441*$O441*365</f>
        <v>0</v>
      </c>
      <c r="AL441" s="7">
        <f>VLOOKUP($B441,'[9]Subsidiary wise dispatch'!$A$3:$R$138,17,FALSE)*$H441*$O441*365</f>
        <v>0</v>
      </c>
      <c r="AM441" s="7">
        <f>VLOOKUP($B441,'[9]Subsidiary wise dispatch'!$A$3:$R$138,18,FALSE)*$H441*$O441*365</f>
        <v>259975.33645364063</v>
      </c>
      <c r="AN441" s="15">
        <f t="shared" si="322"/>
        <v>756697.42960910895</v>
      </c>
      <c r="AO441" s="6">
        <v>9.2407885740745169E-2</v>
      </c>
      <c r="AP441" s="11">
        <f t="shared" si="323"/>
        <v>0.21632881202117585</v>
      </c>
      <c r="AQ441" s="11"/>
      <c r="AR441" s="3">
        <f>VLOOKUP(A441,[10]Sheet1!$A$2:$L$542,12,FALSE)</f>
        <v>3.5867184035477</v>
      </c>
      <c r="AS441" s="3">
        <f t="shared" si="330"/>
        <v>3.3500850299008293</v>
      </c>
      <c r="AT441" s="2"/>
      <c r="AU441" s="2"/>
      <c r="AV441" s="88">
        <f t="shared" si="331"/>
        <v>9.930567143861381E-2</v>
      </c>
      <c r="AW441" s="32">
        <f t="shared" si="332"/>
        <v>2.9642731617935531E-2</v>
      </c>
      <c r="AX441" s="12">
        <f t="shared" si="324"/>
        <v>286.25562281923345</v>
      </c>
      <c r="AY441" s="12">
        <f t="shared" si="325"/>
        <v>0</v>
      </c>
      <c r="AZ441" s="3">
        <f>VLOOKUP(A441,[5]Analysis!$A$3:$BJ$543,62,FALSE)</f>
        <v>1.041373088663174</v>
      </c>
      <c r="BA441" s="2"/>
      <c r="BB441" s="2"/>
      <c r="BC441" s="2" t="str">
        <f>VLOOKUP(A441,'[6]FGD status - Jun 2020'!$I$2:$M$449,5,FALSE)</f>
        <v>Bid opened</v>
      </c>
      <c r="BD441" s="2" t="str">
        <f>VLOOKUP(A441,'[1]daily coal, energy reqd'!$C$2:$L$599,10,FALSE)</f>
        <v>Y</v>
      </c>
      <c r="BE441" s="2"/>
      <c r="BF441" s="2">
        <f t="shared" si="326"/>
        <v>221.19809874997759</v>
      </c>
      <c r="BG441" s="2">
        <f t="shared" si="327"/>
        <v>0</v>
      </c>
      <c r="BH441" s="2">
        <f t="shared" si="350"/>
        <v>31.5</v>
      </c>
      <c r="BI441" s="2">
        <f t="shared" si="351"/>
        <v>16.8</v>
      </c>
      <c r="BK441">
        <f t="shared" si="328"/>
        <v>97.542546597924584</v>
      </c>
      <c r="BL441">
        <f>VLOOKUP(A441,'[11]Daily coal vs energy req.2'!$C$2:$P$599,14,FALSE)</f>
        <v>0.76</v>
      </c>
      <c r="BM441">
        <f>VLOOKUP(A441,'[11]Daily coal vs energy req.2'!$C$2:$R$599,16,FALSE)</f>
        <v>0.86</v>
      </c>
      <c r="BN441">
        <f t="shared" si="352"/>
        <v>159.6</v>
      </c>
      <c r="BO441">
        <f t="shared" si="353"/>
        <v>180.6</v>
      </c>
      <c r="BP441" s="2" t="str">
        <f>VLOOKUP(A441,'[7]Table 2'!$J$2:$N$449,5,FALSE)</f>
        <v>Bid Awarded</v>
      </c>
      <c r="BR441">
        <f t="shared" si="333"/>
        <v>296.39952676955181</v>
      </c>
      <c r="BT441">
        <f>(X441*I441*365*[5]Analysis!BK441)/10^4</f>
        <v>113.00771154054077</v>
      </c>
      <c r="BV441">
        <f>(X441*I441*365*[5]Analysis!BL441)/10^4</f>
        <v>183.391815229011</v>
      </c>
      <c r="BX441">
        <f t="shared" si="334"/>
        <v>799285.90868163062</v>
      </c>
      <c r="BZ441">
        <f t="shared" si="335"/>
        <v>4609500.1150617087</v>
      </c>
      <c r="CB441">
        <f t="shared" si="336"/>
        <v>-117265.99345794244</v>
      </c>
      <c r="CD441">
        <f t="shared" si="337"/>
        <v>0</v>
      </c>
      <c r="CF441">
        <f t="shared" si="338"/>
        <v>1525745.2972474673</v>
      </c>
      <c r="CH441">
        <f t="shared" si="339"/>
        <v>592420.14056261641</v>
      </c>
      <c r="CJ441">
        <f t="shared" si="340"/>
        <v>-295902.72833834571</v>
      </c>
      <c r="CL441">
        <f t="shared" si="341"/>
        <v>611571.07005159289</v>
      </c>
    </row>
    <row r="442" spans="1:90" x14ac:dyDescent="0.2">
      <c r="A442" s="2" t="s">
        <v>424</v>
      </c>
      <c r="B442" s="2" t="str">
        <f t="shared" si="348"/>
        <v>RAICHUR TPS</v>
      </c>
      <c r="C442" s="2" t="str">
        <f>VLOOKUP($A442,'[1]daily coal, energy reqd'!$C$2:$T$599,17,FALSE)</f>
        <v>Karnataka</v>
      </c>
      <c r="D442" s="2" t="str">
        <f>VLOOKUP(C442,'Target PLF'!$I$2:$J$19,2,FALSE)</f>
        <v>SR</v>
      </c>
      <c r="E442" s="2" t="str">
        <f>VLOOKUP(A442,[2]Ownership!$C$2:$D$666,2,FALSE)</f>
        <v>STATE SECTOR</v>
      </c>
      <c r="F442" s="2" t="s">
        <v>547</v>
      </c>
      <c r="G442" s="12">
        <v>29.177275838466802</v>
      </c>
      <c r="H442" s="2">
        <v>210</v>
      </c>
      <c r="I442" s="2">
        <f>VLOOKUP(A442,'[3]Calculated coal req (reg.)'!$A$2:$I$599,9,FALSE)</f>
        <v>2.93248327259565</v>
      </c>
      <c r="J442" s="2"/>
      <c r="K442" s="11">
        <v>0.58184191916580352</v>
      </c>
      <c r="L442" s="3">
        <f>VLOOKUP(F442,'Target PLF'!$A$2:$B$11,2,FALSE)</f>
        <v>0.65</v>
      </c>
      <c r="M442" s="3">
        <f t="shared" si="329"/>
        <v>6.8158080834196499E-2</v>
      </c>
      <c r="N442" s="2" t="str">
        <f t="shared" si="312"/>
        <v>0.25</v>
      </c>
      <c r="O442" s="2">
        <f t="shared" si="349"/>
        <v>11.34653513611301</v>
      </c>
      <c r="P442" s="2">
        <f t="shared" si="313"/>
        <v>869711.91818306223</v>
      </c>
      <c r="Q442" s="2">
        <f t="shared" si="314"/>
        <v>15.077498962183435</v>
      </c>
      <c r="R442" s="2">
        <f t="shared" si="315"/>
        <v>3.2759999999999998</v>
      </c>
      <c r="S442" s="2"/>
      <c r="T442" s="2" t="str">
        <f>VLOOKUP(A442,'[4]CEA vs MERIT comp. &amp; NPA marker'!$C$2:$K$735,9,FALSE)</f>
        <v>Contracted</v>
      </c>
      <c r="U442" s="3">
        <f>VLOOKUP(B442,'[8]Import-Domestic share'!$A$208:$F$406,6,FALSE)</f>
        <v>0</v>
      </c>
      <c r="V442" s="3">
        <f t="shared" si="316"/>
        <v>0</v>
      </c>
      <c r="W442" s="2">
        <f t="shared" si="317"/>
        <v>3231.4648926030118</v>
      </c>
      <c r="X442" s="2">
        <f t="shared" si="318"/>
        <v>3253.9959911740689</v>
      </c>
      <c r="Y442" s="6">
        <f t="shared" si="319"/>
        <v>0.26613317135785197</v>
      </c>
      <c r="Z442" s="2"/>
      <c r="AA442" s="2">
        <f t="shared" si="320"/>
        <v>874570.85900131904</v>
      </c>
      <c r="AB442" s="2" t="s">
        <v>576</v>
      </c>
      <c r="AC442" s="12">
        <f>VLOOKUP(B442,[9]Sheet1!$A$2:$B$137,2,FALSE)</f>
        <v>3982.4507996977022</v>
      </c>
      <c r="AD442" s="12">
        <f t="shared" si="321"/>
        <v>836314.66793651751</v>
      </c>
      <c r="AE442" s="2"/>
      <c r="AF442" s="7">
        <f>VLOOKUP($B442,'[9]Subsidiary wise dispatch'!$A$3:$R$138,11,FALSE)*$H442*$O442*365</f>
        <v>0</v>
      </c>
      <c r="AG442" s="7">
        <f>VLOOKUP($B442,'[9]Subsidiary wise dispatch'!$A$3:$R$138,12,FALSE)*$H442*$O442*365</f>
        <v>0</v>
      </c>
      <c r="AH442" s="7">
        <f>VLOOKUP($B442,'[9]Subsidiary wise dispatch'!$A$3:$R$138,13,FALSE)*$H442*$O442*365</f>
        <v>0</v>
      </c>
      <c r="AI442" s="7">
        <f>VLOOKUP($B442,'[9]Subsidiary wise dispatch'!$A$3:$R$138,14,FALSE)*$H442*$O442*365</f>
        <v>570908.67173331243</v>
      </c>
      <c r="AJ442" s="7">
        <f>VLOOKUP($B442,'[9]Subsidiary wise dispatch'!$A$3:$R$138,15,FALSE)*$H442*$O442*365</f>
        <v>0</v>
      </c>
      <c r="AK442" s="7">
        <f>VLOOKUP($B442,'[9]Subsidiary wise dispatch'!$A$3:$R$138,16,FALSE)*$H442*$O442*365</f>
        <v>0</v>
      </c>
      <c r="AL442" s="7">
        <f>VLOOKUP($B442,'[9]Subsidiary wise dispatch'!$A$3:$R$138,17,FALSE)*$H442*$O442*365</f>
        <v>0</v>
      </c>
      <c r="AM442" s="7">
        <f>VLOOKUP($B442,'[9]Subsidiary wise dispatch'!$A$3:$R$138,18,FALSE)*$H442*$O442*365</f>
        <v>298803.2464497498</v>
      </c>
      <c r="AN442" s="15">
        <f t="shared" si="322"/>
        <v>869711.91818306223</v>
      </c>
      <c r="AO442" s="6">
        <v>9.2407885740745169E-2</v>
      </c>
      <c r="AP442" s="11">
        <f t="shared" si="323"/>
        <v>0.27098457919066532</v>
      </c>
      <c r="AQ442" s="11"/>
      <c r="AR442" s="3">
        <f>VLOOKUP(A442,[10]Sheet1!$A$2:$L$542,12,FALSE)</f>
        <v>3.5867184035477</v>
      </c>
      <c r="AS442" s="3">
        <f t="shared" si="330"/>
        <v>3.3051760024253278</v>
      </c>
      <c r="AT442" s="2"/>
      <c r="AU442" s="2"/>
      <c r="AV442" s="88">
        <f t="shared" si="331"/>
        <v>4.994760479691588E-2</v>
      </c>
      <c r="AW442" s="32">
        <f t="shared" si="332"/>
        <v>1.5111934965116678E-2</v>
      </c>
      <c r="AX442" s="12">
        <f t="shared" si="324"/>
        <v>353.77162691353448</v>
      </c>
      <c r="AY442" s="12">
        <f t="shared" si="325"/>
        <v>0</v>
      </c>
      <c r="AZ442" s="3">
        <f>VLOOKUP(A442,[5]Analysis!$A$3:$BJ$543,62,FALSE)</f>
        <v>1.041373088663174</v>
      </c>
      <c r="BA442" s="2"/>
      <c r="BB442" s="2"/>
      <c r="BC442" s="2" t="str">
        <f>VLOOKUP(A442,'[6]FGD status - Jun 2020'!$I$2:$M$449,5,FALSE)</f>
        <v>Bid opened</v>
      </c>
      <c r="BD442" s="2" t="str">
        <f>VLOOKUP(A442,'[1]daily coal, energy reqd'!$C$2:$L$599,10,FALSE)</f>
        <v>Y</v>
      </c>
      <c r="BE442" s="2"/>
      <c r="BF442" s="2">
        <f t="shared" si="326"/>
        <v>270.67968086090821</v>
      </c>
      <c r="BG442" s="2">
        <f t="shared" si="327"/>
        <v>0</v>
      </c>
      <c r="BH442" s="2">
        <f t="shared" si="350"/>
        <v>31.5</v>
      </c>
      <c r="BI442" s="2">
        <f t="shared" si="351"/>
        <v>16.8</v>
      </c>
      <c r="BK442">
        <f t="shared" si="328"/>
        <v>122.18680302481874</v>
      </c>
      <c r="BL442">
        <f>VLOOKUP(A442,'[11]Daily coal vs energy req.2'!$C$2:$P$599,14,FALSE)</f>
        <v>0.76</v>
      </c>
      <c r="BM442">
        <f>VLOOKUP(A442,'[11]Daily coal vs energy req.2'!$C$2:$R$599,16,FALSE)</f>
        <v>0.7</v>
      </c>
      <c r="BN442">
        <f t="shared" si="352"/>
        <v>159.6</v>
      </c>
      <c r="BO442">
        <f t="shared" si="353"/>
        <v>147</v>
      </c>
      <c r="BP442" s="2" t="str">
        <f>VLOOKUP(A442,'[7]Table 2'!$J$2:$N$449,5,FALSE)</f>
        <v>Bid Awarded</v>
      </c>
      <c r="BR442">
        <f t="shared" si="333"/>
        <v>362.70352126303993</v>
      </c>
      <c r="BT442">
        <f>(X442*I442*365*[5]Analysis!BK442)/10^4</f>
        <v>138.28731561201204</v>
      </c>
      <c r="BV442">
        <f>(X442*I442*365*[5]Analysis!BL442)/10^4</f>
        <v>224.41620565102789</v>
      </c>
      <c r="BX442">
        <f t="shared" si="334"/>
        <v>978084.60335415392</v>
      </c>
      <c r="BZ442">
        <f t="shared" si="335"/>
        <v>5774096.5583310695</v>
      </c>
      <c r="CB442">
        <f t="shared" si="336"/>
        <v>-184006.22314070223</v>
      </c>
      <c r="CD442">
        <f t="shared" si="337"/>
        <v>0</v>
      </c>
      <c r="CF442">
        <f t="shared" si="338"/>
        <v>1911226.9117729431</v>
      </c>
      <c r="CH442">
        <f t="shared" si="339"/>
        <v>633542.8911179899</v>
      </c>
      <c r="CJ442">
        <f t="shared" si="340"/>
        <v>-370662.95317281759</v>
      </c>
      <c r="CL442">
        <f t="shared" si="341"/>
        <v>766085.32869349513</v>
      </c>
    </row>
    <row r="443" spans="1:90" x14ac:dyDescent="0.2">
      <c r="A443" s="2" t="s">
        <v>402</v>
      </c>
      <c r="B443" s="2" t="str">
        <f t="shared" si="348"/>
        <v>RAICHUR TPS</v>
      </c>
      <c r="C443" s="2" t="str">
        <f>VLOOKUP($A443,'[1]daily coal, energy reqd'!$C$2:$T$599,17,FALSE)</f>
        <v>Karnataka</v>
      </c>
      <c r="D443" s="2" t="str">
        <f>VLOOKUP(C443,'Target PLF'!$I$2:$J$19,2,FALSE)</f>
        <v>SR</v>
      </c>
      <c r="E443" s="2" t="str">
        <f>VLOOKUP(A443,[2]Ownership!$C$2:$D$666,2,FALSE)</f>
        <v>STATE SECTOR</v>
      </c>
      <c r="F443" s="2" t="s">
        <v>547</v>
      </c>
      <c r="G443" s="12">
        <v>25.672826830937701</v>
      </c>
      <c r="H443" s="2">
        <v>210</v>
      </c>
      <c r="I443" s="2">
        <f>VLOOKUP(A443,'[3]Calculated coal req (reg.)'!$A$2:$I$599,9,FALSE)</f>
        <v>3.9103689619290201</v>
      </c>
      <c r="J443" s="2"/>
      <c r="K443" s="11">
        <v>0.77586685752559914</v>
      </c>
      <c r="L443" s="3">
        <f>VLOOKUP(F443,'Target PLF'!$A$2:$B$11,2,FALSE)</f>
        <v>0.65</v>
      </c>
      <c r="M443" s="3">
        <f t="shared" si="329"/>
        <v>-0.12586685752559912</v>
      </c>
      <c r="N443" s="2" t="str">
        <f t="shared" si="312"/>
        <v>0.25</v>
      </c>
      <c r="O443" s="2">
        <f t="shared" si="349"/>
        <v>13.935058888680871</v>
      </c>
      <c r="P443" s="2">
        <f t="shared" si="313"/>
        <v>1068122.2638173888</v>
      </c>
      <c r="Q443" s="2">
        <f t="shared" si="314"/>
        <v>14.966495539869952</v>
      </c>
      <c r="R443" s="2">
        <f t="shared" si="315"/>
        <v>3.2759999999999998</v>
      </c>
      <c r="S443" s="2"/>
      <c r="T443" s="2" t="str">
        <f>VLOOKUP(A443,'[4]CEA vs MERIT comp. &amp; NPA marker'!$C$2:$K$735,9,FALSE)</f>
        <v>Contracted</v>
      </c>
      <c r="U443" s="3">
        <f>VLOOKUP(B443,'[8]Import-Domestic share'!$A$208:$F$406,6,FALSE)</f>
        <v>0</v>
      </c>
      <c r="V443" s="3">
        <f t="shared" si="316"/>
        <v>0</v>
      </c>
      <c r="W443" s="2">
        <f t="shared" si="317"/>
        <v>3204.6890202963723</v>
      </c>
      <c r="X443" s="2">
        <f t="shared" si="318"/>
        <v>3163.0810621639057</v>
      </c>
      <c r="Y443" s="6">
        <f t="shared" si="319"/>
        <v>0.26835677176578787</v>
      </c>
      <c r="Z443" s="2"/>
      <c r="AA443" s="2">
        <f t="shared" si="320"/>
        <v>1133627.8438967499</v>
      </c>
      <c r="AB443" s="2" t="s">
        <v>576</v>
      </c>
      <c r="AC443" s="12">
        <f>VLOOKUP(B443,[9]Sheet1!$A$2:$B$137,2,FALSE)</f>
        <v>3982.4507996977022</v>
      </c>
      <c r="AD443" s="12">
        <f t="shared" si="321"/>
        <v>836314.66793651751</v>
      </c>
      <c r="AE443" s="2"/>
      <c r="AF443" s="7">
        <f>VLOOKUP($B443,'[9]Subsidiary wise dispatch'!$A$3:$R$138,11,FALSE)*$H443*$O443*365</f>
        <v>0</v>
      </c>
      <c r="AG443" s="7">
        <f>VLOOKUP($B443,'[9]Subsidiary wise dispatch'!$A$3:$R$138,12,FALSE)*$H443*$O443*365</f>
        <v>0</v>
      </c>
      <c r="AH443" s="7">
        <f>VLOOKUP($B443,'[9]Subsidiary wise dispatch'!$A$3:$R$138,13,FALSE)*$H443*$O443*365</f>
        <v>0</v>
      </c>
      <c r="AI443" s="7">
        <f>VLOOKUP($B443,'[9]Subsidiary wise dispatch'!$A$3:$R$138,14,FALSE)*$H443*$O443*365</f>
        <v>701152.01382857177</v>
      </c>
      <c r="AJ443" s="7">
        <f>VLOOKUP($B443,'[9]Subsidiary wise dispatch'!$A$3:$R$138,15,FALSE)*$H443*$O443*365</f>
        <v>0</v>
      </c>
      <c r="AK443" s="7">
        <f>VLOOKUP($B443,'[9]Subsidiary wise dispatch'!$A$3:$R$138,16,FALSE)*$H443*$O443*365</f>
        <v>0</v>
      </c>
      <c r="AL443" s="7">
        <f>VLOOKUP($B443,'[9]Subsidiary wise dispatch'!$A$3:$R$138,17,FALSE)*$H443*$O443*365</f>
        <v>0</v>
      </c>
      <c r="AM443" s="7">
        <f>VLOOKUP($B443,'[9]Subsidiary wise dispatch'!$A$3:$R$138,18,FALSE)*$H443*$O443*365</f>
        <v>366970.24998881697</v>
      </c>
      <c r="AN443" s="15">
        <f t="shared" si="322"/>
        <v>1068122.2638173888</v>
      </c>
      <c r="AO443" s="6">
        <v>9.2407885740745169E-2</v>
      </c>
      <c r="AP443" s="11">
        <f t="shared" si="323"/>
        <v>0.36134892823809317</v>
      </c>
      <c r="AQ443" s="11"/>
      <c r="AR443" s="3">
        <f>VLOOKUP(A443,[10]Sheet1!$A$2:$L$542,12,FALSE)</f>
        <v>3.5867184035477</v>
      </c>
      <c r="AS443" s="3">
        <f t="shared" si="330"/>
        <v>3.2699085295255372</v>
      </c>
      <c r="AT443" s="2"/>
      <c r="AU443" s="2"/>
      <c r="AV443" s="88">
        <f t="shared" si="331"/>
        <v>-9.2237750531909551E-2</v>
      </c>
      <c r="AW443" s="32">
        <f t="shared" si="332"/>
        <v>2.8208052212791782E-2</v>
      </c>
      <c r="AX443" s="12">
        <f t="shared" si="324"/>
        <v>466.70903201043228</v>
      </c>
      <c r="AY443" s="12">
        <f t="shared" si="325"/>
        <v>0</v>
      </c>
      <c r="AZ443" s="3">
        <f>VLOOKUP(A443,[5]Analysis!$A$3:$BJ$543,62,FALSE)</f>
        <v>1.041373088663174</v>
      </c>
      <c r="BA443" s="2"/>
      <c r="BB443" s="2"/>
      <c r="BC443" s="2" t="str">
        <f>VLOOKUP(A443,'[6]FGD status - Jun 2020'!$I$2:$M$449,5,FALSE)</f>
        <v>Bid opened</v>
      </c>
      <c r="BD443" s="2" t="str">
        <f>VLOOKUP(A443,'[1]daily coal, energy reqd'!$C$2:$L$599,10,FALSE)</f>
        <v>Y</v>
      </c>
      <c r="BE443" s="2"/>
      <c r="BF443" s="2">
        <f t="shared" si="326"/>
        <v>350.85781768604409</v>
      </c>
      <c r="BG443" s="2">
        <f t="shared" si="327"/>
        <v>0</v>
      </c>
      <c r="BH443" s="2">
        <f t="shared" si="350"/>
        <v>31.5</v>
      </c>
      <c r="BI443" s="2">
        <f t="shared" si="351"/>
        <v>16.8</v>
      </c>
      <c r="BK443">
        <f t="shared" si="328"/>
        <v>162.93204008037583</v>
      </c>
      <c r="BL443">
        <f>VLOOKUP(A443,'[11]Daily coal vs energy req.2'!$C$2:$P$599,14,FALSE)</f>
        <v>0.67</v>
      </c>
      <c r="BM443">
        <f>VLOOKUP(A443,'[11]Daily coal vs energy req.2'!$C$2:$R$599,16,FALSE)</f>
        <v>0.79</v>
      </c>
      <c r="BN443">
        <f t="shared" si="352"/>
        <v>140.70000000000002</v>
      </c>
      <c r="BO443">
        <f t="shared" si="353"/>
        <v>165.9</v>
      </c>
      <c r="BP443" s="2" t="str">
        <f>VLOOKUP(A443,'[7]Table 2'!$J$2:$N$449,5,FALSE)</f>
        <v>Bid Awarded</v>
      </c>
      <c r="BR443">
        <f t="shared" si="333"/>
        <v>470.14007676027398</v>
      </c>
      <c r="BT443">
        <f>(X443*I443*365*[5]Analysis!BK443)/10^4</f>
        <v>179.24945683020763</v>
      </c>
      <c r="BV443">
        <f>(X443*I443*365*[5]Analysis!BL443)/10^4</f>
        <v>290.89061993006635</v>
      </c>
      <c r="BX443">
        <f t="shared" si="334"/>
        <v>1267803.4359789994</v>
      </c>
      <c r="BZ443">
        <f t="shared" si="335"/>
        <v>7699565.8170945384</v>
      </c>
      <c r="CB443">
        <f t="shared" si="336"/>
        <v>-327187.64692032442</v>
      </c>
      <c r="CD443">
        <f t="shared" si="337"/>
        <v>0</v>
      </c>
      <c r="CF443">
        <f t="shared" si="338"/>
        <v>2548557.5535389865</v>
      </c>
      <c r="CH443">
        <f t="shared" si="339"/>
        <v>743339.42252803338</v>
      </c>
      <c r="CJ443">
        <f t="shared" si="340"/>
        <v>-494266.72641886625</v>
      </c>
      <c r="CL443">
        <f t="shared" si="341"/>
        <v>1021549.3194819319</v>
      </c>
    </row>
    <row r="444" spans="1:90" x14ac:dyDescent="0.2">
      <c r="A444" s="2" t="s">
        <v>378</v>
      </c>
      <c r="B444" s="2" t="str">
        <f t="shared" si="348"/>
        <v>RAICHUR TPS</v>
      </c>
      <c r="C444" s="2" t="str">
        <f>VLOOKUP($A444,'[1]daily coal, energy reqd'!$C$2:$T$599,17,FALSE)</f>
        <v>Karnataka</v>
      </c>
      <c r="D444" s="2" t="str">
        <f>VLOOKUP(C444,'Target PLF'!$I$2:$J$19,2,FALSE)</f>
        <v>SR</v>
      </c>
      <c r="E444" s="2" t="str">
        <f>VLOOKUP(A444,[2]Ownership!$C$2:$D$666,2,FALSE)</f>
        <v>STATE SECTOR</v>
      </c>
      <c r="F444" s="2" t="s">
        <v>546</v>
      </c>
      <c r="G444" s="12">
        <v>21.338809034907499</v>
      </c>
      <c r="H444" s="2">
        <v>210</v>
      </c>
      <c r="I444" s="2">
        <f>VLOOKUP(A444,'[3]Calculated coal req (reg.)'!$A$2:$I$599,9,FALSE)</f>
        <v>3.6372643722301601</v>
      </c>
      <c r="J444" s="2"/>
      <c r="K444" s="11">
        <v>0.72167943893455555</v>
      </c>
      <c r="L444" s="3">
        <f>VLOOKUP(F444,'Target PLF'!$A$2:$B$11,2,FALSE)</f>
        <v>0.7</v>
      </c>
      <c r="M444" s="3">
        <f t="shared" si="329"/>
        <v>-2.1679438934555595E-2</v>
      </c>
      <c r="N444" s="2" t="str">
        <f t="shared" si="312"/>
        <v>0.25</v>
      </c>
      <c r="O444" s="2">
        <f t="shared" si="349"/>
        <v>13.043853063908845</v>
      </c>
      <c r="P444" s="2">
        <f t="shared" si="313"/>
        <v>999811.33734861296</v>
      </c>
      <c r="Q444" s="2">
        <f t="shared" si="314"/>
        <v>14.829215526180693</v>
      </c>
      <c r="R444" s="2">
        <f t="shared" si="315"/>
        <v>3.528</v>
      </c>
      <c r="S444" s="2"/>
      <c r="T444" s="2" t="str">
        <f>VLOOKUP(A444,'[4]CEA vs MERIT comp. &amp; NPA marker'!$C$2:$K$735,9,FALSE)</f>
        <v>Contracted</v>
      </c>
      <c r="U444" s="3">
        <f>VLOOKUP(B444,'[8]Import-Domestic share'!$A$208:$F$406,6,FALSE)</f>
        <v>0</v>
      </c>
      <c r="V444" s="3">
        <f t="shared" si="316"/>
        <v>0</v>
      </c>
      <c r="W444" s="2">
        <f t="shared" si="317"/>
        <v>3155.046236967145</v>
      </c>
      <c r="X444" s="2">
        <f t="shared" si="318"/>
        <v>3147.8796388232222</v>
      </c>
      <c r="Y444" s="6">
        <f t="shared" si="319"/>
        <v>0.27257920658135687</v>
      </c>
      <c r="Z444" s="2"/>
      <c r="AA444" s="2">
        <f t="shared" si="320"/>
        <v>1049386.4023678061</v>
      </c>
      <c r="AB444" s="2" t="s">
        <v>576</v>
      </c>
      <c r="AC444" s="12">
        <f>VLOOKUP(B444,[9]Sheet1!$A$2:$B$137,2,FALSE)</f>
        <v>3982.4507996977022</v>
      </c>
      <c r="AD444" s="12">
        <f t="shared" si="321"/>
        <v>836314.66793651751</v>
      </c>
      <c r="AE444" s="2"/>
      <c r="AF444" s="7">
        <f>VLOOKUP($B444,'[9]Subsidiary wise dispatch'!$A$3:$R$138,11,FALSE)*$H444*$O444*365</f>
        <v>0</v>
      </c>
      <c r="AG444" s="7">
        <f>VLOOKUP($B444,'[9]Subsidiary wise dispatch'!$A$3:$R$138,12,FALSE)*$H444*$O444*365</f>
        <v>0</v>
      </c>
      <c r="AH444" s="7">
        <f>VLOOKUP($B444,'[9]Subsidiary wise dispatch'!$A$3:$R$138,13,FALSE)*$H444*$O444*365</f>
        <v>0</v>
      </c>
      <c r="AI444" s="7">
        <f>VLOOKUP($B444,'[9]Subsidiary wise dispatch'!$A$3:$R$138,14,FALSE)*$H444*$O444*365</f>
        <v>656310.38353720447</v>
      </c>
      <c r="AJ444" s="7">
        <f>VLOOKUP($B444,'[9]Subsidiary wise dispatch'!$A$3:$R$138,15,FALSE)*$H444*$O444*365</f>
        <v>0</v>
      </c>
      <c r="AK444" s="7">
        <f>VLOOKUP($B444,'[9]Subsidiary wise dispatch'!$A$3:$R$138,16,FALSE)*$H444*$O444*365</f>
        <v>0</v>
      </c>
      <c r="AL444" s="7">
        <f>VLOOKUP($B444,'[9]Subsidiary wise dispatch'!$A$3:$R$138,17,FALSE)*$H444*$O444*365</f>
        <v>0</v>
      </c>
      <c r="AM444" s="7">
        <f>VLOOKUP($B444,'[9]Subsidiary wise dispatch'!$A$3:$R$138,18,FALSE)*$H444*$O444*365</f>
        <v>343500.95381140849</v>
      </c>
      <c r="AN444" s="15">
        <f t="shared" si="322"/>
        <v>999811.33734861296</v>
      </c>
      <c r="AO444" s="6">
        <v>9.2407885740745169E-2</v>
      </c>
      <c r="AP444" s="11">
        <f t="shared" si="323"/>
        <v>0.33611191051792783</v>
      </c>
      <c r="AQ444" s="11"/>
      <c r="AR444" s="3">
        <f>VLOOKUP(A444,[10]Sheet1!$A$2:$L$542,12,FALSE)</f>
        <v>3.5867184035477</v>
      </c>
      <c r="AS444" s="3">
        <f t="shared" si="330"/>
        <v>3.2362591488624113</v>
      </c>
      <c r="AT444" s="2"/>
      <c r="AU444" s="2"/>
      <c r="AV444" s="88">
        <f t="shared" si="331"/>
        <v>-1.5887126440021031E-2</v>
      </c>
      <c r="AW444" s="32">
        <f t="shared" si="332"/>
        <v>4.9091020555648551E-3</v>
      </c>
      <c r="AX444" s="12">
        <f t="shared" si="324"/>
        <v>429.64624870333199</v>
      </c>
      <c r="AY444" s="12">
        <f t="shared" si="325"/>
        <v>0</v>
      </c>
      <c r="AZ444" s="3">
        <f>VLOOKUP(A444,[5]Analysis!$A$3:$BJ$543,62,FALSE)</f>
        <v>1.041373088663174</v>
      </c>
      <c r="BA444" s="2"/>
      <c r="BB444" s="2"/>
      <c r="BC444" s="2" t="str">
        <f>VLOOKUP(A444,'[6]FGD status - Jun 2020'!$I$2:$M$449,5,FALSE)</f>
        <v>Bid opened</v>
      </c>
      <c r="BD444" s="2" t="str">
        <f>VLOOKUP(A444,'[1]daily coal, energy reqd'!$C$2:$L$599,10,FALSE)</f>
        <v>Y</v>
      </c>
      <c r="BE444" s="2"/>
      <c r="BF444" s="2">
        <f t="shared" si="326"/>
        <v>324.78509153283596</v>
      </c>
      <c r="BG444" s="2">
        <f t="shared" si="327"/>
        <v>0</v>
      </c>
      <c r="BH444" s="2">
        <f t="shared" si="350"/>
        <v>31.5</v>
      </c>
      <c r="BI444" s="2">
        <f t="shared" si="351"/>
        <v>16.8</v>
      </c>
      <c r="BK444">
        <f t="shared" si="328"/>
        <v>151.55268217625667</v>
      </c>
      <c r="BL444">
        <f>VLOOKUP(A444,'[11]Daily coal vs energy req.2'!$C$2:$P$599,14,FALSE)</f>
        <v>0.86</v>
      </c>
      <c r="BM444">
        <f>VLOOKUP(A444,'[11]Daily coal vs energy req.2'!$C$2:$R$599,16,FALSE)</f>
        <v>0.89</v>
      </c>
      <c r="BN444">
        <f t="shared" si="352"/>
        <v>180.6</v>
      </c>
      <c r="BO444">
        <f t="shared" si="353"/>
        <v>186.9</v>
      </c>
      <c r="BP444" s="2" t="str">
        <f>VLOOKUP(A444,'[7]Table 2'!$J$2:$N$449,5,FALSE)</f>
        <v>Bid Awarded</v>
      </c>
      <c r="BR444">
        <f t="shared" si="333"/>
        <v>435.20332216303871</v>
      </c>
      <c r="BT444">
        <f>(X444*I444*365*[5]Analysis!BK444)/10^4</f>
        <v>165.92918358713777</v>
      </c>
      <c r="BV444">
        <f>(X444*I444*365*[5]Analysis!BL444)/10^4</f>
        <v>269.27413857590096</v>
      </c>
      <c r="BX444">
        <f t="shared" si="334"/>
        <v>1173591.2219819459</v>
      </c>
      <c r="BZ444">
        <f t="shared" si="335"/>
        <v>7161819.4346407335</v>
      </c>
      <c r="CB444">
        <f t="shared" si="336"/>
        <v>-283081.28702294175</v>
      </c>
      <c r="CD444">
        <f t="shared" si="337"/>
        <v>0</v>
      </c>
      <c r="CF444">
        <f t="shared" si="338"/>
        <v>2370563.4123825873</v>
      </c>
      <c r="CH444">
        <f t="shared" si="339"/>
        <v>574699.45188315969</v>
      </c>
      <c r="CJ444">
        <f t="shared" si="340"/>
        <v>-459746.57938552008</v>
      </c>
      <c r="CL444">
        <f t="shared" si="341"/>
        <v>950203.15995824465</v>
      </c>
    </row>
    <row r="445" spans="1:90" x14ac:dyDescent="0.2">
      <c r="A445" s="2" t="s">
        <v>374</v>
      </c>
      <c r="B445" s="2" t="str">
        <f t="shared" si="348"/>
        <v>RAICHUR TPS</v>
      </c>
      <c r="C445" s="2" t="str">
        <f>VLOOKUP($A445,'[1]daily coal, energy reqd'!$C$2:$T$599,17,FALSE)</f>
        <v>Karnataka</v>
      </c>
      <c r="D445" s="2" t="str">
        <f>VLOOKUP(C445,'Target PLF'!$I$2:$J$19,2,FALSE)</f>
        <v>SR</v>
      </c>
      <c r="E445" s="2" t="str">
        <f>VLOOKUP(A445,[2]Ownership!$C$2:$D$666,2,FALSE)</f>
        <v>STATE SECTOR</v>
      </c>
      <c r="F445" s="2" t="s">
        <v>546</v>
      </c>
      <c r="G445" s="12">
        <v>20.843258042436599</v>
      </c>
      <c r="H445" s="2">
        <v>210</v>
      </c>
      <c r="I445" s="2">
        <f>VLOOKUP(A445,'[3]Calculated coal req (reg.)'!$A$2:$I$599,9,FALSE)</f>
        <v>3.0574627390221898</v>
      </c>
      <c r="J445" s="2"/>
      <c r="K445" s="11">
        <v>0.60663943234567264</v>
      </c>
      <c r="L445" s="3">
        <f>VLOOKUP(F445,'Target PLF'!$A$2:$B$11,2,FALSE)</f>
        <v>0.7</v>
      </c>
      <c r="M445" s="3">
        <f t="shared" si="329"/>
        <v>9.336056765432732E-2</v>
      </c>
      <c r="N445" s="2" t="str">
        <f t="shared" si="312"/>
        <v>0.25</v>
      </c>
      <c r="O445" s="2">
        <f t="shared" si="349"/>
        <v>11.427570362549227</v>
      </c>
      <c r="P445" s="2">
        <f t="shared" si="313"/>
        <v>875923.26828939829</v>
      </c>
      <c r="Q445" s="2">
        <f t="shared" si="314"/>
        <v>14.813518948494178</v>
      </c>
      <c r="R445" s="2">
        <f t="shared" si="315"/>
        <v>3.528</v>
      </c>
      <c r="S445" s="2"/>
      <c r="T445" s="2" t="str">
        <f>VLOOKUP(A445,'[4]CEA vs MERIT comp. &amp; NPA marker'!$C$2:$K$735,9,FALSE)</f>
        <v>Contracted</v>
      </c>
      <c r="U445" s="3">
        <f>VLOOKUP(B445,'[8]Import-Domestic share'!$A$208:$F$406,6,FALSE)</f>
        <v>0</v>
      </c>
      <c r="V445" s="3">
        <f t="shared" si="316"/>
        <v>0</v>
      </c>
      <c r="W445" s="2">
        <f t="shared" si="317"/>
        <v>3151.2599612737845</v>
      </c>
      <c r="X445" s="2">
        <f t="shared" si="318"/>
        <v>3182.1222761559566</v>
      </c>
      <c r="Y445" s="6">
        <f t="shared" si="319"/>
        <v>0.27290671368552394</v>
      </c>
      <c r="Z445" s="2"/>
      <c r="AA445" s="2">
        <f t="shared" si="320"/>
        <v>891703.52242661978</v>
      </c>
      <c r="AB445" s="2" t="s">
        <v>576</v>
      </c>
      <c r="AC445" s="12">
        <f>VLOOKUP(B445,[9]Sheet1!$A$2:$B$137,2,FALSE)</f>
        <v>3982.4507996977022</v>
      </c>
      <c r="AD445" s="12">
        <f t="shared" si="321"/>
        <v>836314.66793651751</v>
      </c>
      <c r="AE445" s="2"/>
      <c r="AF445" s="7">
        <f>VLOOKUP($B445,'[9]Subsidiary wise dispatch'!$A$3:$R$138,11,FALSE)*$H445*$O445*365</f>
        <v>0</v>
      </c>
      <c r="AG445" s="7">
        <f>VLOOKUP($B445,'[9]Subsidiary wise dispatch'!$A$3:$R$138,12,FALSE)*$H445*$O445*365</f>
        <v>0</v>
      </c>
      <c r="AH445" s="7">
        <f>VLOOKUP($B445,'[9]Subsidiary wise dispatch'!$A$3:$R$138,13,FALSE)*$H445*$O445*365</f>
        <v>0</v>
      </c>
      <c r="AI445" s="7">
        <f>VLOOKUP($B445,'[9]Subsidiary wise dispatch'!$A$3:$R$138,14,FALSE)*$H445*$O445*365</f>
        <v>574986.01454619132</v>
      </c>
      <c r="AJ445" s="7">
        <f>VLOOKUP($B445,'[9]Subsidiary wise dispatch'!$A$3:$R$138,15,FALSE)*$H445*$O445*365</f>
        <v>0</v>
      </c>
      <c r="AK445" s="7">
        <f>VLOOKUP($B445,'[9]Subsidiary wise dispatch'!$A$3:$R$138,16,FALSE)*$H445*$O445*365</f>
        <v>0</v>
      </c>
      <c r="AL445" s="7">
        <f>VLOOKUP($B445,'[9]Subsidiary wise dispatch'!$A$3:$R$138,17,FALSE)*$H445*$O445*365</f>
        <v>0</v>
      </c>
      <c r="AM445" s="7">
        <f>VLOOKUP($B445,'[9]Subsidiary wise dispatch'!$A$3:$R$138,18,FALSE)*$H445*$O445*365</f>
        <v>300937.25374320685</v>
      </c>
      <c r="AN445" s="15">
        <f t="shared" si="322"/>
        <v>875923.26828939817</v>
      </c>
      <c r="AO445" s="6">
        <v>9.2407885740745169E-2</v>
      </c>
      <c r="AP445" s="11">
        <f t="shared" si="323"/>
        <v>0.28253366744414826</v>
      </c>
      <c r="AQ445" s="11"/>
      <c r="AR445" s="3">
        <f>VLOOKUP(A445,[10]Sheet1!$A$2:$L$542,12,FALSE)</f>
        <v>3.5867184035477</v>
      </c>
      <c r="AS445" s="3">
        <f t="shared" si="330"/>
        <v>3.2360997118652652</v>
      </c>
      <c r="AT445" s="2"/>
      <c r="AU445" s="2"/>
      <c r="AV445" s="88">
        <f t="shared" si="331"/>
        <v>6.8416491188444145E-2</v>
      </c>
      <c r="AW445" s="32">
        <f t="shared" si="332"/>
        <v>2.1141651148014026E-2</v>
      </c>
      <c r="AX445" s="12">
        <f t="shared" si="324"/>
        <v>361.14028154077999</v>
      </c>
      <c r="AY445" s="12">
        <f t="shared" si="325"/>
        <v>0</v>
      </c>
      <c r="AZ445" s="3">
        <f>VLOOKUP(A445,[5]Analysis!$A$3:$BJ$543,62,FALSE)</f>
        <v>1.041373088663174</v>
      </c>
      <c r="BA445" s="2"/>
      <c r="BB445" s="2"/>
      <c r="BC445" s="2" t="str">
        <f>VLOOKUP(A445,'[6]FGD status - Jun 2020'!$I$2:$M$449,5,FALSE)</f>
        <v>Bid opened</v>
      </c>
      <c r="BD445" s="2" t="str">
        <f>VLOOKUP(A445,'[1]daily coal, energy reqd'!$C$2:$L$599,10,FALSE)</f>
        <v>Y</v>
      </c>
      <c r="BE445" s="2"/>
      <c r="BF445" s="2">
        <f t="shared" si="326"/>
        <v>275.98224019103878</v>
      </c>
      <c r="BG445" s="2">
        <f t="shared" si="327"/>
        <v>0</v>
      </c>
      <c r="BH445" s="2">
        <f t="shared" si="350"/>
        <v>31.5</v>
      </c>
      <c r="BI445" s="2">
        <f t="shared" si="351"/>
        <v>16.8</v>
      </c>
      <c r="BK445">
        <f t="shared" si="328"/>
        <v>127.39428079259126</v>
      </c>
      <c r="BL445">
        <f>VLOOKUP(A445,'[11]Daily coal vs energy req.2'!$C$2:$P$599,14,FALSE)</f>
        <v>0.83</v>
      </c>
      <c r="BM445">
        <f>VLOOKUP(A445,'[11]Daily coal vs energy req.2'!$C$2:$R$599,16,FALSE)</f>
        <v>0.89</v>
      </c>
      <c r="BN445">
        <f t="shared" si="352"/>
        <v>174.29999999999998</v>
      </c>
      <c r="BO445">
        <f t="shared" si="353"/>
        <v>186.9</v>
      </c>
      <c r="BP445" s="2" t="str">
        <f>VLOOKUP(A445,'[7]Table 2'!$J$2:$N$449,5,FALSE)</f>
        <v>Bid Awarded</v>
      </c>
      <c r="BR445">
        <f t="shared" si="333"/>
        <v>369.80880871804044</v>
      </c>
      <c r="BT445">
        <f>(X445*I445*365*[5]Analysis!BK445)/10^4</f>
        <v>140.99633571025129</v>
      </c>
      <c r="BV445">
        <f>(X445*I445*365*[5]Analysis!BL445)/10^4</f>
        <v>228.81247300778915</v>
      </c>
      <c r="BX445">
        <f t="shared" si="334"/>
        <v>997245.07976182981</v>
      </c>
      <c r="BZ445">
        <f t="shared" si="335"/>
        <v>6020182.7043968858</v>
      </c>
      <c r="CB445">
        <f t="shared" si="336"/>
        <v>-200024.76566390871</v>
      </c>
      <c r="CD445">
        <f t="shared" si="337"/>
        <v>0</v>
      </c>
      <c r="CF445">
        <f t="shared" si="338"/>
        <v>1992681.4666499086</v>
      </c>
      <c r="CH445">
        <f t="shared" si="339"/>
        <v>471870.16138356179</v>
      </c>
      <c r="CJ445">
        <f t="shared" si="340"/>
        <v>-386460.2327496658</v>
      </c>
      <c r="CL445">
        <f t="shared" si="341"/>
        <v>798735.10934597463</v>
      </c>
    </row>
    <row r="446" spans="1:90" x14ac:dyDescent="0.2">
      <c r="A446" s="2" t="s">
        <v>350</v>
      </c>
      <c r="B446" s="2" t="str">
        <f t="shared" si="348"/>
        <v>RAICHUR TPS</v>
      </c>
      <c r="C446" s="2" t="str">
        <f>VLOOKUP($A446,'[1]daily coal, energy reqd'!$C$2:$T$599,17,FALSE)</f>
        <v>Karnataka</v>
      </c>
      <c r="D446" s="2" t="str">
        <f>VLOOKUP(C446,'Target PLF'!$I$2:$J$19,2,FALSE)</f>
        <v>SR</v>
      </c>
      <c r="E446" s="2" t="str">
        <f>VLOOKUP(A446,[2]Ownership!$C$2:$D$666,2,FALSE)</f>
        <v>STATE SECTOR</v>
      </c>
      <c r="F446" s="2" t="s">
        <v>545</v>
      </c>
      <c r="G446" s="12">
        <v>17.423682409308601</v>
      </c>
      <c r="H446" s="2">
        <v>210</v>
      </c>
      <c r="I446" s="2">
        <f>VLOOKUP(A446,'[3]Calculated coal req (reg.)'!$A$2:$I$599,9,FALSE)</f>
        <v>2.4431077899606199</v>
      </c>
      <c r="J446" s="2"/>
      <c r="K446" s="11">
        <v>0.48474360911917058</v>
      </c>
      <c r="L446" s="3">
        <f>VLOOKUP(F446,'Target PLF'!$A$2:$B$11,2,FALSE)</f>
        <v>0.75</v>
      </c>
      <c r="M446" s="3">
        <f t="shared" si="329"/>
        <v>0.26525639088082942</v>
      </c>
      <c r="N446" s="2" t="str">
        <f t="shared" si="312"/>
        <v>0.25</v>
      </c>
      <c r="O446" s="2">
        <f t="shared" si="349"/>
        <v>9.6232821470726044</v>
      </c>
      <c r="P446" s="2">
        <f t="shared" si="313"/>
        <v>737624.57657311508</v>
      </c>
      <c r="Q446" s="2">
        <f t="shared" si="314"/>
        <v>14.705203890314849</v>
      </c>
      <c r="R446" s="2">
        <f t="shared" si="315"/>
        <v>3.78</v>
      </c>
      <c r="S446" s="2"/>
      <c r="T446" s="2" t="str">
        <f>VLOOKUP(A446,'[4]CEA vs MERIT comp. &amp; NPA marker'!$C$2:$K$735,9,FALSE)</f>
        <v>Contracted</v>
      </c>
      <c r="U446" s="3">
        <f>VLOOKUP(B446,'[8]Import-Domestic share'!$A$208:$F$406,6,FALSE)</f>
        <v>0</v>
      </c>
      <c r="V446" s="3">
        <f t="shared" si="316"/>
        <v>0</v>
      </c>
      <c r="W446" s="2">
        <f t="shared" si="317"/>
        <v>3108.6040071245716</v>
      </c>
      <c r="X446" s="2">
        <f t="shared" si="318"/>
        <v>3196.290130565716</v>
      </c>
      <c r="Y446" s="6">
        <f t="shared" si="319"/>
        <v>0.27665151239237179</v>
      </c>
      <c r="Z446" s="2"/>
      <c r="AA446" s="2">
        <f t="shared" si="320"/>
        <v>715700.41264703555</v>
      </c>
      <c r="AB446" s="2" t="s">
        <v>576</v>
      </c>
      <c r="AC446" s="12">
        <f>VLOOKUP(B446,[9]Sheet1!$A$2:$B$137,2,FALSE)</f>
        <v>3982.4507996977022</v>
      </c>
      <c r="AD446" s="12">
        <f t="shared" si="321"/>
        <v>836314.66793651751</v>
      </c>
      <c r="AE446" s="2"/>
      <c r="AF446" s="7">
        <f>VLOOKUP($B446,'[9]Subsidiary wise dispatch'!$A$3:$R$138,11,FALSE)*$H446*$O446*365</f>
        <v>0</v>
      </c>
      <c r="AG446" s="7">
        <f>VLOOKUP($B446,'[9]Subsidiary wise dispatch'!$A$3:$R$138,12,FALSE)*$H446*$O446*365</f>
        <v>0</v>
      </c>
      <c r="AH446" s="7">
        <f>VLOOKUP($B446,'[9]Subsidiary wise dispatch'!$A$3:$R$138,13,FALSE)*$H446*$O446*365</f>
        <v>0</v>
      </c>
      <c r="AI446" s="7">
        <f>VLOOKUP($B446,'[9]Subsidiary wise dispatch'!$A$3:$R$138,14,FALSE)*$H446*$O446*365</f>
        <v>484202.01959399285</v>
      </c>
      <c r="AJ446" s="7">
        <f>VLOOKUP($B446,'[9]Subsidiary wise dispatch'!$A$3:$R$138,15,FALSE)*$H446*$O446*365</f>
        <v>0</v>
      </c>
      <c r="AK446" s="7">
        <f>VLOOKUP($B446,'[9]Subsidiary wise dispatch'!$A$3:$R$138,16,FALSE)*$H446*$O446*365</f>
        <v>0</v>
      </c>
      <c r="AL446" s="7">
        <f>VLOOKUP($B446,'[9]Subsidiary wise dispatch'!$A$3:$R$138,17,FALSE)*$H446*$O446*365</f>
        <v>0</v>
      </c>
      <c r="AM446" s="7">
        <f>VLOOKUP($B446,'[9]Subsidiary wise dispatch'!$A$3:$R$138,18,FALSE)*$H446*$O446*365</f>
        <v>253422.55697912231</v>
      </c>
      <c r="AN446" s="15">
        <f t="shared" si="322"/>
        <v>737624.57657311519</v>
      </c>
      <c r="AO446" s="6">
        <v>9.2407885740745169E-2</v>
      </c>
      <c r="AP446" s="11">
        <f t="shared" si="323"/>
        <v>0.22576242550700543</v>
      </c>
      <c r="AQ446" s="11"/>
      <c r="AR446" s="3">
        <f>VLOOKUP(A446,[10]Sheet1!$A$2:$L$542,12,FALSE)</f>
        <v>3.5867184035477</v>
      </c>
      <c r="AS446" s="3">
        <f t="shared" si="330"/>
        <v>3.2122316691667701</v>
      </c>
      <c r="AT446" s="2"/>
      <c r="AU446" s="2"/>
      <c r="AV446" s="88">
        <f t="shared" si="331"/>
        <v>0.19438518836528942</v>
      </c>
      <c r="AW446" s="32">
        <f t="shared" si="332"/>
        <v>6.0514062616072631E-2</v>
      </c>
      <c r="AX446" s="12">
        <f t="shared" si="324"/>
        <v>286.44572981463324</v>
      </c>
      <c r="AY446" s="12">
        <f t="shared" si="325"/>
        <v>0</v>
      </c>
      <c r="AZ446" s="3">
        <f>VLOOKUP(A446,[5]Analysis!$A$3:$BJ$543,62,FALSE)</f>
        <v>1.041373088663174</v>
      </c>
      <c r="BA446" s="2"/>
      <c r="BB446" s="2"/>
      <c r="BC446" s="2" t="str">
        <f>VLOOKUP(A446,'[6]FGD status - Jun 2020'!$I$2:$M$449,5,FALSE)</f>
        <v>Bid opened</v>
      </c>
      <c r="BD446" s="2" t="str">
        <f>VLOOKUP(A446,'[1]daily coal, energy reqd'!$C$2:$L$599,10,FALSE)</f>
        <v>Y</v>
      </c>
      <c r="BE446" s="2"/>
      <c r="BF446" s="2">
        <f t="shared" si="326"/>
        <v>221.50927771425754</v>
      </c>
      <c r="BG446" s="2">
        <f t="shared" si="327"/>
        <v>0</v>
      </c>
      <c r="BH446" s="2">
        <f t="shared" si="350"/>
        <v>31.5</v>
      </c>
      <c r="BI446" s="2">
        <f t="shared" si="351"/>
        <v>16.8</v>
      </c>
      <c r="BK446">
        <f t="shared" si="328"/>
        <v>101.79615791502582</v>
      </c>
      <c r="BL446">
        <f>VLOOKUP(A446,'[11]Daily coal vs energy req.2'!$C$2:$P$599,14,FALSE)</f>
        <v>0.92</v>
      </c>
      <c r="BM446">
        <f>VLOOKUP(A446,'[11]Daily coal vs energy req.2'!$C$2:$R$599,16,FALSE)</f>
        <v>0.95</v>
      </c>
      <c r="BN446">
        <f t="shared" si="352"/>
        <v>193.20000000000002</v>
      </c>
      <c r="BO446">
        <f t="shared" si="353"/>
        <v>199.5</v>
      </c>
      <c r="BP446" s="2" t="str">
        <f>VLOOKUP(A446,'[7]Table 2'!$J$2:$N$449,5,FALSE)</f>
        <v>Bid Awarded</v>
      </c>
      <c r="BR446">
        <f t="shared" si="333"/>
        <v>296.81649824568296</v>
      </c>
      <c r="BT446">
        <f>(X446*I446*365*[5]Analysis!BK446)/10^4</f>
        <v>113.16668950116318</v>
      </c>
      <c r="BV446">
        <f>(X446*I446*365*[5]Analysis!BL446)/10^4</f>
        <v>183.64980874451982</v>
      </c>
      <c r="BX446">
        <f t="shared" si="334"/>
        <v>800410.33498833317</v>
      </c>
      <c r="BZ446">
        <f t="shared" si="335"/>
        <v>4810510.0593317421</v>
      </c>
      <c r="CB446">
        <f t="shared" si="336"/>
        <v>-127716.4037584996</v>
      </c>
      <c r="CD446">
        <f t="shared" si="337"/>
        <v>0</v>
      </c>
      <c r="CF446">
        <f t="shared" si="338"/>
        <v>1592279.6219061995</v>
      </c>
      <c r="CH446">
        <f t="shared" si="339"/>
        <v>315194.2689614722</v>
      </c>
      <c r="CJ446">
        <f t="shared" si="340"/>
        <v>-308806.38154323242</v>
      </c>
      <c r="CL446">
        <f t="shared" si="341"/>
        <v>638240.31045502645</v>
      </c>
    </row>
    <row r="447" spans="1:90" x14ac:dyDescent="0.2">
      <c r="A447" s="2" t="s">
        <v>529</v>
      </c>
      <c r="B447" s="2" t="str">
        <f t="shared" si="348"/>
        <v>RAMAGUNDEM - B TPS</v>
      </c>
      <c r="C447" s="2" t="str">
        <f>VLOOKUP($A447,'[1]daily coal, energy reqd'!$C$2:$T$599,17,FALSE)</f>
        <v>Telangana</v>
      </c>
      <c r="D447" s="2" t="str">
        <f>VLOOKUP(C447,'Target PLF'!$I$2:$J$19,2,FALSE)</f>
        <v>SR</v>
      </c>
      <c r="E447" s="2" t="str">
        <f>VLOOKUP(A447,[2]Ownership!$C$2:$D$666,2,FALSE)</f>
        <v>STATE SECTOR</v>
      </c>
      <c r="F447" s="2" t="s">
        <v>551</v>
      </c>
      <c r="G447" s="12">
        <v>48.591375770020498</v>
      </c>
      <c r="H447" s="2">
        <v>62.5</v>
      </c>
      <c r="I447" s="2">
        <f>VLOOKUP(A447,'[3]Calculated coal req (reg.)'!$A$2:$I$599,9,FALSE)</f>
        <v>1.1568389188869399</v>
      </c>
      <c r="J447" s="2"/>
      <c r="K447" s="11">
        <v>9.6403243240578321E-2</v>
      </c>
      <c r="L447" s="3">
        <f>VLOOKUP(F447,'Target PLF'!$A$2:$B$11,2,FALSE)</f>
        <v>0.55000000000000004</v>
      </c>
      <c r="M447" s="3">
        <f t="shared" si="329"/>
        <v>0.45359675675942174</v>
      </c>
      <c r="N447" s="2" t="str">
        <f t="shared" si="312"/>
        <v>0.25</v>
      </c>
      <c r="O447" s="2">
        <f t="shared" si="349"/>
        <v>5.9755880716945384</v>
      </c>
      <c r="P447" s="2">
        <f t="shared" si="313"/>
        <v>136318.10288553167</v>
      </c>
      <c r="Q447" s="2">
        <f t="shared" si="314"/>
        <v>16.460605827515401</v>
      </c>
      <c r="R447" s="2">
        <f t="shared" si="315"/>
        <v>0.82500000000000007</v>
      </c>
      <c r="S447" s="2"/>
      <c r="T447" s="2" t="str">
        <f>VLOOKUP(A447,'[4]CEA vs MERIT comp. &amp; NPA marker'!$C$2:$K$735,9,FALSE)</f>
        <v>Contracted</v>
      </c>
      <c r="U447" s="3">
        <f>VLOOKUP(B447,'[8]Import-Domestic share'!$A$208:$F$406,6,FALSE)</f>
        <v>0</v>
      </c>
      <c r="V447" s="3">
        <f t="shared" si="316"/>
        <v>0</v>
      </c>
      <c r="W447" s="2">
        <f t="shared" si="317"/>
        <v>3549.4031507017453</v>
      </c>
      <c r="X447" s="2">
        <f t="shared" si="318"/>
        <v>3699.3491748998154</v>
      </c>
      <c r="Y447" s="6">
        <f t="shared" si="319"/>
        <v>0.24229425722743586</v>
      </c>
      <c r="Z447" s="2"/>
      <c r="AA447" s="2">
        <f t="shared" si="320"/>
        <v>364450.80530281953</v>
      </c>
      <c r="AB447" s="2" t="s">
        <v>576</v>
      </c>
      <c r="AC447" s="12"/>
      <c r="AD447" s="12">
        <f t="shared" si="321"/>
        <v>0</v>
      </c>
      <c r="AE447" s="2"/>
      <c r="AF447" s="7"/>
      <c r="AG447" s="7"/>
      <c r="AH447" s="7"/>
      <c r="AI447" s="7"/>
      <c r="AJ447" s="7"/>
      <c r="AK447" s="7"/>
      <c r="AL447" s="7"/>
      <c r="AM447" s="7"/>
      <c r="AN447" s="15">
        <f t="shared" si="322"/>
        <v>0</v>
      </c>
      <c r="AO447" s="6">
        <v>0.11094719987198574</v>
      </c>
      <c r="AP447" s="11">
        <f t="shared" si="323"/>
        <v>0.12834803875344122</v>
      </c>
      <c r="AQ447" s="11"/>
      <c r="AR447" s="3">
        <f>VLOOKUP(A447,[10]Sheet1!$A$2:$L$542,12,FALSE)</f>
        <v>2.97927355278093</v>
      </c>
      <c r="AS447" s="3">
        <f t="shared" si="330"/>
        <v>2.8721967966283568</v>
      </c>
      <c r="AT447" s="2"/>
      <c r="AU447" s="2"/>
      <c r="AV447" s="88">
        <f t="shared" si="331"/>
        <v>0.33240477528843942</v>
      </c>
      <c r="AW447" s="32">
        <f t="shared" si="332"/>
        <v>0.11573189402573184</v>
      </c>
      <c r="AX447" s="12">
        <f t="shared" si="324"/>
        <v>121.27741985203593</v>
      </c>
      <c r="AY447" s="12">
        <f t="shared" si="325"/>
        <v>0</v>
      </c>
      <c r="AZ447" s="3">
        <f>VLOOKUP(A447,[5]Analysis!$A$3:$BJ$543,62,FALSE)</f>
        <v>0.63753483267378941</v>
      </c>
      <c r="BA447" s="2"/>
      <c r="BB447" s="2"/>
      <c r="BC447" s="2" t="e">
        <f>VLOOKUP(A447,'[6]FGD status - Jun 2020'!$I$2:$M$449,5,FALSE)</f>
        <v>#N/A</v>
      </c>
      <c r="BD447" s="2" t="str">
        <f>VLOOKUP(A447,'[1]daily coal, energy reqd'!$C$2:$L$599,10,FALSE)</f>
        <v>Y</v>
      </c>
      <c r="BE447" s="2"/>
      <c r="BF447" s="2">
        <f t="shared" si="326"/>
        <v>112.79752424122265</v>
      </c>
      <c r="BG447" s="2">
        <f t="shared" si="327"/>
        <v>0</v>
      </c>
      <c r="BH447" s="2"/>
      <c r="BI447" s="2"/>
      <c r="BK447">
        <f t="shared" si="328"/>
        <v>6.025202702536145</v>
      </c>
      <c r="BP447" s="2" t="e">
        <f>VLOOKUP(A447,'[7]Table 2'!$J$2:$N$449,5,FALSE)</f>
        <v>#N/A</v>
      </c>
      <c r="BR447">
        <f t="shared" si="333"/>
        <v>99.585245649473976</v>
      </c>
      <c r="BT447">
        <f>(X447*I447*365*[5]Analysis!BK447)/10^4</f>
        <v>58.701282289928812</v>
      </c>
      <c r="BV447">
        <f>(X447*I447*365*[5]Analysis!BL447)/10^4</f>
        <v>40.883963359545163</v>
      </c>
      <c r="BX447">
        <f t="shared" si="334"/>
        <v>438653.98775783053</v>
      </c>
      <c r="BZ447">
        <f t="shared" si="335"/>
        <v>1394501.4086507505</v>
      </c>
      <c r="CB447">
        <f t="shared" si="336"/>
        <v>-12026.977443544576</v>
      </c>
      <c r="CD447">
        <f t="shared" si="337"/>
        <v>0</v>
      </c>
      <c r="CF447">
        <f t="shared" si="338"/>
        <v>753962.24593159033</v>
      </c>
      <c r="CH447">
        <f t="shared" si="339"/>
        <v>416224.67591210332</v>
      </c>
      <c r="CJ447">
        <f t="shared" si="340"/>
        <v>-43518.834079878077</v>
      </c>
      <c r="CL447">
        <f t="shared" si="341"/>
        <v>362845.55286968348</v>
      </c>
    </row>
    <row r="448" spans="1:90" x14ac:dyDescent="0.2">
      <c r="A448" s="2" t="s">
        <v>482</v>
      </c>
      <c r="B448" s="2" t="str">
        <f t="shared" si="348"/>
        <v>RAMAGUNDEM STPS</v>
      </c>
      <c r="C448" s="2" t="str">
        <f>VLOOKUP($A448,'[1]daily coal, energy reqd'!$C$2:$T$599,17,FALSE)</f>
        <v>Telangana</v>
      </c>
      <c r="D448" s="2" t="str">
        <f>VLOOKUP(C448,'Target PLF'!$I$2:$J$19,2,FALSE)</f>
        <v>SR</v>
      </c>
      <c r="E448" s="2" t="str">
        <f>VLOOKUP(A448,[2]Ownership!$C$2:$D$666,2,FALSE)</f>
        <v>CENTRAL SECTOR</v>
      </c>
      <c r="F448" s="2" t="s">
        <v>549</v>
      </c>
      <c r="G448" s="12">
        <v>36.591375770020498</v>
      </c>
      <c r="H448" s="2">
        <v>200</v>
      </c>
      <c r="I448" s="2">
        <f>VLOOKUP(A448,'[3]Calculated coal req (reg.)'!$A$2:$I$599,9,FALSE)</f>
        <v>3.6967970046082899</v>
      </c>
      <c r="J448" s="2"/>
      <c r="K448" s="11">
        <v>0.77016604262672705</v>
      </c>
      <c r="L448" s="3">
        <f>VLOOKUP(F448,'Target PLF'!$A$2:$B$11,2,FALSE)</f>
        <v>0.55000000000000004</v>
      </c>
      <c r="M448" s="3">
        <f t="shared" si="329"/>
        <v>-0.22016604262672701</v>
      </c>
      <c r="N448" s="2" t="str">
        <f t="shared" si="312"/>
        <v>0.25</v>
      </c>
      <c r="O448" s="2">
        <f t="shared" si="349"/>
        <v>14.25366577839384</v>
      </c>
      <c r="P448" s="2">
        <f t="shared" si="313"/>
        <v>1040517.6018227503</v>
      </c>
      <c r="Q448" s="2">
        <f t="shared" si="314"/>
        <v>15.364419577515399</v>
      </c>
      <c r="R448" s="2">
        <f t="shared" si="315"/>
        <v>2.64</v>
      </c>
      <c r="S448" s="2"/>
      <c r="T448" s="2" t="str">
        <f>VLOOKUP(A448,'[4]CEA vs MERIT comp. &amp; NPA marker'!$C$2:$K$735,9,FALSE)</f>
        <v>Contracted</v>
      </c>
      <c r="U448" s="3">
        <f>VLOOKUP(B448,'[8]Import-Domestic share'!$A$208:$F$406,6,FALSE)</f>
        <v>0</v>
      </c>
      <c r="V448" s="3">
        <f t="shared" si="316"/>
        <v>0</v>
      </c>
      <c r="W448" s="2">
        <f t="shared" si="317"/>
        <v>3330.4271404517453</v>
      </c>
      <c r="X448" s="2">
        <f t="shared" si="318"/>
        <v>3257.6465875413769</v>
      </c>
      <c r="Y448" s="6">
        <f t="shared" si="319"/>
        <v>0.2582251356152917</v>
      </c>
      <c r="Z448" s="2"/>
      <c r="AA448" s="2">
        <f t="shared" si="320"/>
        <v>1025581.7133963634</v>
      </c>
      <c r="AB448" s="2" t="s">
        <v>576</v>
      </c>
      <c r="AC448" s="12"/>
      <c r="AD448" s="12">
        <f t="shared" si="321"/>
        <v>0</v>
      </c>
      <c r="AE448" s="2" t="s">
        <v>589</v>
      </c>
      <c r="AF448" s="7"/>
      <c r="AG448" s="7"/>
      <c r="AH448" s="7"/>
      <c r="AI448" s="7"/>
      <c r="AJ448" s="7"/>
      <c r="AK448" s="7"/>
      <c r="AL448" s="7"/>
      <c r="AM448" s="7"/>
      <c r="AN448" s="15">
        <f t="shared" si="322"/>
        <v>0</v>
      </c>
      <c r="AO448" s="6">
        <v>6.1716058959159902E-2</v>
      </c>
      <c r="AP448" s="11">
        <f t="shared" si="323"/>
        <v>0.22815174189645093</v>
      </c>
      <c r="AQ448" s="11"/>
      <c r="AR448" s="3">
        <f>VLOOKUP(A448,[10]Sheet1!$A$2:$L$542,12,FALSE)</f>
        <v>2.5167695715852698</v>
      </c>
      <c r="AS448" s="3">
        <f t="shared" si="330"/>
        <v>2.3689450287904577</v>
      </c>
      <c r="AT448" s="2"/>
      <c r="AU448" s="2"/>
      <c r="AV448" s="88">
        <f t="shared" si="331"/>
        <v>-0.1613420793577181</v>
      </c>
      <c r="AW448" s="32">
        <f t="shared" si="332"/>
        <v>6.8107143642795534E-2</v>
      </c>
      <c r="AX448" s="12">
        <f t="shared" si="324"/>
        <v>319.64907435777059</v>
      </c>
      <c r="AY448" s="12">
        <f t="shared" si="325"/>
        <v>0</v>
      </c>
      <c r="AZ448" s="3">
        <f>VLOOKUP(A448,[5]Analysis!$A$3:$BJ$543,62,FALSE)</f>
        <v>0.55969234867751261</v>
      </c>
      <c r="BA448" s="39"/>
      <c r="BB448" s="2"/>
      <c r="BC448" s="2" t="str">
        <f>VLOOKUP(A448,'[6]FGD status - Jun 2020'!$I$2:$M$449,5,FALSE)</f>
        <v>Bid Awarded</v>
      </c>
      <c r="BD448" s="2">
        <f>VLOOKUP(A448,'[1]daily coal, energy reqd'!$C$2:$L$599,10,FALSE)</f>
        <v>0</v>
      </c>
      <c r="BE448" s="2" t="str">
        <f>VLOOKUP(A448,'[1]daily coal, energy reqd'!$C$2:$M$599,11,FALSE)</f>
        <v>Y</v>
      </c>
      <c r="BF448" s="2">
        <f t="shared" si="326"/>
        <v>317.41754029617448</v>
      </c>
      <c r="BG448" s="2">
        <f t="shared" si="327"/>
        <v>0</v>
      </c>
      <c r="BH448" s="2">
        <f>IF(G448&lt;17,IF(H448&gt;400,H448*5000000,H448*3500000),H448*1500000)/10^7</f>
        <v>30</v>
      </c>
      <c r="BI448" s="2">
        <f>(H448*800000)/10^7</f>
        <v>16</v>
      </c>
      <c r="BK448">
        <f t="shared" si="328"/>
        <v>154.0332085253454</v>
      </c>
      <c r="BL448">
        <f>VLOOKUP(A448,'[11]Daily coal vs energy req.2'!$C$2:$P$599,14,FALSE)</f>
        <v>1.03</v>
      </c>
      <c r="BM448">
        <f>VLOOKUP(A448,'[11]Daily coal vs energy req.2'!$C$2:$R$599,16,FALSE)</f>
        <v>1</v>
      </c>
      <c r="BN448">
        <f>BL448*H448</f>
        <v>206</v>
      </c>
      <c r="BO448">
        <f>BM448*H448</f>
        <v>200</v>
      </c>
      <c r="BP448" s="2" t="str">
        <f>VLOOKUP(A448,'[7]Table 2'!$J$2:$N$449,5,FALSE)</f>
        <v>Bid Awarded</v>
      </c>
      <c r="BR448">
        <f t="shared" si="333"/>
        <v>246.02078797744872</v>
      </c>
      <c r="BT448">
        <f>(X448*I448*365*[5]Analysis!BK448)/10^4</f>
        <v>165.18817023726038</v>
      </c>
      <c r="BV448">
        <f>(X448*I448*365*[5]Analysis!BL448)/10^4</f>
        <v>80.832617740188297</v>
      </c>
      <c r="BX448">
        <f t="shared" si="334"/>
        <v>1234392.9600567764</v>
      </c>
      <c r="BZ448">
        <f t="shared" si="335"/>
        <v>3912164.6255596648</v>
      </c>
      <c r="CB448">
        <f t="shared" si="336"/>
        <v>-307044.92993826751</v>
      </c>
      <c r="CD448">
        <f t="shared" si="337"/>
        <v>0</v>
      </c>
      <c r="CF448">
        <f t="shared" si="338"/>
        <v>2409363.4185729227</v>
      </c>
      <c r="CH448">
        <f t="shared" si="339"/>
        <v>1001613.2927217352</v>
      </c>
      <c r="CJ448">
        <f t="shared" si="340"/>
        <v>-445020.42341474601</v>
      </c>
      <c r="CL448">
        <f t="shared" si="341"/>
        <v>644995.01301791018</v>
      </c>
    </row>
    <row r="449" spans="1:90" x14ac:dyDescent="0.2">
      <c r="A449" s="2" t="s">
        <v>476</v>
      </c>
      <c r="B449" s="2" t="str">
        <f t="shared" si="348"/>
        <v>RAMAGUNDEM STPS</v>
      </c>
      <c r="C449" s="2" t="str">
        <f>VLOOKUP($A449,'[1]daily coal, energy reqd'!$C$2:$T$599,17,FALSE)</f>
        <v>Telangana</v>
      </c>
      <c r="D449" s="2" t="str">
        <f>VLOOKUP(C449,'Target PLF'!$I$2:$J$19,2,FALSE)</f>
        <v>SR</v>
      </c>
      <c r="E449" s="2" t="str">
        <f>VLOOKUP(A449,[2]Ownership!$C$2:$D$666,2,FALSE)</f>
        <v>CENTRAL SECTOR</v>
      </c>
      <c r="F449" s="2" t="s">
        <v>549</v>
      </c>
      <c r="G449" s="12">
        <v>36.008213552361397</v>
      </c>
      <c r="H449" s="2">
        <v>200</v>
      </c>
      <c r="I449" s="2">
        <f>VLOOKUP(A449,'[3]Calculated coal req (reg.)'!$A$2:$I$599,9,FALSE)</f>
        <v>3.9101286725820898</v>
      </c>
      <c r="J449" s="2"/>
      <c r="K449" s="11">
        <v>0.81461014012126876</v>
      </c>
      <c r="L449" s="3">
        <f>VLOOKUP(F449,'Target PLF'!$A$2:$B$11,2,FALSE)</f>
        <v>0.55000000000000004</v>
      </c>
      <c r="M449" s="3">
        <f t="shared" si="329"/>
        <v>-0.26461014012126871</v>
      </c>
      <c r="N449" s="2" t="str">
        <f t="shared" si="312"/>
        <v>0.25</v>
      </c>
      <c r="O449" s="2">
        <f t="shared" si="349"/>
        <v>14.853558176820295</v>
      </c>
      <c r="P449" s="2">
        <f t="shared" si="313"/>
        <v>1084309.7469078815</v>
      </c>
      <c r="Q449" s="2">
        <f t="shared" si="314"/>
        <v>15.345947914271047</v>
      </c>
      <c r="R449" s="2">
        <f t="shared" si="315"/>
        <v>2.64</v>
      </c>
      <c r="S449" s="2"/>
      <c r="T449" s="2" t="str">
        <f>VLOOKUP(A449,'[4]CEA vs MERIT comp. &amp; NPA marker'!$C$2:$K$735,9,FALSE)</f>
        <v>Contracted</v>
      </c>
      <c r="U449" s="3">
        <f>VLOOKUP(B449,'[8]Import-Domestic share'!$A$208:$F$406,6,FALSE)</f>
        <v>0</v>
      </c>
      <c r="V449" s="3">
        <f t="shared" si="316"/>
        <v>0</v>
      </c>
      <c r="W449" s="2">
        <f t="shared" si="317"/>
        <v>3325.9714679507188</v>
      </c>
      <c r="X449" s="2">
        <f t="shared" si="318"/>
        <v>3238.4989763986628</v>
      </c>
      <c r="Y449" s="6">
        <f t="shared" si="319"/>
        <v>0.25857106962191856</v>
      </c>
      <c r="Z449" s="2"/>
      <c r="AA449" s="2">
        <f t="shared" si="320"/>
        <v>1078389.1534919781</v>
      </c>
      <c r="AB449" s="2" t="s">
        <v>576</v>
      </c>
      <c r="AC449" s="12"/>
      <c r="AD449" s="12">
        <f t="shared" si="321"/>
        <v>0</v>
      </c>
      <c r="AE449" s="2" t="s">
        <v>589</v>
      </c>
      <c r="AF449" s="7"/>
      <c r="AG449" s="7"/>
      <c r="AH449" s="7"/>
      <c r="AI449" s="7"/>
      <c r="AJ449" s="7"/>
      <c r="AK449" s="7"/>
      <c r="AL449" s="7"/>
      <c r="AM449" s="7"/>
      <c r="AN449" s="15">
        <f t="shared" si="322"/>
        <v>0</v>
      </c>
      <c r="AO449" s="6">
        <v>6.1716058959159902E-2</v>
      </c>
      <c r="AP449" s="11">
        <f t="shared" si="323"/>
        <v>0.24131773169497789</v>
      </c>
      <c r="AQ449" s="11"/>
      <c r="AR449" s="3">
        <f>VLOOKUP(A449,[10]Sheet1!$A$2:$L$542,12,FALSE)</f>
        <v>2.5167695715852698</v>
      </c>
      <c r="AS449" s="3">
        <f t="shared" si="330"/>
        <v>2.3626643740076729</v>
      </c>
      <c r="AT449" s="2"/>
      <c r="AU449" s="2"/>
      <c r="AV449" s="88">
        <f t="shared" si="331"/>
        <v>-0.19391160288366815</v>
      </c>
      <c r="AW449" s="32">
        <f t="shared" si="332"/>
        <v>8.207327499281894E-2</v>
      </c>
      <c r="AX449" s="12">
        <f t="shared" si="324"/>
        <v>337.19874250609007</v>
      </c>
      <c r="AY449" s="12">
        <f t="shared" si="325"/>
        <v>0</v>
      </c>
      <c r="AZ449" s="3">
        <f>VLOOKUP(A449,[5]Analysis!$A$3:$BJ$543,62,FALSE)</f>
        <v>0.55969234867751261</v>
      </c>
      <c r="BA449" s="39"/>
      <c r="BB449" s="2"/>
      <c r="BC449" s="2" t="str">
        <f>VLOOKUP(A449,'[6]FGD status - Jun 2020'!$I$2:$M$449,5,FALSE)</f>
        <v>Bid Awarded</v>
      </c>
      <c r="BD449" s="2">
        <f>VLOOKUP(A449,'[1]daily coal, energy reqd'!$C$2:$L$599,10,FALSE)</f>
        <v>0</v>
      </c>
      <c r="BE449" s="2" t="str">
        <f>VLOOKUP(A449,'[1]daily coal, energy reqd'!$C$2:$M$599,11,FALSE)</f>
        <v>Y</v>
      </c>
      <c r="BF449" s="2">
        <f t="shared" si="326"/>
        <v>333.76144300576721</v>
      </c>
      <c r="BG449" s="2">
        <f t="shared" si="327"/>
        <v>0</v>
      </c>
      <c r="BH449" s="2">
        <f>IF(G449&lt;17,IF(H449&gt;400,H449*5000000,H449*3500000),H449*1500000)/10^7</f>
        <v>30</v>
      </c>
      <c r="BI449" s="2">
        <f>(H449*800000)/10^7</f>
        <v>16</v>
      </c>
      <c r="BK449">
        <f t="shared" si="328"/>
        <v>162.92202802425376</v>
      </c>
      <c r="BL449">
        <f>VLOOKUP(A449,'[11]Daily coal vs energy req.2'!$C$2:$P$599,14,FALSE)</f>
        <v>0.93</v>
      </c>
      <c r="BM449">
        <f>VLOOKUP(A449,'[11]Daily coal vs energy req.2'!$C$2:$R$599,16,FALSE)</f>
        <v>1</v>
      </c>
      <c r="BN449">
        <f>BL449*H449</f>
        <v>186</v>
      </c>
      <c r="BO449">
        <f>BM449*H449</f>
        <v>200</v>
      </c>
      <c r="BP449" s="2" t="str">
        <f>VLOOKUP(A449,'[7]Table 2'!$J$2:$N$449,5,FALSE)</f>
        <v>Bid Awarded</v>
      </c>
      <c r="BR449">
        <f t="shared" si="333"/>
        <v>258.68845536435157</v>
      </c>
      <c r="BT449">
        <f>(X449*I449*365*[5]Analysis!BK449)/10^4</f>
        <v>173.6937474042131</v>
      </c>
      <c r="BV449">
        <f>(X449*I449*365*[5]Analysis!BL449)/10^4</f>
        <v>84.994707960138442</v>
      </c>
      <c r="BX449">
        <f t="shared" si="334"/>
        <v>1297952.1396337764</v>
      </c>
      <c r="BZ449">
        <f t="shared" si="335"/>
        <v>4137924.5479785511</v>
      </c>
      <c r="CB449">
        <f t="shared" si="336"/>
        <v>-343504.80913020228</v>
      </c>
      <c r="CD449">
        <f t="shared" si="337"/>
        <v>0</v>
      </c>
      <c r="CF449">
        <f t="shared" si="338"/>
        <v>2548400.9465190056</v>
      </c>
      <c r="CH449">
        <f t="shared" si="339"/>
        <v>1042529.5224878179</v>
      </c>
      <c r="CJ449">
        <f t="shared" si="340"/>
        <v>-470701.28960543207</v>
      </c>
      <c r="CL449">
        <f t="shared" si="341"/>
        <v>682215.84548189712</v>
      </c>
    </row>
    <row r="450" spans="1:90" x14ac:dyDescent="0.2">
      <c r="A450" s="2" t="s">
        <v>470</v>
      </c>
      <c r="B450" s="2" t="str">
        <f t="shared" si="348"/>
        <v>RAMAGUNDEM STPS</v>
      </c>
      <c r="C450" s="2" t="str">
        <f>VLOOKUP($A450,'[1]daily coal, energy reqd'!$C$2:$T$599,17,FALSE)</f>
        <v>Telangana</v>
      </c>
      <c r="D450" s="2" t="str">
        <f>VLOOKUP(C450,'Target PLF'!$I$2:$J$19,2,FALSE)</f>
        <v>SR</v>
      </c>
      <c r="E450" s="2" t="str">
        <f>VLOOKUP(A450,[2]Ownership!$C$2:$D$666,2,FALSE)</f>
        <v>CENTRAL SECTOR</v>
      </c>
      <c r="F450" s="2" t="s">
        <v>549</v>
      </c>
      <c r="G450" s="12">
        <v>35.422313483915097</v>
      </c>
      <c r="H450" s="2">
        <v>200</v>
      </c>
      <c r="I450" s="2">
        <f>VLOOKUP(A450,'[3]Calculated coal req (reg.)'!$A$2:$I$599,9,FALSE)</f>
        <v>4.0725975550577598</v>
      </c>
      <c r="J450" s="2"/>
      <c r="K450" s="11">
        <v>0.84845782397036662</v>
      </c>
      <c r="L450" s="3">
        <f>VLOOKUP(F450,'Target PLF'!$A$2:$B$11,2,FALSE)</f>
        <v>0.55000000000000004</v>
      </c>
      <c r="M450" s="3">
        <f t="shared" si="329"/>
        <v>-0.29845782397036658</v>
      </c>
      <c r="N450" s="2" t="str">
        <f t="shared" si="312"/>
        <v>0.25</v>
      </c>
      <c r="O450" s="2">
        <f t="shared" si="349"/>
        <v>15.305932771849912</v>
      </c>
      <c r="P450" s="2">
        <f t="shared" si="313"/>
        <v>1117333.0923450436</v>
      </c>
      <c r="Q450" s="2">
        <f t="shared" si="314"/>
        <v>15.32738952960301</v>
      </c>
      <c r="R450" s="2">
        <f t="shared" si="315"/>
        <v>2.64</v>
      </c>
      <c r="S450" s="2"/>
      <c r="T450" s="2" t="str">
        <f>VLOOKUP(A450,'[4]CEA vs MERIT comp. &amp; NPA marker'!$C$2:$K$735,9,FALSE)</f>
        <v>Contracted</v>
      </c>
      <c r="U450" s="3">
        <f>VLOOKUP(B450,'[8]Import-Domestic share'!$A$208:$F$406,6,FALSE)</f>
        <v>0</v>
      </c>
      <c r="V450" s="3">
        <f t="shared" si="316"/>
        <v>0</v>
      </c>
      <c r="W450" s="2">
        <f t="shared" si="317"/>
        <v>3321.4948767994524</v>
      </c>
      <c r="X450" s="2">
        <f t="shared" si="318"/>
        <v>3222.8333157801794</v>
      </c>
      <c r="Y450" s="6">
        <f t="shared" si="319"/>
        <v>0.25891956239555736</v>
      </c>
      <c r="Z450" s="2"/>
      <c r="AA450" s="2">
        <f t="shared" si="320"/>
        <v>1117763.7949148025</v>
      </c>
      <c r="AB450" s="2" t="s">
        <v>576</v>
      </c>
      <c r="AC450" s="12"/>
      <c r="AD450" s="12">
        <f t="shared" si="321"/>
        <v>0</v>
      </c>
      <c r="AE450" s="2" t="s">
        <v>589</v>
      </c>
      <c r="AF450" s="7"/>
      <c r="AG450" s="7"/>
      <c r="AH450" s="7"/>
      <c r="AI450" s="7"/>
      <c r="AJ450" s="7"/>
      <c r="AK450" s="7"/>
      <c r="AL450" s="7"/>
      <c r="AM450" s="7"/>
      <c r="AN450" s="15">
        <f t="shared" si="322"/>
        <v>0</v>
      </c>
      <c r="AO450" s="6">
        <v>6.1716058959159902E-2</v>
      </c>
      <c r="AP450" s="11">
        <f t="shared" si="323"/>
        <v>0.25134467082487516</v>
      </c>
      <c r="AQ450" s="11"/>
      <c r="AR450" s="3">
        <f>VLOOKUP(A450,[10]Sheet1!$A$2:$L$542,12,FALSE)</f>
        <v>2.5167695715852698</v>
      </c>
      <c r="AS450" s="3">
        <f t="shared" si="330"/>
        <v>2.3567203467374678</v>
      </c>
      <c r="AT450" s="2"/>
      <c r="AU450" s="2"/>
      <c r="AV450" s="88">
        <f t="shared" si="331"/>
        <v>-0.21871586256196404</v>
      </c>
      <c r="AW450" s="32">
        <f t="shared" si="332"/>
        <v>9.28051827891858E-2</v>
      </c>
      <c r="AX450" s="12">
        <f t="shared" si="324"/>
        <v>350.32603355584286</v>
      </c>
      <c r="AY450" s="12">
        <f t="shared" si="325"/>
        <v>0</v>
      </c>
      <c r="AZ450" s="3">
        <f>VLOOKUP(A450,[5]Analysis!$A$3:$BJ$543,62,FALSE)</f>
        <v>0.55969234867751261</v>
      </c>
      <c r="BA450" s="39"/>
      <c r="BB450" s="2"/>
      <c r="BC450" s="2" t="str">
        <f>VLOOKUP(A450,'[6]FGD status - Jun 2020'!$I$2:$M$449,5,FALSE)</f>
        <v>Bid Awarded</v>
      </c>
      <c r="BD450" s="2">
        <f>VLOOKUP(A450,'[1]daily coal, energy reqd'!$C$2:$L$599,10,FALSE)</f>
        <v>0</v>
      </c>
      <c r="BE450" s="2" t="str">
        <f>VLOOKUP(A450,'[1]daily coal, energy reqd'!$C$2:$M$599,11,FALSE)</f>
        <v>Y</v>
      </c>
      <c r="BF450" s="2">
        <f t="shared" si="326"/>
        <v>345.94789452613139</v>
      </c>
      <c r="BG450" s="2">
        <f t="shared" si="327"/>
        <v>0</v>
      </c>
      <c r="BH450" s="2">
        <f>IF(G450&lt;17,IF(H450&gt;400,H450*5000000,H450*3500000),H450*1500000)/10^7</f>
        <v>30</v>
      </c>
      <c r="BI450" s="2">
        <f>(H450*800000)/10^7</f>
        <v>16</v>
      </c>
      <c r="BK450">
        <f t="shared" si="328"/>
        <v>169.69156479407332</v>
      </c>
      <c r="BL450">
        <f>VLOOKUP(A450,'[11]Daily coal vs energy req.2'!$C$2:$P$599,14,FALSE)</f>
        <v>0.77</v>
      </c>
      <c r="BM450">
        <f>VLOOKUP(A450,'[11]Daily coal vs energy req.2'!$C$2:$R$599,16,FALSE)</f>
        <v>0.83</v>
      </c>
      <c r="BN450">
        <f>BL450*H450</f>
        <v>154</v>
      </c>
      <c r="BO450">
        <f>BM450*H450</f>
        <v>166</v>
      </c>
      <c r="BP450" s="2" t="str">
        <f>VLOOKUP(A450,'[7]Table 2'!$J$2:$N$449,5,FALSE)</f>
        <v>Bid Awarded</v>
      </c>
      <c r="BR450">
        <f t="shared" si="333"/>
        <v>268.13380738519925</v>
      </c>
      <c r="BT450">
        <f>(X450*I450*365*[5]Analysis!BK450)/10^4</f>
        <v>180.03573350383351</v>
      </c>
      <c r="BV450">
        <f>(X450*I450*365*[5]Analysis!BL450)/10^4</f>
        <v>88.098073881365721</v>
      </c>
      <c r="BX450">
        <f t="shared" si="334"/>
        <v>1345343.5659260177</v>
      </c>
      <c r="BZ450">
        <f t="shared" si="335"/>
        <v>4309858.525955488</v>
      </c>
      <c r="CB450">
        <f t="shared" si="336"/>
        <v>-372643.64194316795</v>
      </c>
      <c r="CD450">
        <f t="shared" si="337"/>
        <v>0</v>
      </c>
      <c r="CF450">
        <f t="shared" si="338"/>
        <v>2654288.9846247872</v>
      </c>
      <c r="CH450">
        <f t="shared" si="339"/>
        <v>1068179.2956620087</v>
      </c>
      <c r="CJ450">
        <f t="shared" si="340"/>
        <v>-490259.29367785319</v>
      </c>
      <c r="CL450">
        <f t="shared" si="341"/>
        <v>710562.44358743832</v>
      </c>
    </row>
    <row r="451" spans="1:90" x14ac:dyDescent="0.2">
      <c r="A451" s="2" t="s">
        <v>329</v>
      </c>
      <c r="B451" s="2" t="str">
        <f t="shared" si="348"/>
        <v>RATIJA TPS</v>
      </c>
      <c r="C451" s="2" t="str">
        <f>VLOOKUP($A451,'[1]daily coal, energy reqd'!$C$2:$T$599,17,FALSE)</f>
        <v>Chhatisgarh</v>
      </c>
      <c r="D451" s="2" t="str">
        <f>VLOOKUP(C451,'Target PLF'!$I$2:$J$19,2,FALSE)</f>
        <v>WR</v>
      </c>
      <c r="E451" s="2" t="str">
        <f>VLOOKUP(A451,[2]Ownership!$C$2:$D$666,2,FALSE)</f>
        <v>PVT SECTOR</v>
      </c>
      <c r="F451" s="2" t="s">
        <v>543</v>
      </c>
      <c r="G451" s="12">
        <v>7.2525667351129304</v>
      </c>
      <c r="H451" s="2">
        <v>50</v>
      </c>
      <c r="I451" s="2">
        <f>VLOOKUP(A451,'[3]Calculated coal req (reg.)'!$A$2:$I$599,9,FALSE)</f>
        <v>0.95507221351766403</v>
      </c>
      <c r="J451" s="2"/>
      <c r="K451" s="11">
        <v>0.79589351126472008</v>
      </c>
      <c r="L451" s="3">
        <f>VLOOKUP(F451,'Target PLF'!$A$2:$B$11,2,FALSE)</f>
        <v>0.85</v>
      </c>
      <c r="M451" s="3">
        <f t="shared" si="329"/>
        <v>5.4106488735279901E-2</v>
      </c>
      <c r="N451" s="2" t="str">
        <f t="shared" ref="N451:N514" si="354">IF(L451&gt;0.75,"0.15","0.25")</f>
        <v>0.15</v>
      </c>
      <c r="O451" s="2">
        <f t="shared" si="349"/>
        <v>13.602656591614132</v>
      </c>
      <c r="P451" s="2">
        <f t="shared" ref="P451:P514" si="355">(O451*H451*365)</f>
        <v>248248.48279695789</v>
      </c>
      <c r="Q451" s="2">
        <f t="shared" ref="Q451:Q514" si="356">(13.9133*0.85)+(-0.289097*N451)+(-0.0052079*H451)+(0.031675*G451)+3.492937+IF(E451="Pvt Sector",-0.8897511,0)</f>
        <v>14.355456401334701</v>
      </c>
      <c r="R451" s="2">
        <f t="shared" ref="R451:R514" si="357">(H451*24*L451)/1000</f>
        <v>1.02</v>
      </c>
      <c r="S451" s="2"/>
      <c r="T451" s="2" t="str">
        <f>VLOOKUP(A451,'[4]CEA vs MERIT comp. &amp; NPA marker'!$C$2:$K$735,9,FALSE)</f>
        <v>Contracted</v>
      </c>
      <c r="U451" s="3">
        <v>0.28000000000000003</v>
      </c>
      <c r="V451" s="3">
        <f t="shared" ref="V451:V514" si="358">(U451*O451*H451*365)</f>
        <v>69509.575183148219</v>
      </c>
      <c r="W451" s="2">
        <f t="shared" ref="W451:W514" si="359">3417.812+(7.640537*G451)+(-0.9257423*H451)+(-330.5712*L451)+(225.4556*U451)</f>
        <v>3209.0804374845993</v>
      </c>
      <c r="X451" s="2">
        <f t="shared" ref="X451:X514" si="360">3417.812+(7.640537*G451)+(-0.9257423*H451)+(-330.5712*K451)+(225.4556*U451)</f>
        <v>3226.9664843936071</v>
      </c>
      <c r="Y451" s="6">
        <f t="shared" ref="Y451:Y514" si="361">860/W451</f>
        <v>0.26798954303373618</v>
      </c>
      <c r="Z451" s="2"/>
      <c r="AA451" s="2">
        <f t="shared" ref="AA451:AA514" si="362">(X451*I451*365*10^6)/((IF(AC451,AC451,4286))*1000)</f>
        <v>262464.97864371148</v>
      </c>
      <c r="AB451" s="2" t="s">
        <v>576</v>
      </c>
      <c r="AC451" s="12"/>
      <c r="AD451" s="12">
        <f t="shared" ref="AD451:AD514" si="363">AC451*H451</f>
        <v>0</v>
      </c>
      <c r="AE451" s="2"/>
      <c r="AF451" s="7"/>
      <c r="AG451" s="7"/>
      <c r="AH451" s="7"/>
      <c r="AI451" s="7"/>
      <c r="AJ451" s="7"/>
      <c r="AK451" s="7"/>
      <c r="AL451" s="7"/>
      <c r="AM451" s="7"/>
      <c r="AN451" s="15">
        <f t="shared" ref="AN451:AN514" si="364">SUM(AF451:AM451)</f>
        <v>0</v>
      </c>
      <c r="AO451" s="6">
        <v>0.13697380423430899</v>
      </c>
      <c r="AP451" s="11">
        <f t="shared" ref="AP451:AP514" si="365">AO451*I451</f>
        <v>0.13081987440399667</v>
      </c>
      <c r="AQ451" s="11"/>
      <c r="AR451" s="3">
        <f>VLOOKUP(A451,[10]Sheet1!$A$2:$L$542,12,FALSE)</f>
        <v>1.7026315789473201</v>
      </c>
      <c r="AS451" s="3">
        <f t="shared" si="330"/>
        <v>2.6758143517988371</v>
      </c>
      <c r="AT451" s="2"/>
      <c r="AU451" s="2"/>
      <c r="AV451" s="88">
        <f t="shared" si="331"/>
        <v>3.9650317074987819E-2</v>
      </c>
      <c r="AW451" s="32">
        <f t="shared" si="332"/>
        <v>1.4818037375549833E-2</v>
      </c>
      <c r="AX451" s="12">
        <f t="shared" ref="AX451:AX514" si="366">(AS451*I451*365)/10</f>
        <v>93.27925166162197</v>
      </c>
      <c r="AY451" s="12">
        <f t="shared" ref="AY451:AY514" si="367">(AT451*R451*365)/10</f>
        <v>0</v>
      </c>
      <c r="AZ451" s="3">
        <f>VLOOKUP(A451,[5]Analysis!$A$3:$BJ$543,62,FALSE)</f>
        <v>0.67827340778595713</v>
      </c>
      <c r="BA451" s="2"/>
      <c r="BB451" s="2"/>
      <c r="BC451" s="2" t="e">
        <f>VLOOKUP(A451,'[6]FGD status - Jun 2020'!$I$2:$M$449,5,FALSE)</f>
        <v>#N/A</v>
      </c>
      <c r="BD451" s="2"/>
      <c r="BE451" s="2"/>
      <c r="BF451" s="2">
        <f t="shared" ref="BF451:BF514" si="368">((AA451*(1-U451)*3095)+(AA451*U451*5231))/10^7</f>
        <v>96.930416332951808</v>
      </c>
      <c r="BG451" s="2">
        <f t="shared" ref="BG451:BG514" si="369">((Z451*(1-U451)*3095)+(Z451*U451*5231))/10^7</f>
        <v>0</v>
      </c>
      <c r="BH451" s="2"/>
      <c r="BI451" s="2"/>
      <c r="BK451">
        <f t="shared" ref="BK451:BK514" si="370">K451*H451</f>
        <v>39.794675563236005</v>
      </c>
      <c r="BL451" t="str">
        <f>VLOOKUP(A451,'[11]Daily coal vs energy req.2'!$C$2:$P$599,14,FALSE)</f>
        <v/>
      </c>
      <c r="BM451" t="str">
        <f>VLOOKUP(A451,'[11]Daily coal vs energy req.2'!$C$2:$R$599,16,FALSE)</f>
        <v/>
      </c>
      <c r="BP451" s="2" t="e">
        <f>VLOOKUP(A451,'[7]Table 2'!$J$2:$N$449,5,FALSE)</f>
        <v>#N/A</v>
      </c>
      <c r="BR451">
        <f t="shared" si="333"/>
        <v>76.30066443864483</v>
      </c>
      <c r="BT451">
        <f>(X451*I451*365*[5]Analysis!BK451)/10^4</f>
        <v>68.961025456524709</v>
      </c>
      <c r="BV451">
        <f>(X451*I451*365*[5]Analysis!BL451)/10^4</f>
        <v>7.3396389821201167</v>
      </c>
      <c r="BX451">
        <f t="shared" si="334"/>
        <v>315903.56737770443</v>
      </c>
      <c r="BZ451">
        <f t="shared" si="335"/>
        <v>1224850.6836114144</v>
      </c>
      <c r="CB451">
        <f t="shared" si="336"/>
        <v>-81975.322655945842</v>
      </c>
      <c r="CD451">
        <f t="shared" si="337"/>
        <v>-352464.05199429818</v>
      </c>
      <c r="CF451">
        <f t="shared" si="338"/>
        <v>622462.10719074972</v>
      </c>
      <c r="CH451">
        <f t="shared" si="339"/>
        <v>51288.935006221996</v>
      </c>
      <c r="CJ451">
        <f t="shared" si="340"/>
        <v>-28742.898265814103</v>
      </c>
      <c r="CL451">
        <f t="shared" si="341"/>
        <v>369833.54101457231</v>
      </c>
    </row>
    <row r="452" spans="1:90" x14ac:dyDescent="0.2">
      <c r="A452" s="2" t="s">
        <v>295</v>
      </c>
      <c r="B452" s="2" t="str">
        <f t="shared" si="348"/>
        <v>RATIJA TPS</v>
      </c>
      <c r="C452" s="2" t="str">
        <f>VLOOKUP($A452,'[1]daily coal, energy reqd'!$C$2:$T$599,17,FALSE)</f>
        <v>Chhatisgarh</v>
      </c>
      <c r="D452" s="2" t="str">
        <f>VLOOKUP(C452,'Target PLF'!$I$2:$J$19,2,FALSE)</f>
        <v>WR</v>
      </c>
      <c r="E452" s="2" t="str">
        <f>VLOOKUP(A452,[2]Ownership!$C$2:$D$666,2,FALSE)</f>
        <v>PVT SECTOR</v>
      </c>
      <c r="F452" s="2" t="s">
        <v>542</v>
      </c>
      <c r="G452" s="12">
        <v>3.5044490075290802</v>
      </c>
      <c r="H452" s="2">
        <v>50</v>
      </c>
      <c r="I452" s="2">
        <f>VLOOKUP(A452,'[3]Calculated coal req (reg.)'!$A$2:$I$599,9,FALSE)</f>
        <v>1.10236571163726</v>
      </c>
      <c r="J452" s="2"/>
      <c r="K452" s="11">
        <v>0.91863809303105015</v>
      </c>
      <c r="L452" s="3">
        <f>VLOOKUP(F452,'Target PLF'!$A$2:$B$11,2,FALSE)</f>
        <v>0.85</v>
      </c>
      <c r="M452" s="3">
        <f t="shared" ref="M452:M515" si="371">L452-K452</f>
        <v>-6.8638093031050174E-2</v>
      </c>
      <c r="N452" s="2" t="str">
        <f t="shared" si="354"/>
        <v>0.15</v>
      </c>
      <c r="O452" s="2">
        <f t="shared" si="349"/>
        <v>15.191717152082395</v>
      </c>
      <c r="P452" s="2">
        <f t="shared" si="355"/>
        <v>277248.83802550368</v>
      </c>
      <c r="Q452" s="2">
        <f t="shared" si="356"/>
        <v>14.236734772313483</v>
      </c>
      <c r="R452" s="2">
        <f t="shared" si="357"/>
        <v>1.02</v>
      </c>
      <c r="S452" s="2"/>
      <c r="T452" s="2" t="str">
        <f>VLOOKUP(A452,'[4]CEA vs MERIT comp. &amp; NPA marker'!$C$2:$K$735,9,FALSE)</f>
        <v>Not contracted</v>
      </c>
      <c r="U452" s="3">
        <v>0.28000000000000003</v>
      </c>
      <c r="V452" s="3">
        <f t="shared" si="358"/>
        <v>77629.674647141059</v>
      </c>
      <c r="W452" s="2">
        <f t="shared" si="359"/>
        <v>3180.4428053066385</v>
      </c>
      <c r="X452" s="2">
        <f t="shared" si="360"/>
        <v>3157.753028527653</v>
      </c>
      <c r="Y452" s="6">
        <f t="shared" si="361"/>
        <v>0.27040259883468776</v>
      </c>
      <c r="Z452" s="2"/>
      <c r="AA452" s="2">
        <f t="shared" si="362"/>
        <v>296445.28990449692</v>
      </c>
      <c r="AB452" s="2" t="s">
        <v>576</v>
      </c>
      <c r="AC452" s="12"/>
      <c r="AD452" s="12">
        <f t="shared" si="363"/>
        <v>0</v>
      </c>
      <c r="AE452" s="2"/>
      <c r="AF452" s="7"/>
      <c r="AG452" s="7"/>
      <c r="AH452" s="7"/>
      <c r="AI452" s="7"/>
      <c r="AJ452" s="7"/>
      <c r="AK452" s="7"/>
      <c r="AL452" s="7"/>
      <c r="AM452" s="7"/>
      <c r="AN452" s="15">
        <f t="shared" si="364"/>
        <v>0</v>
      </c>
      <c r="AO452" s="6">
        <v>0.13697380423430899</v>
      </c>
      <c r="AP452" s="11">
        <f t="shared" si="365"/>
        <v>0.15099522518041678</v>
      </c>
      <c r="AQ452" s="11"/>
      <c r="AR452" s="3">
        <f>VLOOKUP(A452,[10]Sheet1!$A$2:$L$542,12,FALSE)</f>
        <v>1.7026315789473201</v>
      </c>
      <c r="AS452" s="3">
        <f t="shared" ref="AS452:AS515" si="372">0.6517435+(0.0001025*X452)+(1.890785*AZ452)+(0.0074045*G452 )+(-0.0006019*H452)+(2.827044*AO452)</f>
        <v>2.640967034858682</v>
      </c>
      <c r="AT452" s="2"/>
      <c r="AU452" s="2"/>
      <c r="AV452" s="88">
        <f t="shared" ref="AV452:AV515" si="373">0.73282*M452</f>
        <v>-5.0299367335014188E-2</v>
      </c>
      <c r="AW452" s="32">
        <f t="shared" ref="AW452:AW515" si="374">ABS(AU452-AV452)/AS452</f>
        <v>1.9045814154853964E-2</v>
      </c>
      <c r="AX452" s="12">
        <f t="shared" si="366"/>
        <v>106.26286992492756</v>
      </c>
      <c r="AY452" s="12">
        <f t="shared" si="367"/>
        <v>0</v>
      </c>
      <c r="AZ452" s="3">
        <f>VLOOKUP(A452,[5]Analysis!$A$3:$BJ$543,62,FALSE)</f>
        <v>0.67827340778595713</v>
      </c>
      <c r="BA452" s="2"/>
      <c r="BB452" s="2"/>
      <c r="BC452" s="2" t="e">
        <f>VLOOKUP(A452,'[6]FGD status - Jun 2020'!$I$2:$M$449,5,FALSE)</f>
        <v>#N/A</v>
      </c>
      <c r="BD452" s="2"/>
      <c r="BE452" s="2"/>
      <c r="BF452" s="2">
        <f t="shared" si="368"/>
        <v>109.47961712404995</v>
      </c>
      <c r="BG452" s="2">
        <f t="shared" si="369"/>
        <v>0</v>
      </c>
      <c r="BH452" s="2"/>
      <c r="BI452" s="2"/>
      <c r="BK452">
        <f t="shared" si="370"/>
        <v>45.931904651552507</v>
      </c>
      <c r="BL452" t="str">
        <f>VLOOKUP(A452,'[11]Daily coal vs energy req.2'!$C$2:$P$599,14,FALSE)</f>
        <v/>
      </c>
      <c r="BM452" t="str">
        <f>VLOOKUP(A452,'[11]Daily coal vs energy req.2'!$C$2:$R$599,16,FALSE)</f>
        <v/>
      </c>
      <c r="BP452" s="2" t="e">
        <f>VLOOKUP(A452,'[7]Table 2'!$J$2:$N$449,5,FALSE)</f>
        <v>#N/A</v>
      </c>
      <c r="BR452">
        <f t="shared" ref="BR452:BR515" si="375">(X452*I452*365*AZ452)/10^4</f>
        <v>86.179012172608353</v>
      </c>
      <c r="BT452">
        <f>(X452*I452*365*[5]Analysis!BK452)/10^4</f>
        <v>77.889138921356292</v>
      </c>
      <c r="BV452">
        <f>(X452*I452*365*[5]Analysis!BL452)/10^4</f>
        <v>8.2898732512520503</v>
      </c>
      <c r="BX452">
        <f t="shared" ref="BX452:BX515" si="376">0.0001025*((X452*I452*10^6))</f>
        <v>356802.36310792895</v>
      </c>
      <c r="BZ452">
        <f t="shared" ref="BZ452:BZ515" si="377">(1.890785*AZ452*I452*10^6)</f>
        <v>1413750.0561508157</v>
      </c>
      <c r="CB452">
        <f t="shared" ref="CB452:CB515" si="378">(-0.107843*I452*K452*10^6)</f>
        <v>-109209.92460119673</v>
      </c>
      <c r="CD452">
        <f t="shared" ref="CD452:CD515" si="379">IF(E452="PVT SECTOR",-0.3690444,0)*I452*10^6</f>
        <v>-406821.89263174566</v>
      </c>
      <c r="CF452">
        <f t="shared" ref="CF452:CF515" si="380" xml:space="preserve"> 0.6517435*I452*10^6</f>
        <v>718459.6871824587</v>
      </c>
      <c r="CH452">
        <f t="shared" ref="CH452:CH515" si="381">0.0074045*(G452*I452*10^6)</f>
        <v>28604.949068109865</v>
      </c>
      <c r="CJ452">
        <f t="shared" ref="CJ452:CJ515" si="382">-0.0006019*H452*I452*10^6</f>
        <v>-33175.696091723345</v>
      </c>
      <c r="CL452">
        <f t="shared" ref="CL452:CL515" si="383">2.827044*AO452*I452*10^6</f>
        <v>426870.14537494612</v>
      </c>
    </row>
    <row r="453" spans="1:90" x14ac:dyDescent="0.2">
      <c r="A453" s="2" t="s">
        <v>407</v>
      </c>
      <c r="B453" s="2" t="str">
        <f t="shared" si="348"/>
        <v>RAYALSEEMA TPS</v>
      </c>
      <c r="C453" s="2" t="str">
        <f>VLOOKUP($A453,'[1]daily coal, energy reqd'!$C$2:$T$599,17,FALSE)</f>
        <v>Andhra Pradesh</v>
      </c>
      <c r="D453" s="2" t="str">
        <f>VLOOKUP(C453,'Target PLF'!$I$2:$J$19,2,FALSE)</f>
        <v>SR</v>
      </c>
      <c r="E453" s="2" t="str">
        <f>VLOOKUP(A453,[2]Ownership!$C$2:$D$666,2,FALSE)</f>
        <v>STATE SECTOR</v>
      </c>
      <c r="F453" s="2" t="s">
        <v>547</v>
      </c>
      <c r="G453" s="12">
        <v>26.176591375769998</v>
      </c>
      <c r="H453" s="2">
        <v>210</v>
      </c>
      <c r="I453" s="2">
        <f>VLOOKUP(A453,'[3]Calculated coal req (reg.)'!$A$2:$I$599,9,FALSE)</f>
        <v>3.1684552216236099</v>
      </c>
      <c r="J453" s="2"/>
      <c r="K453" s="11">
        <v>0.62866175032214477</v>
      </c>
      <c r="L453" s="3">
        <f>VLOOKUP(F453,'Target PLF'!$A$2:$B$11,2,FALSE)</f>
        <v>0.65</v>
      </c>
      <c r="M453" s="3">
        <f t="shared" si="371"/>
        <v>2.1338249677855248E-2</v>
      </c>
      <c r="N453" s="2" t="str">
        <f t="shared" si="354"/>
        <v>0.25</v>
      </c>
      <c r="O453" s="2">
        <f t="shared" si="349"/>
        <v>11.902906812584611</v>
      </c>
      <c r="P453" s="2">
        <f t="shared" si="355"/>
        <v>912357.8071846104</v>
      </c>
      <c r="Q453" s="2">
        <f t="shared" si="356"/>
        <v>14.982452281827515</v>
      </c>
      <c r="R453" s="2">
        <f t="shared" si="357"/>
        <v>3.2759999999999998</v>
      </c>
      <c r="S453" s="2"/>
      <c r="T453" s="2" t="str">
        <f>VLOOKUP(A453,'[4]CEA vs MERIT comp. &amp; NPA marker'!$C$2:$K$735,9,FALSE)</f>
        <v>Contracted</v>
      </c>
      <c r="U453" s="3">
        <f>VLOOKUP(B453,'[8]Import-Domestic share'!$A$208:$F$406,6,FALSE)</f>
        <v>0</v>
      </c>
      <c r="V453" s="3">
        <f t="shared" si="358"/>
        <v>0</v>
      </c>
      <c r="W453" s="2">
        <f t="shared" si="359"/>
        <v>3208.5380519404516</v>
      </c>
      <c r="X453" s="2">
        <f t="shared" si="360"/>
        <v>3215.5918627423598</v>
      </c>
      <c r="Y453" s="6">
        <f t="shared" si="361"/>
        <v>0.2680348451781307</v>
      </c>
      <c r="Z453" s="2"/>
      <c r="AA453" s="2">
        <f t="shared" si="362"/>
        <v>1003484.9818792639</v>
      </c>
      <c r="AB453" s="2" t="s">
        <v>576</v>
      </c>
      <c r="AC453" s="12">
        <f>VLOOKUP(B453,[9]Sheet1!$A$2:$B$137,2,FALSE)</f>
        <v>3705.8725734969948</v>
      </c>
      <c r="AD453" s="12">
        <f t="shared" si="363"/>
        <v>778233.24043436896</v>
      </c>
      <c r="AE453" s="2"/>
      <c r="AF453" s="7">
        <f>VLOOKUP($B453,'[9]Subsidiary wise dispatch'!$A$3:$R$138,11,FALSE)*$H453*$O453*365</f>
        <v>0</v>
      </c>
      <c r="AG453" s="7">
        <f>VLOOKUP($B453,'[9]Subsidiary wise dispatch'!$A$3:$R$138,12,FALSE)*$H453*$O453*365</f>
        <v>0</v>
      </c>
      <c r="AH453" s="7">
        <f>VLOOKUP($B453,'[9]Subsidiary wise dispatch'!$A$3:$R$138,13,FALSE)*$H453*$O453*365</f>
        <v>0</v>
      </c>
      <c r="AI453" s="7">
        <f>VLOOKUP($B453,'[9]Subsidiary wise dispatch'!$A$3:$R$138,14,FALSE)*$H453*$O453*365</f>
        <v>912357.8071846104</v>
      </c>
      <c r="AJ453" s="7">
        <f>VLOOKUP($B453,'[9]Subsidiary wise dispatch'!$A$3:$R$138,15,FALSE)*$H453*$O453*365</f>
        <v>0</v>
      </c>
      <c r="AK453" s="7">
        <f>VLOOKUP($B453,'[9]Subsidiary wise dispatch'!$A$3:$R$138,16,FALSE)*$H453*$O453*365</f>
        <v>0</v>
      </c>
      <c r="AL453" s="7">
        <f>VLOOKUP($B453,'[9]Subsidiary wise dispatch'!$A$3:$R$138,17,FALSE)*$H453*$O453*365</f>
        <v>0</v>
      </c>
      <c r="AM453" s="7">
        <f>VLOOKUP($B453,'[9]Subsidiary wise dispatch'!$A$3:$R$138,18,FALSE)*$H453*$O453*365</f>
        <v>0</v>
      </c>
      <c r="AN453" s="15">
        <f t="shared" si="364"/>
        <v>912357.8071846104</v>
      </c>
      <c r="AO453" s="6">
        <v>0.10362859790133408</v>
      </c>
      <c r="AP453" s="11">
        <f t="shared" si="365"/>
        <v>0.32834257213001544</v>
      </c>
      <c r="AQ453" s="11"/>
      <c r="AR453" s="3">
        <f>VLOOKUP(A453,[10]Sheet1!$A$2:$L$542,12,FALSE)</f>
        <v>3.6136074561403499</v>
      </c>
      <c r="AS453" s="3">
        <f t="shared" si="372"/>
        <v>3.6748139812988452</v>
      </c>
      <c r="AT453" s="2"/>
      <c r="AU453" s="2"/>
      <c r="AV453" s="88">
        <f t="shared" si="373"/>
        <v>1.5637096128925883E-2</v>
      </c>
      <c r="AW453" s="32">
        <f t="shared" si="374"/>
        <v>4.2552075311847563E-3</v>
      </c>
      <c r="AX453" s="12">
        <f t="shared" si="366"/>
        <v>424.98714948527476</v>
      </c>
      <c r="AY453" s="12">
        <f t="shared" si="367"/>
        <v>0</v>
      </c>
      <c r="AZ453" s="3">
        <f>VLOOKUP(A453,[5]Analysis!$A$3:$BJ$543,62,FALSE)</f>
        <v>1.2339235495312717</v>
      </c>
      <c r="BA453" s="2">
        <v>127.46</v>
      </c>
      <c r="BB453" s="2"/>
      <c r="BC453" s="2" t="str">
        <f>VLOOKUP(A453,'[6]FGD status - Jun 2020'!$I$2:$M$449,5,FALSE)</f>
        <v>Complies with new Norms a</v>
      </c>
      <c r="BD453" s="2">
        <f>VLOOKUP(A453,'[1]daily coal, energy reqd'!$C$2:$L$599,10,FALSE)</f>
        <v>0</v>
      </c>
      <c r="BE453" s="2" t="str">
        <f>VLOOKUP(A453,'[1]daily coal, energy reqd'!$C$2:$M$599,11,FALSE)</f>
        <v>Y</v>
      </c>
      <c r="BF453" s="2">
        <f t="shared" si="368"/>
        <v>310.57860189163216</v>
      </c>
      <c r="BG453" s="2">
        <f t="shared" si="369"/>
        <v>0</v>
      </c>
      <c r="BH453" s="2">
        <f t="shared" ref="BH453:BH469" si="384">IF(G453&lt;17,IF(H453&gt;400,H453*5000000,H453*3500000),H453*1500000)/10^7</f>
        <v>31.5</v>
      </c>
      <c r="BI453" s="2">
        <f t="shared" ref="BI453:BI469" si="385">(H453*800000)/10^7</f>
        <v>16.8</v>
      </c>
      <c r="BK453">
        <f t="shared" si="370"/>
        <v>132.01896756765041</v>
      </c>
      <c r="BL453">
        <f>VLOOKUP(A453,'[11]Daily coal vs energy req.2'!$C$2:$P$599,14,FALSE)</f>
        <v>1.27</v>
      </c>
      <c r="BM453">
        <f>VLOOKUP(A453,'[11]Daily coal vs energy req.2'!$C$2:$R$599,16,FALSE)</f>
        <v>1.49</v>
      </c>
      <c r="BN453">
        <f>BL453*H453</f>
        <v>266.7</v>
      </c>
      <c r="BO453">
        <f>BM453*H453</f>
        <v>312.89999999999998</v>
      </c>
      <c r="BP453" s="2" t="str">
        <f>VLOOKUP(A453,'[7]Table 2'!$J$2:$N$449,5,FALSE)</f>
        <v>Feasibility Study completed</v>
      </c>
      <c r="BR453">
        <f t="shared" si="375"/>
        <v>458.86994377265609</v>
      </c>
      <c r="BT453">
        <f>(X453*I453*365*[5]Analysis!BK453)/10^4</f>
        <v>152.75243471646635</v>
      </c>
      <c r="BV453">
        <f>(X453*I453*365*[5]Analysis!BL453)/10^4</f>
        <v>306.11750905618982</v>
      </c>
      <c r="BX453">
        <f t="shared" si="376"/>
        <v>1044317.0298819329</v>
      </c>
      <c r="BZ453">
        <f t="shared" si="377"/>
        <v>7392272.621435931</v>
      </c>
      <c r="CB453">
        <f t="shared" si="378"/>
        <v>-214811.0271908151</v>
      </c>
      <c r="CD453">
        <f t="shared" si="379"/>
        <v>0</v>
      </c>
      <c r="CF453">
        <f t="shared" si="380"/>
        <v>2065020.0957342472</v>
      </c>
      <c r="CH453">
        <f t="shared" si="381"/>
        <v>614124.47356293828</v>
      </c>
      <c r="CJ453">
        <f t="shared" si="382"/>
        <v>-400489.57155800267</v>
      </c>
      <c r="CL453">
        <f t="shared" si="383"/>
        <v>928238.89848472725</v>
      </c>
    </row>
    <row r="454" spans="1:90" x14ac:dyDescent="0.2">
      <c r="A454" s="2" t="s">
        <v>401</v>
      </c>
      <c r="B454" s="2" t="str">
        <f t="shared" si="348"/>
        <v>RAYALSEEMA TPS</v>
      </c>
      <c r="C454" s="2" t="str">
        <f>VLOOKUP($A454,'[1]daily coal, energy reqd'!$C$2:$T$599,17,FALSE)</f>
        <v>Andhra Pradesh</v>
      </c>
      <c r="D454" s="2" t="str">
        <f>VLOOKUP(C454,'Target PLF'!$I$2:$J$19,2,FALSE)</f>
        <v>SR</v>
      </c>
      <c r="E454" s="2" t="str">
        <f>VLOOKUP(A454,[2]Ownership!$C$2:$D$666,2,FALSE)</f>
        <v>STATE SECTOR</v>
      </c>
      <c r="F454" s="2" t="s">
        <v>547</v>
      </c>
      <c r="G454" s="12">
        <v>25.2539356605065</v>
      </c>
      <c r="H454" s="2">
        <v>210</v>
      </c>
      <c r="I454" s="2">
        <f>VLOOKUP(A454,'[3]Calculated coal req (reg.)'!$A$2:$I$599,9,FALSE)</f>
        <v>2.7294220703020802</v>
      </c>
      <c r="J454" s="2"/>
      <c r="K454" s="11">
        <v>0.54155199807580956</v>
      </c>
      <c r="L454" s="3">
        <f>VLOOKUP(F454,'Target PLF'!$A$2:$B$11,2,FALSE)</f>
        <v>0.65</v>
      </c>
      <c r="M454" s="3">
        <f t="shared" si="371"/>
        <v>0.10844800192419046</v>
      </c>
      <c r="N454" s="2" t="str">
        <f t="shared" si="354"/>
        <v>0.25</v>
      </c>
      <c r="O454" s="2">
        <f t="shared" si="349"/>
        <v>10.661697576874705</v>
      </c>
      <c r="P454" s="2">
        <f t="shared" si="355"/>
        <v>817219.11926744599</v>
      </c>
      <c r="Q454" s="2">
        <f t="shared" si="356"/>
        <v>14.953227162046543</v>
      </c>
      <c r="R454" s="2">
        <f t="shared" si="357"/>
        <v>3.2759999999999998</v>
      </c>
      <c r="S454" s="2"/>
      <c r="T454" s="2" t="str">
        <f>VLOOKUP(A454,'[4]CEA vs MERIT comp. &amp; NPA marker'!$C$2:$K$735,9,FALSE)</f>
        <v>Contracted</v>
      </c>
      <c r="U454" s="3">
        <f>VLOOKUP(B454,'[8]Import-Domestic share'!$A$208:$F$406,6,FALSE)</f>
        <v>0</v>
      </c>
      <c r="V454" s="3">
        <f t="shared" si="358"/>
        <v>0</v>
      </c>
      <c r="W454" s="2">
        <f t="shared" si="359"/>
        <v>3201.4884668097193</v>
      </c>
      <c r="X454" s="2">
        <f t="shared" si="360"/>
        <v>3237.3382529434011</v>
      </c>
      <c r="Y454" s="6">
        <f t="shared" si="361"/>
        <v>0.26862505016517813</v>
      </c>
      <c r="Z454" s="2"/>
      <c r="AA454" s="2">
        <f t="shared" si="362"/>
        <v>870284.32305803406</v>
      </c>
      <c r="AB454" s="2" t="s">
        <v>576</v>
      </c>
      <c r="AC454" s="12">
        <f>VLOOKUP(B454,[9]Sheet1!$A$2:$B$137,2,FALSE)</f>
        <v>3705.8725734969948</v>
      </c>
      <c r="AD454" s="12">
        <f t="shared" si="363"/>
        <v>778233.24043436896</v>
      </c>
      <c r="AE454" s="2"/>
      <c r="AF454" s="7">
        <f>VLOOKUP($B454,'[9]Subsidiary wise dispatch'!$A$3:$R$138,11,FALSE)*$H454*$O454*365</f>
        <v>0</v>
      </c>
      <c r="AG454" s="7">
        <f>VLOOKUP($B454,'[9]Subsidiary wise dispatch'!$A$3:$R$138,12,FALSE)*$H454*$O454*365</f>
        <v>0</v>
      </c>
      <c r="AH454" s="7">
        <f>VLOOKUP($B454,'[9]Subsidiary wise dispatch'!$A$3:$R$138,13,FALSE)*$H454*$O454*365</f>
        <v>0</v>
      </c>
      <c r="AI454" s="7">
        <f>VLOOKUP($B454,'[9]Subsidiary wise dispatch'!$A$3:$R$138,14,FALSE)*$H454*$O454*365</f>
        <v>817219.11926744599</v>
      </c>
      <c r="AJ454" s="7">
        <f>VLOOKUP($B454,'[9]Subsidiary wise dispatch'!$A$3:$R$138,15,FALSE)*$H454*$O454*365</f>
        <v>0</v>
      </c>
      <c r="AK454" s="7">
        <f>VLOOKUP($B454,'[9]Subsidiary wise dispatch'!$A$3:$R$138,16,FALSE)*$H454*$O454*365</f>
        <v>0</v>
      </c>
      <c r="AL454" s="7">
        <f>VLOOKUP($B454,'[9]Subsidiary wise dispatch'!$A$3:$R$138,17,FALSE)*$H454*$O454*365</f>
        <v>0</v>
      </c>
      <c r="AM454" s="7">
        <f>VLOOKUP($B454,'[9]Subsidiary wise dispatch'!$A$3:$R$138,18,FALSE)*$H454*$O454*365</f>
        <v>0</v>
      </c>
      <c r="AN454" s="15">
        <f t="shared" si="364"/>
        <v>817219.11926744599</v>
      </c>
      <c r="AO454" s="6">
        <v>0.10362859790133408</v>
      </c>
      <c r="AP454" s="11">
        <f t="shared" si="365"/>
        <v>0.28284618222636104</v>
      </c>
      <c r="AQ454" s="11"/>
      <c r="AR454" s="3">
        <f>VLOOKUP(A454,[10]Sheet1!$A$2:$L$542,12,FALSE)</f>
        <v>3.6136074561403499</v>
      </c>
      <c r="AS454" s="3">
        <f t="shared" si="372"/>
        <v>3.6702111820507839</v>
      </c>
      <c r="AT454" s="2"/>
      <c r="AU454" s="2"/>
      <c r="AV454" s="88">
        <f t="shared" si="373"/>
        <v>7.9472864770085264E-2</v>
      </c>
      <c r="AW454" s="32">
        <f t="shared" si="374"/>
        <v>2.1653485542943239E-2</v>
      </c>
      <c r="AX454" s="12">
        <f t="shared" si="366"/>
        <v>365.6407722079997</v>
      </c>
      <c r="AY454" s="12">
        <f t="shared" si="367"/>
        <v>0</v>
      </c>
      <c r="AZ454" s="3">
        <f>VLOOKUP(A454,[5]Analysis!$A$3:$BJ$543,62,FALSE)</f>
        <v>1.2339235495312717</v>
      </c>
      <c r="BA454" s="2">
        <v>127.46</v>
      </c>
      <c r="BB454" s="2"/>
      <c r="BC454" s="2" t="str">
        <f>VLOOKUP(A454,'[6]FGD status - Jun 2020'!$I$2:$M$449,5,FALSE)</f>
        <v>Complies with new Norms a</v>
      </c>
      <c r="BD454" s="2">
        <f>VLOOKUP(A454,'[1]daily coal, energy reqd'!$C$2:$L$599,10,FALSE)</f>
        <v>0</v>
      </c>
      <c r="BE454" s="2" t="str">
        <f>VLOOKUP(A454,'[1]daily coal, energy reqd'!$C$2:$M$599,11,FALSE)</f>
        <v>Y</v>
      </c>
      <c r="BF454" s="2">
        <f t="shared" si="368"/>
        <v>269.35299798646156</v>
      </c>
      <c r="BG454" s="2">
        <f t="shared" si="369"/>
        <v>0</v>
      </c>
      <c r="BH454" s="2">
        <f t="shared" si="384"/>
        <v>31.5</v>
      </c>
      <c r="BI454" s="2">
        <f t="shared" si="385"/>
        <v>16.8</v>
      </c>
      <c r="BK454">
        <f t="shared" si="370"/>
        <v>113.72591959592</v>
      </c>
      <c r="BL454">
        <f>VLOOKUP(A454,'[11]Daily coal vs energy req.2'!$C$2:$P$599,14,FALSE)</f>
        <v>1.21</v>
      </c>
      <c r="BM454">
        <f>VLOOKUP(A454,'[11]Daily coal vs energy req.2'!$C$2:$R$599,16,FALSE)</f>
        <v>1.4</v>
      </c>
      <c r="BN454">
        <f>BL454*H454</f>
        <v>254.1</v>
      </c>
      <c r="BO454">
        <f>BM454*H454</f>
        <v>294</v>
      </c>
      <c r="BP454" s="2" t="str">
        <f>VLOOKUP(A454,'[7]Table 2'!$J$2:$N$449,5,FALSE)</f>
        <v>Feasibility Study completed</v>
      </c>
      <c r="BR454">
        <f t="shared" si="375"/>
        <v>397.96043348849281</v>
      </c>
      <c r="BT454">
        <f>(X454*I454*365*[5]Analysis!BK454)/10^4</f>
        <v>132.47637148861799</v>
      </c>
      <c r="BV454">
        <f>(X454*I454*365*[5]Analysis!BL454)/10^4</f>
        <v>265.48406199987483</v>
      </c>
      <c r="BX454">
        <f t="shared" si="376"/>
        <v>905696.40385323192</v>
      </c>
      <c r="BZ454">
        <f t="shared" si="377"/>
        <v>6367971.3397678826</v>
      </c>
      <c r="CB454">
        <f t="shared" si="378"/>
        <v>-159405.32391834987</v>
      </c>
      <c r="CD454">
        <f t="shared" si="379"/>
        <v>0</v>
      </c>
      <c r="CF454">
        <f t="shared" si="380"/>
        <v>1778883.0930759239</v>
      </c>
      <c r="CH454">
        <f t="shared" si="381"/>
        <v>510382.18414002837</v>
      </c>
      <c r="CJ454">
        <f t="shared" si="382"/>
        <v>-344996.22026411264</v>
      </c>
      <c r="CL454">
        <f t="shared" si="383"/>
        <v>799618.60238594061</v>
      </c>
    </row>
    <row r="455" spans="1:90" x14ac:dyDescent="0.2">
      <c r="A455" s="2" t="s">
        <v>319</v>
      </c>
      <c r="B455" s="2" t="str">
        <f t="shared" si="348"/>
        <v>RAYALSEEMA TPS</v>
      </c>
      <c r="C455" s="2" t="str">
        <f>VLOOKUP($A455,'[1]daily coal, energy reqd'!$C$2:$T$599,17,FALSE)</f>
        <v>Andhra Pradesh</v>
      </c>
      <c r="D455" s="2" t="str">
        <f>VLOOKUP(C455,'Target PLF'!$I$2:$J$19,2,FALSE)</f>
        <v>SR</v>
      </c>
      <c r="E455" s="2" t="str">
        <f>VLOOKUP(A455,[2]Ownership!$C$2:$D$666,2,FALSE)</f>
        <v>STATE SECTOR</v>
      </c>
      <c r="F455" s="2" t="s">
        <v>544</v>
      </c>
      <c r="G455" s="12">
        <v>13.3388090349075</v>
      </c>
      <c r="H455" s="2">
        <v>210</v>
      </c>
      <c r="I455" s="2">
        <f>VLOOKUP(A455,'[3]Calculated coal req (reg.)'!$A$2:$I$599,9,FALSE)</f>
        <v>2.9474730185214599</v>
      </c>
      <c r="J455" s="2"/>
      <c r="K455" s="11">
        <v>0.58481607510346423</v>
      </c>
      <c r="L455" s="3">
        <f>VLOOKUP(F455,'Target PLF'!$A$2:$B$11,2,FALSE)</f>
        <v>0.8</v>
      </c>
      <c r="M455" s="3">
        <f t="shared" si="371"/>
        <v>0.21518392489653582</v>
      </c>
      <c r="N455" s="2" t="str">
        <f t="shared" si="354"/>
        <v>0.15</v>
      </c>
      <c r="O455" s="2">
        <f t="shared" si="349"/>
        <v>10.915141723917724</v>
      </c>
      <c r="P455" s="2">
        <f t="shared" si="355"/>
        <v>836645.61313829361</v>
      </c>
      <c r="Q455" s="2">
        <f t="shared" si="356"/>
        <v>14.604725226180694</v>
      </c>
      <c r="R455" s="2">
        <f t="shared" si="357"/>
        <v>4.032</v>
      </c>
      <c r="S455" s="2"/>
      <c r="T455" s="2" t="str">
        <f>VLOOKUP(A455,'[4]CEA vs MERIT comp. &amp; NPA marker'!$C$2:$K$735,9,FALSE)</f>
        <v>Contracted</v>
      </c>
      <c r="U455" s="3">
        <f>VLOOKUP(B455,'[8]Import-Domestic share'!$A$208:$F$406,6,FALSE)</f>
        <v>0</v>
      </c>
      <c r="V455" s="3">
        <f t="shared" si="358"/>
        <v>0</v>
      </c>
      <c r="W455" s="2">
        <f t="shared" si="359"/>
        <v>3060.8648209671451</v>
      </c>
      <c r="X455" s="2">
        <f t="shared" si="360"/>
        <v>3131.9984292409026</v>
      </c>
      <c r="Y455" s="6">
        <f t="shared" si="361"/>
        <v>0.28096634457978603</v>
      </c>
      <c r="Z455" s="2"/>
      <c r="AA455" s="2">
        <f t="shared" si="362"/>
        <v>909229.99877130659</v>
      </c>
      <c r="AB455" s="2" t="s">
        <v>576</v>
      </c>
      <c r="AC455" s="12">
        <f>VLOOKUP(B455,[9]Sheet1!$A$2:$B$137,2,FALSE)</f>
        <v>3705.8725734969948</v>
      </c>
      <c r="AD455" s="12">
        <f t="shared" si="363"/>
        <v>778233.24043436896</v>
      </c>
      <c r="AE455" s="2"/>
      <c r="AF455" s="7">
        <f>VLOOKUP($B455,'[9]Subsidiary wise dispatch'!$A$3:$R$138,11,FALSE)*$H455*$O455*365</f>
        <v>0</v>
      </c>
      <c r="AG455" s="7">
        <f>VLOOKUP($B455,'[9]Subsidiary wise dispatch'!$A$3:$R$138,12,FALSE)*$H455*$O455*365</f>
        <v>0</v>
      </c>
      <c r="AH455" s="7">
        <f>VLOOKUP($B455,'[9]Subsidiary wise dispatch'!$A$3:$R$138,13,FALSE)*$H455*$O455*365</f>
        <v>0</v>
      </c>
      <c r="AI455" s="7">
        <f>VLOOKUP($B455,'[9]Subsidiary wise dispatch'!$A$3:$R$138,14,FALSE)*$H455*$O455*365</f>
        <v>836645.61313829361</v>
      </c>
      <c r="AJ455" s="7">
        <f>VLOOKUP($B455,'[9]Subsidiary wise dispatch'!$A$3:$R$138,15,FALSE)*$H455*$O455*365</f>
        <v>0</v>
      </c>
      <c r="AK455" s="7">
        <f>VLOOKUP($B455,'[9]Subsidiary wise dispatch'!$A$3:$R$138,16,FALSE)*$H455*$O455*365</f>
        <v>0</v>
      </c>
      <c r="AL455" s="7">
        <f>VLOOKUP($B455,'[9]Subsidiary wise dispatch'!$A$3:$R$138,17,FALSE)*$H455*$O455*365</f>
        <v>0</v>
      </c>
      <c r="AM455" s="7">
        <f>VLOOKUP($B455,'[9]Subsidiary wise dispatch'!$A$3:$R$138,18,FALSE)*$H455*$O455*365</f>
        <v>0</v>
      </c>
      <c r="AN455" s="15">
        <f t="shared" si="364"/>
        <v>836645.61313829361</v>
      </c>
      <c r="AO455" s="6">
        <v>0.10362859790133408</v>
      </c>
      <c r="AP455" s="11">
        <f t="shared" si="365"/>
        <v>0.3054424962613918</v>
      </c>
      <c r="AQ455" s="11"/>
      <c r="AR455" s="3">
        <f>VLOOKUP(A455,[10]Sheet1!$A$2:$L$542,12,FALSE)</f>
        <v>3.6136074561403499</v>
      </c>
      <c r="AS455" s="3">
        <f t="shared" si="372"/>
        <v>3.5711882950220297</v>
      </c>
      <c r="AT455" s="2"/>
      <c r="AU455" s="2"/>
      <c r="AV455" s="88">
        <f t="shared" si="373"/>
        <v>0.15769108384267938</v>
      </c>
      <c r="AW455" s="32">
        <f t="shared" si="374"/>
        <v>4.4156474208455768E-2</v>
      </c>
      <c r="AX455" s="12">
        <f t="shared" si="366"/>
        <v>384.19831174275367</v>
      </c>
      <c r="AY455" s="12">
        <f t="shared" si="367"/>
        <v>0</v>
      </c>
      <c r="AZ455" s="3">
        <f>VLOOKUP(A455,[5]Analysis!$A$3:$BJ$543,62,FALSE)</f>
        <v>1.2339235495312717</v>
      </c>
      <c r="BA455" s="2">
        <v>123.73</v>
      </c>
      <c r="BB455" s="2"/>
      <c r="BC455" s="2" t="str">
        <f>VLOOKUP(A455,'[6]FGD status - Jun 2020'!$I$2:$M$449,5,FALSE)</f>
        <v>Complies with new Norms a</v>
      </c>
      <c r="BD455" s="2"/>
      <c r="BE455" s="2"/>
      <c r="BF455" s="2">
        <f t="shared" si="368"/>
        <v>281.40668461971939</v>
      </c>
      <c r="BG455" s="2">
        <f t="shared" si="369"/>
        <v>0</v>
      </c>
      <c r="BH455" s="2">
        <f t="shared" si="384"/>
        <v>73.5</v>
      </c>
      <c r="BI455" s="2">
        <f t="shared" si="385"/>
        <v>16.8</v>
      </c>
      <c r="BK455">
        <f t="shared" si="370"/>
        <v>122.81137577172748</v>
      </c>
      <c r="BL455">
        <f>VLOOKUP(A455,'[11]Daily coal vs energy req.2'!$C$2:$P$599,14,FALSE)</f>
        <v>1.46</v>
      </c>
      <c r="BM455">
        <f>VLOOKUP(A455,'[11]Daily coal vs energy req.2'!$C$2:$R$599,16,FALSE)</f>
        <v>1.43</v>
      </c>
      <c r="BN455">
        <f>BL455*H455</f>
        <v>306.59999999999997</v>
      </c>
      <c r="BO455">
        <f>BM455*H455</f>
        <v>300.3</v>
      </c>
      <c r="BP455" s="2" t="str">
        <f>VLOOKUP(A455,'[7]Table 2'!$J$2:$N$449,5,FALSE)</f>
        <v>Feasibility Study completed</v>
      </c>
      <c r="BR455">
        <f t="shared" si="375"/>
        <v>415.76936969326761</v>
      </c>
      <c r="BT455">
        <f>(X455*I455*365*[5]Analysis!BK455)/10^4</f>
        <v>138.40475795608592</v>
      </c>
      <c r="BV455">
        <f>(X455*I455*365*[5]Analysis!BL455)/10^4</f>
        <v>277.36461173718169</v>
      </c>
      <c r="BX455">
        <f t="shared" si="376"/>
        <v>946226.78858451336</v>
      </c>
      <c r="BZ455">
        <f t="shared" si="377"/>
        <v>6876702.5484653143</v>
      </c>
      <c r="CB455">
        <f t="shared" si="378"/>
        <v>-185892.17148628877</v>
      </c>
      <c r="CD455">
        <f t="shared" si="379"/>
        <v>0</v>
      </c>
      <c r="CF455">
        <f t="shared" si="380"/>
        <v>1920996.3812467412</v>
      </c>
      <c r="CH455">
        <f t="shared" si="381"/>
        <v>291113.69100782415</v>
      </c>
      <c r="CJ455">
        <f t="shared" si="382"/>
        <v>-372557.64206809405</v>
      </c>
      <c r="CL455">
        <f t="shared" si="383"/>
        <v>863499.37640079006</v>
      </c>
    </row>
    <row r="456" spans="1:90" x14ac:dyDescent="0.2">
      <c r="A456" s="2" t="s">
        <v>315</v>
      </c>
      <c r="B456" s="2" t="str">
        <f t="shared" ref="B456:B487" si="386">LEFT(A456,LEN(A456)-LEN(RIGHT(A456,1)))</f>
        <v>RAYALSEEMA TPS</v>
      </c>
      <c r="C456" s="2" t="str">
        <f>VLOOKUP($A456,'[1]daily coal, energy reqd'!$C$2:$T$599,17,FALSE)</f>
        <v>Andhra Pradesh</v>
      </c>
      <c r="D456" s="2" t="str">
        <f>VLOOKUP(C456,'Target PLF'!$I$2:$J$19,2,FALSE)</f>
        <v>SR</v>
      </c>
      <c r="E456" s="2" t="str">
        <f>VLOOKUP(A456,[2]Ownership!$C$2:$D$666,2,FALSE)</f>
        <v>STATE SECTOR</v>
      </c>
      <c r="F456" s="2" t="s">
        <v>544</v>
      </c>
      <c r="G456" s="12">
        <v>12.5065023956194</v>
      </c>
      <c r="H456" s="2">
        <v>210</v>
      </c>
      <c r="I456" s="2">
        <f>VLOOKUP(A456,'[3]Calculated coal req (reg.)'!$A$2:$I$599,9,FALSE)</f>
        <v>3.3443217569786499</v>
      </c>
      <c r="J456" s="2"/>
      <c r="K456" s="11">
        <v>0.66355590416243049</v>
      </c>
      <c r="L456" s="3">
        <f>VLOOKUP(F456,'Target PLF'!$A$2:$B$11,2,FALSE)</f>
        <v>0.8</v>
      </c>
      <c r="M456" s="3">
        <f t="shared" si="371"/>
        <v>0.13644409583756956</v>
      </c>
      <c r="N456" s="2" t="str">
        <f t="shared" si="354"/>
        <v>0.15</v>
      </c>
      <c r="O456" s="2">
        <f t="shared" si="349"/>
        <v>11.984309274764389</v>
      </c>
      <c r="P456" s="2">
        <f t="shared" si="355"/>
        <v>918597.30591069045</v>
      </c>
      <c r="Q456" s="2">
        <f t="shared" si="356"/>
        <v>14.578361913381244</v>
      </c>
      <c r="R456" s="2">
        <f t="shared" si="357"/>
        <v>4.032</v>
      </c>
      <c r="S456" s="2"/>
      <c r="T456" s="2" t="str">
        <f>VLOOKUP(A456,'[4]CEA vs MERIT comp. &amp; NPA marker'!$C$2:$K$735,9,FALSE)</f>
        <v>Contracted</v>
      </c>
      <c r="U456" s="3">
        <f>VLOOKUP(B456,'[8]Import-Domestic share'!$A$208:$F$406,6,FALSE)</f>
        <v>0</v>
      </c>
      <c r="V456" s="3">
        <f t="shared" si="358"/>
        <v>0</v>
      </c>
      <c r="W456" s="2">
        <f t="shared" si="359"/>
        <v>3054.5055512943186</v>
      </c>
      <c r="X456" s="2">
        <f t="shared" si="360"/>
        <v>3099.6100397882587</v>
      </c>
      <c r="Y456" s="6">
        <f t="shared" si="361"/>
        <v>0.28155129711110949</v>
      </c>
      <c r="Z456" s="2"/>
      <c r="AA456" s="2">
        <f t="shared" si="362"/>
        <v>1020980.61316164</v>
      </c>
      <c r="AB456" s="2" t="s">
        <v>576</v>
      </c>
      <c r="AC456" s="12">
        <f>VLOOKUP(B456,[9]Sheet1!$A$2:$B$137,2,FALSE)</f>
        <v>3705.8725734969948</v>
      </c>
      <c r="AD456" s="12">
        <f t="shared" si="363"/>
        <v>778233.24043436896</v>
      </c>
      <c r="AE456" s="2"/>
      <c r="AF456" s="7">
        <f>VLOOKUP($B456,'[9]Subsidiary wise dispatch'!$A$3:$R$138,11,FALSE)*$H456*$O456*365</f>
        <v>0</v>
      </c>
      <c r="AG456" s="7">
        <f>VLOOKUP($B456,'[9]Subsidiary wise dispatch'!$A$3:$R$138,12,FALSE)*$H456*$O456*365</f>
        <v>0</v>
      </c>
      <c r="AH456" s="7">
        <f>VLOOKUP($B456,'[9]Subsidiary wise dispatch'!$A$3:$R$138,13,FALSE)*$H456*$O456*365</f>
        <v>0</v>
      </c>
      <c r="AI456" s="7">
        <f>VLOOKUP($B456,'[9]Subsidiary wise dispatch'!$A$3:$R$138,14,FALSE)*$H456*$O456*365</f>
        <v>918597.30591069045</v>
      </c>
      <c r="AJ456" s="7">
        <f>VLOOKUP($B456,'[9]Subsidiary wise dispatch'!$A$3:$R$138,15,FALSE)*$H456*$O456*365</f>
        <v>0</v>
      </c>
      <c r="AK456" s="7">
        <f>VLOOKUP($B456,'[9]Subsidiary wise dispatch'!$A$3:$R$138,16,FALSE)*$H456*$O456*365</f>
        <v>0</v>
      </c>
      <c r="AL456" s="7">
        <f>VLOOKUP($B456,'[9]Subsidiary wise dispatch'!$A$3:$R$138,17,FALSE)*$H456*$O456*365</f>
        <v>0</v>
      </c>
      <c r="AM456" s="7">
        <f>VLOOKUP($B456,'[9]Subsidiary wise dispatch'!$A$3:$R$138,18,FALSE)*$H456*$O456*365</f>
        <v>0</v>
      </c>
      <c r="AN456" s="15">
        <f t="shared" si="364"/>
        <v>918597.30591069045</v>
      </c>
      <c r="AO456" s="6">
        <v>0.10362859790133408</v>
      </c>
      <c r="AP456" s="11">
        <f t="shared" si="365"/>
        <v>0.34656737460662362</v>
      </c>
      <c r="AQ456" s="11"/>
      <c r="AR456" s="3">
        <f>VLOOKUP(A456,[10]Sheet1!$A$2:$L$542,12,FALSE)</f>
        <v>3.6136074561403499</v>
      </c>
      <c r="AS456" s="3">
        <f t="shared" si="372"/>
        <v>3.561705670592525</v>
      </c>
      <c r="AT456" s="2"/>
      <c r="AU456" s="2"/>
      <c r="AV456" s="88">
        <f t="shared" si="373"/>
        <v>9.9988962311687732E-2</v>
      </c>
      <c r="AW456" s="32">
        <f t="shared" si="374"/>
        <v>2.8073336642399645E-2</v>
      </c>
      <c r="AX456" s="12">
        <f t="shared" si="366"/>
        <v>434.76937646326371</v>
      </c>
      <c r="AY456" s="12">
        <f t="shared" si="367"/>
        <v>0</v>
      </c>
      <c r="AZ456" s="3">
        <f>VLOOKUP(A456,[5]Analysis!$A$3:$BJ$543,62,FALSE)</f>
        <v>1.2339235495312717</v>
      </c>
      <c r="BA456" s="2">
        <v>123.73</v>
      </c>
      <c r="BB456" s="2"/>
      <c r="BC456" s="2" t="str">
        <f>VLOOKUP(A456,'[6]FGD status - Jun 2020'!$I$2:$M$449,5,FALSE)</f>
        <v>Complies with new Norms a</v>
      </c>
      <c r="BD456" s="2"/>
      <c r="BE456" s="2"/>
      <c r="BF456" s="2">
        <f t="shared" si="368"/>
        <v>315.99349977352756</v>
      </c>
      <c r="BG456" s="2">
        <f t="shared" si="369"/>
        <v>0</v>
      </c>
      <c r="BH456" s="2">
        <f t="shared" si="384"/>
        <v>73.5</v>
      </c>
      <c r="BI456" s="2">
        <f t="shared" si="385"/>
        <v>16.8</v>
      </c>
      <c r="BK456">
        <f t="shared" si="370"/>
        <v>139.3467398741104</v>
      </c>
      <c r="BL456">
        <f>VLOOKUP(A456,'[11]Daily coal vs energy req.2'!$C$2:$P$599,14,FALSE)</f>
        <v>1.59</v>
      </c>
      <c r="BM456">
        <f>VLOOKUP(A456,'[11]Daily coal vs energy req.2'!$C$2:$R$599,16,FALSE)</f>
        <v>1.62</v>
      </c>
      <c r="BN456">
        <f>BL456*H456</f>
        <v>333.90000000000003</v>
      </c>
      <c r="BO456">
        <f>BM456*H456</f>
        <v>340.20000000000005</v>
      </c>
      <c r="BP456" s="2" t="str">
        <f>VLOOKUP(A456,'[7]Table 2'!$J$2:$N$449,5,FALSE)</f>
        <v>Feasibility Study completed</v>
      </c>
      <c r="BR456">
        <f t="shared" si="375"/>
        <v>466.87028208143312</v>
      </c>
      <c r="BT456">
        <f>(X456*I456*365*[5]Analysis!BK456)/10^4</f>
        <v>155.41565372177683</v>
      </c>
      <c r="BV456">
        <f>(X456*I456*365*[5]Analysis!BL456)/10^4</f>
        <v>311.45462835965628</v>
      </c>
      <c r="BX456">
        <f t="shared" si="376"/>
        <v>1062524.5626568666</v>
      </c>
      <c r="BZ456">
        <f t="shared" si="377"/>
        <v>7802584.0455833962</v>
      </c>
      <c r="CB456">
        <f t="shared" si="378"/>
        <v>-239319.19462608191</v>
      </c>
      <c r="CD456">
        <f t="shared" si="379"/>
        <v>0</v>
      </c>
      <c r="CF456">
        <f t="shared" si="380"/>
        <v>2179639.9670194145</v>
      </c>
      <c r="CH456">
        <f t="shared" si="381"/>
        <v>309698.89964007336</v>
      </c>
      <c r="CJ456">
        <f t="shared" si="382"/>
        <v>-422718.92576034443</v>
      </c>
      <c r="CL456">
        <f t="shared" si="383"/>
        <v>979761.21697740757</v>
      </c>
    </row>
    <row r="457" spans="1:90" x14ac:dyDescent="0.2">
      <c r="A457" s="2" t="s">
        <v>285</v>
      </c>
      <c r="B457" s="2" t="str">
        <f t="shared" si="386"/>
        <v>RAYALSEEMA TPS</v>
      </c>
      <c r="C457" s="2" t="str">
        <f>VLOOKUP($A457,'[1]daily coal, energy reqd'!$C$2:$T$599,17,FALSE)</f>
        <v>Andhra Pradesh</v>
      </c>
      <c r="D457" s="2" t="str">
        <f>VLOOKUP(C457,'Target PLF'!$I$2:$J$19,2,FALSE)</f>
        <v>SR</v>
      </c>
      <c r="E457" s="2" t="str">
        <f>VLOOKUP(A457,[2]Ownership!$C$2:$D$666,2,FALSE)</f>
        <v>STATE SECTOR</v>
      </c>
      <c r="F457" s="2" t="s">
        <v>543</v>
      </c>
      <c r="G457" s="12">
        <v>9.4236824093086895</v>
      </c>
      <c r="H457" s="2">
        <v>210</v>
      </c>
      <c r="I457" s="2">
        <f>VLOOKUP(A457,'[3]Calculated coal req (reg.)'!$A$2:$I$599,9,FALSE)</f>
        <v>2.6852899372745598</v>
      </c>
      <c r="J457" s="2"/>
      <c r="K457" s="11">
        <v>0.53279562247511103</v>
      </c>
      <c r="L457" s="3">
        <f>VLOOKUP(F457,'Target PLF'!$A$2:$B$11,2,FALSE)</f>
        <v>0.85</v>
      </c>
      <c r="M457" s="3">
        <f t="shared" si="371"/>
        <v>0.31720437752488895</v>
      </c>
      <c r="N457" s="2" t="str">
        <f t="shared" si="354"/>
        <v>0.15</v>
      </c>
      <c r="O457" s="2">
        <f t="shared" si="349"/>
        <v>10.067353924497816</v>
      </c>
      <c r="P457" s="2">
        <f t="shared" si="355"/>
        <v>771662.67831275763</v>
      </c>
      <c r="Q457" s="2">
        <f t="shared" si="356"/>
        <v>14.480713590314851</v>
      </c>
      <c r="R457" s="2">
        <f t="shared" si="357"/>
        <v>4.2839999999999998</v>
      </c>
      <c r="S457" s="2"/>
      <c r="T457" s="2" t="str">
        <f>VLOOKUP(A457,'[4]CEA vs MERIT comp. &amp; NPA marker'!$C$2:$K$735,9,FALSE)</f>
        <v>Contracted</v>
      </c>
      <c r="U457" s="3">
        <f>VLOOKUP(B457,'[8]Import-Domestic share'!$A$208:$F$406,6,FALSE)</f>
        <v>0</v>
      </c>
      <c r="V457" s="3">
        <f t="shared" si="358"/>
        <v>0</v>
      </c>
      <c r="W457" s="2">
        <f t="shared" si="359"/>
        <v>3014.4225911245721</v>
      </c>
      <c r="X457" s="2">
        <f t="shared" si="360"/>
        <v>3119.281222848228</v>
      </c>
      <c r="Y457" s="6">
        <f t="shared" si="361"/>
        <v>0.28529510179897011</v>
      </c>
      <c r="Z457" s="2"/>
      <c r="AA457" s="2">
        <f t="shared" si="362"/>
        <v>824988.88569150574</v>
      </c>
      <c r="AB457" s="2" t="s">
        <v>576</v>
      </c>
      <c r="AC457" s="12">
        <f>VLOOKUP(B457,[9]Sheet1!$A$2:$B$137,2,FALSE)</f>
        <v>3705.8725734969948</v>
      </c>
      <c r="AD457" s="12">
        <f t="shared" si="363"/>
        <v>778233.24043436896</v>
      </c>
      <c r="AE457" s="2"/>
      <c r="AF457" s="7">
        <f>VLOOKUP($B457,'[9]Subsidiary wise dispatch'!$A$3:$R$138,11,FALSE)*$H457*$O457*365</f>
        <v>0</v>
      </c>
      <c r="AG457" s="7">
        <f>VLOOKUP($B457,'[9]Subsidiary wise dispatch'!$A$3:$R$138,12,FALSE)*$H457*$O457*365</f>
        <v>0</v>
      </c>
      <c r="AH457" s="7">
        <f>VLOOKUP($B457,'[9]Subsidiary wise dispatch'!$A$3:$R$138,13,FALSE)*$H457*$O457*365</f>
        <v>0</v>
      </c>
      <c r="AI457" s="7">
        <f>VLOOKUP($B457,'[9]Subsidiary wise dispatch'!$A$3:$R$138,14,FALSE)*$H457*$O457*365</f>
        <v>771662.67831275763</v>
      </c>
      <c r="AJ457" s="7">
        <f>VLOOKUP($B457,'[9]Subsidiary wise dispatch'!$A$3:$R$138,15,FALSE)*$H457*$O457*365</f>
        <v>0</v>
      </c>
      <c r="AK457" s="7">
        <f>VLOOKUP($B457,'[9]Subsidiary wise dispatch'!$A$3:$R$138,16,FALSE)*$H457*$O457*365</f>
        <v>0</v>
      </c>
      <c r="AL457" s="7">
        <f>VLOOKUP($B457,'[9]Subsidiary wise dispatch'!$A$3:$R$138,17,FALSE)*$H457*$O457*365</f>
        <v>0</v>
      </c>
      <c r="AM457" s="7">
        <f>VLOOKUP($B457,'[9]Subsidiary wise dispatch'!$A$3:$R$138,18,FALSE)*$H457*$O457*365</f>
        <v>0</v>
      </c>
      <c r="AN457" s="15">
        <f t="shared" si="364"/>
        <v>771662.67831275763</v>
      </c>
      <c r="AO457" s="6">
        <v>0.10362859790133408</v>
      </c>
      <c r="AP457" s="11">
        <f t="shared" si="365"/>
        <v>0.27827283115832396</v>
      </c>
      <c r="AQ457" s="11"/>
      <c r="AR457" s="3">
        <f>VLOOKUP(A457,[10]Sheet1!$A$2:$L$542,12,FALSE)</f>
        <v>3.6136074561403499</v>
      </c>
      <c r="AS457" s="3">
        <f t="shared" si="372"/>
        <v>3.5408952262675344</v>
      </c>
      <c r="AT457" s="2"/>
      <c r="AU457" s="2"/>
      <c r="AV457" s="88">
        <f t="shared" si="373"/>
        <v>0.23245371193778913</v>
      </c>
      <c r="AW457" s="32">
        <f t="shared" si="374"/>
        <v>6.5648288662531001E-2</v>
      </c>
      <c r="AX457" s="12">
        <f t="shared" si="366"/>
        <v>347.05405668145033</v>
      </c>
      <c r="AY457" s="12">
        <f t="shared" si="367"/>
        <v>0</v>
      </c>
      <c r="AZ457" s="3">
        <f>VLOOKUP(A457,[5]Analysis!$A$3:$BJ$543,62,FALSE)</f>
        <v>1.2339235495312717</v>
      </c>
      <c r="BA457" s="2">
        <v>253.09</v>
      </c>
      <c r="BB457" s="2"/>
      <c r="BC457" s="2" t="str">
        <f>VLOOKUP(A457,'[6]FGD status - Jun 2020'!$I$2:$M$449,5,FALSE)</f>
        <v>Complies with new Norms a</v>
      </c>
      <c r="BD457" s="2"/>
      <c r="BE457" s="2"/>
      <c r="BF457" s="2">
        <f t="shared" si="368"/>
        <v>255.33406012152105</v>
      </c>
      <c r="BG457" s="2">
        <f t="shared" si="369"/>
        <v>0</v>
      </c>
      <c r="BH457" s="2">
        <f t="shared" si="384"/>
        <v>73.5</v>
      </c>
      <c r="BI457" s="2">
        <f t="shared" si="385"/>
        <v>16.8</v>
      </c>
      <c r="BK457">
        <f t="shared" si="370"/>
        <v>111.88708071977332</v>
      </c>
      <c r="BL457">
        <f>VLOOKUP(A457,'[11]Daily coal vs energy req.2'!$C$2:$P$599,14,FALSE)</f>
        <v>1.27</v>
      </c>
      <c r="BM457">
        <f>VLOOKUP(A457,'[11]Daily coal vs energy req.2'!$C$2:$R$599,16,FALSE)</f>
        <v>1.17</v>
      </c>
      <c r="BN457">
        <f>BL457*H457</f>
        <v>266.7</v>
      </c>
      <c r="BO457">
        <f>BM457*H457</f>
        <v>245.7</v>
      </c>
      <c r="BP457" s="2" t="str">
        <f>VLOOKUP(A457,'[7]Table 2'!$J$2:$N$449,5,FALSE)</f>
        <v>Feasibility Study completed</v>
      </c>
      <c r="BR457">
        <f t="shared" si="375"/>
        <v>377.2479014896457</v>
      </c>
      <c r="BT457">
        <f>(X457*I457*365*[5]Analysis!BK457)/10^4</f>
        <v>125.58141195835478</v>
      </c>
      <c r="BV457">
        <f>(X457*I457*365*[5]Analysis!BL457)/10^4</f>
        <v>251.66648953129089</v>
      </c>
      <c r="BX457">
        <f t="shared" si="376"/>
        <v>858557.88412249275</v>
      </c>
      <c r="BZ457">
        <f t="shared" si="377"/>
        <v>6265007.3601987688</v>
      </c>
      <c r="CB457">
        <f t="shared" si="378"/>
        <v>-154292.13657127184</v>
      </c>
      <c r="CD457">
        <f t="shared" si="379"/>
        <v>0</v>
      </c>
      <c r="CF457">
        <f t="shared" si="380"/>
        <v>1750120.262234102</v>
      </c>
      <c r="CH457">
        <f t="shared" si="381"/>
        <v>187373.23857678653</v>
      </c>
      <c r="CJ457">
        <f t="shared" si="382"/>
        <v>-339417.96278156713</v>
      </c>
      <c r="CL457">
        <f t="shared" si="383"/>
        <v>786689.53768915287</v>
      </c>
    </row>
    <row r="458" spans="1:90" x14ac:dyDescent="0.2">
      <c r="A458" s="2" t="s">
        <v>446</v>
      </c>
      <c r="B458" s="2" t="str">
        <f t="shared" si="386"/>
        <v>ROPAR TPS</v>
      </c>
      <c r="C458" s="2" t="str">
        <f>VLOOKUP($A458,'[1]daily coal, energy reqd'!$C$2:$T$599,17,FALSE)</f>
        <v>Punjab</v>
      </c>
      <c r="D458" s="2" t="str">
        <f>VLOOKUP(C458,'Target PLF'!$I$2:$J$19,2,FALSE)</f>
        <v>NR</v>
      </c>
      <c r="E458" s="2" t="str">
        <f>VLOOKUP(A458,[2]Ownership!$C$2:$D$666,2,FALSE)</f>
        <v>STATE SECTOR</v>
      </c>
      <c r="F458" s="2" t="s">
        <v>548</v>
      </c>
      <c r="G458" s="12">
        <v>32.175222450376403</v>
      </c>
      <c r="H458" s="2">
        <v>210</v>
      </c>
      <c r="I458" s="2">
        <f>VLOOKUP(A458,'[3]Calculated coal req (reg.)'!$A$2:$I$599,9,FALSE)</f>
        <v>0.90289528241255701</v>
      </c>
      <c r="J458" s="2"/>
      <c r="K458" s="11">
        <v>0.17914588936757084</v>
      </c>
      <c r="L458" s="3">
        <f>VLOOKUP(F458,'Target PLF'!$A$2:$B$11,2,FALSE)</f>
        <v>0.6</v>
      </c>
      <c r="M458" s="3">
        <f t="shared" si="371"/>
        <v>0.42085411063242917</v>
      </c>
      <c r="N458" s="2" t="str">
        <f t="shared" si="354"/>
        <v>0.25</v>
      </c>
      <c r="O458" s="2">
        <f t="shared" si="349"/>
        <v>5.8386644236534959</v>
      </c>
      <c r="P458" s="2">
        <f t="shared" si="355"/>
        <v>447533.62807304045</v>
      </c>
      <c r="Q458" s="2">
        <f t="shared" si="356"/>
        <v>15.172458921115672</v>
      </c>
      <c r="R458" s="2">
        <f t="shared" si="357"/>
        <v>3.024</v>
      </c>
      <c r="S458" s="2"/>
      <c r="T458" s="2" t="str">
        <f>VLOOKUP(A458,'[4]CEA vs MERIT comp. &amp; NPA marker'!$C$2:$K$735,9,FALSE)</f>
        <v>Contracted</v>
      </c>
      <c r="U458" s="3">
        <f>VLOOKUP(B458,'[8]Import-Domestic share'!$A$208:$F$406,6,FALSE)</f>
        <v>0</v>
      </c>
      <c r="V458" s="3">
        <f t="shared" si="358"/>
        <v>0</v>
      </c>
      <c r="W458" s="2">
        <f t="shared" si="359"/>
        <v>3270.8993746153315</v>
      </c>
      <c r="X458" s="2">
        <f t="shared" si="360"/>
        <v>3410.0216229920266</v>
      </c>
      <c r="Y458" s="6">
        <f t="shared" si="361"/>
        <v>0.26292462760372715</v>
      </c>
      <c r="Z458" s="2"/>
      <c r="AA458" s="2">
        <f t="shared" si="362"/>
        <v>262579.54899474455</v>
      </c>
      <c r="AB458" s="2" t="s">
        <v>576</v>
      </c>
      <c r="AC458" s="12">
        <f>VLOOKUP(B458,[9]Sheet1!$A$2:$B$137,2,FALSE)</f>
        <v>4279.8296499506378</v>
      </c>
      <c r="AD458" s="12">
        <f t="shared" si="363"/>
        <v>898764.2264896339</v>
      </c>
      <c r="AE458" s="2"/>
      <c r="AF458" s="7">
        <f>VLOOKUP($B458,'[9]Subsidiary wise dispatch'!$A$3:$R$138,11,FALSE)*$H458*$O458*365</f>
        <v>141737.83465143587</v>
      </c>
      <c r="AG458" s="7">
        <f>VLOOKUP($B458,'[9]Subsidiary wise dispatch'!$A$3:$R$138,12,FALSE)*$H458*$O458*365</f>
        <v>125951.24674526921</v>
      </c>
      <c r="AH458" s="7">
        <f>VLOOKUP($B458,'[9]Subsidiary wise dispatch'!$A$3:$R$138,13,FALSE)*$H458*$O458*365</f>
        <v>0</v>
      </c>
      <c r="AI458" s="7">
        <f>VLOOKUP($B458,'[9]Subsidiary wise dispatch'!$A$3:$R$138,14,FALSE)*$H458*$O458*365</f>
        <v>0</v>
      </c>
      <c r="AJ458" s="7">
        <f>VLOOKUP($B458,'[9]Subsidiary wise dispatch'!$A$3:$R$138,15,FALSE)*$H458*$O458*365</f>
        <v>0</v>
      </c>
      <c r="AK458" s="7">
        <f>VLOOKUP($B458,'[9]Subsidiary wise dispatch'!$A$3:$R$138,16,FALSE)*$H458*$O458*365</f>
        <v>0</v>
      </c>
      <c r="AL458" s="7">
        <f>VLOOKUP($B458,'[9]Subsidiary wise dispatch'!$A$3:$R$138,17,FALSE)*$H458*$O458*365</f>
        <v>179844.54667633539</v>
      </c>
      <c r="AM458" s="7">
        <f>VLOOKUP($B458,'[9]Subsidiary wise dispatch'!$A$3:$R$138,18,FALSE)*$H458*$O458*365</f>
        <v>0</v>
      </c>
      <c r="AN458" s="15">
        <f t="shared" si="364"/>
        <v>447533.62807304045</v>
      </c>
      <c r="AO458" s="6">
        <v>8.4396929249325001E-2</v>
      </c>
      <c r="AP458" s="11">
        <f t="shared" si="365"/>
        <v>7.6201589269321884E-2</v>
      </c>
      <c r="AQ458" s="11"/>
      <c r="AR458" s="3">
        <f>VLOOKUP(A458,[10]Sheet1!$A$2:$L$542,12,FALSE)</f>
        <v>3.78</v>
      </c>
      <c r="AS458" s="3">
        <f t="shared" si="372"/>
        <v>3.546186965144063</v>
      </c>
      <c r="AT458" s="2"/>
      <c r="AU458" s="2"/>
      <c r="AV458" s="88">
        <f t="shared" si="373"/>
        <v>0.30841030935365676</v>
      </c>
      <c r="AW458" s="32">
        <f t="shared" si="374"/>
        <v>8.6969556987565005E-2</v>
      </c>
      <c r="AX458" s="12">
        <f t="shared" si="366"/>
        <v>116.86699507042393</v>
      </c>
      <c r="AY458" s="12">
        <f t="shared" si="367"/>
        <v>0</v>
      </c>
      <c r="AZ458" s="3">
        <f>VLOOKUP(A458,[5]Analysis!$A$3:$BJ$543,62,FALSE)</f>
        <v>1.1606184636015411</v>
      </c>
      <c r="BA458" s="2"/>
      <c r="BB458" s="2"/>
      <c r="BC458" s="2" t="str">
        <f>VLOOKUP(A458,'[6]FGD status - Jun 2020'!$I$2:$M$449,5,FALSE)</f>
        <v>NIT issued</v>
      </c>
      <c r="BD458" s="2" t="str">
        <f>VLOOKUP(A458,'[1]daily coal, energy reqd'!$C$2:$L$599,10,FALSE)</f>
        <v>Y</v>
      </c>
      <c r="BE458" s="2"/>
      <c r="BF458" s="2">
        <f t="shared" si="368"/>
        <v>81.268370413873427</v>
      </c>
      <c r="BG458" s="2">
        <f t="shared" si="369"/>
        <v>0</v>
      </c>
      <c r="BH458" s="2">
        <f t="shared" si="384"/>
        <v>31.5</v>
      </c>
      <c r="BI458" s="2">
        <f t="shared" si="385"/>
        <v>16.8</v>
      </c>
      <c r="BK458">
        <f t="shared" si="370"/>
        <v>37.620636767189879</v>
      </c>
      <c r="BP458" s="2" t="str">
        <f>VLOOKUP(A458,'[7]Table 2'!$J$2:$N$449,5,FALSE)</f>
        <v>NIT issued</v>
      </c>
      <c r="BR458">
        <f t="shared" si="375"/>
        <v>130.42980843000117</v>
      </c>
      <c r="BT458">
        <f>(X458*I458*365*[5]Analysis!BK458)/10^4</f>
        <v>43.843931393712488</v>
      </c>
      <c r="BV458">
        <f>(X458*I458*365*[5]Analysis!BL458)/10^4</f>
        <v>86.585877036288693</v>
      </c>
      <c r="BX458">
        <f t="shared" si="376"/>
        <v>315586.47472324193</v>
      </c>
      <c r="BZ458">
        <f t="shared" si="377"/>
        <v>1981385.6228264826</v>
      </c>
      <c r="CB458">
        <f t="shared" si="378"/>
        <v>-17443.602917742155</v>
      </c>
      <c r="CD458">
        <f t="shared" si="379"/>
        <v>0</v>
      </c>
      <c r="CF458">
        <f t="shared" si="380"/>
        <v>588456.13149304839</v>
      </c>
      <c r="CH458">
        <f t="shared" si="381"/>
        <v>215107.06740606847</v>
      </c>
      <c r="CJ458">
        <f t="shared" si="382"/>
        <v>-114125.0608016648</v>
      </c>
      <c r="CL458">
        <f t="shared" si="383"/>
        <v>215425.24573430084</v>
      </c>
    </row>
    <row r="459" spans="1:90" x14ac:dyDescent="0.2">
      <c r="A459" s="2" t="s">
        <v>441</v>
      </c>
      <c r="B459" s="2" t="str">
        <f t="shared" si="386"/>
        <v>ROPAR TPS</v>
      </c>
      <c r="C459" s="2" t="str">
        <f>VLOOKUP($A459,'[1]daily coal, energy reqd'!$C$2:$T$599,17,FALSE)</f>
        <v>Punjab</v>
      </c>
      <c r="D459" s="2" t="str">
        <f>VLOOKUP(C459,'Target PLF'!$I$2:$J$19,2,FALSE)</f>
        <v>NR</v>
      </c>
      <c r="E459" s="2" t="str">
        <f>VLOOKUP(A459,[2]Ownership!$C$2:$D$666,2,FALSE)</f>
        <v>STATE SECTOR</v>
      </c>
      <c r="F459" s="2" t="s">
        <v>548</v>
      </c>
      <c r="G459" s="12">
        <v>31.337440109513999</v>
      </c>
      <c r="H459" s="2">
        <v>210</v>
      </c>
      <c r="I459" s="2">
        <f>VLOOKUP(A459,'[3]Calculated coal req (reg.)'!$A$2:$I$599,9,FALSE)</f>
        <v>0.89856491681318496</v>
      </c>
      <c r="J459" s="2"/>
      <c r="K459" s="11">
        <v>0.1782866898438859</v>
      </c>
      <c r="L459" s="3">
        <f>VLOOKUP(F459,'Target PLF'!$A$2:$B$11,2,FALSE)</f>
        <v>0.6</v>
      </c>
      <c r="M459" s="3">
        <f t="shared" si="371"/>
        <v>0.42171331015611407</v>
      </c>
      <c r="N459" s="2" t="str">
        <f t="shared" si="354"/>
        <v>0.25</v>
      </c>
      <c r="O459" s="2">
        <f t="shared" si="349"/>
        <v>5.8001733672737936</v>
      </c>
      <c r="P459" s="2">
        <f t="shared" si="355"/>
        <v>444583.2886015363</v>
      </c>
      <c r="Q459" s="2">
        <f t="shared" si="356"/>
        <v>15.145922165468855</v>
      </c>
      <c r="R459" s="2">
        <f t="shared" si="357"/>
        <v>3.024</v>
      </c>
      <c r="S459" s="2"/>
      <c r="T459" s="2" t="str">
        <f>VLOOKUP(A459,'[4]CEA vs MERIT comp. &amp; NPA marker'!$C$2:$K$735,9,FALSE)</f>
        <v>Contracted</v>
      </c>
      <c r="U459" s="3">
        <f>VLOOKUP(B459,'[8]Import-Domestic share'!$A$208:$F$406,6,FALSE)</f>
        <v>0</v>
      </c>
      <c r="V459" s="3">
        <f t="shared" si="358"/>
        <v>0</v>
      </c>
      <c r="W459" s="2">
        <f t="shared" si="359"/>
        <v>3264.4982676420259</v>
      </c>
      <c r="X459" s="2">
        <f t="shared" si="360"/>
        <v>3403.904542636305</v>
      </c>
      <c r="Y459" s="6">
        <f t="shared" si="361"/>
        <v>0.26344017655772417</v>
      </c>
      <c r="Z459" s="2"/>
      <c r="AA459" s="2">
        <f t="shared" si="362"/>
        <v>260851.42403125582</v>
      </c>
      <c r="AB459" s="2" t="s">
        <v>576</v>
      </c>
      <c r="AC459" s="12">
        <f>VLOOKUP(B459,[9]Sheet1!$A$2:$B$137,2,FALSE)</f>
        <v>4279.8296499506378</v>
      </c>
      <c r="AD459" s="12">
        <f t="shared" si="363"/>
        <v>898764.2264896339</v>
      </c>
      <c r="AE459" s="2"/>
      <c r="AF459" s="7">
        <f>VLOOKUP($B459,'[9]Subsidiary wise dispatch'!$A$3:$R$138,11,FALSE)*$H459*$O459*365</f>
        <v>140803.43620192003</v>
      </c>
      <c r="AG459" s="7">
        <f>VLOOKUP($B459,'[9]Subsidiary wise dispatch'!$A$3:$R$138,12,FALSE)*$H459*$O459*365</f>
        <v>125120.92046038702</v>
      </c>
      <c r="AH459" s="7">
        <f>VLOOKUP($B459,'[9]Subsidiary wise dispatch'!$A$3:$R$138,13,FALSE)*$H459*$O459*365</f>
        <v>0</v>
      </c>
      <c r="AI459" s="7">
        <f>VLOOKUP($B459,'[9]Subsidiary wise dispatch'!$A$3:$R$138,14,FALSE)*$H459*$O459*365</f>
        <v>0</v>
      </c>
      <c r="AJ459" s="7">
        <f>VLOOKUP($B459,'[9]Subsidiary wise dispatch'!$A$3:$R$138,15,FALSE)*$H459*$O459*365</f>
        <v>0</v>
      </c>
      <c r="AK459" s="7">
        <f>VLOOKUP($B459,'[9]Subsidiary wise dispatch'!$A$3:$R$138,16,FALSE)*$H459*$O459*365</f>
        <v>0</v>
      </c>
      <c r="AL459" s="7">
        <f>VLOOKUP($B459,'[9]Subsidiary wise dispatch'!$A$3:$R$138,17,FALSE)*$H459*$O459*365</f>
        <v>178658.93193922925</v>
      </c>
      <c r="AM459" s="7">
        <f>VLOOKUP($B459,'[9]Subsidiary wise dispatch'!$A$3:$R$138,18,FALSE)*$H459*$O459*365</f>
        <v>0</v>
      </c>
      <c r="AN459" s="15">
        <f t="shared" si="364"/>
        <v>444583.2886015363</v>
      </c>
      <c r="AO459" s="6">
        <v>8.4396929249325001E-2</v>
      </c>
      <c r="AP459" s="11">
        <f t="shared" si="365"/>
        <v>7.5836119710207969E-2</v>
      </c>
      <c r="AQ459" s="11"/>
      <c r="AR459" s="3">
        <f>VLOOKUP(A459,[10]Sheet1!$A$2:$L$542,12,FALSE)</f>
        <v>3.78</v>
      </c>
      <c r="AS459" s="3">
        <f t="shared" si="372"/>
        <v>3.5393566050646861</v>
      </c>
      <c r="AT459" s="2"/>
      <c r="AU459" s="2"/>
      <c r="AV459" s="88">
        <f t="shared" si="373"/>
        <v>0.30903994794860351</v>
      </c>
      <c r="AW459" s="32">
        <f t="shared" si="374"/>
        <v>8.731528987680387E-2</v>
      </c>
      <c r="AX459" s="12">
        <f t="shared" si="366"/>
        <v>116.08247107917835</v>
      </c>
      <c r="AY459" s="12">
        <f t="shared" si="367"/>
        <v>0</v>
      </c>
      <c r="AZ459" s="3">
        <f>VLOOKUP(A459,[5]Analysis!$A$3:$BJ$543,62,FALSE)</f>
        <v>1.1606184636015411</v>
      </c>
      <c r="BA459" s="2"/>
      <c r="BB459" s="2"/>
      <c r="BC459" s="2" t="str">
        <f>VLOOKUP(A459,'[6]FGD status - Jun 2020'!$I$2:$M$449,5,FALSE)</f>
        <v>NIT issued</v>
      </c>
      <c r="BD459" s="2" t="str">
        <f>VLOOKUP(A459,'[1]daily coal, energy reqd'!$C$2:$L$599,10,FALSE)</f>
        <v>Y</v>
      </c>
      <c r="BE459" s="2"/>
      <c r="BF459" s="2">
        <f t="shared" si="368"/>
        <v>80.73351573767367</v>
      </c>
      <c r="BG459" s="2">
        <f t="shared" si="369"/>
        <v>0</v>
      </c>
      <c r="BH459" s="2">
        <f t="shared" si="384"/>
        <v>31.5</v>
      </c>
      <c r="BI459" s="2">
        <f t="shared" si="385"/>
        <v>16.8</v>
      </c>
      <c r="BK459">
        <f t="shared" si="370"/>
        <v>37.440204867216039</v>
      </c>
      <c r="BP459" s="2" t="str">
        <f>VLOOKUP(A459,'[7]Table 2'!$J$2:$N$449,5,FALSE)</f>
        <v>NIT issued</v>
      </c>
      <c r="BR459">
        <f t="shared" si="375"/>
        <v>129.57140567626868</v>
      </c>
      <c r="BT459">
        <f>(X459*I459*365*[5]Analysis!BK459)/10^4</f>
        <v>43.555379628622518</v>
      </c>
      <c r="BV459">
        <f>(X459*I459*365*[5]Analysis!BL459)/10^4</f>
        <v>86.016026047646122</v>
      </c>
      <c r="BX459">
        <f t="shared" si="376"/>
        <v>313509.49322488642</v>
      </c>
      <c r="BZ459">
        <f t="shared" si="377"/>
        <v>1971882.7222052147</v>
      </c>
      <c r="CB459">
        <f t="shared" si="378"/>
        <v>-17276.68204002803</v>
      </c>
      <c r="CD459">
        <f t="shared" si="379"/>
        <v>0</v>
      </c>
      <c r="CF459">
        <f t="shared" si="380"/>
        <v>585633.84386103402</v>
      </c>
      <c r="CH459">
        <f t="shared" si="381"/>
        <v>208501.27382125586</v>
      </c>
      <c r="CJ459">
        <f t="shared" si="382"/>
        <v>-113577.70692026977</v>
      </c>
      <c r="CL459">
        <f t="shared" si="383"/>
        <v>214392.04721002519</v>
      </c>
    </row>
    <row r="460" spans="1:90" x14ac:dyDescent="0.2">
      <c r="A460" s="2" t="s">
        <v>418</v>
      </c>
      <c r="B460" s="2" t="str">
        <f t="shared" si="386"/>
        <v>ROPAR TPS</v>
      </c>
      <c r="C460" s="2" t="str">
        <f>VLOOKUP($A460,'[1]daily coal, energy reqd'!$C$2:$T$599,17,FALSE)</f>
        <v>Punjab</v>
      </c>
      <c r="D460" s="2" t="str">
        <f>VLOOKUP(C460,'Target PLF'!$I$2:$J$19,2,FALSE)</f>
        <v>NR</v>
      </c>
      <c r="E460" s="2" t="str">
        <f>VLOOKUP(A460,[2]Ownership!$C$2:$D$666,2,FALSE)</f>
        <v>STATE SECTOR</v>
      </c>
      <c r="F460" s="2" t="s">
        <v>547</v>
      </c>
      <c r="G460" s="12">
        <v>28.175222450376399</v>
      </c>
      <c r="H460" s="2">
        <v>210</v>
      </c>
      <c r="I460" s="2">
        <f>VLOOKUP(A460,'[3]Calculated coal req (reg.)'!$A$2:$I$599,9,FALSE)</f>
        <v>1.1335272668043801</v>
      </c>
      <c r="J460" s="2"/>
      <c r="K460" s="11">
        <v>0.22490620373102779</v>
      </c>
      <c r="L460" s="3">
        <f>VLOOKUP(F460,'Target PLF'!$A$2:$B$11,2,FALSE)</f>
        <v>0.65</v>
      </c>
      <c r="M460" s="3">
        <f t="shared" si="371"/>
        <v>0.42509379626897226</v>
      </c>
      <c r="N460" s="2" t="str">
        <f t="shared" si="354"/>
        <v>0.25</v>
      </c>
      <c r="O460" s="2">
        <f t="shared" si="349"/>
        <v>6.3486414054865818</v>
      </c>
      <c r="P460" s="2">
        <f t="shared" si="355"/>
        <v>486623.36373054649</v>
      </c>
      <c r="Q460" s="2">
        <f t="shared" si="356"/>
        <v>15.045758921115672</v>
      </c>
      <c r="R460" s="2">
        <f t="shared" si="357"/>
        <v>3.2759999999999998</v>
      </c>
      <c r="S460" s="2"/>
      <c r="T460" s="2" t="str">
        <f>VLOOKUP(A460,'[4]CEA vs MERIT comp. &amp; NPA marker'!$C$2:$K$735,9,FALSE)</f>
        <v>Contracted</v>
      </c>
      <c r="U460" s="3">
        <f>VLOOKUP(B460,'[8]Import-Domestic share'!$A$208:$F$406,6,FALSE)</f>
        <v>0</v>
      </c>
      <c r="V460" s="3">
        <f t="shared" si="358"/>
        <v>0</v>
      </c>
      <c r="W460" s="2">
        <f t="shared" si="359"/>
        <v>3223.8086666153317</v>
      </c>
      <c r="X460" s="2">
        <f t="shared" si="360"/>
        <v>3364.3324329605211</v>
      </c>
      <c r="Y460" s="6">
        <f t="shared" si="361"/>
        <v>0.26676521125644587</v>
      </c>
      <c r="Z460" s="2"/>
      <c r="AA460" s="2">
        <f t="shared" si="362"/>
        <v>325234.98448136949</v>
      </c>
      <c r="AB460" s="2" t="s">
        <v>576</v>
      </c>
      <c r="AC460" s="12">
        <f>VLOOKUP(B460,[9]Sheet1!$A$2:$B$137,2,FALSE)</f>
        <v>4279.8296499506378</v>
      </c>
      <c r="AD460" s="12">
        <f t="shared" si="363"/>
        <v>898764.2264896339</v>
      </c>
      <c r="AE460" s="2"/>
      <c r="AF460" s="7">
        <f>VLOOKUP($B460,'[9]Subsidiary wise dispatch'!$A$3:$R$138,11,FALSE)*$H460*$O460*365</f>
        <v>154117.89760457713</v>
      </c>
      <c r="AG460" s="7">
        <f>VLOOKUP($B460,'[9]Subsidiary wise dispatch'!$A$3:$R$138,12,FALSE)*$H460*$O460*365</f>
        <v>136952.43332024175</v>
      </c>
      <c r="AH460" s="7">
        <f>VLOOKUP($B460,'[9]Subsidiary wise dispatch'!$A$3:$R$138,13,FALSE)*$H460*$O460*365</f>
        <v>0</v>
      </c>
      <c r="AI460" s="7">
        <f>VLOOKUP($B460,'[9]Subsidiary wise dispatch'!$A$3:$R$138,14,FALSE)*$H460*$O460*365</f>
        <v>0</v>
      </c>
      <c r="AJ460" s="7">
        <f>VLOOKUP($B460,'[9]Subsidiary wise dispatch'!$A$3:$R$138,15,FALSE)*$H460*$O460*365</f>
        <v>0</v>
      </c>
      <c r="AK460" s="7">
        <f>VLOOKUP($B460,'[9]Subsidiary wise dispatch'!$A$3:$R$138,16,FALSE)*$H460*$O460*365</f>
        <v>0</v>
      </c>
      <c r="AL460" s="7">
        <f>VLOOKUP($B460,'[9]Subsidiary wise dispatch'!$A$3:$R$138,17,FALSE)*$H460*$O460*365</f>
        <v>195553.03280572768</v>
      </c>
      <c r="AM460" s="7">
        <f>VLOOKUP($B460,'[9]Subsidiary wise dispatch'!$A$3:$R$138,18,FALSE)*$H460*$O460*365</f>
        <v>0</v>
      </c>
      <c r="AN460" s="15">
        <f t="shared" si="364"/>
        <v>486623.36373054655</v>
      </c>
      <c r="AO460" s="6">
        <v>8.4396929249325001E-2</v>
      </c>
      <c r="AP460" s="11">
        <f t="shared" si="365"/>
        <v>9.5666220538670008E-2</v>
      </c>
      <c r="AQ460" s="11"/>
      <c r="AR460" s="3">
        <f>VLOOKUP(A460,[10]Sheet1!$A$2:$L$542,12,FALSE)</f>
        <v>3.78</v>
      </c>
      <c r="AS460" s="3">
        <f t="shared" si="372"/>
        <v>3.5118858231658336</v>
      </c>
      <c r="AT460" s="2"/>
      <c r="AU460" s="2"/>
      <c r="AV460" s="88">
        <f t="shared" si="373"/>
        <v>0.31151723578182827</v>
      </c>
      <c r="AW460" s="32">
        <f t="shared" si="374"/>
        <v>8.8703691255260439E-2</v>
      </c>
      <c r="AX460" s="12">
        <f t="shared" si="366"/>
        <v>145.29986935387097</v>
      </c>
      <c r="AY460" s="12">
        <f t="shared" si="367"/>
        <v>0</v>
      </c>
      <c r="AZ460" s="3">
        <f>VLOOKUP(A460,[5]Analysis!$A$3:$BJ$543,62,FALSE)</f>
        <v>1.1606184636015411</v>
      </c>
      <c r="BA460" s="2"/>
      <c r="BB460" s="2"/>
      <c r="BC460" s="2" t="str">
        <f>VLOOKUP(A460,'[6]FGD status - Jun 2020'!$I$2:$M$449,5,FALSE)</f>
        <v>NIT issued</v>
      </c>
      <c r="BD460" s="2" t="str">
        <f>VLOOKUP(A460,'[1]daily coal, energy reqd'!$C$2:$L$599,10,FALSE)</f>
        <v>Y</v>
      </c>
      <c r="BE460" s="2"/>
      <c r="BF460" s="2">
        <f t="shared" si="368"/>
        <v>100.66022769698387</v>
      </c>
      <c r="BG460" s="2">
        <f t="shared" si="369"/>
        <v>0</v>
      </c>
      <c r="BH460" s="2">
        <f t="shared" si="384"/>
        <v>31.5</v>
      </c>
      <c r="BI460" s="2">
        <f t="shared" si="385"/>
        <v>16.8</v>
      </c>
      <c r="BK460">
        <f t="shared" si="370"/>
        <v>47.230302783515839</v>
      </c>
      <c r="BL460">
        <f>VLOOKUP(A460,'[11]Daily coal vs energy req.2'!$C$2:$P$599,14,FALSE)</f>
        <v>1.08</v>
      </c>
      <c r="BM460">
        <f>VLOOKUP(A460,'[11]Daily coal vs energy req.2'!$C$2:$R$599,16,FALSE)</f>
        <v>1.08</v>
      </c>
      <c r="BN460">
        <f>BL460*H460</f>
        <v>226.8</v>
      </c>
      <c r="BO460">
        <f>BM460*H460</f>
        <v>226.8</v>
      </c>
      <c r="BP460" s="2" t="str">
        <f>VLOOKUP(A460,'[7]Table 2'!$J$2:$N$449,5,FALSE)</f>
        <v>NIT issued</v>
      </c>
      <c r="BR460">
        <f t="shared" si="375"/>
        <v>161.55232531642616</v>
      </c>
      <c r="BT460">
        <f>(X460*I460*365*[5]Analysis!BK460)/10^4</f>
        <v>54.305753822136808</v>
      </c>
      <c r="BV460">
        <f>(X460*I460*365*[5]Analysis!BL460)/10^4</f>
        <v>107.24657149428933</v>
      </c>
      <c r="BX460">
        <f t="shared" si="376"/>
        <v>390890.1611038947</v>
      </c>
      <c r="BZ460">
        <f t="shared" si="377"/>
        <v>2487502.8957142788</v>
      </c>
      <c r="CB460">
        <f t="shared" si="378"/>
        <v>-27493.204797117542</v>
      </c>
      <c r="CD460">
        <f t="shared" si="379"/>
        <v>0</v>
      </c>
      <c r="CF460">
        <f t="shared" si="380"/>
        <v>738769.02821252053</v>
      </c>
      <c r="CH460">
        <f t="shared" si="381"/>
        <v>236480.35165180723</v>
      </c>
      <c r="CJ460">
        <f t="shared" si="382"/>
        <v>-143276.71299680686</v>
      </c>
      <c r="CL460">
        <f t="shared" si="383"/>
        <v>270452.61477652384</v>
      </c>
    </row>
    <row r="461" spans="1:90" x14ac:dyDescent="0.2">
      <c r="A461" s="2" t="s">
        <v>415</v>
      </c>
      <c r="B461" s="2" t="str">
        <f t="shared" si="386"/>
        <v>ROPAR TPS</v>
      </c>
      <c r="C461" s="2" t="str">
        <f>VLOOKUP($A461,'[1]daily coal, energy reqd'!$C$2:$T$599,17,FALSE)</f>
        <v>Punjab</v>
      </c>
      <c r="D461" s="2" t="str">
        <f>VLOOKUP(C461,'Target PLF'!$I$2:$J$19,2,FALSE)</f>
        <v>NR</v>
      </c>
      <c r="E461" s="2" t="str">
        <f>VLOOKUP(A461,[2]Ownership!$C$2:$D$666,2,FALSE)</f>
        <v>STATE SECTOR</v>
      </c>
      <c r="F461" s="2" t="s">
        <v>547</v>
      </c>
      <c r="G461" s="12">
        <v>27.175906913073199</v>
      </c>
      <c r="H461" s="2">
        <v>210</v>
      </c>
      <c r="I461" s="2">
        <f>VLOOKUP(A461,'[3]Calculated coal req (reg.)'!$A$2:$I$599,9,FALSE)</f>
        <v>1.18571042428094</v>
      </c>
      <c r="J461" s="2"/>
      <c r="K461" s="11">
        <v>0.23526000481764683</v>
      </c>
      <c r="L461" s="3">
        <f>VLOOKUP(F461,'Target PLF'!$A$2:$B$11,2,FALSE)</f>
        <v>0.65</v>
      </c>
      <c r="M461" s="3">
        <f t="shared" si="371"/>
        <v>0.41473999518235316</v>
      </c>
      <c r="N461" s="2" t="str">
        <f t="shared" si="354"/>
        <v>0.25</v>
      </c>
      <c r="O461" s="2">
        <f t="shared" si="349"/>
        <v>6.4610436265009596</v>
      </c>
      <c r="P461" s="2">
        <f t="shared" si="355"/>
        <v>495238.99397129857</v>
      </c>
      <c r="Q461" s="2">
        <f t="shared" si="356"/>
        <v>15.014105601471593</v>
      </c>
      <c r="R461" s="2">
        <f t="shared" si="357"/>
        <v>3.2759999999999998</v>
      </c>
      <c r="S461" s="2"/>
      <c r="T461" s="2" t="str">
        <f>VLOOKUP(A461,'[4]CEA vs MERIT comp. &amp; NPA marker'!$C$2:$K$735,9,FALSE)</f>
        <v>Contracted</v>
      </c>
      <c r="U461" s="3">
        <f>VLOOKUP(B461,'[8]Import-Domestic share'!$A$208:$F$406,6,FALSE)</f>
        <v>0</v>
      </c>
      <c r="V461" s="3">
        <f t="shared" si="358"/>
        <v>0</v>
      </c>
      <c r="W461" s="2">
        <f t="shared" si="359"/>
        <v>3216.1733592778919</v>
      </c>
      <c r="X461" s="2">
        <f t="shared" si="360"/>
        <v>3353.2744571733165</v>
      </c>
      <c r="Y461" s="6">
        <f t="shared" si="361"/>
        <v>0.26739852113975926</v>
      </c>
      <c r="Z461" s="2"/>
      <c r="AA461" s="2">
        <f t="shared" si="362"/>
        <v>339089.32683285972</v>
      </c>
      <c r="AB461" s="2" t="s">
        <v>576</v>
      </c>
      <c r="AC461" s="12">
        <f>VLOOKUP(B461,[9]Sheet1!$A$2:$B$137,2,FALSE)</f>
        <v>4279.8296499506378</v>
      </c>
      <c r="AD461" s="12">
        <f t="shared" si="363"/>
        <v>898764.2264896339</v>
      </c>
      <c r="AE461" s="2"/>
      <c r="AF461" s="7">
        <f>VLOOKUP($B461,'[9]Subsidiary wise dispatch'!$A$3:$R$138,11,FALSE)*$H461*$O461*365</f>
        <v>156846.54344900139</v>
      </c>
      <c r="AG461" s="7">
        <f>VLOOKUP($B461,'[9]Subsidiary wise dispatch'!$A$3:$R$138,12,FALSE)*$H461*$O461*365</f>
        <v>139377.16590400608</v>
      </c>
      <c r="AH461" s="7">
        <f>VLOOKUP($B461,'[9]Subsidiary wise dispatch'!$A$3:$R$138,13,FALSE)*$H461*$O461*365</f>
        <v>0</v>
      </c>
      <c r="AI461" s="7">
        <f>VLOOKUP($B461,'[9]Subsidiary wise dispatch'!$A$3:$R$138,14,FALSE)*$H461*$O461*365</f>
        <v>0</v>
      </c>
      <c r="AJ461" s="7">
        <f>VLOOKUP($B461,'[9]Subsidiary wise dispatch'!$A$3:$R$138,15,FALSE)*$H461*$O461*365</f>
        <v>0</v>
      </c>
      <c r="AK461" s="7">
        <f>VLOOKUP($B461,'[9]Subsidiary wise dispatch'!$A$3:$R$138,16,FALSE)*$H461*$O461*365</f>
        <v>0</v>
      </c>
      <c r="AL461" s="7">
        <f>VLOOKUP($B461,'[9]Subsidiary wise dispatch'!$A$3:$R$138,17,FALSE)*$H461*$O461*365</f>
        <v>199015.28461829113</v>
      </c>
      <c r="AM461" s="7">
        <f>VLOOKUP($B461,'[9]Subsidiary wise dispatch'!$A$3:$R$138,18,FALSE)*$H461*$O461*365</f>
        <v>0</v>
      </c>
      <c r="AN461" s="15">
        <f t="shared" si="364"/>
        <v>495238.99397129862</v>
      </c>
      <c r="AO461" s="6">
        <v>8.4396929249325001E-2</v>
      </c>
      <c r="AP461" s="11">
        <f t="shared" si="365"/>
        <v>0.10007031878822562</v>
      </c>
      <c r="AQ461" s="11"/>
      <c r="AR461" s="3">
        <f>VLOOKUP(A461,[10]Sheet1!$A$2:$L$542,12,FALSE)</f>
        <v>3.78</v>
      </c>
      <c r="AS461" s="3">
        <f t="shared" si="372"/>
        <v>3.5033529487516839</v>
      </c>
      <c r="AT461" s="2"/>
      <c r="AU461" s="2"/>
      <c r="AV461" s="88">
        <f t="shared" si="373"/>
        <v>0.30392976326953203</v>
      </c>
      <c r="AW461" s="32">
        <f t="shared" si="374"/>
        <v>8.6753966190539947E-2</v>
      </c>
      <c r="AX461" s="12">
        <f t="shared" si="366"/>
        <v>151.61961706136381</v>
      </c>
      <c r="AY461" s="12">
        <f t="shared" si="367"/>
        <v>0</v>
      </c>
      <c r="AZ461" s="3">
        <f>VLOOKUP(A461,[5]Analysis!$A$3:$BJ$543,62,FALSE)</f>
        <v>1.1606184636015411</v>
      </c>
      <c r="BA461" s="2"/>
      <c r="BB461" s="2"/>
      <c r="BC461" s="2" t="str">
        <f>VLOOKUP(A461,'[6]FGD status - Jun 2020'!$I$2:$M$449,5,FALSE)</f>
        <v>NIT issued</v>
      </c>
      <c r="BD461" s="2" t="str">
        <f>VLOOKUP(A461,'[1]daily coal, energy reqd'!$C$2:$L$599,10,FALSE)</f>
        <v>Y</v>
      </c>
      <c r="BE461" s="2"/>
      <c r="BF461" s="2">
        <f t="shared" si="368"/>
        <v>104.94814665477008</v>
      </c>
      <c r="BG461" s="2">
        <f t="shared" si="369"/>
        <v>0</v>
      </c>
      <c r="BH461" s="2">
        <f t="shared" si="384"/>
        <v>31.5</v>
      </c>
      <c r="BI461" s="2">
        <f t="shared" si="385"/>
        <v>16.8</v>
      </c>
      <c r="BK461">
        <f t="shared" si="370"/>
        <v>49.404601011705836</v>
      </c>
      <c r="BL461">
        <f>VLOOKUP(A461,'[11]Daily coal vs energy req.2'!$C$2:$P$599,14,FALSE)</f>
        <v>1.1399999999999999</v>
      </c>
      <c r="BM461">
        <f>VLOOKUP(A461,'[11]Daily coal vs energy req.2'!$C$2:$R$599,16,FALSE)</f>
        <v>1.1100000000000001</v>
      </c>
      <c r="BN461">
        <f>BL461*H461</f>
        <v>239.39999999999998</v>
      </c>
      <c r="BO461">
        <f>BM461*H461</f>
        <v>233.10000000000002</v>
      </c>
      <c r="BP461" s="2" t="str">
        <f>VLOOKUP(A461,'[7]Table 2'!$J$2:$N$449,5,FALSE)</f>
        <v>NIT issued</v>
      </c>
      <c r="BR461">
        <f t="shared" si="375"/>
        <v>168.43412256890252</v>
      </c>
      <c r="BT461">
        <f>(X461*I461*365*[5]Analysis!BK461)/10^4</f>
        <v>56.61906739849573</v>
      </c>
      <c r="BV461">
        <f>(X461*I461*365*[5]Analysis!BL461)/10^4</f>
        <v>111.81505517040682</v>
      </c>
      <c r="BX461">
        <f t="shared" si="376"/>
        <v>407541.27913290472</v>
      </c>
      <c r="BZ461">
        <f t="shared" si="377"/>
        <v>2602017.7901785318</v>
      </c>
      <c r="CB461">
        <f t="shared" si="378"/>
        <v>-30082.830746195945</v>
      </c>
      <c r="CD461">
        <f t="shared" si="379"/>
        <v>0</v>
      </c>
      <c r="CF461">
        <f t="shared" si="380"/>
        <v>772779.06190734485</v>
      </c>
      <c r="CH461">
        <f t="shared" si="381"/>
        <v>238593.39766180571</v>
      </c>
      <c r="CJ461">
        <f t="shared" si="382"/>
        <v>-149872.61191868654</v>
      </c>
      <c r="CL461">
        <f t="shared" si="383"/>
        <v>282903.19430834049</v>
      </c>
    </row>
    <row r="462" spans="1:90" x14ac:dyDescent="0.2">
      <c r="A462" s="2" t="s">
        <v>518</v>
      </c>
      <c r="B462" s="2" t="str">
        <f t="shared" si="386"/>
        <v>SABARMATI (D-F STATIONS) TPP</v>
      </c>
      <c r="C462" s="2" t="str">
        <f>VLOOKUP($A462,'[1]daily coal, energy reqd'!$C$2:$T$599,17,FALSE)</f>
        <v>Gujarat</v>
      </c>
      <c r="D462" s="2" t="str">
        <f>VLOOKUP(C462,'Target PLF'!$I$2:$J$19,2,FALSE)</f>
        <v>WR</v>
      </c>
      <c r="E462" s="2" t="str">
        <f>VLOOKUP(A462,[2]Ownership!$C$2:$D$666,2,FALSE)</f>
        <v>PVT SECTOR</v>
      </c>
      <c r="F462" s="2" t="s">
        <v>550</v>
      </c>
      <c r="G462" s="12">
        <v>41.590691307323702</v>
      </c>
      <c r="H462" s="2">
        <v>120</v>
      </c>
      <c r="I462" s="2">
        <f>VLOOKUP(A462,'[3]Calculated coal req (reg.)'!$A$2:$I$599,9,FALSE)</f>
        <v>2.32375633209739</v>
      </c>
      <c r="J462" s="2"/>
      <c r="K462" s="11">
        <v>0.80685983753381596</v>
      </c>
      <c r="L462" s="3">
        <f>VLOOKUP(F462,'Target PLF'!$A$2:$B$11,2,FALSE)</f>
        <v>0.55000000000000004</v>
      </c>
      <c r="M462" s="3">
        <f t="shared" si="371"/>
        <v>-0.25685983753381592</v>
      </c>
      <c r="N462" s="2" t="str">
        <f t="shared" si="354"/>
        <v>0.25</v>
      </c>
      <c r="O462" s="2">
        <f t="shared" si="349"/>
        <v>14.44943177471872</v>
      </c>
      <c r="P462" s="2">
        <f t="shared" si="355"/>
        <v>632885.11173267988</v>
      </c>
      <c r="Q462" s="2">
        <f t="shared" si="356"/>
        <v>15.049653797159479</v>
      </c>
      <c r="R462" s="2">
        <f t="shared" si="357"/>
        <v>1.5840000000000003</v>
      </c>
      <c r="S462" s="2"/>
      <c r="T462" s="2" t="str">
        <f>VLOOKUP(A462,'[4]CEA vs MERIT comp. &amp; NPA marker'!$C$2:$K$735,9,FALSE)</f>
        <v>Contracted</v>
      </c>
      <c r="U462" s="3">
        <f>VLOOKUP(B462,'[8]Import-Domestic share'!$A$208:$F$406,6,FALSE)</f>
        <v>0.24296768320436962</v>
      </c>
      <c r="V462" s="3">
        <f t="shared" si="358"/>
        <v>153770.62933222787</v>
      </c>
      <c r="W462" s="2">
        <f t="shared" si="359"/>
        <v>3497.4624045866358</v>
      </c>
      <c r="X462" s="2">
        <f t="shared" si="360"/>
        <v>3412.5519398612773</v>
      </c>
      <c r="Y462" s="6">
        <f t="shared" si="361"/>
        <v>0.24589256452683533</v>
      </c>
      <c r="Z462" s="2"/>
      <c r="AA462" s="2">
        <f t="shared" si="362"/>
        <v>675321.46530221985</v>
      </c>
      <c r="AB462" s="2" t="s">
        <v>576</v>
      </c>
      <c r="AC462" s="12"/>
      <c r="AD462" s="12">
        <f t="shared" si="363"/>
        <v>0</v>
      </c>
      <c r="AE462" s="2"/>
      <c r="AF462" s="7"/>
      <c r="AG462" s="7"/>
      <c r="AH462" s="7"/>
      <c r="AI462" s="7"/>
      <c r="AJ462" s="7"/>
      <c r="AK462" s="7"/>
      <c r="AL462" s="7"/>
      <c r="AM462" s="7"/>
      <c r="AN462" s="15">
        <f t="shared" si="364"/>
        <v>0</v>
      </c>
      <c r="AO462" s="6">
        <v>0.09</v>
      </c>
      <c r="AP462" s="11">
        <f t="shared" si="365"/>
        <v>0.2091380698887651</v>
      </c>
      <c r="AQ462" s="11"/>
      <c r="AR462" s="3">
        <f>VLOOKUP(A462,[10]Sheet1!$A$2:$L$542,12,FALSE)</f>
        <v>3.46250913520098</v>
      </c>
      <c r="AS462" s="3">
        <f t="shared" si="372"/>
        <v>3.3415677384414568</v>
      </c>
      <c r="AT462" s="2"/>
      <c r="AU462" s="2"/>
      <c r="AV462" s="88">
        <f t="shared" si="373"/>
        <v>-0.18823202614153098</v>
      </c>
      <c r="AW462" s="32">
        <f t="shared" si="374"/>
        <v>5.6330453510221049E-2</v>
      </c>
      <c r="AX462" s="12">
        <f t="shared" si="366"/>
        <v>283.42210548375272</v>
      </c>
      <c r="AY462" s="12">
        <f t="shared" si="367"/>
        <v>0</v>
      </c>
      <c r="AZ462" s="3">
        <f>VLOOKUP(A462,[5]Analysis!$A$3:$BJ$543,62,FALSE)</f>
        <v>0.97836265404083345</v>
      </c>
      <c r="BA462" s="65">
        <v>87.677664737684836</v>
      </c>
      <c r="BB462" s="2"/>
      <c r="BC462" s="2" t="str">
        <f>VLOOKUP(A462,'[6]FGD status - Jun 2020'!$I$2:$M$449,5,FALSE)</f>
        <v>NIT issued</v>
      </c>
      <c r="BD462" s="2">
        <f>VLOOKUP(A462,'[1]daily coal, energy reqd'!$C$2:$L$599,10,FALSE)</f>
        <v>0</v>
      </c>
      <c r="BE462" s="2" t="str">
        <f>VLOOKUP(A462,'[1]daily coal, energy reqd'!$C$2:$M$599,11,FALSE)</f>
        <v>Y</v>
      </c>
      <c r="BF462" s="2">
        <f t="shared" si="368"/>
        <v>244.05975744862928</v>
      </c>
      <c r="BG462" s="2">
        <f t="shared" si="369"/>
        <v>0</v>
      </c>
      <c r="BH462" s="2">
        <f t="shared" si="384"/>
        <v>18</v>
      </c>
      <c r="BI462" s="2">
        <f t="shared" si="385"/>
        <v>9.6</v>
      </c>
      <c r="BK462">
        <f t="shared" si="370"/>
        <v>96.823180504057916</v>
      </c>
      <c r="BP462" s="2" t="str">
        <f>VLOOKUP(A462,'[7]Table 2'!$J$2:$N$449,5,FALSE)</f>
        <v>NIT issued</v>
      </c>
      <c r="BR462">
        <f t="shared" si="375"/>
        <v>283.18000646167116</v>
      </c>
      <c r="BT462">
        <f>(X462*I462*365*[5]Analysis!BK462)/10^4</f>
        <v>168.31506649078872</v>
      </c>
      <c r="BV462">
        <f>(X462*I462*365*[5]Analysis!BL462)/10^4</f>
        <v>114.86493997088245</v>
      </c>
      <c r="BX462">
        <f t="shared" si="376"/>
        <v>812818.76583354722</v>
      </c>
      <c r="BZ462">
        <f t="shared" si="377"/>
        <v>4298655.0984480865</v>
      </c>
      <c r="CB462">
        <f t="shared" si="378"/>
        <v>-202199.76444301807</v>
      </c>
      <c r="CD462">
        <f t="shared" si="379"/>
        <v>-857569.26132508204</v>
      </c>
      <c r="CF462">
        <f t="shared" si="380"/>
        <v>1514493.0850283154</v>
      </c>
      <c r="CH462">
        <f t="shared" si="381"/>
        <v>715619.98872985749</v>
      </c>
      <c r="CJ462">
        <f t="shared" si="382"/>
        <v>-167840.27235473029</v>
      </c>
      <c r="CL462">
        <f t="shared" si="383"/>
        <v>591242.52565061394</v>
      </c>
    </row>
    <row r="463" spans="1:90" x14ac:dyDescent="0.2">
      <c r="A463" s="2" t="s">
        <v>498</v>
      </c>
      <c r="B463" s="2" t="str">
        <f t="shared" si="386"/>
        <v>SABARMATI (D-F STATIONS) TPP</v>
      </c>
      <c r="C463" s="2" t="str">
        <f>VLOOKUP($A463,'[1]daily coal, energy reqd'!$C$2:$T$599,17,FALSE)</f>
        <v>Gujarat</v>
      </c>
      <c r="D463" s="2" t="str">
        <f>VLOOKUP(C463,'Target PLF'!$I$2:$J$19,2,FALSE)</f>
        <v>WR</v>
      </c>
      <c r="E463" s="2" t="str">
        <f>VLOOKUP(A463,[2]Ownership!$C$2:$D$666,2,FALSE)</f>
        <v>PVT SECTOR</v>
      </c>
      <c r="F463" s="2" t="s">
        <v>549</v>
      </c>
      <c r="G463" s="12">
        <v>35.422313483915097</v>
      </c>
      <c r="H463" s="2">
        <v>121</v>
      </c>
      <c r="I463" s="2">
        <f>VLOOKUP(A463,'[3]Calculated coal req (reg.)'!$A$2:$I$599,9,FALSE)</f>
        <v>2.3670398749250299</v>
      </c>
      <c r="J463" s="2"/>
      <c r="K463" s="11">
        <v>0.81509637566288906</v>
      </c>
      <c r="L463" s="3">
        <f>VLOOKUP(F463,'Target PLF'!$A$2:$B$11,2,FALSE)</f>
        <v>0.55000000000000004</v>
      </c>
      <c r="M463" s="3">
        <f t="shared" si="371"/>
        <v>-0.26509637566288902</v>
      </c>
      <c r="N463" s="2" t="str">
        <f t="shared" si="354"/>
        <v>0.25</v>
      </c>
      <c r="O463" s="2">
        <f t="shared" si="349"/>
        <v>14.363437933113484</v>
      </c>
      <c r="P463" s="2">
        <f t="shared" si="355"/>
        <v>634361.23631595704</v>
      </c>
      <c r="Q463" s="2">
        <f t="shared" si="356"/>
        <v>14.84906252960301</v>
      </c>
      <c r="R463" s="2">
        <f t="shared" si="357"/>
        <v>1.5972</v>
      </c>
      <c r="S463" s="2"/>
      <c r="T463" s="2" t="str">
        <f>VLOOKUP(A463,'[4]CEA vs MERIT comp. &amp; NPA marker'!$C$2:$K$735,9,FALSE)</f>
        <v>Contracted</v>
      </c>
      <c r="U463" s="3">
        <f>VLOOKUP(B463,'[8]Import-Domestic share'!$A$208:$F$406,6,FALSE)</f>
        <v>0.24296768320436962</v>
      </c>
      <c r="V463" s="3">
        <f t="shared" si="358"/>
        <v>154129.27990234771</v>
      </c>
      <c r="W463" s="2">
        <f t="shared" si="359"/>
        <v>3449.4069432969031</v>
      </c>
      <c r="X463" s="2">
        <f t="shared" si="360"/>
        <v>3361.773716278371</v>
      </c>
      <c r="Y463" s="6">
        <f t="shared" si="361"/>
        <v>0.24931822024397676</v>
      </c>
      <c r="Z463" s="2"/>
      <c r="AA463" s="2">
        <f t="shared" si="362"/>
        <v>677664.52157503972</v>
      </c>
      <c r="AB463" s="2" t="s">
        <v>576</v>
      </c>
      <c r="AC463" s="12"/>
      <c r="AD463" s="12">
        <f t="shared" si="363"/>
        <v>0</v>
      </c>
      <c r="AE463" s="2"/>
      <c r="AF463" s="7"/>
      <c r="AG463" s="7"/>
      <c r="AH463" s="7"/>
      <c r="AI463" s="7"/>
      <c r="AJ463" s="7"/>
      <c r="AK463" s="7"/>
      <c r="AL463" s="7"/>
      <c r="AM463" s="7"/>
      <c r="AN463" s="15">
        <f t="shared" si="364"/>
        <v>0</v>
      </c>
      <c r="AO463" s="6">
        <v>0.09</v>
      </c>
      <c r="AP463" s="11">
        <f t="shared" si="365"/>
        <v>0.21303358874325268</v>
      </c>
      <c r="AQ463" s="11"/>
      <c r="AR463" s="3">
        <f>VLOOKUP(A463,[10]Sheet1!$A$2:$L$542,12,FALSE)</f>
        <v>3.46250913520098</v>
      </c>
      <c r="AS463" s="3">
        <f t="shared" si="372"/>
        <v>3.29008731693078</v>
      </c>
      <c r="AT463" s="2"/>
      <c r="AU463" s="2"/>
      <c r="AV463" s="88">
        <f t="shared" si="373"/>
        <v>-0.19426792601327833</v>
      </c>
      <c r="AW463" s="32">
        <f t="shared" si="374"/>
        <v>5.9046434729429866E-2</v>
      </c>
      <c r="AX463" s="12">
        <f t="shared" si="366"/>
        <v>284.25352729734948</v>
      </c>
      <c r="AY463" s="12">
        <f t="shared" si="367"/>
        <v>0</v>
      </c>
      <c r="AZ463" s="3">
        <f>VLOOKUP(A463,[5]Analysis!$A$3:$BJ$543,62,FALSE)</f>
        <v>0.97836265404083345</v>
      </c>
      <c r="BA463" s="65">
        <v>91.849836580358868</v>
      </c>
      <c r="BB463" s="2"/>
      <c r="BC463" s="2" t="str">
        <f>VLOOKUP(A463,'[6]FGD status - Jun 2020'!$I$2:$M$449,5,FALSE)</f>
        <v>NIT issued</v>
      </c>
      <c r="BD463" s="2">
        <f>VLOOKUP(A463,'[1]daily coal, energy reqd'!$C$2:$L$599,10,FALSE)</f>
        <v>0</v>
      </c>
      <c r="BE463" s="2" t="str">
        <f>VLOOKUP(A463,'[1]daily coal, energy reqd'!$C$2:$M$599,11,FALSE)</f>
        <v>Y</v>
      </c>
      <c r="BF463" s="2">
        <f t="shared" si="368"/>
        <v>244.90653305848943</v>
      </c>
      <c r="BG463" s="2">
        <f t="shared" si="369"/>
        <v>0</v>
      </c>
      <c r="BH463" s="2">
        <f t="shared" si="384"/>
        <v>18.149999999999999</v>
      </c>
      <c r="BI463" s="2">
        <f t="shared" si="385"/>
        <v>9.68</v>
      </c>
      <c r="BK463">
        <f t="shared" si="370"/>
        <v>98.626661455209572</v>
      </c>
      <c r="BP463" s="2" t="str">
        <f>VLOOKUP(A463,'[7]Table 2'!$J$2:$N$449,5,FALSE)</f>
        <v>NIT issued</v>
      </c>
      <c r="BR463">
        <f t="shared" si="375"/>
        <v>284.16251142348256</v>
      </c>
      <c r="BT463">
        <f>(X463*I463*365*[5]Analysis!BK463)/10^4</f>
        <v>168.89904270450916</v>
      </c>
      <c r="BV463">
        <f>(X463*I463*365*[5]Analysis!BL463)/10^4</f>
        <v>115.26346871897341</v>
      </c>
      <c r="BX463">
        <f t="shared" si="376"/>
        <v>815638.87478284538</v>
      </c>
      <c r="BZ463">
        <f t="shared" si="377"/>
        <v>4378724.1743167229</v>
      </c>
      <c r="CB463">
        <f t="shared" si="378"/>
        <v>-208068.57689207362</v>
      </c>
      <c r="CD463">
        <f t="shared" si="379"/>
        <v>-873542.81041778275</v>
      </c>
      <c r="CF463">
        <f t="shared" si="380"/>
        <v>1542702.8527232013</v>
      </c>
      <c r="CH463">
        <f t="shared" si="381"/>
        <v>620837.91786921304</v>
      </c>
      <c r="CJ463">
        <f t="shared" si="382"/>
        <v>-172391.27738680242</v>
      </c>
      <c r="CL463">
        <f t="shared" si="383"/>
        <v>602255.32885507995</v>
      </c>
    </row>
    <row r="464" spans="1:90" x14ac:dyDescent="0.2">
      <c r="A464" s="2" t="s">
        <v>469</v>
      </c>
      <c r="B464" s="2" t="str">
        <f t="shared" si="386"/>
        <v>SABARMATI (D-F STATIONS) TPP</v>
      </c>
      <c r="C464" s="2" t="str">
        <f>VLOOKUP($A464,'[1]daily coal, energy reqd'!$C$2:$T$599,17,FALSE)</f>
        <v>Gujarat</v>
      </c>
      <c r="D464" s="2" t="str">
        <f>VLOOKUP(C464,'Target PLF'!$I$2:$J$19,2,FALSE)</f>
        <v>WR</v>
      </c>
      <c r="E464" s="2" t="str">
        <f>VLOOKUP(A464,[2]Ownership!$C$2:$D$666,2,FALSE)</f>
        <v>PVT SECTOR</v>
      </c>
      <c r="F464" s="2" t="s">
        <v>548</v>
      </c>
      <c r="G464" s="12">
        <v>31.671457905544099</v>
      </c>
      <c r="H464" s="2">
        <v>121</v>
      </c>
      <c r="I464" s="2">
        <f>VLOOKUP(A464,'[3]Calculated coal req (reg.)'!$A$2:$I$599,9,FALSE)</f>
        <v>2.3705214010959401</v>
      </c>
      <c r="J464" s="2"/>
      <c r="K464" s="11">
        <v>0.8162952483112742</v>
      </c>
      <c r="L464" s="3">
        <f>VLOOKUP(F464,'Target PLF'!$A$2:$B$11,2,FALSE)</f>
        <v>0.6</v>
      </c>
      <c r="M464" s="3">
        <f t="shared" si="371"/>
        <v>-0.21629524831127422</v>
      </c>
      <c r="N464" s="2" t="str">
        <f t="shared" si="354"/>
        <v>0.25</v>
      </c>
      <c r="O464" s="2">
        <f t="shared" si="349"/>
        <v>14.26130985748736</v>
      </c>
      <c r="P464" s="2">
        <f t="shared" si="355"/>
        <v>629850.74985592917</v>
      </c>
      <c r="Q464" s="2">
        <f t="shared" si="356"/>
        <v>14.730254179158109</v>
      </c>
      <c r="R464" s="2">
        <f t="shared" si="357"/>
        <v>1.7423999999999999</v>
      </c>
      <c r="S464" s="2"/>
      <c r="T464" s="2" t="str">
        <f>VLOOKUP(A464,'[4]CEA vs MERIT comp. &amp; NPA marker'!$C$2:$K$735,9,FALSE)</f>
        <v>Contracted</v>
      </c>
      <c r="U464" s="3">
        <f>VLOOKUP(B464,'[8]Import-Domestic share'!$A$208:$F$406,6,FALSE)</f>
        <v>0.24296768320436962</v>
      </c>
      <c r="V464" s="3">
        <f t="shared" si="358"/>
        <v>153033.37745703006</v>
      </c>
      <c r="W464" s="2">
        <f t="shared" si="359"/>
        <v>3404.2198324687029</v>
      </c>
      <c r="X464" s="2">
        <f t="shared" si="360"/>
        <v>3332.7188526801469</v>
      </c>
      <c r="Y464" s="6">
        <f t="shared" si="361"/>
        <v>0.25262763344408856</v>
      </c>
      <c r="Z464" s="2"/>
      <c r="AA464" s="2">
        <f t="shared" si="362"/>
        <v>672795.77645862848</v>
      </c>
      <c r="AB464" s="2" t="s">
        <v>576</v>
      </c>
      <c r="AC464" s="12"/>
      <c r="AD464" s="12">
        <f t="shared" si="363"/>
        <v>0</v>
      </c>
      <c r="AE464" s="2"/>
      <c r="AF464" s="7"/>
      <c r="AG464" s="7"/>
      <c r="AH464" s="7"/>
      <c r="AI464" s="7"/>
      <c r="AJ464" s="7"/>
      <c r="AK464" s="7"/>
      <c r="AL464" s="7"/>
      <c r="AM464" s="7"/>
      <c r="AN464" s="15">
        <f t="shared" si="364"/>
        <v>0</v>
      </c>
      <c r="AO464" s="6">
        <v>0.09</v>
      </c>
      <c r="AP464" s="11">
        <f t="shared" si="365"/>
        <v>0.21334692609863459</v>
      </c>
      <c r="AQ464" s="11"/>
      <c r="AR464" s="3">
        <f>VLOOKUP(A464,[10]Sheet1!$A$2:$L$542,12,FALSE)</f>
        <v>3.46250913520098</v>
      </c>
      <c r="AS464" s="3">
        <f t="shared" si="372"/>
        <v>3.2593359832819138</v>
      </c>
      <c r="AT464" s="2"/>
      <c r="AU464" s="2"/>
      <c r="AV464" s="88">
        <f t="shared" si="373"/>
        <v>-0.15850548386746799</v>
      </c>
      <c r="AW464" s="32">
        <f t="shared" si="374"/>
        <v>4.8631219573707314E-2</v>
      </c>
      <c r="AX464" s="12">
        <f t="shared" si="366"/>
        <v>282.01088811321273</v>
      </c>
      <c r="AY464" s="12">
        <f t="shared" si="367"/>
        <v>0</v>
      </c>
      <c r="AZ464" s="3">
        <f>VLOOKUP(A464,[5]Analysis!$A$3:$BJ$543,62,FALSE)</f>
        <v>0.97836265404083345</v>
      </c>
      <c r="BA464" s="65">
        <v>84.862498681956268</v>
      </c>
      <c r="BB464" s="2"/>
      <c r="BC464" s="2" t="str">
        <f>VLOOKUP(A464,'[6]FGD status - Jun 2020'!$I$2:$M$449,5,FALSE)</f>
        <v>NIT issued</v>
      </c>
      <c r="BD464" s="2">
        <f>VLOOKUP(A464,'[1]daily coal, energy reqd'!$C$2:$L$599,10,FALSE)</f>
        <v>0</v>
      </c>
      <c r="BE464" s="2" t="str">
        <f>VLOOKUP(A464,'[1]daily coal, energy reqd'!$C$2:$M$599,11,FALSE)</f>
        <v>Y</v>
      </c>
      <c r="BF464" s="2">
        <f t="shared" si="368"/>
        <v>243.1469788117445</v>
      </c>
      <c r="BG464" s="2">
        <f t="shared" si="369"/>
        <v>0</v>
      </c>
      <c r="BH464" s="2">
        <f t="shared" si="384"/>
        <v>18.149999999999999</v>
      </c>
      <c r="BI464" s="2">
        <f t="shared" si="385"/>
        <v>9.68</v>
      </c>
      <c r="BK464">
        <f t="shared" si="370"/>
        <v>98.771725045664184</v>
      </c>
      <c r="BP464" s="2" t="str">
        <f>VLOOKUP(A464,'[7]Table 2'!$J$2:$N$449,5,FALSE)</f>
        <v>NIT issued</v>
      </c>
      <c r="BR464">
        <f t="shared" si="375"/>
        <v>282.12091887183965</v>
      </c>
      <c r="BT464">
        <f>(X464*I464*365*[5]Analysis!BK464)/10^4</f>
        <v>167.68557149102014</v>
      </c>
      <c r="BV464">
        <f>(X464*I464*365*[5]Analysis!BL464)/10^4</f>
        <v>114.43534738081955</v>
      </c>
      <c r="BX464">
        <f t="shared" si="376"/>
        <v>809778.83982170501</v>
      </c>
      <c r="BZ464">
        <f t="shared" si="377"/>
        <v>4385164.5570789957</v>
      </c>
      <c r="CB464">
        <f t="shared" si="378"/>
        <v>-208681.096298508</v>
      </c>
      <c r="CD464">
        <f t="shared" si="379"/>
        <v>-874827.64815461054</v>
      </c>
      <c r="CF464">
        <f t="shared" si="380"/>
        <v>1544971.914775172</v>
      </c>
      <c r="CH464">
        <f t="shared" si="381"/>
        <v>555914.07930007146</v>
      </c>
      <c r="CJ464">
        <f t="shared" si="382"/>
        <v>-172644.83658967723</v>
      </c>
      <c r="CL464">
        <f t="shared" si="383"/>
        <v>603141.14734558831</v>
      </c>
    </row>
    <row r="465" spans="1:90" x14ac:dyDescent="0.2">
      <c r="A465" s="2" t="s">
        <v>413</v>
      </c>
      <c r="B465" s="2" t="str">
        <f t="shared" si="386"/>
        <v>SANJAY GANDHI TPS</v>
      </c>
      <c r="C465" s="2" t="str">
        <f>VLOOKUP($A465,'[1]daily coal, energy reqd'!$C$2:$T$599,17,FALSE)</f>
        <v>Madhya Pradesh</v>
      </c>
      <c r="D465" s="2" t="str">
        <f>VLOOKUP(C465,'Target PLF'!$I$2:$J$19,2,FALSE)</f>
        <v>WR</v>
      </c>
      <c r="E465" s="2" t="str">
        <f>VLOOKUP(A465,[2]Ownership!$C$2:$D$666,2,FALSE)</f>
        <v>STATE SECTOR</v>
      </c>
      <c r="F465" s="2" t="s">
        <v>547</v>
      </c>
      <c r="G465" s="12">
        <v>27.175906913073199</v>
      </c>
      <c r="H465" s="2">
        <v>210</v>
      </c>
      <c r="I465" s="2">
        <f>VLOOKUP(A465,'[3]Calculated coal req (reg.)'!$A$2:$I$599,9,FALSE)</f>
        <v>3.1343699274325898</v>
      </c>
      <c r="J465" s="2"/>
      <c r="K465" s="11">
        <v>0.62189879512551394</v>
      </c>
      <c r="L465" s="3">
        <f>VLOOKUP(F465,'Target PLF'!$A$2:$B$11,2,FALSE)</f>
        <v>0.65</v>
      </c>
      <c r="M465" s="3">
        <f t="shared" si="371"/>
        <v>2.8101204874486085E-2</v>
      </c>
      <c r="N465" s="2" t="str">
        <f t="shared" si="354"/>
        <v>0.25</v>
      </c>
      <c r="O465" s="2">
        <f t="shared" si="349"/>
        <v>11.840465107691406</v>
      </c>
      <c r="P465" s="2">
        <f t="shared" si="355"/>
        <v>907571.65050454636</v>
      </c>
      <c r="Q465" s="2">
        <f t="shared" si="356"/>
        <v>15.014105601471593</v>
      </c>
      <c r="R465" s="2">
        <f t="shared" si="357"/>
        <v>3.2759999999999998</v>
      </c>
      <c r="S465" s="2"/>
      <c r="T465" s="2" t="str">
        <f>VLOOKUP(A465,'[4]CEA vs MERIT comp. &amp; NPA marker'!$C$2:$K$735,9,FALSE)</f>
        <v>Contracted</v>
      </c>
      <c r="U465" s="3">
        <f>VLOOKUP(B465,'[8]Import-Domestic share'!$A$208:$F$406,6,FALSE)</f>
        <v>0</v>
      </c>
      <c r="V465" s="3">
        <f t="shared" si="358"/>
        <v>0</v>
      </c>
      <c r="W465" s="2">
        <f t="shared" si="359"/>
        <v>3216.1733592778919</v>
      </c>
      <c r="X465" s="2">
        <f t="shared" si="360"/>
        <v>3225.4628082946965</v>
      </c>
      <c r="Y465" s="6">
        <f t="shared" si="361"/>
        <v>0.26739852113975926</v>
      </c>
      <c r="Z465" s="2"/>
      <c r="AA465" s="2">
        <f t="shared" si="362"/>
        <v>757479.05820721982</v>
      </c>
      <c r="AB465" s="2" t="s">
        <v>576</v>
      </c>
      <c r="AC465" s="12">
        <f>VLOOKUP(B465,[9]Sheet1!$A$2:$B$137,2,FALSE)</f>
        <v>4871.520386436875</v>
      </c>
      <c r="AD465" s="12">
        <f t="shared" si="363"/>
        <v>1023019.2811517437</v>
      </c>
      <c r="AE465" s="2"/>
      <c r="AF465" s="7">
        <f>VLOOKUP($B465,'[9]Subsidiary wise dispatch'!$A$3:$R$138,11,FALSE)*$H465*$O465*365</f>
        <v>0</v>
      </c>
      <c r="AG465" s="7">
        <f>VLOOKUP($B465,'[9]Subsidiary wise dispatch'!$A$3:$R$138,12,FALSE)*$H465*$O465*365</f>
        <v>0</v>
      </c>
      <c r="AH465" s="7">
        <f>VLOOKUP($B465,'[9]Subsidiary wise dispatch'!$A$3:$R$138,13,FALSE)*$H465*$O465*365</f>
        <v>0</v>
      </c>
      <c r="AI465" s="7">
        <f>VLOOKUP($B465,'[9]Subsidiary wise dispatch'!$A$3:$R$138,14,FALSE)*$H465*$O465*365</f>
        <v>0</v>
      </c>
      <c r="AJ465" s="7">
        <f>VLOOKUP($B465,'[9]Subsidiary wise dispatch'!$A$3:$R$138,15,FALSE)*$H465*$O465*365</f>
        <v>0</v>
      </c>
      <c r="AK465" s="7">
        <f>VLOOKUP($B465,'[9]Subsidiary wise dispatch'!$A$3:$R$138,16,FALSE)*$H465*$O465*365</f>
        <v>0</v>
      </c>
      <c r="AL465" s="7">
        <f>VLOOKUP($B465,'[9]Subsidiary wise dispatch'!$A$3:$R$138,17,FALSE)*$H465*$O465*365</f>
        <v>907571.65050454636</v>
      </c>
      <c r="AM465" s="7">
        <f>VLOOKUP($B465,'[9]Subsidiary wise dispatch'!$A$3:$R$138,18,FALSE)*$H465*$O465*365</f>
        <v>0</v>
      </c>
      <c r="AN465" s="15">
        <f t="shared" si="364"/>
        <v>907571.65050454636</v>
      </c>
      <c r="AO465" s="6">
        <v>8.2584159496713896E-2</v>
      </c>
      <c r="AP465" s="11">
        <f t="shared" si="365"/>
        <v>0.25884930600879658</v>
      </c>
      <c r="AQ465" s="11"/>
      <c r="AR465" s="3">
        <f>VLOOKUP(A465,[10]Sheet1!$A$2:$L$542,12,FALSE)</f>
        <v>2.1506688596491199</v>
      </c>
      <c r="AS465" s="3">
        <f t="shared" si="372"/>
        <v>2.3778222338280832</v>
      </c>
      <c r="AT465" s="2"/>
      <c r="AU465" s="2"/>
      <c r="AV465" s="88">
        <f t="shared" si="373"/>
        <v>2.0593124956120895E-2</v>
      </c>
      <c r="AW465" s="32">
        <f t="shared" si="374"/>
        <v>8.660498107534215E-3</v>
      </c>
      <c r="AX465" s="12">
        <f t="shared" si="366"/>
        <v>272.03356934093347</v>
      </c>
      <c r="AY465" s="12">
        <f t="shared" si="367"/>
        <v>0</v>
      </c>
      <c r="AZ465" s="3">
        <f>VLOOKUP(A465,[5]Analysis!$A$3:$BJ$543,62,FALSE)</f>
        <v>0.57498591359662699</v>
      </c>
      <c r="BA465" s="2"/>
      <c r="BB465" s="2"/>
      <c r="BC465" s="2" t="str">
        <f>VLOOKUP(A465,'[6]FGD status - Jun 2020'!$I$2:$M$449,5,FALSE)</f>
        <v>Feasbility Study completed</v>
      </c>
      <c r="BD465" s="2">
        <f>VLOOKUP(A465,'[1]daily coal, energy reqd'!$C$2:$L$599,10,FALSE)</f>
        <v>0</v>
      </c>
      <c r="BE465" s="2" t="str">
        <f>VLOOKUP(A465,'[1]daily coal, energy reqd'!$C$2:$M$599,11,FALSE)</f>
        <v>Y</v>
      </c>
      <c r="BF465" s="2">
        <f t="shared" si="368"/>
        <v>234.43976851513452</v>
      </c>
      <c r="BG465" s="2">
        <f t="shared" si="369"/>
        <v>0</v>
      </c>
      <c r="BH465" s="2">
        <f t="shared" si="384"/>
        <v>31.5</v>
      </c>
      <c r="BI465" s="2">
        <f t="shared" si="385"/>
        <v>16.8</v>
      </c>
      <c r="BK465">
        <f t="shared" si="370"/>
        <v>130.59874697635792</v>
      </c>
      <c r="BL465">
        <f>VLOOKUP(A465,'[11]Daily coal vs energy req.2'!$C$2:$P$599,14,FALSE)</f>
        <v>0.98</v>
      </c>
      <c r="BM465">
        <f>VLOOKUP(A465,'[11]Daily coal vs energy req.2'!$C$2:$R$599,16,FALSE)</f>
        <v>0.89</v>
      </c>
      <c r="BN465">
        <f>BL465*H465</f>
        <v>205.79999999999998</v>
      </c>
      <c r="BO465">
        <f>BM465*H465</f>
        <v>186.9</v>
      </c>
      <c r="BP465" s="2" t="str">
        <f>VLOOKUP(A465,'[7]Table 2'!$J$2:$N$449,5,FALSE)</f>
        <v>Feasbility Study completed</v>
      </c>
      <c r="BR465">
        <f t="shared" si="375"/>
        <v>212.17409578740592</v>
      </c>
      <c r="BT465">
        <f>(X465*I465*365*[5]Analysis!BK465)/10^4</f>
        <v>139.24022466792374</v>
      </c>
      <c r="BV465">
        <f>(X465*I465*365*[5]Analysis!BL465)/10^4</f>
        <v>72.933871119482163</v>
      </c>
      <c r="BX465">
        <f t="shared" si="376"/>
        <v>1036253.8469080445</v>
      </c>
      <c r="BZ465">
        <f t="shared" si="377"/>
        <v>3407607.8129257089</v>
      </c>
      <c r="CB465">
        <f t="shared" si="378"/>
        <v>-210214.14122720936</v>
      </c>
      <c r="CD465">
        <f t="shared" si="379"/>
        <v>0</v>
      </c>
      <c r="CF465">
        <f t="shared" si="380"/>
        <v>2042805.2267996622</v>
      </c>
      <c r="CH465">
        <f t="shared" si="381"/>
        <v>630710.46285913163</v>
      </c>
      <c r="CJ465">
        <f t="shared" si="382"/>
        <v>-396181.22445755196</v>
      </c>
      <c r="CL465">
        <f t="shared" si="383"/>
        <v>731778.37745633221</v>
      </c>
    </row>
    <row r="466" spans="1:90" x14ac:dyDescent="0.2">
      <c r="A466" s="2" t="s">
        <v>414</v>
      </c>
      <c r="B466" s="2" t="str">
        <f t="shared" si="386"/>
        <v>SANJAY GANDHI TPS</v>
      </c>
      <c r="C466" s="2" t="str">
        <f>VLOOKUP($A466,'[1]daily coal, energy reqd'!$C$2:$T$599,17,FALSE)</f>
        <v>Madhya Pradesh</v>
      </c>
      <c r="D466" s="2" t="str">
        <f>VLOOKUP(C466,'Target PLF'!$I$2:$J$19,2,FALSE)</f>
        <v>WR</v>
      </c>
      <c r="E466" s="2" t="str">
        <f>VLOOKUP(A466,[2]Ownership!$C$2:$D$666,2,FALSE)</f>
        <v>STATE SECTOR</v>
      </c>
      <c r="F466" s="2" t="s">
        <v>547</v>
      </c>
      <c r="G466" s="12">
        <v>27.175906913073199</v>
      </c>
      <c r="H466" s="2">
        <v>210</v>
      </c>
      <c r="I466" s="2">
        <f>VLOOKUP(A466,'[3]Calculated coal req (reg.)'!$A$2:$I$599,9,FALSE)</f>
        <v>2.80704383971608</v>
      </c>
      <c r="J466" s="2"/>
      <c r="K466" s="11">
        <v>0.55695314280080954</v>
      </c>
      <c r="L466" s="3">
        <f>VLOOKUP(F466,'Target PLF'!$A$2:$B$11,2,FALSE)</f>
        <v>0.65</v>
      </c>
      <c r="M466" s="3">
        <f t="shared" si="371"/>
        <v>9.304685719919048E-2</v>
      </c>
      <c r="N466" s="2" t="str">
        <f t="shared" si="354"/>
        <v>0.25</v>
      </c>
      <c r="O466" s="2">
        <f t="shared" si="349"/>
        <v>10.936856763202096</v>
      </c>
      <c r="P466" s="2">
        <f t="shared" si="355"/>
        <v>838310.07089944056</v>
      </c>
      <c r="Q466" s="2">
        <f t="shared" si="356"/>
        <v>15.014105601471593</v>
      </c>
      <c r="R466" s="2">
        <f t="shared" si="357"/>
        <v>3.2759999999999998</v>
      </c>
      <c r="S466" s="2"/>
      <c r="T466" s="2" t="str">
        <f>VLOOKUP(A466,'[4]CEA vs MERIT comp. &amp; NPA marker'!$C$2:$K$735,9,FALSE)</f>
        <v>Contracted</v>
      </c>
      <c r="U466" s="3">
        <f>VLOOKUP(B466,'[8]Import-Domestic share'!$A$208:$F$406,6,FALSE)</f>
        <v>0</v>
      </c>
      <c r="V466" s="3">
        <f t="shared" si="358"/>
        <v>0</v>
      </c>
      <c r="W466" s="2">
        <f t="shared" si="359"/>
        <v>3216.1733592778919</v>
      </c>
      <c r="X466" s="2">
        <f t="shared" si="360"/>
        <v>3246.9319705184566</v>
      </c>
      <c r="Y466" s="6">
        <f t="shared" si="361"/>
        <v>0.26739852113975926</v>
      </c>
      <c r="Z466" s="2"/>
      <c r="AA466" s="2">
        <f t="shared" si="362"/>
        <v>682889.95568750915</v>
      </c>
      <c r="AB466" s="2" t="s">
        <v>576</v>
      </c>
      <c r="AC466" s="12">
        <f>VLOOKUP(B466,[9]Sheet1!$A$2:$B$137,2,FALSE)</f>
        <v>4871.520386436875</v>
      </c>
      <c r="AD466" s="12">
        <f t="shared" si="363"/>
        <v>1023019.2811517437</v>
      </c>
      <c r="AE466" s="2"/>
      <c r="AF466" s="7">
        <f>VLOOKUP($B466,'[9]Subsidiary wise dispatch'!$A$3:$R$138,11,FALSE)*$H466*$O466*365</f>
        <v>0</v>
      </c>
      <c r="AG466" s="7">
        <f>VLOOKUP($B466,'[9]Subsidiary wise dispatch'!$A$3:$R$138,12,FALSE)*$H466*$O466*365</f>
        <v>0</v>
      </c>
      <c r="AH466" s="7">
        <f>VLOOKUP($B466,'[9]Subsidiary wise dispatch'!$A$3:$R$138,13,FALSE)*$H466*$O466*365</f>
        <v>0</v>
      </c>
      <c r="AI466" s="7">
        <f>VLOOKUP($B466,'[9]Subsidiary wise dispatch'!$A$3:$R$138,14,FALSE)*$H466*$O466*365</f>
        <v>0</v>
      </c>
      <c r="AJ466" s="7">
        <f>VLOOKUP($B466,'[9]Subsidiary wise dispatch'!$A$3:$R$138,15,FALSE)*$H466*$O466*365</f>
        <v>0</v>
      </c>
      <c r="AK466" s="7">
        <f>VLOOKUP($B466,'[9]Subsidiary wise dispatch'!$A$3:$R$138,16,FALSE)*$H466*$O466*365</f>
        <v>0</v>
      </c>
      <c r="AL466" s="7">
        <f>VLOOKUP($B466,'[9]Subsidiary wise dispatch'!$A$3:$R$138,17,FALSE)*$H466*$O466*365</f>
        <v>838310.07089944056</v>
      </c>
      <c r="AM466" s="7">
        <f>VLOOKUP($B466,'[9]Subsidiary wise dispatch'!$A$3:$R$138,18,FALSE)*$H466*$O466*365</f>
        <v>0</v>
      </c>
      <c r="AN466" s="15">
        <f t="shared" si="364"/>
        <v>838310.07089944056</v>
      </c>
      <c r="AO466" s="6">
        <v>8.2584159496713896E-2</v>
      </c>
      <c r="AP466" s="11">
        <f t="shared" si="365"/>
        <v>0.23181735617338095</v>
      </c>
      <c r="AQ466" s="11"/>
      <c r="AR466" s="3">
        <f>VLOOKUP(A466,[10]Sheet1!$A$2:$L$542,12,FALSE)</f>
        <v>2.1506688596491199</v>
      </c>
      <c r="AS466" s="3">
        <f t="shared" si="372"/>
        <v>2.3800228229560187</v>
      </c>
      <c r="AT466" s="2"/>
      <c r="AU466" s="2"/>
      <c r="AV466" s="88">
        <f t="shared" si="373"/>
        <v>6.8186597892710768E-2</v>
      </c>
      <c r="AW466" s="32">
        <f t="shared" si="374"/>
        <v>2.8649556313087007E-2</v>
      </c>
      <c r="AX466" s="12">
        <f t="shared" si="366"/>
        <v>243.85023673002638</v>
      </c>
      <c r="AY466" s="12">
        <f t="shared" si="367"/>
        <v>0</v>
      </c>
      <c r="AZ466" s="3">
        <f>VLOOKUP(A466,[5]Analysis!$A$3:$BJ$543,62,FALSE)</f>
        <v>0.57498591359662699</v>
      </c>
      <c r="BA466" s="2"/>
      <c r="BB466" s="2"/>
      <c r="BC466" s="2" t="str">
        <f>VLOOKUP(A466,'[6]FGD status - Jun 2020'!$I$2:$M$449,5,FALSE)</f>
        <v>Feasbility Study completed</v>
      </c>
      <c r="BD466" s="2">
        <f>VLOOKUP(A466,'[1]daily coal, energy reqd'!$C$2:$L$599,10,FALSE)</f>
        <v>0</v>
      </c>
      <c r="BE466" s="2" t="str">
        <f>VLOOKUP(A466,'[1]daily coal, energy reqd'!$C$2:$M$599,11,FALSE)</f>
        <v>Y</v>
      </c>
      <c r="BF466" s="2">
        <f t="shared" si="368"/>
        <v>211.35444128528408</v>
      </c>
      <c r="BG466" s="2">
        <f t="shared" si="369"/>
        <v>0</v>
      </c>
      <c r="BH466" s="2">
        <f t="shared" si="384"/>
        <v>31.5</v>
      </c>
      <c r="BI466" s="2">
        <f t="shared" si="385"/>
        <v>16.8</v>
      </c>
      <c r="BK466">
        <f t="shared" si="370"/>
        <v>116.96015998817001</v>
      </c>
      <c r="BL466">
        <f>VLOOKUP(A466,'[11]Daily coal vs energy req.2'!$C$2:$P$599,14,FALSE)</f>
        <v>1.05</v>
      </c>
      <c r="BM466">
        <f>VLOOKUP(A466,'[11]Daily coal vs energy req.2'!$C$2:$R$599,16,FALSE)</f>
        <v>0.98</v>
      </c>
      <c r="BN466">
        <f>BL466*H466</f>
        <v>220.5</v>
      </c>
      <c r="BO466">
        <f>BM466*H466</f>
        <v>205.79999999999998</v>
      </c>
      <c r="BP466" s="2" t="str">
        <f>VLOOKUP(A466,'[7]Table 2'!$J$2:$N$449,5,FALSE)</f>
        <v>Feasbility Study completed</v>
      </c>
      <c r="BR466">
        <f t="shared" si="375"/>
        <v>191.28127345622491</v>
      </c>
      <c r="BT466">
        <f>(X466*I466*365*[5]Analysis!BK466)/10^4</f>
        <v>125.52921407285312</v>
      </c>
      <c r="BV466">
        <f>(X466*I466*365*[5]Analysis!BL466)/10^4</f>
        <v>65.752059383371815</v>
      </c>
      <c r="BX466">
        <f t="shared" si="376"/>
        <v>934213.7395466551</v>
      </c>
      <c r="BZ466">
        <f t="shared" si="377"/>
        <v>3051747.158407873</v>
      </c>
      <c r="CB466">
        <f t="shared" si="378"/>
        <v>-168600.87143253244</v>
      </c>
      <c r="CD466">
        <f t="shared" si="379"/>
        <v>0</v>
      </c>
      <c r="CF466">
        <f t="shared" si="380"/>
        <v>1829472.576749997</v>
      </c>
      <c r="CH466">
        <f t="shared" si="381"/>
        <v>564844.5972882947</v>
      </c>
      <c r="CJ466">
        <f t="shared" si="382"/>
        <v>-354807.53429627285</v>
      </c>
      <c r="CL466">
        <f t="shared" si="383"/>
        <v>655357.86586581962</v>
      </c>
    </row>
    <row r="467" spans="1:90" x14ac:dyDescent="0.2">
      <c r="A467" s="2" t="s">
        <v>376</v>
      </c>
      <c r="B467" s="2" t="str">
        <f t="shared" si="386"/>
        <v>SANJAY GANDHI TPS</v>
      </c>
      <c r="C467" s="2" t="str">
        <f>VLOOKUP($A467,'[1]daily coal, energy reqd'!$C$2:$T$599,17,FALSE)</f>
        <v>Madhya Pradesh</v>
      </c>
      <c r="D467" s="2" t="str">
        <f>VLOOKUP(C467,'Target PLF'!$I$2:$J$19,2,FALSE)</f>
        <v>WR</v>
      </c>
      <c r="E467" s="2" t="str">
        <f>VLOOKUP(A467,[2]Ownership!$C$2:$D$666,2,FALSE)</f>
        <v>STATE SECTOR</v>
      </c>
      <c r="F467" s="2" t="s">
        <v>546</v>
      </c>
      <c r="G467" s="12">
        <v>21.2539356605065</v>
      </c>
      <c r="H467" s="2">
        <v>210</v>
      </c>
      <c r="I467" s="2">
        <f>VLOOKUP(A467,'[3]Calculated coal req (reg.)'!$A$2:$I$599,9,FALSE)</f>
        <v>2.6192402041068501</v>
      </c>
      <c r="J467" s="2"/>
      <c r="K467" s="11">
        <v>0.51969051668786703</v>
      </c>
      <c r="L467" s="3">
        <f>VLOOKUP(F467,'Target PLF'!$A$2:$B$11,2,FALSE)</f>
        <v>0.7</v>
      </c>
      <c r="M467" s="3">
        <f t="shared" si="371"/>
        <v>0.18030948331213292</v>
      </c>
      <c r="N467" s="2" t="str">
        <f t="shared" si="354"/>
        <v>0.25</v>
      </c>
      <c r="O467" s="2">
        <f t="shared" si="349"/>
        <v>10.230832227879842</v>
      </c>
      <c r="P467" s="2">
        <f t="shared" si="355"/>
        <v>784193.29026698996</v>
      </c>
      <c r="Q467" s="2">
        <f t="shared" si="356"/>
        <v>14.826527162046542</v>
      </c>
      <c r="R467" s="2">
        <f t="shared" si="357"/>
        <v>3.528</v>
      </c>
      <c r="S467" s="2"/>
      <c r="T467" s="2" t="str">
        <f>VLOOKUP(A467,'[4]CEA vs MERIT comp. &amp; NPA marker'!$C$2:$K$735,9,FALSE)</f>
        <v>Contracted</v>
      </c>
      <c r="U467" s="3">
        <f>VLOOKUP(B467,'[8]Import-Domestic share'!$A$208:$F$406,6,FALSE)</f>
        <v>0</v>
      </c>
      <c r="V467" s="3">
        <f t="shared" si="358"/>
        <v>0</v>
      </c>
      <c r="W467" s="2">
        <f t="shared" si="359"/>
        <v>3154.3977588097191</v>
      </c>
      <c r="X467" s="2">
        <f t="shared" si="360"/>
        <v>3214.0028810795911</v>
      </c>
      <c r="Y467" s="6">
        <f t="shared" si="361"/>
        <v>0.27263524316112642</v>
      </c>
      <c r="Z467" s="2"/>
      <c r="AA467" s="2">
        <f t="shared" si="362"/>
        <v>630739.3557814107</v>
      </c>
      <c r="AB467" s="2" t="s">
        <v>576</v>
      </c>
      <c r="AC467" s="12">
        <f>VLOOKUP(B467,[9]Sheet1!$A$2:$B$137,2,FALSE)</f>
        <v>4871.520386436875</v>
      </c>
      <c r="AD467" s="12">
        <f t="shared" si="363"/>
        <v>1023019.2811517437</v>
      </c>
      <c r="AE467" s="2"/>
      <c r="AF467" s="7">
        <f>VLOOKUP($B467,'[9]Subsidiary wise dispatch'!$A$3:$R$138,11,FALSE)*$H467*$O467*365</f>
        <v>0</v>
      </c>
      <c r="AG467" s="7">
        <f>VLOOKUP($B467,'[9]Subsidiary wise dispatch'!$A$3:$R$138,12,FALSE)*$H467*$O467*365</f>
        <v>0</v>
      </c>
      <c r="AH467" s="7">
        <f>VLOOKUP($B467,'[9]Subsidiary wise dispatch'!$A$3:$R$138,13,FALSE)*$H467*$O467*365</f>
        <v>0</v>
      </c>
      <c r="AI467" s="7">
        <f>VLOOKUP($B467,'[9]Subsidiary wise dispatch'!$A$3:$R$138,14,FALSE)*$H467*$O467*365</f>
        <v>0</v>
      </c>
      <c r="AJ467" s="7">
        <f>VLOOKUP($B467,'[9]Subsidiary wise dispatch'!$A$3:$R$138,15,FALSE)*$H467*$O467*365</f>
        <v>0</v>
      </c>
      <c r="AK467" s="7">
        <f>VLOOKUP($B467,'[9]Subsidiary wise dispatch'!$A$3:$R$138,16,FALSE)*$H467*$O467*365</f>
        <v>0</v>
      </c>
      <c r="AL467" s="7">
        <f>VLOOKUP($B467,'[9]Subsidiary wise dispatch'!$A$3:$R$138,17,FALSE)*$H467*$O467*365</f>
        <v>784193.29026698996</v>
      </c>
      <c r="AM467" s="7">
        <f>VLOOKUP($B467,'[9]Subsidiary wise dispatch'!$A$3:$R$138,18,FALSE)*$H467*$O467*365</f>
        <v>0</v>
      </c>
      <c r="AN467" s="15">
        <f t="shared" si="364"/>
        <v>784193.29026698996</v>
      </c>
      <c r="AO467" s="6">
        <v>8.2584159496713896E-2</v>
      </c>
      <c r="AP467" s="11">
        <f t="shared" si="365"/>
        <v>0.21630775077616557</v>
      </c>
      <c r="AQ467" s="11"/>
      <c r="AR467" s="3">
        <f>VLOOKUP(A467,[10]Sheet1!$A$2:$L$542,12,FALSE)</f>
        <v>2.1506688596491199</v>
      </c>
      <c r="AS467" s="3">
        <f t="shared" si="372"/>
        <v>2.3327983551489049</v>
      </c>
      <c r="AT467" s="2"/>
      <c r="AU467" s="2"/>
      <c r="AV467" s="88">
        <f t="shared" si="373"/>
        <v>0.13213439556079726</v>
      </c>
      <c r="AW467" s="32">
        <f t="shared" si="374"/>
        <v>5.6642013343824987E-2</v>
      </c>
      <c r="AX467" s="12">
        <f t="shared" si="366"/>
        <v>223.02081225563248</v>
      </c>
      <c r="AY467" s="12">
        <f t="shared" si="367"/>
        <v>0</v>
      </c>
      <c r="AZ467" s="3">
        <f>VLOOKUP(A467,[5]Analysis!$A$3:$BJ$543,62,FALSE)</f>
        <v>0.57498591359662699</v>
      </c>
      <c r="BA467" s="2"/>
      <c r="BB467" s="2"/>
      <c r="BC467" s="2" t="str">
        <f>VLOOKUP(A467,'[6]FGD status - Jun 2020'!$I$2:$M$449,5,FALSE)</f>
        <v>Feasbility Study completed</v>
      </c>
      <c r="BD467" s="2"/>
      <c r="BE467" s="2"/>
      <c r="BF467" s="2">
        <f t="shared" si="368"/>
        <v>195.21383061434662</v>
      </c>
      <c r="BG467" s="2">
        <f t="shared" si="369"/>
        <v>0</v>
      </c>
      <c r="BH467" s="2">
        <f t="shared" si="384"/>
        <v>31.5</v>
      </c>
      <c r="BI467" s="2">
        <f t="shared" si="385"/>
        <v>16.8</v>
      </c>
      <c r="BK467">
        <f t="shared" si="370"/>
        <v>109.13500850445207</v>
      </c>
      <c r="BL467">
        <f>VLOOKUP(A467,'[11]Daily coal vs energy req.2'!$C$2:$P$599,14,FALSE)</f>
        <v>0.83</v>
      </c>
      <c r="BM467">
        <f>VLOOKUP(A467,'[11]Daily coal vs energy req.2'!$C$2:$R$599,16,FALSE)</f>
        <v>0.86</v>
      </c>
      <c r="BN467">
        <f>BL467*H467</f>
        <v>174.29999999999998</v>
      </c>
      <c r="BO467">
        <f>BM467*H467</f>
        <v>180.6</v>
      </c>
      <c r="BP467" s="2" t="str">
        <f>VLOOKUP(A467,'[7]Table 2'!$J$2:$N$449,5,FALSE)</f>
        <v>Feasbility Study completed</v>
      </c>
      <c r="BR467">
        <f t="shared" si="375"/>
        <v>176.67360046519127</v>
      </c>
      <c r="BT467">
        <f>(X467*I467*365*[5]Analysis!BK467)/10^4</f>
        <v>115.94286159377815</v>
      </c>
      <c r="BV467">
        <f>(X467*I467*365*[5]Analysis!BL467)/10^4</f>
        <v>60.730738871413131</v>
      </c>
      <c r="BX467">
        <f t="shared" si="376"/>
        <v>862870.17012948857</v>
      </c>
      <c r="BZ467">
        <f t="shared" si="377"/>
        <v>2847571.7895731968</v>
      </c>
      <c r="CB467">
        <f t="shared" si="378"/>
        <v>-146795.27635589239</v>
      </c>
      <c r="CD467">
        <f t="shared" si="379"/>
        <v>0</v>
      </c>
      <c r="CF467">
        <f t="shared" si="380"/>
        <v>1707072.7779653131</v>
      </c>
      <c r="CH467">
        <f t="shared" si="381"/>
        <v>412202.31578599056</v>
      </c>
      <c r="CJ467">
        <f t="shared" si="382"/>
        <v>-331069.34255890182</v>
      </c>
      <c r="CL467">
        <f t="shared" si="383"/>
        <v>611511.52898525423</v>
      </c>
    </row>
    <row r="468" spans="1:90" x14ac:dyDescent="0.2">
      <c r="A468" s="2" t="s">
        <v>370</v>
      </c>
      <c r="B468" s="2" t="str">
        <f t="shared" si="386"/>
        <v>SANJAY GANDHI TPS</v>
      </c>
      <c r="C468" s="2" t="str">
        <f>VLOOKUP($A468,'[1]daily coal, energy reqd'!$C$2:$T$599,17,FALSE)</f>
        <v>Madhya Pradesh</v>
      </c>
      <c r="D468" s="2" t="str">
        <f>VLOOKUP(C468,'Target PLF'!$I$2:$J$19,2,FALSE)</f>
        <v>WR</v>
      </c>
      <c r="E468" s="2" t="str">
        <f>VLOOKUP(A468,[2]Ownership!$C$2:$D$666,2,FALSE)</f>
        <v>STATE SECTOR</v>
      </c>
      <c r="F468" s="2" t="s">
        <v>546</v>
      </c>
      <c r="G468" s="12">
        <v>20.5065023956194</v>
      </c>
      <c r="H468" s="2">
        <v>210</v>
      </c>
      <c r="I468" s="2">
        <f>VLOOKUP(A468,'[3]Calculated coal req (reg.)'!$A$2:$I$599,9,FALSE)</f>
        <v>3.3513290654519099</v>
      </c>
      <c r="J468" s="2"/>
      <c r="K468" s="11">
        <v>0.66494624314522022</v>
      </c>
      <c r="L468" s="3">
        <f>VLOOKUP(F468,'Target PLF'!$A$2:$B$11,2,FALSE)</f>
        <v>0.7</v>
      </c>
      <c r="M468" s="3">
        <f t="shared" si="371"/>
        <v>3.5053756854779738E-2</v>
      </c>
      <c r="N468" s="2" t="str">
        <f t="shared" si="354"/>
        <v>0.25</v>
      </c>
      <c r="O468" s="2">
        <f t="shared" si="349"/>
        <v>12.228143778133635</v>
      </c>
      <c r="P468" s="2">
        <f t="shared" si="355"/>
        <v>937287.22059394303</v>
      </c>
      <c r="Q468" s="2">
        <f t="shared" si="356"/>
        <v>14.802852213381243</v>
      </c>
      <c r="R468" s="2">
        <f t="shared" si="357"/>
        <v>3.528</v>
      </c>
      <c r="S468" s="2"/>
      <c r="T468" s="2" t="str">
        <f>VLOOKUP(A468,'[4]CEA vs MERIT comp. &amp; NPA marker'!$C$2:$K$735,9,FALSE)</f>
        <v>Contracted</v>
      </c>
      <c r="U468" s="3">
        <f>VLOOKUP(B468,'[8]Import-Domestic share'!$A$208:$F$406,6,FALSE)</f>
        <v>0</v>
      </c>
      <c r="V468" s="3">
        <f t="shared" si="358"/>
        <v>0</v>
      </c>
      <c r="W468" s="2">
        <f t="shared" si="359"/>
        <v>3148.6869672943185</v>
      </c>
      <c r="X468" s="2">
        <f t="shared" si="360"/>
        <v>3160.2747297623114</v>
      </c>
      <c r="Y468" s="6">
        <f t="shared" si="361"/>
        <v>0.2731297232569937</v>
      </c>
      <c r="Z468" s="2"/>
      <c r="AA468" s="2">
        <f t="shared" si="362"/>
        <v>793542.61021792435</v>
      </c>
      <c r="AB468" s="2" t="s">
        <v>576</v>
      </c>
      <c r="AC468" s="12">
        <f>VLOOKUP(B468,[9]Sheet1!$A$2:$B$137,2,FALSE)</f>
        <v>4871.520386436875</v>
      </c>
      <c r="AD468" s="12">
        <f t="shared" si="363"/>
        <v>1023019.2811517437</v>
      </c>
      <c r="AE468" s="2"/>
      <c r="AF468" s="7">
        <f>VLOOKUP($B468,'[9]Subsidiary wise dispatch'!$A$3:$R$138,11,FALSE)*$H468*$O468*365</f>
        <v>0</v>
      </c>
      <c r="AG468" s="7">
        <f>VLOOKUP($B468,'[9]Subsidiary wise dispatch'!$A$3:$R$138,12,FALSE)*$H468*$O468*365</f>
        <v>0</v>
      </c>
      <c r="AH468" s="7">
        <f>VLOOKUP($B468,'[9]Subsidiary wise dispatch'!$A$3:$R$138,13,FALSE)*$H468*$O468*365</f>
        <v>0</v>
      </c>
      <c r="AI468" s="7">
        <f>VLOOKUP($B468,'[9]Subsidiary wise dispatch'!$A$3:$R$138,14,FALSE)*$H468*$O468*365</f>
        <v>0</v>
      </c>
      <c r="AJ468" s="7">
        <f>VLOOKUP($B468,'[9]Subsidiary wise dispatch'!$A$3:$R$138,15,FALSE)*$H468*$O468*365</f>
        <v>0</v>
      </c>
      <c r="AK468" s="7">
        <f>VLOOKUP($B468,'[9]Subsidiary wise dispatch'!$A$3:$R$138,16,FALSE)*$H468*$O468*365</f>
        <v>0</v>
      </c>
      <c r="AL468" s="7">
        <f>VLOOKUP($B468,'[9]Subsidiary wise dispatch'!$A$3:$R$138,17,FALSE)*$H468*$O468*365</f>
        <v>937287.22059394303</v>
      </c>
      <c r="AM468" s="7">
        <f>VLOOKUP($B468,'[9]Subsidiary wise dispatch'!$A$3:$R$138,18,FALSE)*$H468*$O468*365</f>
        <v>0</v>
      </c>
      <c r="AN468" s="15">
        <f t="shared" si="364"/>
        <v>937287.22059394303</v>
      </c>
      <c r="AO468" s="6">
        <v>8.2584159496713896E-2</v>
      </c>
      <c r="AP468" s="11">
        <f t="shared" si="365"/>
        <v>0.27676669406725363</v>
      </c>
      <c r="AQ468" s="11"/>
      <c r="AR468" s="3">
        <f>VLOOKUP(A468,[10]Sheet1!$A$2:$L$542,12,FALSE)</f>
        <v>2.1506688596491199</v>
      </c>
      <c r="AS468" s="3">
        <f t="shared" si="372"/>
        <v>2.3217568500290269</v>
      </c>
      <c r="AT468" s="2"/>
      <c r="AU468" s="2"/>
      <c r="AV468" s="88">
        <f t="shared" si="373"/>
        <v>2.5688094098319687E-2</v>
      </c>
      <c r="AW468" s="32">
        <f t="shared" si="374"/>
        <v>1.1064075938011567E-2</v>
      </c>
      <c r="AX468" s="12">
        <f t="shared" si="366"/>
        <v>284.00544932612377</v>
      </c>
      <c r="AY468" s="12">
        <f t="shared" si="367"/>
        <v>0</v>
      </c>
      <c r="AZ468" s="3">
        <f>VLOOKUP(A468,[5]Analysis!$A$3:$BJ$543,62,FALSE)</f>
        <v>0.57498591359662699</v>
      </c>
      <c r="BA468" s="2"/>
      <c r="BB468" s="2"/>
      <c r="BC468" s="2" t="str">
        <f>VLOOKUP(A468,'[6]FGD status - Jun 2020'!$I$2:$M$449,5,FALSE)</f>
        <v>Feasbility Study completed</v>
      </c>
      <c r="BD468" s="2"/>
      <c r="BE468" s="2"/>
      <c r="BF468" s="2">
        <f t="shared" si="368"/>
        <v>245.6014378624476</v>
      </c>
      <c r="BG468" s="2">
        <f t="shared" si="369"/>
        <v>0</v>
      </c>
      <c r="BH468" s="2">
        <f t="shared" si="384"/>
        <v>31.5</v>
      </c>
      <c r="BI468" s="2">
        <f t="shared" si="385"/>
        <v>16.8</v>
      </c>
      <c r="BK468">
        <f t="shared" si="370"/>
        <v>139.63871106049623</v>
      </c>
      <c r="BL468">
        <f>VLOOKUP(A468,'[11]Daily coal vs energy req.2'!$C$2:$P$599,14,FALSE)</f>
        <v>0.89</v>
      </c>
      <c r="BM468">
        <f>VLOOKUP(A468,'[11]Daily coal vs energy req.2'!$C$2:$R$599,16,FALSE)</f>
        <v>0.76</v>
      </c>
      <c r="BN468">
        <f>BL468*H468</f>
        <v>186.9</v>
      </c>
      <c r="BO468">
        <f>BM468*H468</f>
        <v>159.6</v>
      </c>
      <c r="BP468" s="2" t="str">
        <f>VLOOKUP(A468,'[7]Table 2'!$J$2:$N$449,5,FALSE)</f>
        <v>Feasbility Study completed</v>
      </c>
      <c r="BR468">
        <f t="shared" si="375"/>
        <v>222.27569721895341</v>
      </c>
      <c r="BT468">
        <f>(X468*I468*365*[5]Analysis!BK468)/10^4</f>
        <v>145.86944699412055</v>
      </c>
      <c r="BV468">
        <f>(X468*I468*365*[5]Analysis!BL468)/10^4</f>
        <v>76.40625022483286</v>
      </c>
      <c r="BX468">
        <f t="shared" si="376"/>
        <v>1085589.8570582254</v>
      </c>
      <c r="BZ468">
        <f t="shared" si="377"/>
        <v>3643480.3075312977</v>
      </c>
      <c r="CB468">
        <f t="shared" si="378"/>
        <v>-240323.12930804427</v>
      </c>
      <c r="CD468">
        <f t="shared" si="379"/>
        <v>0</v>
      </c>
      <c r="CF468">
        <f t="shared" si="380"/>
        <v>2184206.9347693571</v>
      </c>
      <c r="CH468">
        <f t="shared" si="381"/>
        <v>508867.13573686039</v>
      </c>
      <c r="CJ468">
        <f t="shared" si="382"/>
        <v>-423604.642544056</v>
      </c>
      <c r="CL468">
        <f t="shared" si="383"/>
        <v>782431.62186266505</v>
      </c>
    </row>
    <row r="469" spans="1:90" x14ac:dyDescent="0.2">
      <c r="A469" s="2" t="s">
        <v>283</v>
      </c>
      <c r="B469" s="2" t="str">
        <f t="shared" si="386"/>
        <v>SANTALDIH TPS</v>
      </c>
      <c r="C469" s="2" t="str">
        <f>VLOOKUP($A469,'[1]daily coal, energy reqd'!$C$2:$T$599,17,FALSE)</f>
        <v>West Bengal</v>
      </c>
      <c r="D469" s="2" t="str">
        <f>VLOOKUP(C469,'Target PLF'!$I$2:$J$19,2,FALSE)</f>
        <v>ER</v>
      </c>
      <c r="E469" s="2" t="str">
        <f>VLOOKUP(A469,[2]Ownership!$C$2:$D$666,2,FALSE)</f>
        <v>STATE SECTOR</v>
      </c>
      <c r="F469" s="2" t="s">
        <v>544</v>
      </c>
      <c r="G469" s="12">
        <v>11.0910335386721</v>
      </c>
      <c r="H469" s="2">
        <v>250</v>
      </c>
      <c r="I469" s="2">
        <f>VLOOKUP(A469,'[3]Calculated coal req (reg.)'!$A$2:$I$599,9,FALSE)</f>
        <v>4.4703518492128902</v>
      </c>
      <c r="J469" s="2"/>
      <c r="K469" s="11">
        <v>0.74505864153548174</v>
      </c>
      <c r="L469" s="3">
        <f>VLOOKUP(F469,'Target PLF'!$A$2:$B$11,2,FALSE)</f>
        <v>0.8</v>
      </c>
      <c r="M469" s="3">
        <f t="shared" si="371"/>
        <v>5.4941358464518308E-2</v>
      </c>
      <c r="N469" s="2" t="str">
        <f t="shared" si="354"/>
        <v>0.15</v>
      </c>
      <c r="O469" s="2">
        <f t="shared" si="349"/>
        <v>12.865130334613056</v>
      </c>
      <c r="P469" s="2">
        <f t="shared" si="355"/>
        <v>1173943.1430334414</v>
      </c>
      <c r="Q469" s="2">
        <f t="shared" si="356"/>
        <v>14.325210937337438</v>
      </c>
      <c r="R469" s="2">
        <f t="shared" si="357"/>
        <v>4.8</v>
      </c>
      <c r="S469" s="2"/>
      <c r="T469" s="2" t="str">
        <f>VLOOKUP(A469,'[4]CEA vs MERIT comp. &amp; NPA marker'!$C$2:$K$735,9,FALSE)</f>
        <v>Contracted</v>
      </c>
      <c r="U469" s="3">
        <f>VLOOKUP(B469,'[8]Import-Domestic share'!$A$208:$F$406,6,FALSE)</f>
        <v>6.0996347612639931E-4</v>
      </c>
      <c r="V469" s="3">
        <f t="shared" si="358"/>
        <v>716.06244029942854</v>
      </c>
      <c r="W469" s="2">
        <f t="shared" si="359"/>
        <v>3006.7984368019534</v>
      </c>
      <c r="X469" s="2">
        <f t="shared" si="360"/>
        <v>3024.9604675991991</v>
      </c>
      <c r="Y469" s="6">
        <f t="shared" si="361"/>
        <v>0.28601850708513088</v>
      </c>
      <c r="Z469" s="2"/>
      <c r="AA469" s="2">
        <f t="shared" si="362"/>
        <v>1141032.3510644757</v>
      </c>
      <c r="AB469" s="2" t="s">
        <v>576</v>
      </c>
      <c r="AC469" s="12">
        <f>VLOOKUP(B469,[9]Sheet1!$A$2:$B$137,2,FALSE)</f>
        <v>4325.6992027808037</v>
      </c>
      <c r="AD469" s="12">
        <f t="shared" si="363"/>
        <v>1081424.8006952009</v>
      </c>
      <c r="AE469" s="2"/>
      <c r="AF469" s="7">
        <f>VLOOKUP($B469,'[9]Subsidiary wise dispatch'!$A$3:$R$138,11,FALSE)*$H469*$O469*365</f>
        <v>1128959.5198479763</v>
      </c>
      <c r="AG469" s="7">
        <f>VLOOKUP($B469,'[9]Subsidiary wise dispatch'!$A$3:$R$138,12,FALSE)*$H469*$O469*365</f>
        <v>26412.650906615159</v>
      </c>
      <c r="AH469" s="7">
        <f>VLOOKUP($B469,'[9]Subsidiary wise dispatch'!$A$3:$R$138,13,FALSE)*$H469*$O469*365</f>
        <v>18570.972278849898</v>
      </c>
      <c r="AI469" s="7">
        <f>VLOOKUP($B469,'[9]Subsidiary wise dispatch'!$A$3:$R$138,14,FALSE)*$H469*$O469*365</f>
        <v>0</v>
      </c>
      <c r="AJ469" s="7">
        <f>VLOOKUP($B469,'[9]Subsidiary wise dispatch'!$A$3:$R$138,15,FALSE)*$H469*$O469*365</f>
        <v>0</v>
      </c>
      <c r="AK469" s="7">
        <f>VLOOKUP($B469,'[9]Subsidiary wise dispatch'!$A$3:$R$138,16,FALSE)*$H469*$O469*365</f>
        <v>0</v>
      </c>
      <c r="AL469" s="7">
        <f>VLOOKUP($B469,'[9]Subsidiary wise dispatch'!$A$3:$R$138,17,FALSE)*$H469*$O469*365</f>
        <v>0</v>
      </c>
      <c r="AM469" s="7">
        <f>VLOOKUP($B469,'[9]Subsidiary wise dispatch'!$A$3:$R$138,18,FALSE)*$H469*$O469*365</f>
        <v>0</v>
      </c>
      <c r="AN469" s="15">
        <f t="shared" si="364"/>
        <v>1173943.1430334414</v>
      </c>
      <c r="AO469" s="6">
        <v>8.5383480246584514E-2</v>
      </c>
      <c r="AP469" s="11">
        <f t="shared" si="365"/>
        <v>0.38169419881255134</v>
      </c>
      <c r="AQ469" s="11"/>
      <c r="AR469" s="3">
        <f>VLOOKUP(A469,[10]Sheet1!$A$2:$L$542,12,FALSE)</f>
        <v>2.5661172566371602</v>
      </c>
      <c r="AS469" s="3">
        <f t="shared" si="372"/>
        <v>2.0614429007969419</v>
      </c>
      <c r="AT469" s="2"/>
      <c r="AU469" s="2"/>
      <c r="AV469" s="88">
        <f t="shared" si="373"/>
        <v>4.026212630996831E-2</v>
      </c>
      <c r="AW469" s="32">
        <f t="shared" si="374"/>
        <v>1.9531041240290092E-2</v>
      </c>
      <c r="AX469" s="12">
        <f t="shared" si="366"/>
        <v>336.3611905522904</v>
      </c>
      <c r="AY469" s="12">
        <f t="shared" si="367"/>
        <v>0</v>
      </c>
      <c r="AZ469" s="3">
        <f>VLOOKUP(A469,[5]Analysis!$A$3:$BJ$543,62,FALSE)</f>
        <v>0.49006605166674228</v>
      </c>
      <c r="BA469" s="2"/>
      <c r="BB469" s="2"/>
      <c r="BC469" s="2" t="str">
        <f>VLOOKUP(A469,'[6]FGD status - Jun 2020'!$I$2:$M$449,5,FALSE)</f>
        <v>BID opened</v>
      </c>
      <c r="BD469" s="2"/>
      <c r="BE469" s="2"/>
      <c r="BF469" s="2">
        <f t="shared" si="368"/>
        <v>353.29817570390628</v>
      </c>
      <c r="BG469" s="2">
        <f t="shared" si="369"/>
        <v>0</v>
      </c>
      <c r="BH469" s="2">
        <f t="shared" si="384"/>
        <v>87.5</v>
      </c>
      <c r="BI469" s="2">
        <f t="shared" si="385"/>
        <v>20</v>
      </c>
      <c r="BK469">
        <f t="shared" si="370"/>
        <v>186.26466038387042</v>
      </c>
      <c r="BP469" s="2" t="str">
        <f>VLOOKUP(A469,'[7]Table 2'!$J$2:$N$449,5,FALSE)</f>
        <v>Bid opened</v>
      </c>
      <c r="BR469">
        <f t="shared" si="375"/>
        <v>241.88497537149374</v>
      </c>
      <c r="BT469">
        <f>(X469*I469*365*[5]Analysis!BK469)/10^4</f>
        <v>197.14932438798192</v>
      </c>
      <c r="BV469">
        <f>(X469*I469*365*[5]Analysis!BL469)/10^4</f>
        <v>44.735650983511803</v>
      </c>
      <c r="BX469">
        <f t="shared" si="376"/>
        <v>1386070.3560631168</v>
      </c>
      <c r="BZ469">
        <f t="shared" si="377"/>
        <v>4142270.6684052642</v>
      </c>
      <c r="CB469">
        <f t="shared" si="378"/>
        <v>-359189.90594237414</v>
      </c>
      <c r="CD469">
        <f t="shared" si="379"/>
        <v>0</v>
      </c>
      <c r="CF469">
        <f t="shared" si="380"/>
        <v>2913522.7604374816</v>
      </c>
      <c r="CH469">
        <f t="shared" si="381"/>
        <v>367121.19864101085</v>
      </c>
      <c r="CJ469">
        <f t="shared" si="382"/>
        <v>-672676.19451030984</v>
      </c>
      <c r="CL469">
        <f t="shared" si="383"/>
        <v>1079066.2945878305</v>
      </c>
    </row>
    <row r="470" spans="1:90" x14ac:dyDescent="0.2">
      <c r="A470" s="2" t="s">
        <v>511</v>
      </c>
      <c r="B470" s="2" t="str">
        <f t="shared" si="386"/>
        <v>SATPURA TPS</v>
      </c>
      <c r="C470" s="2" t="str">
        <f>VLOOKUP($A470,'[1]daily coal, energy reqd'!$C$2:$T$599,17,FALSE)</f>
        <v>Madhya Pradesh</v>
      </c>
      <c r="D470" s="2" t="str">
        <f>VLOOKUP(C470,'Target PLF'!$I$2:$J$19,2,FALSE)</f>
        <v>WR</v>
      </c>
      <c r="E470" s="2" t="str">
        <f>VLOOKUP(A470,[2]Ownership!$C$2:$D$666,2,FALSE)</f>
        <v>STATE SECTOR</v>
      </c>
      <c r="F470" s="2" t="s">
        <v>550</v>
      </c>
      <c r="G470" s="12">
        <v>40.843258042436602</v>
      </c>
      <c r="H470" s="2">
        <v>200</v>
      </c>
      <c r="I470" s="2">
        <f>VLOOKUP(A470,'[3]Calculated coal req (reg.)'!$A$2:$I$599,9,FALSE)</f>
        <v>2.3057497607571</v>
      </c>
      <c r="J470" s="2"/>
      <c r="K470" s="11">
        <v>0.48036453349106251</v>
      </c>
      <c r="L470" s="3">
        <f>VLOOKUP(F470,'Target PLF'!$A$2:$B$11,2,FALSE)</f>
        <v>0.55000000000000004</v>
      </c>
      <c r="M470" s="3">
        <f t="shared" si="371"/>
        <v>6.9635466508937538E-2</v>
      </c>
      <c r="N470" s="2" t="str">
        <f t="shared" si="354"/>
        <v>0.25</v>
      </c>
      <c r="O470" s="2">
        <f t="shared" si="349"/>
        <v>10.356248812315378</v>
      </c>
      <c r="P470" s="2">
        <f t="shared" si="355"/>
        <v>756006.16329902259</v>
      </c>
      <c r="Q470" s="2">
        <f t="shared" si="356"/>
        <v>15.49909794849418</v>
      </c>
      <c r="R470" s="2">
        <f t="shared" si="357"/>
        <v>2.64</v>
      </c>
      <c r="S470" s="2"/>
      <c r="T470" s="2" t="str">
        <f>VLOOKUP(A470,'[4]CEA vs MERIT comp. &amp; NPA marker'!$C$2:$K$735,9,FALSE)</f>
        <v>Contracted</v>
      </c>
      <c r="U470" s="3">
        <f>VLOOKUP(B470,'[8]Import-Domestic share'!$A$208:$F$406,6,FALSE)</f>
        <v>0</v>
      </c>
      <c r="V470" s="3">
        <f t="shared" si="358"/>
        <v>0</v>
      </c>
      <c r="W470" s="2">
        <f t="shared" si="359"/>
        <v>3362.9138042737845</v>
      </c>
      <c r="X470" s="2">
        <f t="shared" si="360"/>
        <v>3385.9332840002039</v>
      </c>
      <c r="Y470" s="6">
        <f t="shared" si="361"/>
        <v>0.25573061043285217</v>
      </c>
      <c r="Z470" s="2"/>
      <c r="AA470" s="2">
        <f t="shared" si="362"/>
        <v>647165.38706431014</v>
      </c>
      <c r="AB470" s="2" t="s">
        <v>576</v>
      </c>
      <c r="AC470" s="12">
        <f>VLOOKUP(B470,[9]Sheet1!$A$2:$B$137,2,FALSE)</f>
        <v>4403.1973598778304</v>
      </c>
      <c r="AD470" s="12">
        <f t="shared" si="363"/>
        <v>880639.47197556612</v>
      </c>
      <c r="AE470" s="2"/>
      <c r="AF470" s="7">
        <f>VLOOKUP($B470,'[9]Subsidiary wise dispatch'!$A$3:$R$138,11,FALSE)*$H470*$O470*365</f>
        <v>0</v>
      </c>
      <c r="AG470" s="7">
        <f>VLOOKUP($B470,'[9]Subsidiary wise dispatch'!$A$3:$R$138,12,FALSE)*$H470*$O470*365</f>
        <v>0</v>
      </c>
      <c r="AH470" s="7">
        <f>VLOOKUP($B470,'[9]Subsidiary wise dispatch'!$A$3:$R$138,13,FALSE)*$H470*$O470*365</f>
        <v>0</v>
      </c>
      <c r="AI470" s="7">
        <f>VLOOKUP($B470,'[9]Subsidiary wise dispatch'!$A$3:$R$138,14,FALSE)*$H470*$O470*365</f>
        <v>0</v>
      </c>
      <c r="AJ470" s="7">
        <f>VLOOKUP($B470,'[9]Subsidiary wise dispatch'!$A$3:$R$138,15,FALSE)*$H470*$O470*365</f>
        <v>0</v>
      </c>
      <c r="AK470" s="7">
        <f>VLOOKUP($B470,'[9]Subsidiary wise dispatch'!$A$3:$R$138,16,FALSE)*$H470*$O470*365</f>
        <v>0</v>
      </c>
      <c r="AL470" s="7">
        <f>VLOOKUP($B470,'[9]Subsidiary wise dispatch'!$A$3:$R$138,17,FALSE)*$H470*$O470*365</f>
        <v>251649.02557671786</v>
      </c>
      <c r="AM470" s="7">
        <f>VLOOKUP($B470,'[9]Subsidiary wise dispatch'!$A$3:$R$138,18,FALSE)*$H470*$O470*365</f>
        <v>504357.13772230479</v>
      </c>
      <c r="AN470" s="15">
        <f t="shared" si="364"/>
        <v>756006.16329902271</v>
      </c>
      <c r="AO470" s="6">
        <v>0.1003219631047786</v>
      </c>
      <c r="AP470" s="11">
        <f t="shared" si="365"/>
        <v>0.23131734242752588</v>
      </c>
      <c r="AQ470" s="11"/>
      <c r="AR470" s="3">
        <f>VLOOKUP(A470,[10]Sheet1!$A$2:$L$542,12,FALSE)</f>
        <v>2.5310843373493599</v>
      </c>
      <c r="AS470" s="3">
        <f t="shared" si="372"/>
        <v>2.6267307417637284</v>
      </c>
      <c r="AT470" s="2"/>
      <c r="AU470" s="2"/>
      <c r="AV470" s="88">
        <f t="shared" si="373"/>
        <v>5.1030262567079605E-2</v>
      </c>
      <c r="AW470" s="32">
        <f t="shared" si="374"/>
        <v>1.9427291025959949E-2</v>
      </c>
      <c r="AX470" s="12">
        <f t="shared" si="366"/>
        <v>221.06530794791882</v>
      </c>
      <c r="AY470" s="12">
        <f t="shared" si="367"/>
        <v>0</v>
      </c>
      <c r="AZ470" s="3">
        <f>VLOOKUP(A470,[5]Analysis!$A$3:$BJ$543,62,FALSE)</f>
        <v>0.61470266165370446</v>
      </c>
      <c r="BA470" s="2"/>
      <c r="BB470" s="2"/>
      <c r="BC470" s="2" t="e">
        <f>VLOOKUP(A470,'[6]FGD status - Jun 2020'!$I$2:$M$449,5,FALSE)</f>
        <v>#N/A</v>
      </c>
      <c r="BD470" s="2" t="str">
        <f>VLOOKUP(A470,'[1]daily coal, energy reqd'!$C$2:$L$599,10,FALSE)</f>
        <v>Y</v>
      </c>
      <c r="BE470" s="2"/>
      <c r="BF470" s="2">
        <f t="shared" si="368"/>
        <v>200.29768729640398</v>
      </c>
      <c r="BG470" s="2">
        <f t="shared" si="369"/>
        <v>0</v>
      </c>
      <c r="BH470" s="2"/>
      <c r="BI470" s="2"/>
      <c r="BK470">
        <f t="shared" si="370"/>
        <v>96.072906698212506</v>
      </c>
      <c r="BP470" s="2" t="e">
        <f>VLOOKUP(A470,'[7]Table 2'!$J$2:$N$449,5,FALSE)</f>
        <v>#N/A</v>
      </c>
      <c r="BR470">
        <f t="shared" si="375"/>
        <v>175.16548136545097</v>
      </c>
      <c r="BT470">
        <f>(X470*I470*365*[5]Analysis!BK470)/10^4</f>
        <v>107.77401311318222</v>
      </c>
      <c r="BV470">
        <f>(X470*I470*365*[5]Analysis!BL470)/10^4</f>
        <v>67.391468252268737</v>
      </c>
      <c r="BX470">
        <f t="shared" si="376"/>
        <v>800229.27310110466</v>
      </c>
      <c r="BZ470">
        <f t="shared" si="377"/>
        <v>2679905.0935889473</v>
      </c>
      <c r="CB470">
        <f t="shared" si="378"/>
        <v>-119446.95081862384</v>
      </c>
      <c r="CD470">
        <f t="shared" si="379"/>
        <v>0</v>
      </c>
      <c r="CF470">
        <f t="shared" si="380"/>
        <v>1502757.419199995</v>
      </c>
      <c r="CH470">
        <f t="shared" si="381"/>
        <v>697313.84469924576</v>
      </c>
      <c r="CJ470">
        <f t="shared" si="382"/>
        <v>-277566.15619993972</v>
      </c>
      <c r="CL470">
        <f t="shared" si="383"/>
        <v>653944.30500568252</v>
      </c>
    </row>
    <row r="471" spans="1:90" x14ac:dyDescent="0.2">
      <c r="A471" s="2" t="s">
        <v>504</v>
      </c>
      <c r="B471" s="2" t="str">
        <f t="shared" si="386"/>
        <v>SATPURA TPS</v>
      </c>
      <c r="C471" s="2" t="str">
        <f>VLOOKUP($A471,'[1]daily coal, energy reqd'!$C$2:$T$599,17,FALSE)</f>
        <v>Madhya Pradesh</v>
      </c>
      <c r="D471" s="2" t="str">
        <f>VLOOKUP(C471,'Target PLF'!$I$2:$J$19,2,FALSE)</f>
        <v>WR</v>
      </c>
      <c r="E471" s="2" t="str">
        <f>VLOOKUP(A471,[2]Ownership!$C$2:$D$666,2,FALSE)</f>
        <v>STATE SECTOR</v>
      </c>
      <c r="F471" s="2" t="s">
        <v>549</v>
      </c>
      <c r="G471" s="12">
        <v>39.671457905544102</v>
      </c>
      <c r="H471" s="2">
        <v>210</v>
      </c>
      <c r="I471" s="2">
        <f>VLOOKUP(A471,'[3]Calculated coal req (reg.)'!$A$2:$I$599,9,FALSE)</f>
        <v>2.0012590854490901</v>
      </c>
      <c r="J471" s="2"/>
      <c r="K471" s="11">
        <v>0.39707521536688301</v>
      </c>
      <c r="L471" s="3">
        <f>VLOOKUP(F471,'Target PLF'!$A$2:$B$11,2,FALSE)</f>
        <v>0.55000000000000004</v>
      </c>
      <c r="M471" s="3">
        <f t="shared" si="371"/>
        <v>0.15292478463311704</v>
      </c>
      <c r="N471" s="2" t="str">
        <f t="shared" si="354"/>
        <v>0.25</v>
      </c>
      <c r="O471" s="2">
        <f t="shared" si="349"/>
        <v>9.1082237731221625</v>
      </c>
      <c r="P471" s="2">
        <f t="shared" si="355"/>
        <v>698145.35220981378</v>
      </c>
      <c r="Q471" s="2">
        <f t="shared" si="356"/>
        <v>15.409902179158108</v>
      </c>
      <c r="R471" s="2">
        <f t="shared" si="357"/>
        <v>2.7719999999999998</v>
      </c>
      <c r="S471" s="2"/>
      <c r="T471" s="2" t="str">
        <f>VLOOKUP(A471,'[4]CEA vs MERIT comp. &amp; NPA marker'!$C$2:$K$735,9,FALSE)</f>
        <v>Contracted</v>
      </c>
      <c r="U471" s="3">
        <f>VLOOKUP(B471,'[8]Import-Domestic share'!$A$208:$F$406,6,FALSE)</f>
        <v>0</v>
      </c>
      <c r="V471" s="3">
        <f t="shared" si="358"/>
        <v>0</v>
      </c>
      <c r="W471" s="2">
        <f t="shared" si="359"/>
        <v>3344.7031989712523</v>
      </c>
      <c r="X471" s="2">
        <f t="shared" si="360"/>
        <v>3395.2557285371631</v>
      </c>
      <c r="Y471" s="6">
        <f t="shared" si="361"/>
        <v>0.25712296393429307</v>
      </c>
      <c r="Z471" s="2"/>
      <c r="AA471" s="2">
        <f t="shared" si="362"/>
        <v>563249.11737240572</v>
      </c>
      <c r="AB471" s="2" t="s">
        <v>576</v>
      </c>
      <c r="AC471" s="12">
        <f>VLOOKUP(B471,[9]Sheet1!$A$2:$B$137,2,FALSE)</f>
        <v>4403.1973598778304</v>
      </c>
      <c r="AD471" s="12">
        <f t="shared" si="363"/>
        <v>924671.44557434437</v>
      </c>
      <c r="AE471" s="2"/>
      <c r="AF471" s="7">
        <f>VLOOKUP($B471,'[9]Subsidiary wise dispatch'!$A$3:$R$138,11,FALSE)*$H471*$O471*365</f>
        <v>0</v>
      </c>
      <c r="AG471" s="7">
        <f>VLOOKUP($B471,'[9]Subsidiary wise dispatch'!$A$3:$R$138,12,FALSE)*$H471*$O471*365</f>
        <v>0</v>
      </c>
      <c r="AH471" s="7">
        <f>VLOOKUP($B471,'[9]Subsidiary wise dispatch'!$A$3:$R$138,13,FALSE)*$H471*$O471*365</f>
        <v>0</v>
      </c>
      <c r="AI471" s="7">
        <f>VLOOKUP($B471,'[9]Subsidiary wise dispatch'!$A$3:$R$138,14,FALSE)*$H471*$O471*365</f>
        <v>0</v>
      </c>
      <c r="AJ471" s="7">
        <f>VLOOKUP($B471,'[9]Subsidiary wise dispatch'!$A$3:$R$138,15,FALSE)*$H471*$O471*365</f>
        <v>0</v>
      </c>
      <c r="AK471" s="7">
        <f>VLOOKUP($B471,'[9]Subsidiary wise dispatch'!$A$3:$R$138,16,FALSE)*$H471*$O471*365</f>
        <v>0</v>
      </c>
      <c r="AL471" s="7">
        <f>VLOOKUP($B471,'[9]Subsidiary wise dispatch'!$A$3:$R$138,17,FALSE)*$H471*$O471*365</f>
        <v>232389.10755417289</v>
      </c>
      <c r="AM471" s="7">
        <f>VLOOKUP($B471,'[9]Subsidiary wise dispatch'!$A$3:$R$138,18,FALSE)*$H471*$O471*365</f>
        <v>465756.24465564097</v>
      </c>
      <c r="AN471" s="15">
        <f t="shared" si="364"/>
        <v>698145.35220981389</v>
      </c>
      <c r="AO471" s="6">
        <v>0.1003219631047786</v>
      </c>
      <c r="AP471" s="11">
        <f t="shared" si="365"/>
        <v>0.2007702401335266</v>
      </c>
      <c r="AQ471" s="11"/>
      <c r="AR471" s="3">
        <f>VLOOKUP(A471,[10]Sheet1!$A$2:$L$542,12,FALSE)</f>
        <v>2.5310843373493599</v>
      </c>
      <c r="AS471" s="3">
        <f t="shared" si="372"/>
        <v>2.6129906982151461</v>
      </c>
      <c r="AT471" s="2"/>
      <c r="AU471" s="2"/>
      <c r="AV471" s="88">
        <f t="shared" si="373"/>
        <v>0.11206634067484084</v>
      </c>
      <c r="AW471" s="32">
        <f t="shared" si="374"/>
        <v>4.2888151401147323E-2</v>
      </c>
      <c r="AX471" s="12">
        <f t="shared" si="366"/>
        <v>190.86840518739132</v>
      </c>
      <c r="AY471" s="12">
        <f t="shared" si="367"/>
        <v>0</v>
      </c>
      <c r="AZ471" s="3">
        <f>VLOOKUP(A471,[5]Analysis!$A$3:$BJ$543,62,FALSE)</f>
        <v>0.61470266165370446</v>
      </c>
      <c r="BA471" s="2"/>
      <c r="BB471" s="2"/>
      <c r="BC471" s="2" t="e">
        <f>VLOOKUP(A471,'[6]FGD status - Jun 2020'!$I$2:$M$449,5,FALSE)</f>
        <v>#N/A</v>
      </c>
      <c r="BD471" s="2" t="str">
        <f>VLOOKUP(A471,'[1]daily coal, energy reqd'!$C$2:$L$599,10,FALSE)</f>
        <v>Y</v>
      </c>
      <c r="BE471" s="2"/>
      <c r="BF471" s="2">
        <f t="shared" si="368"/>
        <v>174.32560182675957</v>
      </c>
      <c r="BG471" s="2">
        <f t="shared" si="369"/>
        <v>0</v>
      </c>
      <c r="BH471" s="2"/>
      <c r="BI471" s="2"/>
      <c r="BK471">
        <f t="shared" si="370"/>
        <v>83.385795227045435</v>
      </c>
      <c r="BP471" s="2" t="e">
        <f>VLOOKUP(A471,'[7]Table 2'!$J$2:$N$449,5,FALSE)</f>
        <v>#N/A</v>
      </c>
      <c r="BR471">
        <f t="shared" si="375"/>
        <v>152.45222433906002</v>
      </c>
      <c r="BT471">
        <f>(X471*I471*365*[5]Analysis!BK471)/10^4</f>
        <v>93.799234283909129</v>
      </c>
      <c r="BV471">
        <f>(X471*I471*365*[5]Analysis!BL471)/10^4</f>
        <v>58.652990055150887</v>
      </c>
      <c r="BX471">
        <f t="shared" si="376"/>
        <v>696465.60335120198</v>
      </c>
      <c r="BZ471">
        <f t="shared" si="377"/>
        <v>2326004.5421950547</v>
      </c>
      <c r="CB471">
        <f t="shared" si="378"/>
        <v>-85697.481184809454</v>
      </c>
      <c r="CD471">
        <f t="shared" si="379"/>
        <v>0</v>
      </c>
      <c r="CF471">
        <f t="shared" si="380"/>
        <v>1304307.6007573891</v>
      </c>
      <c r="CH471">
        <f t="shared" si="381"/>
        <v>587864.47308701044</v>
      </c>
      <c r="CJ471">
        <f t="shared" si="382"/>
        <v>-252957.14714167954</v>
      </c>
      <c r="CL471">
        <f t="shared" si="383"/>
        <v>567586.30274804553</v>
      </c>
    </row>
    <row r="472" spans="1:90" x14ac:dyDescent="0.2">
      <c r="A472" s="2" t="s">
        <v>486</v>
      </c>
      <c r="B472" s="2" t="str">
        <f t="shared" si="386"/>
        <v>SATPURA TPS</v>
      </c>
      <c r="C472" s="2" t="str">
        <f>VLOOKUP($A472,'[1]daily coal, energy reqd'!$C$2:$T$599,17,FALSE)</f>
        <v>Madhya Pradesh</v>
      </c>
      <c r="D472" s="2" t="str">
        <f>VLOOKUP(C472,'Target PLF'!$I$2:$J$19,2,FALSE)</f>
        <v>WR</v>
      </c>
      <c r="E472" s="2" t="str">
        <f>VLOOKUP(A472,[2]Ownership!$C$2:$D$666,2,FALSE)</f>
        <v>STATE SECTOR</v>
      </c>
      <c r="F472" s="2" t="s">
        <v>549</v>
      </c>
      <c r="G472" s="12">
        <v>37.338809034907598</v>
      </c>
      <c r="H472" s="2">
        <v>210</v>
      </c>
      <c r="I472" s="2">
        <f>VLOOKUP(A472,'[3]Calculated coal req (reg.)'!$A$2:$I$599,9,FALSE)</f>
        <v>2.5029032745378399</v>
      </c>
      <c r="J472" s="2"/>
      <c r="K472" s="11">
        <v>0.49660779256703175</v>
      </c>
      <c r="L472" s="3">
        <f>VLOOKUP(F472,'Target PLF'!$A$2:$B$11,2,FALSE)</f>
        <v>0.55000000000000004</v>
      </c>
      <c r="M472" s="3">
        <f t="shared" si="371"/>
        <v>5.3392207432968297E-2</v>
      </c>
      <c r="N472" s="2" t="str">
        <f t="shared" si="354"/>
        <v>0.25</v>
      </c>
      <c r="O472" s="2">
        <f t="shared" si="349"/>
        <v>10.41916372650358</v>
      </c>
      <c r="P472" s="2">
        <f t="shared" si="355"/>
        <v>798628.89963649935</v>
      </c>
      <c r="Q472" s="2">
        <f t="shared" si="356"/>
        <v>15.336015526180697</v>
      </c>
      <c r="R472" s="2">
        <f t="shared" si="357"/>
        <v>2.7719999999999998</v>
      </c>
      <c r="S472" s="2"/>
      <c r="T472" s="2" t="str">
        <f>VLOOKUP(A472,'[4]CEA vs MERIT comp. &amp; NPA marker'!$C$2:$K$735,9,FALSE)</f>
        <v>Contracted</v>
      </c>
      <c r="U472" s="3">
        <f>VLOOKUP(B472,'[8]Import-Domestic share'!$A$208:$F$406,6,FALSE)</f>
        <v>0</v>
      </c>
      <c r="V472" s="3">
        <f t="shared" si="358"/>
        <v>0</v>
      </c>
      <c r="W472" s="2">
        <f t="shared" si="359"/>
        <v>3326.8805089671459</v>
      </c>
      <c r="X472" s="2">
        <f t="shared" si="360"/>
        <v>3344.5304350489109</v>
      </c>
      <c r="Y472" s="6">
        <f t="shared" si="361"/>
        <v>0.25850041733749951</v>
      </c>
      <c r="Z472" s="2"/>
      <c r="AA472" s="2">
        <f t="shared" si="362"/>
        <v>693911.25473791861</v>
      </c>
      <c r="AB472" s="2" t="s">
        <v>576</v>
      </c>
      <c r="AC472" s="12">
        <f>VLOOKUP(B472,[9]Sheet1!$A$2:$B$137,2,FALSE)</f>
        <v>4403.1973598778304</v>
      </c>
      <c r="AD472" s="12">
        <f t="shared" si="363"/>
        <v>924671.44557434437</v>
      </c>
      <c r="AE472" s="2"/>
      <c r="AF472" s="7">
        <f>VLOOKUP($B472,'[9]Subsidiary wise dispatch'!$A$3:$R$138,11,FALSE)*$H472*$O472*365</f>
        <v>0</v>
      </c>
      <c r="AG472" s="7">
        <f>VLOOKUP($B472,'[9]Subsidiary wise dispatch'!$A$3:$R$138,12,FALSE)*$H472*$O472*365</f>
        <v>0</v>
      </c>
      <c r="AH472" s="7">
        <f>VLOOKUP($B472,'[9]Subsidiary wise dispatch'!$A$3:$R$138,13,FALSE)*$H472*$O472*365</f>
        <v>0</v>
      </c>
      <c r="AI472" s="7">
        <f>VLOOKUP($B472,'[9]Subsidiary wise dispatch'!$A$3:$R$138,14,FALSE)*$H472*$O472*365</f>
        <v>0</v>
      </c>
      <c r="AJ472" s="7">
        <f>VLOOKUP($B472,'[9]Subsidiary wise dispatch'!$A$3:$R$138,15,FALSE)*$H472*$O472*365</f>
        <v>0</v>
      </c>
      <c r="AK472" s="7">
        <f>VLOOKUP($B472,'[9]Subsidiary wise dispatch'!$A$3:$R$138,16,FALSE)*$H472*$O472*365</f>
        <v>0</v>
      </c>
      <c r="AL472" s="7">
        <f>VLOOKUP($B472,'[9]Subsidiary wise dispatch'!$A$3:$R$138,17,FALSE)*$H472*$O472*365</f>
        <v>265836.70100509527</v>
      </c>
      <c r="AM472" s="7">
        <f>VLOOKUP($B472,'[9]Subsidiary wise dispatch'!$A$3:$R$138,18,FALSE)*$H472*$O472*365</f>
        <v>532792.19863140432</v>
      </c>
      <c r="AN472" s="15">
        <f t="shared" si="364"/>
        <v>798628.89963649958</v>
      </c>
      <c r="AO472" s="6">
        <v>0.1003219631047786</v>
      </c>
      <c r="AP472" s="11">
        <f t="shared" si="365"/>
        <v>0.2510961699630147</v>
      </c>
      <c r="AQ472" s="11"/>
      <c r="AR472" s="3">
        <f>VLOOKUP(A472,[10]Sheet1!$A$2:$L$542,12,FALSE)</f>
        <v>2.5310843373493599</v>
      </c>
      <c r="AS472" s="3">
        <f t="shared" si="372"/>
        <v>2.590519257069972</v>
      </c>
      <c r="AT472" s="2"/>
      <c r="AU472" s="2"/>
      <c r="AV472" s="88">
        <f t="shared" si="373"/>
        <v>3.9126877451027831E-2</v>
      </c>
      <c r="AW472" s="32">
        <f t="shared" si="374"/>
        <v>1.5103874385123315E-2</v>
      </c>
      <c r="AX472" s="12">
        <f t="shared" si="366"/>
        <v>236.65939829149244</v>
      </c>
      <c r="AY472" s="12">
        <f t="shared" si="367"/>
        <v>0</v>
      </c>
      <c r="AZ472" s="3">
        <f>VLOOKUP(A472,[5]Analysis!$A$3:$BJ$543,62,FALSE)</f>
        <v>0.61470266165370446</v>
      </c>
      <c r="BA472" s="2"/>
      <c r="BB472" s="2"/>
      <c r="BC472" s="2" t="e">
        <f>VLOOKUP(A472,'[6]FGD status - Jun 2020'!$I$2:$M$449,5,FALSE)</f>
        <v>#N/A</v>
      </c>
      <c r="BD472" s="2" t="str">
        <f>VLOOKUP(A472,'[1]daily coal, energy reqd'!$C$2:$L$599,10,FALSE)</f>
        <v>Y</v>
      </c>
      <c r="BE472" s="2"/>
      <c r="BF472" s="2">
        <f t="shared" si="368"/>
        <v>214.7655333413858</v>
      </c>
      <c r="BG472" s="2">
        <f t="shared" si="369"/>
        <v>0</v>
      </c>
      <c r="BH472" s="2"/>
      <c r="BI472" s="2"/>
      <c r="BK472">
        <f t="shared" si="370"/>
        <v>104.28763643907666</v>
      </c>
      <c r="BP472" s="2" t="e">
        <f>VLOOKUP(A472,'[7]Table 2'!$J$2:$N$449,5,FALSE)</f>
        <v>#N/A</v>
      </c>
      <c r="BR472">
        <f t="shared" si="375"/>
        <v>187.81798500140266</v>
      </c>
      <c r="BT472">
        <f>(X472*I472*365*[5]Analysis!BK472)/10^4</f>
        <v>115.55871522541358</v>
      </c>
      <c r="BV472">
        <f>(X472*I472*365*[5]Analysis!BL472)/10^4</f>
        <v>72.259269775989111</v>
      </c>
      <c r="BX472">
        <f t="shared" si="376"/>
        <v>858031.20821172697</v>
      </c>
      <c r="BZ472">
        <f t="shared" si="377"/>
        <v>2909050.8208453511</v>
      </c>
      <c r="CB472">
        <f t="shared" si="378"/>
        <v>-134044.67225970168</v>
      </c>
      <c r="CD472">
        <f t="shared" si="379"/>
        <v>0</v>
      </c>
      <c r="CF472">
        <f t="shared" si="380"/>
        <v>1631250.9403087527</v>
      </c>
      <c r="CH472">
        <f t="shared" si="381"/>
        <v>691990.7121893221</v>
      </c>
      <c r="CJ472">
        <f t="shared" si="382"/>
        <v>-316364.47099830845</v>
      </c>
      <c r="CL472">
        <f t="shared" si="383"/>
        <v>709859.9207169211</v>
      </c>
    </row>
    <row r="473" spans="1:90" x14ac:dyDescent="0.2">
      <c r="A473" s="2" t="s">
        <v>474</v>
      </c>
      <c r="B473" s="2" t="str">
        <f t="shared" si="386"/>
        <v>SATPURA TPS</v>
      </c>
      <c r="C473" s="2" t="str">
        <f>VLOOKUP($A473,'[1]daily coal, energy reqd'!$C$2:$T$599,17,FALSE)</f>
        <v>Madhya Pradesh</v>
      </c>
      <c r="D473" s="2" t="str">
        <f>VLOOKUP(C473,'Target PLF'!$I$2:$J$19,2,FALSE)</f>
        <v>WR</v>
      </c>
      <c r="E473" s="2" t="str">
        <f>VLOOKUP(A473,[2]Ownership!$C$2:$D$666,2,FALSE)</f>
        <v>STATE SECTOR</v>
      </c>
      <c r="F473" s="2" t="s">
        <v>549</v>
      </c>
      <c r="G473" s="12">
        <v>36.254620123203203</v>
      </c>
      <c r="H473" s="2">
        <v>210</v>
      </c>
      <c r="I473" s="2">
        <f>VLOOKUP(A473,'[3]Calculated coal req (reg.)'!$A$2:$I$599,9,FALSE)</f>
        <v>1.5474686808976399</v>
      </c>
      <c r="J473" s="2"/>
      <c r="K473" s="11">
        <v>0.30703743668603967</v>
      </c>
      <c r="L473" s="3">
        <f>VLOOKUP(F473,'Target PLF'!$A$2:$B$11,2,FALSE)</f>
        <v>0.55000000000000004</v>
      </c>
      <c r="M473" s="3">
        <f t="shared" si="371"/>
        <v>0.24296256331396038</v>
      </c>
      <c r="N473" s="2" t="str">
        <f t="shared" si="354"/>
        <v>0.25</v>
      </c>
      <c r="O473" s="2">
        <f t="shared" si="349"/>
        <v>7.7472728102463364</v>
      </c>
      <c r="P473" s="2">
        <f t="shared" si="355"/>
        <v>593828.46090538171</v>
      </c>
      <c r="Q473" s="2">
        <f t="shared" si="356"/>
        <v>15.30167384240246</v>
      </c>
      <c r="R473" s="2">
        <f t="shared" si="357"/>
        <v>2.7719999999999998</v>
      </c>
      <c r="S473" s="2"/>
      <c r="T473" s="2" t="str">
        <f>VLOOKUP(A473,'[4]CEA vs MERIT comp. &amp; NPA marker'!$C$2:$K$735,9,FALSE)</f>
        <v>Contracted</v>
      </c>
      <c r="U473" s="3">
        <f>VLOOKUP(B473,'[8]Import-Domestic share'!$A$208:$F$406,6,FALSE)</f>
        <v>0</v>
      </c>
      <c r="V473" s="3">
        <f t="shared" si="358"/>
        <v>0</v>
      </c>
      <c r="W473" s="2">
        <f t="shared" si="359"/>
        <v>3318.5967234722789</v>
      </c>
      <c r="X473" s="2">
        <f t="shared" si="360"/>
        <v>3398.9131495820507</v>
      </c>
      <c r="Y473" s="6">
        <f t="shared" si="361"/>
        <v>0.25914567862893989</v>
      </c>
      <c r="Z473" s="2"/>
      <c r="AA473" s="2">
        <f t="shared" si="362"/>
        <v>436000.15957462986</v>
      </c>
      <c r="AB473" s="2" t="s">
        <v>576</v>
      </c>
      <c r="AC473" s="12">
        <f>VLOOKUP(B473,[9]Sheet1!$A$2:$B$137,2,FALSE)</f>
        <v>4403.1973598778304</v>
      </c>
      <c r="AD473" s="12">
        <f t="shared" si="363"/>
        <v>924671.44557434437</v>
      </c>
      <c r="AE473" s="2"/>
      <c r="AF473" s="7">
        <f>VLOOKUP($B473,'[9]Subsidiary wise dispatch'!$A$3:$R$138,11,FALSE)*$H473*$O473*365</f>
        <v>0</v>
      </c>
      <c r="AG473" s="7">
        <f>VLOOKUP($B473,'[9]Subsidiary wise dispatch'!$A$3:$R$138,12,FALSE)*$H473*$O473*365</f>
        <v>0</v>
      </c>
      <c r="AH473" s="7">
        <f>VLOOKUP($B473,'[9]Subsidiary wise dispatch'!$A$3:$R$138,13,FALSE)*$H473*$O473*365</f>
        <v>0</v>
      </c>
      <c r="AI473" s="7">
        <f>VLOOKUP($B473,'[9]Subsidiary wise dispatch'!$A$3:$R$138,14,FALSE)*$H473*$O473*365</f>
        <v>0</v>
      </c>
      <c r="AJ473" s="7">
        <f>VLOOKUP($B473,'[9]Subsidiary wise dispatch'!$A$3:$R$138,15,FALSE)*$H473*$O473*365</f>
        <v>0</v>
      </c>
      <c r="AK473" s="7">
        <f>VLOOKUP($B473,'[9]Subsidiary wise dispatch'!$A$3:$R$138,16,FALSE)*$H473*$O473*365</f>
        <v>0</v>
      </c>
      <c r="AL473" s="7">
        <f>VLOOKUP($B473,'[9]Subsidiary wise dispatch'!$A$3:$R$138,17,FALSE)*$H473*$O473*365</f>
        <v>197665.5228503143</v>
      </c>
      <c r="AM473" s="7">
        <f>VLOOKUP($B473,'[9]Subsidiary wise dispatch'!$A$3:$R$138,18,FALSE)*$H473*$O473*365</f>
        <v>396162.93805506738</v>
      </c>
      <c r="AN473" s="15">
        <f t="shared" si="364"/>
        <v>593828.46090538171</v>
      </c>
      <c r="AO473" s="6">
        <v>0.1003219631047786</v>
      </c>
      <c r="AP473" s="11">
        <f t="shared" si="365"/>
        <v>0.15524509591081345</v>
      </c>
      <c r="AQ473" s="11"/>
      <c r="AR473" s="3">
        <f>VLOOKUP(A473,[10]Sheet1!$A$2:$L$542,12,FALSE)</f>
        <v>2.5310843373493599</v>
      </c>
      <c r="AS473" s="3">
        <f t="shared" si="372"/>
        <v>2.5880656085129035</v>
      </c>
      <c r="AT473" s="2"/>
      <c r="AU473" s="2"/>
      <c r="AV473" s="88">
        <f t="shared" si="373"/>
        <v>0.17804782564773644</v>
      </c>
      <c r="AW473" s="32">
        <f t="shared" si="374"/>
        <v>6.8795715634907079E-2</v>
      </c>
      <c r="AX473" s="12">
        <f t="shared" si="366"/>
        <v>146.18069227479336</v>
      </c>
      <c r="AY473" s="12">
        <f t="shared" si="367"/>
        <v>0</v>
      </c>
      <c r="AZ473" s="3">
        <f>VLOOKUP(A473,[5]Analysis!$A$3:$BJ$543,62,FALSE)</f>
        <v>0.61470266165370446</v>
      </c>
      <c r="BA473" s="2"/>
      <c r="BB473" s="2"/>
      <c r="BC473" s="2" t="e">
        <f>VLOOKUP(A473,'[6]FGD status - Jun 2020'!$I$2:$M$449,5,FALSE)</f>
        <v>#N/A</v>
      </c>
      <c r="BD473" s="2" t="str">
        <f>VLOOKUP(A473,'[1]daily coal, energy reqd'!$C$2:$L$599,10,FALSE)</f>
        <v>Y</v>
      </c>
      <c r="BE473" s="2"/>
      <c r="BF473" s="2">
        <f t="shared" si="368"/>
        <v>134.94204938834793</v>
      </c>
      <c r="BG473" s="2">
        <f t="shared" si="369"/>
        <v>0</v>
      </c>
      <c r="BH473" s="2"/>
      <c r="BI473" s="2"/>
      <c r="BK473">
        <f t="shared" si="370"/>
        <v>64.477861704068332</v>
      </c>
      <c r="BP473" s="2" t="e">
        <f>VLOOKUP(A473,'[7]Table 2'!$J$2:$N$449,5,FALSE)</f>
        <v>#N/A</v>
      </c>
      <c r="BR473">
        <f t="shared" si="375"/>
        <v>118.01029436037224</v>
      </c>
      <c r="BT473">
        <f>(X473*I473*365*[5]Analysis!BK473)/10^4</f>
        <v>72.608158369687743</v>
      </c>
      <c r="BV473">
        <f>(X473*I473*365*[5]Analysis!BL473)/10^4</f>
        <v>45.402135990684485</v>
      </c>
      <c r="BX473">
        <f t="shared" si="376"/>
        <v>539120.44392711134</v>
      </c>
      <c r="BZ473">
        <f t="shared" si="377"/>
        <v>1798577.3090767888</v>
      </c>
      <c r="CB473">
        <f t="shared" si="378"/>
        <v>-51239.532712261593</v>
      </c>
      <c r="CD473">
        <f t="shared" si="379"/>
        <v>0</v>
      </c>
      <c r="CF473">
        <f t="shared" si="380"/>
        <v>1008552.6542286109</v>
      </c>
      <c r="CH473">
        <f t="shared" si="381"/>
        <v>415413.84292219061</v>
      </c>
      <c r="CJ473">
        <f t="shared" si="382"/>
        <v>-195598.49379678079</v>
      </c>
      <c r="CL473">
        <f t="shared" si="383"/>
        <v>438884.71692408971</v>
      </c>
    </row>
    <row r="474" spans="1:90" x14ac:dyDescent="0.2">
      <c r="A474" s="2" t="s">
        <v>243</v>
      </c>
      <c r="B474" s="2" t="str">
        <f t="shared" si="386"/>
        <v>SHIRPUR TPP</v>
      </c>
      <c r="C474" s="2" t="str">
        <f>VLOOKUP($A474,'[1]daily coal, energy reqd'!$C$2:$T$599,17,FALSE)</f>
        <v>Maharashtra</v>
      </c>
      <c r="D474" s="2" t="str">
        <f>VLOOKUP(C474,'Target PLF'!$I$2:$J$19,2,FALSE)</f>
        <v>WR</v>
      </c>
      <c r="E474" s="2" t="str">
        <f>VLOOKUP(A474,[2]Ownership!$C$2:$D$666,2,FALSE)</f>
        <v>PVT SECTOR</v>
      </c>
      <c r="F474" s="2" t="s">
        <v>542</v>
      </c>
      <c r="G474" s="12">
        <v>2.6036960985626201</v>
      </c>
      <c r="H474" s="2">
        <v>150</v>
      </c>
      <c r="I474" s="2">
        <f>VLOOKUP(A474,'[3]Calculated coal req (reg.)'!$A$2:$I$599,9,FALSE)</f>
        <v>9.0666666666666604E-3</v>
      </c>
      <c r="J474" s="2"/>
      <c r="K474" s="11">
        <v>2.5185185185185172E-3</v>
      </c>
      <c r="L474" s="3">
        <f>VLOOKUP(F474,'Target PLF'!$A$2:$B$11,2,FALSE)</f>
        <v>0.85</v>
      </c>
      <c r="M474" s="3">
        <f t="shared" si="371"/>
        <v>0.8474814814814815</v>
      </c>
      <c r="N474" s="2" t="str">
        <f t="shared" si="354"/>
        <v>0.15</v>
      </c>
      <c r="O474" s="2">
        <f t="shared" si="349"/>
        <v>1.8961493276256747</v>
      </c>
      <c r="P474" s="2">
        <f t="shared" si="355"/>
        <v>103814.17568750567</v>
      </c>
      <c r="Q474" s="2">
        <f t="shared" si="356"/>
        <v>13.687413423921971</v>
      </c>
      <c r="R474" s="2">
        <f t="shared" si="357"/>
        <v>3.06</v>
      </c>
      <c r="S474" s="2"/>
      <c r="T474" s="2" t="str">
        <f>VLOOKUP(A474,'[4]CEA vs MERIT comp. &amp; NPA marker'!$C$2:$K$735,9,FALSE)</f>
        <v>Not contracted</v>
      </c>
      <c r="U474" s="3">
        <v>0.28000000000000003</v>
      </c>
      <c r="V474" s="3">
        <f t="shared" si="358"/>
        <v>29067.969192501594</v>
      </c>
      <c r="W474" s="2">
        <f t="shared" si="359"/>
        <v>3080.9863393778232</v>
      </c>
      <c r="X474" s="2">
        <f t="shared" si="360"/>
        <v>3361.1393096889346</v>
      </c>
      <c r="Y474" s="6">
        <f t="shared" si="361"/>
        <v>0.27913139016827615</v>
      </c>
      <c r="Z474" s="2"/>
      <c r="AA474" s="2">
        <f t="shared" si="362"/>
        <v>2595.2240680192658</v>
      </c>
      <c r="AB474" s="2" t="s">
        <v>576</v>
      </c>
      <c r="AC474" s="12"/>
      <c r="AD474" s="12">
        <f t="shared" si="363"/>
        <v>0</v>
      </c>
      <c r="AE474" s="2"/>
      <c r="AF474" s="7"/>
      <c r="AG474" s="7"/>
      <c r="AH474" s="7"/>
      <c r="AI474" s="7"/>
      <c r="AJ474" s="7"/>
      <c r="AK474" s="7"/>
      <c r="AL474" s="7"/>
      <c r="AM474" s="7"/>
      <c r="AN474" s="15">
        <f t="shared" si="364"/>
        <v>0</v>
      </c>
      <c r="AO474" s="6">
        <v>8.8520507634108028E-2</v>
      </c>
      <c r="AP474" s="11">
        <f t="shared" si="365"/>
        <v>8.0258593588257887E-4</v>
      </c>
      <c r="AQ474" s="11"/>
      <c r="AR474" s="3"/>
      <c r="AS474" s="3">
        <f t="shared" si="372"/>
        <v>2.7938483081063832</v>
      </c>
      <c r="AT474" s="2"/>
      <c r="AU474" s="2"/>
      <c r="AV474" s="88">
        <f t="shared" si="373"/>
        <v>0.62105137925925935</v>
      </c>
      <c r="AW474" s="32">
        <f t="shared" si="374"/>
        <v>0.22229244782448337</v>
      </c>
      <c r="AX474" s="12">
        <f t="shared" si="366"/>
        <v>0.92457753342933846</v>
      </c>
      <c r="AY474" s="12">
        <f t="shared" si="367"/>
        <v>0</v>
      </c>
      <c r="AZ474" s="3">
        <f>VLOOKUP(A474,[5]Analysis!$A$3:$BJ$543,62,FALSE)</f>
        <v>0.85591042403948669</v>
      </c>
      <c r="BA474" s="2"/>
      <c r="BB474" s="2"/>
      <c r="BC474" s="2" t="str">
        <f>VLOOKUP(A474,'[6]FGD status - Jun 2020'!$I$2:$M$449,5,FALSE)</f>
        <v>Feasibility study under progress</v>
      </c>
      <c r="BD474" s="2"/>
      <c r="BE474" s="2"/>
      <c r="BF474" s="2">
        <f t="shared" si="368"/>
        <v>0.95843701011205895</v>
      </c>
      <c r="BG474" s="2">
        <f t="shared" si="369"/>
        <v>0</v>
      </c>
      <c r="BH474" s="2">
        <f>IF(G474&lt;17,IF(H474&gt;400,H474*5000000,H474*3500000),H474*1500000)/10^7</f>
        <v>52.5</v>
      </c>
      <c r="BI474" s="2">
        <f>(H474*800000)/10^7</f>
        <v>12</v>
      </c>
      <c r="BK474">
        <f t="shared" si="370"/>
        <v>0.37777777777777755</v>
      </c>
      <c r="BP474" s="2" t="str">
        <f>VLOOKUP(A474,'[7]Table 2'!$J$2:$N$449,5,FALSE)</f>
        <v>Feasability study under prog</v>
      </c>
      <c r="BR474">
        <f t="shared" si="375"/>
        <v>0.95204032192486598</v>
      </c>
      <c r="BT474">
        <f>(X474*I474*365*[5]Analysis!BK474)/10^4</f>
        <v>0.68170153405980782</v>
      </c>
      <c r="BV474">
        <f>(X474*I474*365*[5]Analysis!BL474)/10^4</f>
        <v>0.27033878786505811</v>
      </c>
      <c r="BX474">
        <f t="shared" si="376"/>
        <v>3123.6187984709145</v>
      </c>
      <c r="BZ474">
        <f t="shared" si="377"/>
        <v>14672.972826131998</v>
      </c>
      <c r="CB474">
        <f t="shared" si="378"/>
        <v>-2.4625483061728364</v>
      </c>
      <c r="CD474">
        <f t="shared" si="379"/>
        <v>-3346.0025599999976</v>
      </c>
      <c r="CF474">
        <f t="shared" si="380"/>
        <v>5909.1410666666634</v>
      </c>
      <c r="CH474">
        <f t="shared" si="381"/>
        <v>174.79688104038263</v>
      </c>
      <c r="CJ474">
        <f t="shared" si="382"/>
        <v>-818.58399999999949</v>
      </c>
      <c r="CL474">
        <f t="shared" si="383"/>
        <v>2268.9457545212294</v>
      </c>
    </row>
    <row r="475" spans="1:90" x14ac:dyDescent="0.2">
      <c r="A475" s="2" t="s">
        <v>221</v>
      </c>
      <c r="B475" s="2" t="str">
        <f t="shared" si="386"/>
        <v>SIKKA REP. TPS</v>
      </c>
      <c r="C475" s="2" t="str">
        <f>VLOOKUP($A475,'[1]daily coal, energy reqd'!$C$2:$T$599,17,FALSE)</f>
        <v>Gujarat</v>
      </c>
      <c r="D475" s="2" t="str">
        <f>VLOOKUP(C475,'Target PLF'!$I$2:$J$19,2,FALSE)</f>
        <v>WR</v>
      </c>
      <c r="E475" s="2" t="str">
        <f>VLOOKUP(A475,[2]Ownership!$C$2:$D$666,2,FALSE)</f>
        <v>STATE SECTOR</v>
      </c>
      <c r="F475" s="2" t="s">
        <v>543</v>
      </c>
      <c r="G475" s="12">
        <v>5.1772758384667998</v>
      </c>
      <c r="H475" s="2">
        <v>250</v>
      </c>
      <c r="I475" s="2">
        <f>VLOOKUP(A475,'[3]Calculated coal req (reg.)'!$A$2:$I$599,9,FALSE)</f>
        <v>3.90736302676296</v>
      </c>
      <c r="J475" s="2"/>
      <c r="K475" s="11">
        <v>0.65122717112716</v>
      </c>
      <c r="L475" s="3">
        <f>VLOOKUP(F475,'Target PLF'!$A$2:$B$11,2,FALSE)</f>
        <v>0.85</v>
      </c>
      <c r="M475" s="3">
        <f t="shared" si="371"/>
        <v>0.19877282887283998</v>
      </c>
      <c r="N475" s="2" t="str">
        <f t="shared" si="354"/>
        <v>0.15</v>
      </c>
      <c r="O475" s="2">
        <f t="shared" si="349"/>
        <v>11.372306662226951</v>
      </c>
      <c r="P475" s="2">
        <f t="shared" si="355"/>
        <v>1037722.9829282092</v>
      </c>
      <c r="Q475" s="2">
        <f t="shared" si="356"/>
        <v>14.137892662183434</v>
      </c>
      <c r="R475" s="2">
        <f t="shared" si="357"/>
        <v>5.0999999999999996</v>
      </c>
      <c r="S475" s="2"/>
      <c r="T475" s="2" t="str">
        <f>VLOOKUP(A475,'[4]CEA vs MERIT comp. &amp; NPA marker'!$C$2:$K$735,9,FALSE)</f>
        <v>Contracted</v>
      </c>
      <c r="U475" s="3">
        <f>VLOOKUP(B475,'[8]Import-Domestic share'!$A$208:$F$406,6,FALSE)</f>
        <v>0.99991356850930369</v>
      </c>
      <c r="V475" s="3">
        <f t="shared" si="358"/>
        <v>1037633.290983865</v>
      </c>
      <c r="W475" s="2">
        <f t="shared" si="359"/>
        <v>3170.3841861394176</v>
      </c>
      <c r="X475" s="2">
        <f t="shared" si="360"/>
        <v>3236.092758707307</v>
      </c>
      <c r="Y475" s="6">
        <f t="shared" si="361"/>
        <v>0.27126050015005393</v>
      </c>
      <c r="Z475" s="2"/>
      <c r="AA475" s="2">
        <f t="shared" si="362"/>
        <v>1112114.471503644</v>
      </c>
      <c r="AB475" s="2" t="s">
        <v>576</v>
      </c>
      <c r="AC475" s="12">
        <f>VLOOKUP(B475,[9]Sheet1!$A$2:$B$137,2,FALSE)</f>
        <v>4150</v>
      </c>
      <c r="AD475" s="12">
        <f t="shared" si="363"/>
        <v>1037500</v>
      </c>
      <c r="AE475" s="2"/>
      <c r="AF475" s="7">
        <f>VLOOKUP($B475,'[9]Subsidiary wise dispatch'!$A$3:$R$138,11,FALSE)*$H475*$O475*365</f>
        <v>0</v>
      </c>
      <c r="AG475" s="7">
        <f>VLOOKUP($B475,'[9]Subsidiary wise dispatch'!$A$3:$R$138,12,FALSE)*$H475*$O475*365</f>
        <v>0</v>
      </c>
      <c r="AH475" s="7">
        <f>VLOOKUP($B475,'[9]Subsidiary wise dispatch'!$A$3:$R$138,13,FALSE)*$H475*$O475*365</f>
        <v>0</v>
      </c>
      <c r="AI475" s="7">
        <f>VLOOKUP($B475,'[9]Subsidiary wise dispatch'!$A$3:$R$138,14,FALSE)*$H475*$O475*365</f>
        <v>0</v>
      </c>
      <c r="AJ475" s="7">
        <f>VLOOKUP($B475,'[9]Subsidiary wise dispatch'!$A$3:$R$138,15,FALSE)*$H475*$O475*365</f>
        <v>0</v>
      </c>
      <c r="AK475" s="7">
        <f>VLOOKUP($B475,'[9]Subsidiary wise dispatch'!$A$3:$R$138,16,FALSE)*$H475*$O475*365</f>
        <v>0</v>
      </c>
      <c r="AL475" s="7">
        <f>VLOOKUP($B475,'[9]Subsidiary wise dispatch'!$A$3:$R$138,17,FALSE)*$H475*$O475*365</f>
        <v>1037722.9829282092</v>
      </c>
      <c r="AM475" s="7">
        <f>VLOOKUP($B475,'[9]Subsidiary wise dispatch'!$A$3:$R$138,18,FALSE)*$H475*$O475*365</f>
        <v>0</v>
      </c>
      <c r="AN475" s="15">
        <f t="shared" si="364"/>
        <v>1037722.9829282092</v>
      </c>
      <c r="AO475" s="6">
        <v>9.4899722296610672E-2</v>
      </c>
      <c r="AP475" s="11">
        <f t="shared" si="365"/>
        <v>0.37080766615184901</v>
      </c>
      <c r="AQ475" s="11"/>
      <c r="AR475" s="3">
        <f>VLOOKUP(A475,[10]Sheet1!$A$2:$L$542,12,FALSE)</f>
        <v>3.8088925438596402</v>
      </c>
      <c r="AS475" s="3">
        <f t="shared" si="372"/>
        <v>3.5228859494509535</v>
      </c>
      <c r="AT475" s="2"/>
      <c r="AU475" s="2"/>
      <c r="AV475" s="88">
        <f t="shared" si="373"/>
        <v>0.14566470445459459</v>
      </c>
      <c r="AW475" s="32">
        <f t="shared" si="374"/>
        <v>4.1348118146514685E-2</v>
      </c>
      <c r="AX475" s="12">
        <f t="shared" si="366"/>
        <v>502.42959218313945</v>
      </c>
      <c r="AY475" s="12">
        <f t="shared" si="367"/>
        <v>0</v>
      </c>
      <c r="AZ475" s="3">
        <f>VLOOKUP(A475,[5]Analysis!$A$3:$BJ$543,62,FALSE)</f>
        <v>1.2604802302838389</v>
      </c>
      <c r="BA475" s="2">
        <v>318.06</v>
      </c>
      <c r="BB475" s="2"/>
      <c r="BC475" s="2" t="str">
        <f>VLOOKUP(A475,'[6]FGD status - Jun 2020'!$I$2:$M$449,5,FALSE)</f>
        <v>Bidding Under Progress</v>
      </c>
      <c r="BD475" s="2"/>
      <c r="BE475" s="2"/>
      <c r="BF475" s="2">
        <f t="shared" si="368"/>
        <v>581.726548445959</v>
      </c>
      <c r="BG475" s="2">
        <f t="shared" si="369"/>
        <v>0</v>
      </c>
      <c r="BH475" s="2">
        <f>IF(G475&lt;17,IF(H475&gt;400,H475*5000000,H475*3500000),H475*1500000)/10^7</f>
        <v>87.5</v>
      </c>
      <c r="BI475" s="2">
        <f>(H475*800000)/10^7</f>
        <v>20</v>
      </c>
      <c r="BK475">
        <f t="shared" si="370"/>
        <v>162.80679278178999</v>
      </c>
      <c r="BL475">
        <f>VLOOKUP(A475,'[11]Daily coal vs energy req.2'!$C$2:$P$599,14,FALSE)</f>
        <v>0.53</v>
      </c>
      <c r="BM475">
        <f>VLOOKUP(A475,'[11]Daily coal vs energy req.2'!$C$2:$R$599,16,FALSE)</f>
        <v>0.59</v>
      </c>
      <c r="BN475">
        <f t="shared" ref="BN475:BN483" si="387">BL475*H475</f>
        <v>132.5</v>
      </c>
      <c r="BO475">
        <f t="shared" ref="BO475:BO483" si="388">BM475*H475</f>
        <v>147.5</v>
      </c>
      <c r="BP475" s="2" t="str">
        <f>VLOOKUP(A475,'[7]Table 2'!$J$2:$N$449,5,FALSE)</f>
        <v>Bid opened</v>
      </c>
      <c r="BR475">
        <f t="shared" si="375"/>
        <v>581.74629663430483</v>
      </c>
      <c r="BT475">
        <f>(X475*I475*365*[5]Analysis!BK475)/10^4</f>
        <v>581.71225570687295</v>
      </c>
      <c r="BV475">
        <f>(X475*I475*365*[5]Analysis!BL475)/10^4</f>
        <v>3.4040927431809496E-2</v>
      </c>
      <c r="BX475">
        <f t="shared" si="376"/>
        <v>1296070.3926461989</v>
      </c>
      <c r="BZ475">
        <f t="shared" si="377"/>
        <v>9312407.0180685297</v>
      </c>
      <c r="CB475">
        <f t="shared" si="378"/>
        <v>-274415.24560008931</v>
      </c>
      <c r="CD475">
        <f t="shared" si="379"/>
        <v>0</v>
      </c>
      <c r="CF475">
        <f t="shared" si="380"/>
        <v>2546598.4548330852</v>
      </c>
      <c r="CH475">
        <f t="shared" si="381"/>
        <v>149789.30454313761</v>
      </c>
      <c r="CJ475">
        <f t="shared" si="382"/>
        <v>-587960.45145215653</v>
      </c>
      <c r="CL475">
        <f t="shared" si="383"/>
        <v>1048289.5877485881</v>
      </c>
    </row>
    <row r="476" spans="1:90" x14ac:dyDescent="0.2">
      <c r="A476" s="2" t="s">
        <v>215</v>
      </c>
      <c r="B476" s="2" t="str">
        <f t="shared" si="386"/>
        <v>SIKKA REP. TPS</v>
      </c>
      <c r="C476" s="2" t="str">
        <f>VLOOKUP($A476,'[1]daily coal, energy reqd'!$C$2:$T$599,17,FALSE)</f>
        <v>Gujarat</v>
      </c>
      <c r="D476" s="2" t="str">
        <f>VLOOKUP(C476,'Target PLF'!$I$2:$J$19,2,FALSE)</f>
        <v>WR</v>
      </c>
      <c r="E476" s="2" t="str">
        <f>VLOOKUP(A476,[2]Ownership!$C$2:$D$666,2,FALSE)</f>
        <v>STATE SECTOR</v>
      </c>
      <c r="F476" s="2" t="s">
        <v>542</v>
      </c>
      <c r="G476" s="12">
        <v>4.6735112936344896</v>
      </c>
      <c r="H476" s="2">
        <v>250</v>
      </c>
      <c r="I476" s="2">
        <f>VLOOKUP(A476,'[3]Calculated coal req (reg.)'!$A$2:$I$599,9,FALSE)</f>
        <v>3.6562810204716198</v>
      </c>
      <c r="J476" s="2"/>
      <c r="K476" s="11">
        <v>0.60938017007860334</v>
      </c>
      <c r="L476" s="3">
        <f>VLOOKUP(F476,'Target PLF'!$A$2:$B$11,2,FALSE)</f>
        <v>0.85</v>
      </c>
      <c r="M476" s="3">
        <f t="shared" si="371"/>
        <v>0.24061982992139663</v>
      </c>
      <c r="N476" s="2" t="str">
        <f t="shared" si="354"/>
        <v>0.15</v>
      </c>
      <c r="O476" s="2">
        <f t="shared" si="349"/>
        <v>10.774120040580504</v>
      </c>
      <c r="P476" s="2">
        <f t="shared" si="355"/>
        <v>983138.45370297111</v>
      </c>
      <c r="Q476" s="2">
        <f t="shared" si="356"/>
        <v>14.121935920225871</v>
      </c>
      <c r="R476" s="2">
        <f t="shared" si="357"/>
        <v>5.0999999999999996</v>
      </c>
      <c r="S476" s="2"/>
      <c r="T476" s="2" t="str">
        <f>VLOOKUP(A476,'[4]CEA vs MERIT comp. &amp; NPA marker'!$C$2:$K$735,9,FALSE)</f>
        <v>Contracted</v>
      </c>
      <c r="U476" s="3">
        <f>VLOOKUP(B476,'[8]Import-Domestic share'!$A$208:$F$406,6,FALSE)</f>
        <v>0.99991356850930369</v>
      </c>
      <c r="V476" s="3">
        <f t="shared" si="358"/>
        <v>983053.47958085674</v>
      </c>
      <c r="W476" s="2">
        <f t="shared" si="359"/>
        <v>3166.5351544953382</v>
      </c>
      <c r="X476" s="2">
        <f t="shared" si="360"/>
        <v>3246.0771404162501</v>
      </c>
      <c r="Y476" s="6">
        <f t="shared" si="361"/>
        <v>0.27159022655381232</v>
      </c>
      <c r="Z476" s="2"/>
      <c r="AA476" s="2">
        <f t="shared" si="362"/>
        <v>1043862.2017865337</v>
      </c>
      <c r="AB476" s="2" t="s">
        <v>576</v>
      </c>
      <c r="AC476" s="12">
        <f>VLOOKUP(B476,[9]Sheet1!$A$2:$B$137,2,FALSE)</f>
        <v>4150</v>
      </c>
      <c r="AD476" s="12">
        <f t="shared" si="363"/>
        <v>1037500</v>
      </c>
      <c r="AE476" s="2"/>
      <c r="AF476" s="7">
        <f>VLOOKUP($B476,'[9]Subsidiary wise dispatch'!$A$3:$R$138,11,FALSE)*$H476*$O476*365</f>
        <v>0</v>
      </c>
      <c r="AG476" s="7">
        <f>VLOOKUP($B476,'[9]Subsidiary wise dispatch'!$A$3:$R$138,12,FALSE)*$H476*$O476*365</f>
        <v>0</v>
      </c>
      <c r="AH476" s="7">
        <f>VLOOKUP($B476,'[9]Subsidiary wise dispatch'!$A$3:$R$138,13,FALSE)*$H476*$O476*365</f>
        <v>0</v>
      </c>
      <c r="AI476" s="7">
        <f>VLOOKUP($B476,'[9]Subsidiary wise dispatch'!$A$3:$R$138,14,FALSE)*$H476*$O476*365</f>
        <v>0</v>
      </c>
      <c r="AJ476" s="7">
        <f>VLOOKUP($B476,'[9]Subsidiary wise dispatch'!$A$3:$R$138,15,FALSE)*$H476*$O476*365</f>
        <v>0</v>
      </c>
      <c r="AK476" s="7">
        <f>VLOOKUP($B476,'[9]Subsidiary wise dispatch'!$A$3:$R$138,16,FALSE)*$H476*$O476*365</f>
        <v>0</v>
      </c>
      <c r="AL476" s="7">
        <f>VLOOKUP($B476,'[9]Subsidiary wise dispatch'!$A$3:$R$138,17,FALSE)*$H476*$O476*365</f>
        <v>983138.45370297111</v>
      </c>
      <c r="AM476" s="7">
        <f>VLOOKUP($B476,'[9]Subsidiary wise dispatch'!$A$3:$R$138,18,FALSE)*$H476*$O476*365</f>
        <v>0</v>
      </c>
      <c r="AN476" s="15">
        <f t="shared" si="364"/>
        <v>983138.45370297111</v>
      </c>
      <c r="AO476" s="6">
        <v>9.4899722296610672E-2</v>
      </c>
      <c r="AP476" s="11">
        <f t="shared" si="365"/>
        <v>0.34698005348112498</v>
      </c>
      <c r="AQ476" s="11"/>
      <c r="AR476" s="3">
        <f>VLOOKUP(A476,[10]Sheet1!$A$2:$L$542,12,FALSE)</f>
        <v>3.8088925438596402</v>
      </c>
      <c r="AS476" s="3">
        <f t="shared" si="372"/>
        <v>3.5201792240039094</v>
      </c>
      <c r="AT476" s="2"/>
      <c r="AU476" s="2"/>
      <c r="AV476" s="88">
        <f t="shared" si="373"/>
        <v>0.17633102376299789</v>
      </c>
      <c r="AW476" s="32">
        <f t="shared" si="374"/>
        <v>5.0091490387934312E-2</v>
      </c>
      <c r="AX476" s="12">
        <f t="shared" si="366"/>
        <v>469.78290371651627</v>
      </c>
      <c r="AY476" s="12">
        <f t="shared" si="367"/>
        <v>0</v>
      </c>
      <c r="AZ476" s="3">
        <f>VLOOKUP(A476,[5]Analysis!$A$3:$BJ$543,62,FALSE)</f>
        <v>1.2604802302838389</v>
      </c>
      <c r="BA476" s="2">
        <v>318.06</v>
      </c>
      <c r="BB476" s="2"/>
      <c r="BC476" s="2" t="str">
        <f>VLOOKUP(A476,'[6]FGD status - Jun 2020'!$I$2:$M$449,5,FALSE)</f>
        <v>Bidding Under Progress</v>
      </c>
      <c r="BD476" s="2"/>
      <c r="BE476" s="2"/>
      <c r="BF476" s="2">
        <f t="shared" si="368"/>
        <v>546.02504621439937</v>
      </c>
      <c r="BG476" s="2">
        <f t="shared" si="369"/>
        <v>0</v>
      </c>
      <c r="BH476" s="2">
        <f>IF(G476&lt;17,IF(H476&gt;400,H476*5000000,H476*3500000),H476*1500000)/10^7</f>
        <v>87.5</v>
      </c>
      <c r="BI476" s="2">
        <f>(H476*800000)/10^7</f>
        <v>20</v>
      </c>
      <c r="BK476">
        <f t="shared" si="370"/>
        <v>152.34504251965083</v>
      </c>
      <c r="BL476">
        <f>VLOOKUP(A476,'[11]Daily coal vs energy req.2'!$C$2:$P$599,14,FALSE)</f>
        <v>1.01</v>
      </c>
      <c r="BM476">
        <f>VLOOKUP(A476,'[11]Daily coal vs energy req.2'!$C$2:$R$599,16,FALSE)</f>
        <v>0.91</v>
      </c>
      <c r="BN476">
        <f t="shared" si="387"/>
        <v>252.5</v>
      </c>
      <c r="BO476">
        <f t="shared" si="388"/>
        <v>227.5</v>
      </c>
      <c r="BP476" s="2" t="str">
        <f>VLOOKUP(A476,'[7]Table 2'!$J$2:$N$449,5,FALSE)</f>
        <v>Bid opened</v>
      </c>
      <c r="BR476">
        <f t="shared" si="375"/>
        <v>546.04358242438127</v>
      </c>
      <c r="BT476">
        <f>(X476*I476*365*[5]Analysis!BK476)/10^4</f>
        <v>546.01163064390335</v>
      </c>
      <c r="BV476">
        <f>(X476*I476*365*[5]Analysis!BL476)/10^4</f>
        <v>3.1951780477939624E-2</v>
      </c>
      <c r="BX476">
        <f t="shared" si="376"/>
        <v>1216528.4495477993</v>
      </c>
      <c r="BZ476">
        <f t="shared" si="377"/>
        <v>8714003.9975446723</v>
      </c>
      <c r="CB476">
        <f t="shared" si="378"/>
        <v>-240281.2299833305</v>
      </c>
      <c r="CD476">
        <f t="shared" si="379"/>
        <v>0</v>
      </c>
      <c r="CF476">
        <f t="shared" si="380"/>
        <v>2382957.3892657454</v>
      </c>
      <c r="CH476">
        <f t="shared" si="381"/>
        <v>126525.6572677675</v>
      </c>
      <c r="CJ476">
        <f t="shared" si="382"/>
        <v>-550178.88655546715</v>
      </c>
      <c r="CL476">
        <f t="shared" si="383"/>
        <v>980927.87831349357</v>
      </c>
    </row>
    <row r="477" spans="1:90" x14ac:dyDescent="0.2">
      <c r="A477" s="2" t="s">
        <v>292</v>
      </c>
      <c r="B477" s="2" t="str">
        <f t="shared" si="386"/>
        <v>SIMHAPURI TPS</v>
      </c>
      <c r="C477" s="2" t="str">
        <f>VLOOKUP($A477,'[1]daily coal, energy reqd'!$C$2:$T$599,17,FALSE)</f>
        <v>Andhra Pradesh</v>
      </c>
      <c r="D477" s="2" t="str">
        <f>VLOOKUP(C477,'Target PLF'!$I$2:$J$19,2,FALSE)</f>
        <v>SR</v>
      </c>
      <c r="E477" s="2" t="str">
        <f>VLOOKUP(A477,[2]Ownership!$C$2:$D$666,2,FALSE)</f>
        <v>PVT SECTOR</v>
      </c>
      <c r="F477" s="2" t="s">
        <v>543</v>
      </c>
      <c r="G477" s="12">
        <v>7.8412046543463303</v>
      </c>
      <c r="H477" s="2">
        <v>150</v>
      </c>
      <c r="I477" s="2">
        <f>VLOOKUP(A477,'[3]Calculated coal req (reg.)'!$A$2:$I$599,9,FALSE)</f>
        <v>2.1387096774193499E-2</v>
      </c>
      <c r="J477" s="2"/>
      <c r="K477" s="11">
        <v>5.9408602150537492E-3</v>
      </c>
      <c r="L477" s="3">
        <f>VLOOKUP(F477,'Target PLF'!$A$2:$B$11,2,FALSE)</f>
        <v>0.85</v>
      </c>
      <c r="M477" s="3">
        <f t="shared" si="371"/>
        <v>0.84405913978494618</v>
      </c>
      <c r="N477" s="2" t="str">
        <f t="shared" si="354"/>
        <v>0.15</v>
      </c>
      <c r="O477" s="2">
        <f t="shared" si="349"/>
        <v>2.1096634778565271</v>
      </c>
      <c r="P477" s="2">
        <f t="shared" si="355"/>
        <v>115504.07541264486</v>
      </c>
      <c r="Q477" s="2">
        <f t="shared" si="356"/>
        <v>13.853311507426419</v>
      </c>
      <c r="R477" s="2">
        <f t="shared" si="357"/>
        <v>3.06</v>
      </c>
      <c r="S477" s="2"/>
      <c r="T477" s="2" t="str">
        <f>VLOOKUP(A477,'[4]CEA vs MERIT comp. &amp; NPA marker'!$C$2:$K$735,9,FALSE)</f>
        <v>Not contracted</v>
      </c>
      <c r="U477" s="3">
        <f>VLOOKUP(B477,'[8]Import-Domestic share'!$A$208:$F$406,6,FALSE)</f>
        <v>1</v>
      </c>
      <c r="V477" s="3">
        <f t="shared" si="358"/>
        <v>115504.07541264486</v>
      </c>
      <c r="W477" s="2">
        <f t="shared" si="359"/>
        <v>3283.3317492861061</v>
      </c>
      <c r="X477" s="2">
        <f t="shared" si="360"/>
        <v>3562.3533919957827</v>
      </c>
      <c r="Y477" s="6">
        <f t="shared" si="361"/>
        <v>0.26192906037807162</v>
      </c>
      <c r="Z477" s="2"/>
      <c r="AA477" s="2">
        <f t="shared" si="362"/>
        <v>6488.2792369456256</v>
      </c>
      <c r="AB477" s="2" t="s">
        <v>576</v>
      </c>
      <c r="AC477" s="12"/>
      <c r="AD477" s="12">
        <f t="shared" si="363"/>
        <v>0</v>
      </c>
      <c r="AE477" s="2"/>
      <c r="AF477" s="7"/>
      <c r="AG477" s="7"/>
      <c r="AH477" s="7"/>
      <c r="AI477" s="7"/>
      <c r="AJ477" s="7"/>
      <c r="AK477" s="7"/>
      <c r="AL477" s="7"/>
      <c r="AM477" s="7"/>
      <c r="AN477" s="15">
        <f t="shared" si="364"/>
        <v>0</v>
      </c>
      <c r="AO477" s="6">
        <v>0.10923025650701258</v>
      </c>
      <c r="AP477" s="11">
        <f t="shared" si="365"/>
        <v>2.3361180665854571E-3</v>
      </c>
      <c r="AQ477" s="11"/>
      <c r="AR477" s="3"/>
      <c r="AS477" s="3">
        <f t="shared" si="372"/>
        <v>3.6048932780554059</v>
      </c>
      <c r="AT477" s="2"/>
      <c r="AU477" s="2"/>
      <c r="AV477" s="88">
        <f t="shared" si="373"/>
        <v>0.61854341881720432</v>
      </c>
      <c r="AW477" s="32">
        <f t="shared" si="374"/>
        <v>0.17158439130016806</v>
      </c>
      <c r="AX477" s="12">
        <f t="shared" si="366"/>
        <v>2.8140843510419868</v>
      </c>
      <c r="AY477" s="12">
        <f t="shared" si="367"/>
        <v>0</v>
      </c>
      <c r="AZ477" s="3">
        <f>VLOOKUP(A477,[5]Analysis!$A$3:$BJ$543,62,FALSE)</f>
        <v>1.2224735304310752</v>
      </c>
      <c r="BA477" s="2"/>
      <c r="BB477" s="2"/>
      <c r="BC477" s="2" t="e">
        <f>VLOOKUP(A477,'[6]FGD status - Jun 2020'!$I$2:$M$449,5,FALSE)</f>
        <v>#N/A</v>
      </c>
      <c r="BD477" s="2"/>
      <c r="BE477" s="2"/>
      <c r="BF477" s="2">
        <f t="shared" si="368"/>
        <v>3.3940188688462571</v>
      </c>
      <c r="BG477" s="2">
        <f t="shared" si="369"/>
        <v>0</v>
      </c>
      <c r="BH477" s="2"/>
      <c r="BI477" s="2"/>
      <c r="BK477">
        <f t="shared" si="370"/>
        <v>0.89112903225806239</v>
      </c>
      <c r="BL477">
        <f>VLOOKUP(A477,'[11]Daily coal vs energy req.2'!$C$2:$P$599,14,FALSE)</f>
        <v>0.98</v>
      </c>
      <c r="BM477">
        <f>VLOOKUP(A477,'[11]Daily coal vs energy req.2'!$C$2:$R$599,16,FALSE)</f>
        <v>1.07</v>
      </c>
      <c r="BN477">
        <f t="shared" si="387"/>
        <v>147</v>
      </c>
      <c r="BO477">
        <f t="shared" si="388"/>
        <v>160.5</v>
      </c>
      <c r="BP477" s="2" t="e">
        <f>VLOOKUP(A477,'[7]Table 2'!$J$2:$N$449,5,FALSE)</f>
        <v>#N/A</v>
      </c>
      <c r="BR477">
        <f t="shared" si="375"/>
        <v>3.399547889365675</v>
      </c>
      <c r="BT477">
        <f>(X477*I477*365*[5]Analysis!BK477)/10^4</f>
        <v>3.399547889365675</v>
      </c>
      <c r="BV477">
        <f>(X477*I477*365*[5]Analysis!BL477)/10^4</f>
        <v>0</v>
      </c>
      <c r="BX477">
        <f t="shared" si="376"/>
        <v>7809.3106656952523</v>
      </c>
      <c r="BZ477">
        <f t="shared" si="377"/>
        <v>49434.875781888521</v>
      </c>
      <c r="CB477">
        <f t="shared" si="378"/>
        <v>-13.702289185743952</v>
      </c>
      <c r="CD477">
        <f t="shared" si="379"/>
        <v>-7892.7882967741762</v>
      </c>
      <c r="CF477">
        <f t="shared" si="380"/>
        <v>13938.901306451582</v>
      </c>
      <c r="CH477">
        <f t="shared" si="381"/>
        <v>1241.7391132012942</v>
      </c>
      <c r="CJ477">
        <f t="shared" si="382"/>
        <v>-1930.9340322580601</v>
      </c>
      <c r="CL477">
        <f t="shared" si="383"/>
        <v>6604.3085634320178</v>
      </c>
    </row>
    <row r="478" spans="1:90" x14ac:dyDescent="0.2">
      <c r="A478" s="2" t="s">
        <v>279</v>
      </c>
      <c r="B478" s="2" t="str">
        <f t="shared" si="386"/>
        <v>SIMHAPURI TPS</v>
      </c>
      <c r="C478" s="2" t="str">
        <f>VLOOKUP($A478,'[1]daily coal, energy reqd'!$C$2:$T$599,17,FALSE)</f>
        <v>Andhra Pradesh</v>
      </c>
      <c r="D478" s="2" t="str">
        <f>VLOOKUP(C478,'Target PLF'!$I$2:$J$19,2,FALSE)</f>
        <v>SR</v>
      </c>
      <c r="E478" s="2" t="str">
        <f>VLOOKUP(A478,[2]Ownership!$C$2:$D$666,2,FALSE)</f>
        <v>PVT SECTOR</v>
      </c>
      <c r="F478" s="2" t="s">
        <v>543</v>
      </c>
      <c r="G478" s="12">
        <v>6.2532511978097096</v>
      </c>
      <c r="H478" s="2">
        <v>150</v>
      </c>
      <c r="I478" s="2">
        <f>VLOOKUP(A478,'[3]Calculated coal req (reg.)'!$A$2:$I$599,9,FALSE)</f>
        <v>7.6618106139437994E-2</v>
      </c>
      <c r="J478" s="2"/>
      <c r="K478" s="11">
        <v>2.1282807260954998E-2</v>
      </c>
      <c r="L478" s="3">
        <f>VLOOKUP(F478,'Target PLF'!$A$2:$B$11,2,FALSE)</f>
        <v>0.85</v>
      </c>
      <c r="M478" s="3">
        <f t="shared" si="371"/>
        <v>0.82871719273904498</v>
      </c>
      <c r="N478" s="2" t="str">
        <f t="shared" si="354"/>
        <v>0.15</v>
      </c>
      <c r="O478" s="2">
        <f t="shared" si="349"/>
        <v>2.2728221639544675</v>
      </c>
      <c r="P478" s="2">
        <f t="shared" si="355"/>
        <v>124437.01347650708</v>
      </c>
      <c r="Q478" s="2">
        <f t="shared" si="356"/>
        <v>13.803013081690622</v>
      </c>
      <c r="R478" s="2">
        <f t="shared" si="357"/>
        <v>3.06</v>
      </c>
      <c r="S478" s="2"/>
      <c r="T478" s="2" t="str">
        <f>VLOOKUP(A478,'[4]CEA vs MERIT comp. &amp; NPA marker'!$C$2:$K$735,9,FALSE)</f>
        <v>Not contracted</v>
      </c>
      <c r="U478" s="3">
        <f>VLOOKUP(B478,'[8]Import-Domestic share'!$A$208:$F$406,6,FALSE)</f>
        <v>1</v>
      </c>
      <c r="V478" s="3">
        <f t="shared" si="358"/>
        <v>124437.01347650708</v>
      </c>
      <c r="W478" s="2">
        <f t="shared" si="359"/>
        <v>3271.1989321471601</v>
      </c>
      <c r="X478" s="2">
        <f t="shared" si="360"/>
        <v>3545.1489690115368</v>
      </c>
      <c r="Y478" s="6">
        <f t="shared" si="361"/>
        <v>0.26290055048272787</v>
      </c>
      <c r="Z478" s="2"/>
      <c r="AA478" s="2">
        <f t="shared" si="362"/>
        <v>23131.649322343314</v>
      </c>
      <c r="AB478" s="2" t="s">
        <v>576</v>
      </c>
      <c r="AC478" s="12"/>
      <c r="AD478" s="12">
        <f t="shared" si="363"/>
        <v>0</v>
      </c>
      <c r="AE478" s="2"/>
      <c r="AF478" s="7"/>
      <c r="AG478" s="7"/>
      <c r="AH478" s="7"/>
      <c r="AI478" s="7"/>
      <c r="AJ478" s="7"/>
      <c r="AK478" s="7"/>
      <c r="AL478" s="7"/>
      <c r="AM478" s="7"/>
      <c r="AN478" s="15">
        <f t="shared" si="364"/>
        <v>0</v>
      </c>
      <c r="AO478" s="6">
        <v>0.10923025650701258</v>
      </c>
      <c r="AP478" s="11">
        <f t="shared" si="365"/>
        <v>8.3690153866923279E-3</v>
      </c>
      <c r="AQ478" s="11"/>
      <c r="AR478" s="3"/>
      <c r="AS478" s="3">
        <f t="shared" si="372"/>
        <v>3.5913718233305953</v>
      </c>
      <c r="AT478" s="2"/>
      <c r="AU478" s="2"/>
      <c r="AV478" s="88">
        <f t="shared" si="373"/>
        <v>0.60730053318302701</v>
      </c>
      <c r="AW478" s="32">
        <f t="shared" si="374"/>
        <v>0.16909987688766343</v>
      </c>
      <c r="AX478" s="12">
        <f t="shared" si="366"/>
        <v>10.043489925433764</v>
      </c>
      <c r="AY478" s="12">
        <f t="shared" si="367"/>
        <v>0</v>
      </c>
      <c r="AZ478" s="3">
        <f>VLOOKUP(A478,[5]Analysis!$A$3:$BJ$543,62,FALSE)</f>
        <v>1.2224735304310752</v>
      </c>
      <c r="BA478" s="2"/>
      <c r="BB478" s="2"/>
      <c r="BC478" s="2" t="e">
        <f>VLOOKUP(A478,'[6]FGD status - Jun 2020'!$I$2:$M$449,5,FALSE)</f>
        <v>#N/A</v>
      </c>
      <c r="BD478" s="2"/>
      <c r="BE478" s="2"/>
      <c r="BF478" s="2">
        <f t="shared" si="368"/>
        <v>12.100165760517788</v>
      </c>
      <c r="BG478" s="2">
        <f t="shared" si="369"/>
        <v>0</v>
      </c>
      <c r="BH478" s="2"/>
      <c r="BI478" s="2"/>
      <c r="BK478">
        <f t="shared" si="370"/>
        <v>3.1924210891432496</v>
      </c>
      <c r="BL478">
        <f>VLOOKUP(A478,'[11]Daily coal vs energy req.2'!$C$2:$P$599,14,FALSE)</f>
        <v>1.1599999999999999</v>
      </c>
      <c r="BM478">
        <f>VLOOKUP(A478,'[11]Daily coal vs energy req.2'!$C$2:$R$599,16,FALSE)</f>
        <v>1.33</v>
      </c>
      <c r="BN478">
        <f t="shared" si="387"/>
        <v>174</v>
      </c>
      <c r="BO478">
        <f t="shared" si="388"/>
        <v>199.5</v>
      </c>
      <c r="BP478" s="2" t="e">
        <f>VLOOKUP(A478,'[7]Table 2'!$J$2:$N$449,5,FALSE)</f>
        <v>#N/A</v>
      </c>
      <c r="BR478">
        <f t="shared" si="375"/>
        <v>12.119877514448318</v>
      </c>
      <c r="BT478">
        <f>(X478*I478*365*[5]Analysis!BK478)/10^4</f>
        <v>12.119877514448318</v>
      </c>
      <c r="BV478">
        <f>(X478*I478*365*[5]Analysis!BL478)/10^4</f>
        <v>0</v>
      </c>
      <c r="BX478">
        <f t="shared" si="376"/>
        <v>27841.316498754117</v>
      </c>
      <c r="BZ478">
        <f t="shared" si="377"/>
        <v>177097.742607914</v>
      </c>
      <c r="CB478">
        <f t="shared" si="378"/>
        <v>-175.85401385527615</v>
      </c>
      <c r="CD478">
        <f t="shared" si="379"/>
        <v>-28275.483009365209</v>
      </c>
      <c r="CF478">
        <f t="shared" si="380"/>
        <v>49935.352658688804</v>
      </c>
      <c r="CH478">
        <f t="shared" si="381"/>
        <v>3547.5867587165621</v>
      </c>
      <c r="CJ478">
        <f t="shared" si="382"/>
        <v>-6917.4657127991595</v>
      </c>
      <c r="CL478">
        <f t="shared" si="383"/>
        <v>23659.574734856225</v>
      </c>
    </row>
    <row r="479" spans="1:90" x14ac:dyDescent="0.2">
      <c r="A479" s="39" t="s">
        <v>497</v>
      </c>
      <c r="B479" s="2" t="str">
        <f t="shared" si="386"/>
        <v>SINGRAULI STPS</v>
      </c>
      <c r="C479" s="2" t="str">
        <f>VLOOKUP($A479,'[1]daily coal, energy reqd'!$C$2:$T$599,17,FALSE)</f>
        <v>Uttar Pradesh</v>
      </c>
      <c r="D479" s="2" t="str">
        <f>VLOOKUP(C479,'Target PLF'!$I$2:$J$19,2,FALSE)</f>
        <v>NR</v>
      </c>
      <c r="E479" s="2" t="str">
        <f>VLOOKUP(A479,[2]Ownership!$C$2:$D$666,2,FALSE)</f>
        <v>CENTRAL SECTOR</v>
      </c>
      <c r="F479" s="2" t="s">
        <v>549</v>
      </c>
      <c r="G479" s="12">
        <v>38.253251197809703</v>
      </c>
      <c r="H479" s="2">
        <v>200</v>
      </c>
      <c r="I479" s="2">
        <f>VLOOKUP(A479,'[3]Calculated coal req (reg.)'!$A$2:$I$599,9,FALSE)</f>
        <v>3.9212044944117799</v>
      </c>
      <c r="J479" s="2"/>
      <c r="K479" s="11">
        <v>0.81691760300245408</v>
      </c>
      <c r="L479" s="3">
        <f>VLOOKUP(F479,'Target PLF'!$A$2:$B$11,2,FALSE)</f>
        <v>0.55000000000000004</v>
      </c>
      <c r="M479" s="3">
        <f t="shared" si="371"/>
        <v>-0.26691760300245404</v>
      </c>
      <c r="N479" s="2" t="str">
        <f t="shared" si="354"/>
        <v>0.25</v>
      </c>
      <c r="O479" s="2">
        <f t="shared" si="349"/>
        <v>14.956774167544665</v>
      </c>
      <c r="P479" s="2">
        <f t="shared" si="355"/>
        <v>1091844.5142307605</v>
      </c>
      <c r="Q479" s="2">
        <f t="shared" si="356"/>
        <v>15.417059481690622</v>
      </c>
      <c r="R479" s="2">
        <f t="shared" si="357"/>
        <v>2.64</v>
      </c>
      <c r="S479" s="2"/>
      <c r="T479" s="2" t="str">
        <f>VLOOKUP(A479,'[4]CEA vs MERIT comp. &amp; NPA marker'!$C$2:$K$735,9,FALSE)</f>
        <v>Contracted</v>
      </c>
      <c r="U479" s="3">
        <f>VLOOKUP(B479,'[8]Import-Domestic share'!$A$208:$F$406,6,FALSE)</f>
        <v>0</v>
      </c>
      <c r="V479" s="3">
        <f t="shared" si="358"/>
        <v>0</v>
      </c>
      <c r="W479" s="2">
        <f t="shared" si="359"/>
        <v>3343.1247611471595</v>
      </c>
      <c r="X479" s="2">
        <f t="shared" si="360"/>
        <v>3254.8894888215145</v>
      </c>
      <c r="Y479" s="6">
        <f t="shared" si="361"/>
        <v>0.25724436311640958</v>
      </c>
      <c r="Z479" s="2"/>
      <c r="AA479" s="2">
        <f t="shared" si="362"/>
        <v>1046945.0639366343</v>
      </c>
      <c r="AB479" s="2" t="s">
        <v>576</v>
      </c>
      <c r="AC479" s="12">
        <f>VLOOKUP(B479,[9]Sheet1!$A$2:$B$137,2,FALSE)</f>
        <v>4449.6383069062995</v>
      </c>
      <c r="AD479" s="12">
        <f t="shared" si="363"/>
        <v>889927.66138125991</v>
      </c>
      <c r="AE479" s="2" t="s">
        <v>589</v>
      </c>
      <c r="AF479" s="7">
        <f>VLOOKUP($B479,'[9]Subsidiary wise dispatch'!$A$3:$R$138,11,FALSE)*$H479*$O479*365</f>
        <v>0</v>
      </c>
      <c r="AG479" s="7">
        <f>VLOOKUP($B479,'[9]Subsidiary wise dispatch'!$A$3:$R$138,12,FALSE)*$H479*$O479*365</f>
        <v>0</v>
      </c>
      <c r="AH479" s="7">
        <f>VLOOKUP($B479,'[9]Subsidiary wise dispatch'!$A$3:$R$138,13,FALSE)*$H479*$O479*365</f>
        <v>0</v>
      </c>
      <c r="AI479" s="7">
        <f>VLOOKUP($B479,'[9]Subsidiary wise dispatch'!$A$3:$R$138,14,FALSE)*$H479*$O479*365</f>
        <v>0</v>
      </c>
      <c r="AJ479" s="7">
        <f>VLOOKUP($B479,'[9]Subsidiary wise dispatch'!$A$3:$R$138,15,FALSE)*$H479*$O479*365</f>
        <v>1091844.5142307605</v>
      </c>
      <c r="AK479" s="7">
        <f>VLOOKUP($B479,'[9]Subsidiary wise dispatch'!$A$3:$R$138,16,FALSE)*$H479*$O479*365</f>
        <v>0</v>
      </c>
      <c r="AL479" s="7">
        <f>VLOOKUP($B479,'[9]Subsidiary wise dispatch'!$A$3:$R$138,17,FALSE)*$H479*$O479*365</f>
        <v>0</v>
      </c>
      <c r="AM479" s="7">
        <f>VLOOKUP($B479,'[9]Subsidiary wise dispatch'!$A$3:$R$138,18,FALSE)*$H479*$O479*365</f>
        <v>0</v>
      </c>
      <c r="AN479" s="15">
        <f t="shared" si="364"/>
        <v>1091844.5142307605</v>
      </c>
      <c r="AO479" s="6">
        <v>7.690693382449007E-2</v>
      </c>
      <c r="AP479" s="11">
        <f t="shared" si="365"/>
        <v>0.30156781456401982</v>
      </c>
      <c r="AQ479" s="11"/>
      <c r="AR479" s="3">
        <f>VLOOKUP(A479,[10]Sheet1!$A$2:$L$542,12,FALSE)</f>
        <v>1.42529597105324</v>
      </c>
      <c r="AS479" s="3">
        <f t="shared" si="372"/>
        <v>2.1357536276009736</v>
      </c>
      <c r="AT479" s="2"/>
      <c r="AU479" s="2"/>
      <c r="AV479" s="88">
        <f t="shared" si="373"/>
        <v>-0.19560255783225838</v>
      </c>
      <c r="AW479" s="32">
        <f t="shared" si="374"/>
        <v>9.1584794849194628E-2</v>
      </c>
      <c r="AX479" s="12">
        <f t="shared" si="366"/>
        <v>305.67752540793987</v>
      </c>
      <c r="AY479" s="12">
        <f t="shared" si="367"/>
        <v>0</v>
      </c>
      <c r="AZ479" s="3">
        <f>VLOOKUP(A479,[5]Analysis!$A$3:$BJ$543,62,FALSE)</f>
        <v>0.40729034272837178</v>
      </c>
      <c r="BA479" s="2"/>
      <c r="BB479" s="2"/>
      <c r="BC479" s="2" t="str">
        <f>VLOOKUP(A479,'[6]FGD status - Jun 2020'!$I$2:$M$449,5,FALSE)</f>
        <v>Bid Awarded</v>
      </c>
      <c r="BD479" s="2">
        <f>VLOOKUP(A479,'[1]daily coal, energy reqd'!$C$2:$L$599,10,FALSE)</f>
        <v>0</v>
      </c>
      <c r="BE479" s="2" t="str">
        <f>VLOOKUP(A479,'[1]daily coal, energy reqd'!$C$2:$M$599,11,FALSE)</f>
        <v>Y</v>
      </c>
      <c r="BF479" s="2">
        <f t="shared" si="368"/>
        <v>324.02949728838837</v>
      </c>
      <c r="BG479" s="2">
        <f t="shared" si="369"/>
        <v>0</v>
      </c>
      <c r="BH479" s="2">
        <f t="shared" ref="BH479:BH491" si="389">IF(G479&lt;17,IF(H479&gt;400,H479*5000000,H479*3500000),H479*1500000)/10^7</f>
        <v>30</v>
      </c>
      <c r="BI479" s="2">
        <f t="shared" ref="BI479:BI491" si="390">(H479*800000)/10^7</f>
        <v>16</v>
      </c>
      <c r="BK479">
        <f t="shared" si="370"/>
        <v>163.38352060049081</v>
      </c>
      <c r="BL479">
        <f>VLOOKUP(A479,'[11]Daily coal vs energy req.2'!$C$2:$P$599,14,FALSE)</f>
        <v>0.8</v>
      </c>
      <c r="BM479">
        <f>VLOOKUP(A479,'[11]Daily coal vs energy req.2'!$C$2:$R$599,16,FALSE)</f>
        <v>0.66</v>
      </c>
      <c r="BN479">
        <f t="shared" si="387"/>
        <v>160</v>
      </c>
      <c r="BO479">
        <f t="shared" si="388"/>
        <v>132</v>
      </c>
      <c r="BP479" s="2" t="str">
        <f>VLOOKUP(A479,'[7]Table 2'!$J$2:$N$449,5,FALSE)</f>
        <v>Bid Awarded</v>
      </c>
      <c r="BR479">
        <f t="shared" si="375"/>
        <v>189.73730021188223</v>
      </c>
      <c r="BT479">
        <f>(X479*I479*365*[5]Analysis!BK479)/10^4</f>
        <v>177.34170610892707</v>
      </c>
      <c r="BV479">
        <f>(X479*I479*365*[5]Analysis!BL479)/10^4</f>
        <v>12.395594102955132</v>
      </c>
      <c r="BX479">
        <f t="shared" si="376"/>
        <v>1308216.4474690098</v>
      </c>
      <c r="BZ479">
        <f t="shared" si="377"/>
        <v>3019713.5843530535</v>
      </c>
      <c r="CB479">
        <f t="shared" si="378"/>
        <v>-345453.58720408689</v>
      </c>
      <c r="CD479">
        <f t="shared" si="379"/>
        <v>0</v>
      </c>
      <c r="CF479">
        <f t="shared" si="380"/>
        <v>2555619.5414036638</v>
      </c>
      <c r="CH479">
        <f t="shared" si="381"/>
        <v>1110666.2665604372</v>
      </c>
      <c r="CJ479">
        <f t="shared" si="382"/>
        <v>-472034.59703729011</v>
      </c>
      <c r="CL479">
        <f t="shared" si="383"/>
        <v>852545.48075632472</v>
      </c>
    </row>
    <row r="480" spans="1:90" x14ac:dyDescent="0.2">
      <c r="A480" s="39" t="s">
        <v>492</v>
      </c>
      <c r="B480" s="2" t="str">
        <f t="shared" si="386"/>
        <v>SINGRAULI STPS</v>
      </c>
      <c r="C480" s="2" t="str">
        <f>VLOOKUP($A480,'[1]daily coal, energy reqd'!$C$2:$T$599,17,FALSE)</f>
        <v>Uttar Pradesh</v>
      </c>
      <c r="D480" s="2" t="str">
        <f>VLOOKUP(C480,'Target PLF'!$I$2:$J$19,2,FALSE)</f>
        <v>NR</v>
      </c>
      <c r="E480" s="2" t="str">
        <f>VLOOKUP(A480,[2]Ownership!$C$2:$D$666,2,FALSE)</f>
        <v>CENTRAL SECTOR</v>
      </c>
      <c r="F480" s="2" t="s">
        <v>549</v>
      </c>
      <c r="G480" s="12">
        <v>37.505817932922596</v>
      </c>
      <c r="H480" s="2">
        <v>200</v>
      </c>
      <c r="I480" s="2">
        <f>VLOOKUP(A480,'[3]Calculated coal req (reg.)'!$A$2:$I$599,9,FALSE)</f>
        <v>4.1503491542631101</v>
      </c>
      <c r="J480" s="2"/>
      <c r="K480" s="11">
        <v>0.86465607380481457</v>
      </c>
      <c r="L480" s="3">
        <f>VLOOKUP(F480,'Target PLF'!$A$2:$B$11,2,FALSE)</f>
        <v>0.55000000000000004</v>
      </c>
      <c r="M480" s="3">
        <f t="shared" si="371"/>
        <v>-0.31465607380481453</v>
      </c>
      <c r="N480" s="2" t="str">
        <f t="shared" si="354"/>
        <v>0.25</v>
      </c>
      <c r="O480" s="2">
        <f t="shared" si="349"/>
        <v>15.597298884693849</v>
      </c>
      <c r="P480" s="2">
        <f t="shared" si="355"/>
        <v>1138602.818582651</v>
      </c>
      <c r="Q480" s="2">
        <f t="shared" si="356"/>
        <v>15.393384533025323</v>
      </c>
      <c r="R480" s="2">
        <f t="shared" si="357"/>
        <v>2.64</v>
      </c>
      <c r="S480" s="2"/>
      <c r="T480" s="2" t="str">
        <f>VLOOKUP(A480,'[4]CEA vs MERIT comp. &amp; NPA marker'!$C$2:$K$735,9,FALSE)</f>
        <v>Contracted</v>
      </c>
      <c r="U480" s="3">
        <f>VLOOKUP(B480,'[8]Import-Domestic share'!$A$208:$F$406,6,FALSE)</f>
        <v>0</v>
      </c>
      <c r="V480" s="3">
        <f t="shared" si="358"/>
        <v>0</v>
      </c>
      <c r="W480" s="2">
        <f t="shared" si="359"/>
        <v>3337.4139696317588</v>
      </c>
      <c r="X480" s="2">
        <f t="shared" si="360"/>
        <v>3233.3977337268125</v>
      </c>
      <c r="Y480" s="6">
        <f t="shared" si="361"/>
        <v>0.25768454492772741</v>
      </c>
      <c r="Z480" s="2"/>
      <c r="AA480" s="2">
        <f t="shared" si="362"/>
        <v>1100808.8630463043</v>
      </c>
      <c r="AB480" s="2" t="s">
        <v>576</v>
      </c>
      <c r="AC480" s="12">
        <f>VLOOKUP(B480,[9]Sheet1!$A$2:$B$137,2,FALSE)</f>
        <v>4449.6383069062995</v>
      </c>
      <c r="AD480" s="12">
        <f t="shared" si="363"/>
        <v>889927.66138125991</v>
      </c>
      <c r="AE480" s="2" t="s">
        <v>589</v>
      </c>
      <c r="AF480" s="7">
        <f>VLOOKUP($B480,'[9]Subsidiary wise dispatch'!$A$3:$R$138,11,FALSE)*$H480*$O480*365</f>
        <v>0</v>
      </c>
      <c r="AG480" s="7">
        <f>VLOOKUP($B480,'[9]Subsidiary wise dispatch'!$A$3:$R$138,12,FALSE)*$H480*$O480*365</f>
        <v>0</v>
      </c>
      <c r="AH480" s="7">
        <f>VLOOKUP($B480,'[9]Subsidiary wise dispatch'!$A$3:$R$138,13,FALSE)*$H480*$O480*365</f>
        <v>0</v>
      </c>
      <c r="AI480" s="7">
        <f>VLOOKUP($B480,'[9]Subsidiary wise dispatch'!$A$3:$R$138,14,FALSE)*$H480*$O480*365</f>
        <v>0</v>
      </c>
      <c r="AJ480" s="7">
        <f>VLOOKUP($B480,'[9]Subsidiary wise dispatch'!$A$3:$R$138,15,FALSE)*$H480*$O480*365</f>
        <v>1138602.818582651</v>
      </c>
      <c r="AK480" s="7">
        <f>VLOOKUP($B480,'[9]Subsidiary wise dispatch'!$A$3:$R$138,16,FALSE)*$H480*$O480*365</f>
        <v>0</v>
      </c>
      <c r="AL480" s="7">
        <f>VLOOKUP($B480,'[9]Subsidiary wise dispatch'!$A$3:$R$138,17,FALSE)*$H480*$O480*365</f>
        <v>0</v>
      </c>
      <c r="AM480" s="7">
        <f>VLOOKUP($B480,'[9]Subsidiary wise dispatch'!$A$3:$R$138,18,FALSE)*$H480*$O480*365</f>
        <v>0</v>
      </c>
      <c r="AN480" s="15">
        <f t="shared" si="364"/>
        <v>1138602.818582651</v>
      </c>
      <c r="AO480" s="6">
        <v>7.690693382449007E-2</v>
      </c>
      <c r="AP480" s="11">
        <f t="shared" si="365"/>
        <v>0.31919062775544133</v>
      </c>
      <c r="AQ480" s="11"/>
      <c r="AR480" s="3">
        <f>VLOOKUP(A480,[10]Sheet1!$A$2:$L$542,12,FALSE)</f>
        <v>1.42529597105324</v>
      </c>
      <c r="AS480" s="3">
        <f t="shared" si="372"/>
        <v>2.1280163530939098</v>
      </c>
      <c r="AT480" s="2"/>
      <c r="AU480" s="2"/>
      <c r="AV480" s="88">
        <f t="shared" si="373"/>
        <v>-0.23058626400564419</v>
      </c>
      <c r="AW480" s="32">
        <f t="shared" si="374"/>
        <v>0.10835737407299349</v>
      </c>
      <c r="AX480" s="12">
        <f t="shared" si="366"/>
        <v>322.36839680323021</v>
      </c>
      <c r="AY480" s="12">
        <f t="shared" si="367"/>
        <v>0</v>
      </c>
      <c r="AZ480" s="3">
        <f>VLOOKUP(A480,[5]Analysis!$A$3:$BJ$543,62,FALSE)</f>
        <v>0.40729034272837178</v>
      </c>
      <c r="BA480" s="2"/>
      <c r="BB480" s="2"/>
      <c r="BC480" s="2" t="str">
        <f>VLOOKUP(A480,'[6]FGD status - Jun 2020'!$I$2:$M$449,5,FALSE)</f>
        <v>Bid Awarded</v>
      </c>
      <c r="BD480" s="2">
        <f>VLOOKUP(A480,'[1]daily coal, energy reqd'!$C$2:$L$599,10,FALSE)</f>
        <v>0</v>
      </c>
      <c r="BE480" s="2" t="str">
        <f>VLOOKUP(A480,'[1]daily coal, energy reqd'!$C$2:$M$599,11,FALSE)</f>
        <v>Y</v>
      </c>
      <c r="BF480" s="2">
        <f t="shared" si="368"/>
        <v>340.70034311283121</v>
      </c>
      <c r="BG480" s="2">
        <f t="shared" si="369"/>
        <v>0</v>
      </c>
      <c r="BH480" s="2">
        <f t="shared" si="389"/>
        <v>30</v>
      </c>
      <c r="BI480" s="2">
        <f t="shared" si="390"/>
        <v>16</v>
      </c>
      <c r="BK480">
        <f t="shared" si="370"/>
        <v>172.93121476096292</v>
      </c>
      <c r="BL480">
        <f>VLOOKUP(A480,'[11]Daily coal vs energy req.2'!$C$2:$P$599,14,FALSE)</f>
        <v>1.3</v>
      </c>
      <c r="BM480">
        <f>VLOOKUP(A480,'[11]Daily coal vs energy req.2'!$C$2:$R$599,16,FALSE)</f>
        <v>0.81</v>
      </c>
      <c r="BN480">
        <f t="shared" si="387"/>
        <v>260</v>
      </c>
      <c r="BO480">
        <f t="shared" si="388"/>
        <v>162</v>
      </c>
      <c r="BP480" s="2" t="str">
        <f>VLOOKUP(A480,'[7]Table 2'!$J$2:$N$449,5,FALSE)</f>
        <v>Bid Awarded</v>
      </c>
      <c r="BR480">
        <f t="shared" si="375"/>
        <v>199.49900803616455</v>
      </c>
      <c r="BT480">
        <f>(X480*I480*365*[5]Analysis!BK480)/10^4</f>
        <v>186.46567866551919</v>
      </c>
      <c r="BV480">
        <f>(X480*I480*365*[5]Analysis!BL480)/10^4</f>
        <v>13.033329370645355</v>
      </c>
      <c r="BX480">
        <f t="shared" si="376"/>
        <v>1375522.2788308566</v>
      </c>
      <c r="BZ480">
        <f t="shared" si="377"/>
        <v>3196177.5364680579</v>
      </c>
      <c r="CB480">
        <f t="shared" si="378"/>
        <v>-387008.0432386524</v>
      </c>
      <c r="CD480">
        <f t="shared" si="379"/>
        <v>0</v>
      </c>
      <c r="CF480">
        <f t="shared" si="380"/>
        <v>2704963.0840214794</v>
      </c>
      <c r="CH480">
        <f t="shared" si="381"/>
        <v>1152601.0541389212</v>
      </c>
      <c r="CJ480">
        <f t="shared" si="382"/>
        <v>-499619.03119019326</v>
      </c>
      <c r="CL480">
        <f t="shared" si="383"/>
        <v>902365.94905225385</v>
      </c>
    </row>
    <row r="481" spans="1:90" x14ac:dyDescent="0.2">
      <c r="A481" s="39" t="s">
        <v>489</v>
      </c>
      <c r="B481" s="2" t="str">
        <f t="shared" si="386"/>
        <v>SINGRAULI STPS</v>
      </c>
      <c r="C481" s="2" t="str">
        <f>VLOOKUP($A481,'[1]daily coal, energy reqd'!$C$2:$T$599,17,FALSE)</f>
        <v>Uttar Pradesh</v>
      </c>
      <c r="D481" s="2" t="str">
        <f>VLOOKUP(C481,'Target PLF'!$I$2:$J$19,2,FALSE)</f>
        <v>NR</v>
      </c>
      <c r="E481" s="2" t="str">
        <f>VLOOKUP(A481,[2]Ownership!$C$2:$D$666,2,FALSE)</f>
        <v>CENTRAL SECTOR</v>
      </c>
      <c r="F481" s="2" t="s">
        <v>549</v>
      </c>
      <c r="G481" s="12">
        <v>37.177275838466798</v>
      </c>
      <c r="H481" s="2">
        <v>200</v>
      </c>
      <c r="I481" s="2">
        <f>VLOOKUP(A481,'[3]Calculated coal req (reg.)'!$A$2:$I$599,9,FALSE)</f>
        <v>3.95443519519042</v>
      </c>
      <c r="J481" s="2"/>
      <c r="K481" s="11">
        <v>0.82384066566467085</v>
      </c>
      <c r="L481" s="3">
        <f>VLOOKUP(F481,'Target PLF'!$A$2:$B$11,2,FALSE)</f>
        <v>0.55000000000000004</v>
      </c>
      <c r="M481" s="3">
        <f t="shared" si="371"/>
        <v>-0.2738406656646708</v>
      </c>
      <c r="N481" s="2" t="str">
        <f t="shared" si="354"/>
        <v>0.25</v>
      </c>
      <c r="O481" s="2">
        <f t="shared" si="349"/>
        <v>15.0190152957757</v>
      </c>
      <c r="P481" s="2">
        <f t="shared" si="355"/>
        <v>1096388.1165916261</v>
      </c>
      <c r="Q481" s="2">
        <f t="shared" si="356"/>
        <v>15.382977962183435</v>
      </c>
      <c r="R481" s="2">
        <f t="shared" si="357"/>
        <v>2.64</v>
      </c>
      <c r="S481" s="2"/>
      <c r="T481" s="2" t="str">
        <f>VLOOKUP(A481,'[4]CEA vs MERIT comp. &amp; NPA marker'!$C$2:$K$735,9,FALSE)</f>
        <v>Contracted</v>
      </c>
      <c r="U481" s="3">
        <f>VLOOKUP(B481,'[8]Import-Domestic share'!$A$208:$F$406,6,FALSE)</f>
        <v>0</v>
      </c>
      <c r="V481" s="3">
        <f t="shared" si="358"/>
        <v>0</v>
      </c>
      <c r="W481" s="2">
        <f t="shared" si="359"/>
        <v>3334.9037316030117</v>
      </c>
      <c r="X481" s="2">
        <f t="shared" si="360"/>
        <v>3244.3798941454424</v>
      </c>
      <c r="Y481" s="6">
        <f t="shared" si="361"/>
        <v>0.25787850841098126</v>
      </c>
      <c r="Z481" s="2"/>
      <c r="AA481" s="2">
        <f t="shared" si="362"/>
        <v>1052408.4299893146</v>
      </c>
      <c r="AB481" s="2" t="s">
        <v>576</v>
      </c>
      <c r="AC481" s="12">
        <f>VLOOKUP(B481,[9]Sheet1!$A$2:$B$137,2,FALSE)</f>
        <v>4449.6383069062995</v>
      </c>
      <c r="AD481" s="12">
        <f t="shared" si="363"/>
        <v>889927.66138125991</v>
      </c>
      <c r="AE481" s="2" t="s">
        <v>589</v>
      </c>
      <c r="AF481" s="7">
        <f>VLOOKUP($B481,'[9]Subsidiary wise dispatch'!$A$3:$R$138,11,FALSE)*$H481*$O481*365</f>
        <v>0</v>
      </c>
      <c r="AG481" s="7">
        <f>VLOOKUP($B481,'[9]Subsidiary wise dispatch'!$A$3:$R$138,12,FALSE)*$H481*$O481*365</f>
        <v>0</v>
      </c>
      <c r="AH481" s="7">
        <f>VLOOKUP($B481,'[9]Subsidiary wise dispatch'!$A$3:$R$138,13,FALSE)*$H481*$O481*365</f>
        <v>0</v>
      </c>
      <c r="AI481" s="7">
        <f>VLOOKUP($B481,'[9]Subsidiary wise dispatch'!$A$3:$R$138,14,FALSE)*$H481*$O481*365</f>
        <v>0</v>
      </c>
      <c r="AJ481" s="7">
        <f>VLOOKUP($B481,'[9]Subsidiary wise dispatch'!$A$3:$R$138,15,FALSE)*$H481*$O481*365</f>
        <v>1096388.1165916261</v>
      </c>
      <c r="AK481" s="7">
        <f>VLOOKUP($B481,'[9]Subsidiary wise dispatch'!$A$3:$R$138,16,FALSE)*$H481*$O481*365</f>
        <v>0</v>
      </c>
      <c r="AL481" s="7">
        <f>VLOOKUP($B481,'[9]Subsidiary wise dispatch'!$A$3:$R$138,17,FALSE)*$H481*$O481*365</f>
        <v>0</v>
      </c>
      <c r="AM481" s="7">
        <f>VLOOKUP($B481,'[9]Subsidiary wise dispatch'!$A$3:$R$138,18,FALSE)*$H481*$O481*365</f>
        <v>0</v>
      </c>
      <c r="AN481" s="15">
        <f t="shared" si="364"/>
        <v>1096388.1165916261</v>
      </c>
      <c r="AO481" s="6">
        <v>7.690693382449007E-2</v>
      </c>
      <c r="AP481" s="11">
        <f t="shared" si="365"/>
        <v>0.30412348586974408</v>
      </c>
      <c r="AQ481" s="11"/>
      <c r="AR481" s="3">
        <f>VLOOKUP(A481,[10]Sheet1!$A$2:$L$542,12,FALSE)</f>
        <v>1.42529597105324</v>
      </c>
      <c r="AS481" s="3">
        <f t="shared" si="372"/>
        <v>2.1267093345984214</v>
      </c>
      <c r="AT481" s="2"/>
      <c r="AU481" s="2"/>
      <c r="AV481" s="88">
        <f t="shared" si="373"/>
        <v>-0.20067591661238407</v>
      </c>
      <c r="AW481" s="32">
        <f t="shared" si="374"/>
        <v>9.4359823106845472E-2</v>
      </c>
      <c r="AX481" s="12">
        <f t="shared" si="366"/>
        <v>306.96259985767387</v>
      </c>
      <c r="AY481" s="12">
        <f t="shared" si="367"/>
        <v>0</v>
      </c>
      <c r="AZ481" s="3">
        <f>VLOOKUP(A481,[5]Analysis!$A$3:$BJ$543,62,FALSE)</f>
        <v>0.40729034272837178</v>
      </c>
      <c r="BA481" s="2"/>
      <c r="BB481" s="2"/>
      <c r="BC481" s="2" t="str">
        <f>VLOOKUP(A481,'[6]FGD status - Jun 2020'!$I$2:$M$449,5,FALSE)</f>
        <v>Bid Awarded</v>
      </c>
      <c r="BD481" s="2">
        <f>VLOOKUP(A481,'[1]daily coal, energy reqd'!$C$2:$L$599,10,FALSE)</f>
        <v>0</v>
      </c>
      <c r="BE481" s="2" t="str">
        <f>VLOOKUP(A481,'[1]daily coal, energy reqd'!$C$2:$M$599,11,FALSE)</f>
        <v>Y</v>
      </c>
      <c r="BF481" s="2">
        <f t="shared" si="368"/>
        <v>325.72040908169288</v>
      </c>
      <c r="BG481" s="2">
        <f t="shared" si="369"/>
        <v>0</v>
      </c>
      <c r="BH481" s="2">
        <f t="shared" si="389"/>
        <v>30</v>
      </c>
      <c r="BI481" s="2">
        <f t="shared" si="390"/>
        <v>16</v>
      </c>
      <c r="BK481">
        <f t="shared" si="370"/>
        <v>164.76813313293417</v>
      </c>
      <c r="BL481">
        <f>VLOOKUP(A481,'[11]Daily coal vs energy req.2'!$C$2:$P$599,14,FALSE)</f>
        <v>1.1299999999999999</v>
      </c>
      <c r="BM481">
        <f>VLOOKUP(A481,'[11]Daily coal vs energy req.2'!$C$2:$R$599,16,FALSE)</f>
        <v>0.73</v>
      </c>
      <c r="BN481">
        <f t="shared" si="387"/>
        <v>225.99999999999997</v>
      </c>
      <c r="BO481">
        <f t="shared" si="388"/>
        <v>146</v>
      </c>
      <c r="BP481" s="2" t="str">
        <f>VLOOKUP(A481,'[7]Table 2'!$J$2:$N$449,5,FALSE)</f>
        <v>Bid Awarded</v>
      </c>
      <c r="BR481">
        <f t="shared" si="375"/>
        <v>190.72742315205551</v>
      </c>
      <c r="BT481">
        <f>(X481*I481*365*[5]Analysis!BK481)/10^4</f>
        <v>178.26714402372735</v>
      </c>
      <c r="BV481">
        <f>(X481*I481*365*[5]Analysis!BL481)/10^4</f>
        <v>12.460279128328144</v>
      </c>
      <c r="BX481">
        <f t="shared" si="376"/>
        <v>1315043.2290976329</v>
      </c>
      <c r="BZ481">
        <f t="shared" si="377"/>
        <v>3045304.4962021648</v>
      </c>
      <c r="CB481">
        <f t="shared" si="378"/>
        <v>-351333.57009142084</v>
      </c>
      <c r="CD481">
        <f t="shared" si="379"/>
        <v>0</v>
      </c>
      <c r="CF481">
        <f t="shared" si="380"/>
        <v>2577277.4346365877</v>
      </c>
      <c r="CH481">
        <f t="shared" si="381"/>
        <v>1088573.5155494891</v>
      </c>
      <c r="CJ481">
        <f t="shared" si="382"/>
        <v>-476034.90879702283</v>
      </c>
      <c r="CL481">
        <f t="shared" si="383"/>
        <v>859770.47598714475</v>
      </c>
    </row>
    <row r="482" spans="1:90" x14ac:dyDescent="0.2">
      <c r="A482" s="39" t="s">
        <v>481</v>
      </c>
      <c r="B482" s="2" t="str">
        <f t="shared" si="386"/>
        <v>SINGRAULI STPS</v>
      </c>
      <c r="C482" s="2" t="str">
        <f>VLOOKUP($A482,'[1]daily coal, energy reqd'!$C$2:$T$599,17,FALSE)</f>
        <v>Uttar Pradesh</v>
      </c>
      <c r="D482" s="2" t="str">
        <f>VLOOKUP(C482,'Target PLF'!$I$2:$J$19,2,FALSE)</f>
        <v>NR</v>
      </c>
      <c r="E482" s="2" t="str">
        <f>VLOOKUP(A482,[2]Ownership!$C$2:$D$666,2,FALSE)</f>
        <v>CENTRAL SECTOR</v>
      </c>
      <c r="F482" s="2" t="s">
        <v>549</v>
      </c>
      <c r="G482" s="12">
        <v>36.5065023956194</v>
      </c>
      <c r="H482" s="2">
        <v>200</v>
      </c>
      <c r="I482" s="2">
        <f>VLOOKUP(A482,'[3]Calculated coal req (reg.)'!$A$2:$I$599,9,FALSE)</f>
        <v>4.1299499028903304</v>
      </c>
      <c r="J482" s="2"/>
      <c r="K482" s="11">
        <v>0.86040622976881875</v>
      </c>
      <c r="L482" s="3">
        <f>VLOOKUP(F482,'Target PLF'!$A$2:$B$11,2,FALSE)</f>
        <v>0.55000000000000004</v>
      </c>
      <c r="M482" s="3">
        <f t="shared" si="371"/>
        <v>-0.31040622976881871</v>
      </c>
      <c r="N482" s="2" t="str">
        <f t="shared" si="354"/>
        <v>0.25</v>
      </c>
      <c r="O482" s="2">
        <f t="shared" si="349"/>
        <v>15.506516210023751</v>
      </c>
      <c r="P482" s="2">
        <f t="shared" si="355"/>
        <v>1131975.6833317338</v>
      </c>
      <c r="Q482" s="2">
        <f t="shared" si="356"/>
        <v>15.361731213381244</v>
      </c>
      <c r="R482" s="2">
        <f t="shared" si="357"/>
        <v>2.64</v>
      </c>
      <c r="S482" s="2"/>
      <c r="T482" s="2" t="str">
        <f>VLOOKUP(A482,'[4]CEA vs MERIT comp. &amp; NPA marker'!$C$2:$K$735,9,FALSE)</f>
        <v>Contracted</v>
      </c>
      <c r="U482" s="3">
        <f>VLOOKUP(B482,'[8]Import-Domestic share'!$A$208:$F$406,6,FALSE)</f>
        <v>0</v>
      </c>
      <c r="V482" s="3">
        <f t="shared" si="358"/>
        <v>0</v>
      </c>
      <c r="W482" s="2">
        <f t="shared" si="359"/>
        <v>3329.778662294319</v>
      </c>
      <c r="X482" s="2">
        <f t="shared" si="360"/>
        <v>3227.1673024321649</v>
      </c>
      <c r="Y482" s="6">
        <f t="shared" si="361"/>
        <v>0.25827542525226999</v>
      </c>
      <c r="Z482" s="2"/>
      <c r="AA482" s="2">
        <f t="shared" si="362"/>
        <v>1093287.5897599331</v>
      </c>
      <c r="AB482" s="2" t="s">
        <v>576</v>
      </c>
      <c r="AC482" s="12">
        <f>VLOOKUP(B482,[9]Sheet1!$A$2:$B$137,2,FALSE)</f>
        <v>4449.6383069062995</v>
      </c>
      <c r="AD482" s="12">
        <f t="shared" si="363"/>
        <v>889927.66138125991</v>
      </c>
      <c r="AE482" s="2" t="s">
        <v>589</v>
      </c>
      <c r="AF482" s="7">
        <f>VLOOKUP($B482,'[9]Subsidiary wise dispatch'!$A$3:$R$138,11,FALSE)*$H482*$O482*365</f>
        <v>0</v>
      </c>
      <c r="AG482" s="7">
        <f>VLOOKUP($B482,'[9]Subsidiary wise dispatch'!$A$3:$R$138,12,FALSE)*$H482*$O482*365</f>
        <v>0</v>
      </c>
      <c r="AH482" s="7">
        <f>VLOOKUP($B482,'[9]Subsidiary wise dispatch'!$A$3:$R$138,13,FALSE)*$H482*$O482*365</f>
        <v>0</v>
      </c>
      <c r="AI482" s="7">
        <f>VLOOKUP($B482,'[9]Subsidiary wise dispatch'!$A$3:$R$138,14,FALSE)*$H482*$O482*365</f>
        <v>0</v>
      </c>
      <c r="AJ482" s="7">
        <f>VLOOKUP($B482,'[9]Subsidiary wise dispatch'!$A$3:$R$138,15,FALSE)*$H482*$O482*365</f>
        <v>1131975.6833317338</v>
      </c>
      <c r="AK482" s="7">
        <f>VLOOKUP($B482,'[9]Subsidiary wise dispatch'!$A$3:$R$138,16,FALSE)*$H482*$O482*365</f>
        <v>0</v>
      </c>
      <c r="AL482" s="7">
        <f>VLOOKUP($B482,'[9]Subsidiary wise dispatch'!$A$3:$R$138,17,FALSE)*$H482*$O482*365</f>
        <v>0</v>
      </c>
      <c r="AM482" s="7">
        <f>VLOOKUP($B482,'[9]Subsidiary wise dispatch'!$A$3:$R$138,18,FALSE)*$H482*$O482*365</f>
        <v>0</v>
      </c>
      <c r="AN482" s="15">
        <f t="shared" si="364"/>
        <v>1131975.6833317338</v>
      </c>
      <c r="AO482" s="6">
        <v>7.690693382449007E-2</v>
      </c>
      <c r="AP482" s="11">
        <f t="shared" si="365"/>
        <v>0.3176217838800458</v>
      </c>
      <c r="AQ482" s="11"/>
      <c r="AR482" s="3">
        <f>VLOOKUP(A482,[10]Sheet1!$A$2:$L$542,12,FALSE)</f>
        <v>1.42529597105324</v>
      </c>
      <c r="AS482" s="3">
        <f t="shared" si="372"/>
        <v>2.1199783019902467</v>
      </c>
      <c r="AT482" s="2"/>
      <c r="AU482" s="2"/>
      <c r="AV482" s="88">
        <f t="shared" si="373"/>
        <v>-0.22747189329918574</v>
      </c>
      <c r="AW482" s="32">
        <f t="shared" si="374"/>
        <v>0.10729916107425908</v>
      </c>
      <c r="AX482" s="12">
        <f t="shared" si="366"/>
        <v>319.57225265884927</v>
      </c>
      <c r="AY482" s="12">
        <f t="shared" si="367"/>
        <v>0</v>
      </c>
      <c r="AZ482" s="3">
        <f>VLOOKUP(A482,[5]Analysis!$A$3:$BJ$543,62,FALSE)</f>
        <v>0.40729034272837178</v>
      </c>
      <c r="BA482" s="2"/>
      <c r="BB482" s="2"/>
      <c r="BC482" s="2" t="str">
        <f>VLOOKUP(A482,'[6]FGD status - Jun 2020'!$I$2:$M$449,5,FALSE)</f>
        <v>Bid Awarded</v>
      </c>
      <c r="BD482" s="2">
        <f>VLOOKUP(A482,'[1]daily coal, energy reqd'!$C$2:$L$599,10,FALSE)</f>
        <v>0</v>
      </c>
      <c r="BE482" s="2" t="str">
        <f>VLOOKUP(A482,'[1]daily coal, energy reqd'!$C$2:$M$599,11,FALSE)</f>
        <v>Y</v>
      </c>
      <c r="BF482" s="2">
        <f t="shared" si="368"/>
        <v>338.37250903069929</v>
      </c>
      <c r="BG482" s="2">
        <f t="shared" si="369"/>
        <v>0</v>
      </c>
      <c r="BH482" s="2">
        <f t="shared" si="389"/>
        <v>30</v>
      </c>
      <c r="BI482" s="2">
        <f t="shared" si="390"/>
        <v>16</v>
      </c>
      <c r="BK482">
        <f t="shared" si="370"/>
        <v>172.08124595376376</v>
      </c>
      <c r="BL482">
        <f>VLOOKUP(A482,'[11]Daily coal vs energy req.2'!$C$2:$P$599,14,FALSE)</f>
        <v>0.83</v>
      </c>
      <c r="BM482">
        <f>VLOOKUP(A482,'[11]Daily coal vs energy req.2'!$C$2:$R$599,16,FALSE)</f>
        <v>0.75</v>
      </c>
      <c r="BN482">
        <f t="shared" si="387"/>
        <v>166</v>
      </c>
      <c r="BO482">
        <f t="shared" si="388"/>
        <v>150</v>
      </c>
      <c r="BP482" s="2" t="str">
        <f>VLOOKUP(A482,'[7]Table 2'!$J$2:$N$449,5,FALSE)</f>
        <v>Bid Awarded</v>
      </c>
      <c r="BR482">
        <f t="shared" si="375"/>
        <v>198.13593165644897</v>
      </c>
      <c r="BT482">
        <f>(X482*I482*365*[5]Analysis!BK482)/10^4</f>
        <v>185.19165247000782</v>
      </c>
      <c r="BV482">
        <f>(X482*I482*365*[5]Analysis!BL482)/10^4</f>
        <v>12.944279186441134</v>
      </c>
      <c r="BX482">
        <f t="shared" si="376"/>
        <v>1366124.0269472834</v>
      </c>
      <c r="BZ482">
        <f t="shared" si="377"/>
        <v>3180468.1041829521</v>
      </c>
      <c r="CB482">
        <f t="shared" si="378"/>
        <v>-383213.05027249904</v>
      </c>
      <c r="CD482">
        <f t="shared" si="379"/>
        <v>0</v>
      </c>
      <c r="CF482">
        <f t="shared" si="380"/>
        <v>2691668.0045344043</v>
      </c>
      <c r="CH482">
        <f t="shared" si="381"/>
        <v>1116376.6576921456</v>
      </c>
      <c r="CJ482">
        <f t="shared" si="382"/>
        <v>-497163.36930993805</v>
      </c>
      <c r="CL482">
        <f t="shared" si="383"/>
        <v>897930.75838738028</v>
      </c>
    </row>
    <row r="483" spans="1:90" x14ac:dyDescent="0.2">
      <c r="A483" s="39" t="s">
        <v>480</v>
      </c>
      <c r="B483" s="2" t="str">
        <f t="shared" si="386"/>
        <v>SINGRAULI STPS</v>
      </c>
      <c r="C483" s="2" t="str">
        <f>VLOOKUP($A483,'[1]daily coal, energy reqd'!$C$2:$T$599,17,FALSE)</f>
        <v>Uttar Pradesh</v>
      </c>
      <c r="D483" s="2" t="str">
        <f>VLOOKUP(C483,'Target PLF'!$I$2:$J$19,2,FALSE)</f>
        <v>NR</v>
      </c>
      <c r="E483" s="2" t="str">
        <f>VLOOKUP(A483,[2]Ownership!$C$2:$D$666,2,FALSE)</f>
        <v>CENTRAL SECTOR</v>
      </c>
      <c r="F483" s="2" t="s">
        <v>549</v>
      </c>
      <c r="G483" s="12">
        <v>36.254620123203203</v>
      </c>
      <c r="H483" s="2">
        <v>200</v>
      </c>
      <c r="I483" s="2">
        <f>VLOOKUP(A483,'[3]Calculated coal req (reg.)'!$A$2:$I$599,9,FALSE)</f>
        <v>3.8061421915002498</v>
      </c>
      <c r="J483" s="2"/>
      <c r="K483" s="11">
        <v>0.79294628989588534</v>
      </c>
      <c r="L483" s="3">
        <f>VLOOKUP(F483,'Target PLF'!$A$2:$B$11,2,FALSE)</f>
        <v>0.55000000000000004</v>
      </c>
      <c r="M483" s="3">
        <f t="shared" si="371"/>
        <v>-0.24294628989588529</v>
      </c>
      <c r="N483" s="2" t="str">
        <f t="shared" si="354"/>
        <v>0.25</v>
      </c>
      <c r="O483" s="2">
        <f t="shared" si="349"/>
        <v>14.559947457610882</v>
      </c>
      <c r="P483" s="2">
        <f t="shared" si="355"/>
        <v>1062876.1644055943</v>
      </c>
      <c r="Q483" s="2">
        <f t="shared" si="356"/>
        <v>15.353752842402461</v>
      </c>
      <c r="R483" s="2">
        <f t="shared" si="357"/>
        <v>2.64</v>
      </c>
      <c r="S483" s="2"/>
      <c r="T483" s="2" t="str">
        <f>VLOOKUP(A483,'[4]CEA vs MERIT comp. &amp; NPA marker'!$C$2:$K$735,9,FALSE)</f>
        <v>Contracted</v>
      </c>
      <c r="U483" s="3">
        <f>VLOOKUP(B483,'[8]Import-Domestic share'!$A$208:$F$406,6,FALSE)</f>
        <v>0</v>
      </c>
      <c r="V483" s="3">
        <f t="shared" si="358"/>
        <v>0</v>
      </c>
      <c r="W483" s="2">
        <f t="shared" si="359"/>
        <v>3327.8541464722789</v>
      </c>
      <c r="X483" s="2">
        <f t="shared" si="360"/>
        <v>3247.5430998858483</v>
      </c>
      <c r="Y483" s="6">
        <f t="shared" si="361"/>
        <v>0.25842478730975954</v>
      </c>
      <c r="Z483" s="2"/>
      <c r="AA483" s="2">
        <f t="shared" si="362"/>
        <v>1013930.2646424592</v>
      </c>
      <c r="AB483" s="2" t="s">
        <v>576</v>
      </c>
      <c r="AC483" s="12">
        <f>VLOOKUP(B483,[9]Sheet1!$A$2:$B$137,2,FALSE)</f>
        <v>4449.6383069062995</v>
      </c>
      <c r="AD483" s="12">
        <f t="shared" si="363"/>
        <v>889927.66138125991</v>
      </c>
      <c r="AE483" s="2" t="s">
        <v>589</v>
      </c>
      <c r="AF483" s="7">
        <f>VLOOKUP($B483,'[9]Subsidiary wise dispatch'!$A$3:$R$138,11,FALSE)*$H483*$O483*365</f>
        <v>0</v>
      </c>
      <c r="AG483" s="7">
        <f>VLOOKUP($B483,'[9]Subsidiary wise dispatch'!$A$3:$R$138,12,FALSE)*$H483*$O483*365</f>
        <v>0</v>
      </c>
      <c r="AH483" s="7">
        <f>VLOOKUP($B483,'[9]Subsidiary wise dispatch'!$A$3:$R$138,13,FALSE)*$H483*$O483*365</f>
        <v>0</v>
      </c>
      <c r="AI483" s="7">
        <f>VLOOKUP($B483,'[9]Subsidiary wise dispatch'!$A$3:$R$138,14,FALSE)*$H483*$O483*365</f>
        <v>0</v>
      </c>
      <c r="AJ483" s="7">
        <f>VLOOKUP($B483,'[9]Subsidiary wise dispatch'!$A$3:$R$138,15,FALSE)*$H483*$O483*365</f>
        <v>1062876.1644055943</v>
      </c>
      <c r="AK483" s="7">
        <f>VLOOKUP($B483,'[9]Subsidiary wise dispatch'!$A$3:$R$138,16,FALSE)*$H483*$O483*365</f>
        <v>0</v>
      </c>
      <c r="AL483" s="7">
        <f>VLOOKUP($B483,'[9]Subsidiary wise dispatch'!$A$3:$R$138,17,FALSE)*$H483*$O483*365</f>
        <v>0</v>
      </c>
      <c r="AM483" s="7">
        <f>VLOOKUP($B483,'[9]Subsidiary wise dispatch'!$A$3:$R$138,18,FALSE)*$H483*$O483*365</f>
        <v>0</v>
      </c>
      <c r="AN483" s="15">
        <f t="shared" si="364"/>
        <v>1062876.1644055943</v>
      </c>
      <c r="AO483" s="6">
        <v>7.690693382449007E-2</v>
      </c>
      <c r="AP483" s="11">
        <f t="shared" si="365"/>
        <v>0.29271872564830931</v>
      </c>
      <c r="AQ483" s="11"/>
      <c r="AR483" s="3">
        <f>VLOOKUP(A483,[10]Sheet1!$A$2:$L$542,12,FALSE)</f>
        <v>1.42529597105324</v>
      </c>
      <c r="AS483" s="3">
        <f t="shared" si="372"/>
        <v>2.1202017589431437</v>
      </c>
      <c r="AT483" s="2"/>
      <c r="AU483" s="2"/>
      <c r="AV483" s="88">
        <f t="shared" si="373"/>
        <v>-0.17803590016150267</v>
      </c>
      <c r="AW483" s="32">
        <f t="shared" si="374"/>
        <v>8.3971206707350421E-2</v>
      </c>
      <c r="AX483" s="12">
        <f t="shared" si="366"/>
        <v>294.54731197603871</v>
      </c>
      <c r="AY483" s="12">
        <f t="shared" si="367"/>
        <v>0</v>
      </c>
      <c r="AZ483" s="3">
        <f>VLOOKUP(A483,[5]Analysis!$A$3:$BJ$543,62,FALSE)</f>
        <v>0.40729034272837178</v>
      </c>
      <c r="BA483" s="2"/>
      <c r="BB483" s="2"/>
      <c r="BC483" s="2" t="str">
        <f>VLOOKUP(A483,'[6]FGD status - Jun 2020'!$I$2:$M$449,5,FALSE)</f>
        <v>Bid Awarded</v>
      </c>
      <c r="BD483" s="2">
        <f>VLOOKUP(A483,'[1]daily coal, energy reqd'!$C$2:$L$599,10,FALSE)</f>
        <v>0</v>
      </c>
      <c r="BE483" s="2" t="str">
        <f>VLOOKUP(A483,'[1]daily coal, energy reqd'!$C$2:$M$599,11,FALSE)</f>
        <v>Y</v>
      </c>
      <c r="BF483" s="2">
        <f t="shared" si="368"/>
        <v>313.81141690684115</v>
      </c>
      <c r="BG483" s="2">
        <f t="shared" si="369"/>
        <v>0</v>
      </c>
      <c r="BH483" s="2">
        <f t="shared" si="389"/>
        <v>30</v>
      </c>
      <c r="BI483" s="2">
        <f t="shared" si="390"/>
        <v>16</v>
      </c>
      <c r="BK483">
        <f t="shared" si="370"/>
        <v>158.58925797917706</v>
      </c>
      <c r="BL483">
        <f>VLOOKUP(A483,'[11]Daily coal vs energy req.2'!$C$2:$P$599,14,FALSE)</f>
        <v>0.77</v>
      </c>
      <c r="BM483">
        <f>VLOOKUP(A483,'[11]Daily coal vs energy req.2'!$C$2:$R$599,16,FALSE)</f>
        <v>0.75</v>
      </c>
      <c r="BN483">
        <f t="shared" si="387"/>
        <v>154</v>
      </c>
      <c r="BO483">
        <f t="shared" si="388"/>
        <v>150</v>
      </c>
      <c r="BP483" s="2" t="str">
        <f>VLOOKUP(A483,'[7]Table 2'!$J$2:$N$449,5,FALSE)</f>
        <v>Bid Awarded</v>
      </c>
      <c r="BR483">
        <f t="shared" si="375"/>
        <v>183.75404559720354</v>
      </c>
      <c r="BT483">
        <f>(X483*I483*365*[5]Analysis!BK483)/10^4</f>
        <v>171.74933929298575</v>
      </c>
      <c r="BV483">
        <f>(X483*I483*365*[5]Analysis!BL483)/10^4</f>
        <v>12.004706304217784</v>
      </c>
      <c r="BX483">
        <f t="shared" si="376"/>
        <v>1266962.6081470815</v>
      </c>
      <c r="BZ483">
        <f t="shared" si="377"/>
        <v>2931104.280848464</v>
      </c>
      <c r="CB483">
        <f t="shared" si="378"/>
        <v>-325477.32717942033</v>
      </c>
      <c r="CD483">
        <f t="shared" si="379"/>
        <v>0</v>
      </c>
      <c r="CF483">
        <f t="shared" si="380"/>
        <v>2480628.4333860432</v>
      </c>
      <c r="CH483">
        <f t="shared" si="381"/>
        <v>1021748.7268060538</v>
      </c>
      <c r="CJ483">
        <f t="shared" si="382"/>
        <v>-458183.39701280015</v>
      </c>
      <c r="CL483">
        <f t="shared" si="383"/>
        <v>827528.71703169891</v>
      </c>
    </row>
    <row r="484" spans="1:90" x14ac:dyDescent="0.2">
      <c r="A484" s="2" t="s">
        <v>467</v>
      </c>
      <c r="B484" s="2" t="str">
        <f t="shared" si="386"/>
        <v>SOUTHERN REPL. TPS</v>
      </c>
      <c r="C484" s="2" t="str">
        <f>VLOOKUP($A484,'[1]daily coal, energy reqd'!$C$2:$T$599,17,FALSE)</f>
        <v>West Bengal</v>
      </c>
      <c r="D484" s="2" t="str">
        <f>VLOOKUP(C484,'Target PLF'!$I$2:$J$19,2,FALSE)</f>
        <v>ER</v>
      </c>
      <c r="E484" s="2" t="str">
        <f>VLOOKUP(A484,[2]Ownership!$C$2:$D$666,2,FALSE)</f>
        <v>PVT SECTOR</v>
      </c>
      <c r="F484" s="2" t="s">
        <v>547</v>
      </c>
      <c r="G484" s="12">
        <v>29.0924024640657</v>
      </c>
      <c r="H484" s="2">
        <v>68</v>
      </c>
      <c r="I484" s="2">
        <f>VLOOKUP(A484,'[3]Calculated coal req (reg.)'!$A$2:$I$599,9,FALSE)</f>
        <v>0.35777168423468703</v>
      </c>
      <c r="J484" s="2"/>
      <c r="K484" s="11">
        <v>0.21922284573203862</v>
      </c>
      <c r="L484" s="3">
        <f>VLOOKUP(F484,'Target PLF'!$A$2:$B$11,2,FALSE)</f>
        <v>0.65</v>
      </c>
      <c r="M484" s="3">
        <f t="shared" si="371"/>
        <v>0.43077715426796137</v>
      </c>
      <c r="N484" s="2" t="str">
        <f t="shared" si="354"/>
        <v>0.25</v>
      </c>
      <c r="O484" s="2">
        <f t="shared" si="349"/>
        <v>6.1483895175728538</v>
      </c>
      <c r="P484" s="2">
        <f t="shared" si="355"/>
        <v>152603.02782615824</v>
      </c>
      <c r="Q484" s="2">
        <f t="shared" si="356"/>
        <v>14.924581298049281</v>
      </c>
      <c r="R484" s="2">
        <f t="shared" si="357"/>
        <v>1.0608</v>
      </c>
      <c r="S484" s="2"/>
      <c r="T484" s="2" t="str">
        <f>VLOOKUP(A484,'[4]CEA vs MERIT comp. &amp; NPA marker'!$C$2:$K$735,9,FALSE)</f>
        <v>Contracted</v>
      </c>
      <c r="U484" s="3">
        <f>VLOOKUP(B484,'[8]Import-Domestic share'!$A$208:$F$406,6,FALSE)</f>
        <v>0</v>
      </c>
      <c r="V484" s="3">
        <f t="shared" si="358"/>
        <v>0</v>
      </c>
      <c r="W484" s="2">
        <f t="shared" si="359"/>
        <v>3362.2718210455855</v>
      </c>
      <c r="X484" s="2">
        <f t="shared" si="360"/>
        <v>3504.6743418645306</v>
      </c>
      <c r="Y484" s="6">
        <f t="shared" si="361"/>
        <v>0.2557794389546294</v>
      </c>
      <c r="Z484" s="2"/>
      <c r="AA484" s="2">
        <f t="shared" si="362"/>
        <v>86033.652252031461</v>
      </c>
      <c r="AB484" s="2" t="s">
        <v>576</v>
      </c>
      <c r="AC484" s="12">
        <f>VLOOKUP(B484,[9]Sheet1!$A$2:$B$137,2,FALSE)</f>
        <v>5319.5897342946537</v>
      </c>
      <c r="AD484" s="12">
        <f t="shared" si="363"/>
        <v>361732.10193203646</v>
      </c>
      <c r="AE484" s="2"/>
      <c r="AF484" s="7">
        <f>VLOOKUP($B484,'[9]Subsidiary wise dispatch'!$A$3:$R$138,11,FALSE)*$H484*$O484*365</f>
        <v>49656.058452746562</v>
      </c>
      <c r="AG484" s="7">
        <f>VLOOKUP($B484,'[9]Subsidiary wise dispatch'!$A$3:$R$138,12,FALSE)*$H484*$O484*365</f>
        <v>0</v>
      </c>
      <c r="AH484" s="7">
        <f>VLOOKUP($B484,'[9]Subsidiary wise dispatch'!$A$3:$R$138,13,FALSE)*$H484*$O484*365</f>
        <v>102946.96937341167</v>
      </c>
      <c r="AI484" s="7">
        <f>VLOOKUP($B484,'[9]Subsidiary wise dispatch'!$A$3:$R$138,14,FALSE)*$H484*$O484*365</f>
        <v>0</v>
      </c>
      <c r="AJ484" s="7">
        <f>VLOOKUP($B484,'[9]Subsidiary wise dispatch'!$A$3:$R$138,15,FALSE)*$H484*$O484*365</f>
        <v>0</v>
      </c>
      <c r="AK484" s="7">
        <f>VLOOKUP($B484,'[9]Subsidiary wise dispatch'!$A$3:$R$138,16,FALSE)*$H484*$O484*365</f>
        <v>0</v>
      </c>
      <c r="AL484" s="7">
        <f>VLOOKUP($B484,'[9]Subsidiary wise dispatch'!$A$3:$R$138,17,FALSE)*$H484*$O484*365</f>
        <v>0</v>
      </c>
      <c r="AM484" s="7">
        <f>VLOOKUP($B484,'[9]Subsidiary wise dispatch'!$A$3:$R$138,18,FALSE)*$H484*$O484*365</f>
        <v>0</v>
      </c>
      <c r="AN484" s="15">
        <f t="shared" si="364"/>
        <v>152603.02782615824</v>
      </c>
      <c r="AO484" s="6">
        <v>9.2383897720522315E-2</v>
      </c>
      <c r="AP484" s="11">
        <f t="shared" si="365"/>
        <v>3.3052342683636333E-2</v>
      </c>
      <c r="AQ484" s="11"/>
      <c r="AR484" s="3"/>
      <c r="AS484" s="3">
        <f t="shared" si="372"/>
        <v>2.8919953588595613</v>
      </c>
      <c r="AT484" s="2"/>
      <c r="AU484" s="2"/>
      <c r="AV484" s="88">
        <f t="shared" si="373"/>
        <v>0.31568211419064746</v>
      </c>
      <c r="AW484" s="32">
        <f t="shared" si="374"/>
        <v>0.1091571994483195</v>
      </c>
      <c r="AX484" s="12">
        <f t="shared" si="366"/>
        <v>37.76560283734004</v>
      </c>
      <c r="AY484" s="12">
        <f t="shared" si="367"/>
        <v>0</v>
      </c>
      <c r="AZ484" s="3">
        <f>VLOOKUP(A484,[5]Analysis!$A$3:$BJ$543,62,FALSE)</f>
        <v>0.76442530537626219</v>
      </c>
      <c r="BA484" s="2"/>
      <c r="BB484" s="2"/>
      <c r="BC484" s="2" t="str">
        <f>VLOOKUP(A484,'[6]FGD status - Jun 2020'!$I$2:$M$449,5,FALSE)</f>
        <v>Feasibility Study completed</v>
      </c>
      <c r="BD484" s="2">
        <f>VLOOKUP(A484,'[1]daily coal, energy reqd'!$C$2:$L$599,10,FALSE)</f>
        <v>0</v>
      </c>
      <c r="BE484" s="2" t="str">
        <f>VLOOKUP(A484,'[1]daily coal, energy reqd'!$C$2:$M$599,11,FALSE)</f>
        <v>Y</v>
      </c>
      <c r="BF484" s="2">
        <f t="shared" si="368"/>
        <v>26.627415372003735</v>
      </c>
      <c r="BG484" s="2">
        <f t="shared" si="369"/>
        <v>0</v>
      </c>
      <c r="BH484" s="2">
        <f t="shared" si="389"/>
        <v>10.199999999999999</v>
      </c>
      <c r="BI484" s="2">
        <f t="shared" si="390"/>
        <v>5.44</v>
      </c>
      <c r="BK484">
        <f t="shared" si="370"/>
        <v>14.907153509778626</v>
      </c>
      <c r="BL484" t="str">
        <f>VLOOKUP(A484,'[11]Daily coal vs energy req.2'!$C$2:$P$599,14,FALSE)</f>
        <v/>
      </c>
      <c r="BM484" t="str">
        <f>VLOOKUP(A484,'[11]Daily coal vs energy req.2'!$C$2:$R$599,16,FALSE)</f>
        <v/>
      </c>
      <c r="BP484" s="2" t="str">
        <f>VLOOKUP(A484,'[7]Table 2'!$J$2:$N$449,5,FALSE)</f>
        <v>Feasibility Study completed</v>
      </c>
      <c r="BR484">
        <f t="shared" si="375"/>
        <v>34.984973910567284</v>
      </c>
      <c r="BT484">
        <f>(X484*I484*365*[5]Analysis!BK484)/10^4</f>
        <v>26.701223703480437</v>
      </c>
      <c r="BV484">
        <f>(X484*I484*365*[5]Analysis!BL484)/10^4</f>
        <v>8.2837502070868521</v>
      </c>
      <c r="BX484">
        <f t="shared" si="376"/>
        <v>128522.00730325405</v>
      </c>
      <c r="BZ484">
        <f t="shared" si="377"/>
        <v>517110.27720203798</v>
      </c>
      <c r="CB484">
        <f t="shared" si="378"/>
        <v>-8458.3127068511985</v>
      </c>
      <c r="CD484">
        <f t="shared" si="379"/>
        <v>-132033.63654537953</v>
      </c>
      <c r="CF484">
        <f t="shared" si="380"/>
        <v>233175.36968400975</v>
      </c>
      <c r="CH484">
        <f t="shared" si="381"/>
        <v>77069.277897441862</v>
      </c>
      <c r="CJ484">
        <f t="shared" si="382"/>
        <v>-14643.308818378353</v>
      </c>
      <c r="CL484">
        <f t="shared" si="383"/>
        <v>93440.427069718004</v>
      </c>
    </row>
    <row r="485" spans="1:90" x14ac:dyDescent="0.2">
      <c r="A485" s="2" t="s">
        <v>471</v>
      </c>
      <c r="B485" s="2" t="str">
        <f t="shared" si="386"/>
        <v>SOUTHERN REPL. TPS</v>
      </c>
      <c r="C485" s="2" t="str">
        <f>VLOOKUP($A485,'[1]daily coal, energy reqd'!$C$2:$T$599,17,FALSE)</f>
        <v>West Bengal</v>
      </c>
      <c r="D485" s="2" t="str">
        <f>VLOOKUP(C485,'Target PLF'!$I$2:$J$19,2,FALSE)</f>
        <v>ER</v>
      </c>
      <c r="E485" s="2" t="str">
        <f>VLOOKUP(A485,[2]Ownership!$C$2:$D$666,2,FALSE)</f>
        <v>PVT SECTOR</v>
      </c>
      <c r="F485" s="2" t="s">
        <v>547</v>
      </c>
      <c r="G485" s="12">
        <v>29.7577002053388</v>
      </c>
      <c r="H485" s="2">
        <v>68</v>
      </c>
      <c r="I485" s="2">
        <f>VLOOKUP(A485,'[3]Calculated coal req (reg.)'!$A$2:$I$599,9,FALSE)</f>
        <v>0.49746657839654501</v>
      </c>
      <c r="J485" s="2"/>
      <c r="K485" s="11">
        <v>0.30482020735082416</v>
      </c>
      <c r="L485" s="3">
        <f>VLOOKUP(F485,'Target PLF'!$A$2:$B$11,2,FALSE)</f>
        <v>0.65</v>
      </c>
      <c r="M485" s="3">
        <f t="shared" si="371"/>
        <v>0.34517979264917587</v>
      </c>
      <c r="N485" s="2" t="str">
        <f t="shared" si="354"/>
        <v>0.25</v>
      </c>
      <c r="O485" s="2">
        <f t="shared" si="349"/>
        <v>7.3604045949383288</v>
      </c>
      <c r="P485" s="2">
        <f t="shared" si="355"/>
        <v>182685.24204636933</v>
      </c>
      <c r="Q485" s="2">
        <f t="shared" si="356"/>
        <v>14.945654604004107</v>
      </c>
      <c r="R485" s="2">
        <f t="shared" si="357"/>
        <v>1.0608</v>
      </c>
      <c r="S485" s="2"/>
      <c r="T485" s="2" t="str">
        <f>VLOOKUP(A485,'[4]CEA vs MERIT comp. &amp; NPA marker'!$C$2:$K$735,9,FALSE)</f>
        <v>Contracted</v>
      </c>
      <c r="U485" s="3">
        <f>VLOOKUP(B485,'[8]Import-Domestic share'!$A$208:$F$406,6,FALSE)</f>
        <v>0</v>
      </c>
      <c r="V485" s="3">
        <f t="shared" si="358"/>
        <v>0</v>
      </c>
      <c r="W485" s="2">
        <f t="shared" si="359"/>
        <v>3367.3550530537991</v>
      </c>
      <c r="X485" s="2">
        <f t="shared" si="360"/>
        <v>3481.4615513255881</v>
      </c>
      <c r="Y485" s="6">
        <f t="shared" si="361"/>
        <v>0.25539332397398368</v>
      </c>
      <c r="Z485" s="2"/>
      <c r="AA485" s="2">
        <f t="shared" si="362"/>
        <v>118833.86897789569</v>
      </c>
      <c r="AB485" s="2" t="s">
        <v>576</v>
      </c>
      <c r="AC485" s="12">
        <f>VLOOKUP(B485,[9]Sheet1!$A$2:$B$137,2,FALSE)</f>
        <v>5319.5897342946537</v>
      </c>
      <c r="AD485" s="12">
        <f t="shared" si="363"/>
        <v>361732.10193203646</v>
      </c>
      <c r="AE485" s="2"/>
      <c r="AF485" s="7">
        <f>VLOOKUP($B485,'[9]Subsidiary wise dispatch'!$A$3:$R$138,11,FALSE)*$H485*$O485*365</f>
        <v>59444.620377012616</v>
      </c>
      <c r="AG485" s="7">
        <f>VLOOKUP($B485,'[9]Subsidiary wise dispatch'!$A$3:$R$138,12,FALSE)*$H485*$O485*365</f>
        <v>0</v>
      </c>
      <c r="AH485" s="7">
        <f>VLOOKUP($B485,'[9]Subsidiary wise dispatch'!$A$3:$R$138,13,FALSE)*$H485*$O485*365</f>
        <v>123240.62166935671</v>
      </c>
      <c r="AI485" s="7">
        <f>VLOOKUP($B485,'[9]Subsidiary wise dispatch'!$A$3:$R$138,14,FALSE)*$H485*$O485*365</f>
        <v>0</v>
      </c>
      <c r="AJ485" s="7">
        <f>VLOOKUP($B485,'[9]Subsidiary wise dispatch'!$A$3:$R$138,15,FALSE)*$H485*$O485*365</f>
        <v>0</v>
      </c>
      <c r="AK485" s="7">
        <f>VLOOKUP($B485,'[9]Subsidiary wise dispatch'!$A$3:$R$138,16,FALSE)*$H485*$O485*365</f>
        <v>0</v>
      </c>
      <c r="AL485" s="7">
        <f>VLOOKUP($B485,'[9]Subsidiary wise dispatch'!$A$3:$R$138,17,FALSE)*$H485*$O485*365</f>
        <v>0</v>
      </c>
      <c r="AM485" s="7">
        <f>VLOOKUP($B485,'[9]Subsidiary wise dispatch'!$A$3:$R$138,18,FALSE)*$H485*$O485*365</f>
        <v>0</v>
      </c>
      <c r="AN485" s="15">
        <f t="shared" si="364"/>
        <v>182685.24204636933</v>
      </c>
      <c r="AO485" s="6">
        <v>9.2383897720522315E-2</v>
      </c>
      <c r="AP485" s="11">
        <f t="shared" si="365"/>
        <v>4.5957901497964609E-2</v>
      </c>
      <c r="AQ485" s="11"/>
      <c r="AR485" s="3"/>
      <c r="AS485" s="3">
        <f t="shared" si="372"/>
        <v>2.8945422449545757</v>
      </c>
      <c r="AT485" s="2"/>
      <c r="AU485" s="2"/>
      <c r="AV485" s="88">
        <f t="shared" si="373"/>
        <v>0.25295465564916908</v>
      </c>
      <c r="AW485" s="32">
        <f t="shared" si="374"/>
        <v>8.73902103484894E-2</v>
      </c>
      <c r="AX485" s="12">
        <f t="shared" si="366"/>
        <v>52.55773797169595</v>
      </c>
      <c r="AY485" s="12">
        <f t="shared" si="367"/>
        <v>0</v>
      </c>
      <c r="AZ485" s="3">
        <f>VLOOKUP(A485,[5]Analysis!$A$3:$BJ$543,62,FALSE)</f>
        <v>0.76442530537626219</v>
      </c>
      <c r="BA485" s="2"/>
      <c r="BB485" s="2"/>
      <c r="BC485" s="2" t="str">
        <f>VLOOKUP(A485,'[6]FGD status - Jun 2020'!$I$2:$M$449,5,FALSE)</f>
        <v>Feasibility Study completed</v>
      </c>
      <c r="BD485" s="2">
        <f>VLOOKUP(A485,'[1]daily coal, energy reqd'!$C$2:$L$599,10,FALSE)</f>
        <v>0</v>
      </c>
      <c r="BE485" s="2" t="str">
        <f>VLOOKUP(A485,'[1]daily coal, energy reqd'!$C$2:$M$599,11,FALSE)</f>
        <v>Y</v>
      </c>
      <c r="BF485" s="2">
        <f t="shared" si="368"/>
        <v>36.77908244865872</v>
      </c>
      <c r="BG485" s="2">
        <f t="shared" si="369"/>
        <v>0</v>
      </c>
      <c r="BH485" s="2">
        <f t="shared" si="389"/>
        <v>10.199999999999999</v>
      </c>
      <c r="BI485" s="2">
        <f t="shared" si="390"/>
        <v>5.44</v>
      </c>
      <c r="BK485">
        <f t="shared" si="370"/>
        <v>20.727774099856042</v>
      </c>
      <c r="BL485" t="str">
        <f>VLOOKUP(A485,'[11]Daily coal vs energy req.2'!$C$2:$P$599,14,FALSE)</f>
        <v/>
      </c>
      <c r="BM485" t="str">
        <f>VLOOKUP(A485,'[11]Daily coal vs energy req.2'!$C$2:$R$599,16,FALSE)</f>
        <v/>
      </c>
      <c r="BP485" s="2" t="str">
        <f>VLOOKUP(A485,'[7]Table 2'!$J$2:$N$449,5,FALSE)</f>
        <v>Feasibility Study completed</v>
      </c>
      <c r="BR485">
        <f t="shared" si="375"/>
        <v>48.322949183937318</v>
      </c>
      <c r="BT485">
        <f>(X485*I485*365*[5]Analysis!BK485)/10^4</f>
        <v>36.881030109400641</v>
      </c>
      <c r="BV485">
        <f>(X485*I485*365*[5]Analysis!BL485)/10^4</f>
        <v>11.441919074536687</v>
      </c>
      <c r="BX485">
        <f t="shared" si="376"/>
        <v>177520.85349009943</v>
      </c>
      <c r="BZ485">
        <f t="shared" si="377"/>
        <v>719020.23438121506</v>
      </c>
      <c r="CB485">
        <f t="shared" si="378"/>
        <v>-16353.082337413927</v>
      </c>
      <c r="CD485">
        <f t="shared" si="379"/>
        <v>-183587.25494440593</v>
      </c>
      <c r="CF485">
        <f t="shared" si="380"/>
        <v>324220.60893718863</v>
      </c>
      <c r="CH485">
        <f t="shared" si="381"/>
        <v>109612.22921139987</v>
      </c>
      <c r="CJ485">
        <f t="shared" si="382"/>
        <v>-20360.909080507874</v>
      </c>
      <c r="CL485">
        <f t="shared" si="383"/>
        <v>129925.00968241185</v>
      </c>
    </row>
    <row r="486" spans="1:90" x14ac:dyDescent="0.2">
      <c r="A486" s="2" t="s">
        <v>367</v>
      </c>
      <c r="B486" s="2" t="str">
        <f t="shared" si="386"/>
        <v>SURATGARH TPS</v>
      </c>
      <c r="C486" s="2" t="str">
        <f>VLOOKUP($A486,'[1]daily coal, energy reqd'!$C$2:$T$599,17,FALSE)</f>
        <v>Rajasthan</v>
      </c>
      <c r="D486" s="2" t="str">
        <f>VLOOKUP(C486,'Target PLF'!$I$2:$J$19,2,FALSE)</f>
        <v>NR</v>
      </c>
      <c r="E486" s="2" t="str">
        <f>VLOOKUP(A486,[2]Ownership!$C$2:$D$666,2,FALSE)</f>
        <v>STATE SECTOR</v>
      </c>
      <c r="F486" s="2" t="s">
        <v>546</v>
      </c>
      <c r="G486" s="12">
        <v>22.009582477754901</v>
      </c>
      <c r="H486" s="2">
        <v>250</v>
      </c>
      <c r="I486" s="2">
        <f>VLOOKUP(A486,'[3]Calculated coal req (reg.)'!$A$2:$I$599,9,FALSE)</f>
        <v>3.5111649163974001</v>
      </c>
      <c r="J486" s="2"/>
      <c r="K486" s="11">
        <v>0.58519415273289999</v>
      </c>
      <c r="L486" s="3">
        <f>VLOOKUP(F486,'Target PLF'!$A$2:$B$11,2,FALSE)</f>
        <v>0.7</v>
      </c>
      <c r="M486" s="3">
        <f t="shared" si="371"/>
        <v>0.11480584726709997</v>
      </c>
      <c r="N486" s="2" t="str">
        <f t="shared" si="354"/>
        <v>0.25</v>
      </c>
      <c r="O486" s="2">
        <f t="shared" si="349"/>
        <v>10.957823080201544</v>
      </c>
      <c r="P486" s="2">
        <f t="shared" si="355"/>
        <v>999901.35606839089</v>
      </c>
      <c r="Q486" s="2">
        <f t="shared" si="356"/>
        <v>14.642146274982885</v>
      </c>
      <c r="R486" s="2">
        <f t="shared" si="357"/>
        <v>4.2</v>
      </c>
      <c r="S486" s="2"/>
      <c r="T486" s="2" t="str">
        <f>VLOOKUP(A486,'[4]CEA vs MERIT comp. &amp; NPA marker'!$C$2:$K$735,9,FALSE)</f>
        <v>Contracted</v>
      </c>
      <c r="U486" s="3">
        <f>VLOOKUP(B486,'[8]Import-Domestic share'!$A$208:$F$406,6,FALSE)</f>
        <v>0</v>
      </c>
      <c r="V486" s="3">
        <f t="shared" si="358"/>
        <v>0</v>
      </c>
      <c r="W486" s="2">
        <f t="shared" si="359"/>
        <v>3123.141614275838</v>
      </c>
      <c r="X486" s="2">
        <f t="shared" si="360"/>
        <v>3161.0931209739401</v>
      </c>
      <c r="Y486" s="6">
        <f t="shared" si="361"/>
        <v>0.27536375426235932</v>
      </c>
      <c r="Z486" s="2"/>
      <c r="AA486" s="2">
        <f t="shared" si="362"/>
        <v>881317.88904893526</v>
      </c>
      <c r="AB486" s="2" t="s">
        <v>576</v>
      </c>
      <c r="AC486" s="12">
        <f>VLOOKUP(B486,[9]Sheet1!$A$2:$B$137,2,FALSE)</f>
        <v>4596.7279021980594</v>
      </c>
      <c r="AD486" s="12">
        <f t="shared" si="363"/>
        <v>1149181.9755495149</v>
      </c>
      <c r="AE486" s="2"/>
      <c r="AF486" s="7">
        <f>VLOOKUP($B486,'[9]Subsidiary wise dispatch'!$A$3:$R$138,11,FALSE)*$H486*$O486*365</f>
        <v>0</v>
      </c>
      <c r="AG486" s="7">
        <f>VLOOKUP($B486,'[9]Subsidiary wise dispatch'!$A$3:$R$138,12,FALSE)*$H486*$O486*365</f>
        <v>0</v>
      </c>
      <c r="AH486" s="7">
        <f>VLOOKUP($B486,'[9]Subsidiary wise dispatch'!$A$3:$R$138,13,FALSE)*$H486*$O486*365</f>
        <v>0</v>
      </c>
      <c r="AI486" s="7">
        <f>VLOOKUP($B486,'[9]Subsidiary wise dispatch'!$A$3:$R$138,14,FALSE)*$H486*$O486*365</f>
        <v>0</v>
      </c>
      <c r="AJ486" s="7">
        <f>VLOOKUP($B486,'[9]Subsidiary wise dispatch'!$A$3:$R$138,15,FALSE)*$H486*$O486*365</f>
        <v>278058.97102974768</v>
      </c>
      <c r="AK486" s="7">
        <f>VLOOKUP($B486,'[9]Subsidiary wise dispatch'!$A$3:$R$138,16,FALSE)*$H486*$O486*365</f>
        <v>0</v>
      </c>
      <c r="AL486" s="7">
        <f>VLOOKUP($B486,'[9]Subsidiary wise dispatch'!$A$3:$R$138,17,FALSE)*$H486*$O486*365</f>
        <v>721842.38503864326</v>
      </c>
      <c r="AM486" s="7">
        <f>VLOOKUP($B486,'[9]Subsidiary wise dispatch'!$A$3:$R$138,18,FALSE)*$H486*$O486*365</f>
        <v>0</v>
      </c>
      <c r="AN486" s="15">
        <f t="shared" si="364"/>
        <v>999901.35606839089</v>
      </c>
      <c r="AO486" s="6">
        <v>9.9196739166571735E-2</v>
      </c>
      <c r="AP486" s="11">
        <f t="shared" si="365"/>
        <v>0.34829611038269054</v>
      </c>
      <c r="AQ486" s="11"/>
      <c r="AR486" s="3">
        <f>VLOOKUP(A486,[10]Sheet1!$A$2:$L$542,12,FALSE)</f>
        <v>3.4982217343578399</v>
      </c>
      <c r="AS486" s="3">
        <f t="shared" si="372"/>
        <v>3.3290192721139991</v>
      </c>
      <c r="AT486" s="2"/>
      <c r="AU486" s="2"/>
      <c r="AV486" s="88">
        <f t="shared" si="373"/>
        <v>8.4132020994276205E-2</v>
      </c>
      <c r="AW486" s="32">
        <f t="shared" si="374"/>
        <v>2.527231419145572E-2</v>
      </c>
      <c r="AX486" s="12">
        <f t="shared" si="366"/>
        <v>426.63885211039815</v>
      </c>
      <c r="AY486" s="12">
        <f t="shared" si="367"/>
        <v>0</v>
      </c>
      <c r="AZ486" s="3">
        <f>VLOOKUP(A486,[5]Analysis!$A$3:$BJ$543,62,FALSE)</f>
        <v>1.0896718704015593</v>
      </c>
      <c r="BA486" s="2"/>
      <c r="BB486" s="2"/>
      <c r="BC486" s="2" t="str">
        <f>VLOOKUP(A486,'[6]FGD status - Jun 2020'!$I$2:$M$449,5,FALSE)</f>
        <v>Tender specification made</v>
      </c>
      <c r="BD486" s="2"/>
      <c r="BE486" s="2"/>
      <c r="BF486" s="2">
        <f t="shared" si="368"/>
        <v>272.7678866606455</v>
      </c>
      <c r="BG486" s="2">
        <f t="shared" si="369"/>
        <v>0</v>
      </c>
      <c r="BH486" s="2">
        <f t="shared" si="389"/>
        <v>37.5</v>
      </c>
      <c r="BI486" s="2">
        <f t="shared" si="390"/>
        <v>20</v>
      </c>
      <c r="BK486">
        <f t="shared" si="370"/>
        <v>146.29853818322499</v>
      </c>
      <c r="BL486">
        <f>VLOOKUP(A486,'[11]Daily coal vs energy req.2'!$C$2:$P$599,14,FALSE)</f>
        <v>1.04</v>
      </c>
      <c r="BM486">
        <f>VLOOKUP(A486,'[11]Daily coal vs energy req.2'!$C$2:$R$599,16,FALSE)</f>
        <v>1.0900000000000001</v>
      </c>
      <c r="BN486">
        <f t="shared" ref="BN486:BN491" si="391">BL486*H486</f>
        <v>260</v>
      </c>
      <c r="BO486">
        <f t="shared" ref="BO486:BO491" si="392">BM486*H486</f>
        <v>272.5</v>
      </c>
      <c r="BP486" s="2" t="str">
        <f>VLOOKUP(A486,'[7]Table 2'!$J$2:$N$449,5,FALSE)</f>
        <v>Tender specification made</v>
      </c>
      <c r="BR486">
        <f t="shared" si="375"/>
        <v>441.44552875296262</v>
      </c>
      <c r="BT486">
        <f>(X486*I486*365*[5]Analysis!BK486)/10^4</f>
        <v>158.46759536958797</v>
      </c>
      <c r="BV486">
        <f>(X486*I486*365*[5]Analysis!BL486)/10^4</f>
        <v>282.97793338337465</v>
      </c>
      <c r="BX486">
        <f t="shared" si="376"/>
        <v>1137659.7245424583</v>
      </c>
      <c r="BZ486">
        <f t="shared" si="377"/>
        <v>7234176.766735645</v>
      </c>
      <c r="CB486">
        <f t="shared" si="378"/>
        <v>-221586.4332935173</v>
      </c>
      <c r="CD486">
        <f t="shared" si="379"/>
        <v>0</v>
      </c>
      <c r="CF486">
        <f t="shared" si="380"/>
        <v>2288378.9116900489</v>
      </c>
      <c r="CH486">
        <f t="shared" si="381"/>
        <v>572214.38300350693</v>
      </c>
      <c r="CJ486">
        <f t="shared" si="382"/>
        <v>-528342.54079489887</v>
      </c>
      <c r="CL486">
        <f t="shared" si="383"/>
        <v>984648.42908072309</v>
      </c>
    </row>
    <row r="487" spans="1:90" x14ac:dyDescent="0.2">
      <c r="A487" s="2" t="s">
        <v>354</v>
      </c>
      <c r="B487" s="2" t="str">
        <f t="shared" si="386"/>
        <v>SURATGARH TPS</v>
      </c>
      <c r="C487" s="2" t="str">
        <f>VLOOKUP($A487,'[1]daily coal, energy reqd'!$C$2:$T$599,17,FALSE)</f>
        <v>Rajasthan</v>
      </c>
      <c r="D487" s="2" t="str">
        <f>VLOOKUP(C487,'Target PLF'!$I$2:$J$19,2,FALSE)</f>
        <v>NR</v>
      </c>
      <c r="E487" s="2" t="str">
        <f>VLOOKUP(A487,[2]Ownership!$C$2:$D$666,2,FALSE)</f>
        <v>STATE SECTOR</v>
      </c>
      <c r="F487" s="2" t="s">
        <v>546</v>
      </c>
      <c r="G487" s="12">
        <v>20.175222450376399</v>
      </c>
      <c r="H487" s="2">
        <v>250</v>
      </c>
      <c r="I487" s="2">
        <f>VLOOKUP(A487,'[3]Calculated coal req (reg.)'!$A$2:$I$599,9,FALSE)</f>
        <v>2.5446786116678499</v>
      </c>
      <c r="J487" s="2"/>
      <c r="K487" s="11">
        <v>0.42411310194464164</v>
      </c>
      <c r="L487" s="3">
        <f>VLOOKUP(F487,'Target PLF'!$A$2:$B$11,2,FALSE)</f>
        <v>0.7</v>
      </c>
      <c r="M487" s="3">
        <f t="shared" si="371"/>
        <v>0.27588689805535832</v>
      </c>
      <c r="N487" s="2" t="str">
        <f t="shared" si="354"/>
        <v>0.25</v>
      </c>
      <c r="O487" s="2">
        <f t="shared" si="349"/>
        <v>8.6585507424020545</v>
      </c>
      <c r="P487" s="2">
        <f t="shared" si="355"/>
        <v>790092.75524418743</v>
      </c>
      <c r="Q487" s="2">
        <f t="shared" si="356"/>
        <v>14.584042921115671</v>
      </c>
      <c r="R487" s="2">
        <f t="shared" si="357"/>
        <v>4.2</v>
      </c>
      <c r="S487" s="2"/>
      <c r="T487" s="2" t="str">
        <f>VLOOKUP(A487,'[4]CEA vs MERIT comp. &amp; NPA marker'!$C$2:$K$735,9,FALSE)</f>
        <v>Contracted</v>
      </c>
      <c r="U487" s="3">
        <f>VLOOKUP(B487,'[8]Import-Domestic share'!$A$208:$F$406,6,FALSE)</f>
        <v>0</v>
      </c>
      <c r="V487" s="3">
        <f t="shared" si="358"/>
        <v>0</v>
      </c>
      <c r="W487" s="2">
        <f t="shared" si="359"/>
        <v>3109.1261186153315</v>
      </c>
      <c r="X487" s="2">
        <f t="shared" si="360"/>
        <v>3200.3263815697692</v>
      </c>
      <c r="Y487" s="6">
        <f t="shared" si="361"/>
        <v>0.27660505466500868</v>
      </c>
      <c r="Z487" s="2"/>
      <c r="AA487" s="2">
        <f t="shared" si="362"/>
        <v>646652.97302448691</v>
      </c>
      <c r="AB487" s="2" t="s">
        <v>576</v>
      </c>
      <c r="AC487" s="12">
        <f>VLOOKUP(B487,[9]Sheet1!$A$2:$B$137,2,FALSE)</f>
        <v>4596.7279021980594</v>
      </c>
      <c r="AD487" s="12">
        <f t="shared" si="363"/>
        <v>1149181.9755495149</v>
      </c>
      <c r="AE487" s="2"/>
      <c r="AF487" s="7">
        <f>VLOOKUP($B487,'[9]Subsidiary wise dispatch'!$A$3:$R$138,11,FALSE)*$H487*$O487*365</f>
        <v>0</v>
      </c>
      <c r="AG487" s="7">
        <f>VLOOKUP($B487,'[9]Subsidiary wise dispatch'!$A$3:$R$138,12,FALSE)*$H487*$O487*365</f>
        <v>0</v>
      </c>
      <c r="AH487" s="7">
        <f>VLOOKUP($B487,'[9]Subsidiary wise dispatch'!$A$3:$R$138,13,FALSE)*$H487*$O487*365</f>
        <v>0</v>
      </c>
      <c r="AI487" s="7">
        <f>VLOOKUP($B487,'[9]Subsidiary wise dispatch'!$A$3:$R$138,14,FALSE)*$H487*$O487*365</f>
        <v>0</v>
      </c>
      <c r="AJ487" s="7">
        <f>VLOOKUP($B487,'[9]Subsidiary wise dispatch'!$A$3:$R$138,15,FALSE)*$H487*$O487*365</f>
        <v>219714.05199917601</v>
      </c>
      <c r="AK487" s="7">
        <f>VLOOKUP($B487,'[9]Subsidiary wise dispatch'!$A$3:$R$138,16,FALSE)*$H487*$O487*365</f>
        <v>0</v>
      </c>
      <c r="AL487" s="7">
        <f>VLOOKUP($B487,'[9]Subsidiary wise dispatch'!$A$3:$R$138,17,FALSE)*$H487*$O487*365</f>
        <v>570378.70324501151</v>
      </c>
      <c r="AM487" s="7">
        <f>VLOOKUP($B487,'[9]Subsidiary wise dispatch'!$A$3:$R$138,18,FALSE)*$H487*$O487*365</f>
        <v>0</v>
      </c>
      <c r="AN487" s="15">
        <f t="shared" si="364"/>
        <v>790092.75524418755</v>
      </c>
      <c r="AO487" s="6">
        <v>9.9196739166571735E-2</v>
      </c>
      <c r="AP487" s="11">
        <f t="shared" si="365"/>
        <v>0.25242382050436957</v>
      </c>
      <c r="AQ487" s="11"/>
      <c r="AR487" s="3">
        <f>VLOOKUP(A487,[10]Sheet1!$A$2:$L$542,12,FALSE)</f>
        <v>3.4982217343578399</v>
      </c>
      <c r="AS487" s="3">
        <f t="shared" si="372"/>
        <v>3.3194581625023476</v>
      </c>
      <c r="AT487" s="2"/>
      <c r="AU487" s="2"/>
      <c r="AV487" s="88">
        <f t="shared" si="373"/>
        <v>0.2021754366329277</v>
      </c>
      <c r="AW487" s="32">
        <f t="shared" si="374"/>
        <v>6.0906155985565827E-2</v>
      </c>
      <c r="AX487" s="12">
        <f t="shared" si="366"/>
        <v>308.31382787827846</v>
      </c>
      <c r="AY487" s="12">
        <f t="shared" si="367"/>
        <v>0</v>
      </c>
      <c r="AZ487" s="3">
        <f>VLOOKUP(A487,[5]Analysis!$A$3:$BJ$543,62,FALSE)</f>
        <v>1.0896718704015593</v>
      </c>
      <c r="BA487" s="2"/>
      <c r="BB487" s="2"/>
      <c r="BC487" s="2" t="str">
        <f>VLOOKUP(A487,'[6]FGD status - Jun 2020'!$I$2:$M$449,5,FALSE)</f>
        <v>Tender specification made</v>
      </c>
      <c r="BD487" s="2"/>
      <c r="BE487" s="2"/>
      <c r="BF487" s="2">
        <f t="shared" si="368"/>
        <v>200.13909515107869</v>
      </c>
      <c r="BG487" s="2">
        <f t="shared" si="369"/>
        <v>0</v>
      </c>
      <c r="BH487" s="2">
        <f t="shared" si="389"/>
        <v>37.5</v>
      </c>
      <c r="BI487" s="2">
        <f t="shared" si="390"/>
        <v>20</v>
      </c>
      <c r="BK487">
        <f t="shared" si="370"/>
        <v>106.02827548616041</v>
      </c>
      <c r="BL487">
        <f>VLOOKUP(A487,'[11]Daily coal vs energy req.2'!$C$2:$P$599,14,FALSE)</f>
        <v>0.93</v>
      </c>
      <c r="BM487">
        <f>VLOOKUP(A487,'[11]Daily coal vs energy req.2'!$C$2:$R$599,16,FALSE)</f>
        <v>1.04</v>
      </c>
      <c r="BN487">
        <f t="shared" si="391"/>
        <v>232.5</v>
      </c>
      <c r="BO487">
        <f t="shared" si="392"/>
        <v>260</v>
      </c>
      <c r="BP487" s="2" t="str">
        <f>VLOOKUP(A487,'[7]Table 2'!$J$2:$N$449,5,FALSE)</f>
        <v>Tender specification made</v>
      </c>
      <c r="BR487">
        <f t="shared" si="375"/>
        <v>323.903630169726</v>
      </c>
      <c r="BT487">
        <f>(X487*I487*365*[5]Analysis!BK487)/10^4</f>
        <v>116.27307575064509</v>
      </c>
      <c r="BV487">
        <f>(X487*I487*365*[5]Analysis!BL487)/10^4</f>
        <v>207.63055441908088</v>
      </c>
      <c r="BX487">
        <f t="shared" si="376"/>
        <v>834739.7145875378</v>
      </c>
      <c r="BZ487">
        <f t="shared" si="377"/>
        <v>5242890.9862270765</v>
      </c>
      <c r="CB487">
        <f t="shared" si="378"/>
        <v>-116387.56690854355</v>
      </c>
      <c r="CD487">
        <f t="shared" si="379"/>
        <v>0</v>
      </c>
      <c r="CF487">
        <f t="shared" si="380"/>
        <v>1658477.7447435455</v>
      </c>
      <c r="CH487">
        <f t="shared" si="381"/>
        <v>380143.00976459048</v>
      </c>
      <c r="CJ487">
        <f t="shared" si="382"/>
        <v>-382910.51409071981</v>
      </c>
      <c r="CL487">
        <f t="shared" si="383"/>
        <v>713613.24721395504</v>
      </c>
    </row>
    <row r="488" spans="1:90" x14ac:dyDescent="0.2">
      <c r="A488" s="2" t="s">
        <v>349</v>
      </c>
      <c r="B488" s="2" t="str">
        <f t="shared" ref="B488:B519" si="393">LEFT(A488,LEN(A488)-LEN(RIGHT(A488,1)))</f>
        <v>SURATGARH TPS</v>
      </c>
      <c r="C488" s="2" t="str">
        <f>VLOOKUP($A488,'[1]daily coal, energy reqd'!$C$2:$T$599,17,FALSE)</f>
        <v>Rajasthan</v>
      </c>
      <c r="D488" s="2" t="str">
        <f>VLOOKUP(C488,'Target PLF'!$I$2:$J$19,2,FALSE)</f>
        <v>NR</v>
      </c>
      <c r="E488" s="2" t="str">
        <f>VLOOKUP(A488,[2]Ownership!$C$2:$D$666,2,FALSE)</f>
        <v>STATE SECTOR</v>
      </c>
      <c r="F488" s="2" t="s">
        <v>545</v>
      </c>
      <c r="G488" s="12">
        <v>18.590006844626899</v>
      </c>
      <c r="H488" s="2">
        <v>250</v>
      </c>
      <c r="I488" s="2">
        <f>VLOOKUP(A488,'[3]Calculated coal req (reg.)'!$A$2:$I$599,9,FALSE)</f>
        <v>2.6861969447534202</v>
      </c>
      <c r="J488" s="2"/>
      <c r="K488" s="11">
        <v>0.4476994907922367</v>
      </c>
      <c r="L488" s="3">
        <f>VLOOKUP(F488,'Target PLF'!$A$2:$B$11,2,FALSE)</f>
        <v>0.75</v>
      </c>
      <c r="M488" s="3">
        <f t="shared" si="371"/>
        <v>0.3023005092077633</v>
      </c>
      <c r="N488" s="2" t="str">
        <f t="shared" si="354"/>
        <v>0.25</v>
      </c>
      <c r="O488" s="2">
        <f t="shared" si="349"/>
        <v>8.9365035420431838</v>
      </c>
      <c r="P488" s="2">
        <f t="shared" si="355"/>
        <v>815455.94821144047</v>
      </c>
      <c r="Q488" s="2">
        <f t="shared" si="356"/>
        <v>14.533831216803556</v>
      </c>
      <c r="R488" s="2">
        <f t="shared" si="357"/>
        <v>4.5</v>
      </c>
      <c r="S488" s="2"/>
      <c r="T488" s="2" t="str">
        <f>VLOOKUP(A488,'[4]CEA vs MERIT comp. &amp; NPA marker'!$C$2:$K$735,9,FALSE)</f>
        <v>Contracted</v>
      </c>
      <c r="U488" s="3">
        <f>VLOOKUP(B488,'[8]Import-Domestic share'!$A$208:$F$406,6,FALSE)</f>
        <v>0</v>
      </c>
      <c r="V488" s="3">
        <f t="shared" si="358"/>
        <v>0</v>
      </c>
      <c r="W488" s="2">
        <f t="shared" si="359"/>
        <v>3080.4856601266251</v>
      </c>
      <c r="X488" s="2">
        <f t="shared" si="360"/>
        <v>3180.4175022160462</v>
      </c>
      <c r="Y488" s="6">
        <f t="shared" si="361"/>
        <v>0.2791767581104887</v>
      </c>
      <c r="Z488" s="2"/>
      <c r="AA488" s="2">
        <f t="shared" si="362"/>
        <v>678369.09321821446</v>
      </c>
      <c r="AB488" s="2" t="s">
        <v>576</v>
      </c>
      <c r="AC488" s="12">
        <f>VLOOKUP(B488,[9]Sheet1!$A$2:$B$137,2,FALSE)</f>
        <v>4596.7279021980594</v>
      </c>
      <c r="AD488" s="12">
        <f t="shared" si="363"/>
        <v>1149181.9755495149</v>
      </c>
      <c r="AE488" s="2"/>
      <c r="AF488" s="7">
        <f>VLOOKUP($B488,'[9]Subsidiary wise dispatch'!$A$3:$R$138,11,FALSE)*$H488*$O488*365</f>
        <v>0</v>
      </c>
      <c r="AG488" s="7">
        <f>VLOOKUP($B488,'[9]Subsidiary wise dispatch'!$A$3:$R$138,12,FALSE)*$H488*$O488*365</f>
        <v>0</v>
      </c>
      <c r="AH488" s="7">
        <f>VLOOKUP($B488,'[9]Subsidiary wise dispatch'!$A$3:$R$138,13,FALSE)*$H488*$O488*365</f>
        <v>0</v>
      </c>
      <c r="AI488" s="7">
        <f>VLOOKUP($B488,'[9]Subsidiary wise dispatch'!$A$3:$R$138,14,FALSE)*$H488*$O488*365</f>
        <v>0</v>
      </c>
      <c r="AJ488" s="7">
        <f>VLOOKUP($B488,'[9]Subsidiary wise dispatch'!$A$3:$R$138,15,FALSE)*$H488*$O488*365</f>
        <v>226767.2110890222</v>
      </c>
      <c r="AK488" s="7">
        <f>VLOOKUP($B488,'[9]Subsidiary wise dispatch'!$A$3:$R$138,16,FALSE)*$H488*$O488*365</f>
        <v>0</v>
      </c>
      <c r="AL488" s="7">
        <f>VLOOKUP($B488,'[9]Subsidiary wise dispatch'!$A$3:$R$138,17,FALSE)*$H488*$O488*365</f>
        <v>588688.73712241836</v>
      </c>
      <c r="AM488" s="7">
        <f>VLOOKUP($B488,'[9]Subsidiary wise dispatch'!$A$3:$R$138,18,FALSE)*$H488*$O488*365</f>
        <v>0</v>
      </c>
      <c r="AN488" s="15">
        <f t="shared" si="364"/>
        <v>815455.94821144058</v>
      </c>
      <c r="AO488" s="6">
        <v>9.9196739166571735E-2</v>
      </c>
      <c r="AP488" s="11">
        <f t="shared" si="365"/>
        <v>0.26646197767874691</v>
      </c>
      <c r="AQ488" s="11"/>
      <c r="AR488" s="3">
        <f>VLOOKUP(A488,[10]Sheet1!$A$2:$L$542,12,FALSE)</f>
        <v>3.4982217343578399</v>
      </c>
      <c r="AS488" s="3">
        <f t="shared" si="372"/>
        <v>3.305679773415819</v>
      </c>
      <c r="AT488" s="2"/>
      <c r="AU488" s="2"/>
      <c r="AV488" s="88">
        <f t="shared" si="373"/>
        <v>0.2215318591576331</v>
      </c>
      <c r="AW488" s="32">
        <f t="shared" si="374"/>
        <v>6.7015523082176898E-2</v>
      </c>
      <c r="AX488" s="12">
        <f t="shared" si="366"/>
        <v>324.10930213042036</v>
      </c>
      <c r="AY488" s="12">
        <f t="shared" si="367"/>
        <v>0</v>
      </c>
      <c r="AZ488" s="3">
        <f>VLOOKUP(A488,[5]Analysis!$A$3:$BJ$543,62,FALSE)</f>
        <v>1.0896718704015593</v>
      </c>
      <c r="BA488" s="2"/>
      <c r="BB488" s="2"/>
      <c r="BC488" s="2" t="str">
        <f>VLOOKUP(A488,'[6]FGD status - Jun 2020'!$I$2:$M$449,5,FALSE)</f>
        <v>Tender specification made</v>
      </c>
      <c r="BD488" s="2"/>
      <c r="BE488" s="2"/>
      <c r="BF488" s="2">
        <f t="shared" si="368"/>
        <v>209.95523435103738</v>
      </c>
      <c r="BG488" s="2">
        <f t="shared" si="369"/>
        <v>0</v>
      </c>
      <c r="BH488" s="2">
        <f t="shared" si="389"/>
        <v>37.5</v>
      </c>
      <c r="BI488" s="2">
        <f t="shared" si="390"/>
        <v>20</v>
      </c>
      <c r="BK488">
        <f t="shared" si="370"/>
        <v>111.92487269805918</v>
      </c>
      <c r="BL488">
        <f>VLOOKUP(A488,'[11]Daily coal vs energy req.2'!$C$2:$P$599,14,FALSE)</f>
        <v>0.88</v>
      </c>
      <c r="BM488">
        <f>VLOOKUP(A488,'[11]Daily coal vs energy req.2'!$C$2:$R$599,16,FALSE)</f>
        <v>0.96</v>
      </c>
      <c r="BN488">
        <f t="shared" si="391"/>
        <v>220</v>
      </c>
      <c r="BO488">
        <f t="shared" si="392"/>
        <v>240</v>
      </c>
      <c r="BP488" s="2" t="str">
        <f>VLOOKUP(A488,'[7]Table 2'!$J$2:$N$449,5,FALSE)</f>
        <v>Tender specification made</v>
      </c>
      <c r="BR488">
        <f t="shared" si="375"/>
        <v>339.78999719221031</v>
      </c>
      <c r="BT488">
        <f>(X488*I488*365*[5]Analysis!BK488)/10^4</f>
        <v>121.97587307724484</v>
      </c>
      <c r="BV488">
        <f>(X488*I488*365*[5]Analysis!BL488)/10^4</f>
        <v>217.81412411496547</v>
      </c>
      <c r="BX488">
        <f t="shared" si="376"/>
        <v>875680.84719303739</v>
      </c>
      <c r="BZ488">
        <f t="shared" si="377"/>
        <v>5534466.1932171313</v>
      </c>
      <c r="CB488">
        <f t="shared" si="378"/>
        <v>-129692.96285436655</v>
      </c>
      <c r="CD488">
        <f t="shared" si="379"/>
        <v>0</v>
      </c>
      <c r="CF488">
        <f t="shared" si="380"/>
        <v>1750711.3984629009</v>
      </c>
      <c r="CH488">
        <f t="shared" si="381"/>
        <v>369754.2188466168</v>
      </c>
      <c r="CJ488">
        <f t="shared" si="382"/>
        <v>-404205.48526177095</v>
      </c>
      <c r="CL488">
        <f t="shared" si="383"/>
        <v>753299.73522483534</v>
      </c>
    </row>
    <row r="489" spans="1:90" x14ac:dyDescent="0.2">
      <c r="A489" s="2" t="s">
        <v>347</v>
      </c>
      <c r="B489" s="2" t="str">
        <f t="shared" si="393"/>
        <v>SURATGARH TPS</v>
      </c>
      <c r="C489" s="2" t="str">
        <f>VLOOKUP($A489,'[1]daily coal, energy reqd'!$C$2:$T$599,17,FALSE)</f>
        <v>Rajasthan</v>
      </c>
      <c r="D489" s="2" t="str">
        <f>VLOOKUP(C489,'Target PLF'!$I$2:$J$19,2,FALSE)</f>
        <v>NR</v>
      </c>
      <c r="E489" s="2" t="str">
        <f>VLOOKUP(A489,[2]Ownership!$C$2:$D$666,2,FALSE)</f>
        <v>STATE SECTOR</v>
      </c>
      <c r="F489" s="2" t="s">
        <v>545</v>
      </c>
      <c r="G489" s="12">
        <v>18.176591375769998</v>
      </c>
      <c r="H489" s="2">
        <v>250</v>
      </c>
      <c r="I489" s="2">
        <f>VLOOKUP(A489,'[3]Calculated coal req (reg.)'!$A$2:$I$599,9,FALSE)</f>
        <v>3.0317122229284701</v>
      </c>
      <c r="J489" s="2"/>
      <c r="K489" s="11">
        <v>0.50528537048807831</v>
      </c>
      <c r="L489" s="3">
        <f>VLOOKUP(F489,'Target PLF'!$A$2:$B$11,2,FALSE)</f>
        <v>0.75</v>
      </c>
      <c r="M489" s="3">
        <f t="shared" si="371"/>
        <v>0.24471462951192169</v>
      </c>
      <c r="N489" s="2" t="str">
        <f t="shared" si="354"/>
        <v>0.25</v>
      </c>
      <c r="O489" s="2">
        <f t="shared" si="349"/>
        <v>9.7246182270392936</v>
      </c>
      <c r="P489" s="2">
        <f t="shared" si="355"/>
        <v>887371.41321733547</v>
      </c>
      <c r="Q489" s="2">
        <f t="shared" si="356"/>
        <v>14.520736281827514</v>
      </c>
      <c r="R489" s="2">
        <f t="shared" si="357"/>
        <v>4.5</v>
      </c>
      <c r="S489" s="2"/>
      <c r="T489" s="2" t="str">
        <f>VLOOKUP(A489,'[4]CEA vs MERIT comp. &amp; NPA marker'!$C$2:$K$735,9,FALSE)</f>
        <v>Contracted</v>
      </c>
      <c r="U489" s="3">
        <f>VLOOKUP(B489,'[8]Import-Domestic share'!$A$208:$F$406,6,FALSE)</f>
        <v>0</v>
      </c>
      <c r="V489" s="3">
        <f t="shared" si="358"/>
        <v>0</v>
      </c>
      <c r="W489" s="2">
        <f t="shared" si="359"/>
        <v>3077.3269439404517</v>
      </c>
      <c r="X489" s="2">
        <f t="shared" si="360"/>
        <v>3158.2225526757629</v>
      </c>
      <c r="Y489" s="6">
        <f t="shared" si="361"/>
        <v>0.27946331854449896</v>
      </c>
      <c r="Z489" s="2"/>
      <c r="AA489" s="2">
        <f t="shared" si="362"/>
        <v>760282.11231524043</v>
      </c>
      <c r="AB489" s="2" t="s">
        <v>576</v>
      </c>
      <c r="AC489" s="12">
        <f>VLOOKUP(B489,[9]Sheet1!$A$2:$B$137,2,FALSE)</f>
        <v>4596.7279021980594</v>
      </c>
      <c r="AD489" s="12">
        <f t="shared" si="363"/>
        <v>1149181.9755495149</v>
      </c>
      <c r="AE489" s="2"/>
      <c r="AF489" s="7">
        <f>VLOOKUP($B489,'[9]Subsidiary wise dispatch'!$A$3:$R$138,11,FALSE)*$H489*$O489*365</f>
        <v>0</v>
      </c>
      <c r="AG489" s="7">
        <f>VLOOKUP($B489,'[9]Subsidiary wise dispatch'!$A$3:$R$138,12,FALSE)*$H489*$O489*365</f>
        <v>0</v>
      </c>
      <c r="AH489" s="7">
        <f>VLOOKUP($B489,'[9]Subsidiary wise dispatch'!$A$3:$R$138,13,FALSE)*$H489*$O489*365</f>
        <v>0</v>
      </c>
      <c r="AI489" s="7">
        <f>VLOOKUP($B489,'[9]Subsidiary wise dispatch'!$A$3:$R$138,14,FALSE)*$H489*$O489*365</f>
        <v>0</v>
      </c>
      <c r="AJ489" s="7">
        <f>VLOOKUP($B489,'[9]Subsidiary wise dispatch'!$A$3:$R$138,15,FALSE)*$H489*$O489*365</f>
        <v>246765.92404135995</v>
      </c>
      <c r="AK489" s="7">
        <f>VLOOKUP($B489,'[9]Subsidiary wise dispatch'!$A$3:$R$138,16,FALSE)*$H489*$O489*365</f>
        <v>0</v>
      </c>
      <c r="AL489" s="7">
        <f>VLOOKUP($B489,'[9]Subsidiary wise dispatch'!$A$3:$R$138,17,FALSE)*$H489*$O489*365</f>
        <v>640605.48917597567</v>
      </c>
      <c r="AM489" s="7">
        <f>VLOOKUP($B489,'[9]Subsidiary wise dispatch'!$A$3:$R$138,18,FALSE)*$H489*$O489*365</f>
        <v>0</v>
      </c>
      <c r="AN489" s="15">
        <f t="shared" si="364"/>
        <v>887371.41321733559</v>
      </c>
      <c r="AO489" s="6">
        <v>9.9196739166571735E-2</v>
      </c>
      <c r="AP489" s="11">
        <f t="shared" si="365"/>
        <v>0.30073596660594282</v>
      </c>
      <c r="AQ489" s="11"/>
      <c r="AR489" s="3">
        <f>VLOOKUP(A489,[10]Sheet1!$A$2:$L$542,12,FALSE)</f>
        <v>3.4982217343578399</v>
      </c>
      <c r="AS489" s="3">
        <f t="shared" si="372"/>
        <v>3.3003436562487884</v>
      </c>
      <c r="AT489" s="2"/>
      <c r="AU489" s="2"/>
      <c r="AV489" s="88">
        <f t="shared" si="373"/>
        <v>0.17933177479892645</v>
      </c>
      <c r="AW489" s="32">
        <f t="shared" si="374"/>
        <v>5.4337303468196152E-2</v>
      </c>
      <c r="AX489" s="12">
        <f t="shared" si="366"/>
        <v>365.20776539175688</v>
      </c>
      <c r="AY489" s="12">
        <f t="shared" si="367"/>
        <v>0</v>
      </c>
      <c r="AZ489" s="3">
        <f>VLOOKUP(A489,[5]Analysis!$A$3:$BJ$543,62,FALSE)</f>
        <v>1.0896718704015593</v>
      </c>
      <c r="BA489" s="2"/>
      <c r="BB489" s="2"/>
      <c r="BC489" s="2" t="str">
        <f>VLOOKUP(A489,'[6]FGD status - Jun 2020'!$I$2:$M$449,5,FALSE)</f>
        <v>Tender specification made</v>
      </c>
      <c r="BD489" s="2"/>
      <c r="BE489" s="2"/>
      <c r="BF489" s="2">
        <f t="shared" si="368"/>
        <v>235.30731376156692</v>
      </c>
      <c r="BG489" s="2">
        <f t="shared" si="369"/>
        <v>0</v>
      </c>
      <c r="BH489" s="2">
        <f t="shared" si="389"/>
        <v>37.5</v>
      </c>
      <c r="BI489" s="2">
        <f t="shared" si="390"/>
        <v>20</v>
      </c>
      <c r="BK489">
        <f t="shared" si="370"/>
        <v>126.32134262201957</v>
      </c>
      <c r="BL489">
        <f>VLOOKUP(A489,'[11]Daily coal vs energy req.2'!$C$2:$P$599,14,FALSE)</f>
        <v>1.01</v>
      </c>
      <c r="BM489">
        <f>VLOOKUP(A489,'[11]Daily coal vs energy req.2'!$C$2:$R$599,16,FALSE)</f>
        <v>1.01</v>
      </c>
      <c r="BN489">
        <f t="shared" si="391"/>
        <v>252.5</v>
      </c>
      <c r="BO489">
        <f t="shared" si="392"/>
        <v>252.5</v>
      </c>
      <c r="BP489" s="2" t="str">
        <f>VLOOKUP(A489,'[7]Table 2'!$J$2:$N$449,5,FALSE)</f>
        <v>Tender specification made</v>
      </c>
      <c r="BR489">
        <f t="shared" si="375"/>
        <v>380.81961485498124</v>
      </c>
      <c r="BT489">
        <f>(X489*I489*365*[5]Analysis!BK489)/10^4</f>
        <v>136.70445095710232</v>
      </c>
      <c r="BV489">
        <f>(X489*I489*365*[5]Analysis!BL489)/10^4</f>
        <v>244.11516389787886</v>
      </c>
      <c r="BX489">
        <f t="shared" si="376"/>
        <v>981419.24635673512</v>
      </c>
      <c r="BZ489">
        <f t="shared" si="377"/>
        <v>6246343.4924727753</v>
      </c>
      <c r="CB489">
        <f t="shared" si="378"/>
        <v>-165202.51691386715</v>
      </c>
      <c r="CD489">
        <f t="shared" si="379"/>
        <v>0</v>
      </c>
      <c r="CF489">
        <f t="shared" si="380"/>
        <v>1975898.7351641816</v>
      </c>
      <c r="CH489">
        <f t="shared" si="381"/>
        <v>408033.81528782903</v>
      </c>
      <c r="CJ489">
        <f t="shared" si="382"/>
        <v>-456196.89674516162</v>
      </c>
      <c r="CL489">
        <f t="shared" si="383"/>
        <v>850193.80997753097</v>
      </c>
    </row>
    <row r="490" spans="1:90" x14ac:dyDescent="0.2">
      <c r="A490" s="2" t="s">
        <v>332</v>
      </c>
      <c r="B490" s="2" t="str">
        <f t="shared" si="393"/>
        <v>SURATGARH TPS</v>
      </c>
      <c r="C490" s="2" t="str">
        <f>VLOOKUP($A490,'[1]daily coal, energy reqd'!$C$2:$T$599,17,FALSE)</f>
        <v>Rajasthan</v>
      </c>
      <c r="D490" s="2" t="str">
        <f>VLOOKUP(C490,'Target PLF'!$I$2:$J$19,2,FALSE)</f>
        <v>NR</v>
      </c>
      <c r="E490" s="2" t="str">
        <f>VLOOKUP(A490,[2]Ownership!$C$2:$D$666,2,FALSE)</f>
        <v>STATE SECTOR</v>
      </c>
      <c r="F490" s="2" t="s">
        <v>545</v>
      </c>
      <c r="G490" s="12">
        <v>16.925393566050602</v>
      </c>
      <c r="H490" s="2">
        <v>250</v>
      </c>
      <c r="I490" s="2">
        <f>VLOOKUP(A490,'[3]Calculated coal req (reg.)'!$A$2:$I$599,9,FALSE)</f>
        <v>2.83154932941363</v>
      </c>
      <c r="J490" s="2"/>
      <c r="K490" s="11">
        <v>0.47192488823560497</v>
      </c>
      <c r="L490" s="3">
        <f>VLOOKUP(F490,'Target PLF'!$A$2:$B$11,2,FALSE)</f>
        <v>0.75</v>
      </c>
      <c r="M490" s="3">
        <f t="shared" si="371"/>
        <v>0.27807511176439503</v>
      </c>
      <c r="N490" s="2" t="str">
        <f t="shared" si="354"/>
        <v>0.25</v>
      </c>
      <c r="O490" s="2">
        <f t="shared" si="349"/>
        <v>9.220832138693094</v>
      </c>
      <c r="P490" s="2">
        <f t="shared" si="355"/>
        <v>841400.93265574495</v>
      </c>
      <c r="Q490" s="2">
        <f t="shared" si="356"/>
        <v>14.481104591204652</v>
      </c>
      <c r="R490" s="2">
        <f t="shared" si="357"/>
        <v>4.5</v>
      </c>
      <c r="S490" s="2"/>
      <c r="T490" s="2" t="str">
        <f>VLOOKUP(A490,'[4]CEA vs MERIT comp. &amp; NPA marker'!$C$2:$K$735,9,FALSE)</f>
        <v>Contracted</v>
      </c>
      <c r="U490" s="3">
        <f>VLOOKUP(B490,'[8]Import-Domestic share'!$A$208:$F$406,6,FALSE)</f>
        <v>0</v>
      </c>
      <c r="V490" s="3">
        <f t="shared" si="358"/>
        <v>0</v>
      </c>
      <c r="W490" s="2">
        <f t="shared" si="359"/>
        <v>3067.7671207809717</v>
      </c>
      <c r="X490" s="2">
        <f t="shared" si="360"/>
        <v>3159.6907441670619</v>
      </c>
      <c r="Y490" s="6">
        <f t="shared" si="361"/>
        <v>0.28033418644276586</v>
      </c>
      <c r="Z490" s="2"/>
      <c r="AA490" s="2">
        <f t="shared" si="362"/>
        <v>710416.07102428621</v>
      </c>
      <c r="AB490" s="2" t="s">
        <v>576</v>
      </c>
      <c r="AC490" s="12">
        <f>VLOOKUP(B490,[9]Sheet1!$A$2:$B$137,2,FALSE)</f>
        <v>4596.7279021980594</v>
      </c>
      <c r="AD490" s="12">
        <f t="shared" si="363"/>
        <v>1149181.9755495149</v>
      </c>
      <c r="AE490" s="2"/>
      <c r="AF490" s="7">
        <f>VLOOKUP($B490,'[9]Subsidiary wise dispatch'!$A$3:$R$138,11,FALSE)*$H490*$O490*365</f>
        <v>0</v>
      </c>
      <c r="AG490" s="7">
        <f>VLOOKUP($B490,'[9]Subsidiary wise dispatch'!$A$3:$R$138,12,FALSE)*$H490*$O490*365</f>
        <v>0</v>
      </c>
      <c r="AH490" s="7">
        <f>VLOOKUP($B490,'[9]Subsidiary wise dispatch'!$A$3:$R$138,13,FALSE)*$H490*$O490*365</f>
        <v>0</v>
      </c>
      <c r="AI490" s="7">
        <f>VLOOKUP($B490,'[9]Subsidiary wise dispatch'!$A$3:$R$138,14,FALSE)*$H490*$O490*365</f>
        <v>0</v>
      </c>
      <c r="AJ490" s="7">
        <f>VLOOKUP($B490,'[9]Subsidiary wise dispatch'!$A$3:$R$138,15,FALSE)*$H490*$O490*365</f>
        <v>233982.15847776507</v>
      </c>
      <c r="AK490" s="7">
        <f>VLOOKUP($B490,'[9]Subsidiary wise dispatch'!$A$3:$R$138,16,FALSE)*$H490*$O490*365</f>
        <v>0</v>
      </c>
      <c r="AL490" s="7">
        <f>VLOOKUP($B490,'[9]Subsidiary wise dispatch'!$A$3:$R$138,17,FALSE)*$H490*$O490*365</f>
        <v>607418.77417797979</v>
      </c>
      <c r="AM490" s="7">
        <f>VLOOKUP($B490,'[9]Subsidiary wise dispatch'!$A$3:$R$138,18,FALSE)*$H490*$O490*365</f>
        <v>0</v>
      </c>
      <c r="AN490" s="15">
        <f t="shared" si="364"/>
        <v>841400.93265574484</v>
      </c>
      <c r="AO490" s="6">
        <v>9.9196739166571735E-2</v>
      </c>
      <c r="AP490" s="11">
        <f t="shared" si="365"/>
        <v>0.28088046026712499</v>
      </c>
      <c r="AQ490" s="11"/>
      <c r="AR490" s="3">
        <f>VLOOKUP(A490,[10]Sheet1!$A$2:$L$542,12,FALSE)</f>
        <v>3.4982217343578399</v>
      </c>
      <c r="AS490" s="3">
        <f t="shared" si="372"/>
        <v>3.2912296516945796</v>
      </c>
      <c r="AT490" s="2"/>
      <c r="AU490" s="2"/>
      <c r="AV490" s="88">
        <f t="shared" si="373"/>
        <v>0.20377900340318397</v>
      </c>
      <c r="AW490" s="32">
        <f t="shared" si="374"/>
        <v>6.1915765524980237E-2</v>
      </c>
      <c r="AX490" s="12">
        <f t="shared" si="366"/>
        <v>340.1536876318745</v>
      </c>
      <c r="AY490" s="12">
        <f t="shared" si="367"/>
        <v>0</v>
      </c>
      <c r="AZ490" s="3">
        <f>VLOOKUP(A490,[5]Analysis!$A$3:$BJ$543,62,FALSE)</f>
        <v>1.0896718704015593</v>
      </c>
      <c r="BA490" s="2"/>
      <c r="BB490" s="2"/>
      <c r="BC490" s="2" t="str">
        <f>VLOOKUP(A490,'[6]FGD status - Jun 2020'!$I$2:$M$449,5,FALSE)</f>
        <v>Tender specification made</v>
      </c>
      <c r="BD490" s="2"/>
      <c r="BE490" s="2"/>
      <c r="BF490" s="2">
        <f t="shared" si="368"/>
        <v>219.87377398201656</v>
      </c>
      <c r="BG490" s="2">
        <f t="shared" si="369"/>
        <v>0</v>
      </c>
      <c r="BH490" s="2">
        <f t="shared" si="389"/>
        <v>87.5</v>
      </c>
      <c r="BI490" s="2">
        <f t="shared" si="390"/>
        <v>20</v>
      </c>
      <c r="BK490">
        <f t="shared" si="370"/>
        <v>117.98122205890124</v>
      </c>
      <c r="BL490">
        <f>VLOOKUP(A490,'[11]Daily coal vs energy req.2'!$C$2:$P$599,14,FALSE)</f>
        <v>1.1200000000000001</v>
      </c>
      <c r="BM490">
        <f>VLOOKUP(A490,'[11]Daily coal vs energy req.2'!$C$2:$R$599,16,FALSE)</f>
        <v>1.1200000000000001</v>
      </c>
      <c r="BN490">
        <f t="shared" si="391"/>
        <v>280</v>
      </c>
      <c r="BO490">
        <f t="shared" si="392"/>
        <v>280</v>
      </c>
      <c r="BP490" s="2" t="str">
        <f>VLOOKUP(A490,'[7]Table 2'!$J$2:$N$449,5,FALSE)</f>
        <v>Tender specification made</v>
      </c>
      <c r="BR490">
        <f t="shared" si="375"/>
        <v>355.8420883142939</v>
      </c>
      <c r="BT490">
        <f>(X490*I490*365*[5]Analysis!BK490)/10^4</f>
        <v>127.73816109487612</v>
      </c>
      <c r="BV490">
        <f>(X490*I490*365*[5]Analysis!BL490)/10^4</f>
        <v>228.10392721941778</v>
      </c>
      <c r="BX490">
        <f t="shared" si="376"/>
        <v>917049.07129957143</v>
      </c>
      <c r="BZ490">
        <f t="shared" si="377"/>
        <v>5833940.8317303797</v>
      </c>
      <c r="CB490">
        <f t="shared" si="378"/>
        <v>-144108.29314792171</v>
      </c>
      <c r="CD490">
        <f t="shared" si="379"/>
        <v>0</v>
      </c>
      <c r="CF490">
        <f t="shared" si="380"/>
        <v>1845443.8703746924</v>
      </c>
      <c r="CH490">
        <f t="shared" si="381"/>
        <v>354861.30522550043</v>
      </c>
      <c r="CJ490">
        <f t="shared" si="382"/>
        <v>-426077.38534351601</v>
      </c>
      <c r="CL490">
        <f t="shared" si="383"/>
        <v>794061.41991541407</v>
      </c>
    </row>
    <row r="491" spans="1:90" x14ac:dyDescent="0.2">
      <c r="A491" s="2" t="s">
        <v>281</v>
      </c>
      <c r="B491" s="2" t="str">
        <f t="shared" si="393"/>
        <v>SURATGARH TPS</v>
      </c>
      <c r="C491" s="2" t="str">
        <f>VLOOKUP($A491,'[1]daily coal, energy reqd'!$C$2:$T$599,17,FALSE)</f>
        <v>Rajasthan</v>
      </c>
      <c r="D491" s="2" t="str">
        <f>VLOOKUP(C491,'Target PLF'!$I$2:$J$19,2,FALSE)</f>
        <v>NR</v>
      </c>
      <c r="E491" s="2" t="str">
        <f>VLOOKUP(A491,[2]Ownership!$C$2:$D$666,2,FALSE)</f>
        <v>STATE SECTOR</v>
      </c>
      <c r="F491" s="2" t="s">
        <v>544</v>
      </c>
      <c r="G491" s="12">
        <v>10.757015742642</v>
      </c>
      <c r="H491" s="2">
        <v>250</v>
      </c>
      <c r="I491" s="2">
        <f>VLOOKUP(A491,'[3]Calculated coal req (reg.)'!$A$2:$I$599,9,FALSE)</f>
        <v>2.380507619321</v>
      </c>
      <c r="J491" s="2"/>
      <c r="K491" s="11">
        <v>0.39675126988683329</v>
      </c>
      <c r="L491" s="3">
        <f>VLOOKUP(F491,'Target PLF'!$A$2:$B$11,2,FALSE)</f>
        <v>0.8</v>
      </c>
      <c r="M491" s="3">
        <f t="shared" si="371"/>
        <v>0.40324873011316675</v>
      </c>
      <c r="N491" s="2" t="str">
        <f t="shared" si="354"/>
        <v>0.15</v>
      </c>
      <c r="O491" s="2">
        <f t="shared" si="349"/>
        <v>8.0084453669646631</v>
      </c>
      <c r="P491" s="2">
        <f t="shared" si="355"/>
        <v>730770.63973552547</v>
      </c>
      <c r="Q491" s="2">
        <f t="shared" si="356"/>
        <v>14.314630923648185</v>
      </c>
      <c r="R491" s="2">
        <f t="shared" si="357"/>
        <v>4.8</v>
      </c>
      <c r="S491" s="2"/>
      <c r="T491" s="2" t="str">
        <f>VLOOKUP(A491,'[4]CEA vs MERIT comp. &amp; NPA marker'!$C$2:$K$735,9,FALSE)</f>
        <v>Contracted</v>
      </c>
      <c r="U491" s="3">
        <f>VLOOKUP(B491,'[8]Import-Domestic share'!$A$208:$F$406,6,FALSE)</f>
        <v>0</v>
      </c>
      <c r="V491" s="3">
        <f t="shared" si="358"/>
        <v>0</v>
      </c>
      <c r="W491" s="2">
        <f t="shared" si="359"/>
        <v>3004.1088417912388</v>
      </c>
      <c r="X491" s="2">
        <f t="shared" si="360"/>
        <v>3137.4112584032246</v>
      </c>
      <c r="Y491" s="6">
        <f t="shared" si="361"/>
        <v>0.28627458101258868</v>
      </c>
      <c r="Z491" s="2"/>
      <c r="AA491" s="2">
        <f t="shared" si="362"/>
        <v>593041.51149133092</v>
      </c>
      <c r="AB491" s="2" t="s">
        <v>576</v>
      </c>
      <c r="AC491" s="12">
        <f>VLOOKUP(B491,[9]Sheet1!$A$2:$B$137,2,FALSE)</f>
        <v>4596.7279021980594</v>
      </c>
      <c r="AD491" s="12">
        <f t="shared" si="363"/>
        <v>1149181.9755495149</v>
      </c>
      <c r="AE491" s="2"/>
      <c r="AF491" s="7">
        <f>VLOOKUP($B491,'[9]Subsidiary wise dispatch'!$A$3:$R$138,11,FALSE)*$H491*$O491*365</f>
        <v>0</v>
      </c>
      <c r="AG491" s="7">
        <f>VLOOKUP($B491,'[9]Subsidiary wise dispatch'!$A$3:$R$138,12,FALSE)*$H491*$O491*365</f>
        <v>0</v>
      </c>
      <c r="AH491" s="7">
        <f>VLOOKUP($B491,'[9]Subsidiary wise dispatch'!$A$3:$R$138,13,FALSE)*$H491*$O491*365</f>
        <v>0</v>
      </c>
      <c r="AI491" s="7">
        <f>VLOOKUP($B491,'[9]Subsidiary wise dispatch'!$A$3:$R$138,14,FALSE)*$H491*$O491*365</f>
        <v>0</v>
      </c>
      <c r="AJ491" s="7">
        <f>VLOOKUP($B491,'[9]Subsidiary wise dispatch'!$A$3:$R$138,15,FALSE)*$H491*$O491*365</f>
        <v>203217.37830477796</v>
      </c>
      <c r="AK491" s="7">
        <f>VLOOKUP($B491,'[9]Subsidiary wise dispatch'!$A$3:$R$138,16,FALSE)*$H491*$O491*365</f>
        <v>0</v>
      </c>
      <c r="AL491" s="7">
        <f>VLOOKUP($B491,'[9]Subsidiary wise dispatch'!$A$3:$R$138,17,FALSE)*$H491*$O491*365</f>
        <v>527553.26143074769</v>
      </c>
      <c r="AM491" s="7">
        <f>VLOOKUP($B491,'[9]Subsidiary wise dispatch'!$A$3:$R$138,18,FALSE)*$H491*$O491*365</f>
        <v>0</v>
      </c>
      <c r="AN491" s="15">
        <f t="shared" si="364"/>
        <v>730770.63973552571</v>
      </c>
      <c r="AO491" s="6">
        <v>9.9196739166571735E-2</v>
      </c>
      <c r="AP491" s="11">
        <f t="shared" si="365"/>
        <v>0.23613859339782187</v>
      </c>
      <c r="AQ491" s="11"/>
      <c r="AR491" s="3">
        <f>VLOOKUP(A491,[10]Sheet1!$A$2:$L$542,12,FALSE)</f>
        <v>3.4982217343578399</v>
      </c>
      <c r="AS491" s="3">
        <f t="shared" si="372"/>
        <v>3.2432722508103575</v>
      </c>
      <c r="AT491" s="2"/>
      <c r="AU491" s="2"/>
      <c r="AV491" s="88">
        <f t="shared" si="373"/>
        <v>0.29550873440153086</v>
      </c>
      <c r="AW491" s="32">
        <f t="shared" si="374"/>
        <v>9.1114378180152972E-2</v>
      </c>
      <c r="AX491" s="12">
        <f t="shared" si="366"/>
        <v>281.80315211740452</v>
      </c>
      <c r="AY491" s="12">
        <f t="shared" si="367"/>
        <v>0</v>
      </c>
      <c r="AZ491" s="3">
        <f>VLOOKUP(A491,[5]Analysis!$A$3:$BJ$543,62,FALSE)</f>
        <v>1.0896718704015593</v>
      </c>
      <c r="BA491" s="2"/>
      <c r="BB491" s="2"/>
      <c r="BC491" s="2" t="str">
        <f>VLOOKUP(A491,'[6]FGD status - Jun 2020'!$I$2:$M$449,5,FALSE)</f>
        <v>Tender specification made</v>
      </c>
      <c r="BD491" s="2"/>
      <c r="BE491" s="2"/>
      <c r="BF491" s="2">
        <f t="shared" si="368"/>
        <v>183.54634780656693</v>
      </c>
      <c r="BG491" s="2">
        <f t="shared" si="369"/>
        <v>0</v>
      </c>
      <c r="BH491" s="2">
        <f t="shared" si="389"/>
        <v>87.5</v>
      </c>
      <c r="BI491" s="2">
        <f t="shared" si="390"/>
        <v>20</v>
      </c>
      <c r="BK491">
        <f t="shared" si="370"/>
        <v>99.187817471708328</v>
      </c>
      <c r="BL491">
        <f>VLOOKUP(A491,'[11]Daily coal vs energy req.2'!$C$2:$P$599,14,FALSE)</f>
        <v>1.04</v>
      </c>
      <c r="BM491">
        <f>VLOOKUP(A491,'[11]Daily coal vs energy req.2'!$C$2:$R$599,16,FALSE)</f>
        <v>1.04</v>
      </c>
      <c r="BN491">
        <f t="shared" si="391"/>
        <v>260</v>
      </c>
      <c r="BO491">
        <f t="shared" si="392"/>
        <v>260</v>
      </c>
      <c r="BP491" s="2" t="str">
        <f>VLOOKUP(A491,'[7]Table 2'!$J$2:$N$449,5,FALSE)</f>
        <v>Tender specification made</v>
      </c>
      <c r="BR491">
        <f t="shared" si="375"/>
        <v>297.05005068631999</v>
      </c>
      <c r="BT491">
        <f>(X491*I491*365*[5]Analysis!BK491)/10^4</f>
        <v>106.63333111482882</v>
      </c>
      <c r="BV491">
        <f>(X491*I491*365*[5]Analysis!BL491)/10^4</f>
        <v>190.41671957149117</v>
      </c>
      <c r="BX491">
        <f t="shared" si="376"/>
        <v>765534.71907116706</v>
      </c>
      <c r="BZ491">
        <f t="shared" si="377"/>
        <v>4904643.7073649699</v>
      </c>
      <c r="CB491">
        <f t="shared" si="378"/>
        <v>-101854.4157625283</v>
      </c>
      <c r="CD491">
        <f t="shared" si="379"/>
        <v>0</v>
      </c>
      <c r="CF491">
        <f t="shared" si="380"/>
        <v>1551480.3675929364</v>
      </c>
      <c r="CH491">
        <f t="shared" si="381"/>
        <v>189608.200940927</v>
      </c>
      <c r="CJ491">
        <f t="shared" si="382"/>
        <v>-358206.88401732751</v>
      </c>
      <c r="CL491">
        <f t="shared" si="383"/>
        <v>667574.19363375194</v>
      </c>
    </row>
    <row r="492" spans="1:90" x14ac:dyDescent="0.2">
      <c r="A492" s="2" t="s">
        <v>330</v>
      </c>
      <c r="B492" s="2" t="str">
        <f t="shared" si="393"/>
        <v>SVPL TPP</v>
      </c>
      <c r="C492" s="2" t="str">
        <f>VLOOKUP($A492,'[1]daily coal, energy reqd'!$C$2:$T$599,17,FALSE)</f>
        <v>Chhatisgarh</v>
      </c>
      <c r="D492" s="2" t="str">
        <f>VLOOKUP(C492,'Target PLF'!$I$2:$J$19,2,FALSE)</f>
        <v>WR</v>
      </c>
      <c r="E492" s="2" t="str">
        <f>VLOOKUP(A492,[2]Ownership!$C$2:$D$666,2,FALSE)</f>
        <v>PVT SECTOR</v>
      </c>
      <c r="F492" s="2" t="s">
        <v>543</v>
      </c>
      <c r="G492" s="12">
        <v>8.4243668720054696</v>
      </c>
      <c r="H492" s="2">
        <v>63</v>
      </c>
      <c r="I492" s="2">
        <f>VLOOKUP(A492,'[3]Calculated coal req (reg.)'!$A$2:$I$599,9,FALSE)</f>
        <v>0.307181819305401</v>
      </c>
      <c r="J492" s="2"/>
      <c r="K492" s="11">
        <v>0.20316257890568851</v>
      </c>
      <c r="L492" s="3">
        <f>VLOOKUP(F492,'Target PLF'!$A$2:$B$11,2,FALSE)</f>
        <v>0.85</v>
      </c>
      <c r="M492" s="3">
        <f t="shared" si="371"/>
        <v>0.64683742109431153</v>
      </c>
      <c r="N492" s="2" t="str">
        <f t="shared" si="354"/>
        <v>0.15</v>
      </c>
      <c r="O492" s="2">
        <f t="shared" si="349"/>
        <v>5.3252273797592888</v>
      </c>
      <c r="P492" s="2">
        <f t="shared" si="355"/>
        <v>122453.60359756486</v>
      </c>
      <c r="Q492" s="2">
        <f t="shared" si="356"/>
        <v>14.324870470670772</v>
      </c>
      <c r="R492" s="2">
        <f t="shared" si="357"/>
        <v>1.2852000000000001</v>
      </c>
      <c r="S492" s="2"/>
      <c r="T492" s="2" t="str">
        <f>VLOOKUP(A492,'[4]CEA vs MERIT comp. &amp; NPA marker'!$C$2:$K$735,9,FALSE)</f>
        <v>Not contracted</v>
      </c>
      <c r="U492" s="3">
        <v>0.28000000000000003</v>
      </c>
      <c r="V492" s="3">
        <f t="shared" si="358"/>
        <v>34287.009007318164</v>
      </c>
      <c r="W492" s="2">
        <f t="shared" si="359"/>
        <v>3205.9989698871323</v>
      </c>
      <c r="X492" s="2">
        <f t="shared" si="360"/>
        <v>3419.8247923831836</v>
      </c>
      <c r="Y492" s="6">
        <f t="shared" si="361"/>
        <v>0.26824712299588682</v>
      </c>
      <c r="Z492" s="2"/>
      <c r="AA492" s="2">
        <f t="shared" si="362"/>
        <v>89462.300635077758</v>
      </c>
      <c r="AB492" s="2" t="s">
        <v>576</v>
      </c>
      <c r="AC492" s="12"/>
      <c r="AD492" s="12">
        <f t="shared" si="363"/>
        <v>0</v>
      </c>
      <c r="AE492" s="2"/>
      <c r="AF492" s="7"/>
      <c r="AG492" s="7"/>
      <c r="AH492" s="7"/>
      <c r="AI492" s="7"/>
      <c r="AJ492" s="7"/>
      <c r="AK492" s="7"/>
      <c r="AL492" s="7"/>
      <c r="AM492" s="7"/>
      <c r="AN492" s="15">
        <f t="shared" si="364"/>
        <v>0</v>
      </c>
      <c r="AO492" s="6">
        <v>0.12897083607149668</v>
      </c>
      <c r="AP492" s="11">
        <f t="shared" si="365"/>
        <v>3.9617496061780985E-2</v>
      </c>
      <c r="AQ492" s="11"/>
      <c r="AR492" s="3"/>
      <c r="AS492" s="3">
        <f t="shared" si="372"/>
        <v>2.67380947935452</v>
      </c>
      <c r="AT492" s="2"/>
      <c r="AU492" s="2"/>
      <c r="AV492" s="88">
        <f t="shared" si="373"/>
        <v>0.47401539892633338</v>
      </c>
      <c r="AW492" s="32">
        <f t="shared" si="374"/>
        <v>0.17728091795110423</v>
      </c>
      <c r="AX492" s="12">
        <f t="shared" si="366"/>
        <v>29.979116602561419</v>
      </c>
      <c r="AY492" s="12">
        <f t="shared" si="367"/>
        <v>0</v>
      </c>
      <c r="AZ492" s="3">
        <f>VLOOKUP(A492,[5]Analysis!$A$3:$BJ$543,62,FALSE)</f>
        <v>0.67827340778595713</v>
      </c>
      <c r="BA492" s="2"/>
      <c r="BB492" s="2"/>
      <c r="BC492" s="2" t="e">
        <f>VLOOKUP(A492,'[6]FGD status - Jun 2020'!$I$2:$M$449,5,FALSE)</f>
        <v>#N/A</v>
      </c>
      <c r="BD492" s="2"/>
      <c r="BE492" s="2"/>
      <c r="BF492" s="2">
        <f t="shared" si="368"/>
        <v>33.039143322939296</v>
      </c>
      <c r="BG492" s="2">
        <f t="shared" si="369"/>
        <v>0</v>
      </c>
      <c r="BH492" s="2"/>
      <c r="BI492" s="2"/>
      <c r="BK492">
        <f t="shared" si="370"/>
        <v>12.799242471058376</v>
      </c>
      <c r="BL492" t="str">
        <f>VLOOKUP(A492,'[11]Daily coal vs energy req.2'!$C$2:$P$599,14,FALSE)</f>
        <v/>
      </c>
      <c r="BM492" t="str">
        <f>VLOOKUP(A492,'[11]Daily coal vs energy req.2'!$C$2:$R$599,16,FALSE)</f>
        <v/>
      </c>
      <c r="BP492" s="2" t="e">
        <f>VLOOKUP(A492,'[7]Table 2'!$J$2:$N$449,5,FALSE)</f>
        <v>#N/A</v>
      </c>
      <c r="BR492">
        <f t="shared" si="375"/>
        <v>26.007404934326001</v>
      </c>
      <c r="BT492">
        <f>(X492*I492*365*[5]Analysis!BK492)/10^4</f>
        <v>23.505657872434323</v>
      </c>
      <c r="BV492">
        <f>(X492*I492*365*[5]Analysis!BL492)/10^4</f>
        <v>2.5017470618916735</v>
      </c>
      <c r="BX492">
        <f t="shared" si="376"/>
        <v>107677.07014657313</v>
      </c>
      <c r="BZ492">
        <f t="shared" si="377"/>
        <v>393951.21755603212</v>
      </c>
      <c r="CB492">
        <f t="shared" si="378"/>
        <v>-6730.2498325821844</v>
      </c>
      <c r="CD492">
        <f t="shared" si="379"/>
        <v>-113363.73019647013</v>
      </c>
      <c r="CF492">
        <f t="shared" si="380"/>
        <v>200203.75405046964</v>
      </c>
      <c r="CH492">
        <f t="shared" si="381"/>
        <v>19161.456488107127</v>
      </c>
      <c r="CJ492">
        <f t="shared" si="382"/>
        <v>-11648.242433515015</v>
      </c>
      <c r="CL492">
        <f t="shared" si="383"/>
        <v>112000.40453648155</v>
      </c>
    </row>
    <row r="493" spans="1:90" x14ac:dyDescent="0.2">
      <c r="A493" s="2" t="s">
        <v>531</v>
      </c>
      <c r="B493" s="2" t="str">
        <f t="shared" si="393"/>
        <v>TALCHER (OLD) TPS</v>
      </c>
      <c r="C493" s="2" t="str">
        <f>VLOOKUP($A493,'[1]daily coal, energy reqd'!$C$2:$T$599,17,FALSE)</f>
        <v>Odisha</v>
      </c>
      <c r="D493" s="2" t="str">
        <f>VLOOKUP(C493,'Target PLF'!$I$2:$J$19,2,FALSE)</f>
        <v>ER</v>
      </c>
      <c r="E493" s="2" t="str">
        <f>VLOOKUP(A493,[2]Ownership!$C$2:$D$666,2,FALSE)</f>
        <v>CENTRAL SECTOR</v>
      </c>
      <c r="F493" s="2" t="s">
        <v>551</v>
      </c>
      <c r="G493" s="12">
        <v>49.338809034907598</v>
      </c>
      <c r="H493" s="2">
        <v>60</v>
      </c>
      <c r="I493" s="2">
        <f>VLOOKUP(A493,'[3]Calculated coal req (reg.)'!$A$2:$I$599,9,FALSE)</f>
        <v>1.3303005279234399</v>
      </c>
      <c r="J493" s="2"/>
      <c r="K493" s="11">
        <v>0.92381981105794431</v>
      </c>
      <c r="L493" s="3">
        <f>VLOOKUP(F493,'Target PLF'!$A$2:$B$11,2,FALSE)</f>
        <v>0.55000000000000004</v>
      </c>
      <c r="M493" s="3">
        <f t="shared" si="371"/>
        <v>-0.37381981105794426</v>
      </c>
      <c r="N493" s="2" t="str">
        <f t="shared" si="354"/>
        <v>0.25</v>
      </c>
      <c r="O493" s="2">
        <f t="shared" si="349"/>
        <v>17.524377703373197</v>
      </c>
      <c r="P493" s="2">
        <f t="shared" si="355"/>
        <v>383783.87170387304</v>
      </c>
      <c r="Q493" s="2">
        <f t="shared" si="356"/>
        <v>16.497300526180698</v>
      </c>
      <c r="R493" s="2">
        <f t="shared" si="357"/>
        <v>0.79200000000000015</v>
      </c>
      <c r="S493" s="2"/>
      <c r="T493" s="2" t="str">
        <f>VLOOKUP(A493,'[4]CEA vs MERIT comp. &amp; NPA marker'!$C$2:$K$735,9,FALSE)</f>
        <v>Contracted</v>
      </c>
      <c r="U493" s="3">
        <f>VLOOKUP(B493,'[8]Import-Domestic share'!$A$208:$F$406,6,FALSE)</f>
        <v>0</v>
      </c>
      <c r="V493" s="3">
        <f t="shared" si="358"/>
        <v>0</v>
      </c>
      <c r="W493" s="2">
        <f t="shared" si="359"/>
        <v>3557.4282979671457</v>
      </c>
      <c r="X493" s="2">
        <f t="shared" si="360"/>
        <v>3433.8542344419475</v>
      </c>
      <c r="Y493" s="6">
        <f t="shared" si="361"/>
        <v>0.241747669374373</v>
      </c>
      <c r="Z493" s="2"/>
      <c r="AA493" s="2">
        <f t="shared" si="362"/>
        <v>415586.96327802795</v>
      </c>
      <c r="AB493" s="2" t="s">
        <v>576</v>
      </c>
      <c r="AC493" s="12">
        <f>VLOOKUP(B493,[9]Sheet1!$A$2:$B$137,2,FALSE)</f>
        <v>4012.015183713771</v>
      </c>
      <c r="AD493" s="12">
        <f t="shared" si="363"/>
        <v>240720.91102282627</v>
      </c>
      <c r="AE493" s="2" t="s">
        <v>589</v>
      </c>
      <c r="AF493" s="7">
        <f>VLOOKUP($B493,'[9]Subsidiary wise dispatch'!$A$3:$R$138,11,FALSE)*$H493*$O493*365</f>
        <v>0</v>
      </c>
      <c r="AG493" s="7">
        <f>VLOOKUP($B493,'[9]Subsidiary wise dispatch'!$A$3:$R$138,12,FALSE)*$H493*$O493*365</f>
        <v>0</v>
      </c>
      <c r="AH493" s="7">
        <f>VLOOKUP($B493,'[9]Subsidiary wise dispatch'!$A$3:$R$138,13,FALSE)*$H493*$O493*365</f>
        <v>41833.732695656799</v>
      </c>
      <c r="AI493" s="7">
        <f>VLOOKUP($B493,'[9]Subsidiary wise dispatch'!$A$3:$R$138,14,FALSE)*$H493*$O493*365</f>
        <v>341950.13900821627</v>
      </c>
      <c r="AJ493" s="7">
        <f>VLOOKUP($B493,'[9]Subsidiary wise dispatch'!$A$3:$R$138,15,FALSE)*$H493*$O493*365</f>
        <v>0</v>
      </c>
      <c r="AK493" s="7">
        <f>VLOOKUP($B493,'[9]Subsidiary wise dispatch'!$A$3:$R$138,16,FALSE)*$H493*$O493*365</f>
        <v>0</v>
      </c>
      <c r="AL493" s="7">
        <f>VLOOKUP($B493,'[9]Subsidiary wise dispatch'!$A$3:$R$138,17,FALSE)*$H493*$O493*365</f>
        <v>0</v>
      </c>
      <c r="AM493" s="7">
        <f>VLOOKUP($B493,'[9]Subsidiary wise dispatch'!$A$3:$R$138,18,FALSE)*$H493*$O493*365</f>
        <v>0</v>
      </c>
      <c r="AN493" s="15">
        <f t="shared" si="364"/>
        <v>383783.87170387304</v>
      </c>
      <c r="AO493" s="6">
        <v>0.10471132406131005</v>
      </c>
      <c r="AP493" s="11">
        <f t="shared" si="365"/>
        <v>0.13929752967832315</v>
      </c>
      <c r="AQ493" s="11"/>
      <c r="AR493" s="3">
        <f>VLOOKUP(A493,[10]Sheet1!$A$2:$L$542,12,FALSE)</f>
        <v>1.6734602463606001</v>
      </c>
      <c r="AS493" s="3">
        <f t="shared" si="372"/>
        <v>2.6153464734627114</v>
      </c>
      <c r="AT493" s="2"/>
      <c r="AU493" s="2"/>
      <c r="AV493" s="88">
        <f t="shared" si="373"/>
        <v>-0.2739426339394827</v>
      </c>
      <c r="AW493" s="32">
        <f t="shared" si="374"/>
        <v>0.10474429935731744</v>
      </c>
      <c r="AX493" s="12">
        <f t="shared" si="366"/>
        <v>126.99068299378055</v>
      </c>
      <c r="AY493" s="12">
        <f t="shared" si="367"/>
        <v>0</v>
      </c>
      <c r="AZ493" s="3">
        <f>VLOOKUP(A493,[5]Analysis!$A$3:$BJ$543,62,FALSE)</f>
        <v>0.52168500517713878</v>
      </c>
      <c r="BA493" s="2">
        <v>58</v>
      </c>
      <c r="BB493" s="2"/>
      <c r="BC493" s="2" t="str">
        <f>VLOOKUP(A493,'[6]FGD status - Jun 2020'!$I$2:$M$449,5,FALSE)</f>
        <v>NIT issued</v>
      </c>
      <c r="BD493" s="2" t="str">
        <f>VLOOKUP(A493,'[1]daily coal, energy reqd'!$C$2:$L$599,10,FALSE)</f>
        <v>Y</v>
      </c>
      <c r="BE493" s="2"/>
      <c r="BF493" s="2">
        <f t="shared" si="368"/>
        <v>128.62416513454963</v>
      </c>
      <c r="BG493" s="2">
        <f t="shared" si="369"/>
        <v>0</v>
      </c>
      <c r="BH493" s="2">
        <f t="shared" ref="BH493:BH504" si="394">IF(G493&lt;17,IF(H493&gt;400,H493*5000000,H493*3500000),H493*1500000)/10^7</f>
        <v>9</v>
      </c>
      <c r="BI493" s="2">
        <f t="shared" ref="BI493:BI504" si="395">(H493*800000)/10^7</f>
        <v>4.8</v>
      </c>
      <c r="BK493">
        <f t="shared" si="370"/>
        <v>55.429188663476658</v>
      </c>
      <c r="BP493" s="2" t="str">
        <f>VLOOKUP(A493,'[7]Table 2'!$J$2:$N$449,5,FALSE)</f>
        <v>NIT issued</v>
      </c>
      <c r="BR493">
        <f t="shared" si="375"/>
        <v>86.982690611452853</v>
      </c>
      <c r="BT493">
        <f>(X493*I493*365*[5]Analysis!BK493)/10^4</f>
        <v>71.325924717313086</v>
      </c>
      <c r="BV493">
        <f>(X493*I493*365*[5]Analysis!BL493)/10^4</f>
        <v>15.65676589413976</v>
      </c>
      <c r="BX493">
        <f t="shared" si="376"/>
        <v>468225.9553412518</v>
      </c>
      <c r="BZ493">
        <f t="shared" si="377"/>
        <v>1312200.7017387932</v>
      </c>
      <c r="CB493">
        <f t="shared" si="378"/>
        <v>-132534.51569127373</v>
      </c>
      <c r="CD493">
        <f t="shared" si="379"/>
        <v>0</v>
      </c>
      <c r="CF493">
        <f t="shared" si="380"/>
        <v>867014.72212067049</v>
      </c>
      <c r="CH493">
        <f t="shared" si="381"/>
        <v>485997.64292293822</v>
      </c>
      <c r="CJ493">
        <f t="shared" si="382"/>
        <v>-48042.473265427107</v>
      </c>
      <c r="CL493">
        <f t="shared" si="383"/>
        <v>393800.24549192539</v>
      </c>
    </row>
    <row r="494" spans="1:90" x14ac:dyDescent="0.2">
      <c r="A494" s="2" t="s">
        <v>530</v>
      </c>
      <c r="B494" s="2" t="str">
        <f t="shared" si="393"/>
        <v>TALCHER (OLD) TPS</v>
      </c>
      <c r="C494" s="2" t="str">
        <f>VLOOKUP($A494,'[1]daily coal, energy reqd'!$C$2:$T$599,17,FALSE)</f>
        <v>Odisha</v>
      </c>
      <c r="D494" s="2" t="str">
        <f>VLOOKUP(C494,'Target PLF'!$I$2:$J$19,2,FALSE)</f>
        <v>ER</v>
      </c>
      <c r="E494" s="2" t="str">
        <f>VLOOKUP(A494,[2]Ownership!$C$2:$D$666,2,FALSE)</f>
        <v>CENTRAL SECTOR</v>
      </c>
      <c r="F494" s="2" t="s">
        <v>551</v>
      </c>
      <c r="G494" s="12">
        <v>48.925393566050602</v>
      </c>
      <c r="H494" s="2">
        <v>60</v>
      </c>
      <c r="I494" s="2">
        <f>VLOOKUP(A494,'[3]Calculated coal req (reg.)'!$A$2:$I$599,9,FALSE)</f>
        <v>1.38071961262072</v>
      </c>
      <c r="J494" s="2"/>
      <c r="K494" s="11">
        <v>0.95883306431994442</v>
      </c>
      <c r="L494" s="3">
        <f>VLOOKUP(F494,'Target PLF'!$A$2:$B$11,2,FALSE)</f>
        <v>0.55000000000000004</v>
      </c>
      <c r="M494" s="3">
        <f t="shared" si="371"/>
        <v>-0.40883306431994437</v>
      </c>
      <c r="N494" s="2" t="str">
        <f t="shared" si="354"/>
        <v>0.25</v>
      </c>
      <c r="O494" s="2">
        <f t="shared" si="349"/>
        <v>17.998432665007336</v>
      </c>
      <c r="P494" s="2">
        <f t="shared" si="355"/>
        <v>394165.67536366067</v>
      </c>
      <c r="Q494" s="2">
        <f t="shared" si="356"/>
        <v>16.484205591204653</v>
      </c>
      <c r="R494" s="2">
        <f t="shared" si="357"/>
        <v>0.79200000000000015</v>
      </c>
      <c r="S494" s="2"/>
      <c r="T494" s="2" t="str">
        <f>VLOOKUP(A494,'[4]CEA vs MERIT comp. &amp; NPA marker'!$C$2:$K$735,9,FALSE)</f>
        <v>Contracted</v>
      </c>
      <c r="U494" s="3">
        <f>VLOOKUP(B494,'[8]Import-Domestic share'!$A$208:$F$406,6,FALSE)</f>
        <v>0</v>
      </c>
      <c r="V494" s="3">
        <f t="shared" si="358"/>
        <v>0</v>
      </c>
      <c r="W494" s="2">
        <f t="shared" si="359"/>
        <v>3554.2695817809713</v>
      </c>
      <c r="X494" s="2">
        <f t="shared" si="360"/>
        <v>3419.1211451090498</v>
      </c>
      <c r="Y494" s="6">
        <f t="shared" si="361"/>
        <v>0.24196251303174132</v>
      </c>
      <c r="Z494" s="2"/>
      <c r="AA494" s="2">
        <f t="shared" si="362"/>
        <v>429487.25353328674</v>
      </c>
      <c r="AB494" s="2" t="s">
        <v>576</v>
      </c>
      <c r="AC494" s="12">
        <f>VLOOKUP(B494,[9]Sheet1!$A$2:$B$137,2,FALSE)</f>
        <v>4012.015183713771</v>
      </c>
      <c r="AD494" s="12">
        <f t="shared" si="363"/>
        <v>240720.91102282627</v>
      </c>
      <c r="AE494" s="2" t="s">
        <v>589</v>
      </c>
      <c r="AF494" s="7">
        <f>VLOOKUP($B494,'[9]Subsidiary wise dispatch'!$A$3:$R$138,11,FALSE)*$H494*$O494*365</f>
        <v>0</v>
      </c>
      <c r="AG494" s="7">
        <f>VLOOKUP($B494,'[9]Subsidiary wise dispatch'!$A$3:$R$138,12,FALSE)*$H494*$O494*365</f>
        <v>0</v>
      </c>
      <c r="AH494" s="7">
        <f>VLOOKUP($B494,'[9]Subsidiary wise dispatch'!$A$3:$R$138,13,FALSE)*$H494*$O494*365</f>
        <v>42965.38420897902</v>
      </c>
      <c r="AI494" s="7">
        <f>VLOOKUP($B494,'[9]Subsidiary wise dispatch'!$A$3:$R$138,14,FALSE)*$H494*$O494*365</f>
        <v>351200.29115468165</v>
      </c>
      <c r="AJ494" s="7">
        <f>VLOOKUP($B494,'[9]Subsidiary wise dispatch'!$A$3:$R$138,15,FALSE)*$H494*$O494*365</f>
        <v>0</v>
      </c>
      <c r="AK494" s="7">
        <f>VLOOKUP($B494,'[9]Subsidiary wise dispatch'!$A$3:$R$138,16,FALSE)*$H494*$O494*365</f>
        <v>0</v>
      </c>
      <c r="AL494" s="7">
        <f>VLOOKUP($B494,'[9]Subsidiary wise dispatch'!$A$3:$R$138,17,FALSE)*$H494*$O494*365</f>
        <v>0</v>
      </c>
      <c r="AM494" s="7">
        <f>VLOOKUP($B494,'[9]Subsidiary wise dispatch'!$A$3:$R$138,18,FALSE)*$H494*$O494*365</f>
        <v>0</v>
      </c>
      <c r="AN494" s="15">
        <f t="shared" si="364"/>
        <v>394165.67536366067</v>
      </c>
      <c r="AO494" s="6">
        <v>0.10471132406131005</v>
      </c>
      <c r="AP494" s="11">
        <f t="shared" si="365"/>
        <v>0.1445769787949347</v>
      </c>
      <c r="AQ494" s="11"/>
      <c r="AR494" s="3">
        <f>VLOOKUP(A494,[10]Sheet1!$A$2:$L$542,12,FALSE)</f>
        <v>1.6734602463606001</v>
      </c>
      <c r="AS494" s="3">
        <f t="shared" si="372"/>
        <v>2.6107751969669377</v>
      </c>
      <c r="AT494" s="2"/>
      <c r="AU494" s="2"/>
      <c r="AV494" s="88">
        <f t="shared" si="373"/>
        <v>-0.29960104619494166</v>
      </c>
      <c r="AW494" s="32">
        <f t="shared" si="374"/>
        <v>0.11475558927593708</v>
      </c>
      <c r="AX494" s="12">
        <f t="shared" si="366"/>
        <v>131.57332092875305</v>
      </c>
      <c r="AY494" s="12">
        <f t="shared" si="367"/>
        <v>0</v>
      </c>
      <c r="AZ494" s="3">
        <f>VLOOKUP(A494,[5]Analysis!$A$3:$BJ$543,62,FALSE)</f>
        <v>0.52168500517713878</v>
      </c>
      <c r="BA494" s="2">
        <v>58</v>
      </c>
      <c r="BB494" s="2"/>
      <c r="BC494" s="2" t="str">
        <f>VLOOKUP(A494,'[6]FGD status - Jun 2020'!$I$2:$M$449,5,FALSE)</f>
        <v>NIT issued</v>
      </c>
      <c r="BD494" s="2" t="str">
        <f>VLOOKUP(A494,'[1]daily coal, energy reqd'!$C$2:$L$599,10,FALSE)</f>
        <v>Y</v>
      </c>
      <c r="BE494" s="2"/>
      <c r="BF494" s="2">
        <f t="shared" si="368"/>
        <v>132.92630496855224</v>
      </c>
      <c r="BG494" s="2">
        <f t="shared" si="369"/>
        <v>0</v>
      </c>
      <c r="BH494" s="2">
        <f t="shared" si="394"/>
        <v>9</v>
      </c>
      <c r="BI494" s="2">
        <f t="shared" si="395"/>
        <v>4.8</v>
      </c>
      <c r="BK494">
        <f t="shared" si="370"/>
        <v>57.529983859196662</v>
      </c>
      <c r="BP494" s="2" t="str">
        <f>VLOOKUP(A494,'[7]Table 2'!$J$2:$N$449,5,FALSE)</f>
        <v>NIT issued</v>
      </c>
      <c r="BR494">
        <f t="shared" si="375"/>
        <v>89.892032707137631</v>
      </c>
      <c r="BT494">
        <f>(X494*I494*365*[5]Analysis!BK494)/10^4</f>
        <v>73.711589196475558</v>
      </c>
      <c r="BV494">
        <f>(X494*I494*365*[5]Analysis!BL494)/10^4</f>
        <v>16.180443510662059</v>
      </c>
      <c r="BX494">
        <f t="shared" si="376"/>
        <v>483886.88135527371</v>
      </c>
      <c r="BZ494">
        <f t="shared" si="377"/>
        <v>1361933.7935718633</v>
      </c>
      <c r="CB494">
        <f t="shared" si="378"/>
        <v>-142771.149550773</v>
      </c>
      <c r="CD494">
        <f t="shared" si="379"/>
        <v>0</v>
      </c>
      <c r="CF494">
        <f t="shared" si="380"/>
        <v>899875.03284807224</v>
      </c>
      <c r="CH494">
        <f t="shared" si="381"/>
        <v>500190.63847060222</v>
      </c>
      <c r="CJ494">
        <f t="shared" si="382"/>
        <v>-49863.308090184684</v>
      </c>
      <c r="CL494">
        <f t="shared" si="383"/>
        <v>408725.48044034728</v>
      </c>
    </row>
    <row r="495" spans="1:90" x14ac:dyDescent="0.2">
      <c r="A495" s="2" t="s">
        <v>528</v>
      </c>
      <c r="B495" s="2" t="str">
        <f t="shared" si="393"/>
        <v>TALCHER (OLD) TPS</v>
      </c>
      <c r="C495" s="2" t="str">
        <f>VLOOKUP($A495,'[1]daily coal, energy reqd'!$C$2:$T$599,17,FALSE)</f>
        <v>Odisha</v>
      </c>
      <c r="D495" s="2" t="str">
        <f>VLOOKUP(C495,'Target PLF'!$I$2:$J$19,2,FALSE)</f>
        <v>ER</v>
      </c>
      <c r="E495" s="2" t="str">
        <f>VLOOKUP(A495,[2]Ownership!$C$2:$D$666,2,FALSE)</f>
        <v>CENTRAL SECTOR</v>
      </c>
      <c r="F495" s="2" t="s">
        <v>551</v>
      </c>
      <c r="G495" s="12">
        <v>48.339493497604302</v>
      </c>
      <c r="H495" s="2">
        <v>60</v>
      </c>
      <c r="I495" s="2">
        <f>VLOOKUP(A495,'[3]Calculated coal req (reg.)'!$A$2:$I$599,9,FALSE)</f>
        <v>1.3068052492186999</v>
      </c>
      <c r="J495" s="2"/>
      <c r="K495" s="11">
        <v>0.90750364529076377</v>
      </c>
      <c r="L495" s="3">
        <f>VLOOKUP(F495,'Target PLF'!$A$2:$B$11,2,FALSE)</f>
        <v>0.55000000000000004</v>
      </c>
      <c r="M495" s="3">
        <f t="shared" si="371"/>
        <v>-0.35750364529076373</v>
      </c>
      <c r="N495" s="2" t="str">
        <f t="shared" si="354"/>
        <v>0.25</v>
      </c>
      <c r="O495" s="2">
        <f t="shared" si="349"/>
        <v>17.2657126745606</v>
      </c>
      <c r="P495" s="2">
        <f t="shared" si="355"/>
        <v>378119.1075728772</v>
      </c>
      <c r="Q495" s="2">
        <f t="shared" si="356"/>
        <v>16.465647206536616</v>
      </c>
      <c r="R495" s="2">
        <f t="shared" si="357"/>
        <v>0.79200000000000015</v>
      </c>
      <c r="S495" s="2"/>
      <c r="T495" s="2" t="str">
        <f>VLOOKUP(A495,'[4]CEA vs MERIT comp. &amp; NPA marker'!$C$2:$K$735,9,FALSE)</f>
        <v>Contracted</v>
      </c>
      <c r="U495" s="3">
        <f>VLOOKUP(B495,'[8]Import-Domestic share'!$A$208:$F$406,6,FALSE)</f>
        <v>0</v>
      </c>
      <c r="V495" s="3">
        <f t="shared" si="358"/>
        <v>0</v>
      </c>
      <c r="W495" s="2">
        <f t="shared" si="359"/>
        <v>3549.7929906297049</v>
      </c>
      <c r="X495" s="2">
        <f t="shared" si="360"/>
        <v>3431.6125816015629</v>
      </c>
      <c r="Y495" s="6">
        <f t="shared" si="361"/>
        <v>0.24226764835868439</v>
      </c>
      <c r="Z495" s="2"/>
      <c r="AA495" s="2">
        <f t="shared" si="362"/>
        <v>407980.51161195541</v>
      </c>
      <c r="AB495" s="2" t="s">
        <v>576</v>
      </c>
      <c r="AC495" s="12">
        <f>VLOOKUP(B495,[9]Sheet1!$A$2:$B$137,2,FALSE)</f>
        <v>4012.015183713771</v>
      </c>
      <c r="AD495" s="12">
        <f t="shared" si="363"/>
        <v>240720.91102282627</v>
      </c>
      <c r="AE495" s="2" t="s">
        <v>589</v>
      </c>
      <c r="AF495" s="7">
        <f>VLOOKUP($B495,'[9]Subsidiary wise dispatch'!$A$3:$R$138,11,FALSE)*$H495*$O495*365</f>
        <v>0</v>
      </c>
      <c r="AG495" s="7">
        <f>VLOOKUP($B495,'[9]Subsidiary wise dispatch'!$A$3:$R$138,12,FALSE)*$H495*$O495*365</f>
        <v>0</v>
      </c>
      <c r="AH495" s="7">
        <f>VLOOKUP($B495,'[9]Subsidiary wise dispatch'!$A$3:$R$138,13,FALSE)*$H495*$O495*365</f>
        <v>41216.254354558412</v>
      </c>
      <c r="AI495" s="7">
        <f>VLOOKUP($B495,'[9]Subsidiary wise dispatch'!$A$3:$R$138,14,FALSE)*$H495*$O495*365</f>
        <v>336902.85321831872</v>
      </c>
      <c r="AJ495" s="7">
        <f>VLOOKUP($B495,'[9]Subsidiary wise dispatch'!$A$3:$R$138,15,FALSE)*$H495*$O495*365</f>
        <v>0</v>
      </c>
      <c r="AK495" s="7">
        <f>VLOOKUP($B495,'[9]Subsidiary wise dispatch'!$A$3:$R$138,16,FALSE)*$H495*$O495*365</f>
        <v>0</v>
      </c>
      <c r="AL495" s="7">
        <f>VLOOKUP($B495,'[9]Subsidiary wise dispatch'!$A$3:$R$138,17,FALSE)*$H495*$O495*365</f>
        <v>0</v>
      </c>
      <c r="AM495" s="7">
        <f>VLOOKUP($B495,'[9]Subsidiary wise dispatch'!$A$3:$R$138,18,FALSE)*$H495*$O495*365</f>
        <v>0</v>
      </c>
      <c r="AN495" s="15">
        <f t="shared" si="364"/>
        <v>378119.10757287714</v>
      </c>
      <c r="AO495" s="6">
        <v>0.10471132406131005</v>
      </c>
      <c r="AP495" s="11">
        <f t="shared" si="365"/>
        <v>0.13683730793596033</v>
      </c>
      <c r="AQ495" s="11"/>
      <c r="AR495" s="3">
        <f>VLOOKUP(A495,[10]Sheet1!$A$2:$L$542,12,FALSE)</f>
        <v>1.6734602463606001</v>
      </c>
      <c r="AS495" s="3">
        <f t="shared" si="372"/>
        <v>2.6077172721506097</v>
      </c>
      <c r="AT495" s="2"/>
      <c r="AU495" s="2"/>
      <c r="AV495" s="88">
        <f t="shared" si="373"/>
        <v>-0.26198582134197751</v>
      </c>
      <c r="AW495" s="32">
        <f t="shared" si="374"/>
        <v>0.1004655773614274</v>
      </c>
      <c r="AX495" s="12">
        <f t="shared" si="366"/>
        <v>124.38391961995103</v>
      </c>
      <c r="AY495" s="12">
        <f t="shared" si="367"/>
        <v>0</v>
      </c>
      <c r="AZ495" s="3">
        <f>VLOOKUP(A495,[5]Analysis!$A$3:$BJ$543,62,FALSE)</f>
        <v>0.52168500517713878</v>
      </c>
      <c r="BA495" s="2">
        <v>58</v>
      </c>
      <c r="BB495" s="2"/>
      <c r="BC495" s="2" t="str">
        <f>VLOOKUP(A495,'[6]FGD status - Jun 2020'!$I$2:$M$449,5,FALSE)</f>
        <v>NIT issued</v>
      </c>
      <c r="BD495" s="2" t="str">
        <f>VLOOKUP(A495,'[1]daily coal, energy reqd'!$C$2:$L$599,10,FALSE)</f>
        <v>Y</v>
      </c>
      <c r="BE495" s="2"/>
      <c r="BF495" s="2">
        <f t="shared" si="368"/>
        <v>126.2699683439002</v>
      </c>
      <c r="BG495" s="2">
        <f t="shared" si="369"/>
        <v>0</v>
      </c>
      <c r="BH495" s="2">
        <f t="shared" si="394"/>
        <v>9</v>
      </c>
      <c r="BI495" s="2">
        <f t="shared" si="395"/>
        <v>4.8</v>
      </c>
      <c r="BK495">
        <f t="shared" si="370"/>
        <v>54.450218717445829</v>
      </c>
      <c r="BP495" s="2" t="str">
        <f>VLOOKUP(A495,'[7]Table 2'!$J$2:$N$449,5,FALSE)</f>
        <v>NIT issued</v>
      </c>
      <c r="BR495">
        <f t="shared" si="375"/>
        <v>85.390654069444366</v>
      </c>
      <c r="BT495">
        <f>(X495*I495*365*[5]Analysis!BK495)/10^4</f>
        <v>70.020452585509915</v>
      </c>
      <c r="BV495">
        <f>(X495*I495*365*[5]Analysis!BL495)/10^4</f>
        <v>15.370201483934443</v>
      </c>
      <c r="BX495">
        <f t="shared" si="376"/>
        <v>459656.05682949029</v>
      </c>
      <c r="BZ495">
        <f t="shared" si="377"/>
        <v>1289025.0955078958</v>
      </c>
      <c r="CB495">
        <f t="shared" si="378"/>
        <v>-127894.30586112199</v>
      </c>
      <c r="CD495">
        <f t="shared" si="379"/>
        <v>0</v>
      </c>
      <c r="CF495">
        <f t="shared" si="380"/>
        <v>851701.82694416773</v>
      </c>
      <c r="CH495">
        <f t="shared" si="381"/>
        <v>467744.51483690715</v>
      </c>
      <c r="CJ495">
        <f t="shared" si="382"/>
        <v>-47193.964770284125</v>
      </c>
      <c r="CL495">
        <f t="shared" si="383"/>
        <v>386845.090376509</v>
      </c>
    </row>
    <row r="496" spans="1:90" x14ac:dyDescent="0.2">
      <c r="A496" s="2" t="s">
        <v>527</v>
      </c>
      <c r="B496" s="2" t="str">
        <f t="shared" si="393"/>
        <v>TALCHER (OLD) TPS</v>
      </c>
      <c r="C496" s="2" t="str">
        <f>VLOOKUP($A496,'[1]daily coal, energy reqd'!$C$2:$T$599,17,FALSE)</f>
        <v>Odisha</v>
      </c>
      <c r="D496" s="2" t="str">
        <f>VLOOKUP(C496,'Target PLF'!$I$2:$J$19,2,FALSE)</f>
        <v>ER</v>
      </c>
      <c r="E496" s="2" t="str">
        <f>VLOOKUP(A496,[2]Ownership!$C$2:$D$666,2,FALSE)</f>
        <v>CENTRAL SECTOR</v>
      </c>
      <c r="F496" s="2" t="s">
        <v>551</v>
      </c>
      <c r="G496" s="12">
        <v>47.923340177960299</v>
      </c>
      <c r="H496" s="2">
        <v>60</v>
      </c>
      <c r="I496" s="2">
        <f>VLOOKUP(A496,'[3]Calculated coal req (reg.)'!$A$2:$I$599,9,FALSE)</f>
        <v>1.26247883362466</v>
      </c>
      <c r="J496" s="2"/>
      <c r="K496" s="11">
        <v>0.87672141223934719</v>
      </c>
      <c r="L496" s="3">
        <f>VLOOKUP(F496,'Target PLF'!$A$2:$B$11,2,FALSE)</f>
        <v>0.55000000000000004</v>
      </c>
      <c r="M496" s="3">
        <f t="shared" si="371"/>
        <v>-0.32672141223934714</v>
      </c>
      <c r="N496" s="2" t="str">
        <f t="shared" si="354"/>
        <v>0.25</v>
      </c>
      <c r="O496" s="2">
        <f t="shared" ref="O496:O543" si="396">(13.9133*K496)+(-0.289097*N496)+(-0.0052079*H496)+(0.031675*G496)+3.492937+IF(E496="Pvt Sector",-0.8897511,0)</f>
        <v>16.824248575046603</v>
      </c>
      <c r="P496" s="2">
        <f t="shared" si="355"/>
        <v>368451.0437935206</v>
      </c>
      <c r="Q496" s="2">
        <f t="shared" si="356"/>
        <v>16.452465550136893</v>
      </c>
      <c r="R496" s="2">
        <f t="shared" si="357"/>
        <v>0.79200000000000015</v>
      </c>
      <c r="S496" s="2"/>
      <c r="T496" s="2" t="str">
        <f>VLOOKUP(A496,'[4]CEA vs MERIT comp. &amp; NPA marker'!$C$2:$K$735,9,FALSE)</f>
        <v>Contracted</v>
      </c>
      <c r="U496" s="3">
        <f>VLOOKUP(B496,'[8]Import-Domestic share'!$A$208:$F$406,6,FALSE)</f>
        <v>0</v>
      </c>
      <c r="V496" s="3">
        <f t="shared" si="358"/>
        <v>0</v>
      </c>
      <c r="W496" s="2">
        <f t="shared" si="359"/>
        <v>3546.6133557932922</v>
      </c>
      <c r="X496" s="2">
        <f t="shared" si="360"/>
        <v>3438.6086664836366</v>
      </c>
      <c r="Y496" s="6">
        <f t="shared" si="361"/>
        <v>0.2424848478606258</v>
      </c>
      <c r="Z496" s="2"/>
      <c r="AA496" s="2">
        <f t="shared" si="362"/>
        <v>394945.48694739473</v>
      </c>
      <c r="AB496" s="2" t="s">
        <v>576</v>
      </c>
      <c r="AC496" s="12">
        <f>VLOOKUP(B496,[9]Sheet1!$A$2:$B$137,2,FALSE)</f>
        <v>4012.015183713771</v>
      </c>
      <c r="AD496" s="12">
        <f t="shared" si="363"/>
        <v>240720.91102282627</v>
      </c>
      <c r="AE496" s="2" t="s">
        <v>589</v>
      </c>
      <c r="AF496" s="7">
        <f>VLOOKUP($B496,'[9]Subsidiary wise dispatch'!$A$3:$R$138,11,FALSE)*$H496*$O496*365</f>
        <v>0</v>
      </c>
      <c r="AG496" s="7">
        <f>VLOOKUP($B496,'[9]Subsidiary wise dispatch'!$A$3:$R$138,12,FALSE)*$H496*$O496*365</f>
        <v>0</v>
      </c>
      <c r="AH496" s="7">
        <f>VLOOKUP($B496,'[9]Subsidiary wise dispatch'!$A$3:$R$138,13,FALSE)*$H496*$O496*365</f>
        <v>40162.402888537879</v>
      </c>
      <c r="AI496" s="7">
        <f>VLOOKUP($B496,'[9]Subsidiary wise dispatch'!$A$3:$R$138,14,FALSE)*$H496*$O496*365</f>
        <v>328288.64090498275</v>
      </c>
      <c r="AJ496" s="7">
        <f>VLOOKUP($B496,'[9]Subsidiary wise dispatch'!$A$3:$R$138,15,FALSE)*$H496*$O496*365</f>
        <v>0</v>
      </c>
      <c r="AK496" s="7">
        <f>VLOOKUP($B496,'[9]Subsidiary wise dispatch'!$A$3:$R$138,16,FALSE)*$H496*$O496*365</f>
        <v>0</v>
      </c>
      <c r="AL496" s="7">
        <f>VLOOKUP($B496,'[9]Subsidiary wise dispatch'!$A$3:$R$138,17,FALSE)*$H496*$O496*365</f>
        <v>0</v>
      </c>
      <c r="AM496" s="7">
        <f>VLOOKUP($B496,'[9]Subsidiary wise dispatch'!$A$3:$R$138,18,FALSE)*$H496*$O496*365</f>
        <v>0</v>
      </c>
      <c r="AN496" s="15">
        <f t="shared" si="364"/>
        <v>368451.04379352066</v>
      </c>
      <c r="AO496" s="6">
        <v>0.10471132406131005</v>
      </c>
      <c r="AP496" s="11">
        <f t="shared" si="365"/>
        <v>0.13219583026821649</v>
      </c>
      <c r="AQ496" s="11"/>
      <c r="AR496" s="3">
        <f>VLOOKUP(A496,[10]Sheet1!$A$2:$L$542,12,FALSE)</f>
        <v>1.6734602463606001</v>
      </c>
      <c r="AS496" s="3">
        <f t="shared" si="372"/>
        <v>2.6053529635957182</v>
      </c>
      <c r="AT496" s="2"/>
      <c r="AU496" s="2"/>
      <c r="AV496" s="88">
        <f t="shared" si="373"/>
        <v>-0.23942798531723838</v>
      </c>
      <c r="AW496" s="32">
        <f t="shared" si="374"/>
        <v>9.1898483108713735E-2</v>
      </c>
      <c r="AX496" s="12">
        <f t="shared" si="366"/>
        <v>120.05590842912189</v>
      </c>
      <c r="AY496" s="12">
        <f t="shared" si="367"/>
        <v>0</v>
      </c>
      <c r="AZ496" s="3">
        <f>VLOOKUP(A496,[5]Analysis!$A$3:$BJ$543,62,FALSE)</f>
        <v>0.52168500517713878</v>
      </c>
      <c r="BA496" s="2">
        <v>58</v>
      </c>
      <c r="BB496" s="2"/>
      <c r="BC496" s="2" t="str">
        <f>VLOOKUP(A496,'[6]FGD status - Jun 2020'!$I$2:$M$449,5,FALSE)</f>
        <v>NIT issued</v>
      </c>
      <c r="BD496" s="2" t="str">
        <f>VLOOKUP(A496,'[1]daily coal, energy reqd'!$C$2:$L$599,10,FALSE)</f>
        <v>Y</v>
      </c>
      <c r="BE496" s="2"/>
      <c r="BF496" s="2">
        <f t="shared" si="368"/>
        <v>122.23562821021866</v>
      </c>
      <c r="BG496" s="2">
        <f t="shared" si="369"/>
        <v>0</v>
      </c>
      <c r="BH496" s="2">
        <f t="shared" si="394"/>
        <v>9</v>
      </c>
      <c r="BI496" s="2">
        <f t="shared" si="395"/>
        <v>4.8</v>
      </c>
      <c r="BK496">
        <f t="shared" si="370"/>
        <v>52.603284734360834</v>
      </c>
      <c r="BP496" s="2" t="str">
        <f>VLOOKUP(A496,'[7]Table 2'!$J$2:$N$449,5,FALSE)</f>
        <v>NIT issued</v>
      </c>
      <c r="BR496">
        <f t="shared" si="375"/>
        <v>82.662412768112659</v>
      </c>
      <c r="BT496">
        <f>(X496*I496*365*[5]Analysis!BK496)/10^4</f>
        <v>67.783291004262765</v>
      </c>
      <c r="BV496">
        <f>(X496*I496*365*[5]Analysis!BL496)/10^4</f>
        <v>14.879121763849888</v>
      </c>
      <c r="BX496">
        <f t="shared" si="376"/>
        <v>444969.99250177562</v>
      </c>
      <c r="BZ496">
        <f t="shared" si="377"/>
        <v>1245301.7770342433</v>
      </c>
      <c r="CB496">
        <f t="shared" si="378"/>
        <v>-119365.18617179891</v>
      </c>
      <c r="CD496">
        <f t="shared" si="379"/>
        <v>0</v>
      </c>
      <c r="CF496">
        <f t="shared" si="380"/>
        <v>822812.37370245368</v>
      </c>
      <c r="CH496">
        <f t="shared" si="381"/>
        <v>447988.55923514214</v>
      </c>
      <c r="CJ496">
        <f t="shared" si="382"/>
        <v>-45593.160597520968</v>
      </c>
      <c r="CL496">
        <f t="shared" si="383"/>
        <v>373723.4287847798</v>
      </c>
    </row>
    <row r="497" spans="1:90" x14ac:dyDescent="0.2">
      <c r="A497" s="2" t="s">
        <v>526</v>
      </c>
      <c r="B497" s="2" t="str">
        <f t="shared" si="393"/>
        <v>TALCHER (OLD) TPS</v>
      </c>
      <c r="C497" s="2" t="str">
        <f>VLOOKUP($A497,'[1]daily coal, energy reqd'!$C$2:$T$599,17,FALSE)</f>
        <v>Odisha</v>
      </c>
      <c r="D497" s="2" t="str">
        <f>VLOOKUP(C497,'Target PLF'!$I$2:$J$19,2,FALSE)</f>
        <v>ER</v>
      </c>
      <c r="E497" s="2" t="str">
        <f>VLOOKUP(A497,[2]Ownership!$C$2:$D$666,2,FALSE)</f>
        <v>CENTRAL SECTOR</v>
      </c>
      <c r="F497" s="2" t="s">
        <v>551</v>
      </c>
      <c r="G497" s="12">
        <v>47.337440109513999</v>
      </c>
      <c r="H497" s="2">
        <v>110</v>
      </c>
      <c r="I497" s="2">
        <f>VLOOKUP(A497,'[3]Calculated coal req (reg.)'!$A$2:$I$599,9,FALSE)</f>
        <v>2.11222231315217</v>
      </c>
      <c r="J497" s="2"/>
      <c r="K497" s="11">
        <v>0.80008420952733716</v>
      </c>
      <c r="L497" s="3">
        <f>VLOOKUP(F497,'Target PLF'!$A$2:$B$11,2,FALSE)</f>
        <v>0.55000000000000004</v>
      </c>
      <c r="M497" s="3">
        <f t="shared" si="371"/>
        <v>-0.25008420952733712</v>
      </c>
      <c r="N497" s="2" t="str">
        <f t="shared" si="354"/>
        <v>0.25</v>
      </c>
      <c r="O497" s="2">
        <f t="shared" si="396"/>
        <v>15.479018797885555</v>
      </c>
      <c r="P497" s="2">
        <f t="shared" si="355"/>
        <v>621482.60473510507</v>
      </c>
      <c r="Q497" s="2">
        <f t="shared" si="356"/>
        <v>16.173512165468857</v>
      </c>
      <c r="R497" s="2">
        <f t="shared" si="357"/>
        <v>1.4520000000000002</v>
      </c>
      <c r="S497" s="2"/>
      <c r="T497" s="2" t="str">
        <f>VLOOKUP(A497,'[4]CEA vs MERIT comp. &amp; NPA marker'!$C$2:$K$735,9,FALSE)</f>
        <v>Contracted</v>
      </c>
      <c r="U497" s="3">
        <f>VLOOKUP(B497,'[8]Import-Domestic share'!$A$208:$F$406,6,FALSE)</f>
        <v>0</v>
      </c>
      <c r="V497" s="3">
        <f t="shared" si="358"/>
        <v>0</v>
      </c>
      <c r="W497" s="2">
        <f t="shared" si="359"/>
        <v>3495.8496496420257</v>
      </c>
      <c r="X497" s="2">
        <f t="shared" si="360"/>
        <v>3413.1790123975225</v>
      </c>
      <c r="Y497" s="6">
        <f t="shared" si="361"/>
        <v>0.24600600317238008</v>
      </c>
      <c r="Z497" s="2"/>
      <c r="AA497" s="2">
        <f t="shared" si="362"/>
        <v>655886.94872903591</v>
      </c>
      <c r="AB497" s="2" t="s">
        <v>576</v>
      </c>
      <c r="AC497" s="12">
        <f>VLOOKUP(B497,[9]Sheet1!$A$2:$B$137,2,FALSE)</f>
        <v>4012.015183713771</v>
      </c>
      <c r="AD497" s="12">
        <f t="shared" si="363"/>
        <v>441321.67020851478</v>
      </c>
      <c r="AE497" s="2" t="s">
        <v>589</v>
      </c>
      <c r="AF497" s="7">
        <f>VLOOKUP($B497,'[9]Subsidiary wise dispatch'!$A$3:$R$138,11,FALSE)*$H497*$O497*365</f>
        <v>0</v>
      </c>
      <c r="AG497" s="7">
        <f>VLOOKUP($B497,'[9]Subsidiary wise dispatch'!$A$3:$R$138,12,FALSE)*$H497*$O497*365</f>
        <v>0</v>
      </c>
      <c r="AH497" s="7">
        <f>VLOOKUP($B497,'[9]Subsidiary wise dispatch'!$A$3:$R$138,13,FALSE)*$H497*$O497*365</f>
        <v>67743.693986050712</v>
      </c>
      <c r="AI497" s="7">
        <f>VLOOKUP($B497,'[9]Subsidiary wise dispatch'!$A$3:$R$138,14,FALSE)*$H497*$O497*365</f>
        <v>553738.91074905428</v>
      </c>
      <c r="AJ497" s="7">
        <f>VLOOKUP($B497,'[9]Subsidiary wise dispatch'!$A$3:$R$138,15,FALSE)*$H497*$O497*365</f>
        <v>0</v>
      </c>
      <c r="AK497" s="7">
        <f>VLOOKUP($B497,'[9]Subsidiary wise dispatch'!$A$3:$R$138,16,FALSE)*$H497*$O497*365</f>
        <v>0</v>
      </c>
      <c r="AL497" s="7">
        <f>VLOOKUP($B497,'[9]Subsidiary wise dispatch'!$A$3:$R$138,17,FALSE)*$H497*$O497*365</f>
        <v>0</v>
      </c>
      <c r="AM497" s="7">
        <f>VLOOKUP($B497,'[9]Subsidiary wise dispatch'!$A$3:$R$138,18,FALSE)*$H497*$O497*365</f>
        <v>0</v>
      </c>
      <c r="AN497" s="15">
        <f t="shared" si="364"/>
        <v>621482.60473510495</v>
      </c>
      <c r="AO497" s="6">
        <v>0.10471132406131005</v>
      </c>
      <c r="AP497" s="11">
        <f t="shared" si="365"/>
        <v>0.22117359512200679</v>
      </c>
      <c r="AQ497" s="11"/>
      <c r="AR497" s="3">
        <f>VLOOKUP(A497,[10]Sheet1!$A$2:$L$542,12,FALSE)</f>
        <v>1.6734602463606001</v>
      </c>
      <c r="AS497" s="3">
        <f t="shared" si="372"/>
        <v>2.568313126995081</v>
      </c>
      <c r="AT497" s="2"/>
      <c r="AU497" s="2"/>
      <c r="AV497" s="88">
        <f t="shared" si="373"/>
        <v>-0.18326671042582318</v>
      </c>
      <c r="AW497" s="32">
        <f t="shared" si="374"/>
        <v>7.1356840604651944E-2</v>
      </c>
      <c r="AX497" s="12">
        <f t="shared" si="366"/>
        <v>198.00696273102309</v>
      </c>
      <c r="AY497" s="12">
        <f t="shared" si="367"/>
        <v>0</v>
      </c>
      <c r="AZ497" s="3">
        <f>VLOOKUP(A497,[5]Analysis!$A$3:$BJ$543,62,FALSE)</f>
        <v>0.52168500517713878</v>
      </c>
      <c r="BA497" s="2">
        <v>106.34</v>
      </c>
      <c r="BB497" s="2"/>
      <c r="BC497" s="2" t="str">
        <f>VLOOKUP(A497,'[6]FGD status - Jun 2020'!$I$2:$M$449,5,FALSE)</f>
        <v>NIT issued</v>
      </c>
      <c r="BD497" s="2" t="str">
        <f>VLOOKUP(A497,'[1]daily coal, energy reqd'!$C$2:$L$599,10,FALSE)</f>
        <v>Y</v>
      </c>
      <c r="BE497" s="2"/>
      <c r="BF497" s="2">
        <f t="shared" si="368"/>
        <v>202.99701063163661</v>
      </c>
      <c r="BG497" s="2">
        <f t="shared" si="369"/>
        <v>0</v>
      </c>
      <c r="BH497" s="2">
        <f t="shared" si="394"/>
        <v>16.5</v>
      </c>
      <c r="BI497" s="2">
        <f t="shared" si="395"/>
        <v>8.8000000000000007</v>
      </c>
      <c r="BK497">
        <f t="shared" si="370"/>
        <v>88.009263048007085</v>
      </c>
      <c r="BP497" s="2" t="str">
        <f>VLOOKUP(A497,'[7]Table 2'!$J$2:$N$449,5,FALSE)</f>
        <v>NIT issued</v>
      </c>
      <c r="BR497">
        <f t="shared" si="375"/>
        <v>137.27767369646904</v>
      </c>
      <c r="BT497">
        <f>(X497*I497*365*[5]Analysis!BK497)/10^4</f>
        <v>112.56787931727877</v>
      </c>
      <c r="BV497">
        <f>(X497*I497*365*[5]Analysis!BL497)/10^4</f>
        <v>24.709794379190257</v>
      </c>
      <c r="BX497">
        <f t="shared" si="376"/>
        <v>738962.76904879522</v>
      </c>
      <c r="BZ497">
        <f t="shared" si="377"/>
        <v>2083483.8018692613</v>
      </c>
      <c r="CB497">
        <f t="shared" si="378"/>
        <v>-182249.89468654763</v>
      </c>
      <c r="CD497">
        <f t="shared" si="379"/>
        <v>0</v>
      </c>
      <c r="CF497">
        <f t="shared" si="380"/>
        <v>1376627.1631518914</v>
      </c>
      <c r="CH497">
        <f t="shared" si="381"/>
        <v>740355.2020140785</v>
      </c>
      <c r="CJ497">
        <f t="shared" si="382"/>
        <v>-139848.12713149202</v>
      </c>
      <c r="CL497">
        <f t="shared" si="383"/>
        <v>625267.48504809849</v>
      </c>
    </row>
    <row r="498" spans="1:90" x14ac:dyDescent="0.2">
      <c r="A498" s="2" t="s">
        <v>525</v>
      </c>
      <c r="B498" s="2" t="str">
        <f t="shared" si="393"/>
        <v>TALCHER (OLD) TPS</v>
      </c>
      <c r="C498" s="2" t="str">
        <f>VLOOKUP($A498,'[1]daily coal, energy reqd'!$C$2:$T$599,17,FALSE)</f>
        <v>Odisha</v>
      </c>
      <c r="D498" s="2" t="str">
        <f>VLOOKUP(C498,'Target PLF'!$I$2:$J$19,2,FALSE)</f>
        <v>ER</v>
      </c>
      <c r="E498" s="2" t="str">
        <f>VLOOKUP(A498,[2]Ownership!$C$2:$D$666,2,FALSE)</f>
        <v>CENTRAL SECTOR</v>
      </c>
      <c r="F498" s="2" t="s">
        <v>551</v>
      </c>
      <c r="G498" s="12">
        <v>46.924024640657002</v>
      </c>
      <c r="H498" s="2">
        <v>110</v>
      </c>
      <c r="I498" s="2">
        <f>VLOOKUP(A498,'[3]Calculated coal req (reg.)'!$A$2:$I$599,9,FALSE)</f>
        <v>2.3337168423468699</v>
      </c>
      <c r="J498" s="2"/>
      <c r="K498" s="11">
        <v>0.88398365240411736</v>
      </c>
      <c r="L498" s="3">
        <f>VLOOKUP(F498,'Target PLF'!$A$2:$B$11,2,FALSE)</f>
        <v>0.55000000000000004</v>
      </c>
      <c r="M498" s="3">
        <f t="shared" si="371"/>
        <v>-0.33398365240411731</v>
      </c>
      <c r="N498" s="2" t="str">
        <f t="shared" si="354"/>
        <v>0.25</v>
      </c>
      <c r="O498" s="2">
        <f t="shared" si="396"/>
        <v>16.633241981487018</v>
      </c>
      <c r="P498" s="2">
        <f t="shared" si="355"/>
        <v>667824.66555670381</v>
      </c>
      <c r="Q498" s="2">
        <f t="shared" si="356"/>
        <v>16.160417230492811</v>
      </c>
      <c r="R498" s="2">
        <f t="shared" si="357"/>
        <v>1.4520000000000002</v>
      </c>
      <c r="S498" s="2"/>
      <c r="T498" s="2" t="str">
        <f>VLOOKUP(A498,'[4]CEA vs MERIT comp. &amp; NPA marker'!$C$2:$K$735,9,FALSE)</f>
        <v>Contracted</v>
      </c>
      <c r="U498" s="3">
        <f>VLOOKUP(B498,'[8]Import-Domestic share'!$A$208:$F$406,6,FALSE)</f>
        <v>0</v>
      </c>
      <c r="V498" s="3">
        <f t="shared" si="358"/>
        <v>0</v>
      </c>
      <c r="W498" s="2">
        <f t="shared" si="359"/>
        <v>3492.6909334558513</v>
      </c>
      <c r="X498" s="2">
        <f t="shared" si="360"/>
        <v>3382.2855567002393</v>
      </c>
      <c r="Y498" s="6">
        <f t="shared" si="361"/>
        <v>0.24622848582513168</v>
      </c>
      <c r="Z498" s="2"/>
      <c r="AA498" s="2">
        <f t="shared" si="362"/>
        <v>718106.28546197421</v>
      </c>
      <c r="AB498" s="2" t="s">
        <v>576</v>
      </c>
      <c r="AC498" s="12">
        <f>VLOOKUP(B498,[9]Sheet1!$A$2:$B$137,2,FALSE)</f>
        <v>4012.015183713771</v>
      </c>
      <c r="AD498" s="12">
        <f t="shared" si="363"/>
        <v>441321.67020851478</v>
      </c>
      <c r="AE498" s="2" t="s">
        <v>589</v>
      </c>
      <c r="AF498" s="7">
        <f>VLOOKUP($B498,'[9]Subsidiary wise dispatch'!$A$3:$R$138,11,FALSE)*$H498*$O498*365</f>
        <v>0</v>
      </c>
      <c r="AG498" s="7">
        <f>VLOOKUP($B498,'[9]Subsidiary wise dispatch'!$A$3:$R$138,12,FALSE)*$H498*$O498*365</f>
        <v>0</v>
      </c>
      <c r="AH498" s="7">
        <f>VLOOKUP($B498,'[9]Subsidiary wise dispatch'!$A$3:$R$138,13,FALSE)*$H498*$O498*365</f>
        <v>72795.134465739495</v>
      </c>
      <c r="AI498" s="7">
        <f>VLOOKUP($B498,'[9]Subsidiary wise dispatch'!$A$3:$R$138,14,FALSE)*$H498*$O498*365</f>
        <v>595029.53109096421</v>
      </c>
      <c r="AJ498" s="7">
        <f>VLOOKUP($B498,'[9]Subsidiary wise dispatch'!$A$3:$R$138,15,FALSE)*$H498*$O498*365</f>
        <v>0</v>
      </c>
      <c r="AK498" s="7">
        <f>VLOOKUP($B498,'[9]Subsidiary wise dispatch'!$A$3:$R$138,16,FALSE)*$H498*$O498*365</f>
        <v>0</v>
      </c>
      <c r="AL498" s="7">
        <f>VLOOKUP($B498,'[9]Subsidiary wise dispatch'!$A$3:$R$138,17,FALSE)*$H498*$O498*365</f>
        <v>0</v>
      </c>
      <c r="AM498" s="7">
        <f>VLOOKUP($B498,'[9]Subsidiary wise dispatch'!$A$3:$R$138,18,FALSE)*$H498*$O498*365</f>
        <v>0</v>
      </c>
      <c r="AN498" s="15">
        <f t="shared" si="364"/>
        <v>667824.66555670369</v>
      </c>
      <c r="AO498" s="6">
        <v>0.10471132406131005</v>
      </c>
      <c r="AP498" s="11">
        <f t="shared" si="365"/>
        <v>0.24436658054632032</v>
      </c>
      <c r="AQ498" s="11"/>
      <c r="AR498" s="3">
        <f>VLOOKUP(A498,[10]Sheet1!$A$2:$L$542,12,FALSE)</f>
        <v>1.6734602463606001</v>
      </c>
      <c r="AS498" s="3">
        <f t="shared" si="372"/>
        <v>2.5620854129469577</v>
      </c>
      <c r="AT498" s="2"/>
      <c r="AU498" s="2"/>
      <c r="AV498" s="88">
        <f t="shared" si="373"/>
        <v>-0.24474990015478526</v>
      </c>
      <c r="AW498" s="32">
        <f t="shared" si="374"/>
        <v>9.5527611576879251E-2</v>
      </c>
      <c r="AX498" s="12">
        <f t="shared" si="366"/>
        <v>218.24013860998261</v>
      </c>
      <c r="AY498" s="12">
        <f t="shared" si="367"/>
        <v>0</v>
      </c>
      <c r="AZ498" s="3">
        <f>VLOOKUP(A498,[5]Analysis!$A$3:$BJ$543,62,FALSE)</f>
        <v>0.52168500517713878</v>
      </c>
      <c r="BA498" s="2">
        <v>106.34</v>
      </c>
      <c r="BB498" s="2"/>
      <c r="BC498" s="2" t="str">
        <f>VLOOKUP(A498,'[6]FGD status - Jun 2020'!$I$2:$M$449,5,FALSE)</f>
        <v>NIT issued</v>
      </c>
      <c r="BD498" s="2" t="str">
        <f>VLOOKUP(A498,'[1]daily coal, energy reqd'!$C$2:$L$599,10,FALSE)</f>
        <v>Y</v>
      </c>
      <c r="BE498" s="2"/>
      <c r="BF498" s="2">
        <f t="shared" si="368"/>
        <v>222.25389535048103</v>
      </c>
      <c r="BG498" s="2">
        <f t="shared" si="369"/>
        <v>0</v>
      </c>
      <c r="BH498" s="2">
        <f t="shared" si="394"/>
        <v>16.5</v>
      </c>
      <c r="BI498" s="2">
        <f t="shared" si="395"/>
        <v>8.8000000000000007</v>
      </c>
      <c r="BK498">
        <f t="shared" si="370"/>
        <v>97.23820176445291</v>
      </c>
      <c r="BP498" s="2" t="str">
        <f>VLOOKUP(A498,'[7]Table 2'!$J$2:$N$449,5,FALSE)</f>
        <v>NIT issued</v>
      </c>
      <c r="BR498">
        <f t="shared" si="375"/>
        <v>150.30023165738933</v>
      </c>
      <c r="BT498">
        <f>(X498*I498*365*[5]Analysis!BK498)/10^4</f>
        <v>123.24639457379747</v>
      </c>
      <c r="BV498">
        <f>(X498*I498*365*[5]Analysis!BL498)/10^4</f>
        <v>27.05383708359183</v>
      </c>
      <c r="BX498">
        <f t="shared" si="376"/>
        <v>809062.91885303543</v>
      </c>
      <c r="BZ498">
        <f t="shared" si="377"/>
        <v>2301964.7169255586</v>
      </c>
      <c r="CB498">
        <f t="shared" si="378"/>
        <v>-222476.60819781525</v>
      </c>
      <c r="CD498">
        <f t="shared" si="379"/>
        <v>0</v>
      </c>
      <c r="CF498">
        <f t="shared" si="380"/>
        <v>1520984.7828400973</v>
      </c>
      <c r="CH498">
        <f t="shared" si="381"/>
        <v>810847.44418781146</v>
      </c>
      <c r="CJ498">
        <f t="shared" si="382"/>
        <v>-154513.05841494392</v>
      </c>
      <c r="CL498">
        <f t="shared" si="383"/>
        <v>690835.07533399144</v>
      </c>
    </row>
    <row r="499" spans="1:90" x14ac:dyDescent="0.2">
      <c r="A499" s="2" t="s">
        <v>478</v>
      </c>
      <c r="B499" s="2" t="str">
        <f t="shared" si="393"/>
        <v>TANDA STPS</v>
      </c>
      <c r="C499" s="2" t="str">
        <f>VLOOKUP($A499,'[1]daily coal, energy reqd'!$C$2:$T$599,17,FALSE)</f>
        <v>Uttar Pradesh</v>
      </c>
      <c r="D499" s="2" t="str">
        <f>VLOOKUP(C499,'Target PLF'!$I$2:$J$19,2,FALSE)</f>
        <v>NR</v>
      </c>
      <c r="E499" s="2" t="str">
        <f>VLOOKUP(A499,[2]Ownership!$C$2:$D$666,2,FALSE)</f>
        <v>CENTRAL SECTOR</v>
      </c>
      <c r="F499" s="2" t="s">
        <v>548</v>
      </c>
      <c r="G499" s="12">
        <v>32.175222450376403</v>
      </c>
      <c r="H499" s="2">
        <v>110</v>
      </c>
      <c r="I499" s="2">
        <f>VLOOKUP(A499,'[3]Calculated coal req (reg.)'!$A$2:$I$599,9,FALSE)</f>
        <v>1.7730571357946201</v>
      </c>
      <c r="J499" s="2"/>
      <c r="K499" s="11">
        <v>0.6716125514373561</v>
      </c>
      <c r="L499" s="3">
        <f>VLOOKUP(F499,'Target PLF'!$A$2:$B$11,2,FALSE)</f>
        <v>0.6</v>
      </c>
      <c r="M499" s="3">
        <f t="shared" si="371"/>
        <v>-7.161255143735612E-2</v>
      </c>
      <c r="N499" s="2" t="str">
        <f t="shared" si="354"/>
        <v>0.25</v>
      </c>
      <c r="O499" s="2">
        <f t="shared" si="396"/>
        <v>13.211290833029038</v>
      </c>
      <c r="P499" s="2">
        <f t="shared" si="355"/>
        <v>530433.32694611582</v>
      </c>
      <c r="Q499" s="2">
        <f t="shared" si="356"/>
        <v>15.693248921115671</v>
      </c>
      <c r="R499" s="2">
        <f t="shared" si="357"/>
        <v>1.5840000000000001</v>
      </c>
      <c r="S499" s="2"/>
      <c r="T499" s="2" t="str">
        <f>VLOOKUP(A499,'[4]CEA vs MERIT comp. &amp; NPA marker'!$C$2:$K$735,9,FALSE)</f>
        <v>Contracted</v>
      </c>
      <c r="U499" s="3">
        <f>VLOOKUP(B499,'[8]Import-Domestic share'!$A$208:$F$406,6,FALSE)</f>
        <v>0</v>
      </c>
      <c r="V499" s="3">
        <f t="shared" si="358"/>
        <v>0</v>
      </c>
      <c r="W499" s="2">
        <f t="shared" si="359"/>
        <v>3363.4736046153312</v>
      </c>
      <c r="X499" s="2">
        <f t="shared" si="360"/>
        <v>3339.8005575516227</v>
      </c>
      <c r="Y499" s="6">
        <f t="shared" si="361"/>
        <v>0.25568804786216098</v>
      </c>
      <c r="Z499" s="2"/>
      <c r="AA499" s="2">
        <f t="shared" si="362"/>
        <v>496692.87803029199</v>
      </c>
      <c r="AB499" s="2" t="s">
        <v>576</v>
      </c>
      <c r="AC499" s="12">
        <f>VLOOKUP(B499,[9]Sheet1!$A$2:$B$137,2,FALSE)</f>
        <v>4351.5922565188512</v>
      </c>
      <c r="AD499" s="12">
        <f t="shared" si="363"/>
        <v>478675.14821707364</v>
      </c>
      <c r="AE499" s="2"/>
      <c r="AF499" s="7">
        <f>VLOOKUP($B499,'[9]Subsidiary wise dispatch'!$A$3:$R$138,11,FALSE)*$H499*$O499*365</f>
        <v>0</v>
      </c>
      <c r="AG499" s="7">
        <f>VLOOKUP($B499,'[9]Subsidiary wise dispatch'!$A$3:$R$138,12,FALSE)*$H499*$O499*365</f>
        <v>530433.32694611582</v>
      </c>
      <c r="AH499" s="7">
        <f>VLOOKUP($B499,'[9]Subsidiary wise dispatch'!$A$3:$R$138,13,FALSE)*$H499*$O499*365</f>
        <v>0</v>
      </c>
      <c r="AI499" s="7">
        <f>VLOOKUP($B499,'[9]Subsidiary wise dispatch'!$A$3:$R$138,14,FALSE)*$H499*$O499*365</f>
        <v>0</v>
      </c>
      <c r="AJ499" s="7">
        <f>VLOOKUP($B499,'[9]Subsidiary wise dispatch'!$A$3:$R$138,15,FALSE)*$H499*$O499*365</f>
        <v>0</v>
      </c>
      <c r="AK499" s="7">
        <f>VLOOKUP($B499,'[9]Subsidiary wise dispatch'!$A$3:$R$138,16,FALSE)*$H499*$O499*365</f>
        <v>0</v>
      </c>
      <c r="AL499" s="7">
        <f>VLOOKUP($B499,'[9]Subsidiary wise dispatch'!$A$3:$R$138,17,FALSE)*$H499*$O499*365</f>
        <v>0</v>
      </c>
      <c r="AM499" s="7">
        <f>VLOOKUP($B499,'[9]Subsidiary wise dispatch'!$A$3:$R$138,18,FALSE)*$H499*$O499*365</f>
        <v>0</v>
      </c>
      <c r="AN499" s="15">
        <f t="shared" si="364"/>
        <v>530433.32694611582</v>
      </c>
      <c r="AO499" s="6">
        <v>0.12115813368341415</v>
      </c>
      <c r="AP499" s="11">
        <f t="shared" si="365"/>
        <v>0.21482029348693596</v>
      </c>
      <c r="AQ499" s="11"/>
      <c r="AR499" s="3">
        <f>VLOOKUP(A499,[10]Sheet1!$A$2:$L$542,12,FALSE)</f>
        <v>2.8828179824561402</v>
      </c>
      <c r="AS499" s="3">
        <f t="shared" si="372"/>
        <v>2.9671150173220306</v>
      </c>
      <c r="AT499" s="2"/>
      <c r="AU499" s="2"/>
      <c r="AV499" s="88">
        <f t="shared" si="373"/>
        <v>-5.2479109944323317E-2</v>
      </c>
      <c r="AW499" s="32">
        <f t="shared" si="374"/>
        <v>1.7686914608281121E-2</v>
      </c>
      <c r="AX499" s="12">
        <f t="shared" si="366"/>
        <v>192.02155257779646</v>
      </c>
      <c r="AY499" s="12">
        <f t="shared" si="367"/>
        <v>0</v>
      </c>
      <c r="AZ499" s="3">
        <f>VLOOKUP(A499,[5]Analysis!$A$3:$BJ$543,62,FALSE)</f>
        <v>0.77136752759212912</v>
      </c>
      <c r="BA499" s="2">
        <v>91.6</v>
      </c>
      <c r="BB499" s="2"/>
      <c r="BC499" s="2" t="str">
        <f>VLOOKUP(A499,'[6]FGD status - Jun 2020'!$I$2:$M$449,5,FALSE)</f>
        <v>Bid Awarded</v>
      </c>
      <c r="BD499" s="2" t="str">
        <f>VLOOKUP(A499,'[1]daily coal, energy reqd'!$C$2:$L$599,10,FALSE)</f>
        <v>Y</v>
      </c>
      <c r="BE499" s="2"/>
      <c r="BF499" s="2">
        <f t="shared" si="368"/>
        <v>153.72644575037538</v>
      </c>
      <c r="BG499" s="2">
        <f t="shared" si="369"/>
        <v>0</v>
      </c>
      <c r="BH499" s="2">
        <f t="shared" si="394"/>
        <v>16.5</v>
      </c>
      <c r="BI499" s="2">
        <f t="shared" si="395"/>
        <v>8.8000000000000007</v>
      </c>
      <c r="BK499">
        <f t="shared" si="370"/>
        <v>73.877380658109175</v>
      </c>
      <c r="BL499" t="str">
        <f>VLOOKUP(A499,'[11]Daily coal vs energy req.2'!$C$2:$P$599,14,FALSE)</f>
        <v/>
      </c>
      <c r="BM499" t="str">
        <f>VLOOKUP(A499,'[11]Daily coal vs energy req.2'!$C$2:$R$599,16,FALSE)</f>
        <v/>
      </c>
      <c r="BP499" s="2" t="str">
        <f>VLOOKUP(A499,'[7]Table 2'!$J$2:$N$449,5,FALSE)</f>
        <v>Bid Awarded</v>
      </c>
      <c r="BR499">
        <f t="shared" si="375"/>
        <v>166.72375398803715</v>
      </c>
      <c r="BT499">
        <f>(X499*I499*365*[5]Analysis!BK499)/10^4</f>
        <v>84.134655614916241</v>
      </c>
      <c r="BV499">
        <f>(X499*I499*365*[5]Analysis!BL499)/10^4</f>
        <v>82.589098373120891</v>
      </c>
      <c r="BX499">
        <f t="shared" si="376"/>
        <v>606969.86409652</v>
      </c>
      <c r="BZ499">
        <f t="shared" si="377"/>
        <v>2585986.3691108408</v>
      </c>
      <c r="CB499">
        <f t="shared" si="378"/>
        <v>-128420.24533003544</v>
      </c>
      <c r="CD499">
        <f t="shared" si="379"/>
        <v>0</v>
      </c>
      <c r="CF499">
        <f t="shared" si="380"/>
        <v>1155578.463382761</v>
      </c>
      <c r="CH499">
        <f t="shared" si="381"/>
        <v>422415.67571942805</v>
      </c>
      <c r="CJ499">
        <f t="shared" si="382"/>
        <v>-117392.33990382601</v>
      </c>
      <c r="CL499">
        <f t="shared" si="383"/>
        <v>607306.42178048147</v>
      </c>
    </row>
    <row r="500" spans="1:90" x14ac:dyDescent="0.2">
      <c r="A500" s="2" t="s">
        <v>468</v>
      </c>
      <c r="B500" s="2" t="str">
        <f t="shared" si="393"/>
        <v>TANDA STPS</v>
      </c>
      <c r="C500" s="2" t="str">
        <f>VLOOKUP($A500,'[1]daily coal, energy reqd'!$C$2:$T$599,17,FALSE)</f>
        <v>Uttar Pradesh</v>
      </c>
      <c r="D500" s="2" t="str">
        <f>VLOOKUP(C500,'Target PLF'!$I$2:$J$19,2,FALSE)</f>
        <v>NR</v>
      </c>
      <c r="E500" s="2" t="str">
        <f>VLOOKUP(A500,[2]Ownership!$C$2:$D$666,2,FALSE)</f>
        <v>CENTRAL SECTOR</v>
      </c>
      <c r="F500" s="2" t="s">
        <v>548</v>
      </c>
      <c r="G500" s="12">
        <v>31.175906913073199</v>
      </c>
      <c r="H500" s="2">
        <v>110</v>
      </c>
      <c r="I500" s="2">
        <f>VLOOKUP(A500,'[3]Calculated coal req (reg.)'!$A$2:$I$599,9,FALSE)</f>
        <v>1.74970229850883</v>
      </c>
      <c r="J500" s="2"/>
      <c r="K500" s="11">
        <v>0.66276602216243563</v>
      </c>
      <c r="L500" s="3">
        <f>VLOOKUP(F500,'Target PLF'!$A$2:$B$11,2,FALSE)</f>
        <v>0.6</v>
      </c>
      <c r="M500" s="3">
        <f t="shared" si="371"/>
        <v>-6.2766022162435653E-2</v>
      </c>
      <c r="N500" s="2" t="str">
        <f t="shared" si="354"/>
        <v>0.25</v>
      </c>
      <c r="O500" s="2">
        <f t="shared" si="396"/>
        <v>13.056553097624208</v>
      </c>
      <c r="P500" s="2">
        <f t="shared" si="355"/>
        <v>524220.60686961195</v>
      </c>
      <c r="Q500" s="2">
        <f t="shared" si="356"/>
        <v>15.661595601471593</v>
      </c>
      <c r="R500" s="2">
        <f t="shared" si="357"/>
        <v>1.5840000000000001</v>
      </c>
      <c r="S500" s="2"/>
      <c r="T500" s="2" t="str">
        <f>VLOOKUP(A500,'[4]CEA vs MERIT comp. &amp; NPA marker'!$C$2:$K$735,9,FALSE)</f>
        <v>Contracted</v>
      </c>
      <c r="U500" s="3">
        <f>VLOOKUP(B500,'[8]Import-Domestic share'!$A$208:$F$406,6,FALSE)</f>
        <v>0</v>
      </c>
      <c r="V500" s="3">
        <f t="shared" si="358"/>
        <v>0</v>
      </c>
      <c r="W500" s="2">
        <f t="shared" si="359"/>
        <v>3355.8382972778913</v>
      </c>
      <c r="X500" s="2">
        <f t="shared" si="360"/>
        <v>3335.0896580124286</v>
      </c>
      <c r="Y500" s="6">
        <f t="shared" si="361"/>
        <v>0.25626979723593779</v>
      </c>
      <c r="Z500" s="2"/>
      <c r="AA500" s="2">
        <f t="shared" si="362"/>
        <v>489459.02997683908</v>
      </c>
      <c r="AB500" s="2" t="s">
        <v>576</v>
      </c>
      <c r="AC500" s="12">
        <f>VLOOKUP(B500,[9]Sheet1!$A$2:$B$137,2,FALSE)</f>
        <v>4351.5922565188512</v>
      </c>
      <c r="AD500" s="12">
        <f t="shared" si="363"/>
        <v>478675.14821707364</v>
      </c>
      <c r="AE500" s="2"/>
      <c r="AF500" s="7">
        <f>VLOOKUP($B500,'[9]Subsidiary wise dispatch'!$A$3:$R$138,11,FALSE)*$H500*$O500*365</f>
        <v>0</v>
      </c>
      <c r="AG500" s="7">
        <f>VLOOKUP($B500,'[9]Subsidiary wise dispatch'!$A$3:$R$138,12,FALSE)*$H500*$O500*365</f>
        <v>524220.60686961195</v>
      </c>
      <c r="AH500" s="7">
        <f>VLOOKUP($B500,'[9]Subsidiary wise dispatch'!$A$3:$R$138,13,FALSE)*$H500*$O500*365</f>
        <v>0</v>
      </c>
      <c r="AI500" s="7">
        <f>VLOOKUP($B500,'[9]Subsidiary wise dispatch'!$A$3:$R$138,14,FALSE)*$H500*$O500*365</f>
        <v>0</v>
      </c>
      <c r="AJ500" s="7">
        <f>VLOOKUP($B500,'[9]Subsidiary wise dispatch'!$A$3:$R$138,15,FALSE)*$H500*$O500*365</f>
        <v>0</v>
      </c>
      <c r="AK500" s="7">
        <f>VLOOKUP($B500,'[9]Subsidiary wise dispatch'!$A$3:$R$138,16,FALSE)*$H500*$O500*365</f>
        <v>0</v>
      </c>
      <c r="AL500" s="7">
        <f>VLOOKUP($B500,'[9]Subsidiary wise dispatch'!$A$3:$R$138,17,FALSE)*$H500*$O500*365</f>
        <v>0</v>
      </c>
      <c r="AM500" s="7">
        <f>VLOOKUP($B500,'[9]Subsidiary wise dispatch'!$A$3:$R$138,18,FALSE)*$H500*$O500*365</f>
        <v>0</v>
      </c>
      <c r="AN500" s="15">
        <f t="shared" si="364"/>
        <v>524220.60686961195</v>
      </c>
      <c r="AO500" s="6">
        <v>0.12115813368341415</v>
      </c>
      <c r="AP500" s="11">
        <f t="shared" si="365"/>
        <v>0.21199066498890984</v>
      </c>
      <c r="AQ500" s="11"/>
      <c r="AR500" s="3">
        <f>VLOOKUP(A500,[10]Sheet1!$A$2:$L$542,12,FALSE)</f>
        <v>2.8828179824561402</v>
      </c>
      <c r="AS500" s="3">
        <f t="shared" si="372"/>
        <v>2.9592327182233018</v>
      </c>
      <c r="AT500" s="2"/>
      <c r="AU500" s="2"/>
      <c r="AV500" s="88">
        <f t="shared" si="373"/>
        <v>-4.5996196361076096E-2</v>
      </c>
      <c r="AW500" s="32">
        <f t="shared" si="374"/>
        <v>1.5543284608143904E-2</v>
      </c>
      <c r="AX500" s="12">
        <f t="shared" si="366"/>
        <v>188.98883454477132</v>
      </c>
      <c r="AY500" s="12">
        <f t="shared" si="367"/>
        <v>0</v>
      </c>
      <c r="AZ500" s="3">
        <f>VLOOKUP(A500,[5]Analysis!$A$3:$BJ$543,62,FALSE)</f>
        <v>0.77136752759212912</v>
      </c>
      <c r="BA500" s="2">
        <v>91.6</v>
      </c>
      <c r="BB500" s="2"/>
      <c r="BC500" s="2" t="str">
        <f>VLOOKUP(A500,'[6]FGD status - Jun 2020'!$I$2:$M$449,5,FALSE)</f>
        <v>Bid Awarded</v>
      </c>
      <c r="BD500" s="2" t="str">
        <f>VLOOKUP(A500,'[1]daily coal, energy reqd'!$C$2:$L$599,10,FALSE)</f>
        <v>Y</v>
      </c>
      <c r="BE500" s="2"/>
      <c r="BF500" s="2">
        <f t="shared" si="368"/>
        <v>151.48756977783171</v>
      </c>
      <c r="BG500" s="2">
        <f t="shared" si="369"/>
        <v>0</v>
      </c>
      <c r="BH500" s="2">
        <f t="shared" si="394"/>
        <v>16.5</v>
      </c>
      <c r="BI500" s="2">
        <f t="shared" si="395"/>
        <v>8.8000000000000007</v>
      </c>
      <c r="BK500">
        <f t="shared" si="370"/>
        <v>72.904262437867914</v>
      </c>
      <c r="BL500" t="str">
        <f>VLOOKUP(A500,'[11]Daily coal vs energy req.2'!$C$2:$P$599,14,FALSE)</f>
        <v/>
      </c>
      <c r="BM500" t="str">
        <f>VLOOKUP(A500,'[11]Daily coal vs energy req.2'!$C$2:$R$599,16,FALSE)</f>
        <v/>
      </c>
      <c r="BP500" s="2" t="str">
        <f>VLOOKUP(A500,'[7]Table 2'!$J$2:$N$449,5,FALSE)</f>
        <v>Bid Awarded</v>
      </c>
      <c r="BR500">
        <f t="shared" si="375"/>
        <v>164.29558487872052</v>
      </c>
      <c r="BT500">
        <f>(X500*I500*365*[5]Analysis!BK500)/10^4</f>
        <v>82.909316292231679</v>
      </c>
      <c r="BV500">
        <f>(X500*I500*365*[5]Analysis!BL500)/10^4</f>
        <v>81.386268586488853</v>
      </c>
      <c r="BX500">
        <f t="shared" si="376"/>
        <v>598129.93913663086</v>
      </c>
      <c r="BZ500">
        <f t="shared" si="377"/>
        <v>2551923.5689592888</v>
      </c>
      <c r="CB500">
        <f t="shared" si="378"/>
        <v>-125059.40510644697</v>
      </c>
      <c r="CD500">
        <f t="shared" si="379"/>
        <v>0</v>
      </c>
      <c r="CF500">
        <f t="shared" si="380"/>
        <v>1140357.0999881895</v>
      </c>
      <c r="CH500">
        <f t="shared" si="381"/>
        <v>403904.78278279863</v>
      </c>
      <c r="CJ500">
        <f t="shared" si="382"/>
        <v>-115846.03948197112</v>
      </c>
      <c r="CL500">
        <f t="shared" si="383"/>
        <v>599306.93751290755</v>
      </c>
    </row>
    <row r="501" spans="1:90" x14ac:dyDescent="0.2">
      <c r="A501" s="2" t="s">
        <v>461</v>
      </c>
      <c r="B501" s="2" t="str">
        <f t="shared" si="393"/>
        <v>TANDA STPS</v>
      </c>
      <c r="C501" s="2" t="str">
        <f>VLOOKUP($A501,'[1]daily coal, energy reqd'!$C$2:$T$599,17,FALSE)</f>
        <v>Uttar Pradesh</v>
      </c>
      <c r="D501" s="2" t="str">
        <f>VLOOKUP(C501,'Target PLF'!$I$2:$J$19,2,FALSE)</f>
        <v>NR</v>
      </c>
      <c r="E501" s="2" t="str">
        <f>VLOOKUP(A501,[2]Ownership!$C$2:$D$666,2,FALSE)</f>
        <v>CENTRAL SECTOR</v>
      </c>
      <c r="F501" s="2" t="s">
        <v>548</v>
      </c>
      <c r="G501" s="12">
        <v>30.176591375769998</v>
      </c>
      <c r="H501" s="2">
        <v>110</v>
      </c>
      <c r="I501" s="2">
        <f>VLOOKUP(A501,'[3]Calculated coal req (reg.)'!$A$2:$I$599,9,FALSE)</f>
        <v>1.70559766441292</v>
      </c>
      <c r="J501" s="2"/>
      <c r="K501" s="11">
        <v>0.64605972136853029</v>
      </c>
      <c r="L501" s="3">
        <f>VLOOKUP(F501,'Target PLF'!$A$2:$B$11,2,FALSE)</f>
        <v>0.6</v>
      </c>
      <c r="M501" s="3">
        <f t="shared" si="371"/>
        <v>-4.6059721368530315E-2</v>
      </c>
      <c r="N501" s="2" t="str">
        <f t="shared" si="354"/>
        <v>0.25</v>
      </c>
      <c r="O501" s="2">
        <f t="shared" si="396"/>
        <v>12.792460003144287</v>
      </c>
      <c r="P501" s="2">
        <f t="shared" si="355"/>
        <v>513617.26912624307</v>
      </c>
      <c r="Q501" s="2">
        <f t="shared" si="356"/>
        <v>15.629942281827514</v>
      </c>
      <c r="R501" s="2">
        <f t="shared" si="357"/>
        <v>1.5840000000000001</v>
      </c>
      <c r="S501" s="2"/>
      <c r="T501" s="2" t="str">
        <f>VLOOKUP(A501,'[4]CEA vs MERIT comp. &amp; NPA marker'!$C$2:$K$735,9,FALSE)</f>
        <v>Contracted</v>
      </c>
      <c r="U501" s="3">
        <f>VLOOKUP(B501,'[8]Import-Domestic share'!$A$208:$F$406,6,FALSE)</f>
        <v>0</v>
      </c>
      <c r="V501" s="3">
        <f t="shared" si="358"/>
        <v>0</v>
      </c>
      <c r="W501" s="2">
        <f t="shared" si="359"/>
        <v>3348.2029899404511</v>
      </c>
      <c r="X501" s="2">
        <f t="shared" si="360"/>
        <v>3332.9769725759907</v>
      </c>
      <c r="Y501" s="6">
        <f t="shared" si="361"/>
        <v>0.25685419987492913</v>
      </c>
      <c r="Z501" s="2"/>
      <c r="AA501" s="2">
        <f t="shared" si="362"/>
        <v>476819.02457195567</v>
      </c>
      <c r="AB501" s="2" t="s">
        <v>576</v>
      </c>
      <c r="AC501" s="12">
        <f>VLOOKUP(B501,[9]Sheet1!$A$2:$B$137,2,FALSE)</f>
        <v>4351.5922565188512</v>
      </c>
      <c r="AD501" s="12">
        <f t="shared" si="363"/>
        <v>478675.14821707364</v>
      </c>
      <c r="AE501" s="2"/>
      <c r="AF501" s="7">
        <f>VLOOKUP($B501,'[9]Subsidiary wise dispatch'!$A$3:$R$138,11,FALSE)*$H501*$O501*365</f>
        <v>0</v>
      </c>
      <c r="AG501" s="7">
        <f>VLOOKUP($B501,'[9]Subsidiary wise dispatch'!$A$3:$R$138,12,FALSE)*$H501*$O501*365</f>
        <v>513617.26912624307</v>
      </c>
      <c r="AH501" s="7">
        <f>VLOOKUP($B501,'[9]Subsidiary wise dispatch'!$A$3:$R$138,13,FALSE)*$H501*$O501*365</f>
        <v>0</v>
      </c>
      <c r="AI501" s="7">
        <f>VLOOKUP($B501,'[9]Subsidiary wise dispatch'!$A$3:$R$138,14,FALSE)*$H501*$O501*365</f>
        <v>0</v>
      </c>
      <c r="AJ501" s="7">
        <f>VLOOKUP($B501,'[9]Subsidiary wise dispatch'!$A$3:$R$138,15,FALSE)*$H501*$O501*365</f>
        <v>0</v>
      </c>
      <c r="AK501" s="7">
        <f>VLOOKUP($B501,'[9]Subsidiary wise dispatch'!$A$3:$R$138,16,FALSE)*$H501*$O501*365</f>
        <v>0</v>
      </c>
      <c r="AL501" s="7">
        <f>VLOOKUP($B501,'[9]Subsidiary wise dispatch'!$A$3:$R$138,17,FALSE)*$H501*$O501*365</f>
        <v>0</v>
      </c>
      <c r="AM501" s="7">
        <f>VLOOKUP($B501,'[9]Subsidiary wise dispatch'!$A$3:$R$138,18,FALSE)*$H501*$O501*365</f>
        <v>0</v>
      </c>
      <c r="AN501" s="15">
        <f t="shared" si="364"/>
        <v>513617.26912624307</v>
      </c>
      <c r="AO501" s="6">
        <v>0.12115813368341415</v>
      </c>
      <c r="AP501" s="11">
        <f t="shared" si="365"/>
        <v>0.2066470298350595</v>
      </c>
      <c r="AQ501" s="11"/>
      <c r="AR501" s="3">
        <f>VLOOKUP(A501,[10]Sheet1!$A$2:$L$542,12,FALSE)</f>
        <v>2.8828179824561402</v>
      </c>
      <c r="AS501" s="3">
        <f t="shared" si="372"/>
        <v>2.9516167360701053</v>
      </c>
      <c r="AT501" s="2"/>
      <c r="AU501" s="2"/>
      <c r="AV501" s="88">
        <f t="shared" si="373"/>
        <v>-3.3753485013286386E-2</v>
      </c>
      <c r="AW501" s="32">
        <f t="shared" si="374"/>
        <v>1.1435592094597978E-2</v>
      </c>
      <c r="AX501" s="12">
        <f t="shared" si="366"/>
        <v>183.75087731183891</v>
      </c>
      <c r="AY501" s="12">
        <f t="shared" si="367"/>
        <v>0</v>
      </c>
      <c r="AZ501" s="3">
        <f>VLOOKUP(A501,[5]Analysis!$A$3:$BJ$543,62,FALSE)</f>
        <v>0.77136752759212912</v>
      </c>
      <c r="BA501" s="2">
        <v>91.6</v>
      </c>
      <c r="BB501" s="2"/>
      <c r="BC501" s="2" t="str">
        <f>VLOOKUP(A501,'[6]FGD status - Jun 2020'!$I$2:$M$449,5,FALSE)</f>
        <v>NIT issued</v>
      </c>
      <c r="BD501" s="2" t="str">
        <f>VLOOKUP(A501,'[1]daily coal, energy reqd'!$C$2:$L$599,10,FALSE)</f>
        <v>Y</v>
      </c>
      <c r="BE501" s="2"/>
      <c r="BF501" s="2">
        <f t="shared" si="368"/>
        <v>147.5754881050203</v>
      </c>
      <c r="BG501" s="2">
        <f t="shared" si="369"/>
        <v>0</v>
      </c>
      <c r="BH501" s="2">
        <f t="shared" si="394"/>
        <v>16.5</v>
      </c>
      <c r="BI501" s="2">
        <f t="shared" si="395"/>
        <v>8.8000000000000007</v>
      </c>
      <c r="BK501">
        <f t="shared" si="370"/>
        <v>71.06656935053833</v>
      </c>
      <c r="BL501" t="str">
        <f>VLOOKUP(A501,'[11]Daily coal vs energy req.2'!$C$2:$P$599,14,FALSE)</f>
        <v/>
      </c>
      <c r="BM501" t="str">
        <f>VLOOKUP(A501,'[11]Daily coal vs energy req.2'!$C$2:$R$599,16,FALSE)</f>
        <v/>
      </c>
      <c r="BP501" s="2" t="str">
        <f>VLOOKUP(A501,'[7]Table 2'!$J$2:$N$449,5,FALSE)</f>
        <v>NIT issued</v>
      </c>
      <c r="BR501">
        <f t="shared" si="375"/>
        <v>160.05274338703575</v>
      </c>
      <c r="BT501">
        <f>(X501*I501*365*[5]Analysis!BK501)/10^4</f>
        <v>80.768229619260111</v>
      </c>
      <c r="BV501">
        <f>(X501*I501*365*[5]Analysis!BL501)/10^4</f>
        <v>79.284513767775636</v>
      </c>
      <c r="BX501">
        <f t="shared" si="376"/>
        <v>582683.56834668468</v>
      </c>
      <c r="BZ501">
        <f t="shared" si="377"/>
        <v>2487597.3945320169</v>
      </c>
      <c r="CB501">
        <f t="shared" si="378"/>
        <v>-118834.13768000365</v>
      </c>
      <c r="CD501">
        <f t="shared" si="379"/>
        <v>0</v>
      </c>
      <c r="CF501">
        <f t="shared" si="380"/>
        <v>1111612.1913963021</v>
      </c>
      <c r="CH501">
        <f t="shared" si="381"/>
        <v>381103.12695834425</v>
      </c>
      <c r="CJ501">
        <f t="shared" si="382"/>
        <v>-112925.91576311503</v>
      </c>
      <c r="CL501">
        <f t="shared" si="383"/>
        <v>584200.24581302598</v>
      </c>
    </row>
    <row r="502" spans="1:90" x14ac:dyDescent="0.2">
      <c r="A502" s="2" t="s">
        <v>410</v>
      </c>
      <c r="B502" s="2" t="str">
        <f t="shared" si="393"/>
        <v>TANDA STPS</v>
      </c>
      <c r="C502" s="2" t="str">
        <f>VLOOKUP($A502,'[1]daily coal, energy reqd'!$C$2:$T$599,17,FALSE)</f>
        <v>Uttar Pradesh</v>
      </c>
      <c r="D502" s="2" t="str">
        <f>VLOOKUP(C502,'Target PLF'!$I$2:$J$19,2,FALSE)</f>
        <v>NR</v>
      </c>
      <c r="E502" s="2" t="str">
        <f>VLOOKUP(A502,[2]Ownership!$C$2:$D$666,2,FALSE)</f>
        <v>CENTRAL SECTOR</v>
      </c>
      <c r="F502" s="2" t="s">
        <v>546</v>
      </c>
      <c r="G502" s="12">
        <v>22.2532511978097</v>
      </c>
      <c r="H502" s="2">
        <v>110</v>
      </c>
      <c r="I502" s="2">
        <f>VLOOKUP(A502,'[3]Calculated coal req (reg.)'!$A$2:$I$599,9,FALSE)</f>
        <v>1.75241982008227</v>
      </c>
      <c r="J502" s="2"/>
      <c r="K502" s="11">
        <v>0.66379538639479929</v>
      </c>
      <c r="L502" s="3">
        <f>VLOOKUP(F502,'Target PLF'!$A$2:$B$11,2,FALSE)</f>
        <v>0.7</v>
      </c>
      <c r="M502" s="3">
        <f t="shared" si="371"/>
        <v>3.6204613605200664E-2</v>
      </c>
      <c r="N502" s="2" t="str">
        <f t="shared" si="354"/>
        <v>0.25</v>
      </c>
      <c r="O502" s="2">
        <f t="shared" si="396"/>
        <v>12.788249831217382</v>
      </c>
      <c r="P502" s="2">
        <f t="shared" si="355"/>
        <v>513448.23072337784</v>
      </c>
      <c r="Q502" s="2">
        <f t="shared" si="356"/>
        <v>15.378970481690621</v>
      </c>
      <c r="R502" s="2">
        <f t="shared" si="357"/>
        <v>1.8479999999999999</v>
      </c>
      <c r="S502" s="2"/>
      <c r="T502" s="2" t="str">
        <f>VLOOKUP(A502,'[4]CEA vs MERIT comp. &amp; NPA marker'!$C$2:$K$735,9,FALSE)</f>
        <v>Contracted</v>
      </c>
      <c r="U502" s="3">
        <f>VLOOKUP(B502,'[8]Import-Domestic share'!$A$208:$F$406,6,FALSE)</f>
        <v>0</v>
      </c>
      <c r="V502" s="3">
        <f t="shared" si="358"/>
        <v>0</v>
      </c>
      <c r="W502" s="2">
        <f t="shared" si="359"/>
        <v>3254.6072961471591</v>
      </c>
      <c r="X502" s="2">
        <f t="shared" si="360"/>
        <v>3266.5754987121668</v>
      </c>
      <c r="Y502" s="6">
        <f t="shared" si="361"/>
        <v>0.26424078905558829</v>
      </c>
      <c r="Z502" s="2"/>
      <c r="AA502" s="2">
        <f t="shared" si="362"/>
        <v>480148.44412283186</v>
      </c>
      <c r="AB502" s="2" t="s">
        <v>576</v>
      </c>
      <c r="AC502" s="12">
        <f>VLOOKUP(B502,[9]Sheet1!$A$2:$B$137,2,FALSE)</f>
        <v>4351.5922565188512</v>
      </c>
      <c r="AD502" s="12">
        <f t="shared" si="363"/>
        <v>478675.14821707364</v>
      </c>
      <c r="AE502" s="2"/>
      <c r="AF502" s="7">
        <f>VLOOKUP($B502,'[9]Subsidiary wise dispatch'!$A$3:$R$138,11,FALSE)*$H502*$O502*365</f>
        <v>0</v>
      </c>
      <c r="AG502" s="7">
        <f>VLOOKUP($B502,'[9]Subsidiary wise dispatch'!$A$3:$R$138,12,FALSE)*$H502*$O502*365</f>
        <v>513448.23072337784</v>
      </c>
      <c r="AH502" s="7">
        <f>VLOOKUP($B502,'[9]Subsidiary wise dispatch'!$A$3:$R$138,13,FALSE)*$H502*$O502*365</f>
        <v>0</v>
      </c>
      <c r="AI502" s="7">
        <f>VLOOKUP($B502,'[9]Subsidiary wise dispatch'!$A$3:$R$138,14,FALSE)*$H502*$O502*365</f>
        <v>0</v>
      </c>
      <c r="AJ502" s="7">
        <f>VLOOKUP($B502,'[9]Subsidiary wise dispatch'!$A$3:$R$138,15,FALSE)*$H502*$O502*365</f>
        <v>0</v>
      </c>
      <c r="AK502" s="7">
        <f>VLOOKUP($B502,'[9]Subsidiary wise dispatch'!$A$3:$R$138,16,FALSE)*$H502*$O502*365</f>
        <v>0</v>
      </c>
      <c r="AL502" s="7">
        <f>VLOOKUP($B502,'[9]Subsidiary wise dispatch'!$A$3:$R$138,17,FALSE)*$H502*$O502*365</f>
        <v>0</v>
      </c>
      <c r="AM502" s="7">
        <f>VLOOKUP($B502,'[9]Subsidiary wise dispatch'!$A$3:$R$138,18,FALSE)*$H502*$O502*365</f>
        <v>0</v>
      </c>
      <c r="AN502" s="15">
        <f t="shared" si="364"/>
        <v>513448.23072337784</v>
      </c>
      <c r="AO502" s="6">
        <v>0.12115813368341415</v>
      </c>
      <c r="AP502" s="11">
        <f t="shared" si="365"/>
        <v>0.21231991483099225</v>
      </c>
      <c r="AQ502" s="11"/>
      <c r="AR502" s="3">
        <f>VLOOKUP(A502,[10]Sheet1!$A$2:$L$542,12,FALSE)</f>
        <v>2.8828179824561402</v>
      </c>
      <c r="AS502" s="3">
        <f t="shared" si="372"/>
        <v>2.8861422126513565</v>
      </c>
      <c r="AT502" s="2"/>
      <c r="AU502" s="2"/>
      <c r="AV502" s="88">
        <f t="shared" si="373"/>
        <v>2.6531464942163151E-2</v>
      </c>
      <c r="AW502" s="32">
        <f t="shared" si="374"/>
        <v>9.1927088089640615E-3</v>
      </c>
      <c r="AX502" s="12">
        <f t="shared" si="366"/>
        <v>184.60724782146124</v>
      </c>
      <c r="AY502" s="12">
        <f t="shared" si="367"/>
        <v>0</v>
      </c>
      <c r="AZ502" s="3">
        <f>VLOOKUP(A502,[5]Analysis!$A$3:$BJ$543,62,FALSE)</f>
        <v>0.77136752759212912</v>
      </c>
      <c r="BA502" s="2">
        <v>91.6</v>
      </c>
      <c r="BB502" s="2"/>
      <c r="BC502" s="2" t="str">
        <f>VLOOKUP(A502,'[6]FGD status - Jun 2020'!$I$2:$M$449,5,FALSE)</f>
        <v>NIT issued</v>
      </c>
      <c r="BD502" s="2" t="str">
        <f>VLOOKUP(A502,'[1]daily coal, energy reqd'!$C$2:$L$599,10,FALSE)</f>
        <v>Y</v>
      </c>
      <c r="BE502" s="2"/>
      <c r="BF502" s="2">
        <f t="shared" si="368"/>
        <v>148.60594345601646</v>
      </c>
      <c r="BG502" s="2">
        <f t="shared" si="369"/>
        <v>0</v>
      </c>
      <c r="BH502" s="2">
        <f t="shared" si="394"/>
        <v>16.5</v>
      </c>
      <c r="BI502" s="2">
        <f t="shared" si="395"/>
        <v>8.8000000000000007</v>
      </c>
      <c r="BK502">
        <f t="shared" si="370"/>
        <v>73.017492503427917</v>
      </c>
      <c r="BL502" t="str">
        <f>VLOOKUP(A502,'[11]Daily coal vs energy req.2'!$C$2:$P$599,14,FALSE)</f>
        <v/>
      </c>
      <c r="BM502" t="str">
        <f>VLOOKUP(A502,'[11]Daily coal vs energy req.2'!$C$2:$R$599,16,FALSE)</f>
        <v/>
      </c>
      <c r="BP502" s="2" t="str">
        <f>VLOOKUP(A502,'[7]Table 2'!$J$2:$N$449,5,FALSE)</f>
        <v>NIT issued</v>
      </c>
      <c r="BR502">
        <f t="shared" si="375"/>
        <v>161.17032197669573</v>
      </c>
      <c r="BT502">
        <f>(X502*I502*365*[5]Analysis!BK502)/10^4</f>
        <v>81.332198984839494</v>
      </c>
      <c r="BV502">
        <f>(X502*I502*365*[5]Analysis!BL502)/10^4</f>
        <v>79.838122991856238</v>
      </c>
      <c r="BX502">
        <f t="shared" si="376"/>
        <v>586752.19389317848</v>
      </c>
      <c r="BZ502">
        <f t="shared" si="377"/>
        <v>2555887.0474083531</v>
      </c>
      <c r="CB502">
        <f t="shared" si="378"/>
        <v>-125448.17472644002</v>
      </c>
      <c r="CD502">
        <f t="shared" si="379"/>
        <v>0</v>
      </c>
      <c r="CF502">
        <f t="shared" si="380"/>
        <v>1142128.2270097891</v>
      </c>
      <c r="CH502">
        <f t="shared" si="381"/>
        <v>288753.57127937459</v>
      </c>
      <c r="CJ502">
        <f t="shared" si="382"/>
        <v>-116025.96386782703</v>
      </c>
      <c r="CL502">
        <f t="shared" si="383"/>
        <v>600237.74130346766</v>
      </c>
    </row>
    <row r="503" spans="1:90" x14ac:dyDescent="0.2">
      <c r="A503" s="2" t="s">
        <v>392</v>
      </c>
      <c r="B503" s="2" t="str">
        <f t="shared" si="393"/>
        <v>TENUGHAT TPS</v>
      </c>
      <c r="C503" s="2" t="str">
        <f>VLOOKUP($A503,'[1]daily coal, energy reqd'!$C$2:$T$599,17,FALSE)</f>
        <v>Jharkhand</v>
      </c>
      <c r="D503" s="2" t="str">
        <f>VLOOKUP(C503,'Target PLF'!$I$2:$J$19,2,FALSE)</f>
        <v>ER</v>
      </c>
      <c r="E503" s="2" t="str">
        <f>VLOOKUP(A503,[2]Ownership!$C$2:$D$666,2,FALSE)</f>
        <v>STATE SECTOR</v>
      </c>
      <c r="F503" s="2" t="s">
        <v>546</v>
      </c>
      <c r="G503" s="12">
        <v>23.671457905544099</v>
      </c>
      <c r="H503" s="2">
        <v>210</v>
      </c>
      <c r="I503" s="2">
        <f>VLOOKUP(A503,'[3]Calculated coal req (reg.)'!$A$2:$I$599,9,FALSE)</f>
        <v>2.60289346451966</v>
      </c>
      <c r="J503" s="2"/>
      <c r="K503" s="11">
        <v>0.51644711597612303</v>
      </c>
      <c r="L503" s="3">
        <f>VLOOKUP(F503,'Target PLF'!$A$2:$B$11,2,FALSE)</f>
        <v>0.7</v>
      </c>
      <c r="M503" s="3">
        <f t="shared" si="371"/>
        <v>0.18355288402387693</v>
      </c>
      <c r="N503" s="2" t="str">
        <f t="shared" si="354"/>
        <v>0.25</v>
      </c>
      <c r="O503" s="2">
        <f t="shared" si="396"/>
        <v>10.262280837868701</v>
      </c>
      <c r="P503" s="2">
        <f t="shared" si="355"/>
        <v>786603.82622263592</v>
      </c>
      <c r="Q503" s="2">
        <f t="shared" si="356"/>
        <v>14.903102179158108</v>
      </c>
      <c r="R503" s="2">
        <f t="shared" si="357"/>
        <v>3.528</v>
      </c>
      <c r="S503" s="2"/>
      <c r="T503" s="2" t="str">
        <f>VLOOKUP(A503,'[4]CEA vs MERIT comp. &amp; NPA marker'!$C$2:$K$735,9,FALSE)</f>
        <v>capacity not mentioned</v>
      </c>
      <c r="U503" s="3">
        <f>VLOOKUP(B503,'[8]Import-Domestic share'!$A$208:$F$406,6,FALSE)</f>
        <v>0</v>
      </c>
      <c r="V503" s="3">
        <f t="shared" si="358"/>
        <v>0</v>
      </c>
      <c r="W503" s="2">
        <f t="shared" si="359"/>
        <v>3172.8689269712522</v>
      </c>
      <c r="X503" s="2">
        <f t="shared" si="360"/>
        <v>3233.5462241064861</v>
      </c>
      <c r="Y503" s="6">
        <f t="shared" si="361"/>
        <v>0.27104807030933237</v>
      </c>
      <c r="Z503" s="2"/>
      <c r="AA503" s="2">
        <f t="shared" si="362"/>
        <v>694706.00566202868</v>
      </c>
      <c r="AB503" s="2" t="s">
        <v>576</v>
      </c>
      <c r="AC503" s="12">
        <f>VLOOKUP(B503,[9]Sheet1!$A$2:$B$137,2,FALSE)</f>
        <v>4422.0869502399582</v>
      </c>
      <c r="AD503" s="12">
        <f t="shared" si="363"/>
        <v>928638.25955039123</v>
      </c>
      <c r="AE503" s="2"/>
      <c r="AF503" s="7">
        <f>VLOOKUP($B503,'[9]Subsidiary wise dispatch'!$A$3:$R$138,11,FALSE)*$H503*$O503*365</f>
        <v>0</v>
      </c>
      <c r="AG503" s="7">
        <f>VLOOKUP($B503,'[9]Subsidiary wise dispatch'!$A$3:$R$138,12,FALSE)*$H503*$O503*365</f>
        <v>786603.82622263592</v>
      </c>
      <c r="AH503" s="7">
        <f>VLOOKUP($B503,'[9]Subsidiary wise dispatch'!$A$3:$R$138,13,FALSE)*$H503*$O503*365</f>
        <v>0</v>
      </c>
      <c r="AI503" s="7">
        <f>VLOOKUP($B503,'[9]Subsidiary wise dispatch'!$A$3:$R$138,14,FALSE)*$H503*$O503*365</f>
        <v>0</v>
      </c>
      <c r="AJ503" s="7">
        <f>VLOOKUP($B503,'[9]Subsidiary wise dispatch'!$A$3:$R$138,15,FALSE)*$H503*$O503*365</f>
        <v>0</v>
      </c>
      <c r="AK503" s="7">
        <f>VLOOKUP($B503,'[9]Subsidiary wise dispatch'!$A$3:$R$138,16,FALSE)*$H503*$O503*365</f>
        <v>0</v>
      </c>
      <c r="AL503" s="7">
        <f>VLOOKUP($B503,'[9]Subsidiary wise dispatch'!$A$3:$R$138,17,FALSE)*$H503*$O503*365</f>
        <v>0</v>
      </c>
      <c r="AM503" s="7">
        <f>VLOOKUP($B503,'[9]Subsidiary wise dispatch'!$A$3:$R$138,18,FALSE)*$H503*$O503*365</f>
        <v>0</v>
      </c>
      <c r="AN503" s="15">
        <f t="shared" si="364"/>
        <v>786603.82622263592</v>
      </c>
      <c r="AO503" s="6">
        <v>0.12642862786873815</v>
      </c>
      <c r="AP503" s="11">
        <f t="shared" si="365"/>
        <v>0.32908024920772666</v>
      </c>
      <c r="AQ503" s="11"/>
      <c r="AR503" s="3">
        <f>VLOOKUP(A503,[10]Sheet1!$A$2:$L$542,12,FALSE)</f>
        <v>1.93</v>
      </c>
      <c r="AS503" s="3">
        <f t="shared" si="372"/>
        <v>2.2795045680313968</v>
      </c>
      <c r="AT503" s="2"/>
      <c r="AU503" s="2"/>
      <c r="AV503" s="88">
        <f t="shared" si="373"/>
        <v>0.1345112244703775</v>
      </c>
      <c r="AW503" s="32">
        <f t="shared" si="374"/>
        <v>5.9008973422037383E-2</v>
      </c>
      <c r="AX503" s="12">
        <f t="shared" si="366"/>
        <v>216.56572530021464</v>
      </c>
      <c r="AY503" s="12">
        <f t="shared" si="367"/>
        <v>0</v>
      </c>
      <c r="AZ503" s="3">
        <f>VLOOKUP(A503,[5]Analysis!$A$3:$BJ$543,62,FALSE)</f>
        <v>0.47071823404264984</v>
      </c>
      <c r="BA503" s="2"/>
      <c r="BB503" s="2"/>
      <c r="BC503" s="2" t="str">
        <f>VLOOKUP(A503,'[6]FGD status - Jun 2020'!$I$2:$M$449,5,FALSE)</f>
        <v>Feasiblity Study Completed</v>
      </c>
      <c r="BD503" s="2" t="str">
        <f>VLOOKUP(A503,'[1]daily coal, energy reqd'!$C$2:$L$599,10,FALSE)</f>
        <v>Y</v>
      </c>
      <c r="BE503" s="2"/>
      <c r="BF503" s="2">
        <f t="shared" si="368"/>
        <v>215.01150875239787</v>
      </c>
      <c r="BG503" s="2">
        <f t="shared" si="369"/>
        <v>0</v>
      </c>
      <c r="BH503" s="2">
        <f t="shared" si="394"/>
        <v>31.5</v>
      </c>
      <c r="BI503" s="2">
        <f t="shared" si="395"/>
        <v>16.8</v>
      </c>
      <c r="BK503">
        <f t="shared" si="370"/>
        <v>108.45389435498583</v>
      </c>
      <c r="BP503" s="2" t="str">
        <f>VLOOKUP(A503,'[7]Table 2'!$J$2:$N$449,5,FALSE)</f>
        <v>Feasiblity Study Completed</v>
      </c>
      <c r="BR503">
        <f t="shared" si="375"/>
        <v>144.60701212395955</v>
      </c>
      <c r="BT503">
        <f>(X503*I503*365*[5]Analysis!BK503)/10^4</f>
        <v>117.67603910846533</v>
      </c>
      <c r="BV503">
        <f>(X503*I503*365*[5]Analysis!BL503)/10^4</f>
        <v>26.930973015494207</v>
      </c>
      <c r="BX503">
        <f t="shared" si="376"/>
        <v>862699.07422977209</v>
      </c>
      <c r="BZ503">
        <f t="shared" si="377"/>
        <v>2316645.3994783056</v>
      </c>
      <c r="CB503">
        <f t="shared" si="378"/>
        <v>-144968.68855677973</v>
      </c>
      <c r="CD503">
        <f t="shared" si="379"/>
        <v>0</v>
      </c>
      <c r="CF503">
        <f t="shared" si="380"/>
        <v>1696418.8966931691</v>
      </c>
      <c r="CH503">
        <f t="shared" si="381"/>
        <v>456222.95905099896</v>
      </c>
      <c r="CJ503">
        <f t="shared" si="382"/>
        <v>-329003.13102182053</v>
      </c>
      <c r="CL503">
        <f t="shared" si="383"/>
        <v>930324.3440412085</v>
      </c>
    </row>
    <row r="504" spans="1:90" x14ac:dyDescent="0.2">
      <c r="A504" s="2" t="s">
        <v>386</v>
      </c>
      <c r="B504" s="2" t="str">
        <f t="shared" si="393"/>
        <v>TENUGHAT TPS</v>
      </c>
      <c r="C504" s="2" t="str">
        <f>VLOOKUP($A504,'[1]daily coal, energy reqd'!$C$2:$T$599,17,FALSE)</f>
        <v>Jharkhand</v>
      </c>
      <c r="D504" s="2" t="str">
        <f>VLOOKUP(C504,'Target PLF'!$I$2:$J$19,2,FALSE)</f>
        <v>ER</v>
      </c>
      <c r="E504" s="2" t="str">
        <f>VLOOKUP(A504,[2]Ownership!$C$2:$D$666,2,FALSE)</f>
        <v>STATE SECTOR</v>
      </c>
      <c r="F504" s="2" t="s">
        <v>546</v>
      </c>
      <c r="G504" s="12">
        <v>22.672142368240898</v>
      </c>
      <c r="H504" s="2">
        <v>210</v>
      </c>
      <c r="I504" s="2">
        <f>VLOOKUP(A504,'[3]Calculated coal req (reg.)'!$A$2:$I$599,9,FALSE)</f>
        <v>3.1006005782438999</v>
      </c>
      <c r="J504" s="2"/>
      <c r="K504" s="11">
        <v>0.61519852742934522</v>
      </c>
      <c r="L504" s="3">
        <f>VLOOKUP(F504,'Target PLF'!$A$2:$B$11,2,FALSE)</f>
        <v>0.7</v>
      </c>
      <c r="M504" s="3">
        <f t="shared" si="371"/>
        <v>8.4801472570654735E-2</v>
      </c>
      <c r="N504" s="2" t="str">
        <f t="shared" si="354"/>
        <v>0.25</v>
      </c>
      <c r="O504" s="2">
        <f t="shared" si="396"/>
        <v>11.60458553119674</v>
      </c>
      <c r="P504" s="2">
        <f t="shared" si="355"/>
        <v>889491.48096623016</v>
      </c>
      <c r="Q504" s="2">
        <f t="shared" si="356"/>
        <v>14.871448859514029</v>
      </c>
      <c r="R504" s="2">
        <f t="shared" si="357"/>
        <v>3.528</v>
      </c>
      <c r="S504" s="2"/>
      <c r="T504" s="2" t="str">
        <f>VLOOKUP(A504,'[4]CEA vs MERIT comp. &amp; NPA marker'!$C$2:$K$735,9,FALSE)</f>
        <v>capacity not mentioned</v>
      </c>
      <c r="U504" s="3">
        <f>VLOOKUP(B504,'[8]Import-Domestic share'!$A$208:$F$406,6,FALSE)</f>
        <v>0</v>
      </c>
      <c r="V504" s="3">
        <f t="shared" si="358"/>
        <v>0</v>
      </c>
      <c r="W504" s="2">
        <f t="shared" si="359"/>
        <v>3165.2336196338124</v>
      </c>
      <c r="X504" s="2">
        <f t="shared" si="360"/>
        <v>3193.266544183261</v>
      </c>
      <c r="Y504" s="6">
        <f t="shared" si="361"/>
        <v>0.27170190366532687</v>
      </c>
      <c r="Z504" s="2"/>
      <c r="AA504" s="2">
        <f t="shared" si="362"/>
        <v>817234.2911276659</v>
      </c>
      <c r="AB504" s="2" t="s">
        <v>576</v>
      </c>
      <c r="AC504" s="12">
        <f>VLOOKUP(B504,[9]Sheet1!$A$2:$B$137,2,FALSE)</f>
        <v>4422.0869502399582</v>
      </c>
      <c r="AD504" s="12">
        <f t="shared" si="363"/>
        <v>928638.25955039123</v>
      </c>
      <c r="AE504" s="2"/>
      <c r="AF504" s="7">
        <f>VLOOKUP($B504,'[9]Subsidiary wise dispatch'!$A$3:$R$138,11,FALSE)*$H504*$O504*365</f>
        <v>0</v>
      </c>
      <c r="AG504" s="7">
        <f>VLOOKUP($B504,'[9]Subsidiary wise dispatch'!$A$3:$R$138,12,FALSE)*$H504*$O504*365</f>
        <v>889491.48096623016</v>
      </c>
      <c r="AH504" s="7">
        <f>VLOOKUP($B504,'[9]Subsidiary wise dispatch'!$A$3:$R$138,13,FALSE)*$H504*$O504*365</f>
        <v>0</v>
      </c>
      <c r="AI504" s="7">
        <f>VLOOKUP($B504,'[9]Subsidiary wise dispatch'!$A$3:$R$138,14,FALSE)*$H504*$O504*365</f>
        <v>0</v>
      </c>
      <c r="AJ504" s="7">
        <f>VLOOKUP($B504,'[9]Subsidiary wise dispatch'!$A$3:$R$138,15,FALSE)*$H504*$O504*365</f>
        <v>0</v>
      </c>
      <c r="AK504" s="7">
        <f>VLOOKUP($B504,'[9]Subsidiary wise dispatch'!$A$3:$R$138,16,FALSE)*$H504*$O504*365</f>
        <v>0</v>
      </c>
      <c r="AL504" s="7">
        <f>VLOOKUP($B504,'[9]Subsidiary wise dispatch'!$A$3:$R$138,17,FALSE)*$H504*$O504*365</f>
        <v>0</v>
      </c>
      <c r="AM504" s="7">
        <f>VLOOKUP($B504,'[9]Subsidiary wise dispatch'!$A$3:$R$138,18,FALSE)*$H504*$O504*365</f>
        <v>0</v>
      </c>
      <c r="AN504" s="15">
        <f t="shared" si="364"/>
        <v>889491.48096623016</v>
      </c>
      <c r="AO504" s="6">
        <v>0.12642862786873815</v>
      </c>
      <c r="AP504" s="11">
        <f t="shared" si="365"/>
        <v>0.39200467667639233</v>
      </c>
      <c r="AQ504" s="11"/>
      <c r="AR504" s="3">
        <f>VLOOKUP(A504,[10]Sheet1!$A$2:$L$542,12,FALSE)</f>
        <v>1.93</v>
      </c>
      <c r="AS504" s="3">
        <f t="shared" si="372"/>
        <v>2.2679764689433046</v>
      </c>
      <c r="AT504" s="2"/>
      <c r="AU504" s="2"/>
      <c r="AV504" s="88">
        <f t="shared" si="373"/>
        <v>6.2144215129227208E-2</v>
      </c>
      <c r="AW504" s="32">
        <f t="shared" si="374"/>
        <v>2.7400731877161598E-2</v>
      </c>
      <c r="AX504" s="12">
        <f t="shared" si="366"/>
        <v>256.67125401329469</v>
      </c>
      <c r="AY504" s="12">
        <f t="shared" si="367"/>
        <v>0</v>
      </c>
      <c r="AZ504" s="3">
        <f>VLOOKUP(A504,[5]Analysis!$A$3:$BJ$543,62,FALSE)</f>
        <v>0.47071823404264984</v>
      </c>
      <c r="BA504" s="2"/>
      <c r="BB504" s="2"/>
      <c r="BC504" s="2" t="str">
        <f>VLOOKUP(A504,'[6]FGD status - Jun 2020'!$I$2:$M$449,5,FALSE)</f>
        <v>Feasiblity Study Completed</v>
      </c>
      <c r="BD504" s="2" t="str">
        <f>VLOOKUP(A504,'[1]daily coal, energy reqd'!$C$2:$L$599,10,FALSE)</f>
        <v>Y</v>
      </c>
      <c r="BE504" s="2"/>
      <c r="BF504" s="2">
        <f t="shared" si="368"/>
        <v>252.93401310401259</v>
      </c>
      <c r="BG504" s="2">
        <f t="shared" si="369"/>
        <v>0</v>
      </c>
      <c r="BH504" s="2">
        <f t="shared" si="394"/>
        <v>31.5</v>
      </c>
      <c r="BI504" s="2">
        <f t="shared" si="395"/>
        <v>16.8</v>
      </c>
      <c r="BK504">
        <f t="shared" si="370"/>
        <v>129.19169076016249</v>
      </c>
      <c r="BP504" s="2" t="str">
        <f>VLOOKUP(A504,'[7]Table 2'!$J$2:$N$449,5,FALSE)</f>
        <v>Feasiblity Study Completed</v>
      </c>
      <c r="BR504">
        <f t="shared" si="375"/>
        <v>170.11197266474596</v>
      </c>
      <c r="BT504">
        <f>(X504*I504*365*[5]Analysis!BK504)/10^4</f>
        <v>138.43106813489084</v>
      </c>
      <c r="BV504">
        <f>(X504*I504*365*[5]Analysis!BL504)/10^4</f>
        <v>31.680904529855098</v>
      </c>
      <c r="BX504">
        <f t="shared" si="376"/>
        <v>1014857.0195716057</v>
      </c>
      <c r="BZ504">
        <f t="shared" si="377"/>
        <v>2759618.1569167902</v>
      </c>
      <c r="CB504">
        <f t="shared" si="378"/>
        <v>-205708.89513642862</v>
      </c>
      <c r="CD504">
        <f t="shared" si="379"/>
        <v>0</v>
      </c>
      <c r="CF504">
        <f t="shared" si="380"/>
        <v>2020796.2729667032</v>
      </c>
      <c r="CH504">
        <f t="shared" si="381"/>
        <v>520516.04491358495</v>
      </c>
      <c r="CJ504">
        <f t="shared" si="382"/>
        <v>-391912.81248945073</v>
      </c>
      <c r="CL504">
        <f t="shared" si="383"/>
        <v>1108214.469169935</v>
      </c>
    </row>
    <row r="505" spans="1:90" x14ac:dyDescent="0.2">
      <c r="A505" s="2" t="s">
        <v>298</v>
      </c>
      <c r="B505" s="2" t="str">
        <f t="shared" si="393"/>
        <v>THAMMINAPATNAM TPS</v>
      </c>
      <c r="C505" s="2" t="str">
        <f>VLOOKUP($A505,'[1]daily coal, energy reqd'!$C$2:$T$599,17,FALSE)</f>
        <v>Andhra Pradesh</v>
      </c>
      <c r="D505" s="2" t="str">
        <f>VLOOKUP(C505,'Target PLF'!$I$2:$J$19,2,FALSE)</f>
        <v>SR</v>
      </c>
      <c r="E505" s="2" t="str">
        <f>VLOOKUP(A505,[2]Ownership!$C$2:$D$666,2,FALSE)</f>
        <v>PVT SECTOR</v>
      </c>
      <c r="F505" s="2" t="s">
        <v>543</v>
      </c>
      <c r="G505" s="12">
        <v>8.1752224503764506</v>
      </c>
      <c r="H505" s="2">
        <v>150</v>
      </c>
      <c r="I505" s="2">
        <f>VLOOKUP(A505,'[3]Calculated coal req (reg.)'!$A$2:$I$599,9,FALSE)</f>
        <v>0.118846038808552</v>
      </c>
      <c r="J505" s="2"/>
      <c r="K505" s="11">
        <v>3.3012788557931112E-2</v>
      </c>
      <c r="L505" s="3">
        <f>VLOOKUP(F505,'Target PLF'!$A$2:$B$11,2,FALSE)</f>
        <v>0.85</v>
      </c>
      <c r="M505" s="3">
        <f t="shared" si="371"/>
        <v>0.81698721144206887</v>
      </c>
      <c r="N505" s="2" t="str">
        <f t="shared" si="354"/>
        <v>0.15</v>
      </c>
      <c r="O505" s="2">
        <f t="shared" si="396"/>
        <v>2.4969033521587374</v>
      </c>
      <c r="P505" s="2">
        <f t="shared" si="355"/>
        <v>136705.45853069087</v>
      </c>
      <c r="Q505" s="2">
        <f t="shared" si="356"/>
        <v>13.863891521115672</v>
      </c>
      <c r="R505" s="2">
        <f t="shared" si="357"/>
        <v>3.06</v>
      </c>
      <c r="S505" s="2"/>
      <c r="T505" s="2" t="str">
        <f>VLOOKUP(A505,'[4]CEA vs MERIT comp. &amp; NPA marker'!$C$2:$K$735,9,FALSE)</f>
        <v>Not contracted</v>
      </c>
      <c r="U505" s="3">
        <f>VLOOKUP(B505,'[8]Import-Domestic share'!$A$208:$F$406,6,FALSE)</f>
        <v>1</v>
      </c>
      <c r="V505" s="3">
        <f t="shared" si="358"/>
        <v>136705.45853069087</v>
      </c>
      <c r="W505" s="2">
        <f t="shared" si="359"/>
        <v>3285.8838246153327</v>
      </c>
      <c r="X505" s="2">
        <f t="shared" si="360"/>
        <v>3555.956267486391</v>
      </c>
      <c r="Y505" s="6">
        <f t="shared" si="361"/>
        <v>0.26172562570762137</v>
      </c>
      <c r="Z505" s="2"/>
      <c r="AA505" s="2">
        <f t="shared" si="362"/>
        <v>35989.997794453688</v>
      </c>
      <c r="AB505" s="2" t="s">
        <v>576</v>
      </c>
      <c r="AC505" s="12"/>
      <c r="AD505" s="12">
        <f t="shared" si="363"/>
        <v>0</v>
      </c>
      <c r="AE505" s="2"/>
      <c r="AF505" s="7"/>
      <c r="AG505" s="7"/>
      <c r="AH505" s="7"/>
      <c r="AI505" s="7"/>
      <c r="AJ505" s="7"/>
      <c r="AK505" s="7"/>
      <c r="AL505" s="7"/>
      <c r="AM505" s="7"/>
      <c r="AN505" s="15">
        <f t="shared" si="364"/>
        <v>0</v>
      </c>
      <c r="AO505" s="6">
        <v>0.1233619249363473</v>
      </c>
      <c r="AP505" s="11">
        <f t="shared" si="365"/>
        <v>1.4661076118482811E-2</v>
      </c>
      <c r="AQ505" s="11"/>
      <c r="AR505" s="3"/>
      <c r="AS505" s="3">
        <f t="shared" si="372"/>
        <v>3.6466616560070388</v>
      </c>
      <c r="AT505" s="2"/>
      <c r="AU505" s="2"/>
      <c r="AV505" s="88">
        <f t="shared" si="373"/>
        <v>0.59870456828897689</v>
      </c>
      <c r="AW505" s="32">
        <f t="shared" si="374"/>
        <v>0.16417880921383216</v>
      </c>
      <c r="AX505" s="12">
        <f t="shared" si="366"/>
        <v>15.818782183238692</v>
      </c>
      <c r="AY505" s="12">
        <f t="shared" si="367"/>
        <v>0</v>
      </c>
      <c r="AZ505" s="3">
        <f>VLOOKUP(A505,[5]Analysis!$A$3:$BJ$543,62,FALSE)</f>
        <v>1.2224735304310752</v>
      </c>
      <c r="BA505" s="2"/>
      <c r="BB505" s="2"/>
      <c r="BC505" s="2" t="e">
        <f>VLOOKUP(A505,'[6]FGD status - Jun 2020'!$I$2:$M$449,5,FALSE)</f>
        <v>#N/A</v>
      </c>
      <c r="BD505" s="2"/>
      <c r="BE505" s="2"/>
      <c r="BF505" s="2">
        <f t="shared" si="368"/>
        <v>18.826367846278725</v>
      </c>
      <c r="BG505" s="2">
        <f t="shared" si="369"/>
        <v>0</v>
      </c>
      <c r="BH505" s="2"/>
      <c r="BI505" s="2"/>
      <c r="BK505">
        <f t="shared" si="370"/>
        <v>4.9519182836896665</v>
      </c>
      <c r="BL505">
        <f>VLOOKUP(A505,'[11]Daily coal vs energy req.2'!$C$2:$P$599,14,FALSE)</f>
        <v>0.71</v>
      </c>
      <c r="BM505">
        <f>VLOOKUP(A505,'[11]Daily coal vs energy req.2'!$C$2:$R$599,16,FALSE)</f>
        <v>1.02</v>
      </c>
      <c r="BN505">
        <f>BL505*H505</f>
        <v>106.5</v>
      </c>
      <c r="BO505">
        <f>BM505*H505</f>
        <v>153</v>
      </c>
      <c r="BP505" s="2" t="e">
        <f>VLOOKUP(A505,'[7]Table 2'!$J$2:$N$449,5,FALSE)</f>
        <v>#N/A</v>
      </c>
      <c r="BR505">
        <f t="shared" si="375"/>
        <v>18.857036907987144</v>
      </c>
      <c r="BT505">
        <f>(X505*I505*365*[5]Analysis!BK505)/10^4</f>
        <v>18.857036907987144</v>
      </c>
      <c r="BV505">
        <f>(X505*I505*365*[5]Analysis!BL505)/10^4</f>
        <v>0</v>
      </c>
      <c r="BX505">
        <f t="shared" si="376"/>
        <v>43317.659948138142</v>
      </c>
      <c r="BZ505">
        <f t="shared" si="377"/>
        <v>274704.84786693641</v>
      </c>
      <c r="CB505">
        <f t="shared" si="378"/>
        <v>-423.11544826794437</v>
      </c>
      <c r="CD505">
        <f t="shared" si="379"/>
        <v>-43859.465084478783</v>
      </c>
      <c r="CF505">
        <f t="shared" si="380"/>
        <v>77457.133294221523</v>
      </c>
      <c r="CH505">
        <f t="shared" si="381"/>
        <v>7194.1589217050177</v>
      </c>
      <c r="CJ505">
        <f t="shared" si="382"/>
        <v>-10730.014613830119</v>
      </c>
      <c r="CL505">
        <f t="shared" si="383"/>
        <v>41447.507274300122</v>
      </c>
    </row>
    <row r="506" spans="1:90" x14ac:dyDescent="0.2">
      <c r="A506" s="2" t="s">
        <v>293</v>
      </c>
      <c r="B506" s="2" t="str">
        <f t="shared" si="393"/>
        <v>THAMMINAPATNAM TPS</v>
      </c>
      <c r="C506" s="2" t="str">
        <f>VLOOKUP($A506,'[1]daily coal, energy reqd'!$C$2:$T$599,17,FALSE)</f>
        <v>Andhra Pradesh</v>
      </c>
      <c r="D506" s="2" t="str">
        <f>VLOOKUP(C506,'Target PLF'!$I$2:$J$19,2,FALSE)</f>
        <v>SR</v>
      </c>
      <c r="E506" s="2" t="str">
        <f>VLOOKUP(A506,[2]Ownership!$C$2:$D$666,2,FALSE)</f>
        <v>PVT SECTOR</v>
      </c>
      <c r="F506" s="2" t="s">
        <v>543</v>
      </c>
      <c r="G506" s="12">
        <v>7.8412046543463303</v>
      </c>
      <c r="H506" s="2">
        <v>150</v>
      </c>
      <c r="I506" s="2">
        <f>VLOOKUP(A506,'[3]Calculated coal req (reg.)'!$A$2:$I$599,9,FALSE)</f>
        <v>0.19324291187739401</v>
      </c>
      <c r="J506" s="2"/>
      <c r="K506" s="11">
        <v>5.3678586632609451E-2</v>
      </c>
      <c r="L506" s="3">
        <f>VLOOKUP(F506,'Target PLF'!$A$2:$B$11,2,FALSE)</f>
        <v>0.85</v>
      </c>
      <c r="M506" s="3">
        <f t="shared" si="371"/>
        <v>0.79632141336739048</v>
      </c>
      <c r="N506" s="2" t="str">
        <f t="shared" si="354"/>
        <v>0.15</v>
      </c>
      <c r="O506" s="2">
        <f t="shared" si="396"/>
        <v>2.7738527868219052</v>
      </c>
      <c r="P506" s="2">
        <f t="shared" si="355"/>
        <v>151868.44007849929</v>
      </c>
      <c r="Q506" s="2">
        <f t="shared" si="356"/>
        <v>13.853311507426419</v>
      </c>
      <c r="R506" s="2">
        <f t="shared" si="357"/>
        <v>3.06</v>
      </c>
      <c r="S506" s="2"/>
      <c r="T506" s="2" t="str">
        <f>VLOOKUP(A506,'[4]CEA vs MERIT comp. &amp; NPA marker'!$C$2:$K$735,9,FALSE)</f>
        <v>Not contracted</v>
      </c>
      <c r="U506" s="3">
        <f>VLOOKUP(B506,'[8]Import-Domestic share'!$A$208:$F$406,6,FALSE)</f>
        <v>1</v>
      </c>
      <c r="V506" s="3">
        <f t="shared" si="358"/>
        <v>151868.44007849929</v>
      </c>
      <c r="W506" s="2">
        <f t="shared" si="359"/>
        <v>3283.3317492861061</v>
      </c>
      <c r="X506" s="2">
        <f t="shared" si="360"/>
        <v>3546.5726744886597</v>
      </c>
      <c r="Y506" s="6">
        <f t="shared" si="361"/>
        <v>0.26192906037807162</v>
      </c>
      <c r="Z506" s="2"/>
      <c r="AA506" s="2">
        <f t="shared" si="362"/>
        <v>58365.086617613109</v>
      </c>
      <c r="AB506" s="2" t="s">
        <v>576</v>
      </c>
      <c r="AC506" s="12"/>
      <c r="AD506" s="12">
        <f t="shared" si="363"/>
        <v>0</v>
      </c>
      <c r="AE506" s="2"/>
      <c r="AF506" s="7"/>
      <c r="AG506" s="7"/>
      <c r="AH506" s="7"/>
      <c r="AI506" s="7"/>
      <c r="AJ506" s="7"/>
      <c r="AK506" s="7"/>
      <c r="AL506" s="7"/>
      <c r="AM506" s="7"/>
      <c r="AN506" s="15">
        <f t="shared" si="364"/>
        <v>0</v>
      </c>
      <c r="AO506" s="6">
        <v>0.1233619249363473</v>
      </c>
      <c r="AP506" s="11">
        <f t="shared" si="365"/>
        <v>2.3838817589500256E-2</v>
      </c>
      <c r="AQ506" s="11"/>
      <c r="AR506" s="3"/>
      <c r="AS506" s="3">
        <f t="shared" si="372"/>
        <v>3.6432266029540661</v>
      </c>
      <c r="AT506" s="2"/>
      <c r="AU506" s="2"/>
      <c r="AV506" s="88">
        <f t="shared" si="373"/>
        <v>0.58356025814389112</v>
      </c>
      <c r="AW506" s="32">
        <f t="shared" si="374"/>
        <v>0.16017676684472998</v>
      </c>
      <c r="AX506" s="12">
        <f t="shared" si="366"/>
        <v>25.697011684517101</v>
      </c>
      <c r="AY506" s="12">
        <f t="shared" si="367"/>
        <v>0</v>
      </c>
      <c r="AZ506" s="3">
        <f>VLOOKUP(A506,[5]Analysis!$A$3:$BJ$543,62,FALSE)</f>
        <v>1.2224735304310752</v>
      </c>
      <c r="BA506" s="2"/>
      <c r="BB506" s="2"/>
      <c r="BC506" s="2" t="e">
        <f>VLOOKUP(A506,'[6]FGD status - Jun 2020'!$I$2:$M$449,5,FALSE)</f>
        <v>#N/A</v>
      </c>
      <c r="BD506" s="2"/>
      <c r="BE506" s="2"/>
      <c r="BF506" s="2">
        <f t="shared" si="368"/>
        <v>30.530776809673416</v>
      </c>
      <c r="BG506" s="2">
        <f t="shared" si="369"/>
        <v>0</v>
      </c>
      <c r="BH506" s="2"/>
      <c r="BI506" s="2"/>
      <c r="BK506">
        <f t="shared" si="370"/>
        <v>8.0517879948914182</v>
      </c>
      <c r="BL506">
        <f>VLOOKUP(A506,'[11]Daily coal vs energy req.2'!$C$2:$P$599,14,FALSE)</f>
        <v>1.56</v>
      </c>
      <c r="BM506">
        <f>VLOOKUP(A506,'[11]Daily coal vs energy req.2'!$C$2:$R$599,16,FALSE)</f>
        <v>1.69</v>
      </c>
      <c r="BN506">
        <f>BL506*H506</f>
        <v>234</v>
      </c>
      <c r="BO506">
        <f>BM506*H506</f>
        <v>253.5</v>
      </c>
      <c r="BP506" s="2" t="e">
        <f>VLOOKUP(A506,'[7]Table 2'!$J$2:$N$449,5,FALSE)</f>
        <v>#N/A</v>
      </c>
      <c r="BR506">
        <f t="shared" si="375"/>
        <v>30.580512918392177</v>
      </c>
      <c r="BT506">
        <f>(X506*I506*365*[5]Analysis!BK506)/10^4</f>
        <v>30.580512918392177</v>
      </c>
      <c r="BV506">
        <f>(X506*I506*365*[5]Analysis!BL506)/10^4</f>
        <v>0</v>
      </c>
      <c r="BX506">
        <f t="shared" si="376"/>
        <v>70248.378157306026</v>
      </c>
      <c r="BZ506">
        <f t="shared" si="377"/>
        <v>446668.35546918883</v>
      </c>
      <c r="CB506">
        <f t="shared" si="378"/>
        <v>-1118.6561277229714</v>
      </c>
      <c r="CD506">
        <f t="shared" si="379"/>
        <v>-71315.214468045742</v>
      </c>
      <c r="CF506">
        <f t="shared" si="380"/>
        <v>125944.81173716435</v>
      </c>
      <c r="CH506">
        <f t="shared" si="381"/>
        <v>11219.722085730347</v>
      </c>
      <c r="CJ506">
        <f t="shared" si="382"/>
        <v>-17446.93629885052</v>
      </c>
      <c r="CL506">
        <f t="shared" si="383"/>
        <v>67393.386233491154</v>
      </c>
    </row>
    <row r="507" spans="1:90" x14ac:dyDescent="0.2">
      <c r="A507" s="2" t="s">
        <v>398</v>
      </c>
      <c r="B507" s="2" t="str">
        <f t="shared" si="393"/>
        <v>TORANGALLU TPS(SBU-I)</v>
      </c>
      <c r="C507" s="2" t="str">
        <f>VLOOKUP($A507,'[1]daily coal, energy reqd'!$C$2:$T$599,17,FALSE)</f>
        <v>Karnataka</v>
      </c>
      <c r="D507" s="2" t="str">
        <f>VLOOKUP(C507,'Target PLF'!$I$2:$J$19,2,FALSE)</f>
        <v>SR</v>
      </c>
      <c r="E507" s="2" t="str">
        <f>VLOOKUP(A507,[2]Ownership!$C$2:$D$666,2,FALSE)</f>
        <v>PVT SECTOR</v>
      </c>
      <c r="F507" s="2" t="s">
        <v>546</v>
      </c>
      <c r="G507" s="12">
        <v>21.338809034907499</v>
      </c>
      <c r="H507" s="2">
        <v>130</v>
      </c>
      <c r="I507" s="2">
        <f>VLOOKUP(A507,'[3]Calculated coal req (reg.)'!$A$2:$I$599,9,FALSE)</f>
        <v>2.4337650391087098</v>
      </c>
      <c r="J507" s="2"/>
      <c r="K507" s="11">
        <v>0.78005289715022752</v>
      </c>
      <c r="L507" s="3">
        <f>VLOOKUP(F507,'Target PLF'!$A$2:$B$11,2,FALSE)</f>
        <v>0.7</v>
      </c>
      <c r="M507" s="3">
        <f t="shared" si="371"/>
        <v>-8.0052897150227564E-2</v>
      </c>
      <c r="N507" s="2" t="str">
        <f t="shared" si="354"/>
        <v>0.25</v>
      </c>
      <c r="O507" s="2">
        <f t="shared" si="396"/>
        <v>13.382901400100954</v>
      </c>
      <c r="P507" s="2">
        <f t="shared" si="355"/>
        <v>635018.67143479025</v>
      </c>
      <c r="Q507" s="2">
        <f t="shared" si="356"/>
        <v>14.356096426180693</v>
      </c>
      <c r="R507" s="2">
        <f t="shared" si="357"/>
        <v>2.1840000000000002</v>
      </c>
      <c r="S507" s="2"/>
      <c r="T507" s="2" t="str">
        <f>VLOOKUP(A507,'[4]CEA vs MERIT comp. &amp; NPA marker'!$C$2:$K$735,9,FALSE)</f>
        <v>Not contracted</v>
      </c>
      <c r="U507" s="3">
        <f>VLOOKUP(B507,'[8]Import-Domestic share'!$A$208:$F$406,6,FALSE)</f>
        <v>1</v>
      </c>
      <c r="V507" s="3">
        <f t="shared" si="358"/>
        <v>635018.67143479025</v>
      </c>
      <c r="W507" s="2">
        <f t="shared" si="359"/>
        <v>3454.5612209671444</v>
      </c>
      <c r="X507" s="2">
        <f t="shared" si="360"/>
        <v>3428.0980386927176</v>
      </c>
      <c r="Y507" s="6">
        <f t="shared" si="361"/>
        <v>0.2489462322393676</v>
      </c>
      <c r="Z507" s="2"/>
      <c r="AA507" s="2">
        <f t="shared" si="362"/>
        <v>710513.90162872791</v>
      </c>
      <c r="AB507" s="2" t="s">
        <v>576</v>
      </c>
      <c r="AC507" s="12"/>
      <c r="AD507" s="12">
        <f t="shared" si="363"/>
        <v>0</v>
      </c>
      <c r="AE507" s="2"/>
      <c r="AF507" s="7"/>
      <c r="AG507" s="7"/>
      <c r="AH507" s="7"/>
      <c r="AI507" s="7"/>
      <c r="AJ507" s="7"/>
      <c r="AK507" s="7"/>
      <c r="AL507" s="7"/>
      <c r="AM507" s="7"/>
      <c r="AN507" s="15">
        <f t="shared" si="364"/>
        <v>0</v>
      </c>
      <c r="AO507" s="6">
        <v>7.183708757655409E-2</v>
      </c>
      <c r="AP507" s="11">
        <f t="shared" si="365"/>
        <v>0.17483459225520798</v>
      </c>
      <c r="AQ507" s="11"/>
      <c r="AR507" s="3"/>
      <c r="AS507" s="3">
        <f t="shared" si="372"/>
        <v>3.5974009821118678</v>
      </c>
      <c r="AT507" s="2"/>
      <c r="AU507" s="2"/>
      <c r="AV507" s="88">
        <f t="shared" si="373"/>
        <v>-5.8664364089629766E-2</v>
      </c>
      <c r="AW507" s="32">
        <f t="shared" si="374"/>
        <v>1.6307429830963862E-2</v>
      </c>
      <c r="AX507" s="12">
        <f t="shared" si="366"/>
        <v>319.56584908005084</v>
      </c>
      <c r="AY507" s="12">
        <f t="shared" si="367"/>
        <v>0</v>
      </c>
      <c r="AZ507" s="3">
        <f>VLOOKUP(A507,[5]Analysis!$A$3:$BJ$543,62,FALSE)</f>
        <v>1.2224735304310752</v>
      </c>
      <c r="BA507" s="2"/>
      <c r="BB507" s="2"/>
      <c r="BC507" s="2" t="e">
        <f>VLOOKUP(A507,'[6]FGD status - Jun 2020'!$I$2:$M$449,5,FALSE)</f>
        <v>#N/A</v>
      </c>
      <c r="BD507" s="2"/>
      <c r="BE507" s="2"/>
      <c r="BF507" s="2">
        <f t="shared" si="368"/>
        <v>371.66982194198755</v>
      </c>
      <c r="BG507" s="2">
        <f t="shared" si="369"/>
        <v>0</v>
      </c>
      <c r="BH507" s="2"/>
      <c r="BI507" s="2"/>
      <c r="BK507">
        <f t="shared" si="370"/>
        <v>101.40687662952958</v>
      </c>
      <c r="BL507" t="str">
        <f>VLOOKUP(A507,'[11]Daily coal vs energy req.2'!$C$2:$P$599,14,FALSE)</f>
        <v/>
      </c>
      <c r="BM507" t="str">
        <f>VLOOKUP(A507,'[11]Daily coal vs energy req.2'!$C$2:$R$599,16,FALSE)</f>
        <v/>
      </c>
      <c r="BP507" s="2" t="e">
        <f>VLOOKUP(A507,'[7]Table 2'!$J$2:$N$449,5,FALSE)</f>
        <v>#N/A</v>
      </c>
      <c r="BR507">
        <f t="shared" si="375"/>
        <v>372.27529001726214</v>
      </c>
      <c r="BT507">
        <f>(X507*I507*365*[5]Analysis!BK507)/10^4</f>
        <v>372.27529001726214</v>
      </c>
      <c r="BV507">
        <f>(X507*I507*365*[5]Analysis!BL507)/10^4</f>
        <v>0</v>
      </c>
      <c r="BX507">
        <f t="shared" si="376"/>
        <v>855176.47861376603</v>
      </c>
      <c r="BZ507">
        <f t="shared" si="377"/>
        <v>5625488.7543135975</v>
      </c>
      <c r="CB507">
        <f t="shared" si="378"/>
        <v>-204736.21165313697</v>
      </c>
      <c r="CD507">
        <f t="shared" si="379"/>
        <v>-898167.35859885032</v>
      </c>
      <c r="CF507">
        <f t="shared" si="380"/>
        <v>1586190.5447663476</v>
      </c>
      <c r="CH507">
        <f t="shared" si="381"/>
        <v>384542.69221309875</v>
      </c>
      <c r="CJ507">
        <f t="shared" si="382"/>
        <v>-190434.81301513923</v>
      </c>
      <c r="CL507">
        <f t="shared" si="383"/>
        <v>494265.08502753219</v>
      </c>
    </row>
    <row r="508" spans="1:90" x14ac:dyDescent="0.2">
      <c r="A508" s="2" t="s">
        <v>396</v>
      </c>
      <c r="B508" s="2" t="str">
        <f t="shared" si="393"/>
        <v>TORANGALLU TPS(SBU-I)</v>
      </c>
      <c r="C508" s="2" t="str">
        <f>VLOOKUP($A508,'[1]daily coal, energy reqd'!$C$2:$T$599,17,FALSE)</f>
        <v>Karnataka</v>
      </c>
      <c r="D508" s="2" t="str">
        <f>VLOOKUP(C508,'Target PLF'!$I$2:$J$19,2,FALSE)</f>
        <v>SR</v>
      </c>
      <c r="E508" s="2" t="str">
        <f>VLOOKUP(A508,[2]Ownership!$C$2:$D$666,2,FALSE)</f>
        <v>PVT SECTOR</v>
      </c>
      <c r="F508" s="2" t="s">
        <v>546</v>
      </c>
      <c r="G508" s="12">
        <v>21.0102669404517</v>
      </c>
      <c r="H508" s="2">
        <v>130</v>
      </c>
      <c r="I508" s="2">
        <f>VLOOKUP(A508,'[3]Calculated coal req (reg.)'!$A$2:$I$599,9,FALSE)</f>
        <v>1.1475347250030801</v>
      </c>
      <c r="J508" s="2"/>
      <c r="K508" s="11">
        <v>0.36779959134714102</v>
      </c>
      <c r="L508" s="3">
        <f>VLOOKUP(F508,'Target PLF'!$A$2:$B$11,2,FALSE)</f>
        <v>0.7</v>
      </c>
      <c r="M508" s="3">
        <f t="shared" si="371"/>
        <v>0.33220040865285894</v>
      </c>
      <c r="N508" s="2" t="str">
        <f t="shared" si="354"/>
        <v>0.25</v>
      </c>
      <c r="O508" s="2">
        <f t="shared" si="396"/>
        <v>7.6366909096289852</v>
      </c>
      <c r="P508" s="2">
        <f t="shared" si="355"/>
        <v>362360.98366189539</v>
      </c>
      <c r="Q508" s="2">
        <f t="shared" si="356"/>
        <v>14.345689855338806</v>
      </c>
      <c r="R508" s="2">
        <f t="shared" si="357"/>
        <v>2.1840000000000002</v>
      </c>
      <c r="S508" s="2"/>
      <c r="T508" s="2" t="str">
        <f>VLOOKUP(A508,'[4]CEA vs MERIT comp. &amp; NPA marker'!$C$2:$K$735,9,FALSE)</f>
        <v>Not contracted</v>
      </c>
      <c r="U508" s="3">
        <f>VLOOKUP(B508,'[8]Import-Domestic share'!$A$208:$F$406,6,FALSE)</f>
        <v>1</v>
      </c>
      <c r="V508" s="3">
        <f t="shared" si="358"/>
        <v>362360.98366189539</v>
      </c>
      <c r="W508" s="2">
        <f t="shared" si="359"/>
        <v>3452.0509829383973</v>
      </c>
      <c r="X508" s="2">
        <f t="shared" si="360"/>
        <v>3561.8668706672634</v>
      </c>
      <c r="Y508" s="6">
        <f t="shared" si="361"/>
        <v>0.24912725920054782</v>
      </c>
      <c r="Z508" s="2"/>
      <c r="AA508" s="2">
        <f t="shared" si="362"/>
        <v>348084.12523891509</v>
      </c>
      <c r="AB508" s="2" t="s">
        <v>576</v>
      </c>
      <c r="AC508" s="12"/>
      <c r="AD508" s="12">
        <f t="shared" si="363"/>
        <v>0</v>
      </c>
      <c r="AE508" s="2"/>
      <c r="AF508" s="7"/>
      <c r="AG508" s="7"/>
      <c r="AH508" s="7"/>
      <c r="AI508" s="7"/>
      <c r="AJ508" s="7"/>
      <c r="AK508" s="7"/>
      <c r="AL508" s="7"/>
      <c r="AM508" s="7"/>
      <c r="AN508" s="15">
        <f t="shared" si="364"/>
        <v>0</v>
      </c>
      <c r="AO508" s="6">
        <v>7.183708757655409E-2</v>
      </c>
      <c r="AP508" s="11">
        <f t="shared" si="365"/>
        <v>8.2435552537183182E-2</v>
      </c>
      <c r="AQ508" s="11"/>
      <c r="AR508" s="3"/>
      <c r="AS508" s="3">
        <f t="shared" si="372"/>
        <v>3.6086795974508612</v>
      </c>
      <c r="AT508" s="2"/>
      <c r="AU508" s="2"/>
      <c r="AV508" s="88">
        <f t="shared" si="373"/>
        <v>0.24344310346898809</v>
      </c>
      <c r="AW508" s="32">
        <f t="shared" si="374"/>
        <v>6.7460437230546622E-2</v>
      </c>
      <c r="AX508" s="12">
        <f t="shared" si="366"/>
        <v>151.14960795620249</v>
      </c>
      <c r="AY508" s="12">
        <f t="shared" si="367"/>
        <v>0</v>
      </c>
      <c r="AZ508" s="3">
        <f>VLOOKUP(A508,[5]Analysis!$A$3:$BJ$543,62,FALSE)</f>
        <v>1.2224735304310752</v>
      </c>
      <c r="BA508" s="2"/>
      <c r="BB508" s="2"/>
      <c r="BC508" s="2" t="e">
        <f>VLOOKUP(A508,'[6]FGD status - Jun 2020'!$I$2:$M$449,5,FALSE)</f>
        <v>#N/A</v>
      </c>
      <c r="BD508" s="2"/>
      <c r="BE508" s="2"/>
      <c r="BF508" s="2">
        <f t="shared" si="368"/>
        <v>182.08280591247649</v>
      </c>
      <c r="BG508" s="2">
        <f t="shared" si="369"/>
        <v>0</v>
      </c>
      <c r="BH508" s="2"/>
      <c r="BI508" s="2"/>
      <c r="BK508">
        <f t="shared" si="370"/>
        <v>47.81394687512833</v>
      </c>
      <c r="BL508" t="str">
        <f>VLOOKUP(A508,'[11]Daily coal vs energy req.2'!$C$2:$P$599,14,FALSE)</f>
        <v/>
      </c>
      <c r="BM508" t="str">
        <f>VLOOKUP(A508,'[11]Daily coal vs energy req.2'!$C$2:$R$599,16,FALSE)</f>
        <v/>
      </c>
      <c r="BP508" s="2" t="e">
        <f>VLOOKUP(A508,'[7]Table 2'!$J$2:$N$449,5,FALSE)</f>
        <v>#N/A</v>
      </c>
      <c r="BR508">
        <f t="shared" si="375"/>
        <v>182.3794275899115</v>
      </c>
      <c r="BT508">
        <f>(X508*I508*365*[5]Analysis!BK508)/10^4</f>
        <v>182.3794275899115</v>
      </c>
      <c r="BV508">
        <f>(X508*I508*365*[5]Analysis!BL508)/10^4</f>
        <v>0</v>
      </c>
      <c r="BX508">
        <f t="shared" si="376"/>
        <v>418955.00679269579</v>
      </c>
      <c r="BZ508">
        <f t="shared" si="377"/>
        <v>2652451.4844100471</v>
      </c>
      <c r="CB508">
        <f t="shared" si="378"/>
        <v>-45516.518854523652</v>
      </c>
      <c r="CD508">
        <f t="shared" si="379"/>
        <v>-423491.26406792668</v>
      </c>
      <c r="CF508">
        <f t="shared" si="380"/>
        <v>747898.29804504488</v>
      </c>
      <c r="CH508">
        <f t="shared" si="381"/>
        <v>178522.5756775997</v>
      </c>
      <c r="CJ508">
        <f t="shared" si="382"/>
        <v>-89791.149627316016</v>
      </c>
      <c r="CL508">
        <f t="shared" si="383"/>
        <v>233048.9341869285</v>
      </c>
    </row>
    <row r="509" spans="1:90" x14ac:dyDescent="0.2">
      <c r="A509" s="2" t="s">
        <v>262</v>
      </c>
      <c r="B509" s="2" t="str">
        <f t="shared" si="393"/>
        <v>TORANGALLU TPS(SBU-II)</v>
      </c>
      <c r="C509" s="2" t="str">
        <f>VLOOKUP($A509,'[1]daily coal, energy reqd'!$C$2:$T$599,17,FALSE)</f>
        <v>Karnataka</v>
      </c>
      <c r="D509" s="2" t="str">
        <f>VLOOKUP(C509,'Target PLF'!$I$2:$J$19,2,FALSE)</f>
        <v>SR</v>
      </c>
      <c r="E509" s="2" t="str">
        <f>VLOOKUP(A509,[2]Ownership!$C$2:$D$666,2,FALSE)</f>
        <v>PVT SECTOR</v>
      </c>
      <c r="F509" s="2" t="s">
        <v>544</v>
      </c>
      <c r="G509" s="12">
        <v>11.0910335386721</v>
      </c>
      <c r="H509" s="2">
        <v>300</v>
      </c>
      <c r="I509" s="2">
        <f>VLOOKUP(A509,'[3]Calculated coal req (reg.)'!$A$2:$I$599,9,FALSE)</f>
        <v>4.2868327019781303</v>
      </c>
      <c r="J509" s="2"/>
      <c r="K509" s="11">
        <v>0.59539343083029583</v>
      </c>
      <c r="L509" s="3">
        <f>VLOOKUP(F509,'Target PLF'!$A$2:$B$11,2,FALSE)</f>
        <v>0.8</v>
      </c>
      <c r="M509" s="3">
        <f t="shared" si="371"/>
        <v>0.20460656916970421</v>
      </c>
      <c r="N509" s="2" t="str">
        <f t="shared" si="354"/>
        <v>0.15</v>
      </c>
      <c r="O509" s="2">
        <f t="shared" si="396"/>
        <v>9.6326472585085945</v>
      </c>
      <c r="P509" s="2">
        <f t="shared" si="355"/>
        <v>1054774.874806691</v>
      </c>
      <c r="Q509" s="2">
        <f t="shared" si="356"/>
        <v>13.175064837337439</v>
      </c>
      <c r="R509" s="2">
        <f t="shared" si="357"/>
        <v>5.76</v>
      </c>
      <c r="S509" s="2"/>
      <c r="T509" s="2" t="str">
        <f>VLOOKUP(A509,'[4]CEA vs MERIT comp. &amp; NPA marker'!$C$2:$K$735,9,FALSE)</f>
        <v>Not contracted</v>
      </c>
      <c r="U509" s="3">
        <f>VLOOKUP(B509,'[8]Import-Domestic share'!$A$208:$F$406,6,FALSE)</f>
        <v>0.94637183669645064</v>
      </c>
      <c r="V509" s="3">
        <f t="shared" si="358"/>
        <v>998209.23557207698</v>
      </c>
      <c r="W509" s="2">
        <f t="shared" si="359"/>
        <v>3173.738632385965</v>
      </c>
      <c r="X509" s="2">
        <f t="shared" si="360"/>
        <v>3241.3756714842771</v>
      </c>
      <c r="Y509" s="6">
        <f t="shared" si="361"/>
        <v>0.27097379450981002</v>
      </c>
      <c r="Z509" s="2"/>
      <c r="AA509" s="2">
        <f t="shared" si="362"/>
        <v>1183331.9781122301</v>
      </c>
      <c r="AB509" s="2" t="s">
        <v>576</v>
      </c>
      <c r="AC509" s="12"/>
      <c r="AD509" s="12">
        <f t="shared" si="363"/>
        <v>0</v>
      </c>
      <c r="AE509" s="2"/>
      <c r="AF509" s="7"/>
      <c r="AG509" s="7"/>
      <c r="AH509" s="7"/>
      <c r="AI509" s="7"/>
      <c r="AJ509" s="7"/>
      <c r="AK509" s="7"/>
      <c r="AL509" s="7"/>
      <c r="AM509" s="7"/>
      <c r="AN509" s="15">
        <f t="shared" si="364"/>
        <v>0</v>
      </c>
      <c r="AO509" s="6">
        <v>7.7914431957709626E-2</v>
      </c>
      <c r="AP509" s="11">
        <f t="shared" si="365"/>
        <v>0.33400613487235953</v>
      </c>
      <c r="AQ509" s="11"/>
      <c r="AR509" s="3"/>
      <c r="AS509" s="3">
        <f t="shared" si="372"/>
        <v>3.3831010749874437</v>
      </c>
      <c r="AT509" s="2"/>
      <c r="AU509" s="2"/>
      <c r="AV509" s="88">
        <f t="shared" si="373"/>
        <v>0.14993978601894264</v>
      </c>
      <c r="AW509" s="32">
        <f t="shared" si="374"/>
        <v>4.4320220618740795E-2</v>
      </c>
      <c r="AX509" s="12">
        <f t="shared" si="366"/>
        <v>529.35177376590423</v>
      </c>
      <c r="AY509" s="12">
        <f t="shared" si="367"/>
        <v>0</v>
      </c>
      <c r="AZ509" s="3">
        <f>VLOOKUP(A509,[5]Analysis!$A$3:$BJ$543,62,FALSE)</f>
        <v>1.2044179975215354</v>
      </c>
      <c r="BA509" s="2"/>
      <c r="BB509" s="2"/>
      <c r="BC509" s="2" t="e">
        <f>VLOOKUP(A509,'[6]FGD status - Jun 2020'!$I$2:$M$449,5,FALSE)</f>
        <v>#N/A</v>
      </c>
      <c r="BD509" s="2"/>
      <c r="BE509" s="2"/>
      <c r="BF509" s="2">
        <f t="shared" si="368"/>
        <v>605.44591871792716</v>
      </c>
      <c r="BG509" s="2">
        <f t="shared" si="369"/>
        <v>0</v>
      </c>
      <c r="BH509" s="2"/>
      <c r="BI509" s="2"/>
      <c r="BK509">
        <f t="shared" si="370"/>
        <v>178.61802924908875</v>
      </c>
      <c r="BP509" s="2" t="e">
        <f>VLOOKUP(A509,'[7]Table 2'!$J$2:$N$449,5,FALSE)</f>
        <v>#N/A</v>
      </c>
      <c r="BR509">
        <f t="shared" si="375"/>
        <v>610.8520056728122</v>
      </c>
      <c r="BT509">
        <f>(X509*I509*365*[5]Analysis!BK509)/10^4</f>
        <v>596.98072658854699</v>
      </c>
      <c r="BV509">
        <f>(X509*I509*365*[5]Analysis!BL509)/10^4</f>
        <v>13.871279084265279</v>
      </c>
      <c r="BX509">
        <f t="shared" si="376"/>
        <v>1424261.6108612998</v>
      </c>
      <c r="BZ509">
        <f t="shared" si="377"/>
        <v>9762384.750493791</v>
      </c>
      <c r="CB509">
        <f t="shared" si="378"/>
        <v>-275253.29995255399</v>
      </c>
      <c r="CD509">
        <f t="shared" si="379"/>
        <v>-1582031.6024018978</v>
      </c>
      <c r="CF509">
        <f t="shared" si="380"/>
        <v>2793915.3491016836</v>
      </c>
      <c r="CH509">
        <f t="shared" si="381"/>
        <v>352049.95333886222</v>
      </c>
      <c r="CJ509">
        <f t="shared" si="382"/>
        <v>-774073.38099619106</v>
      </c>
      <c r="CL509">
        <f t="shared" si="383"/>
        <v>944250.03955409466</v>
      </c>
    </row>
    <row r="510" spans="1:90" x14ac:dyDescent="0.2">
      <c r="A510" s="2" t="s">
        <v>258</v>
      </c>
      <c r="B510" s="2" t="str">
        <f t="shared" si="393"/>
        <v>TORANGALLU TPS(SBU-II)</v>
      </c>
      <c r="C510" s="2" t="str">
        <f>VLOOKUP($A510,'[1]daily coal, energy reqd'!$C$2:$T$599,17,FALSE)</f>
        <v>Karnataka</v>
      </c>
      <c r="D510" s="2" t="str">
        <f>VLOOKUP(C510,'Target PLF'!$I$2:$J$19,2,FALSE)</f>
        <v>SR</v>
      </c>
      <c r="E510" s="2" t="str">
        <f>VLOOKUP(A510,[2]Ownership!$C$2:$D$666,2,FALSE)</f>
        <v>PVT SECTOR</v>
      </c>
      <c r="F510" s="2" t="s">
        <v>544</v>
      </c>
      <c r="G510" s="12">
        <v>10.757015742642</v>
      </c>
      <c r="H510" s="2">
        <v>300</v>
      </c>
      <c r="I510" s="2">
        <f>VLOOKUP(A510,'[3]Calculated coal req (reg.)'!$A$2:$I$599,9,FALSE)</f>
        <v>1.7045257980791</v>
      </c>
      <c r="J510" s="2"/>
      <c r="K510" s="11">
        <v>0.23673969417765278</v>
      </c>
      <c r="L510" s="3">
        <f>VLOOKUP(F510,'Target PLF'!$A$2:$B$11,2,FALSE)</f>
        <v>0.8</v>
      </c>
      <c r="M510" s="3">
        <f t="shared" si="371"/>
        <v>0.56326030582234732</v>
      </c>
      <c r="N510" s="2" t="str">
        <f t="shared" si="354"/>
        <v>0.15</v>
      </c>
      <c r="O510" s="2">
        <f t="shared" si="396"/>
        <v>4.6320102106501224</v>
      </c>
      <c r="P510" s="2">
        <f t="shared" si="355"/>
        <v>507205.11806618836</v>
      </c>
      <c r="Q510" s="2">
        <f t="shared" si="356"/>
        <v>13.164484823648186</v>
      </c>
      <c r="R510" s="2">
        <f t="shared" si="357"/>
        <v>5.76</v>
      </c>
      <c r="S510" s="2"/>
      <c r="T510" s="2" t="str">
        <f>VLOOKUP(A510,'[4]CEA vs MERIT comp. &amp; NPA marker'!$C$2:$K$735,9,FALSE)</f>
        <v>Not contracted</v>
      </c>
      <c r="U510" s="3">
        <f>VLOOKUP(B510,'[8]Import-Domestic share'!$A$208:$F$406,6,FALSE)</f>
        <v>0.94637183669645064</v>
      </c>
      <c r="V510" s="3">
        <f t="shared" si="358"/>
        <v>480004.63916613878</v>
      </c>
      <c r="W510" s="2">
        <f t="shared" si="359"/>
        <v>3171.1865570567388</v>
      </c>
      <c r="X510" s="2">
        <f t="shared" si="360"/>
        <v>3357.3841922647989</v>
      </c>
      <c r="Y510" s="6">
        <f t="shared" si="361"/>
        <v>0.27119186604971879</v>
      </c>
      <c r="Z510" s="2"/>
      <c r="AA510" s="2">
        <f t="shared" si="362"/>
        <v>487354.87843422388</v>
      </c>
      <c r="AB510" s="2" t="s">
        <v>576</v>
      </c>
      <c r="AC510" s="12"/>
      <c r="AD510" s="12">
        <f t="shared" si="363"/>
        <v>0</v>
      </c>
      <c r="AE510" s="2"/>
      <c r="AF510" s="7"/>
      <c r="AG510" s="7"/>
      <c r="AH510" s="7"/>
      <c r="AI510" s="7"/>
      <c r="AJ510" s="7"/>
      <c r="AK510" s="7"/>
      <c r="AL510" s="7"/>
      <c r="AM510" s="7"/>
      <c r="AN510" s="15">
        <f t="shared" si="364"/>
        <v>0</v>
      </c>
      <c r="AO510" s="6">
        <v>7.7914431957709626E-2</v>
      </c>
      <c r="AP510" s="11">
        <f t="shared" si="365"/>
        <v>0.13280715931459472</v>
      </c>
      <c r="AQ510" s="11"/>
      <c r="AR510" s="3"/>
      <c r="AS510" s="3">
        <f t="shared" si="372"/>
        <v>3.3925187135967425</v>
      </c>
      <c r="AT510" s="2"/>
      <c r="AU510" s="2"/>
      <c r="AV510" s="88">
        <f t="shared" si="373"/>
        <v>0.41276841731273256</v>
      </c>
      <c r="AW510" s="32">
        <f t="shared" si="374"/>
        <v>0.12167019614613007</v>
      </c>
      <c r="AX510" s="12">
        <f t="shared" si="366"/>
        <v>211.06620187439958</v>
      </c>
      <c r="AY510" s="12">
        <f t="shared" si="367"/>
        <v>0</v>
      </c>
      <c r="AZ510" s="3">
        <f>VLOOKUP(A510,[5]Analysis!$A$3:$BJ$543,62,FALSE)</f>
        <v>1.2044179975215354</v>
      </c>
      <c r="BA510" s="2"/>
      <c r="BB510" s="2"/>
      <c r="BC510" s="2" t="e">
        <f>VLOOKUP(A510,'[6]FGD status - Jun 2020'!$I$2:$M$449,5,FALSE)</f>
        <v>#N/A</v>
      </c>
      <c r="BD510" s="2"/>
      <c r="BE510" s="2"/>
      <c r="BF510" s="2">
        <f t="shared" si="368"/>
        <v>249.35269862815076</v>
      </c>
      <c r="BG510" s="2">
        <f t="shared" si="369"/>
        <v>0</v>
      </c>
      <c r="BH510" s="2"/>
      <c r="BI510" s="2"/>
      <c r="BK510">
        <f t="shared" si="370"/>
        <v>71.021908253295834</v>
      </c>
      <c r="BP510" s="2" t="e">
        <f>VLOOKUP(A510,'[7]Table 2'!$J$2:$N$449,5,FALSE)</f>
        <v>#N/A</v>
      </c>
      <c r="BR510">
        <f t="shared" si="375"/>
        <v>251.57919372795016</v>
      </c>
      <c r="BT510">
        <f>(X510*I510*365*[5]Analysis!BK510)/10^4</f>
        <v>245.86631208790192</v>
      </c>
      <c r="BV510">
        <f>(X510*I510*365*[5]Analysis!BL510)/10^4</f>
        <v>5.7128816400482156</v>
      </c>
      <c r="BX510">
        <f t="shared" si="376"/>
        <v>586581.6669022768</v>
      </c>
      <c r="BZ510">
        <f t="shared" si="377"/>
        <v>3881708.9013788984</v>
      </c>
      <c r="CB510">
        <f t="shared" si="378"/>
        <v>-43517.768904921533</v>
      </c>
      <c r="CD510">
        <f t="shared" si="379"/>
        <v>-629045.7004366226</v>
      </c>
      <c r="CF510">
        <f t="shared" si="380"/>
        <v>1110913.6094803659</v>
      </c>
      <c r="CH510">
        <f t="shared" si="381"/>
        <v>135766.03049200115</v>
      </c>
      <c r="CJ510">
        <f t="shared" si="382"/>
        <v>-307786.22335914307</v>
      </c>
      <c r="CL510">
        <f t="shared" si="383"/>
        <v>375451.68289736914</v>
      </c>
    </row>
    <row r="511" spans="1:90" x14ac:dyDescent="0.2">
      <c r="A511" s="2" t="s">
        <v>391</v>
      </c>
      <c r="B511" s="2" t="str">
        <f t="shared" si="393"/>
        <v>TROMBAY TPS</v>
      </c>
      <c r="C511" s="2" t="str">
        <f>VLOOKUP($A511,'[1]daily coal, energy reqd'!$C$2:$T$599,17,FALSE)</f>
        <v>Maharashtra</v>
      </c>
      <c r="D511" s="2" t="str">
        <f>VLOOKUP(C511,'Target PLF'!$I$2:$J$19,2,FALSE)</f>
        <v>WR</v>
      </c>
      <c r="E511" s="2" t="str">
        <f>VLOOKUP(A511,[2]Ownership!$C$2:$D$666,2,FALSE)</f>
        <v>PVT SECTOR</v>
      </c>
      <c r="F511" s="2" t="s">
        <v>549</v>
      </c>
      <c r="G511" s="12">
        <v>36.339493497604302</v>
      </c>
      <c r="H511" s="2">
        <v>500</v>
      </c>
      <c r="I511" s="2">
        <f>VLOOKUP(A511,'[3]Calculated coal req (reg.)'!$A$2:$I$599,9,FALSE)</f>
        <v>8.5812670701131708</v>
      </c>
      <c r="J511" s="2"/>
      <c r="K511" s="11">
        <v>0.71510558917609746</v>
      </c>
      <c r="L511" s="3">
        <f>VLOOKUP(F511,'Target PLF'!$A$2:$B$11,2,FALSE)</f>
        <v>0.55000000000000004</v>
      </c>
      <c r="M511" s="3">
        <f t="shared" si="371"/>
        <v>-0.16510558917609741</v>
      </c>
      <c r="N511" s="2" t="str">
        <f t="shared" si="354"/>
        <v>0.25</v>
      </c>
      <c r="O511" s="2">
        <f t="shared" si="396"/>
        <v>11.027493700420413</v>
      </c>
      <c r="P511" s="2">
        <f t="shared" si="355"/>
        <v>2012517.6003267253</v>
      </c>
      <c r="Q511" s="2">
        <f t="shared" si="356"/>
        <v>12.904320106536616</v>
      </c>
      <c r="R511" s="2">
        <f t="shared" si="357"/>
        <v>6.6000000000000005</v>
      </c>
      <c r="S511" s="2"/>
      <c r="T511" s="2" t="str">
        <f>VLOOKUP(A511,'[4]CEA vs MERIT comp. &amp; NPA marker'!$C$2:$K$735,9,FALSE)</f>
        <v>Contracted</v>
      </c>
      <c r="U511" s="3">
        <f>VLOOKUP(B511,'[8]Import-Domestic share'!$A$208:$F$406,6,FALSE)</f>
        <v>1</v>
      </c>
      <c r="V511" s="3">
        <f t="shared" si="358"/>
        <v>2012517.6003267253</v>
      </c>
      <c r="W511" s="2">
        <f t="shared" si="359"/>
        <v>3276.2355346297054</v>
      </c>
      <c r="X511" s="2">
        <f t="shared" si="360"/>
        <v>3221.6563818890554</v>
      </c>
      <c r="Y511" s="6">
        <f t="shared" si="361"/>
        <v>0.26249638980770074</v>
      </c>
      <c r="Z511" s="2"/>
      <c r="AA511" s="2">
        <f t="shared" si="362"/>
        <v>2354351.66698797</v>
      </c>
      <c r="AB511" s="2" t="s">
        <v>576</v>
      </c>
      <c r="AC511" s="12"/>
      <c r="AD511" s="12">
        <f t="shared" si="363"/>
        <v>0</v>
      </c>
      <c r="AE511" s="2"/>
      <c r="AF511" s="7"/>
      <c r="AG511" s="7"/>
      <c r="AH511" s="7"/>
      <c r="AI511" s="7"/>
      <c r="AJ511" s="7"/>
      <c r="AK511" s="7"/>
      <c r="AL511" s="7"/>
      <c r="AM511" s="7"/>
      <c r="AN511" s="15">
        <f t="shared" si="364"/>
        <v>0</v>
      </c>
      <c r="AO511" s="6">
        <v>5.8556660392843879E-2</v>
      </c>
      <c r="AP511" s="11">
        <f t="shared" si="365"/>
        <v>0.50249034156491135</v>
      </c>
      <c r="AQ511" s="11"/>
      <c r="AR511" s="3">
        <f>VLOOKUP(A511,[10]Sheet1!$A$2:$L$542,12,FALSE)</f>
        <v>3.7555164835164798</v>
      </c>
      <c r="AS511" s="3">
        <f t="shared" si="372"/>
        <v>3.4270659284063867</v>
      </c>
      <c r="AT511" s="2"/>
      <c r="AU511" s="2"/>
      <c r="AV511" s="88">
        <f t="shared" si="373"/>
        <v>-0.12099267786002771</v>
      </c>
      <c r="AW511" s="32">
        <f t="shared" si="374"/>
        <v>3.5305033631579504E-2</v>
      </c>
      <c r="AX511" s="12">
        <f t="shared" si="366"/>
        <v>1073.41273194673</v>
      </c>
      <c r="AY511" s="12">
        <f t="shared" si="367"/>
        <v>0</v>
      </c>
      <c r="AZ511" s="3">
        <f>VLOOKUP(A511,[5]Analysis!$A$3:$BJ$543,62,FALSE)</f>
        <v>1.2224735304310752</v>
      </c>
      <c r="BA511" s="2">
        <v>435.49</v>
      </c>
      <c r="BB511" s="2"/>
      <c r="BC511" s="2" t="e">
        <f>VLOOKUP(A511,'[6]FGD status - Jun 2020'!$I$2:$M$449,5,FALSE)</f>
        <v>#N/A</v>
      </c>
      <c r="BD511" s="2"/>
      <c r="BE511" s="2"/>
      <c r="BF511" s="2">
        <f t="shared" si="368"/>
        <v>1231.561357001407</v>
      </c>
      <c r="BG511" s="2">
        <f t="shared" si="369"/>
        <v>0</v>
      </c>
      <c r="BH511" s="2"/>
      <c r="BI511" s="2"/>
      <c r="BK511">
        <f t="shared" si="370"/>
        <v>357.55279458804876</v>
      </c>
      <c r="BL511">
        <f>VLOOKUP(A511,'[11]Daily coal vs energy req.2'!$C$2:$P$599,14,FALSE)</f>
        <v>0.8</v>
      </c>
      <c r="BM511">
        <f>VLOOKUP(A511,'[11]Daily coal vs energy req.2'!$C$2:$R$599,16,FALSE)</f>
        <v>0.76</v>
      </c>
      <c r="BN511">
        <f>BL511*H511</f>
        <v>400</v>
      </c>
      <c r="BO511">
        <f>BM511*H511</f>
        <v>380</v>
      </c>
      <c r="BP511" s="2" t="e">
        <f>VLOOKUP(A511,'[7]Table 2'!$J$2:$N$449,5,FALSE)</f>
        <v>#N/A</v>
      </c>
      <c r="BR511">
        <f t="shared" si="375"/>
        <v>1233.5676298822937</v>
      </c>
      <c r="BT511">
        <f>(X511*I511*365*[5]Analysis!BK511)/10^4</f>
        <v>1233.5676298822937</v>
      </c>
      <c r="BV511">
        <f>(X511*I511*365*[5]Analysis!BL511)/10^4</f>
        <v>0</v>
      </c>
      <c r="BX511">
        <f t="shared" si="376"/>
        <v>2833704.1166652604</v>
      </c>
      <c r="BZ511">
        <f t="shared" si="377"/>
        <v>19835037.739864159</v>
      </c>
      <c r="CB511">
        <f t="shared" si="378"/>
        <v>-661779.86836656195</v>
      </c>
      <c r="CD511">
        <f t="shared" si="379"/>
        <v>-3166868.5571296732</v>
      </c>
      <c r="CF511">
        <f t="shared" si="380"/>
        <v>5592785.0347103029</v>
      </c>
      <c r="CH511">
        <f t="shared" si="381"/>
        <v>2309011.1268723481</v>
      </c>
      <c r="CJ511">
        <f t="shared" si="382"/>
        <v>-2582532.3247505594</v>
      </c>
      <c r="CL511">
        <f t="shared" si="383"/>
        <v>1420562.305179033</v>
      </c>
    </row>
    <row r="512" spans="1:90" x14ac:dyDescent="0.2">
      <c r="A512" s="2" t="s">
        <v>284</v>
      </c>
      <c r="B512" s="2" t="str">
        <f t="shared" si="393"/>
        <v>TROMBAY TPS</v>
      </c>
      <c r="C512" s="2" t="str">
        <f>VLOOKUP($A512,'[1]daily coal, energy reqd'!$C$2:$T$599,17,FALSE)</f>
        <v>Maharashtra</v>
      </c>
      <c r="D512" s="2" t="str">
        <f>VLOOKUP(C512,'Target PLF'!$I$2:$J$19,2,FALSE)</f>
        <v>WR</v>
      </c>
      <c r="E512" s="2" t="str">
        <f>VLOOKUP(A512,[2]Ownership!$C$2:$D$666,2,FALSE)</f>
        <v>PVT SECTOR</v>
      </c>
      <c r="F512" s="2" t="s">
        <v>544</v>
      </c>
      <c r="G512" s="12">
        <v>11.1759069130732</v>
      </c>
      <c r="H512" s="2">
        <v>250</v>
      </c>
      <c r="I512" s="2">
        <f>VLOOKUP(A512,'[3]Calculated coal req (reg.)'!$A$2:$I$599,9,FALSE)</f>
        <v>4.7549666036165803</v>
      </c>
      <c r="J512" s="2"/>
      <c r="K512" s="11">
        <v>0.79249443393609664</v>
      </c>
      <c r="L512" s="3">
        <f>VLOOKUP(F512,'Target PLF'!$A$2:$B$11,2,FALSE)</f>
        <v>0.8</v>
      </c>
      <c r="M512" s="3">
        <f t="shared" si="371"/>
        <v>7.5055660639034016E-3</v>
      </c>
      <c r="N512" s="2" t="str">
        <f t="shared" si="354"/>
        <v>0.15</v>
      </c>
      <c r="O512" s="2">
        <f t="shared" si="396"/>
        <v>12.638056009154687</v>
      </c>
      <c r="P512" s="2">
        <f t="shared" si="355"/>
        <v>1153222.6108353653</v>
      </c>
      <c r="Q512" s="2">
        <f t="shared" si="356"/>
        <v>13.438148201471593</v>
      </c>
      <c r="R512" s="2">
        <f t="shared" si="357"/>
        <v>4.8</v>
      </c>
      <c r="S512" s="2"/>
      <c r="T512" s="2" t="str">
        <f>VLOOKUP(A512,'[4]CEA vs MERIT comp. &amp; NPA marker'!$C$2:$K$735,9,FALSE)</f>
        <v>Contracted</v>
      </c>
      <c r="U512" s="3">
        <f>VLOOKUP(B512,'[8]Import-Domestic share'!$A$208:$F$406,6,FALSE)</f>
        <v>1</v>
      </c>
      <c r="V512" s="3">
        <f t="shared" si="358"/>
        <v>1153222.6108353653</v>
      </c>
      <c r="W512" s="2">
        <f t="shared" si="359"/>
        <v>3232.7649952778911</v>
      </c>
      <c r="X512" s="2">
        <f t="shared" si="360"/>
        <v>3235.246119258315</v>
      </c>
      <c r="Y512" s="6">
        <f t="shared" si="361"/>
        <v>0.26602614209699882</v>
      </c>
      <c r="Z512" s="2"/>
      <c r="AA512" s="2">
        <f t="shared" si="362"/>
        <v>1310072.9927244524</v>
      </c>
      <c r="AB512" s="2" t="s">
        <v>576</v>
      </c>
      <c r="AC512" s="12"/>
      <c r="AD512" s="12">
        <f t="shared" si="363"/>
        <v>0</v>
      </c>
      <c r="AE512" s="2"/>
      <c r="AF512" s="7"/>
      <c r="AG512" s="7"/>
      <c r="AH512" s="7"/>
      <c r="AI512" s="7"/>
      <c r="AJ512" s="7"/>
      <c r="AK512" s="7"/>
      <c r="AL512" s="7"/>
      <c r="AM512" s="7"/>
      <c r="AN512" s="15">
        <f t="shared" si="364"/>
        <v>0</v>
      </c>
      <c r="AO512" s="6">
        <v>5.8556660392843879E-2</v>
      </c>
      <c r="AP512" s="11">
        <f t="shared" si="365"/>
        <v>0.27843496458729039</v>
      </c>
      <c r="AQ512" s="11"/>
      <c r="AR512" s="3">
        <f>VLOOKUP(A512,[10]Sheet1!$A$2:$L$542,12,FALSE)</f>
        <v>3.9183956043956001</v>
      </c>
      <c r="AS512" s="3">
        <f t="shared" si="372"/>
        <v>3.3926100996215753</v>
      </c>
      <c r="AT512" s="2"/>
      <c r="AU512" s="2"/>
      <c r="AV512" s="88">
        <f t="shared" si="373"/>
        <v>5.5002289229496909E-3</v>
      </c>
      <c r="AW512" s="32">
        <f t="shared" si="374"/>
        <v>1.6212381504031976E-3</v>
      </c>
      <c r="AX512" s="12">
        <f t="shared" si="366"/>
        <v>588.80879188194126</v>
      </c>
      <c r="AY512" s="12">
        <f t="shared" si="367"/>
        <v>0</v>
      </c>
      <c r="AZ512" s="3">
        <f>VLOOKUP(A512,[5]Analysis!$A$3:$BJ$543,62,FALSE)</f>
        <v>1.2224735304310752</v>
      </c>
      <c r="BA512" s="2">
        <v>269.13</v>
      </c>
      <c r="BB512" s="2"/>
      <c r="BC512" s="2" t="e">
        <f>VLOOKUP(A512,'[6]FGD status - Jun 2020'!$I$2:$M$449,5,FALSE)</f>
        <v>#N/A</v>
      </c>
      <c r="BD512" s="2"/>
      <c r="BE512" s="2"/>
      <c r="BF512" s="2">
        <f t="shared" si="368"/>
        <v>685.29918249416107</v>
      </c>
      <c r="BG512" s="2">
        <f t="shared" si="369"/>
        <v>0</v>
      </c>
      <c r="BH512" s="2"/>
      <c r="BI512" s="2"/>
      <c r="BK512">
        <f t="shared" si="370"/>
        <v>198.12360848402417</v>
      </c>
      <c r="BL512">
        <f>VLOOKUP(A512,'[11]Daily coal vs energy req.2'!$C$2:$P$599,14,FALSE)</f>
        <v>0.75</v>
      </c>
      <c r="BM512">
        <f>VLOOKUP(A512,'[11]Daily coal vs energy req.2'!$C$2:$R$599,16,FALSE)</f>
        <v>0.85</v>
      </c>
      <c r="BN512">
        <f>BL512*H512</f>
        <v>187.5</v>
      </c>
      <c r="BO512">
        <f>BM512*H512</f>
        <v>212.5</v>
      </c>
      <c r="BP512" s="2" t="e">
        <f>VLOOKUP(A512,'[7]Table 2'!$J$2:$N$449,5,FALSE)</f>
        <v>#N/A</v>
      </c>
      <c r="BR512">
        <f t="shared" si="375"/>
        <v>686.41556793230063</v>
      </c>
      <c r="BT512">
        <f>(X512*I512*365*[5]Analysis!BK512)/10^4</f>
        <v>686.41556793230063</v>
      </c>
      <c r="BV512">
        <f>(X512*I512*365*[5]Analysis!BL512)/10^4</f>
        <v>0</v>
      </c>
      <c r="BX512">
        <f t="shared" si="376"/>
        <v>1576807.4432842268</v>
      </c>
      <c r="BZ512">
        <f t="shared" si="377"/>
        <v>10990794.397136126</v>
      </c>
      <c r="CB512">
        <f t="shared" si="378"/>
        <v>-406383.11255015573</v>
      </c>
      <c r="CD512">
        <f t="shared" si="379"/>
        <v>-1754793.7972517186</v>
      </c>
      <c r="CF512">
        <f t="shared" si="380"/>
        <v>3099018.5766241825</v>
      </c>
      <c r="CH512">
        <f t="shared" si="381"/>
        <v>393483.00940086698</v>
      </c>
      <c r="CJ512">
        <f t="shared" si="382"/>
        <v>-715503.5996792051</v>
      </c>
      <c r="CL512">
        <f t="shared" si="383"/>
        <v>787147.89602671168</v>
      </c>
    </row>
    <row r="513" spans="1:90" x14ac:dyDescent="0.2">
      <c r="A513" s="2" t="s">
        <v>508</v>
      </c>
      <c r="B513" s="2" t="str">
        <f t="shared" si="393"/>
        <v>TUTICORIN TPS</v>
      </c>
      <c r="C513" s="2" t="str">
        <f>VLOOKUP($A513,'[1]daily coal, energy reqd'!$C$2:$T$599,17,FALSE)</f>
        <v>Tamil Nadu</v>
      </c>
      <c r="D513" s="2" t="str">
        <f>VLOOKUP(C513,'Target PLF'!$I$2:$J$19,2,FALSE)</f>
        <v>SR</v>
      </c>
      <c r="E513" s="2" t="str">
        <f>VLOOKUP(A513,[2]Ownership!$C$2:$D$666,2,FALSE)</f>
        <v>STATE SECTOR</v>
      </c>
      <c r="F513" s="2" t="s">
        <v>550</v>
      </c>
      <c r="G513" s="12">
        <v>40.821355236139603</v>
      </c>
      <c r="H513" s="2">
        <v>210</v>
      </c>
      <c r="I513" s="2">
        <f>VLOOKUP(A513,'[3]Calculated coal req (reg.)'!$A$2:$I$599,9,FALSE)</f>
        <v>2.4330479037461998</v>
      </c>
      <c r="J513" s="2"/>
      <c r="K513" s="11">
        <v>0.48274759994964289</v>
      </c>
      <c r="L513" s="3">
        <f>VLOOKUP(F513,'Target PLF'!$A$2:$B$11,2,FALSE)</f>
        <v>0.55000000000000004</v>
      </c>
      <c r="M513" s="3">
        <f t="shared" si="371"/>
        <v>6.7252400050357153E-2</v>
      </c>
      <c r="N513" s="2" t="str">
        <f t="shared" si="354"/>
        <v>0.25</v>
      </c>
      <c r="O513" s="2">
        <f t="shared" si="396"/>
        <v>10.336632359484089</v>
      </c>
      <c r="P513" s="2">
        <f t="shared" si="355"/>
        <v>792302.87035445543</v>
      </c>
      <c r="Q513" s="2">
        <f t="shared" si="356"/>
        <v>15.44632517710472</v>
      </c>
      <c r="R513" s="2">
        <f t="shared" si="357"/>
        <v>2.7719999999999998</v>
      </c>
      <c r="S513" s="2"/>
      <c r="T513" s="2" t="str">
        <f>VLOOKUP(A513,'[4]CEA vs MERIT comp. &amp; NPA marker'!$C$2:$K$735,9,FALSE)</f>
        <v>Contracted</v>
      </c>
      <c r="U513" s="3">
        <f>VLOOKUP(B513,'[8]Import-Domestic share'!$A$208:$F$406,6,FALSE)</f>
        <v>0.19627287722881157</v>
      </c>
      <c r="V513" s="3">
        <f t="shared" si="358"/>
        <v>155507.56400111501</v>
      </c>
      <c r="W513" s="2">
        <f t="shared" si="359"/>
        <v>3397.7398513712164</v>
      </c>
      <c r="X513" s="2">
        <f t="shared" si="360"/>
        <v>3419.9715579587428</v>
      </c>
      <c r="Y513" s="6">
        <f t="shared" si="361"/>
        <v>0.25310943086267546</v>
      </c>
      <c r="Z513" s="2"/>
      <c r="AA513" s="2">
        <f t="shared" si="362"/>
        <v>725015.411700394</v>
      </c>
      <c r="AB513" s="2" t="s">
        <v>576</v>
      </c>
      <c r="AC513" s="12">
        <f>VLOOKUP(B513,[9]Sheet1!$A$2:$B$137,2,FALSE)</f>
        <v>4189.0812125130678</v>
      </c>
      <c r="AD513" s="12">
        <f t="shared" si="363"/>
        <v>879707.05462774425</v>
      </c>
      <c r="AE513" s="2"/>
      <c r="AF513" s="7">
        <f>VLOOKUP($B513,'[9]Subsidiary wise dispatch'!$A$3:$R$138,11,FALSE)*$H513*$O513*365</f>
        <v>0</v>
      </c>
      <c r="AG513" s="7">
        <f>VLOOKUP($B513,'[9]Subsidiary wise dispatch'!$A$3:$R$138,12,FALSE)*$H513*$O513*365</f>
        <v>80289.97111456444</v>
      </c>
      <c r="AH513" s="7">
        <f>VLOOKUP($B513,'[9]Subsidiary wise dispatch'!$A$3:$R$138,13,FALSE)*$H513*$O513*365</f>
        <v>124737.36097328167</v>
      </c>
      <c r="AI513" s="7">
        <f>VLOOKUP($B513,'[9]Subsidiary wise dispatch'!$A$3:$R$138,14,FALSE)*$H513*$O513*365</f>
        <v>587275.53826660931</v>
      </c>
      <c r="AJ513" s="7">
        <f>VLOOKUP($B513,'[9]Subsidiary wise dispatch'!$A$3:$R$138,15,FALSE)*$H513*$O513*365</f>
        <v>0</v>
      </c>
      <c r="AK513" s="7">
        <f>VLOOKUP($B513,'[9]Subsidiary wise dispatch'!$A$3:$R$138,16,FALSE)*$H513*$O513*365</f>
        <v>0</v>
      </c>
      <c r="AL513" s="7">
        <f>VLOOKUP($B513,'[9]Subsidiary wise dispatch'!$A$3:$R$138,17,FALSE)*$H513*$O513*365</f>
        <v>0</v>
      </c>
      <c r="AM513" s="7">
        <f>VLOOKUP($B513,'[9]Subsidiary wise dispatch'!$A$3:$R$138,18,FALSE)*$H513*$O513*365</f>
        <v>0</v>
      </c>
      <c r="AN513" s="15">
        <f t="shared" si="364"/>
        <v>792302.87035445543</v>
      </c>
      <c r="AO513" s="6">
        <v>8.1569433810636374E-2</v>
      </c>
      <c r="AP513" s="11">
        <f t="shared" si="365"/>
        <v>0.19846233994273324</v>
      </c>
      <c r="AQ513" s="11"/>
      <c r="AR513" s="3">
        <f>VLOOKUP(A513,[10]Sheet1!$A$2:$L$542,12,FALSE)</f>
        <v>3.3875747126436702</v>
      </c>
      <c r="AS513" s="3">
        <f t="shared" si="372"/>
        <v>4.0017026304784817</v>
      </c>
      <c r="AT513" s="2"/>
      <c r="AU513" s="2"/>
      <c r="AV513" s="88">
        <f t="shared" si="373"/>
        <v>4.9283903804902732E-2</v>
      </c>
      <c r="AW513" s="32">
        <f t="shared" si="374"/>
        <v>1.2315733665349811E-2</v>
      </c>
      <c r="AX513" s="12">
        <f t="shared" si="366"/>
        <v>355.3761981722983</v>
      </c>
      <c r="AY513" s="12">
        <f t="shared" si="367"/>
        <v>0</v>
      </c>
      <c r="AZ513" s="3">
        <f>VLOOKUP(A513,[5]Analysis!$A$3:$BJ$543,62,FALSE)</f>
        <v>1.37136107093295</v>
      </c>
      <c r="BA513" s="39">
        <f>1090.14/5</f>
        <v>218.02800000000002</v>
      </c>
      <c r="BB513" s="2"/>
      <c r="BC513" s="2" t="e">
        <f>VLOOKUP(A513,'[6]FGD status - Jun 2020'!$I$2:$M$449,5,FALSE)</f>
        <v>#N/A</v>
      </c>
      <c r="BD513" s="2" t="str">
        <f>VLOOKUP(A513,'[1]daily coal, energy reqd'!$C$2:$L$599,10,FALSE)</f>
        <v>Y</v>
      </c>
      <c r="BE513" s="2"/>
      <c r="BF513" s="2">
        <f t="shared" si="368"/>
        <v>254.78773380730496</v>
      </c>
      <c r="BG513" s="2">
        <f t="shared" si="369"/>
        <v>0</v>
      </c>
      <c r="BH513" s="2"/>
      <c r="BI513" s="2"/>
      <c r="BK513">
        <f t="shared" si="370"/>
        <v>101.37699598942501</v>
      </c>
      <c r="BP513" s="2" t="e">
        <f>VLOOKUP(A513,'[7]Table 2'!$J$2:$N$449,5,FALSE)</f>
        <v>#N/A</v>
      </c>
      <c r="BR513">
        <f t="shared" si="375"/>
        <v>416.50271371737222</v>
      </c>
      <c r="BT513">
        <f>(X513*I513*365*[5]Analysis!BK513)/10^4</f>
        <v>185.42471475701407</v>
      </c>
      <c r="BV513">
        <f>(X513*I513*365*[5]Analysis!BL513)/10^4</f>
        <v>231.07799896035814</v>
      </c>
      <c r="BX513">
        <f t="shared" si="376"/>
        <v>852897.84957122221</v>
      </c>
      <c r="BZ513">
        <f t="shared" si="377"/>
        <v>6308768.9890801804</v>
      </c>
      <c r="CB513">
        <f t="shared" si="378"/>
        <v>-126666.78385669958</v>
      </c>
      <c r="CD513">
        <f t="shared" si="379"/>
        <v>0</v>
      </c>
      <c r="CF513">
        <f t="shared" si="380"/>
        <v>1585723.1564552113</v>
      </c>
      <c r="CH513">
        <f t="shared" si="381"/>
        <v>735417.25601926039</v>
      </c>
      <c r="CJ513">
        <f t="shared" si="382"/>
        <v>-307534.82198561594</v>
      </c>
      <c r="CL513">
        <f t="shared" si="383"/>
        <v>561061.76736106433</v>
      </c>
    </row>
    <row r="514" spans="1:90" x14ac:dyDescent="0.2">
      <c r="A514" s="2" t="s">
        <v>500</v>
      </c>
      <c r="B514" s="2" t="str">
        <f t="shared" si="393"/>
        <v>TUTICORIN TPS</v>
      </c>
      <c r="C514" s="2" t="str">
        <f>VLOOKUP($A514,'[1]daily coal, energy reqd'!$C$2:$T$599,17,FALSE)</f>
        <v>Tamil Nadu</v>
      </c>
      <c r="D514" s="2" t="str">
        <f>VLOOKUP(C514,'Target PLF'!$I$2:$J$19,2,FALSE)</f>
        <v>SR</v>
      </c>
      <c r="E514" s="2" t="str">
        <f>VLOOKUP(A514,[2]Ownership!$C$2:$D$666,2,FALSE)</f>
        <v>STATE SECTOR</v>
      </c>
      <c r="F514" s="2" t="s">
        <v>549</v>
      </c>
      <c r="G514" s="12">
        <v>39.378507871320998</v>
      </c>
      <c r="H514" s="2">
        <v>210</v>
      </c>
      <c r="I514" s="2">
        <f>VLOOKUP(A514,'[3]Calculated coal req (reg.)'!$A$2:$I$599,9,FALSE)</f>
        <v>3.23088844150096</v>
      </c>
      <c r="J514" s="2"/>
      <c r="K514" s="11">
        <v>0.64104929394860322</v>
      </c>
      <c r="L514" s="3">
        <f>VLOOKUP(F514,'Target PLF'!$A$2:$B$11,2,FALSE)</f>
        <v>0.55000000000000004</v>
      </c>
      <c r="M514" s="3">
        <f t="shared" si="371"/>
        <v>-9.1049293948603172E-2</v>
      </c>
      <c r="N514" s="2" t="str">
        <f t="shared" si="354"/>
        <v>0.25</v>
      </c>
      <c r="O514" s="2">
        <f t="shared" si="396"/>
        <v>12.493429128319194</v>
      </c>
      <c r="P514" s="2">
        <f t="shared" si="355"/>
        <v>957621.34268566628</v>
      </c>
      <c r="Q514" s="2">
        <f t="shared" si="356"/>
        <v>15.400622986824091</v>
      </c>
      <c r="R514" s="2">
        <f t="shared" si="357"/>
        <v>2.7719999999999998</v>
      </c>
      <c r="S514" s="2"/>
      <c r="T514" s="2" t="str">
        <f>VLOOKUP(A514,'[4]CEA vs MERIT comp. &amp; NPA marker'!$C$2:$K$735,9,FALSE)</f>
        <v>Contracted</v>
      </c>
      <c r="U514" s="3">
        <f>VLOOKUP(B514,'[8]Import-Domestic share'!$A$208:$F$406,6,FALSE)</f>
        <v>0.19627287722881157</v>
      </c>
      <c r="V514" s="3">
        <f t="shared" si="358"/>
        <v>187955.09622463345</v>
      </c>
      <c r="W514" s="2">
        <f t="shared" si="359"/>
        <v>3386.7157226949676</v>
      </c>
      <c r="X514" s="2">
        <f t="shared" si="360"/>
        <v>3356.6174483352252</v>
      </c>
      <c r="Y514" s="6">
        <f t="shared" si="361"/>
        <v>0.25393332963761656</v>
      </c>
      <c r="Z514" s="2"/>
      <c r="AA514" s="2">
        <f t="shared" si="362"/>
        <v>944926.20879488532</v>
      </c>
      <c r="AB514" s="2" t="s">
        <v>576</v>
      </c>
      <c r="AC514" s="12">
        <f>VLOOKUP(B514,[9]Sheet1!$A$2:$B$137,2,FALSE)</f>
        <v>4189.0812125130678</v>
      </c>
      <c r="AD514" s="12">
        <f t="shared" si="363"/>
        <v>879707.05462774425</v>
      </c>
      <c r="AE514" s="2"/>
      <c r="AF514" s="7">
        <f>VLOOKUP($B514,'[9]Subsidiary wise dispatch'!$A$3:$R$138,11,FALSE)*$H514*$O514*365</f>
        <v>0</v>
      </c>
      <c r="AG514" s="7">
        <f>VLOOKUP($B514,'[9]Subsidiary wise dispatch'!$A$3:$R$138,12,FALSE)*$H514*$O514*365</f>
        <v>97042.927420577398</v>
      </c>
      <c r="AH514" s="7">
        <f>VLOOKUP($B514,'[9]Subsidiary wise dispatch'!$A$3:$R$138,13,FALSE)*$H514*$O514*365</f>
        <v>150764.51640880882</v>
      </c>
      <c r="AI514" s="7">
        <f>VLOOKUP($B514,'[9]Subsidiary wise dispatch'!$A$3:$R$138,14,FALSE)*$H514*$O514*365</f>
        <v>709813.89885627991</v>
      </c>
      <c r="AJ514" s="7">
        <f>VLOOKUP($B514,'[9]Subsidiary wise dispatch'!$A$3:$R$138,15,FALSE)*$H514*$O514*365</f>
        <v>0</v>
      </c>
      <c r="AK514" s="7">
        <f>VLOOKUP($B514,'[9]Subsidiary wise dispatch'!$A$3:$R$138,16,FALSE)*$H514*$O514*365</f>
        <v>0</v>
      </c>
      <c r="AL514" s="7">
        <f>VLOOKUP($B514,'[9]Subsidiary wise dispatch'!$A$3:$R$138,17,FALSE)*$H514*$O514*365</f>
        <v>0</v>
      </c>
      <c r="AM514" s="7">
        <f>VLOOKUP($B514,'[9]Subsidiary wise dispatch'!$A$3:$R$138,18,FALSE)*$H514*$O514*365</f>
        <v>0</v>
      </c>
      <c r="AN514" s="15">
        <f t="shared" si="364"/>
        <v>957621.34268566617</v>
      </c>
      <c r="AO514" s="6">
        <v>8.1569433810636374E-2</v>
      </c>
      <c r="AP514" s="11">
        <f t="shared" si="365"/>
        <v>0.26354174087856269</v>
      </c>
      <c r="AQ514" s="11"/>
      <c r="AR514" s="3">
        <f>VLOOKUP(A514,[10]Sheet1!$A$2:$L$542,12,FALSE)</f>
        <v>3.3875747126436702</v>
      </c>
      <c r="AS514" s="3">
        <f t="shared" si="372"/>
        <v>3.9845252709292711</v>
      </c>
      <c r="AT514" s="2"/>
      <c r="AU514" s="2"/>
      <c r="AV514" s="88">
        <f t="shared" si="373"/>
        <v>-6.6722743591415376E-2</v>
      </c>
      <c r="AW514" s="32">
        <f t="shared" si="374"/>
        <v>1.6745468796049146E-2</v>
      </c>
      <c r="AX514" s="12">
        <f t="shared" si="366"/>
        <v>469.88481745905602</v>
      </c>
      <c r="AY514" s="12">
        <f t="shared" si="367"/>
        <v>0</v>
      </c>
      <c r="AZ514" s="3">
        <f>VLOOKUP(A514,[5]Analysis!$A$3:$BJ$543,62,FALSE)</f>
        <v>1.37136107093295</v>
      </c>
      <c r="BA514" s="2">
        <f>1090.14/5</f>
        <v>218.02800000000002</v>
      </c>
      <c r="BB514" s="2"/>
      <c r="BC514" s="2" t="e">
        <f>VLOOKUP(A514,'[6]FGD status - Jun 2020'!$I$2:$M$449,5,FALSE)</f>
        <v>#N/A</v>
      </c>
      <c r="BD514" s="2" t="str">
        <f>VLOOKUP(A514,'[1]daily coal, energy reqd'!$C$2:$L$599,10,FALSE)</f>
        <v>Y</v>
      </c>
      <c r="BE514" s="2"/>
      <c r="BF514" s="2">
        <f t="shared" si="368"/>
        <v>332.06964082229354</v>
      </c>
      <c r="BG514" s="2">
        <f t="shared" si="369"/>
        <v>0</v>
      </c>
      <c r="BH514" s="2"/>
      <c r="BI514" s="2"/>
      <c r="BK514">
        <f t="shared" si="370"/>
        <v>134.62035172920667</v>
      </c>
      <c r="BP514" s="2" t="e">
        <f>VLOOKUP(A514,'[7]Table 2'!$J$2:$N$449,5,FALSE)</f>
        <v>#N/A</v>
      </c>
      <c r="BR514">
        <f t="shared" si="375"/>
        <v>542.83581269355818</v>
      </c>
      <c r="BT514">
        <f>(X514*I514*365*[5]Analysis!BK514)/10^4</f>
        <v>241.66751479294538</v>
      </c>
      <c r="BV514">
        <f>(X514*I514*365*[5]Analysis!BL514)/10^4</f>
        <v>301.16829790061274</v>
      </c>
      <c r="BX514">
        <f t="shared" si="376"/>
        <v>1111597.7929275893</v>
      </c>
      <c r="BZ514">
        <f t="shared" si="377"/>
        <v>8377528.7677381756</v>
      </c>
      <c r="CB514">
        <f t="shared" si="378"/>
        <v>-223359.9735346791</v>
      </c>
      <c r="CD514">
        <f t="shared" si="379"/>
        <v>0</v>
      </c>
      <c r="CF514">
        <f t="shared" si="380"/>
        <v>2105710.5409733811</v>
      </c>
      <c r="CH514">
        <f t="shared" si="381"/>
        <v>942056.51189170382</v>
      </c>
      <c r="CJ514">
        <f t="shared" si="382"/>
        <v>-408381.06811727985</v>
      </c>
      <c r="CL514">
        <f t="shared" si="383"/>
        <v>745044.09730029525</v>
      </c>
    </row>
    <row r="515" spans="1:90" x14ac:dyDescent="0.2">
      <c r="A515" s="2" t="s">
        <v>493</v>
      </c>
      <c r="B515" s="2" t="str">
        <f t="shared" si="393"/>
        <v>TUTICORIN TPS</v>
      </c>
      <c r="C515" s="2" t="str">
        <f>VLOOKUP($A515,'[1]daily coal, energy reqd'!$C$2:$T$599,17,FALSE)</f>
        <v>Tamil Nadu</v>
      </c>
      <c r="D515" s="2" t="str">
        <f>VLOOKUP(C515,'Target PLF'!$I$2:$J$19,2,FALSE)</f>
        <v>SR</v>
      </c>
      <c r="E515" s="2" t="str">
        <f>VLOOKUP(A515,[2]Ownership!$C$2:$D$666,2,FALSE)</f>
        <v>STATE SECTOR</v>
      </c>
      <c r="F515" s="2" t="s">
        <v>549</v>
      </c>
      <c r="G515" s="12">
        <v>38.050650239561897</v>
      </c>
      <c r="H515" s="2">
        <v>210</v>
      </c>
      <c r="I515" s="2">
        <f>VLOOKUP(A515,'[3]Calculated coal req (reg.)'!$A$2:$I$599,9,FALSE)</f>
        <v>3.2269546453731599</v>
      </c>
      <c r="J515" s="2"/>
      <c r="K515" s="11">
        <v>0.640268778843881</v>
      </c>
      <c r="L515" s="3">
        <f>VLOOKUP(F515,'Target PLF'!$A$2:$B$11,2,FALSE)</f>
        <v>0.55000000000000004</v>
      </c>
      <c r="M515" s="3">
        <f t="shared" si="371"/>
        <v>-9.0268778843880959E-2</v>
      </c>
      <c r="N515" s="2" t="str">
        <f t="shared" ref="N515:N543" si="397">IF(L515&gt;0.75,"0.15","0.25")</f>
        <v>0.25</v>
      </c>
      <c r="O515" s="2">
        <f t="shared" si="396"/>
        <v>12.440509697026693</v>
      </c>
      <c r="P515" s="2">
        <f t="shared" ref="P515:P543" si="398">(O515*H515*365)</f>
        <v>953565.06827709591</v>
      </c>
      <c r="Q515" s="2">
        <f t="shared" ref="Q515:Q543" si="399">(13.9133*0.85)+(-0.289097*N515)+(-0.0052079*H515)+(0.031675*G515)+3.492937+IF(E515="Pvt Sector",-0.8897511,0)</f>
        <v>15.358563096338122</v>
      </c>
      <c r="R515" s="2">
        <f t="shared" ref="R515:R543" si="400">(H515*24*L515)/1000</f>
        <v>2.7719999999999998</v>
      </c>
      <c r="S515" s="2"/>
      <c r="T515" s="2" t="str">
        <f>VLOOKUP(A515,'[4]CEA vs MERIT comp. &amp; NPA marker'!$C$2:$K$735,9,FALSE)</f>
        <v>Contracted</v>
      </c>
      <c r="U515" s="3">
        <f>VLOOKUP(B515,'[8]Import-Domestic share'!$A$208:$F$406,6,FALSE)</f>
        <v>0.19627287722881157</v>
      </c>
      <c r="V515" s="3">
        <f t="shared" ref="V515:V543" si="401">(U515*O515*H515*365)</f>
        <v>187158.95957563375</v>
      </c>
      <c r="W515" s="2">
        <f t="shared" ref="W515:W543" si="402">3417.812+(7.640537*G515)+(-0.9257423*H515)+(-330.5712*L515)+(225.4556*U515)</f>
        <v>3376.5701773287797</v>
      </c>
      <c r="X515" s="2">
        <f t="shared" ref="X515:X543" si="403">3417.812+(7.640537*G515)+(-0.9257423*H515)+(-330.5712*K515)+(225.4556*U515)</f>
        <v>3346.7299187838235</v>
      </c>
      <c r="Y515" s="6">
        <f t="shared" ref="Y515:Y543" si="404">860/W515</f>
        <v>0.25469632047758889</v>
      </c>
      <c r="Z515" s="2"/>
      <c r="AA515" s="2">
        <f t="shared" ref="AA515:AA543" si="405">(X515*I515*365*10^6)/((IF(AC515,AC515,4286))*1000)</f>
        <v>940995.64207033487</v>
      </c>
      <c r="AB515" s="2" t="s">
        <v>576</v>
      </c>
      <c r="AC515" s="12">
        <f>VLOOKUP(B515,[9]Sheet1!$A$2:$B$137,2,FALSE)</f>
        <v>4189.0812125130678</v>
      </c>
      <c r="AD515" s="12">
        <f t="shared" ref="AD515:AD543" si="406">AC515*H515</f>
        <v>879707.05462774425</v>
      </c>
      <c r="AE515" s="2"/>
      <c r="AF515" s="7">
        <f>VLOOKUP($B515,'[9]Subsidiary wise dispatch'!$A$3:$R$138,11,FALSE)*$H515*$O515*365</f>
        <v>0</v>
      </c>
      <c r="AG515" s="7">
        <f>VLOOKUP($B515,'[9]Subsidiary wise dispatch'!$A$3:$R$138,12,FALSE)*$H515*$O515*365</f>
        <v>96631.874820261612</v>
      </c>
      <c r="AH515" s="7">
        <f>VLOOKUP($B515,'[9]Subsidiary wise dispatch'!$A$3:$R$138,13,FALSE)*$H515*$O515*365</f>
        <v>150125.91091583343</v>
      </c>
      <c r="AI515" s="7">
        <f>VLOOKUP($B515,'[9]Subsidiary wise dispatch'!$A$3:$R$138,14,FALSE)*$H515*$O515*365</f>
        <v>706807.28254100087</v>
      </c>
      <c r="AJ515" s="7">
        <f>VLOOKUP($B515,'[9]Subsidiary wise dispatch'!$A$3:$R$138,15,FALSE)*$H515*$O515*365</f>
        <v>0</v>
      </c>
      <c r="AK515" s="7">
        <f>VLOOKUP($B515,'[9]Subsidiary wise dispatch'!$A$3:$R$138,16,FALSE)*$H515*$O515*365</f>
        <v>0</v>
      </c>
      <c r="AL515" s="7">
        <f>VLOOKUP($B515,'[9]Subsidiary wise dispatch'!$A$3:$R$138,17,FALSE)*$H515*$O515*365</f>
        <v>0</v>
      </c>
      <c r="AM515" s="7">
        <f>VLOOKUP($B515,'[9]Subsidiary wise dispatch'!$A$3:$R$138,18,FALSE)*$H515*$O515*365</f>
        <v>0</v>
      </c>
      <c r="AN515" s="15">
        <f t="shared" ref="AN515:AN543" si="407">SUM(AF515:AM515)</f>
        <v>953565.06827709591</v>
      </c>
      <c r="AO515" s="6">
        <v>8.1569433810636374E-2</v>
      </c>
      <c r="AP515" s="11">
        <f t="shared" ref="AP515:AP543" si="408">AO515*I515</f>
        <v>0.26322086335569156</v>
      </c>
      <c r="AQ515" s="11"/>
      <c r="AR515" s="3">
        <f>VLOOKUP(A515,[10]Sheet1!$A$2:$L$542,12,FALSE)</f>
        <v>3.3875747126436702</v>
      </c>
      <c r="AS515" s="3">
        <f t="shared" si="372"/>
        <v>3.973679677315892</v>
      </c>
      <c r="AT515" s="2"/>
      <c r="AU515" s="2"/>
      <c r="AV515" s="88">
        <f t="shared" si="373"/>
        <v>-6.6150766512372852E-2</v>
      </c>
      <c r="AW515" s="32">
        <f t="shared" si="374"/>
        <v>1.6647231755996954E-2</v>
      </c>
      <c r="AX515" s="12">
        <f t="shared" ref="AX515:AX543" si="409">(AS515*I515*365)/10</f>
        <v>468.03526942878943</v>
      </c>
      <c r="AY515" s="12">
        <f t="shared" ref="AY515:AY543" si="410">(AT515*R515*365)/10</f>
        <v>0</v>
      </c>
      <c r="AZ515" s="3">
        <f>VLOOKUP(A515,[5]Analysis!$A$3:$BJ$543,62,FALSE)</f>
        <v>1.37136107093295</v>
      </c>
      <c r="BA515" s="2">
        <f>1090.14/5</f>
        <v>218.02800000000002</v>
      </c>
      <c r="BB515" s="2"/>
      <c r="BC515" s="2" t="e">
        <f>VLOOKUP(A515,'[6]FGD status - Jun 2020'!$I$2:$M$449,5,FALSE)</f>
        <v>#N/A</v>
      </c>
      <c r="BD515" s="2" t="str">
        <f>VLOOKUP(A515,'[1]daily coal, energy reqd'!$C$2:$L$599,10,FALSE)</f>
        <v>Y</v>
      </c>
      <c r="BE515" s="2"/>
      <c r="BF515" s="2">
        <f t="shared" ref="BF515:BF543" si="411">((AA515*(1-U515)*3095)+(AA515*U515*5231))/10^7</f>
        <v>330.68834578750545</v>
      </c>
      <c r="BG515" s="2">
        <f t="shared" ref="BG515:BG543" si="412">((Z515*(1-U515)*3095)+(Z515*U515*5231))/10^7</f>
        <v>0</v>
      </c>
      <c r="BH515" s="2"/>
      <c r="BI515" s="2"/>
      <c r="BK515">
        <f t="shared" ref="BK515:BK543" si="413">K515*H515</f>
        <v>134.45644355721501</v>
      </c>
      <c r="BP515" s="2" t="e">
        <f>VLOOKUP(A515,'[7]Table 2'!$J$2:$N$449,5,FALSE)</f>
        <v>#N/A</v>
      </c>
      <c r="BR515">
        <f t="shared" si="375"/>
        <v>540.57780316603237</v>
      </c>
      <c r="BT515">
        <f>(X515*I515*365*[5]Analysis!BK515)/10^4</f>
        <v>240.66226138457455</v>
      </c>
      <c r="BV515">
        <f>(X515*I515*365*[5]Analysis!BL515)/10^4</f>
        <v>299.91554178145782</v>
      </c>
      <c r="BX515">
        <f t="shared" si="376"/>
        <v>1106973.9299684518</v>
      </c>
      <c r="BZ515">
        <f t="shared" si="377"/>
        <v>8367328.6352285687</v>
      </c>
      <c r="CB515">
        <f t="shared" si="378"/>
        <v>-222816.39692448959</v>
      </c>
      <c r="CD515">
        <f t="shared" si="379"/>
        <v>0</v>
      </c>
      <c r="CF515">
        <f t="shared" si="380"/>
        <v>2103146.714916762</v>
      </c>
      <c r="CH515">
        <f t="shared" si="381"/>
        <v>909181.69162164966</v>
      </c>
      <c r="CJ515">
        <f t="shared" si="382"/>
        <v>-407883.84022052208</v>
      </c>
      <c r="CL515">
        <f t="shared" si="383"/>
        <v>744136.96242452762</v>
      </c>
    </row>
    <row r="516" spans="1:90" x14ac:dyDescent="0.2">
      <c r="A516" s="2" t="s">
        <v>420</v>
      </c>
      <c r="B516" s="2" t="str">
        <f t="shared" si="393"/>
        <v>TUTICORIN TPS</v>
      </c>
      <c r="C516" s="2" t="str">
        <f>VLOOKUP($A516,'[1]daily coal, energy reqd'!$C$2:$T$599,17,FALSE)</f>
        <v>Tamil Nadu</v>
      </c>
      <c r="D516" s="2" t="str">
        <f>VLOOKUP(C516,'Target PLF'!$I$2:$J$19,2,FALSE)</f>
        <v>SR</v>
      </c>
      <c r="E516" s="2" t="str">
        <f>VLOOKUP(A516,[2]Ownership!$C$2:$D$666,2,FALSE)</f>
        <v>STATE SECTOR</v>
      </c>
      <c r="F516" s="2" t="s">
        <v>547</v>
      </c>
      <c r="G516" s="12">
        <v>28.227241615331899</v>
      </c>
      <c r="H516" s="2">
        <v>210</v>
      </c>
      <c r="I516" s="2">
        <f>VLOOKUP(A516,'[3]Calculated coal req (reg.)'!$A$2:$I$599,9,FALSE)</f>
        <v>3.2067210913360502</v>
      </c>
      <c r="J516" s="2"/>
      <c r="K516" s="11">
        <v>0.63625418478889884</v>
      </c>
      <c r="L516" s="3">
        <f>VLOOKUP(F516,'Target PLF'!$A$2:$B$11,2,FALSE)</f>
        <v>0.65</v>
      </c>
      <c r="M516" s="3">
        <f t="shared" ref="M516:M543" si="414">L516-K516</f>
        <v>1.3745815211101187E-2</v>
      </c>
      <c r="N516" s="2" t="str">
        <f t="shared" si="397"/>
        <v>0.25</v>
      </c>
      <c r="O516" s="2">
        <f t="shared" si="396"/>
        <v>12.073496977389023</v>
      </c>
      <c r="P516" s="2">
        <f t="shared" si="398"/>
        <v>925433.54331686872</v>
      </c>
      <c r="Q516" s="2">
        <f t="shared" si="399"/>
        <v>15.047406628165637</v>
      </c>
      <c r="R516" s="2">
        <f t="shared" si="400"/>
        <v>3.2759999999999998</v>
      </c>
      <c r="S516" s="2"/>
      <c r="T516" s="2" t="str">
        <f>VLOOKUP(A516,'[4]CEA vs MERIT comp. &amp; NPA marker'!$C$2:$K$735,9,FALSE)</f>
        <v>Contracted</v>
      </c>
      <c r="U516" s="3">
        <f>VLOOKUP(B516,'[8]Import-Domestic share'!$A$208:$F$406,6,FALSE)</f>
        <v>0.19627287722881157</v>
      </c>
      <c r="V516" s="3">
        <f t="shared" si="401"/>
        <v>181637.50423085582</v>
      </c>
      <c r="W516" s="2">
        <f t="shared" si="402"/>
        <v>3268.4569402692314</v>
      </c>
      <c r="X516" s="2">
        <f t="shared" si="403"/>
        <v>3273.0009108985432</v>
      </c>
      <c r="Y516" s="6">
        <f t="shared" si="404"/>
        <v>0.26312110445890091</v>
      </c>
      <c r="Z516" s="2"/>
      <c r="AA516" s="2">
        <f t="shared" si="405"/>
        <v>914495.13389239856</v>
      </c>
      <c r="AB516" s="2" t="s">
        <v>576</v>
      </c>
      <c r="AC516" s="12">
        <f>VLOOKUP(B516,[9]Sheet1!$A$2:$B$137,2,FALSE)</f>
        <v>4189.0812125130678</v>
      </c>
      <c r="AD516" s="12">
        <f t="shared" si="406"/>
        <v>879707.05462774425</v>
      </c>
      <c r="AE516" s="2"/>
      <c r="AF516" s="7">
        <f>VLOOKUP($B516,'[9]Subsidiary wise dispatch'!$A$3:$R$138,11,FALSE)*$H516*$O516*365</f>
        <v>0</v>
      </c>
      <c r="AG516" s="7">
        <f>VLOOKUP($B516,'[9]Subsidiary wise dispatch'!$A$3:$R$138,12,FALSE)*$H516*$O516*365</f>
        <v>93781.097155585448</v>
      </c>
      <c r="AH516" s="7">
        <f>VLOOKUP($B516,'[9]Subsidiary wise dispatch'!$A$3:$R$138,13,FALSE)*$H516*$O516*365</f>
        <v>145696.98314718492</v>
      </c>
      <c r="AI516" s="7">
        <f>VLOOKUP($B516,'[9]Subsidiary wise dispatch'!$A$3:$R$138,14,FALSE)*$H516*$O516*365</f>
        <v>685955.46301409823</v>
      </c>
      <c r="AJ516" s="7">
        <f>VLOOKUP($B516,'[9]Subsidiary wise dispatch'!$A$3:$R$138,15,FALSE)*$H516*$O516*365</f>
        <v>0</v>
      </c>
      <c r="AK516" s="7">
        <f>VLOOKUP($B516,'[9]Subsidiary wise dispatch'!$A$3:$R$138,16,FALSE)*$H516*$O516*365</f>
        <v>0</v>
      </c>
      <c r="AL516" s="7">
        <f>VLOOKUP($B516,'[9]Subsidiary wise dispatch'!$A$3:$R$138,17,FALSE)*$H516*$O516*365</f>
        <v>0</v>
      </c>
      <c r="AM516" s="7">
        <f>VLOOKUP($B516,'[9]Subsidiary wise dispatch'!$A$3:$R$138,18,FALSE)*$H516*$O516*365</f>
        <v>0</v>
      </c>
      <c r="AN516" s="15">
        <f t="shared" si="407"/>
        <v>925433.5433168686</v>
      </c>
      <c r="AO516" s="6">
        <v>8.1569433810636374E-2</v>
      </c>
      <c r="AP516" s="11">
        <f t="shared" si="408"/>
        <v>0.2615704238089076</v>
      </c>
      <c r="AQ516" s="11"/>
      <c r="AR516" s="3">
        <f>VLOOKUP(A516,[10]Sheet1!$A$2:$L$542,12,FALSE)</f>
        <v>3.3875747126436702</v>
      </c>
      <c r="AS516" s="3">
        <f t="shared" ref="AS516:AS543" si="415">0.6517435+(0.0001025*X516)+(1.890785*AZ516)+(0.0074045*G516 )+(-0.0006019*H516)+(2.827044*AO516)</f>
        <v>3.8933850248495401</v>
      </c>
      <c r="AT516" s="2"/>
      <c r="AU516" s="2"/>
      <c r="AV516" s="88">
        <f t="shared" ref="AV516:AV543" si="416">0.73282*M516</f>
        <v>1.0073208302999173E-2</v>
      </c>
      <c r="AW516" s="32">
        <f t="shared" ref="AW516:AW543" si="417">ABS(AU516-AV516)/AS516</f>
        <v>2.5872623022657392E-3</v>
      </c>
      <c r="AX516" s="12">
        <f t="shared" si="409"/>
        <v>455.70249546950873</v>
      </c>
      <c r="AY516" s="12">
        <f t="shared" si="410"/>
        <v>0</v>
      </c>
      <c r="AZ516" s="3">
        <f>VLOOKUP(A516,[5]Analysis!$A$3:$BJ$543,62,FALSE)</f>
        <v>1.37136107093295</v>
      </c>
      <c r="BA516" s="2">
        <f>1090.14/5</f>
        <v>218.02800000000002</v>
      </c>
      <c r="BB516" s="2"/>
      <c r="BC516" s="2" t="e">
        <f>VLOOKUP(A516,'[6]FGD status - Jun 2020'!$I$2:$M$449,5,FALSE)</f>
        <v>#N/A</v>
      </c>
      <c r="BD516" s="2" t="str">
        <f>VLOOKUP(A516,'[1]daily coal, energy reqd'!$C$2:$L$599,10,FALSE)</f>
        <v>Y</v>
      </c>
      <c r="BE516" s="2"/>
      <c r="BF516" s="2">
        <f t="shared" si="411"/>
        <v>321.37543420737398</v>
      </c>
      <c r="BG516" s="2">
        <f t="shared" si="412"/>
        <v>0</v>
      </c>
      <c r="BH516" s="2"/>
      <c r="BI516" s="2"/>
      <c r="BK516">
        <f t="shared" si="413"/>
        <v>133.61337880566876</v>
      </c>
      <c r="BP516" s="2" t="e">
        <f>VLOOKUP(A516,'[7]Table 2'!$J$2:$N$449,5,FALSE)</f>
        <v>#N/A</v>
      </c>
      <c r="BR516">
        <f t="shared" ref="BR516:BR543" si="418">(X516*I516*365*AZ516)/10^4</f>
        <v>525.35394255165818</v>
      </c>
      <c r="BT516">
        <f>(X516*I516*365*[5]Analysis!BK516)/10^4</f>
        <v>233.8846824662379</v>
      </c>
      <c r="BV516">
        <f>(X516*I516*365*[5]Analysis!BL516)/10^4</f>
        <v>291.46926008542033</v>
      </c>
      <c r="BX516">
        <f t="shared" ref="BX516:BX543" si="419">0.0001025*((X516*I516*10^6))</f>
        <v>1075799.1079263974</v>
      </c>
      <c r="BZ516">
        <f t="shared" ref="BZ516:BZ543" si="420">(1.890785*AZ516*I516*10^6)</f>
        <v>8314864.0626849486</v>
      </c>
      <c r="CB516">
        <f t="shared" ref="CB516:CB543" si="421">(-0.107843*I516*K516*10^6)</f>
        <v>-220030.96360677705</v>
      </c>
      <c r="CD516">
        <f t="shared" ref="CD516:CD543" si="422">IF(E516="PVT SECTOR",-0.3690444,0)*I516*10^6</f>
        <v>0</v>
      </c>
      <c r="CF516">
        <f t="shared" ref="CF516:CF543" si="423" xml:space="preserve"> 0.6517435*I516*10^6</f>
        <v>2089959.6275911771</v>
      </c>
      <c r="CH516">
        <f t="shared" ref="CH516:CH543" si="424">0.0074045*(G516*I516*10^6)</f>
        <v>670232.31969178526</v>
      </c>
      <c r="CJ516">
        <f t="shared" ref="CJ516:CJ543" si="425">-0.0006019*H516*I516*10^6</f>
        <v>-405326.33922378544</v>
      </c>
      <c r="CL516">
        <f t="shared" ref="CL516:CL543" si="426">2.827044*AO516*I516*10^6</f>
        <v>739471.09720642935</v>
      </c>
    </row>
    <row r="517" spans="1:90" x14ac:dyDescent="0.2">
      <c r="A517" s="2" t="s">
        <v>423</v>
      </c>
      <c r="B517" s="2" t="str">
        <f t="shared" si="393"/>
        <v>TUTICORIN TPS</v>
      </c>
      <c r="C517" s="2" t="str">
        <f>VLOOKUP($A517,'[1]daily coal, energy reqd'!$C$2:$T$599,17,FALSE)</f>
        <v>Tamil Nadu</v>
      </c>
      <c r="D517" s="2" t="str">
        <f>VLOOKUP(C517,'Target PLF'!$I$2:$J$19,2,FALSE)</f>
        <v>SR</v>
      </c>
      <c r="E517" s="2" t="str">
        <f>VLOOKUP(A517,[2]Ownership!$C$2:$D$666,2,FALSE)</f>
        <v>STATE SECTOR</v>
      </c>
      <c r="F517" s="2" t="s">
        <v>547</v>
      </c>
      <c r="G517" s="12">
        <v>29.095140314852799</v>
      </c>
      <c r="H517" s="2">
        <v>210</v>
      </c>
      <c r="I517" s="2">
        <f>VLOOKUP(A517,'[3]Calculated coal req (reg.)'!$A$2:$I$599,9,FALSE)</f>
        <v>3.14669200699189</v>
      </c>
      <c r="J517" s="2"/>
      <c r="K517" s="11">
        <v>0.62434365218093058</v>
      </c>
      <c r="L517" s="3">
        <f>VLOOKUP(F517,'Target PLF'!$A$2:$B$11,2,FALSE)</f>
        <v>0.65</v>
      </c>
      <c r="M517" s="3">
        <f t="shared" si="414"/>
        <v>2.5656347819069447E-2</v>
      </c>
      <c r="N517" s="2" t="str">
        <f t="shared" si="397"/>
        <v>0.25</v>
      </c>
      <c r="O517" s="2">
        <f t="shared" si="396"/>
        <v>11.935272855361903</v>
      </c>
      <c r="P517" s="2">
        <f t="shared" si="398"/>
        <v>914838.66436348995</v>
      </c>
      <c r="Q517" s="2">
        <f t="shared" si="399"/>
        <v>15.074897319472962</v>
      </c>
      <c r="R517" s="2">
        <f t="shared" si="400"/>
        <v>3.2759999999999998</v>
      </c>
      <c r="S517" s="2"/>
      <c r="T517" s="2" t="str">
        <f>VLOOKUP(A517,'[4]CEA vs MERIT comp. &amp; NPA marker'!$C$2:$K$735,9,FALSE)</f>
        <v>Contracted</v>
      </c>
      <c r="U517" s="3">
        <f>VLOOKUP(B517,'[8]Import-Domestic share'!$A$208:$F$406,6,FALSE)</f>
        <v>0.19627287722881157</v>
      </c>
      <c r="V517" s="3">
        <f t="shared" si="401"/>
        <v>179558.01685478521</v>
      </c>
      <c r="W517" s="2">
        <f t="shared" si="402"/>
        <v>3275.088152395173</v>
      </c>
      <c r="X517" s="2">
        <f t="shared" si="403"/>
        <v>3283.5694020813398</v>
      </c>
      <c r="Y517" s="6">
        <f t="shared" si="404"/>
        <v>0.2625883518191886</v>
      </c>
      <c r="Z517" s="2"/>
      <c r="AA517" s="2">
        <f t="shared" si="405"/>
        <v>900273.61364830437</v>
      </c>
      <c r="AB517" s="2" t="s">
        <v>576</v>
      </c>
      <c r="AC517" s="12">
        <f>VLOOKUP(B517,[9]Sheet1!$A$2:$B$137,2,FALSE)</f>
        <v>4189.0812125130678</v>
      </c>
      <c r="AD517" s="12">
        <f t="shared" si="406"/>
        <v>879707.05462774425</v>
      </c>
      <c r="AE517" s="2"/>
      <c r="AF517" s="7">
        <f>VLOOKUP($B517,'[9]Subsidiary wise dispatch'!$A$3:$R$138,11,FALSE)*$H517*$O517*365</f>
        <v>0</v>
      </c>
      <c r="AG517" s="7">
        <f>VLOOKUP($B517,'[9]Subsidiary wise dispatch'!$A$3:$R$138,12,FALSE)*$H517*$O517*365</f>
        <v>92707.438890598321</v>
      </c>
      <c r="AH517" s="7">
        <f>VLOOKUP($B517,'[9]Subsidiary wise dispatch'!$A$3:$R$138,13,FALSE)*$H517*$O517*365</f>
        <v>144028.96288634127</v>
      </c>
      <c r="AI517" s="7">
        <f>VLOOKUP($B517,'[9]Subsidiary wise dispatch'!$A$3:$R$138,14,FALSE)*$H517*$O517*365</f>
        <v>678102.26258655021</v>
      </c>
      <c r="AJ517" s="7">
        <f>VLOOKUP($B517,'[9]Subsidiary wise dispatch'!$A$3:$R$138,15,FALSE)*$H517*$O517*365</f>
        <v>0</v>
      </c>
      <c r="AK517" s="7">
        <f>VLOOKUP($B517,'[9]Subsidiary wise dispatch'!$A$3:$R$138,16,FALSE)*$H517*$O517*365</f>
        <v>0</v>
      </c>
      <c r="AL517" s="7">
        <f>VLOOKUP($B517,'[9]Subsidiary wise dispatch'!$A$3:$R$138,17,FALSE)*$H517*$O517*365</f>
        <v>0</v>
      </c>
      <c r="AM517" s="7">
        <f>VLOOKUP($B517,'[9]Subsidiary wise dispatch'!$A$3:$R$138,18,FALSE)*$H517*$O517*365</f>
        <v>0</v>
      </c>
      <c r="AN517" s="15">
        <f t="shared" si="407"/>
        <v>914838.66436348972</v>
      </c>
      <c r="AO517" s="6">
        <v>8.1569433810636374E-2</v>
      </c>
      <c r="AP517" s="11">
        <f t="shared" si="408"/>
        <v>0.25667388538678348</v>
      </c>
      <c r="AQ517" s="11"/>
      <c r="AR517" s="3">
        <f>VLOOKUP(A517,[10]Sheet1!$A$2:$L$542,12,FALSE)</f>
        <v>3.3875747126436702</v>
      </c>
      <c r="AS517" s="3">
        <f t="shared" si="415"/>
        <v>3.9008946511163791</v>
      </c>
      <c r="AT517" s="2"/>
      <c r="AU517" s="2"/>
      <c r="AV517" s="88">
        <f t="shared" si="416"/>
        <v>1.8801484808770474E-2</v>
      </c>
      <c r="AW517" s="32">
        <f t="shared" si="417"/>
        <v>4.8197878923466348E-3</v>
      </c>
      <c r="AX517" s="12">
        <f t="shared" si="409"/>
        <v>448.03436168566452</v>
      </c>
      <c r="AY517" s="12">
        <f t="shared" si="410"/>
        <v>0</v>
      </c>
      <c r="AZ517" s="3">
        <f>VLOOKUP(A517,[5]Analysis!$A$3:$BJ$543,62,FALSE)</f>
        <v>1.37136107093295</v>
      </c>
      <c r="BA517" s="2">
        <f>1090.14/5</f>
        <v>218.02800000000002</v>
      </c>
      <c r="BB517" s="2"/>
      <c r="BC517" s="2" t="e">
        <f>VLOOKUP(A517,'[6]FGD status - Jun 2020'!$I$2:$M$449,5,FALSE)</f>
        <v>#N/A</v>
      </c>
      <c r="BD517" s="2" t="str">
        <f>VLOOKUP(A517,'[1]daily coal, energy reqd'!$C$2:$L$599,10,FALSE)</f>
        <v>Y</v>
      </c>
      <c r="BE517" s="2"/>
      <c r="BF517" s="2">
        <f t="shared" si="411"/>
        <v>316.37765229017413</v>
      </c>
      <c r="BG517" s="2">
        <f t="shared" si="412"/>
        <v>0</v>
      </c>
      <c r="BH517" s="2"/>
      <c r="BI517" s="2"/>
      <c r="BK517">
        <f t="shared" si="413"/>
        <v>131.11216695799541</v>
      </c>
      <c r="BP517" s="2" t="e">
        <f>VLOOKUP(A517,'[7]Table 2'!$J$2:$N$449,5,FALSE)</f>
        <v>#N/A</v>
      </c>
      <c r="BR517">
        <f t="shared" si="418"/>
        <v>517.1840448098161</v>
      </c>
      <c r="BT517">
        <f>(X517*I517*365*[5]Analysis!BK517)/10^4</f>
        <v>230.24748897749865</v>
      </c>
      <c r="BV517">
        <f>(X517*I517*365*[5]Analysis!BL517)/10^4</f>
        <v>286.93655583231742</v>
      </c>
      <c r="BX517">
        <f t="shared" si="419"/>
        <v>1059069.1131730804</v>
      </c>
      <c r="BZ517">
        <f t="shared" si="420"/>
        <v>8159211.7119152779</v>
      </c>
      <c r="CB517">
        <f t="shared" si="421"/>
        <v>-211870.21053560716</v>
      </c>
      <c r="CD517">
        <f t="shared" si="422"/>
        <v>0</v>
      </c>
      <c r="CF517">
        <f t="shared" si="423"/>
        <v>2050836.0620589189</v>
      </c>
      <c r="CH517">
        <f t="shared" si="424"/>
        <v>677907.48699042527</v>
      </c>
      <c r="CJ517">
        <f t="shared" si="425"/>
        <v>-397738.72299176792</v>
      </c>
      <c r="CL517">
        <f t="shared" si="426"/>
        <v>725628.36763939401</v>
      </c>
    </row>
    <row r="518" spans="1:90" x14ac:dyDescent="0.2">
      <c r="A518" s="2" t="s">
        <v>514</v>
      </c>
      <c r="B518" s="2" t="str">
        <f t="shared" si="393"/>
        <v>UKAI TPS</v>
      </c>
      <c r="C518" s="2" t="str">
        <f>VLOOKUP($A518,'[1]daily coal, energy reqd'!$C$2:$T$599,17,FALSE)</f>
        <v>Gujarat</v>
      </c>
      <c r="D518" s="2" t="str">
        <f>VLOOKUP(C518,'Target PLF'!$I$2:$J$19,2,FALSE)</f>
        <v>WR</v>
      </c>
      <c r="E518" s="2" t="str">
        <f>VLOOKUP(A518,[2]Ownership!$C$2:$D$666,2,FALSE)</f>
        <v>STATE SECTOR</v>
      </c>
      <c r="F518" s="2" t="s">
        <v>550</v>
      </c>
      <c r="G518" s="12">
        <v>41.338809034907598</v>
      </c>
      <c r="H518" s="2">
        <v>200</v>
      </c>
      <c r="I518" s="2">
        <f>VLOOKUP(A518,'[3]Calculated coal req (reg.)'!$A$2:$I$599,9,FALSE)</f>
        <v>3.1695494741953101</v>
      </c>
      <c r="J518" s="2"/>
      <c r="K518" s="11">
        <v>0.66032280712402303</v>
      </c>
      <c r="L518" s="3">
        <f>VLOOKUP(F518,'Target PLF'!$A$2:$B$11,2,FALSE)</f>
        <v>0.55000000000000004</v>
      </c>
      <c r="M518" s="3">
        <f t="shared" si="414"/>
        <v>-0.11032280712402298</v>
      </c>
      <c r="N518" s="2" t="str">
        <f t="shared" si="397"/>
        <v>0.25</v>
      </c>
      <c r="O518" s="2">
        <f t="shared" si="396"/>
        <v>12.875758838539367</v>
      </c>
      <c r="P518" s="2">
        <f t="shared" si="398"/>
        <v>939930.3952133737</v>
      </c>
      <c r="Q518" s="2">
        <f t="shared" si="399"/>
        <v>15.514794526180697</v>
      </c>
      <c r="R518" s="2">
        <f t="shared" si="400"/>
        <v>2.64</v>
      </c>
      <c r="S518" s="2"/>
      <c r="T518" s="2" t="str">
        <f>VLOOKUP(A518,'[4]CEA vs MERIT comp. &amp; NPA marker'!$C$2:$K$735,9,FALSE)</f>
        <v>Contracted</v>
      </c>
      <c r="U518" s="3">
        <f>VLOOKUP(B518,'[8]Import-Domestic share'!$A$208:$F$406,6,FALSE)</f>
        <v>9.7715240367696243E-2</v>
      </c>
      <c r="V518" s="3">
        <f t="shared" si="401"/>
        <v>91845.524497178543</v>
      </c>
      <c r="W518" s="2">
        <f t="shared" si="402"/>
        <v>3388.730528113389</v>
      </c>
      <c r="X518" s="2">
        <f t="shared" si="403"/>
        <v>3352.2609853750323</v>
      </c>
      <c r="Y518" s="6">
        <f t="shared" si="404"/>
        <v>0.2537823509025926</v>
      </c>
      <c r="Z518" s="2"/>
      <c r="AA518" s="2">
        <f t="shared" si="405"/>
        <v>914212.71023569955</v>
      </c>
      <c r="AB518" s="2" t="s">
        <v>576</v>
      </c>
      <c r="AC518" s="12">
        <f>VLOOKUP(B518,[9]Sheet1!$A$2:$B$137,2,FALSE)</f>
        <v>4242.1006374980961</v>
      </c>
      <c r="AD518" s="12">
        <f t="shared" si="406"/>
        <v>848420.12749961927</v>
      </c>
      <c r="AE518" s="2"/>
      <c r="AF518" s="7">
        <f>VLOOKUP($B518,'[9]Subsidiary wise dispatch'!$A$3:$R$138,11,FALSE)*$H518*$O518*365</f>
        <v>0</v>
      </c>
      <c r="AG518" s="7">
        <f>VLOOKUP($B518,'[9]Subsidiary wise dispatch'!$A$3:$R$138,12,FALSE)*$H518*$O518*365</f>
        <v>0</v>
      </c>
      <c r="AH518" s="7">
        <f>VLOOKUP($B518,'[9]Subsidiary wise dispatch'!$A$3:$R$138,13,FALSE)*$H518*$O518*365</f>
        <v>0</v>
      </c>
      <c r="AI518" s="7">
        <f>VLOOKUP($B518,'[9]Subsidiary wise dispatch'!$A$3:$R$138,14,FALSE)*$H518*$O518*365</f>
        <v>0</v>
      </c>
      <c r="AJ518" s="7">
        <f>VLOOKUP($B518,'[9]Subsidiary wise dispatch'!$A$3:$R$138,15,FALSE)*$H518*$O518*365</f>
        <v>0</v>
      </c>
      <c r="AK518" s="7">
        <f>VLOOKUP($B518,'[9]Subsidiary wise dispatch'!$A$3:$R$138,16,FALSE)*$H518*$O518*365</f>
        <v>0</v>
      </c>
      <c r="AL518" s="7">
        <f>VLOOKUP($B518,'[9]Subsidiary wise dispatch'!$A$3:$R$138,17,FALSE)*$H518*$O518*365</f>
        <v>801730.30633559241</v>
      </c>
      <c r="AM518" s="7">
        <f>VLOOKUP($B518,'[9]Subsidiary wise dispatch'!$A$3:$R$138,18,FALSE)*$H518*$O518*365</f>
        <v>138200.08887778141</v>
      </c>
      <c r="AN518" s="15">
        <f t="shared" si="407"/>
        <v>939930.39521337382</v>
      </c>
      <c r="AO518" s="6">
        <v>8.0187863271519652E-2</v>
      </c>
      <c r="AP518" s="11">
        <f t="shared" si="408"/>
        <v>0.25415939986909053</v>
      </c>
      <c r="AQ518" s="11"/>
      <c r="AR518" s="3">
        <f>VLOOKUP(A518,[10]Sheet1!$A$2:$L$542,12,FALSE)</f>
        <v>3.59386831534019</v>
      </c>
      <c r="AS518" s="3">
        <f t="shared" si="415"/>
        <v>3.3288405772275689</v>
      </c>
      <c r="AT518" s="2"/>
      <c r="AU518" s="2"/>
      <c r="AV518" s="88">
        <f t="shared" si="416"/>
        <v>-8.0846759516626523E-2</v>
      </c>
      <c r="AW518" s="32">
        <f t="shared" si="417"/>
        <v>2.428676220474334E-2</v>
      </c>
      <c r="AX518" s="12">
        <f t="shared" si="409"/>
        <v>385.10875889495532</v>
      </c>
      <c r="AY518" s="12">
        <f t="shared" si="410"/>
        <v>0</v>
      </c>
      <c r="AZ518" s="3">
        <f>VLOOKUP(A518,[5]Analysis!$A$3:$BJ$543,62,FALSE)</f>
        <v>1.0160237663156229</v>
      </c>
      <c r="BA518" s="2">
        <v>98.12</v>
      </c>
      <c r="BB518" s="2"/>
      <c r="BC518" s="2" t="str">
        <f>VLOOKUP(A518,'[6]FGD status - Jun 2020'!$I$2:$M$449,5,FALSE)</f>
        <v>LoI Placed</v>
      </c>
      <c r="BD518" s="2"/>
      <c r="BE518" s="2" t="str">
        <f>VLOOKUP(A518,'[1]daily coal, energy reqd'!$C$2:$M$599,11,FALSE)</f>
        <v>Y</v>
      </c>
      <c r="BF518" s="2">
        <f t="shared" si="411"/>
        <v>302.03025896382519</v>
      </c>
      <c r="BG518" s="2">
        <f t="shared" si="412"/>
        <v>0</v>
      </c>
      <c r="BH518" s="2">
        <f t="shared" ref="BH518:BH525" si="427">IF(G518&lt;17,IF(H518&gt;400,H518*5000000,H518*3500000),H518*1500000)/10^7</f>
        <v>30</v>
      </c>
      <c r="BI518" s="2">
        <f t="shared" ref="BI518:BI525" si="428">(H518*800000)/10^7</f>
        <v>16</v>
      </c>
      <c r="BK518">
        <f t="shared" si="413"/>
        <v>132.06456142480459</v>
      </c>
      <c r="BL518">
        <f>VLOOKUP(A518,'[11]Daily coal vs energy req.2'!$C$2:$P$599,14,FALSE)</f>
        <v>1.23</v>
      </c>
      <c r="BM518">
        <f>VLOOKUP(A518,'[11]Daily coal vs energy req.2'!$C$2:$R$599,16,FALSE)</f>
        <v>1.43</v>
      </c>
      <c r="BN518">
        <f t="shared" ref="BN518:BN525" si="429">BL518*H518</f>
        <v>246</v>
      </c>
      <c r="BO518">
        <f t="shared" ref="BO518:BO525" si="430">BM518*H518</f>
        <v>286</v>
      </c>
      <c r="BP518" s="2" t="str">
        <f>VLOOKUP(A518,'[7]Table 2'!$J$2:$N$449,5,FALSE)</f>
        <v>Feasibility Study completed</v>
      </c>
      <c r="BR518">
        <f t="shared" si="418"/>
        <v>394.03254081392004</v>
      </c>
      <c r="BT518">
        <f>(X518*I518*365*[5]Analysis!BK518)/10^4</f>
        <v>180.41646149562382</v>
      </c>
      <c r="BV518">
        <f>(X518*I518*365*[5]Analysis!BL518)/10^4</f>
        <v>213.61607931829616</v>
      </c>
      <c r="BX518">
        <f t="shared" si="419"/>
        <v>1089078.5969649907</v>
      </c>
      <c r="BZ518">
        <f t="shared" si="420"/>
        <v>6088966.0182302454</v>
      </c>
      <c r="CB518">
        <f t="shared" si="421"/>
        <v>-225707.39770930406</v>
      </c>
      <c r="CD518">
        <f t="shared" si="422"/>
        <v>0</v>
      </c>
      <c r="CF518">
        <f t="shared" si="423"/>
        <v>2065733.2677352112</v>
      </c>
      <c r="CH518">
        <f t="shared" si="424"/>
        <v>970177.5775613247</v>
      </c>
      <c r="CJ518">
        <f t="shared" si="425"/>
        <v>-381550.36570363148</v>
      </c>
      <c r="CL518">
        <f t="shared" si="426"/>
        <v>718519.80644351325</v>
      </c>
    </row>
    <row r="519" spans="1:90" x14ac:dyDescent="0.2">
      <c r="A519" s="2" t="s">
        <v>512</v>
      </c>
      <c r="B519" s="2" t="str">
        <f t="shared" si="393"/>
        <v>UKAI TPS</v>
      </c>
      <c r="C519" s="2" t="str">
        <f>VLOOKUP($A519,'[1]daily coal, energy reqd'!$C$2:$T$599,17,FALSE)</f>
        <v>Gujarat</v>
      </c>
      <c r="D519" s="2" t="str">
        <f>VLOOKUP(C519,'Target PLF'!$I$2:$J$19,2,FALSE)</f>
        <v>WR</v>
      </c>
      <c r="E519" s="2" t="str">
        <f>VLOOKUP(A519,[2]Ownership!$C$2:$D$666,2,FALSE)</f>
        <v>STATE SECTOR</v>
      </c>
      <c r="F519" s="2" t="s">
        <v>550</v>
      </c>
      <c r="G519" s="12">
        <v>41.177275838466798</v>
      </c>
      <c r="H519" s="2">
        <v>200</v>
      </c>
      <c r="I519" s="2">
        <f>VLOOKUP(A519,'[3]Calculated coal req (reg.)'!$A$2:$I$599,9,FALSE)</f>
        <v>3.5253572662746899</v>
      </c>
      <c r="J519" s="2"/>
      <c r="K519" s="11">
        <v>0.73444943047389377</v>
      </c>
      <c r="L519" s="3">
        <f>VLOOKUP(F519,'Target PLF'!$A$2:$B$11,2,FALSE)</f>
        <v>0.55000000000000004</v>
      </c>
      <c r="M519" s="3">
        <f t="shared" si="414"/>
        <v>-0.18444943047389373</v>
      </c>
      <c r="N519" s="2" t="str">
        <f t="shared" si="397"/>
        <v>0.25</v>
      </c>
      <c r="O519" s="2">
        <f t="shared" si="396"/>
        <v>13.901988223195861</v>
      </c>
      <c r="P519" s="2">
        <f t="shared" si="398"/>
        <v>1014845.1402932978</v>
      </c>
      <c r="Q519" s="2">
        <f t="shared" si="399"/>
        <v>15.509677962183435</v>
      </c>
      <c r="R519" s="2">
        <f t="shared" si="400"/>
        <v>2.64</v>
      </c>
      <c r="S519" s="2"/>
      <c r="T519" s="2" t="str">
        <f>VLOOKUP(A519,'[4]CEA vs MERIT comp. &amp; NPA marker'!$C$2:$K$735,9,FALSE)</f>
        <v>Contracted</v>
      </c>
      <c r="U519" s="3">
        <f>VLOOKUP(B519,'[8]Import-Domestic share'!$A$208:$F$406,6,FALSE)</f>
        <v>9.7715240367696243E-2</v>
      </c>
      <c r="V519" s="3">
        <f t="shared" si="401"/>
        <v>99165.836819748016</v>
      </c>
      <c r="W519" s="2">
        <f t="shared" si="402"/>
        <v>3387.4963277492548</v>
      </c>
      <c r="X519" s="2">
        <f t="shared" si="403"/>
        <v>3326.5226581781831</v>
      </c>
      <c r="Y519" s="6">
        <f t="shared" si="404"/>
        <v>0.25387481396073058</v>
      </c>
      <c r="Z519" s="2"/>
      <c r="AA519" s="2">
        <f t="shared" si="405"/>
        <v>1009033.3461404138</v>
      </c>
      <c r="AB519" s="2" t="s">
        <v>576</v>
      </c>
      <c r="AC519" s="12">
        <f>VLOOKUP(B519,[9]Sheet1!$A$2:$B$137,2,FALSE)</f>
        <v>4242.1006374980961</v>
      </c>
      <c r="AD519" s="12">
        <f t="shared" si="406"/>
        <v>848420.12749961927</v>
      </c>
      <c r="AE519" s="2"/>
      <c r="AF519" s="7">
        <f>VLOOKUP($B519,'[9]Subsidiary wise dispatch'!$A$3:$R$138,11,FALSE)*$H519*$O519*365</f>
        <v>0</v>
      </c>
      <c r="AG519" s="7">
        <f>VLOOKUP($B519,'[9]Subsidiary wise dispatch'!$A$3:$R$138,12,FALSE)*$H519*$O519*365</f>
        <v>0</v>
      </c>
      <c r="AH519" s="7">
        <f>VLOOKUP($B519,'[9]Subsidiary wise dispatch'!$A$3:$R$138,13,FALSE)*$H519*$O519*365</f>
        <v>0</v>
      </c>
      <c r="AI519" s="7">
        <f>VLOOKUP($B519,'[9]Subsidiary wise dispatch'!$A$3:$R$138,14,FALSE)*$H519*$O519*365</f>
        <v>0</v>
      </c>
      <c r="AJ519" s="7">
        <f>VLOOKUP($B519,'[9]Subsidiary wise dispatch'!$A$3:$R$138,15,FALSE)*$H519*$O519*365</f>
        <v>0</v>
      </c>
      <c r="AK519" s="7">
        <f>VLOOKUP($B519,'[9]Subsidiary wise dispatch'!$A$3:$R$138,16,FALSE)*$H519*$O519*365</f>
        <v>0</v>
      </c>
      <c r="AL519" s="7">
        <f>VLOOKUP($B519,'[9]Subsidiary wise dispatch'!$A$3:$R$138,17,FALSE)*$H519*$O519*365</f>
        <v>865630.16724853357</v>
      </c>
      <c r="AM519" s="7">
        <f>VLOOKUP($B519,'[9]Subsidiary wise dispatch'!$A$3:$R$138,18,FALSE)*$H519*$O519*365</f>
        <v>149214.9730447644</v>
      </c>
      <c r="AN519" s="15">
        <f t="shared" si="407"/>
        <v>1014845.1402932979</v>
      </c>
      <c r="AO519" s="6">
        <v>8.0187863271519652E-2</v>
      </c>
      <c r="AP519" s="11">
        <f t="shared" si="408"/>
        <v>0.28269086645129315</v>
      </c>
      <c r="AQ519" s="11"/>
      <c r="AR519" s="3">
        <f>VLOOKUP(A519,[10]Sheet1!$A$2:$L$542,12,FALSE)</f>
        <v>3.59386831534019</v>
      </c>
      <c r="AS519" s="3">
        <f t="shared" si="415"/>
        <v>3.3250063261368461</v>
      </c>
      <c r="AT519" s="2"/>
      <c r="AU519" s="2"/>
      <c r="AV519" s="88">
        <f t="shared" si="416"/>
        <v>-0.13516823163987882</v>
      </c>
      <c r="AW519" s="32">
        <f t="shared" si="417"/>
        <v>4.0652022396878817E-2</v>
      </c>
      <c r="AX519" s="12">
        <f t="shared" si="409"/>
        <v>427.84698524733824</v>
      </c>
      <c r="AY519" s="12">
        <f t="shared" si="410"/>
        <v>0</v>
      </c>
      <c r="AZ519" s="3">
        <f>VLOOKUP(A519,[5]Analysis!$A$3:$BJ$543,62,FALSE)</f>
        <v>1.0160237663156229</v>
      </c>
      <c r="BA519" s="2">
        <v>98.12</v>
      </c>
      <c r="BB519" s="2"/>
      <c r="BC519" s="2" t="str">
        <f>VLOOKUP(A519,'[6]FGD status - Jun 2020'!$I$2:$M$449,5,FALSE)</f>
        <v>LoI Placed</v>
      </c>
      <c r="BD519" s="2"/>
      <c r="BE519" s="2" t="str">
        <f>VLOOKUP(A519,'[1]daily coal, energy reqd'!$C$2:$M$599,11,FALSE)</f>
        <v>Y</v>
      </c>
      <c r="BF519" s="2">
        <f t="shared" si="411"/>
        <v>333.35633975090133</v>
      </c>
      <c r="BG519" s="2">
        <f t="shared" si="412"/>
        <v>0</v>
      </c>
      <c r="BH519" s="2">
        <f t="shared" si="427"/>
        <v>30</v>
      </c>
      <c r="BI519" s="2">
        <f t="shared" si="428"/>
        <v>16</v>
      </c>
      <c r="BK519">
        <f t="shared" si="413"/>
        <v>146.88988609477875</v>
      </c>
      <c r="BL519">
        <f>VLOOKUP(A519,'[11]Daily coal vs energy req.2'!$C$2:$P$599,14,FALSE)</f>
        <v>1.27</v>
      </c>
      <c r="BM519">
        <f>VLOOKUP(A519,'[11]Daily coal vs energy req.2'!$C$2:$R$599,16,FALSE)</f>
        <v>1.27</v>
      </c>
      <c r="BN519">
        <f t="shared" si="429"/>
        <v>254</v>
      </c>
      <c r="BO519">
        <f t="shared" si="430"/>
        <v>254</v>
      </c>
      <c r="BP519" s="2" t="str">
        <f>VLOOKUP(A519,'[7]Table 2'!$J$2:$N$449,5,FALSE)</f>
        <v>Feasibility Study completed</v>
      </c>
      <c r="BR519">
        <f t="shared" si="418"/>
        <v>434.90094667702988</v>
      </c>
      <c r="BT519">
        <f>(X519*I519*365*[5]Analysis!BK519)/10^4</f>
        <v>199.12895959935608</v>
      </c>
      <c r="BV519">
        <f>(X519*I519*365*[5]Analysis!BL519)/10^4</f>
        <v>235.77198707767377</v>
      </c>
      <c r="BX519">
        <f t="shared" si="419"/>
        <v>1202036.0345046751</v>
      </c>
      <c r="BZ519">
        <f t="shared" si="420"/>
        <v>6772502.1398876971</v>
      </c>
      <c r="CB519">
        <f t="shared" si="421"/>
        <v>-279226.73286278459</v>
      </c>
      <c r="CD519">
        <f t="shared" si="422"/>
        <v>0</v>
      </c>
      <c r="CF519">
        <f t="shared" si="423"/>
        <v>2297628.6834722981</v>
      </c>
      <c r="CH519">
        <f t="shared" si="424"/>
        <v>1074871.3442493889</v>
      </c>
      <c r="CJ519">
        <f t="shared" si="425"/>
        <v>-424382.50771414721</v>
      </c>
      <c r="CL519">
        <f t="shared" si="426"/>
        <v>799179.51785592956</v>
      </c>
    </row>
    <row r="520" spans="1:90" x14ac:dyDescent="0.2">
      <c r="A520" s="2" t="s">
        <v>466</v>
      </c>
      <c r="B520" s="2" t="str">
        <f t="shared" ref="B520:B543" si="431">LEFT(A520,LEN(A520)-LEN(RIGHT(A520,1)))</f>
        <v>UKAI TPS</v>
      </c>
      <c r="C520" s="2" t="str">
        <f>VLOOKUP($A520,'[1]daily coal, energy reqd'!$C$2:$T$599,17,FALSE)</f>
        <v>Gujarat</v>
      </c>
      <c r="D520" s="2" t="str">
        <f>VLOOKUP(C520,'Target PLF'!$I$2:$J$19,2,FALSE)</f>
        <v>WR</v>
      </c>
      <c r="E520" s="2" t="str">
        <f>VLOOKUP(A520,[2]Ownership!$C$2:$D$666,2,FALSE)</f>
        <v>STATE SECTOR</v>
      </c>
      <c r="F520" s="2" t="s">
        <v>549</v>
      </c>
      <c r="G520" s="12">
        <v>35.337440109513999</v>
      </c>
      <c r="H520" s="2">
        <v>210</v>
      </c>
      <c r="I520" s="2">
        <f>VLOOKUP(A520,'[3]Calculated coal req (reg.)'!$A$2:$I$599,9,FALSE)</f>
        <v>3.3994088854487501</v>
      </c>
      <c r="J520" s="2"/>
      <c r="K520" s="11">
        <v>0.67448588996999004</v>
      </c>
      <c r="L520" s="3">
        <f>VLOOKUP(F520,'Target PLF'!$A$2:$B$11,2,FALSE)</f>
        <v>0.55000000000000004</v>
      </c>
      <c r="M520" s="3">
        <f t="shared" si="414"/>
        <v>-0.12448588996998999</v>
      </c>
      <c r="N520" s="2" t="str">
        <f t="shared" si="397"/>
        <v>0.25</v>
      </c>
      <c r="O520" s="2">
        <f t="shared" si="396"/>
        <v>12.830641698388318</v>
      </c>
      <c r="P520" s="2">
        <f t="shared" si="398"/>
        <v>983468.68618146447</v>
      </c>
      <c r="Q520" s="2">
        <f t="shared" si="399"/>
        <v>15.272622165468855</v>
      </c>
      <c r="R520" s="2">
        <f t="shared" si="400"/>
        <v>2.7719999999999998</v>
      </c>
      <c r="S520" s="2"/>
      <c r="T520" s="2" t="str">
        <f>VLOOKUP(A520,'[4]CEA vs MERIT comp. &amp; NPA marker'!$C$2:$K$735,9,FALSE)</f>
        <v>Contracted</v>
      </c>
      <c r="U520" s="3">
        <f>VLOOKUP(B520,'[8]Import-Domestic share'!$A$208:$F$406,6,FALSE)</f>
        <v>9.7715240367696243E-2</v>
      </c>
      <c r="V520" s="3">
        <f t="shared" si="401"/>
        <v>96099.879064324254</v>
      </c>
      <c r="W520" s="2">
        <f t="shared" si="402"/>
        <v>3333.6194237882692</v>
      </c>
      <c r="X520" s="2">
        <f t="shared" si="403"/>
        <v>3292.4679737578217</v>
      </c>
      <c r="Y520" s="6">
        <f t="shared" si="404"/>
        <v>0.25797785849912958</v>
      </c>
      <c r="Z520" s="2"/>
      <c r="AA520" s="2">
        <f t="shared" si="405"/>
        <v>963023.44808392669</v>
      </c>
      <c r="AB520" s="2" t="s">
        <v>576</v>
      </c>
      <c r="AC520" s="12">
        <f>VLOOKUP(B520,[9]Sheet1!$A$2:$B$137,2,FALSE)</f>
        <v>4242.1006374980961</v>
      </c>
      <c r="AD520" s="12">
        <f t="shared" si="406"/>
        <v>890841.13387460017</v>
      </c>
      <c r="AE520" s="2"/>
      <c r="AF520" s="7">
        <f>VLOOKUP($B520,'[9]Subsidiary wise dispatch'!$A$3:$R$138,11,FALSE)*$H520*$O520*365</f>
        <v>0</v>
      </c>
      <c r="AG520" s="7">
        <f>VLOOKUP($B520,'[9]Subsidiary wise dispatch'!$A$3:$R$138,12,FALSE)*$H520*$O520*365</f>
        <v>0</v>
      </c>
      <c r="AH520" s="7">
        <f>VLOOKUP($B520,'[9]Subsidiary wise dispatch'!$A$3:$R$138,13,FALSE)*$H520*$O520*365</f>
        <v>0</v>
      </c>
      <c r="AI520" s="7">
        <f>VLOOKUP($B520,'[9]Subsidiary wise dispatch'!$A$3:$R$138,14,FALSE)*$H520*$O520*365</f>
        <v>0</v>
      </c>
      <c r="AJ520" s="7">
        <f>VLOOKUP($B520,'[9]Subsidiary wise dispatch'!$A$3:$R$138,15,FALSE)*$H520*$O520*365</f>
        <v>0</v>
      </c>
      <c r="AK520" s="7">
        <f>VLOOKUP($B520,'[9]Subsidiary wise dispatch'!$A$3:$R$138,16,FALSE)*$H520*$O520*365</f>
        <v>0</v>
      </c>
      <c r="AL520" s="7">
        <f>VLOOKUP($B520,'[9]Subsidiary wise dispatch'!$A$3:$R$138,17,FALSE)*$H520*$O520*365</f>
        <v>838867.06404971192</v>
      </c>
      <c r="AM520" s="7">
        <f>VLOOKUP($B520,'[9]Subsidiary wise dispatch'!$A$3:$R$138,18,FALSE)*$H520*$O520*365</f>
        <v>144601.62213175278</v>
      </c>
      <c r="AN520" s="15">
        <f t="shared" si="407"/>
        <v>983468.6861814647</v>
      </c>
      <c r="AO520" s="6">
        <v>8.0187863271519652E-2</v>
      </c>
      <c r="AP520" s="11">
        <f t="shared" si="408"/>
        <v>0.27259133491035337</v>
      </c>
      <c r="AQ520" s="11"/>
      <c r="AR520" s="3">
        <f>VLOOKUP(A520,[10]Sheet1!$A$2:$L$542,12,FALSE)</f>
        <v>3.59386831534019</v>
      </c>
      <c r="AS520" s="3">
        <f t="shared" si="415"/>
        <v>3.2722556573287278</v>
      </c>
      <c r="AT520" s="2"/>
      <c r="AU520" s="2"/>
      <c r="AV520" s="88">
        <f t="shared" si="416"/>
        <v>-9.1225749887808072E-2</v>
      </c>
      <c r="AW520" s="32">
        <f t="shared" si="417"/>
        <v>2.7878552118473308E-2</v>
      </c>
      <c r="AX520" s="12">
        <f t="shared" si="409"/>
        <v>406.01632592988739</v>
      </c>
      <c r="AY520" s="12">
        <f t="shared" si="410"/>
        <v>0</v>
      </c>
      <c r="AZ520" s="3">
        <f>VLOOKUP(A520,[5]Analysis!$A$3:$BJ$543,62,FALSE)</f>
        <v>1.0160237663156229</v>
      </c>
      <c r="BA520" s="2">
        <v>103.02</v>
      </c>
      <c r="BB520" s="2"/>
      <c r="BC520" s="2" t="str">
        <f>VLOOKUP(A520,'[6]FGD status - Jun 2020'!$I$2:$M$449,5,FALSE)</f>
        <v>LoI Placed</v>
      </c>
      <c r="BD520" s="2"/>
      <c r="BE520" s="2" t="str">
        <f>VLOOKUP(A520,'[1]daily coal, energy reqd'!$C$2:$M$599,11,FALSE)</f>
        <v>Y</v>
      </c>
      <c r="BF520" s="2">
        <f t="shared" si="411"/>
        <v>318.15595884467075</v>
      </c>
      <c r="BG520" s="2">
        <f t="shared" si="412"/>
        <v>0</v>
      </c>
      <c r="BH520" s="2">
        <f t="shared" si="427"/>
        <v>31.5</v>
      </c>
      <c r="BI520" s="2">
        <f t="shared" si="428"/>
        <v>16.8</v>
      </c>
      <c r="BK520">
        <f t="shared" si="413"/>
        <v>141.64203689369791</v>
      </c>
      <c r="BL520">
        <f>VLOOKUP(A520,'[11]Daily coal vs energy req.2'!$C$2:$P$599,14,FALSE)</f>
        <v>1.27</v>
      </c>
      <c r="BM520">
        <f>VLOOKUP(A520,'[11]Daily coal vs energy req.2'!$C$2:$R$599,16,FALSE)</f>
        <v>1.46</v>
      </c>
      <c r="BN520">
        <f t="shared" si="429"/>
        <v>266.7</v>
      </c>
      <c r="BO520">
        <f t="shared" si="430"/>
        <v>306.59999999999997</v>
      </c>
      <c r="BP520" s="2" t="str">
        <f>VLOOKUP(A520,'[7]Table 2'!$J$2:$N$449,5,FALSE)</f>
        <v>Feasibility Study completed</v>
      </c>
      <c r="BR520">
        <f t="shared" si="418"/>
        <v>415.07033523309906</v>
      </c>
      <c r="BT520">
        <f>(X520*I520*365*[5]Analysis!BK520)/10^4</f>
        <v>190.04907817987149</v>
      </c>
      <c r="BV520">
        <f>(X520*I520*365*[5]Analysis!BL520)/10^4</f>
        <v>225.02125705322754</v>
      </c>
      <c r="BX520">
        <f t="shared" si="419"/>
        <v>1147225.6007173976</v>
      </c>
      <c r="BZ520">
        <f t="shared" si="420"/>
        <v>6530544.9099583644</v>
      </c>
      <c r="CB520">
        <f t="shared" si="421"/>
        <v>-247268.18139475616</v>
      </c>
      <c r="CD520">
        <f t="shared" si="422"/>
        <v>0</v>
      </c>
      <c r="CF520">
        <f t="shared" si="423"/>
        <v>2215542.6449334677</v>
      </c>
      <c r="CH520">
        <f t="shared" si="424"/>
        <v>889475.98727552034</v>
      </c>
      <c r="CJ520">
        <f t="shared" si="425"/>
        <v>-429681.88371183659</v>
      </c>
      <c r="CL520">
        <f t="shared" si="426"/>
        <v>770627.69781030505</v>
      </c>
    </row>
    <row r="521" spans="1:90" x14ac:dyDescent="0.2">
      <c r="A521" s="2" t="s">
        <v>442</v>
      </c>
      <c r="B521" s="2" t="str">
        <f t="shared" si="431"/>
        <v>UNCHAHAR STPS</v>
      </c>
      <c r="C521" s="2" t="str">
        <f>VLOOKUP($A521,'[1]daily coal, energy reqd'!$C$2:$T$599,17,FALSE)</f>
        <v>Uttar Pradesh</v>
      </c>
      <c r="D521" s="2" t="str">
        <f>VLOOKUP(C521,'Target PLF'!$I$2:$J$19,2,FALSE)</f>
        <v>NR</v>
      </c>
      <c r="E521" s="2" t="str">
        <f>VLOOKUP(A521,[2]Ownership!$C$2:$D$666,2,FALSE)</f>
        <v>CENTRAL SECTOR</v>
      </c>
      <c r="F521" s="2" t="s">
        <v>548</v>
      </c>
      <c r="G521" s="12">
        <v>31.504449007529001</v>
      </c>
      <c r="H521" s="2">
        <v>210</v>
      </c>
      <c r="I521" s="2">
        <f>VLOOKUP(A521,'[3]Calculated coal req (reg.)'!$A$2:$I$599,9,FALSE)</f>
        <v>3.3069778940245902</v>
      </c>
      <c r="J521" s="2"/>
      <c r="K521" s="11">
        <v>0.65614640754456155</v>
      </c>
      <c r="L521" s="3">
        <f>VLOOKUP(F521,'Target PLF'!$A$2:$B$11,2,FALSE)</f>
        <v>0.6</v>
      </c>
      <c r="M521" s="3">
        <f t="shared" si="414"/>
        <v>-5.6146407544561572E-2</v>
      </c>
      <c r="N521" s="2" t="str">
        <f t="shared" si="397"/>
        <v>0.25</v>
      </c>
      <c r="O521" s="2">
        <f t="shared" si="396"/>
        <v>12.45406898440323</v>
      </c>
      <c r="P521" s="2">
        <f t="shared" si="398"/>
        <v>954604.38765450753</v>
      </c>
      <c r="Q521" s="2">
        <f t="shared" si="399"/>
        <v>15.15121217231348</v>
      </c>
      <c r="R521" s="2">
        <f t="shared" si="400"/>
        <v>3.024</v>
      </c>
      <c r="S521" s="2"/>
      <c r="T521" s="2" t="str">
        <f>VLOOKUP(A521,'[4]CEA vs MERIT comp. &amp; NPA marker'!$C$2:$K$735,9,FALSE)</f>
        <v>Contracted</v>
      </c>
      <c r="U521" s="3">
        <f>VLOOKUP(B521,'[8]Import-Domestic share'!$A$208:$F$406,6,FALSE)</f>
        <v>1.1361835485414404E-2</v>
      </c>
      <c r="V521" s="3">
        <f t="shared" si="401"/>
        <v>10846.058006185272</v>
      </c>
      <c r="W521" s="2">
        <f t="shared" si="402"/>
        <v>3268.3358947431038</v>
      </c>
      <c r="X521" s="2">
        <f t="shared" si="403"/>
        <v>3249.7755094254094</v>
      </c>
      <c r="Y521" s="6">
        <f t="shared" si="404"/>
        <v>0.26313084936687553</v>
      </c>
      <c r="Z521" s="2"/>
      <c r="AA521" s="2">
        <f t="shared" si="405"/>
        <v>908657.60545959906</v>
      </c>
      <c r="AB521" s="2" t="s">
        <v>576</v>
      </c>
      <c r="AC521" s="12">
        <f>VLOOKUP(B521,[9]Sheet1!$A$2:$B$137,2,FALSE)</f>
        <v>4316.9523179673752</v>
      </c>
      <c r="AD521" s="12">
        <f t="shared" si="406"/>
        <v>906559.98677314876</v>
      </c>
      <c r="AE521" s="2"/>
      <c r="AF521" s="7">
        <f>VLOOKUP($B521,'[9]Subsidiary wise dispatch'!$A$3:$R$138,11,FALSE)*$H521*$O521*365</f>
        <v>406036.78299823735</v>
      </c>
      <c r="AG521" s="7">
        <f>VLOOKUP($B521,'[9]Subsidiary wise dispatch'!$A$3:$R$138,12,FALSE)*$H521*$O521*365</f>
        <v>501780.30921430513</v>
      </c>
      <c r="AH521" s="7">
        <f>VLOOKUP($B521,'[9]Subsidiary wise dispatch'!$A$3:$R$138,13,FALSE)*$H521*$O521*365</f>
        <v>32663.442169409584</v>
      </c>
      <c r="AI521" s="7">
        <f>VLOOKUP($B521,'[9]Subsidiary wise dispatch'!$A$3:$R$138,14,FALSE)*$H521*$O521*365</f>
        <v>0</v>
      </c>
      <c r="AJ521" s="7">
        <f>VLOOKUP($B521,'[9]Subsidiary wise dispatch'!$A$3:$R$138,15,FALSE)*$H521*$O521*365</f>
        <v>14123.853272555813</v>
      </c>
      <c r="AK521" s="7">
        <f>VLOOKUP($B521,'[9]Subsidiary wise dispatch'!$A$3:$R$138,16,FALSE)*$H521*$O521*365</f>
        <v>0</v>
      </c>
      <c r="AL521" s="7">
        <f>VLOOKUP($B521,'[9]Subsidiary wise dispatch'!$A$3:$R$138,17,FALSE)*$H521*$O521*365</f>
        <v>0</v>
      </c>
      <c r="AM521" s="7">
        <f>VLOOKUP($B521,'[9]Subsidiary wise dispatch'!$A$3:$R$138,18,FALSE)*$H521*$O521*365</f>
        <v>0</v>
      </c>
      <c r="AN521" s="15">
        <f t="shared" si="407"/>
        <v>954604.38765450788</v>
      </c>
      <c r="AO521" s="6">
        <v>0.10083552828968442</v>
      </c>
      <c r="AP521" s="11">
        <f t="shared" si="408"/>
        <v>0.33346086298627758</v>
      </c>
      <c r="AQ521" s="11"/>
      <c r="AR521" s="3">
        <f>VLOOKUP(A521,[10]Sheet1!$A$2:$L$542,12,FALSE)</f>
        <v>3.1305166250541898</v>
      </c>
      <c r="AS521" s="3">
        <f t="shared" si="415"/>
        <v>2.891857968553408</v>
      </c>
      <c r="AT521" s="2"/>
      <c r="AU521" s="2"/>
      <c r="AV521" s="88">
        <f t="shared" si="416"/>
        <v>-4.1145210376805616E-2</v>
      </c>
      <c r="AW521" s="32">
        <f t="shared" si="417"/>
        <v>1.4227949928463345E-2</v>
      </c>
      <c r="AX521" s="12">
        <f t="shared" si="409"/>
        <v>349.06082867527175</v>
      </c>
      <c r="AY521" s="12">
        <f t="shared" si="410"/>
        <v>0</v>
      </c>
      <c r="AZ521" s="3">
        <f>VLOOKUP(A521,[5]Analysis!$A$3:$BJ$543,62,FALSE)</f>
        <v>0.80129169150531276</v>
      </c>
      <c r="BA521" s="2">
        <v>140.84</v>
      </c>
      <c r="BB521" s="2"/>
      <c r="BC521" s="2" t="str">
        <f>VLOOKUP(A521,'[6]FGD status - Jun 2020'!$I$2:$M$449,5,FALSE)</f>
        <v>Bid Awarded</v>
      </c>
      <c r="BD521" s="2"/>
      <c r="BE521" s="2" t="str">
        <f>VLOOKUP(A521,'[1]daily coal, energy reqd'!$C$2:$M$599,11,FALSE)</f>
        <v>Y</v>
      </c>
      <c r="BF521" s="2">
        <f t="shared" si="411"/>
        <v>283.43473918277738</v>
      </c>
      <c r="BG521" s="2">
        <f t="shared" si="412"/>
        <v>0</v>
      </c>
      <c r="BH521" s="2">
        <f t="shared" si="427"/>
        <v>31.5</v>
      </c>
      <c r="BI521" s="2">
        <f t="shared" si="428"/>
        <v>16.8</v>
      </c>
      <c r="BK521">
        <f t="shared" si="413"/>
        <v>137.79074558435792</v>
      </c>
      <c r="BL521">
        <f>VLOOKUP(A521,'[11]Daily coal vs energy req.2'!$C$2:$P$599,14,FALSE)</f>
        <v>1.1100000000000001</v>
      </c>
      <c r="BM521">
        <f>VLOOKUP(A521,'[11]Daily coal vs energy req.2'!$C$2:$R$599,16,FALSE)</f>
        <v>0.67</v>
      </c>
      <c r="BN521">
        <f t="shared" si="429"/>
        <v>233.10000000000002</v>
      </c>
      <c r="BO521">
        <f t="shared" si="430"/>
        <v>140.70000000000002</v>
      </c>
      <c r="BP521" s="2" t="str">
        <f>VLOOKUP(A521,'[7]Table 2'!$J$2:$N$449,5,FALSE)</f>
        <v>Bid Awarded</v>
      </c>
      <c r="BR521">
        <f t="shared" si="418"/>
        <v>314.31720747615225</v>
      </c>
      <c r="BT521">
        <f>(X521*I521*365*[5]Analysis!BK521)/10^4</f>
        <v>156.78610616127372</v>
      </c>
      <c r="BV521">
        <f>(X521*I521*365*[5]Analysis!BL521)/10^4</f>
        <v>157.5311013148785</v>
      </c>
      <c r="BX521">
        <f t="shared" si="419"/>
        <v>1101560.9164467638</v>
      </c>
      <c r="BZ521">
        <f t="shared" si="420"/>
        <v>5010304.0261149025</v>
      </c>
      <c r="CB521">
        <f t="shared" si="421"/>
        <v>-234004.3915378956</v>
      </c>
      <c r="CD521">
        <f t="shared" si="422"/>
        <v>0</v>
      </c>
      <c r="CF521">
        <f t="shared" si="423"/>
        <v>2155301.3470742158</v>
      </c>
      <c r="CH521">
        <f t="shared" si="424"/>
        <v>771434.25191573368</v>
      </c>
      <c r="CJ521">
        <f t="shared" si="425"/>
        <v>-417998.69882681424</v>
      </c>
      <c r="CL521">
        <f t="shared" si="426"/>
        <v>942708.53194017813</v>
      </c>
    </row>
    <row r="522" spans="1:90" x14ac:dyDescent="0.2">
      <c r="A522" s="2" t="s">
        <v>437</v>
      </c>
      <c r="B522" s="2" t="str">
        <f t="shared" si="431"/>
        <v>UNCHAHAR STPS</v>
      </c>
      <c r="C522" s="2" t="str">
        <f>VLOOKUP($A522,'[1]daily coal, energy reqd'!$C$2:$T$599,17,FALSE)</f>
        <v>Uttar Pradesh</v>
      </c>
      <c r="D522" s="2" t="str">
        <f>VLOOKUP(C522,'Target PLF'!$I$2:$J$19,2,FALSE)</f>
        <v>NR</v>
      </c>
      <c r="E522" s="2" t="str">
        <f>VLOOKUP(A522,[2]Ownership!$C$2:$D$666,2,FALSE)</f>
        <v>CENTRAL SECTOR</v>
      </c>
      <c r="F522" s="2" t="s">
        <v>548</v>
      </c>
      <c r="G522" s="12">
        <v>31.175906913073199</v>
      </c>
      <c r="H522" s="2">
        <v>210</v>
      </c>
      <c r="I522" s="2">
        <f>VLOOKUP(A522,'[3]Calculated coal req (reg.)'!$A$2:$I$599,9,FALSE)</f>
        <v>3.4675573593461899</v>
      </c>
      <c r="J522" s="2"/>
      <c r="K522" s="11">
        <v>0.68800741256868847</v>
      </c>
      <c r="L522" s="3">
        <f>VLOOKUP(F522,'Target PLF'!$A$2:$B$11,2,FALSE)</f>
        <v>0.6</v>
      </c>
      <c r="M522" s="3">
        <f t="shared" si="414"/>
        <v>-8.8007412568688492E-2</v>
      </c>
      <c r="N522" s="2" t="str">
        <f t="shared" si="397"/>
        <v>0.25</v>
      </c>
      <c r="O522" s="2">
        <f t="shared" si="396"/>
        <v>12.886954134763526</v>
      </c>
      <c r="P522" s="2">
        <f t="shared" si="398"/>
        <v>987785.03442962421</v>
      </c>
      <c r="Q522" s="2">
        <f t="shared" si="399"/>
        <v>15.140805601471593</v>
      </c>
      <c r="R522" s="2">
        <f t="shared" si="400"/>
        <v>3.024</v>
      </c>
      <c r="S522" s="2"/>
      <c r="T522" s="2" t="str">
        <f>VLOOKUP(A522,'[4]CEA vs MERIT comp. &amp; NPA marker'!$C$2:$K$735,9,FALSE)</f>
        <v>Contracted</v>
      </c>
      <c r="U522" s="3">
        <f>VLOOKUP(B522,'[8]Import-Domestic share'!$A$208:$F$406,6,FALSE)</f>
        <v>1.1361835485414404E-2</v>
      </c>
      <c r="V522" s="3">
        <f t="shared" si="401"/>
        <v>11223.051056143793</v>
      </c>
      <c r="W522" s="2">
        <f t="shared" si="402"/>
        <v>3265.8256567143571</v>
      </c>
      <c r="X522" s="2">
        <f t="shared" si="403"/>
        <v>3236.7329407326306</v>
      </c>
      <c r="Y522" s="6">
        <f t="shared" si="404"/>
        <v>0.26333310176306796</v>
      </c>
      <c r="Z522" s="2"/>
      <c r="AA522" s="2">
        <f t="shared" si="405"/>
        <v>948956.12698555156</v>
      </c>
      <c r="AB522" s="2" t="s">
        <v>576</v>
      </c>
      <c r="AC522" s="12">
        <f>VLOOKUP(B522,[9]Sheet1!$A$2:$B$137,2,FALSE)</f>
        <v>4316.9523179673752</v>
      </c>
      <c r="AD522" s="12">
        <f t="shared" si="406"/>
        <v>906559.98677314876</v>
      </c>
      <c r="AE522" s="2"/>
      <c r="AF522" s="7">
        <f>VLOOKUP($B522,'[9]Subsidiary wise dispatch'!$A$3:$R$138,11,FALSE)*$H522*$O522*365</f>
        <v>420150.0253514091</v>
      </c>
      <c r="AG522" s="7">
        <f>VLOOKUP($B522,'[9]Subsidiary wise dispatch'!$A$3:$R$138,12,FALSE)*$H522*$O522*365</f>
        <v>519221.45594908681</v>
      </c>
      <c r="AH522" s="7">
        <f>VLOOKUP($B522,'[9]Subsidiary wise dispatch'!$A$3:$R$138,13,FALSE)*$H522*$O522*365</f>
        <v>33798.775456265241</v>
      </c>
      <c r="AI522" s="7">
        <f>VLOOKUP($B522,'[9]Subsidiary wise dispatch'!$A$3:$R$138,14,FALSE)*$H522*$O522*365</f>
        <v>0</v>
      </c>
      <c r="AJ522" s="7">
        <f>VLOOKUP($B522,'[9]Subsidiary wise dispatch'!$A$3:$R$138,15,FALSE)*$H522*$O522*365</f>
        <v>14614.777672863367</v>
      </c>
      <c r="AK522" s="7">
        <f>VLOOKUP($B522,'[9]Subsidiary wise dispatch'!$A$3:$R$138,16,FALSE)*$H522*$O522*365</f>
        <v>0</v>
      </c>
      <c r="AL522" s="7">
        <f>VLOOKUP($B522,'[9]Subsidiary wise dispatch'!$A$3:$R$138,17,FALSE)*$H522*$O522*365</f>
        <v>0</v>
      </c>
      <c r="AM522" s="7">
        <f>VLOOKUP($B522,'[9]Subsidiary wise dispatch'!$A$3:$R$138,18,FALSE)*$H522*$O522*365</f>
        <v>0</v>
      </c>
      <c r="AN522" s="15">
        <f t="shared" si="407"/>
        <v>987785.03442962444</v>
      </c>
      <c r="AO522" s="6">
        <v>0.10083552828968442</v>
      </c>
      <c r="AP522" s="11">
        <f t="shared" si="408"/>
        <v>0.34965297820445612</v>
      </c>
      <c r="AQ522" s="11"/>
      <c r="AR522" s="3">
        <f>VLOOKUP(A522,[10]Sheet1!$A$2:$L$542,12,FALSE)</f>
        <v>3.1305166250541898</v>
      </c>
      <c r="AS522" s="3">
        <f t="shared" si="415"/>
        <v>2.8880884153240003</v>
      </c>
      <c r="AT522" s="2"/>
      <c r="AU522" s="2"/>
      <c r="AV522" s="88">
        <f t="shared" si="416"/>
        <v>-6.4493592078586306E-2</v>
      </c>
      <c r="AW522" s="32">
        <f t="shared" si="417"/>
        <v>2.2330892550376125E-2</v>
      </c>
      <c r="AX522" s="12">
        <f t="shared" si="409"/>
        <v>365.53334672347125</v>
      </c>
      <c r="AY522" s="12">
        <f t="shared" si="410"/>
        <v>0</v>
      </c>
      <c r="AZ522" s="3">
        <f>VLOOKUP(A522,[5]Analysis!$A$3:$BJ$543,62,FALSE)</f>
        <v>0.80129169150531276</v>
      </c>
      <c r="BA522" s="2">
        <v>140.84</v>
      </c>
      <c r="BB522" s="2"/>
      <c r="BC522" s="2" t="str">
        <f>VLOOKUP(A522,'[6]FGD status - Jun 2020'!$I$2:$M$449,5,FALSE)</f>
        <v>Bid Awarded</v>
      </c>
      <c r="BD522" s="2"/>
      <c r="BE522" s="2" t="str">
        <f>VLOOKUP(A522,'[1]daily coal, energy reqd'!$C$2:$M$599,11,FALSE)</f>
        <v>Y</v>
      </c>
      <c r="BF522" s="2">
        <f t="shared" si="411"/>
        <v>296.00493159577388</v>
      </c>
      <c r="BG522" s="2">
        <f t="shared" si="412"/>
        <v>0</v>
      </c>
      <c r="BH522" s="2">
        <f t="shared" si="427"/>
        <v>31.5</v>
      </c>
      <c r="BI522" s="2">
        <f t="shared" si="428"/>
        <v>16.8</v>
      </c>
      <c r="BK522">
        <f t="shared" si="413"/>
        <v>144.48155663942458</v>
      </c>
      <c r="BL522">
        <f>VLOOKUP(A522,'[11]Daily coal vs energy req.2'!$C$2:$P$599,14,FALSE)</f>
        <v>1.21</v>
      </c>
      <c r="BM522">
        <f>VLOOKUP(A522,'[11]Daily coal vs energy req.2'!$C$2:$R$599,16,FALSE)</f>
        <v>0.66</v>
      </c>
      <c r="BN522">
        <f t="shared" si="429"/>
        <v>254.1</v>
      </c>
      <c r="BO522">
        <f t="shared" si="430"/>
        <v>138.6</v>
      </c>
      <c r="BP522" s="2" t="str">
        <f>VLOOKUP(A522,'[7]Table 2'!$J$2:$N$449,5,FALSE)</f>
        <v>Bid Awarded</v>
      </c>
      <c r="BR522">
        <f t="shared" si="418"/>
        <v>328.25702229237032</v>
      </c>
      <c r="BT522">
        <f>(X522*I522*365*[5]Analysis!BK522)/10^4</f>
        <v>163.73949348356942</v>
      </c>
      <c r="BV522">
        <f>(X522*I522*365*[5]Analysis!BL522)/10^4</f>
        <v>164.51752880880088</v>
      </c>
      <c r="BX522">
        <f t="shared" si="419"/>
        <v>1150414.605709756</v>
      </c>
      <c r="BZ522">
        <f t="shared" si="420"/>
        <v>5253593.2065675268</v>
      </c>
      <c r="CB522">
        <f t="shared" si="421"/>
        <v>-257281.60229644913</v>
      </c>
      <c r="CD522">
        <f t="shared" si="422"/>
        <v>0</v>
      </c>
      <c r="CF522">
        <f t="shared" si="423"/>
        <v>2259957.9698310434</v>
      </c>
      <c r="CH522">
        <f t="shared" si="424"/>
        <v>800457.88543984666</v>
      </c>
      <c r="CJ522">
        <f t="shared" si="425"/>
        <v>-438295.78266399913</v>
      </c>
      <c r="CL522">
        <f t="shared" si="426"/>
        <v>988484.35411503853</v>
      </c>
    </row>
    <row r="523" spans="1:90" x14ac:dyDescent="0.2">
      <c r="A523" s="2" t="s">
        <v>377</v>
      </c>
      <c r="B523" s="2" t="str">
        <f t="shared" si="431"/>
        <v>UNCHAHAR STPS</v>
      </c>
      <c r="C523" s="2" t="str">
        <f>VLOOKUP($A523,'[1]daily coal, energy reqd'!$C$2:$T$599,17,FALSE)</f>
        <v>Uttar Pradesh</v>
      </c>
      <c r="D523" s="2" t="str">
        <f>VLOOKUP(C523,'Target PLF'!$I$2:$J$19,2,FALSE)</f>
        <v>NR</v>
      </c>
      <c r="E523" s="2" t="str">
        <f>VLOOKUP(A523,[2]Ownership!$C$2:$D$666,2,FALSE)</f>
        <v>CENTRAL SECTOR</v>
      </c>
      <c r="F523" s="2" t="s">
        <v>546</v>
      </c>
      <c r="G523" s="12">
        <v>21.338809034907499</v>
      </c>
      <c r="H523" s="2">
        <v>210</v>
      </c>
      <c r="I523" s="2">
        <f>VLOOKUP(A523,'[3]Calculated coal req (reg.)'!$A$2:$I$599,9,FALSE)</f>
        <v>3.4447171504493501</v>
      </c>
      <c r="J523" s="2"/>
      <c r="K523" s="11">
        <v>0.68347562508915671</v>
      </c>
      <c r="L523" s="3">
        <f>VLOOKUP(F523,'Target PLF'!$A$2:$B$11,2,FALSE)</f>
        <v>0.7</v>
      </c>
      <c r="M523" s="3">
        <f t="shared" si="414"/>
        <v>1.6524374910843243E-2</v>
      </c>
      <c r="N523" s="2" t="str">
        <f t="shared" si="397"/>
        <v>0.25</v>
      </c>
      <c r="O523" s="2">
        <f t="shared" si="396"/>
        <v>12.512311940733657</v>
      </c>
      <c r="P523" s="2">
        <f t="shared" si="398"/>
        <v>959068.71025723487</v>
      </c>
      <c r="Q523" s="2">
        <f t="shared" si="399"/>
        <v>14.829215526180693</v>
      </c>
      <c r="R523" s="2">
        <f t="shared" si="400"/>
        <v>3.528</v>
      </c>
      <c r="S523" s="2"/>
      <c r="T523" s="2" t="str">
        <f>VLOOKUP(A523,'[4]CEA vs MERIT comp. &amp; NPA marker'!$C$2:$K$735,9,FALSE)</f>
        <v>Contracted</v>
      </c>
      <c r="U523" s="3">
        <f>VLOOKUP(B523,'[8]Import-Domestic share'!$A$208:$F$406,6,FALSE)</f>
        <v>1.1361835485414404E-2</v>
      </c>
      <c r="V523" s="3">
        <f t="shared" si="401"/>
        <v>10896.780905151276</v>
      </c>
      <c r="W523" s="2">
        <f t="shared" si="402"/>
        <v>3157.6078264036105</v>
      </c>
      <c r="X523" s="2">
        <f t="shared" si="403"/>
        <v>3163.0703088471378</v>
      </c>
      <c r="Y523" s="6">
        <f t="shared" si="404"/>
        <v>0.2723580784189738</v>
      </c>
      <c r="Z523" s="2"/>
      <c r="AA523" s="2">
        <f t="shared" si="405"/>
        <v>921251.11294349469</v>
      </c>
      <c r="AB523" s="2" t="s">
        <v>576</v>
      </c>
      <c r="AC523" s="12">
        <f>VLOOKUP(B523,[9]Sheet1!$A$2:$B$137,2,FALSE)</f>
        <v>4316.9523179673752</v>
      </c>
      <c r="AD523" s="12">
        <f t="shared" si="406"/>
        <v>906559.98677314876</v>
      </c>
      <c r="AE523" s="2"/>
      <c r="AF523" s="7">
        <f>VLOOKUP($B523,'[9]Subsidiary wise dispatch'!$A$3:$R$138,11,FALSE)*$H523*$O523*365</f>
        <v>407935.66300687788</v>
      </c>
      <c r="AG523" s="7">
        <f>VLOOKUP($B523,'[9]Subsidiary wise dispatch'!$A$3:$R$138,12,FALSE)*$H523*$O523*365</f>
        <v>504126.94537583884</v>
      </c>
      <c r="AH523" s="7">
        <f>VLOOKUP($B523,'[9]Subsidiary wise dispatch'!$A$3:$R$138,13,FALSE)*$H523*$O523*365</f>
        <v>32816.196697930085</v>
      </c>
      <c r="AI523" s="7">
        <f>VLOOKUP($B523,'[9]Subsidiary wise dispatch'!$A$3:$R$138,14,FALSE)*$H523*$O523*365</f>
        <v>0</v>
      </c>
      <c r="AJ523" s="7">
        <f>VLOOKUP($B523,'[9]Subsidiary wise dispatch'!$A$3:$R$138,15,FALSE)*$H523*$O523*365</f>
        <v>14189.905176588221</v>
      </c>
      <c r="AK523" s="7">
        <f>VLOOKUP($B523,'[9]Subsidiary wise dispatch'!$A$3:$R$138,16,FALSE)*$H523*$O523*365</f>
        <v>0</v>
      </c>
      <c r="AL523" s="7">
        <f>VLOOKUP($B523,'[9]Subsidiary wise dispatch'!$A$3:$R$138,17,FALSE)*$H523*$O523*365</f>
        <v>0</v>
      </c>
      <c r="AM523" s="7">
        <f>VLOOKUP($B523,'[9]Subsidiary wise dispatch'!$A$3:$R$138,18,FALSE)*$H523*$O523*365</f>
        <v>0</v>
      </c>
      <c r="AN523" s="15">
        <f t="shared" si="407"/>
        <v>959068.7102572351</v>
      </c>
      <c r="AO523" s="6">
        <v>0.10083552828968442</v>
      </c>
      <c r="AP523" s="11">
        <f t="shared" si="408"/>
        <v>0.34734987367409653</v>
      </c>
      <c r="AQ523" s="11"/>
      <c r="AR523" s="3">
        <f>VLOOKUP(A523,[10]Sheet1!$A$2:$L$542,12,FALSE)</f>
        <v>3.1060019841556401</v>
      </c>
      <c r="AS523" s="3">
        <f t="shared" si="415"/>
        <v>2.8076992043168594</v>
      </c>
      <c r="AT523" s="2"/>
      <c r="AU523" s="2"/>
      <c r="AV523" s="88">
        <f t="shared" si="416"/>
        <v>1.2109392422164146E-2</v>
      </c>
      <c r="AW523" s="32">
        <f t="shared" si="417"/>
        <v>4.3129236933735137E-3</v>
      </c>
      <c r="AX523" s="12">
        <f t="shared" si="409"/>
        <v>353.01813048808469</v>
      </c>
      <c r="AY523" s="12">
        <f t="shared" si="410"/>
        <v>0</v>
      </c>
      <c r="AZ523" s="3">
        <f>VLOOKUP(A523,[5]Analysis!$A$3:$BJ$543,62,FALSE)</f>
        <v>0.80129169150531276</v>
      </c>
      <c r="BA523" s="2">
        <v>128.53</v>
      </c>
      <c r="BB523" s="2"/>
      <c r="BC523" s="2" t="str">
        <f>VLOOKUP(A523,'[6]FGD status - Jun 2020'!$I$2:$M$449,5,FALSE)</f>
        <v>Bid Awarded</v>
      </c>
      <c r="BD523" s="2"/>
      <c r="BE523" s="2"/>
      <c r="BF523" s="2">
        <f t="shared" si="411"/>
        <v>287.36299278198521</v>
      </c>
      <c r="BG523" s="2">
        <f t="shared" si="412"/>
        <v>0</v>
      </c>
      <c r="BH523" s="2">
        <f t="shared" si="427"/>
        <v>31.5</v>
      </c>
      <c r="BI523" s="2">
        <f t="shared" si="428"/>
        <v>16.8</v>
      </c>
      <c r="BK523">
        <f t="shared" si="413"/>
        <v>143.5298812687229</v>
      </c>
      <c r="BL523">
        <f>VLOOKUP(A523,'[11]Daily coal vs energy req.2'!$C$2:$P$599,14,FALSE)</f>
        <v>1.33</v>
      </c>
      <c r="BM523">
        <f>VLOOKUP(A523,'[11]Daily coal vs energy req.2'!$C$2:$R$599,16,FALSE)</f>
        <v>0.67</v>
      </c>
      <c r="BN523">
        <f t="shared" si="429"/>
        <v>279.3</v>
      </c>
      <c r="BO523">
        <f t="shared" si="430"/>
        <v>140.70000000000002</v>
      </c>
      <c r="BP523" s="2" t="str">
        <f>VLOOKUP(A523,'[7]Table 2'!$J$2:$N$449,5,FALSE)</f>
        <v>Bid Awarded</v>
      </c>
      <c r="BR523">
        <f t="shared" si="418"/>
        <v>318.67347553673375</v>
      </c>
      <c r="BT523">
        <f>(X523*I523*365*[5]Analysis!BK523)/10^4</f>
        <v>158.95907757476249</v>
      </c>
      <c r="BV523">
        <f>(X523*I523*365*[5]Analysis!BL523)/10^4</f>
        <v>159.7143979619712</v>
      </c>
      <c r="BX523">
        <f t="shared" si="419"/>
        <v>1116827.960448693</v>
      </c>
      <c r="BZ523">
        <f t="shared" si="420"/>
        <v>5218988.6841726489</v>
      </c>
      <c r="CB523">
        <f t="shared" si="421"/>
        <v>-253903.42473453804</v>
      </c>
      <c r="CD523">
        <f t="shared" si="422"/>
        <v>0</v>
      </c>
      <c r="CF523">
        <f t="shared" si="423"/>
        <v>2245072.0121438862</v>
      </c>
      <c r="CH523">
        <f t="shared" si="424"/>
        <v>544276.37247658672</v>
      </c>
      <c r="CJ523">
        <f t="shared" si="425"/>
        <v>-435408.80309964746</v>
      </c>
      <c r="CL523">
        <f t="shared" si="426"/>
        <v>981973.37627111271</v>
      </c>
    </row>
    <row r="524" spans="1:90" x14ac:dyDescent="0.2">
      <c r="A524" s="2" t="s">
        <v>371</v>
      </c>
      <c r="B524" s="2" t="str">
        <f t="shared" si="431"/>
        <v>UNCHAHAR STPS</v>
      </c>
      <c r="C524" s="2" t="str">
        <f>VLOOKUP($A524,'[1]daily coal, energy reqd'!$C$2:$T$599,17,FALSE)</f>
        <v>Uttar Pradesh</v>
      </c>
      <c r="D524" s="2" t="str">
        <f>VLOOKUP(C524,'Target PLF'!$I$2:$J$19,2,FALSE)</f>
        <v>NR</v>
      </c>
      <c r="E524" s="2" t="str">
        <f>VLOOKUP(A524,[2]Ownership!$C$2:$D$666,2,FALSE)</f>
        <v>CENTRAL SECTOR</v>
      </c>
      <c r="F524" s="2" t="s">
        <v>546</v>
      </c>
      <c r="G524" s="12">
        <v>20.591375770020498</v>
      </c>
      <c r="H524" s="2">
        <v>210</v>
      </c>
      <c r="I524" s="2">
        <f>VLOOKUP(A524,'[3]Calculated coal req (reg.)'!$A$2:$I$599,9,FALSE)</f>
        <v>3.5618410350124399</v>
      </c>
      <c r="J524" s="2"/>
      <c r="K524" s="11">
        <v>0.70671449107389683</v>
      </c>
      <c r="L524" s="3">
        <f>VLOOKUP(F524,'Target PLF'!$A$2:$B$11,2,FALSE)</f>
        <v>0.7</v>
      </c>
      <c r="M524" s="3">
        <f t="shared" si="414"/>
        <v>-6.7144910738968777E-3</v>
      </c>
      <c r="N524" s="2" t="str">
        <f t="shared" si="397"/>
        <v>0.25</v>
      </c>
      <c r="O524" s="2">
        <f t="shared" si="396"/>
        <v>12.811966306173847</v>
      </c>
      <c r="P524" s="2">
        <f t="shared" si="398"/>
        <v>982037.21736822545</v>
      </c>
      <c r="Q524" s="2">
        <f t="shared" si="399"/>
        <v>14.805540577515398</v>
      </c>
      <c r="R524" s="2">
        <f t="shared" si="400"/>
        <v>3.528</v>
      </c>
      <c r="S524" s="2"/>
      <c r="T524" s="2" t="str">
        <f>VLOOKUP(A524,'[4]CEA vs MERIT comp. &amp; NPA marker'!$C$2:$K$735,9,FALSE)</f>
        <v>Contracted</v>
      </c>
      <c r="U524" s="3">
        <f>VLOOKUP(B524,'[8]Import-Domestic share'!$A$208:$F$406,6,FALSE)</f>
        <v>1.1361835485414404E-2</v>
      </c>
      <c r="V524" s="3">
        <f t="shared" si="401"/>
        <v>11157.745304291921</v>
      </c>
      <c r="W524" s="2">
        <f t="shared" si="402"/>
        <v>3151.8970348882108</v>
      </c>
      <c r="X524" s="2">
        <f t="shared" si="403"/>
        <v>3149.6774175165233</v>
      </c>
      <c r="Y524" s="6">
        <f t="shared" si="404"/>
        <v>0.27285155272545314</v>
      </c>
      <c r="Z524" s="2"/>
      <c r="AA524" s="2">
        <f t="shared" si="405"/>
        <v>948541.25038987957</v>
      </c>
      <c r="AB524" s="2" t="s">
        <v>576</v>
      </c>
      <c r="AC524" s="12">
        <f>VLOOKUP(B524,[9]Sheet1!$A$2:$B$137,2,FALSE)</f>
        <v>4316.9523179673752</v>
      </c>
      <c r="AD524" s="12">
        <f t="shared" si="406"/>
        <v>906559.98677314876</v>
      </c>
      <c r="AE524" s="2"/>
      <c r="AF524" s="7">
        <f>VLOOKUP($B524,'[9]Subsidiary wise dispatch'!$A$3:$R$138,11,FALSE)*$H524*$O524*365</f>
        <v>417705.2166127786</v>
      </c>
      <c r="AG524" s="7">
        <f>VLOOKUP($B524,'[9]Subsidiary wise dispatch'!$A$3:$R$138,12,FALSE)*$H524*$O524*365</f>
        <v>516200.16099206026</v>
      </c>
      <c r="AH524" s="7">
        <f>VLOOKUP($B524,'[9]Subsidiary wise dispatch'!$A$3:$R$138,13,FALSE)*$H524*$O524*365</f>
        <v>33602.10394227122</v>
      </c>
      <c r="AI524" s="7">
        <f>VLOOKUP($B524,'[9]Subsidiary wise dispatch'!$A$3:$R$138,14,FALSE)*$H524*$O524*365</f>
        <v>0</v>
      </c>
      <c r="AJ524" s="7">
        <f>VLOOKUP($B524,'[9]Subsidiary wise dispatch'!$A$3:$R$138,15,FALSE)*$H524*$O524*365</f>
        <v>14529.735821115592</v>
      </c>
      <c r="AK524" s="7">
        <f>VLOOKUP($B524,'[9]Subsidiary wise dispatch'!$A$3:$R$138,16,FALSE)*$H524*$O524*365</f>
        <v>0</v>
      </c>
      <c r="AL524" s="7">
        <f>VLOOKUP($B524,'[9]Subsidiary wise dispatch'!$A$3:$R$138,17,FALSE)*$H524*$O524*365</f>
        <v>0</v>
      </c>
      <c r="AM524" s="7">
        <f>VLOOKUP($B524,'[9]Subsidiary wise dispatch'!$A$3:$R$138,18,FALSE)*$H524*$O524*365</f>
        <v>0</v>
      </c>
      <c r="AN524" s="15">
        <f t="shared" si="407"/>
        <v>982037.21736822568</v>
      </c>
      <c r="AO524" s="6">
        <v>0.10083552828968442</v>
      </c>
      <c r="AP524" s="11">
        <f t="shared" si="408"/>
        <v>0.35916012244935575</v>
      </c>
      <c r="AQ524" s="11"/>
      <c r="AR524" s="3">
        <f>VLOOKUP(A524,[10]Sheet1!$A$2:$L$542,12,FALSE)</f>
        <v>3.1060019841556401</v>
      </c>
      <c r="AS524" s="3">
        <f t="shared" si="415"/>
        <v>2.8007920633456158</v>
      </c>
      <c r="AT524" s="2"/>
      <c r="AU524" s="2"/>
      <c r="AV524" s="88">
        <f t="shared" si="416"/>
        <v>-4.9205133487731098E-3</v>
      </c>
      <c r="AW524" s="32">
        <f t="shared" si="417"/>
        <v>1.7568292245499419E-3</v>
      </c>
      <c r="AX524" s="12">
        <f t="shared" si="409"/>
        <v>364.12312771429748</v>
      </c>
      <c r="AY524" s="12">
        <f t="shared" si="410"/>
        <v>0</v>
      </c>
      <c r="AZ524" s="3">
        <f>VLOOKUP(A524,[5]Analysis!$A$3:$BJ$543,62,FALSE)</f>
        <v>0.80129169150531276</v>
      </c>
      <c r="BA524" s="2">
        <v>128.53</v>
      </c>
      <c r="BB524" s="2"/>
      <c r="BC524" s="2" t="str">
        <f>VLOOKUP(A524,'[6]FGD status - Jun 2020'!$I$2:$M$449,5,FALSE)</f>
        <v>Bid Awarded</v>
      </c>
      <c r="BD524" s="2"/>
      <c r="BE524" s="2"/>
      <c r="BF524" s="2">
        <f t="shared" si="411"/>
        <v>295.87552043035714</v>
      </c>
      <c r="BG524" s="2">
        <f t="shared" si="412"/>
        <v>0</v>
      </c>
      <c r="BH524" s="2">
        <f t="shared" si="427"/>
        <v>31.5</v>
      </c>
      <c r="BI524" s="2">
        <f t="shared" si="428"/>
        <v>16.8</v>
      </c>
      <c r="BK524">
        <f t="shared" si="413"/>
        <v>148.41004312551834</v>
      </c>
      <c r="BL524">
        <f>VLOOKUP(A524,'[11]Daily coal vs energy req.2'!$C$2:$P$599,14,FALSE)</f>
        <v>1.17</v>
      </c>
      <c r="BM524">
        <f>VLOOKUP(A524,'[11]Daily coal vs energy req.2'!$C$2:$R$599,16,FALSE)</f>
        <v>0.71</v>
      </c>
      <c r="BN524">
        <f t="shared" si="429"/>
        <v>245.7</v>
      </c>
      <c r="BO524">
        <f t="shared" si="430"/>
        <v>149.1</v>
      </c>
      <c r="BP524" s="2" t="str">
        <f>VLOOKUP(A524,'[7]Table 2'!$J$2:$N$449,5,FALSE)</f>
        <v>Bid Awarded</v>
      </c>
      <c r="BR524">
        <f t="shared" si="418"/>
        <v>328.11351075159268</v>
      </c>
      <c r="BT524">
        <f>(X524*I524*365*[5]Analysis!BK524)/10^4</f>
        <v>163.66790778882367</v>
      </c>
      <c r="BV524">
        <f>(X524*I524*365*[5]Analysis!BL524)/10^4</f>
        <v>164.44560296276902</v>
      </c>
      <c r="BX524">
        <f t="shared" si="419"/>
        <v>1149911.6529581423</v>
      </c>
      <c r="BZ524">
        <f t="shared" si="420"/>
        <v>5396439.6043741433</v>
      </c>
      <c r="CB524">
        <f t="shared" si="421"/>
        <v>-271462.90369538119</v>
      </c>
      <c r="CD524">
        <f t="shared" si="422"/>
        <v>0</v>
      </c>
      <c r="CF524">
        <f t="shared" si="423"/>
        <v>2321406.7426026301</v>
      </c>
      <c r="CH524">
        <f t="shared" si="424"/>
        <v>543069.77760147979</v>
      </c>
      <c r="CJ524">
        <f t="shared" si="425"/>
        <v>-450213.14498453739</v>
      </c>
      <c r="CL524">
        <f t="shared" si="426"/>
        <v>1015361.4692097164</v>
      </c>
    </row>
    <row r="525" spans="1:90" x14ac:dyDescent="0.2">
      <c r="A525" s="2" t="s">
        <v>323</v>
      </c>
      <c r="B525" s="2" t="str">
        <f t="shared" si="431"/>
        <v>UNCHAHAR STPS</v>
      </c>
      <c r="C525" s="2" t="str">
        <f>VLOOKUP($A525,'[1]daily coal, energy reqd'!$C$2:$T$599,17,FALSE)</f>
        <v>Uttar Pradesh</v>
      </c>
      <c r="D525" s="2" t="str">
        <f>VLOOKUP(C525,'Target PLF'!$I$2:$J$19,2,FALSE)</f>
        <v>NR</v>
      </c>
      <c r="E525" s="2" t="str">
        <f>VLOOKUP(A525,[2]Ownership!$C$2:$D$666,2,FALSE)</f>
        <v>CENTRAL SECTOR</v>
      </c>
      <c r="F525" s="2" t="s">
        <v>544</v>
      </c>
      <c r="G525" s="12">
        <v>13.6728268309377</v>
      </c>
      <c r="H525" s="2">
        <v>210</v>
      </c>
      <c r="I525" s="2">
        <f>VLOOKUP(A525,'[3]Calculated coal req (reg.)'!$A$2:$I$599,9,FALSE)</f>
        <v>3.4947396048519499</v>
      </c>
      <c r="J525" s="2"/>
      <c r="K525" s="11">
        <v>0.69340071524840274</v>
      </c>
      <c r="L525" s="3">
        <f>VLOOKUP(F525,'Target PLF'!$A$2:$B$11,2,FALSE)</f>
        <v>0.8</v>
      </c>
      <c r="M525" s="3">
        <f t="shared" si="414"/>
        <v>0.1065992847515973</v>
      </c>
      <c r="N525" s="2" t="str">
        <f t="shared" si="397"/>
        <v>0.15</v>
      </c>
      <c r="O525" s="2">
        <f t="shared" si="396"/>
        <v>12.436492411335553</v>
      </c>
      <c r="P525" s="2">
        <f t="shared" si="398"/>
        <v>953257.14332887018</v>
      </c>
      <c r="Q525" s="2">
        <f t="shared" si="399"/>
        <v>14.615305239869951</v>
      </c>
      <c r="R525" s="2">
        <f t="shared" si="400"/>
        <v>4.032</v>
      </c>
      <c r="S525" s="2"/>
      <c r="T525" s="2" t="str">
        <f>VLOOKUP(A525,'[4]CEA vs MERIT comp. &amp; NPA marker'!$C$2:$K$735,9,FALSE)</f>
        <v>Contracted</v>
      </c>
      <c r="U525" s="3">
        <f>VLOOKUP(B525,'[8]Import-Domestic share'!$A$208:$F$406,6,FALSE)</f>
        <v>1.1361835485414404E-2</v>
      </c>
      <c r="V525" s="3">
        <f t="shared" si="401"/>
        <v>10830.750837798721</v>
      </c>
      <c r="W525" s="2">
        <f t="shared" si="402"/>
        <v>3065.9784857328377</v>
      </c>
      <c r="X525" s="2">
        <f t="shared" si="403"/>
        <v>3101.217139212315</v>
      </c>
      <c r="Y525" s="6">
        <f t="shared" si="404"/>
        <v>0.28049772821365399</v>
      </c>
      <c r="Z525" s="2"/>
      <c r="AA525" s="2">
        <f t="shared" si="405"/>
        <v>916352.58624658489</v>
      </c>
      <c r="AB525" s="2" t="s">
        <v>576</v>
      </c>
      <c r="AC525" s="12">
        <f>VLOOKUP(B525,[9]Sheet1!$A$2:$B$137,2,FALSE)</f>
        <v>4316.9523179673752</v>
      </c>
      <c r="AD525" s="12">
        <f t="shared" si="406"/>
        <v>906559.98677314876</v>
      </c>
      <c r="AE525" s="2"/>
      <c r="AF525" s="7">
        <f>VLOOKUP($B525,'[9]Subsidiary wise dispatch'!$A$3:$R$138,11,FALSE)*$H525*$O525*365</f>
        <v>405463.73854236747</v>
      </c>
      <c r="AG525" s="7">
        <f>VLOOKUP($B525,'[9]Subsidiary wise dispatch'!$A$3:$R$138,12,FALSE)*$H525*$O525*365</f>
        <v>501072.14080124488</v>
      </c>
      <c r="AH525" s="7">
        <f>VLOOKUP($B525,'[9]Subsidiary wise dispatch'!$A$3:$R$138,13,FALSE)*$H525*$O525*365</f>
        <v>32617.343871845031</v>
      </c>
      <c r="AI525" s="7">
        <f>VLOOKUP($B525,'[9]Subsidiary wise dispatch'!$A$3:$R$138,14,FALSE)*$H525*$O525*365</f>
        <v>0</v>
      </c>
      <c r="AJ525" s="7">
        <f>VLOOKUP($B525,'[9]Subsidiary wise dispatch'!$A$3:$R$138,15,FALSE)*$H525*$O525*365</f>
        <v>14103.920113412954</v>
      </c>
      <c r="AK525" s="7">
        <f>VLOOKUP($B525,'[9]Subsidiary wise dispatch'!$A$3:$R$138,16,FALSE)*$H525*$O525*365</f>
        <v>0</v>
      </c>
      <c r="AL525" s="7">
        <f>VLOOKUP($B525,'[9]Subsidiary wise dispatch'!$A$3:$R$138,17,FALSE)*$H525*$O525*365</f>
        <v>0</v>
      </c>
      <c r="AM525" s="7">
        <f>VLOOKUP($B525,'[9]Subsidiary wise dispatch'!$A$3:$R$138,18,FALSE)*$H525*$O525*365</f>
        <v>0</v>
      </c>
      <c r="AN525" s="15">
        <f t="shared" si="407"/>
        <v>953257.14332887041</v>
      </c>
      <c r="AO525" s="6">
        <v>0.10083552828968442</v>
      </c>
      <c r="AP525" s="11">
        <f t="shared" si="408"/>
        <v>0.35239391429012934</v>
      </c>
      <c r="AQ525" s="11"/>
      <c r="AR525" s="3">
        <f>VLOOKUP(A525,[10]Sheet1!$A$2:$L$542,12,FALSE)</f>
        <v>3.1130344240162202</v>
      </c>
      <c r="AS525" s="3">
        <f t="shared" si="415"/>
        <v>2.7445964891999961</v>
      </c>
      <c r="AT525" s="2"/>
      <c r="AU525" s="2"/>
      <c r="AV525" s="88">
        <f t="shared" si="416"/>
        <v>7.8118087851665532E-2</v>
      </c>
      <c r="AW525" s="32">
        <f t="shared" si="417"/>
        <v>2.8462503744743784E-2</v>
      </c>
      <c r="AX525" s="12">
        <f t="shared" si="409"/>
        <v>350.09522683028678</v>
      </c>
      <c r="AY525" s="12">
        <f t="shared" si="410"/>
        <v>0</v>
      </c>
      <c r="AZ525" s="3">
        <f>VLOOKUP(A525,[5]Analysis!$A$3:$BJ$543,62,FALSE)</f>
        <v>0.80129169150531276</v>
      </c>
      <c r="BA525" s="2">
        <v>178.67</v>
      </c>
      <c r="BB525" s="2"/>
      <c r="BC525" s="2" t="str">
        <f>VLOOKUP(A525,'[6]FGD status - Jun 2020'!$I$2:$M$449,5,FALSE)</f>
        <v>Bid Awarded</v>
      </c>
      <c r="BD525" s="2"/>
      <c r="BE525" s="2"/>
      <c r="BF525" s="2">
        <f t="shared" si="411"/>
        <v>285.83501059334094</v>
      </c>
      <c r="BG525" s="2">
        <f t="shared" si="412"/>
        <v>0</v>
      </c>
      <c r="BH525" s="2">
        <f t="shared" si="427"/>
        <v>73.5</v>
      </c>
      <c r="BI525" s="2">
        <f t="shared" si="428"/>
        <v>16.8</v>
      </c>
      <c r="BK525">
        <f t="shared" si="413"/>
        <v>145.61415020216458</v>
      </c>
      <c r="BL525">
        <f>VLOOKUP(A525,'[11]Daily coal vs energy req.2'!$C$2:$P$599,14,FALSE)</f>
        <v>0.98</v>
      </c>
      <c r="BM525">
        <f>VLOOKUP(A525,'[11]Daily coal vs energy req.2'!$C$2:$R$599,16,FALSE)</f>
        <v>0.69</v>
      </c>
      <c r="BN525">
        <f t="shared" si="429"/>
        <v>205.79999999999998</v>
      </c>
      <c r="BO525">
        <f t="shared" si="430"/>
        <v>144.89999999999998</v>
      </c>
      <c r="BP525" s="2" t="str">
        <f>VLOOKUP(A525,'[7]Table 2'!$J$2:$N$449,5,FALSE)</f>
        <v>Bid Awarded</v>
      </c>
      <c r="BR525">
        <f t="shared" si="418"/>
        <v>316.97900754035203</v>
      </c>
      <c r="BT525">
        <f>(X525*I525*365*[5]Analysis!BK525)/10^4</f>
        <v>158.11385169196464</v>
      </c>
      <c r="BV525">
        <f>(X525*I525*365*[5]Analysis!BL525)/10^4</f>
        <v>158.86515584838736</v>
      </c>
      <c r="BX525">
        <f t="shared" si="419"/>
        <v>1110889.5018642214</v>
      </c>
      <c r="BZ525">
        <f t="shared" si="420"/>
        <v>5294776.2197175212</v>
      </c>
      <c r="CB525">
        <f t="shared" si="421"/>
        <v>-261331.08266818334</v>
      </c>
      <c r="CD525">
        <f t="shared" si="422"/>
        <v>0</v>
      </c>
      <c r="CF525">
        <f t="shared" si="423"/>
        <v>2277673.8216548269</v>
      </c>
      <c r="CH525">
        <f t="shared" si="424"/>
        <v>353808.99719153019</v>
      </c>
      <c r="CJ525">
        <f t="shared" si="425"/>
        <v>-441731.59131368168</v>
      </c>
      <c r="CL525">
        <f t="shared" si="426"/>
        <v>996233.10103042447</v>
      </c>
    </row>
    <row r="526" spans="1:90" x14ac:dyDescent="0.2">
      <c r="A526" s="2" t="s">
        <v>336</v>
      </c>
      <c r="B526" s="2" t="str">
        <f t="shared" si="431"/>
        <v>UTRAULA TPS</v>
      </c>
      <c r="C526" s="2" t="str">
        <f>VLOOKUP($A526,'[1]daily coal, energy reqd'!$C$2:$T$599,17,FALSE)</f>
        <v>Uttar Pradesh</v>
      </c>
      <c r="D526" s="2" t="str">
        <f>VLOOKUP(C526,'Target PLF'!$I$2:$J$19,2,FALSE)</f>
        <v>NR</v>
      </c>
      <c r="E526" s="2" t="str">
        <f>VLOOKUP(A526,[2]Ownership!$C$2:$D$666,2,FALSE)</f>
        <v>PVT SECTOR</v>
      </c>
      <c r="F526" s="2" t="s">
        <v>543</v>
      </c>
      <c r="G526" s="12">
        <v>8.2546201232032796</v>
      </c>
      <c r="H526" s="2">
        <v>45</v>
      </c>
      <c r="I526" s="2">
        <f>VLOOKUP(A526,'[3]Calculated coal req (reg.)'!$A$2:$I$599,9,FALSE)</f>
        <v>0.20608894521249299</v>
      </c>
      <c r="J526" s="2"/>
      <c r="K526" s="11">
        <v>0.19082309741897499</v>
      </c>
      <c r="L526" s="3">
        <f>VLOOKUP(F526,'Target PLF'!$A$2:$B$11,2,FALSE)</f>
        <v>0.85</v>
      </c>
      <c r="M526" s="3">
        <f t="shared" si="414"/>
        <v>0.65917690258102501</v>
      </c>
      <c r="N526" s="2" t="str">
        <f t="shared" si="397"/>
        <v>0.15</v>
      </c>
      <c r="O526" s="2">
        <f t="shared" si="396"/>
        <v>5.2419099437218879</v>
      </c>
      <c r="P526" s="2">
        <f t="shared" si="398"/>
        <v>86098.37082563201</v>
      </c>
      <c r="Q526" s="2">
        <f t="shared" si="399"/>
        <v>14.413235942402464</v>
      </c>
      <c r="R526" s="2">
        <f t="shared" si="400"/>
        <v>0.91800000000000004</v>
      </c>
      <c r="S526" s="2"/>
      <c r="T526" s="2" t="str">
        <f>VLOOKUP(A526,'[4]CEA vs MERIT comp. &amp; NPA marker'!$C$2:$K$735,9,FALSE)</f>
        <v>Contracted</v>
      </c>
      <c r="U526" s="3">
        <f>VLOOKUP(B526,'[8]Import-Domestic share'!$A$208:$F$406,6,FALSE)</f>
        <v>0</v>
      </c>
      <c r="V526" s="3">
        <f t="shared" si="401"/>
        <v>0</v>
      </c>
      <c r="W526" s="2">
        <f t="shared" si="402"/>
        <v>3158.237806972279</v>
      </c>
      <c r="X526" s="2">
        <f t="shared" si="403"/>
        <v>3376.1427066707715</v>
      </c>
      <c r="Y526" s="6">
        <f t="shared" si="404"/>
        <v>0.27230375056033534</v>
      </c>
      <c r="Z526" s="2"/>
      <c r="AA526" s="2">
        <f t="shared" si="405"/>
        <v>59253.797619269739</v>
      </c>
      <c r="AB526" s="2" t="s">
        <v>576</v>
      </c>
      <c r="AC526" s="12"/>
      <c r="AD526" s="12">
        <f t="shared" si="406"/>
        <v>0</v>
      </c>
      <c r="AE526" s="2"/>
      <c r="AF526" s="7"/>
      <c r="AG526" s="7"/>
      <c r="AH526" s="7"/>
      <c r="AI526" s="7"/>
      <c r="AJ526" s="7"/>
      <c r="AK526" s="7"/>
      <c r="AL526" s="7"/>
      <c r="AM526" s="7"/>
      <c r="AN526" s="15">
        <f t="shared" si="407"/>
        <v>0</v>
      </c>
      <c r="AO526" s="6">
        <v>0.11683063103919883</v>
      </c>
      <c r="AP526" s="11">
        <f t="shared" si="408"/>
        <v>2.407750151937843E-2</v>
      </c>
      <c r="AQ526" s="11"/>
      <c r="AR526" s="3">
        <f>VLOOKUP(A526,[10]Sheet1!$A$2:$L$542,12,FALSE)</f>
        <v>3.4874013157894899</v>
      </c>
      <c r="AS526" s="3">
        <f t="shared" si="415"/>
        <v>2.67985403436013</v>
      </c>
      <c r="AT526" s="2"/>
      <c r="AU526" s="2"/>
      <c r="AV526" s="88">
        <f t="shared" si="416"/>
        <v>0.48305801774942675</v>
      </c>
      <c r="AW526" s="32">
        <f t="shared" si="417"/>
        <v>0.18025534658075762</v>
      </c>
      <c r="AX526" s="12">
        <f t="shared" si="409"/>
        <v>20.158522631162391</v>
      </c>
      <c r="AY526" s="12">
        <f t="shared" si="410"/>
        <v>0</v>
      </c>
      <c r="AZ526" s="3">
        <f>VLOOKUP(A526,[5]Analysis!$A$3:$BJ$543,62,FALSE)</f>
        <v>0.69692468351956249</v>
      </c>
      <c r="BA526" s="2"/>
      <c r="BB526" s="2"/>
      <c r="BC526" s="2" t="e">
        <f>VLOOKUP(A526,'[6]FGD status - Jun 2020'!$I$2:$M$449,5,FALSE)</f>
        <v>#N/A</v>
      </c>
      <c r="BD526" s="2"/>
      <c r="BE526" s="2"/>
      <c r="BF526" s="2">
        <f t="shared" si="411"/>
        <v>18.339050363163985</v>
      </c>
      <c r="BG526" s="2">
        <f t="shared" si="412"/>
        <v>0</v>
      </c>
      <c r="BH526" s="2"/>
      <c r="BI526" s="2"/>
      <c r="BK526">
        <f t="shared" si="413"/>
        <v>8.5870393838538739</v>
      </c>
      <c r="BL526" t="str">
        <f>VLOOKUP(A526,'[11]Daily coal vs energy req.2'!$C$2:$P$599,14,FALSE)</f>
        <v/>
      </c>
      <c r="BM526" t="str">
        <f>VLOOKUP(A526,'[11]Daily coal vs energy req.2'!$C$2:$R$599,16,FALSE)</f>
        <v/>
      </c>
      <c r="BP526" s="2" t="e">
        <f>VLOOKUP(A526,'[7]Table 2'!$J$2:$N$449,5,FALSE)</f>
        <v>#N/A</v>
      </c>
      <c r="BR526">
        <f t="shared" si="418"/>
        <v>17.69922307803656</v>
      </c>
      <c r="BT526">
        <f>(X526*I526*365*[5]Analysis!BK526)/10^4</f>
        <v>9.5530953189818462</v>
      </c>
      <c r="BV526">
        <f>(X526*I526*365*[5]Analysis!BL526)/10^4</f>
        <v>8.1461277590547159</v>
      </c>
      <c r="BX526">
        <f t="shared" si="419"/>
        <v>71318.033153724609</v>
      </c>
      <c r="BZ526">
        <f t="shared" si="420"/>
        <v>271570.56216833508</v>
      </c>
      <c r="CB526">
        <f t="shared" si="421"/>
        <v>-4241.0910685333201</v>
      </c>
      <c r="CD526">
        <f t="shared" si="422"/>
        <v>-76055.971132577353</v>
      </c>
      <c r="CF526">
        <f t="shared" si="423"/>
        <v>134317.13046409845</v>
      </c>
      <c r="CH526">
        <f t="shared" si="424"/>
        <v>12596.431398768236</v>
      </c>
      <c r="CJ526">
        <f t="shared" si="425"/>
        <v>-5582.0221255529796</v>
      </c>
      <c r="CL526">
        <f t="shared" si="426"/>
        <v>68068.156205349675</v>
      </c>
    </row>
    <row r="527" spans="1:90" x14ac:dyDescent="0.2">
      <c r="A527" s="2" t="s">
        <v>334</v>
      </c>
      <c r="B527" s="2" t="str">
        <f t="shared" si="431"/>
        <v>UTRAULA TPS</v>
      </c>
      <c r="C527" s="2" t="str">
        <f>VLOOKUP($A527,'[1]daily coal, energy reqd'!$C$2:$T$599,17,FALSE)</f>
        <v>Uttar Pradesh</v>
      </c>
      <c r="D527" s="2" t="str">
        <f>VLOOKUP(C527,'Target PLF'!$I$2:$J$19,2,FALSE)</f>
        <v>NR</v>
      </c>
      <c r="E527" s="2" t="str">
        <f>VLOOKUP(A527,[2]Ownership!$C$2:$D$666,2,FALSE)</f>
        <v>PVT SECTOR</v>
      </c>
      <c r="F527" s="2" t="s">
        <v>543</v>
      </c>
      <c r="G527" s="12">
        <v>8.1752224503764506</v>
      </c>
      <c r="H527" s="2">
        <v>45</v>
      </c>
      <c r="I527" s="2">
        <f>VLOOKUP(A527,'[3]Calculated coal req (reg.)'!$A$2:$I$599,9,FALSE)</f>
        <v>0.19561708141320999</v>
      </c>
      <c r="J527" s="2"/>
      <c r="K527" s="11">
        <v>0.1811269272344537</v>
      </c>
      <c r="L527" s="3">
        <f>VLOOKUP(F527,'Target PLF'!$A$2:$B$11,2,FALSE)</f>
        <v>0.85</v>
      </c>
      <c r="M527" s="3">
        <f t="shared" si="414"/>
        <v>0.66887307276554631</v>
      </c>
      <c r="N527" s="2" t="str">
        <f t="shared" si="397"/>
        <v>0.15</v>
      </c>
      <c r="O527" s="2">
        <f t="shared" si="396"/>
        <v>5.1044892978067988</v>
      </c>
      <c r="P527" s="2">
        <f t="shared" si="398"/>
        <v>83841.236716476662</v>
      </c>
      <c r="Q527" s="2">
        <f t="shared" si="399"/>
        <v>14.410721021115673</v>
      </c>
      <c r="R527" s="2">
        <f t="shared" si="400"/>
        <v>0.91800000000000004</v>
      </c>
      <c r="S527" s="2"/>
      <c r="T527" s="2" t="str">
        <f>VLOOKUP(A527,'[4]CEA vs MERIT comp. &amp; NPA marker'!$C$2:$K$735,9,FALSE)</f>
        <v>Contracted</v>
      </c>
      <c r="U527" s="3">
        <f>VLOOKUP(B527,'[8]Import-Domestic share'!$A$208:$F$406,6,FALSE)</f>
        <v>0</v>
      </c>
      <c r="V527" s="3">
        <f t="shared" si="401"/>
        <v>0</v>
      </c>
      <c r="W527" s="2">
        <f t="shared" si="402"/>
        <v>3157.6311661153322</v>
      </c>
      <c r="X527" s="2">
        <f t="shared" si="403"/>
        <v>3378.741340427126</v>
      </c>
      <c r="Y527" s="6">
        <f t="shared" si="404"/>
        <v>0.27235606527725431</v>
      </c>
      <c r="Z527" s="2"/>
      <c r="AA527" s="2">
        <f t="shared" si="405"/>
        <v>56286.263357570373</v>
      </c>
      <c r="AB527" s="2" t="s">
        <v>576</v>
      </c>
      <c r="AC527" s="12"/>
      <c r="AD527" s="12">
        <f t="shared" si="406"/>
        <v>0</v>
      </c>
      <c r="AE527" s="2"/>
      <c r="AF527" s="7"/>
      <c r="AG527" s="7"/>
      <c r="AH527" s="7"/>
      <c r="AI527" s="7"/>
      <c r="AJ527" s="7"/>
      <c r="AK527" s="7"/>
      <c r="AL527" s="7"/>
      <c r="AM527" s="7"/>
      <c r="AN527" s="15">
        <f t="shared" si="407"/>
        <v>0</v>
      </c>
      <c r="AO527" s="6">
        <v>0.11683063103919883</v>
      </c>
      <c r="AP527" s="11">
        <f t="shared" si="408"/>
        <v>2.2854067063551656E-2</v>
      </c>
      <c r="AQ527" s="11"/>
      <c r="AR527" s="3">
        <f>VLOOKUP(A527,[10]Sheet1!$A$2:$L$542,12,FALSE)</f>
        <v>3.4874013157894899</v>
      </c>
      <c r="AS527" s="3">
        <f t="shared" si="415"/>
        <v>2.6795324942517098</v>
      </c>
      <c r="AT527" s="2"/>
      <c r="AU527" s="2"/>
      <c r="AV527" s="88">
        <f t="shared" si="416"/>
        <v>0.49016356518404769</v>
      </c>
      <c r="AW527" s="32">
        <f t="shared" si="417"/>
        <v>0.18292876322103774</v>
      </c>
      <c r="AX527" s="12">
        <f t="shared" si="409"/>
        <v>19.131924901824309</v>
      </c>
      <c r="AY527" s="12">
        <f t="shared" si="410"/>
        <v>0</v>
      </c>
      <c r="AZ527" s="3">
        <f>VLOOKUP(A527,[5]Analysis!$A$3:$BJ$543,62,FALSE)</f>
        <v>0.69692468351956249</v>
      </c>
      <c r="BA527" s="2"/>
      <c r="BB527" s="2"/>
      <c r="BC527" s="2" t="e">
        <f>VLOOKUP(A527,'[6]FGD status - Jun 2020'!$I$2:$M$449,5,FALSE)</f>
        <v>#N/A</v>
      </c>
      <c r="BD527" s="2"/>
      <c r="BE527" s="2"/>
      <c r="BF527" s="2">
        <f t="shared" si="411"/>
        <v>17.42059850916803</v>
      </c>
      <c r="BG527" s="2">
        <f t="shared" si="412"/>
        <v>0</v>
      </c>
      <c r="BH527" s="2"/>
      <c r="BI527" s="2"/>
      <c r="BK527">
        <f t="shared" si="413"/>
        <v>8.1507117255504173</v>
      </c>
      <c r="BL527" t="str">
        <f>VLOOKUP(A527,'[11]Daily coal vs energy req.2'!$C$2:$P$599,14,FALSE)</f>
        <v/>
      </c>
      <c r="BM527" t="str">
        <f>VLOOKUP(A527,'[11]Daily coal vs energy req.2'!$C$2:$R$599,16,FALSE)</f>
        <v/>
      </c>
      <c r="BP527" s="2" t="e">
        <f>VLOOKUP(A527,'[7]Table 2'!$J$2:$N$449,5,FALSE)</f>
        <v>#N/A</v>
      </c>
      <c r="BR527">
        <f t="shared" si="418"/>
        <v>16.812814898310833</v>
      </c>
      <c r="BT527">
        <f>(X527*I527*365*[5]Analysis!BK527)/10^4</f>
        <v>9.0746595257772764</v>
      </c>
      <c r="BV527">
        <f>(X527*I527*365*[5]Analysis!BL527)/10^4</f>
        <v>7.7381553725335586</v>
      </c>
      <c r="BX527">
        <f t="shared" si="419"/>
        <v>67746.300786112421</v>
      </c>
      <c r="BZ527">
        <f t="shared" si="420"/>
        <v>257771.42347125793</v>
      </c>
      <c r="CB527">
        <f t="shared" si="421"/>
        <v>-3821.0415052855037</v>
      </c>
      <c r="CD527">
        <f t="shared" si="422"/>
        <v>-72191.388439889226</v>
      </c>
      <c r="CF527">
        <f t="shared" si="423"/>
        <v>127492.16130003044</v>
      </c>
      <c r="CH527">
        <f t="shared" si="424"/>
        <v>11841.37381098371</v>
      </c>
      <c r="CJ527">
        <f t="shared" si="425"/>
        <v>-5298.3864586174996</v>
      </c>
      <c r="CL527">
        <f t="shared" si="426"/>
        <v>64609.453167611326</v>
      </c>
    </row>
    <row r="528" spans="1:90" x14ac:dyDescent="0.2">
      <c r="A528" s="2" t="s">
        <v>449</v>
      </c>
      <c r="B528" s="2" t="str">
        <f t="shared" si="431"/>
        <v>VINDHYACHAL STPS</v>
      </c>
      <c r="C528" s="2" t="str">
        <f>VLOOKUP($A528,'[1]daily coal, energy reqd'!$C$2:$T$599,17,FALSE)</f>
        <v>Madhya Pradesh</v>
      </c>
      <c r="D528" s="2" t="str">
        <f>VLOOKUP(C528,'Target PLF'!$I$2:$J$19,2,FALSE)</f>
        <v>WR</v>
      </c>
      <c r="E528" s="2" t="str">
        <f>VLOOKUP(A528,[2]Ownership!$C$2:$D$666,2,FALSE)</f>
        <v>CENTRAL SECTOR</v>
      </c>
      <c r="F528" s="2" t="s">
        <v>548</v>
      </c>
      <c r="G528" s="12">
        <v>32.591375770020498</v>
      </c>
      <c r="H528" s="2">
        <v>210</v>
      </c>
      <c r="I528" s="2">
        <f>VLOOKUP(A528,'[3]Calculated coal req (reg.)'!$A$2:$I$599,9,FALSE)</f>
        <v>4.80556729169977</v>
      </c>
      <c r="J528" s="2"/>
      <c r="K528" s="11">
        <v>0.95348557374995435</v>
      </c>
      <c r="L528" s="3">
        <f>VLOOKUP(F528,'Target PLF'!$A$2:$B$11,2,FALSE)</f>
        <v>0.6</v>
      </c>
      <c r="M528" s="3">
        <f t="shared" si="414"/>
        <v>-0.35348557374995437</v>
      </c>
      <c r="N528" s="2" t="str">
        <f t="shared" si="397"/>
        <v>0.25</v>
      </c>
      <c r="O528" s="2">
        <f t="shared" si="396"/>
        <v>16.625466410770638</v>
      </c>
      <c r="P528" s="2">
        <f t="shared" si="398"/>
        <v>1274342.0003855694</v>
      </c>
      <c r="Q528" s="2">
        <f t="shared" si="399"/>
        <v>15.185640577515398</v>
      </c>
      <c r="R528" s="2">
        <f t="shared" si="400"/>
        <v>3.024</v>
      </c>
      <c r="S528" s="2"/>
      <c r="T528" s="2" t="str">
        <f>VLOOKUP(A528,'[4]CEA vs MERIT comp. &amp; NPA marker'!$C$2:$K$735,9,FALSE)</f>
        <v>Contracted</v>
      </c>
      <c r="U528" s="3">
        <f>VLOOKUP(B528,'[8]Import-Domestic share'!$A$208:$F$406,6,FALSE)</f>
        <v>0</v>
      </c>
      <c r="V528" s="3">
        <f t="shared" si="401"/>
        <v>0</v>
      </c>
      <c r="W528" s="2">
        <f t="shared" si="402"/>
        <v>3274.0790094517452</v>
      </c>
      <c r="X528" s="2">
        <f t="shared" si="403"/>
        <v>3157.2268591545344</v>
      </c>
      <c r="Y528" s="6">
        <f t="shared" si="404"/>
        <v>0.26266928730715322</v>
      </c>
      <c r="Z528" s="2"/>
      <c r="AA528" s="2">
        <f t="shared" si="405"/>
        <v>1244303.8230701115</v>
      </c>
      <c r="AB528" s="2" t="s">
        <v>576</v>
      </c>
      <c r="AC528" s="12">
        <f>VLOOKUP(B528,[9]Sheet1!$A$2:$B$137,2,FALSE)</f>
        <v>4450.5827544825906</v>
      </c>
      <c r="AD528" s="12">
        <f t="shared" si="406"/>
        <v>934622.37844134402</v>
      </c>
      <c r="AE528" s="2" t="s">
        <v>589</v>
      </c>
      <c r="AF528" s="7">
        <f>VLOOKUP($B528,'[9]Subsidiary wise dispatch'!$A$3:$R$138,11,FALSE)*$H528*$O528*365</f>
        <v>0</v>
      </c>
      <c r="AG528" s="7">
        <f>VLOOKUP($B528,'[9]Subsidiary wise dispatch'!$A$3:$R$138,12,FALSE)*$H528*$O528*365</f>
        <v>0</v>
      </c>
      <c r="AH528" s="7">
        <f>VLOOKUP($B528,'[9]Subsidiary wise dispatch'!$A$3:$R$138,13,FALSE)*$H528*$O528*365</f>
        <v>0</v>
      </c>
      <c r="AI528" s="7">
        <f>VLOOKUP($B528,'[9]Subsidiary wise dispatch'!$A$3:$R$138,14,FALSE)*$H528*$O528*365</f>
        <v>0</v>
      </c>
      <c r="AJ528" s="7">
        <f>VLOOKUP($B528,'[9]Subsidiary wise dispatch'!$A$3:$R$138,15,FALSE)*$H528*$O528*365</f>
        <v>1274342.0003855694</v>
      </c>
      <c r="AK528" s="7">
        <f>VLOOKUP($B528,'[9]Subsidiary wise dispatch'!$A$3:$R$138,16,FALSE)*$H528*$O528*365</f>
        <v>0</v>
      </c>
      <c r="AL528" s="7">
        <f>VLOOKUP($B528,'[9]Subsidiary wise dispatch'!$A$3:$R$138,17,FALSE)*$H528*$O528*365</f>
        <v>0</v>
      </c>
      <c r="AM528" s="7">
        <f>VLOOKUP($B528,'[9]Subsidiary wise dispatch'!$A$3:$R$138,18,FALSE)*$H528*$O528*365</f>
        <v>0</v>
      </c>
      <c r="AN528" s="15">
        <f t="shared" si="407"/>
        <v>1274342.0003855694</v>
      </c>
      <c r="AO528" s="6">
        <v>6.5179373950034494E-2</v>
      </c>
      <c r="AP528" s="11">
        <f t="shared" si="408"/>
        <v>0.31322386754775383</v>
      </c>
      <c r="AQ528" s="11"/>
      <c r="AR528" s="3">
        <f>VLOOKUP(A528,[10]Sheet1!$A$2:$L$542,12,FALSE)</f>
        <v>1.63782859578788</v>
      </c>
      <c r="AS528" s="3">
        <f t="shared" si="415"/>
        <v>2.0422735088455526</v>
      </c>
      <c r="AT528" s="2"/>
      <c r="AU528" s="2"/>
      <c r="AV528" s="88">
        <f t="shared" si="416"/>
        <v>-0.25904129815544158</v>
      </c>
      <c r="AW528" s="32">
        <f t="shared" si="417"/>
        <v>0.1268396701193423</v>
      </c>
      <c r="AX528" s="12">
        <f t="shared" si="409"/>
        <v>358.22132128067847</v>
      </c>
      <c r="AY528" s="12">
        <f t="shared" si="410"/>
        <v>0</v>
      </c>
      <c r="AZ528" s="3">
        <f>VLOOKUP(A528,[5]Analysis!$A$3:$BJ$543,62,FALSE)</f>
        <v>0.40603530059943072</v>
      </c>
      <c r="BA528" s="2">
        <v>122.05</v>
      </c>
      <c r="BB528" s="2"/>
      <c r="BC528" s="2" t="str">
        <f>VLOOKUP(A528,'[6]FGD status - Jun 2020'!$I$2:$M$449,5,FALSE)</f>
        <v>Bid Awarded</v>
      </c>
      <c r="BD528" s="2"/>
      <c r="BE528" s="2" t="str">
        <f>VLOOKUP(A528,'[1]daily coal, energy reqd'!$C$2:$M$599,11,FALSE)</f>
        <v>Y</v>
      </c>
      <c r="BF528" s="2">
        <f t="shared" si="411"/>
        <v>385.11203324019948</v>
      </c>
      <c r="BG528" s="2">
        <f t="shared" si="412"/>
        <v>0</v>
      </c>
      <c r="BH528" s="2">
        <f t="shared" ref="BH528:BH543" si="432">IF(G528&lt;17,IF(H528&gt;400,H528*5000000,H528*3500000),H528*1500000)/10^7</f>
        <v>31.5</v>
      </c>
      <c r="BI528" s="2">
        <f t="shared" ref="BI528:BI543" si="433">(H528*800000)/10^7</f>
        <v>16.8</v>
      </c>
      <c r="BK528">
        <f t="shared" si="413"/>
        <v>200.2319704874904</v>
      </c>
      <c r="BL528">
        <f>VLOOKUP(A528,'[11]Daily coal vs energy req.2'!$C$2:$P$599,14,FALSE)</f>
        <v>1.21</v>
      </c>
      <c r="BM528">
        <f>VLOOKUP(A528,'[11]Daily coal vs energy req.2'!$C$2:$R$599,16,FALSE)</f>
        <v>1.43</v>
      </c>
      <c r="BN528">
        <f t="shared" ref="BN528:BN540" si="434">BL528*H528</f>
        <v>254.1</v>
      </c>
      <c r="BO528">
        <f t="shared" ref="BO528:BO540" si="435">BM528*H528</f>
        <v>300.3</v>
      </c>
      <c r="BP528" s="2" t="str">
        <f>VLOOKUP(A528,'[7]Table 2'!$J$2:$N$449,5,FALSE)</f>
        <v>Bid Awarded</v>
      </c>
      <c r="BR528">
        <f t="shared" si="418"/>
        <v>224.8573607717278</v>
      </c>
      <c r="BT528">
        <f>(X528*I528*365*[5]Analysis!BK528)/10^4</f>
        <v>210.77224632148398</v>
      </c>
      <c r="BV528">
        <f>(X528*I528*365*[5]Analysis!BL528)/10^4</f>
        <v>14.08511445024382</v>
      </c>
      <c r="BX528">
        <f t="shared" si="419"/>
        <v>1555157.2779999753</v>
      </c>
      <c r="BZ528">
        <f t="shared" si="420"/>
        <v>3689356.3396087158</v>
      </c>
      <c r="CB528">
        <f t="shared" si="421"/>
        <v>-494140.84118604753</v>
      </c>
      <c r="CD528">
        <f t="shared" si="422"/>
        <v>0</v>
      </c>
      <c r="CF528">
        <f t="shared" si="423"/>
        <v>3131997.2461779295</v>
      </c>
      <c r="CH528">
        <f t="shared" si="424"/>
        <v>1159693.1557223748</v>
      </c>
      <c r="CJ528">
        <f t="shared" si="425"/>
        <v>-607418.90010355925</v>
      </c>
      <c r="CL528">
        <f t="shared" si="426"/>
        <v>885497.65540767217</v>
      </c>
    </row>
    <row r="529" spans="1:90" x14ac:dyDescent="0.2">
      <c r="A529" s="2" t="s">
        <v>444</v>
      </c>
      <c r="B529" s="2" t="str">
        <f t="shared" si="431"/>
        <v>VINDHYACHAL STPS</v>
      </c>
      <c r="C529" s="2" t="str">
        <f>VLOOKUP($A529,'[1]daily coal, energy reqd'!$C$2:$T$599,17,FALSE)</f>
        <v>Madhya Pradesh</v>
      </c>
      <c r="D529" s="2" t="str">
        <f>VLOOKUP(C529,'Target PLF'!$I$2:$J$19,2,FALSE)</f>
        <v>WR</v>
      </c>
      <c r="E529" s="2" t="str">
        <f>VLOOKUP(A529,[2]Ownership!$C$2:$D$666,2,FALSE)</f>
        <v>CENTRAL SECTOR</v>
      </c>
      <c r="F529" s="2" t="s">
        <v>548</v>
      </c>
      <c r="G529" s="12">
        <v>31.841204654346299</v>
      </c>
      <c r="H529" s="2">
        <v>210</v>
      </c>
      <c r="I529" s="2">
        <f>VLOOKUP(A529,'[3]Calculated coal req (reg.)'!$A$2:$I$599,9,FALSE)</f>
        <v>4.4781807360912396</v>
      </c>
      <c r="J529" s="2"/>
      <c r="K529" s="11">
        <v>0.88852792382762691</v>
      </c>
      <c r="L529" s="3">
        <f>VLOOKUP(F529,'Target PLF'!$A$2:$B$11,2,FALSE)</f>
        <v>0.6</v>
      </c>
      <c r="M529" s="3">
        <f t="shared" si="414"/>
        <v>-0.28852792382762693</v>
      </c>
      <c r="N529" s="2" t="str">
        <f t="shared" si="397"/>
        <v>0.25</v>
      </c>
      <c r="O529" s="2">
        <f t="shared" si="396"/>
        <v>15.697929470017339</v>
      </c>
      <c r="P529" s="2">
        <f t="shared" si="398"/>
        <v>1203246.2938768291</v>
      </c>
      <c r="Q529" s="2">
        <f t="shared" si="399"/>
        <v>15.161878907426418</v>
      </c>
      <c r="R529" s="2">
        <f t="shared" si="400"/>
        <v>3.024</v>
      </c>
      <c r="S529" s="2"/>
      <c r="T529" s="2" t="str">
        <f>VLOOKUP(A529,'[4]CEA vs MERIT comp. &amp; NPA marker'!$C$2:$K$735,9,FALSE)</f>
        <v>Contracted</v>
      </c>
      <c r="U529" s="3">
        <f>VLOOKUP(B529,'[8]Import-Domestic share'!$A$208:$F$406,6,FALSE)</f>
        <v>0</v>
      </c>
      <c r="V529" s="3">
        <f t="shared" si="401"/>
        <v>0</v>
      </c>
      <c r="W529" s="2">
        <f t="shared" si="402"/>
        <v>3268.3472992861052</v>
      </c>
      <c r="X529" s="2">
        <f t="shared" si="403"/>
        <v>3172.9682772728984</v>
      </c>
      <c r="Y529" s="6">
        <f t="shared" si="404"/>
        <v>0.26312993120034922</v>
      </c>
      <c r="Z529" s="2"/>
      <c r="AA529" s="2">
        <f t="shared" si="405"/>
        <v>1165314.9851979017</v>
      </c>
      <c r="AB529" s="2" t="s">
        <v>576</v>
      </c>
      <c r="AC529" s="12">
        <f>VLOOKUP(B529,[9]Sheet1!$A$2:$B$137,2,FALSE)</f>
        <v>4450.5827544825906</v>
      </c>
      <c r="AD529" s="12">
        <f t="shared" si="406"/>
        <v>934622.37844134402</v>
      </c>
      <c r="AE529" s="2" t="s">
        <v>589</v>
      </c>
      <c r="AF529" s="7">
        <f>VLOOKUP($B529,'[9]Subsidiary wise dispatch'!$A$3:$R$138,11,FALSE)*$H529*$O529*365</f>
        <v>0</v>
      </c>
      <c r="AG529" s="7">
        <f>VLOOKUP($B529,'[9]Subsidiary wise dispatch'!$A$3:$R$138,12,FALSE)*$H529*$O529*365</f>
        <v>0</v>
      </c>
      <c r="AH529" s="7">
        <f>VLOOKUP($B529,'[9]Subsidiary wise dispatch'!$A$3:$R$138,13,FALSE)*$H529*$O529*365</f>
        <v>0</v>
      </c>
      <c r="AI529" s="7">
        <f>VLOOKUP($B529,'[9]Subsidiary wise dispatch'!$A$3:$R$138,14,FALSE)*$H529*$O529*365</f>
        <v>0</v>
      </c>
      <c r="AJ529" s="7">
        <f>VLOOKUP($B529,'[9]Subsidiary wise dispatch'!$A$3:$R$138,15,FALSE)*$H529*$O529*365</f>
        <v>1203246.2938768291</v>
      </c>
      <c r="AK529" s="7">
        <f>VLOOKUP($B529,'[9]Subsidiary wise dispatch'!$A$3:$R$138,16,FALSE)*$H529*$O529*365</f>
        <v>0</v>
      </c>
      <c r="AL529" s="7">
        <f>VLOOKUP($B529,'[9]Subsidiary wise dispatch'!$A$3:$R$138,17,FALSE)*$H529*$O529*365</f>
        <v>0</v>
      </c>
      <c r="AM529" s="7">
        <f>VLOOKUP($B529,'[9]Subsidiary wise dispatch'!$A$3:$R$138,18,FALSE)*$H529*$O529*365</f>
        <v>0</v>
      </c>
      <c r="AN529" s="15">
        <f t="shared" si="407"/>
        <v>1203246.2938768291</v>
      </c>
      <c r="AO529" s="6">
        <v>6.5179373950034494E-2</v>
      </c>
      <c r="AP529" s="11">
        <f t="shared" si="408"/>
        <v>0.29188501681353163</v>
      </c>
      <c r="AQ529" s="11"/>
      <c r="AR529" s="3">
        <f>VLOOKUP(A529,[10]Sheet1!$A$2:$L$542,12,FALSE)</f>
        <v>1.63782859578788</v>
      </c>
      <c r="AS529" s="3">
        <f t="shared" si="415"/>
        <v>2.0383323621766753</v>
      </c>
      <c r="AT529" s="2"/>
      <c r="AU529" s="2"/>
      <c r="AV529" s="88">
        <f t="shared" si="416"/>
        <v>-0.21143903313936158</v>
      </c>
      <c r="AW529" s="32">
        <f t="shared" si="417"/>
        <v>0.10373138211551135</v>
      </c>
      <c r="AX529" s="12">
        <f t="shared" si="409"/>
        <v>333.17275620885925</v>
      </c>
      <c r="AY529" s="12">
        <f t="shared" si="410"/>
        <v>0</v>
      </c>
      <c r="AZ529" s="3">
        <f>VLOOKUP(A529,[5]Analysis!$A$3:$BJ$543,62,FALSE)</f>
        <v>0.40603530059943072</v>
      </c>
      <c r="BA529" s="2">
        <v>122.05</v>
      </c>
      <c r="BB529" s="2"/>
      <c r="BC529" s="2" t="str">
        <f>VLOOKUP(A529,'[6]FGD status - Jun 2020'!$I$2:$M$449,5,FALSE)</f>
        <v>Bid Awarded</v>
      </c>
      <c r="BD529" s="2"/>
      <c r="BE529" s="2" t="str">
        <f>VLOOKUP(A529,'[1]daily coal, energy reqd'!$C$2:$M$599,11,FALSE)</f>
        <v>Y</v>
      </c>
      <c r="BF529" s="2">
        <f t="shared" si="411"/>
        <v>360.66498791875057</v>
      </c>
      <c r="BG529" s="2">
        <f t="shared" si="412"/>
        <v>0</v>
      </c>
      <c r="BH529" s="2">
        <f t="shared" si="432"/>
        <v>31.5</v>
      </c>
      <c r="BI529" s="2">
        <f t="shared" si="433"/>
        <v>16.8</v>
      </c>
      <c r="BK529">
        <f t="shared" si="413"/>
        <v>186.59086400380164</v>
      </c>
      <c r="BL529">
        <f>VLOOKUP(A529,'[11]Daily coal vs energy req.2'!$C$2:$P$599,14,FALSE)</f>
        <v>0.97</v>
      </c>
      <c r="BM529">
        <f>VLOOKUP(A529,'[11]Daily coal vs energy req.2'!$C$2:$R$599,16,FALSE)</f>
        <v>0.95</v>
      </c>
      <c r="BN529">
        <f t="shared" si="434"/>
        <v>203.7</v>
      </c>
      <c r="BO529">
        <f t="shared" si="435"/>
        <v>199.5</v>
      </c>
      <c r="BP529" s="2" t="str">
        <f>VLOOKUP(A529,'[7]Table 2'!$J$2:$N$449,5,FALSE)</f>
        <v>Bid Awarded</v>
      </c>
      <c r="BR529">
        <f t="shared" si="418"/>
        <v>210.58333759100003</v>
      </c>
      <c r="BT529">
        <f>(X529*I529*365*[5]Analysis!BK529)/10^4</f>
        <v>197.3923510869171</v>
      </c>
      <c r="BV529">
        <f>(X529*I529*365*[5]Analysis!BL529)/10^4</f>
        <v>13.190986504082925</v>
      </c>
      <c r="BX529">
        <f t="shared" si="419"/>
        <v>1456435.3550899902</v>
      </c>
      <c r="BZ529">
        <f t="shared" si="420"/>
        <v>3438013.3469669945</v>
      </c>
      <c r="CB529">
        <f t="shared" si="421"/>
        <v>-429106.07103689614</v>
      </c>
      <c r="CD529">
        <f t="shared" si="422"/>
        <v>0</v>
      </c>
      <c r="CF529">
        <f t="shared" si="423"/>
        <v>2918625.1865726807</v>
      </c>
      <c r="CH529">
        <f t="shared" si="424"/>
        <v>1055812.6108098759</v>
      </c>
      <c r="CJ529">
        <f t="shared" si="425"/>
        <v>-566037.56686119665</v>
      </c>
      <c r="CL529">
        <f t="shared" si="426"/>
        <v>825171.78547259374</v>
      </c>
    </row>
    <row r="530" spans="1:90" x14ac:dyDescent="0.2">
      <c r="A530" s="2" t="s">
        <v>440</v>
      </c>
      <c r="B530" s="2" t="str">
        <f t="shared" si="431"/>
        <v>VINDHYACHAL STPS</v>
      </c>
      <c r="C530" s="2" t="str">
        <f>VLOOKUP($A530,'[1]daily coal, energy reqd'!$C$2:$T$599,17,FALSE)</f>
        <v>Madhya Pradesh</v>
      </c>
      <c r="D530" s="2" t="str">
        <f>VLOOKUP(C530,'Target PLF'!$I$2:$J$19,2,FALSE)</f>
        <v>WR</v>
      </c>
      <c r="E530" s="2" t="str">
        <f>VLOOKUP(A530,[2]Ownership!$C$2:$D$666,2,FALSE)</f>
        <v>CENTRAL SECTOR</v>
      </c>
      <c r="F530" s="2" t="s">
        <v>548</v>
      </c>
      <c r="G530" s="12">
        <v>31.2525667351129</v>
      </c>
      <c r="H530" s="2">
        <v>210</v>
      </c>
      <c r="I530" s="2">
        <f>VLOOKUP(A530,'[3]Calculated coal req (reg.)'!$A$2:$I$599,9,FALSE)</f>
        <v>4.53215233383093</v>
      </c>
      <c r="J530" s="2"/>
      <c r="K530" s="11">
        <v>0.89923657417280356</v>
      </c>
      <c r="L530" s="3">
        <f>VLOOKUP(F530,'Target PLF'!$A$2:$B$11,2,FALSE)</f>
        <v>0.6</v>
      </c>
      <c r="M530" s="3">
        <f t="shared" si="414"/>
        <v>-0.29923657417280358</v>
      </c>
      <c r="N530" s="2" t="str">
        <f t="shared" si="397"/>
        <v>0.25</v>
      </c>
      <c r="O530" s="2">
        <f t="shared" si="396"/>
        <v>15.828277028773169</v>
      </c>
      <c r="P530" s="2">
        <f t="shared" si="398"/>
        <v>1213237.4342554633</v>
      </c>
      <c r="Q530" s="2">
        <f t="shared" si="399"/>
        <v>15.1432338013347</v>
      </c>
      <c r="R530" s="2">
        <f t="shared" si="400"/>
        <v>3.024</v>
      </c>
      <c r="S530" s="2"/>
      <c r="T530" s="2" t="str">
        <f>VLOOKUP(A530,'[4]CEA vs MERIT comp. &amp; NPA marker'!$C$2:$K$735,9,FALSE)</f>
        <v>Contracted</v>
      </c>
      <c r="U530" s="3">
        <f>VLOOKUP(B530,'[8]Import-Domestic share'!$A$208:$F$406,6,FALSE)</f>
        <v>0</v>
      </c>
      <c r="V530" s="3">
        <f t="shared" si="401"/>
        <v>0</v>
      </c>
      <c r="W530" s="2">
        <f t="shared" si="402"/>
        <v>3263.8497894845991</v>
      </c>
      <c r="X530" s="2">
        <f t="shared" si="403"/>
        <v>3164.9307960764068</v>
      </c>
      <c r="Y530" s="6">
        <f t="shared" si="404"/>
        <v>0.26349251818227953</v>
      </c>
      <c r="Z530" s="2"/>
      <c r="AA530" s="2">
        <f t="shared" si="405"/>
        <v>1176372.0593628881</v>
      </c>
      <c r="AB530" s="2" t="s">
        <v>576</v>
      </c>
      <c r="AC530" s="12">
        <f>VLOOKUP(B530,[9]Sheet1!$A$2:$B$137,2,FALSE)</f>
        <v>4450.5827544825906</v>
      </c>
      <c r="AD530" s="12">
        <f t="shared" si="406"/>
        <v>934622.37844134402</v>
      </c>
      <c r="AE530" s="2" t="s">
        <v>589</v>
      </c>
      <c r="AF530" s="7">
        <f>VLOOKUP($B530,'[9]Subsidiary wise dispatch'!$A$3:$R$138,11,FALSE)*$H530*$O530*365</f>
        <v>0</v>
      </c>
      <c r="AG530" s="7">
        <f>VLOOKUP($B530,'[9]Subsidiary wise dispatch'!$A$3:$R$138,12,FALSE)*$H530*$O530*365</f>
        <v>0</v>
      </c>
      <c r="AH530" s="7">
        <f>VLOOKUP($B530,'[9]Subsidiary wise dispatch'!$A$3:$R$138,13,FALSE)*$H530*$O530*365</f>
        <v>0</v>
      </c>
      <c r="AI530" s="7">
        <f>VLOOKUP($B530,'[9]Subsidiary wise dispatch'!$A$3:$R$138,14,FALSE)*$H530*$O530*365</f>
        <v>0</v>
      </c>
      <c r="AJ530" s="7">
        <f>VLOOKUP($B530,'[9]Subsidiary wise dispatch'!$A$3:$R$138,15,FALSE)*$H530*$O530*365</f>
        <v>1213237.4342554633</v>
      </c>
      <c r="AK530" s="7">
        <f>VLOOKUP($B530,'[9]Subsidiary wise dispatch'!$A$3:$R$138,16,FALSE)*$H530*$O530*365</f>
        <v>0</v>
      </c>
      <c r="AL530" s="7">
        <f>VLOOKUP($B530,'[9]Subsidiary wise dispatch'!$A$3:$R$138,17,FALSE)*$H530*$O530*365</f>
        <v>0</v>
      </c>
      <c r="AM530" s="7">
        <f>VLOOKUP($B530,'[9]Subsidiary wise dispatch'!$A$3:$R$138,18,FALSE)*$H530*$O530*365</f>
        <v>0</v>
      </c>
      <c r="AN530" s="15">
        <f t="shared" si="407"/>
        <v>1213237.4342554633</v>
      </c>
      <c r="AO530" s="6">
        <v>6.5179373950034494E-2</v>
      </c>
      <c r="AP530" s="11">
        <f t="shared" si="408"/>
        <v>0.29540285176528774</v>
      </c>
      <c r="AQ530" s="11"/>
      <c r="AR530" s="3">
        <f>VLOOKUP(A530,[10]Sheet1!$A$2:$L$542,12,FALSE)</f>
        <v>1.63782859578788</v>
      </c>
      <c r="AS530" s="3">
        <f t="shared" si="415"/>
        <v>2.0331499508810711</v>
      </c>
      <c r="AT530" s="2"/>
      <c r="AU530" s="2"/>
      <c r="AV530" s="88">
        <f t="shared" si="416"/>
        <v>-0.21928654628531394</v>
      </c>
      <c r="AW530" s="32">
        <f t="shared" si="417"/>
        <v>0.10785556972336718</v>
      </c>
      <c r="AX530" s="12">
        <f t="shared" si="409"/>
        <v>336.33090326435683</v>
      </c>
      <c r="AY530" s="12">
        <f t="shared" si="410"/>
        <v>0</v>
      </c>
      <c r="AZ530" s="3">
        <f>VLOOKUP(A530,[5]Analysis!$A$3:$BJ$543,62,FALSE)</f>
        <v>0.40603530059943072</v>
      </c>
      <c r="BA530" s="2">
        <v>122.05</v>
      </c>
      <c r="BB530" s="2"/>
      <c r="BC530" s="2" t="str">
        <f>VLOOKUP(A530,'[6]FGD status - Jun 2020'!$I$2:$M$449,5,FALSE)</f>
        <v>Bid Awarded</v>
      </c>
      <c r="BD530" s="2"/>
      <c r="BE530" s="2" t="str">
        <f>VLOOKUP(A530,'[1]daily coal, energy reqd'!$C$2:$M$599,11,FALSE)</f>
        <v>Y</v>
      </c>
      <c r="BF530" s="2">
        <f t="shared" si="411"/>
        <v>364.08715237281382</v>
      </c>
      <c r="BG530" s="2">
        <f t="shared" si="412"/>
        <v>0</v>
      </c>
      <c r="BH530" s="2">
        <f t="shared" si="432"/>
        <v>31.5</v>
      </c>
      <c r="BI530" s="2">
        <f t="shared" si="433"/>
        <v>16.8</v>
      </c>
      <c r="BK530">
        <f t="shared" si="413"/>
        <v>188.83968057628874</v>
      </c>
      <c r="BL530">
        <f>VLOOKUP(A530,'[11]Daily coal vs energy req.2'!$C$2:$P$599,14,FALSE)</f>
        <v>0.89</v>
      </c>
      <c r="BM530">
        <f>VLOOKUP(A530,'[11]Daily coal vs energy req.2'!$C$2:$R$599,16,FALSE)</f>
        <v>0.95</v>
      </c>
      <c r="BN530">
        <f t="shared" si="434"/>
        <v>186.9</v>
      </c>
      <c r="BO530">
        <f t="shared" si="435"/>
        <v>199.5</v>
      </c>
      <c r="BP530" s="2" t="str">
        <f>VLOOKUP(A530,'[7]Table 2'!$J$2:$N$449,5,FALSE)</f>
        <v>Bid Awarded</v>
      </c>
      <c r="BR530">
        <f t="shared" si="418"/>
        <v>212.58145450465031</v>
      </c>
      <c r="BT530">
        <f>(X530*I530*365*[5]Analysis!BK530)/10^4</f>
        <v>199.26530551837365</v>
      </c>
      <c r="BV530">
        <f>(X530*I530*365*[5]Analysis!BL530)/10^4</f>
        <v>13.31614898627671</v>
      </c>
      <c r="BX530">
        <f t="shared" si="419"/>
        <v>1470254.7206197346</v>
      </c>
      <c r="BZ530">
        <f t="shared" si="420"/>
        <v>3479448.7164443219</v>
      </c>
      <c r="CB530">
        <f t="shared" si="421"/>
        <v>-439511.68102605373</v>
      </c>
      <c r="CD530">
        <f t="shared" si="422"/>
        <v>0</v>
      </c>
      <c r="CF530">
        <f t="shared" si="423"/>
        <v>2953800.824584139</v>
      </c>
      <c r="CH530">
        <f t="shared" si="424"/>
        <v>1048783.6964436416</v>
      </c>
      <c r="CJ530">
        <f t="shared" si="425"/>
        <v>-572859.52284389571</v>
      </c>
      <c r="CL530">
        <f t="shared" si="426"/>
        <v>835116.85966594622</v>
      </c>
    </row>
    <row r="531" spans="1:90" x14ac:dyDescent="0.2">
      <c r="A531" s="2" t="s">
        <v>433</v>
      </c>
      <c r="B531" s="2" t="str">
        <f t="shared" si="431"/>
        <v>VINDHYACHAL STPS</v>
      </c>
      <c r="C531" s="2" t="str">
        <f>VLOOKUP($A531,'[1]daily coal, energy reqd'!$C$2:$T$599,17,FALSE)</f>
        <v>Madhya Pradesh</v>
      </c>
      <c r="D531" s="2" t="str">
        <f>VLOOKUP(C531,'Target PLF'!$I$2:$J$19,2,FALSE)</f>
        <v>WR</v>
      </c>
      <c r="E531" s="2" t="str">
        <f>VLOOKUP(A531,[2]Ownership!$C$2:$D$666,2,FALSE)</f>
        <v>CENTRAL SECTOR</v>
      </c>
      <c r="F531" s="2" t="s">
        <v>548</v>
      </c>
      <c r="G531" s="12">
        <v>30.4229979466119</v>
      </c>
      <c r="H531" s="2">
        <v>210</v>
      </c>
      <c r="I531" s="2">
        <f>VLOOKUP(A531,'[3]Calculated coal req (reg.)'!$A$2:$I$599,9,FALSE)</f>
        <v>4.3462526710852902</v>
      </c>
      <c r="J531" s="2"/>
      <c r="K531" s="11">
        <v>0.86235172045343056</v>
      </c>
      <c r="L531" s="3">
        <f>VLOOKUP(F531,'Target PLF'!$A$2:$B$11,2,FALSE)</f>
        <v>0.6</v>
      </c>
      <c r="M531" s="3">
        <f t="shared" si="414"/>
        <v>-0.26235172045343058</v>
      </c>
      <c r="N531" s="2" t="str">
        <f t="shared" si="397"/>
        <v>0.25</v>
      </c>
      <c r="O531" s="2">
        <f t="shared" si="396"/>
        <v>15.288810402143646</v>
      </c>
      <c r="P531" s="2">
        <f t="shared" si="398"/>
        <v>1171887.3173243105</v>
      </c>
      <c r="Q531" s="2">
        <f t="shared" si="399"/>
        <v>15.116957209958931</v>
      </c>
      <c r="R531" s="2">
        <f t="shared" si="400"/>
        <v>3.024</v>
      </c>
      <c r="S531" s="2"/>
      <c r="T531" s="2" t="str">
        <f>VLOOKUP(A531,'[4]CEA vs MERIT comp. &amp; NPA marker'!$C$2:$K$735,9,FALSE)</f>
        <v>Contracted</v>
      </c>
      <c r="U531" s="3">
        <f>VLOOKUP(B531,'[8]Import-Domestic share'!$A$208:$F$406,6,FALSE)</f>
        <v>0</v>
      </c>
      <c r="V531" s="3">
        <f t="shared" si="401"/>
        <v>0</v>
      </c>
      <c r="W531" s="2">
        <f t="shared" si="402"/>
        <v>3257.5114384620119</v>
      </c>
      <c r="X531" s="2">
        <f t="shared" si="403"/>
        <v>3170.7855154096569</v>
      </c>
      <c r="Y531" s="6">
        <f t="shared" si="404"/>
        <v>0.2640052126435623</v>
      </c>
      <c r="Z531" s="2"/>
      <c r="AA531" s="2">
        <f t="shared" si="405"/>
        <v>1130206.5500739834</v>
      </c>
      <c r="AB531" s="2" t="s">
        <v>576</v>
      </c>
      <c r="AC531" s="12">
        <f>VLOOKUP(B531,[9]Sheet1!$A$2:$B$137,2,FALSE)</f>
        <v>4450.5827544825906</v>
      </c>
      <c r="AD531" s="12">
        <f t="shared" si="406"/>
        <v>934622.37844134402</v>
      </c>
      <c r="AE531" s="2" t="s">
        <v>589</v>
      </c>
      <c r="AF531" s="7">
        <f>VLOOKUP($B531,'[9]Subsidiary wise dispatch'!$A$3:$R$138,11,FALSE)*$H531*$O531*365</f>
        <v>0</v>
      </c>
      <c r="AG531" s="7">
        <f>VLOOKUP($B531,'[9]Subsidiary wise dispatch'!$A$3:$R$138,12,FALSE)*$H531*$O531*365</f>
        <v>0</v>
      </c>
      <c r="AH531" s="7">
        <f>VLOOKUP($B531,'[9]Subsidiary wise dispatch'!$A$3:$R$138,13,FALSE)*$H531*$O531*365</f>
        <v>0</v>
      </c>
      <c r="AI531" s="7">
        <f>VLOOKUP($B531,'[9]Subsidiary wise dispatch'!$A$3:$R$138,14,FALSE)*$H531*$O531*365</f>
        <v>0</v>
      </c>
      <c r="AJ531" s="7">
        <f>VLOOKUP($B531,'[9]Subsidiary wise dispatch'!$A$3:$R$138,15,FALSE)*$H531*$O531*365</f>
        <v>1171887.3173243105</v>
      </c>
      <c r="AK531" s="7">
        <f>VLOOKUP($B531,'[9]Subsidiary wise dispatch'!$A$3:$R$138,16,FALSE)*$H531*$O531*365</f>
        <v>0</v>
      </c>
      <c r="AL531" s="7">
        <f>VLOOKUP($B531,'[9]Subsidiary wise dispatch'!$A$3:$R$138,17,FALSE)*$H531*$O531*365</f>
        <v>0</v>
      </c>
      <c r="AM531" s="7">
        <f>VLOOKUP($B531,'[9]Subsidiary wise dispatch'!$A$3:$R$138,18,FALSE)*$H531*$O531*365</f>
        <v>0</v>
      </c>
      <c r="AN531" s="15">
        <f t="shared" si="407"/>
        <v>1171887.3173243105</v>
      </c>
      <c r="AO531" s="6">
        <v>6.5179373950034494E-2</v>
      </c>
      <c r="AP531" s="11">
        <f t="shared" si="408"/>
        <v>0.28328602813000442</v>
      </c>
      <c r="AQ531" s="11"/>
      <c r="AR531" s="3">
        <f>VLOOKUP(A531,[10]Sheet1!$A$2:$L$542,12,FALSE)</f>
        <v>1.63782859578788</v>
      </c>
      <c r="AS531" s="3">
        <f t="shared" si="415"/>
        <v>2.0276075175182737</v>
      </c>
      <c r="AT531" s="2"/>
      <c r="AU531" s="2"/>
      <c r="AV531" s="88">
        <f t="shared" si="416"/>
        <v>-0.19225658778268301</v>
      </c>
      <c r="AW531" s="32">
        <f t="shared" si="417"/>
        <v>9.4819429362739238E-2</v>
      </c>
      <c r="AX531" s="12">
        <f t="shared" si="409"/>
        <v>321.65605249581398</v>
      </c>
      <c r="AY531" s="12">
        <f t="shared" si="410"/>
        <v>0</v>
      </c>
      <c r="AZ531" s="3">
        <f>VLOOKUP(A531,[5]Analysis!$A$3:$BJ$543,62,FALSE)</f>
        <v>0.40603530059943072</v>
      </c>
      <c r="BA531" s="2">
        <v>122.05</v>
      </c>
      <c r="BB531" s="2"/>
      <c r="BC531" s="2" t="str">
        <f>VLOOKUP(A531,'[6]FGD status - Jun 2020'!$I$2:$M$449,5,FALSE)</f>
        <v>Bid Awarded</v>
      </c>
      <c r="BD531" s="2"/>
      <c r="BE531" s="2" t="str">
        <f>VLOOKUP(A531,'[1]daily coal, energy reqd'!$C$2:$M$599,11,FALSE)</f>
        <v>Y</v>
      </c>
      <c r="BF531" s="2">
        <f t="shared" si="411"/>
        <v>349.79892724789784</v>
      </c>
      <c r="BG531" s="2">
        <f t="shared" si="412"/>
        <v>0</v>
      </c>
      <c r="BH531" s="2">
        <f t="shared" si="432"/>
        <v>31.5</v>
      </c>
      <c r="BI531" s="2">
        <f t="shared" si="433"/>
        <v>16.8</v>
      </c>
      <c r="BK531">
        <f t="shared" si="413"/>
        <v>181.09386129522042</v>
      </c>
      <c r="BL531">
        <f>VLOOKUP(A531,'[11]Daily coal vs energy req.2'!$C$2:$P$599,14,FALSE)</f>
        <v>1.3</v>
      </c>
      <c r="BM531">
        <f>VLOOKUP(A531,'[11]Daily coal vs energy req.2'!$C$2:$R$599,16,FALSE)</f>
        <v>1.33</v>
      </c>
      <c r="BN531">
        <f t="shared" si="434"/>
        <v>273</v>
      </c>
      <c r="BO531">
        <f t="shared" si="435"/>
        <v>279.3</v>
      </c>
      <c r="BP531" s="2" t="str">
        <f>VLOOKUP(A531,'[7]Table 2'!$J$2:$N$449,5,FALSE)</f>
        <v>Bid Awarded</v>
      </c>
      <c r="BR531">
        <f t="shared" si="418"/>
        <v>204.23891437504332</v>
      </c>
      <c r="BT531">
        <f>(X531*I531*365*[5]Analysis!BK531)/10^4</f>
        <v>191.4453439342409</v>
      </c>
      <c r="BV531">
        <f>(X531*I531*365*[5]Analysis!BL531)/10^4</f>
        <v>12.793570440802467</v>
      </c>
      <c r="BX531">
        <f t="shared" si="419"/>
        <v>1412556.0891182462</v>
      </c>
      <c r="BZ531">
        <f t="shared" si="420"/>
        <v>3336728.8131216993</v>
      </c>
      <c r="CB531">
        <f t="shared" si="421"/>
        <v>-404195.39883151313</v>
      </c>
      <c r="CD531">
        <f t="shared" si="422"/>
        <v>0</v>
      </c>
      <c r="CF531">
        <f t="shared" si="423"/>
        <v>2832641.9277374758</v>
      </c>
      <c r="CH531">
        <f t="shared" si="424"/>
        <v>979067.684212739</v>
      </c>
      <c r="CJ531">
        <f t="shared" si="425"/>
        <v>-549361.99137250963</v>
      </c>
      <c r="CL531">
        <f t="shared" si="426"/>
        <v>800862.06610876019</v>
      </c>
    </row>
    <row r="532" spans="1:90" x14ac:dyDescent="0.2">
      <c r="A532" s="2" t="s">
        <v>431</v>
      </c>
      <c r="B532" s="2" t="str">
        <f t="shared" si="431"/>
        <v>VINDHYACHAL STPS</v>
      </c>
      <c r="C532" s="2" t="str">
        <f>VLOOKUP($A532,'[1]daily coal, energy reqd'!$C$2:$T$599,17,FALSE)</f>
        <v>Madhya Pradesh</v>
      </c>
      <c r="D532" s="2" t="str">
        <f>VLOOKUP(C532,'Target PLF'!$I$2:$J$19,2,FALSE)</f>
        <v>WR</v>
      </c>
      <c r="E532" s="2" t="str">
        <f>VLOOKUP(A532,[2]Ownership!$C$2:$D$666,2,FALSE)</f>
        <v>CENTRAL SECTOR</v>
      </c>
      <c r="F532" s="2" t="s">
        <v>548</v>
      </c>
      <c r="G532" s="12">
        <v>30.176591375769998</v>
      </c>
      <c r="H532" s="2">
        <v>210</v>
      </c>
      <c r="I532" s="2">
        <f>VLOOKUP(A532,'[3]Calculated coal req (reg.)'!$A$2:$I$599,9,FALSE)</f>
        <v>4.2731865505109701</v>
      </c>
      <c r="J532" s="2"/>
      <c r="K532" s="11">
        <v>0.84785447430773209</v>
      </c>
      <c r="L532" s="3">
        <f>VLOOKUP(F532,'Target PLF'!$A$2:$B$11,2,FALSE)</f>
        <v>0.6</v>
      </c>
      <c r="M532" s="3">
        <f t="shared" si="414"/>
        <v>-0.24785447430773211</v>
      </c>
      <c r="N532" s="2" t="str">
        <f t="shared" si="397"/>
        <v>0.25</v>
      </c>
      <c r="O532" s="2">
        <f t="shared" si="396"/>
        <v>15.079300939213283</v>
      </c>
      <c r="P532" s="2">
        <f t="shared" si="398"/>
        <v>1155828.4169906981</v>
      </c>
      <c r="Q532" s="2">
        <f t="shared" si="399"/>
        <v>15.109152281827514</v>
      </c>
      <c r="R532" s="2">
        <f t="shared" si="400"/>
        <v>3.024</v>
      </c>
      <c r="S532" s="2"/>
      <c r="T532" s="2" t="str">
        <f>VLOOKUP(A532,'[4]CEA vs MERIT comp. &amp; NPA marker'!$C$2:$K$735,9,FALSE)</f>
        <v>Contracted</v>
      </c>
      <c r="U532" s="3">
        <f>VLOOKUP(B532,'[8]Import-Domestic share'!$A$208:$F$406,6,FALSE)</f>
        <v>0</v>
      </c>
      <c r="V532" s="3">
        <f t="shared" si="401"/>
        <v>0</v>
      </c>
      <c r="W532" s="2">
        <f t="shared" si="402"/>
        <v>3255.6287599404513</v>
      </c>
      <c r="X532" s="2">
        <f t="shared" si="403"/>
        <v>3173.6952089431752</v>
      </c>
      <c r="Y532" s="6">
        <f t="shared" si="404"/>
        <v>0.26415788267447615</v>
      </c>
      <c r="Z532" s="2"/>
      <c r="AA532" s="2">
        <f>(X532*I532*365*10^6)/((IF(AC532,AC532,4286))*1000)</f>
        <v>1112226.0245684634</v>
      </c>
      <c r="AB532" s="2" t="s">
        <v>576</v>
      </c>
      <c r="AC532" s="12">
        <f>VLOOKUP(B532,[9]Sheet1!$A$2:$B$137,2,FALSE)</f>
        <v>4450.5827544825906</v>
      </c>
      <c r="AD532" s="12">
        <f t="shared" si="406"/>
        <v>934622.37844134402</v>
      </c>
      <c r="AE532" s="2" t="s">
        <v>589</v>
      </c>
      <c r="AF532" s="7">
        <f>VLOOKUP($B532,'[9]Subsidiary wise dispatch'!$A$3:$R$138,11,FALSE)*$H532*$O532*365</f>
        <v>0</v>
      </c>
      <c r="AG532" s="7">
        <f>VLOOKUP($B532,'[9]Subsidiary wise dispatch'!$A$3:$R$138,12,FALSE)*$H532*$O532*365</f>
        <v>0</v>
      </c>
      <c r="AH532" s="7">
        <f>VLOOKUP($B532,'[9]Subsidiary wise dispatch'!$A$3:$R$138,13,FALSE)*$H532*$O532*365</f>
        <v>0</v>
      </c>
      <c r="AI532" s="7">
        <f>VLOOKUP($B532,'[9]Subsidiary wise dispatch'!$A$3:$R$138,14,FALSE)*$H532*$O532*365</f>
        <v>0</v>
      </c>
      <c r="AJ532" s="7">
        <f>VLOOKUP($B532,'[9]Subsidiary wise dispatch'!$A$3:$R$138,15,FALSE)*$H532*$O532*365</f>
        <v>1155828.4169906981</v>
      </c>
      <c r="AK532" s="7">
        <f>VLOOKUP($B532,'[9]Subsidiary wise dispatch'!$A$3:$R$138,16,FALSE)*$H532*$O532*365</f>
        <v>0</v>
      </c>
      <c r="AL532" s="7">
        <f>VLOOKUP($B532,'[9]Subsidiary wise dispatch'!$A$3:$R$138,17,FALSE)*$H532*$O532*365</f>
        <v>0</v>
      </c>
      <c r="AM532" s="7">
        <f>VLOOKUP($B532,'[9]Subsidiary wise dispatch'!$A$3:$R$138,18,FALSE)*$H532*$O532*365</f>
        <v>0</v>
      </c>
      <c r="AN532" s="15">
        <f t="shared" si="407"/>
        <v>1155828.4169906981</v>
      </c>
      <c r="AO532" s="6">
        <v>6.5179373950034494E-2</v>
      </c>
      <c r="AP532" s="11">
        <f t="shared" si="408"/>
        <v>0.27852362413401249</v>
      </c>
      <c r="AQ532" s="11"/>
      <c r="AR532" s="3">
        <f>VLOOKUP(A532,[10]Sheet1!$A$2:$L$542,12,FALSE)</f>
        <v>1.63782859578788</v>
      </c>
      <c r="AS532" s="3">
        <f t="shared" si="415"/>
        <v>2.0260812436516606</v>
      </c>
      <c r="AT532" s="2"/>
      <c r="AU532" s="2"/>
      <c r="AV532" s="88">
        <f t="shared" si="416"/>
        <v>-0.18163271586219226</v>
      </c>
      <c r="AW532" s="32">
        <f t="shared" si="417"/>
        <v>8.9647301376143601E-2</v>
      </c>
      <c r="AX532" s="12">
        <f t="shared" si="409"/>
        <v>316.01054390244082</v>
      </c>
      <c r="AY532" s="12">
        <f t="shared" si="410"/>
        <v>0</v>
      </c>
      <c r="AZ532" s="3">
        <f>VLOOKUP(A532,[5]Analysis!$A$3:$BJ$543,62,FALSE)</f>
        <v>0.40603530059943072</v>
      </c>
      <c r="BA532" s="2">
        <v>122.05</v>
      </c>
      <c r="BB532" s="2"/>
      <c r="BC532" s="2" t="str">
        <f>VLOOKUP(A532,'[6]FGD status - Jun 2020'!$I$2:$M$449,5,FALSE)</f>
        <v>Bid Awarded</v>
      </c>
      <c r="BD532" s="2"/>
      <c r="BE532" s="2" t="str">
        <f>VLOOKUP(A532,'[1]daily coal, energy reqd'!$C$2:$M$599,11,FALSE)</f>
        <v>Y</v>
      </c>
      <c r="BF532" s="2">
        <f t="shared" si="411"/>
        <v>344.23395460393942</v>
      </c>
      <c r="BG532" s="2">
        <f t="shared" si="412"/>
        <v>0</v>
      </c>
      <c r="BH532" s="2">
        <f t="shared" si="432"/>
        <v>31.5</v>
      </c>
      <c r="BI532" s="2">
        <f t="shared" si="433"/>
        <v>16.8</v>
      </c>
      <c r="BK532">
        <f t="shared" si="413"/>
        <v>178.04943960462373</v>
      </c>
      <c r="BL532">
        <f>VLOOKUP(A532,'[11]Daily coal vs energy req.2'!$C$2:$P$599,14,FALSE)</f>
        <v>1.21</v>
      </c>
      <c r="BM532">
        <f>VLOOKUP(A532,'[11]Daily coal vs energy req.2'!$C$2:$R$599,16,FALSE)</f>
        <v>1.24</v>
      </c>
      <c r="BN532">
        <f t="shared" si="434"/>
        <v>254.1</v>
      </c>
      <c r="BO532">
        <f t="shared" si="435"/>
        <v>260.39999999999998</v>
      </c>
      <c r="BP532" s="2" t="str">
        <f>VLOOKUP(A532,'[7]Table 2'!$J$2:$N$449,5,FALSE)</f>
        <v>Bid Awarded</v>
      </c>
      <c r="BR532">
        <f t="shared" si="418"/>
        <v>200.9896649268785</v>
      </c>
      <c r="BT532">
        <f>(X532*I532*365*[5]Analysis!BK532)/10^4</f>
        <v>188.39962818494061</v>
      </c>
      <c r="BV532">
        <f>(X532*I532*365*[5]Analysis!BL532)/10^4</f>
        <v>12.590036741937904</v>
      </c>
      <c r="BX532">
        <f t="shared" si="419"/>
        <v>1390083.6474334006</v>
      </c>
      <c r="BZ532">
        <f t="shared" si="420"/>
        <v>3280634.0923970342</v>
      </c>
      <c r="CB532">
        <f t="shared" si="421"/>
        <v>-390719.53899863851</v>
      </c>
      <c r="CD532">
        <f t="shared" si="422"/>
        <v>0</v>
      </c>
      <c r="CF532">
        <f t="shared" si="423"/>
        <v>2785021.5585829467</v>
      </c>
      <c r="CH532">
        <f t="shared" si="424"/>
        <v>954811.78853315441</v>
      </c>
      <c r="CJ532">
        <f t="shared" si="425"/>
        <v>-540126.50679803616</v>
      </c>
      <c r="CL532">
        <f t="shared" si="426"/>
        <v>787398.54046631523</v>
      </c>
    </row>
    <row r="533" spans="1:90" x14ac:dyDescent="0.2">
      <c r="A533" s="2" t="s">
        <v>426</v>
      </c>
      <c r="B533" s="2" t="str">
        <f t="shared" si="431"/>
        <v>VINDHYACHAL STPS</v>
      </c>
      <c r="C533" s="2" t="str">
        <f>VLOOKUP($A533,'[1]daily coal, energy reqd'!$C$2:$T$599,17,FALSE)</f>
        <v>Madhya Pradesh</v>
      </c>
      <c r="D533" s="2" t="str">
        <f>VLOOKUP(C533,'Target PLF'!$I$2:$J$19,2,FALSE)</f>
        <v>WR</v>
      </c>
      <c r="E533" s="2" t="str">
        <f>VLOOKUP(A533,[2]Ownership!$C$2:$D$666,2,FALSE)</f>
        <v>CENTRAL SECTOR</v>
      </c>
      <c r="F533" s="2" t="s">
        <v>547</v>
      </c>
      <c r="G533" s="12">
        <v>29.2539356605065</v>
      </c>
      <c r="H533" s="2">
        <v>210</v>
      </c>
      <c r="I533" s="2">
        <f>VLOOKUP(A533,'[3]Calculated coal req (reg.)'!$A$2:$I$599,9,FALSE)</f>
        <v>4.2758105789159799</v>
      </c>
      <c r="J533" s="2"/>
      <c r="K533" s="11">
        <v>0.84837511486428174</v>
      </c>
      <c r="L533" s="3">
        <f>VLOOKUP(F533,'Target PLF'!$A$2:$B$11,2,FALSE)</f>
        <v>0.65</v>
      </c>
      <c r="M533" s="3">
        <f t="shared" si="414"/>
        <v>-0.19837511486428172</v>
      </c>
      <c r="N533" s="2" t="str">
        <f t="shared" si="397"/>
        <v>0.25</v>
      </c>
      <c r="O533" s="2">
        <f t="shared" si="396"/>
        <v>15.057319647687754</v>
      </c>
      <c r="P533" s="2">
        <f t="shared" si="398"/>
        <v>1154143.5509952663</v>
      </c>
      <c r="Q533" s="2">
        <f t="shared" si="399"/>
        <v>15.079927162046543</v>
      </c>
      <c r="R533" s="2">
        <f t="shared" si="400"/>
        <v>3.2759999999999998</v>
      </c>
      <c r="S533" s="2"/>
      <c r="T533" s="2" t="str">
        <f>VLOOKUP(A533,'[4]CEA vs MERIT comp. &amp; NPA marker'!$C$2:$K$735,9,FALSE)</f>
        <v>Contracted</v>
      </c>
      <c r="U533" s="3">
        <f>VLOOKUP(B533,'[8]Import-Domestic share'!$A$208:$F$406,6,FALSE)</f>
        <v>0</v>
      </c>
      <c r="V533" s="3">
        <f t="shared" si="401"/>
        <v>0</v>
      </c>
      <c r="W533" s="2">
        <f t="shared" si="402"/>
        <v>3232.0506148097193</v>
      </c>
      <c r="X533" s="2">
        <f t="shared" si="403"/>
        <v>3166.4735150388956</v>
      </c>
      <c r="Y533" s="6">
        <f t="shared" si="404"/>
        <v>0.2660849418815896</v>
      </c>
      <c r="Z533" s="2"/>
      <c r="AA533" s="2">
        <f t="shared" si="405"/>
        <v>1110376.6002408892</v>
      </c>
      <c r="AB533" s="2" t="s">
        <v>576</v>
      </c>
      <c r="AC533" s="12">
        <f>VLOOKUP(B533,[9]Sheet1!$A$2:$B$137,2,FALSE)</f>
        <v>4450.5827544825906</v>
      </c>
      <c r="AD533" s="12">
        <f t="shared" si="406"/>
        <v>934622.37844134402</v>
      </c>
      <c r="AE533" s="2" t="s">
        <v>589</v>
      </c>
      <c r="AF533" s="7">
        <f>VLOOKUP($B533,'[9]Subsidiary wise dispatch'!$A$3:$R$138,11,FALSE)*$H533*$O533*365</f>
        <v>0</v>
      </c>
      <c r="AG533" s="7">
        <f>VLOOKUP($B533,'[9]Subsidiary wise dispatch'!$A$3:$R$138,12,FALSE)*$H533*$O533*365</f>
        <v>0</v>
      </c>
      <c r="AH533" s="7">
        <f>VLOOKUP($B533,'[9]Subsidiary wise dispatch'!$A$3:$R$138,13,FALSE)*$H533*$O533*365</f>
        <v>0</v>
      </c>
      <c r="AI533" s="7">
        <f>VLOOKUP($B533,'[9]Subsidiary wise dispatch'!$A$3:$R$138,14,FALSE)*$H533*$O533*365</f>
        <v>0</v>
      </c>
      <c r="AJ533" s="7">
        <f>VLOOKUP($B533,'[9]Subsidiary wise dispatch'!$A$3:$R$138,15,FALSE)*$H533*$O533*365</f>
        <v>1154143.5509952663</v>
      </c>
      <c r="AK533" s="7">
        <f>VLOOKUP($B533,'[9]Subsidiary wise dispatch'!$A$3:$R$138,16,FALSE)*$H533*$O533*365</f>
        <v>0</v>
      </c>
      <c r="AL533" s="7">
        <f>VLOOKUP($B533,'[9]Subsidiary wise dispatch'!$A$3:$R$138,17,FALSE)*$H533*$O533*365</f>
        <v>0</v>
      </c>
      <c r="AM533" s="7">
        <f>VLOOKUP($B533,'[9]Subsidiary wise dispatch'!$A$3:$R$138,18,FALSE)*$H533*$O533*365</f>
        <v>0</v>
      </c>
      <c r="AN533" s="15">
        <f t="shared" si="407"/>
        <v>1154143.5509952663</v>
      </c>
      <c r="AO533" s="6">
        <v>6.5179373950034494E-2</v>
      </c>
      <c r="AP533" s="11">
        <f t="shared" si="408"/>
        <v>0.27869465666267812</v>
      </c>
      <c r="AQ533" s="11"/>
      <c r="AR533" s="3">
        <f>VLOOKUP(A533,[10]Sheet1!$A$2:$L$542,12,FALSE)</f>
        <v>1.63782859578788</v>
      </c>
      <c r="AS533" s="3">
        <f t="shared" si="415"/>
        <v>2.0185092157828035</v>
      </c>
      <c r="AT533" s="2"/>
      <c r="AU533" s="2"/>
      <c r="AV533" s="88">
        <f t="shared" si="416"/>
        <v>-0.14537325167484294</v>
      </c>
      <c r="AW533" s="32">
        <f t="shared" si="417"/>
        <v>7.2020107977790598E-2</v>
      </c>
      <c r="AX533" s="12">
        <f t="shared" si="409"/>
        <v>315.02285163464808</v>
      </c>
      <c r="AY533" s="12">
        <f t="shared" si="410"/>
        <v>0</v>
      </c>
      <c r="AZ533" s="3">
        <f>VLOOKUP(A533,[5]Analysis!$A$3:$BJ$543,62,FALSE)</f>
        <v>0.40603530059943072</v>
      </c>
      <c r="BA533" s="2">
        <v>122.05</v>
      </c>
      <c r="BB533" s="2"/>
      <c r="BC533" s="2" t="str">
        <f>VLOOKUP(A533,'[6]FGD status - Jun 2020'!$I$2:$M$449,5,FALSE)</f>
        <v>Bid Awarded</v>
      </c>
      <c r="BD533" s="2"/>
      <c r="BE533" s="2" t="str">
        <f>VLOOKUP(A533,'[1]daily coal, energy reqd'!$C$2:$M$599,11,FALSE)</f>
        <v>Y</v>
      </c>
      <c r="BF533" s="2">
        <f t="shared" si="411"/>
        <v>343.66155777455521</v>
      </c>
      <c r="BG533" s="2">
        <f t="shared" si="412"/>
        <v>0</v>
      </c>
      <c r="BH533" s="2">
        <f t="shared" si="432"/>
        <v>31.5</v>
      </c>
      <c r="BI533" s="2">
        <f t="shared" si="433"/>
        <v>16.8</v>
      </c>
      <c r="BK533">
        <f t="shared" si="413"/>
        <v>178.15877412149916</v>
      </c>
      <c r="BL533">
        <f>VLOOKUP(A533,'[11]Daily coal vs energy req.2'!$C$2:$P$599,14,FALSE)</f>
        <v>0.89</v>
      </c>
      <c r="BM533">
        <f>VLOOKUP(A533,'[11]Daily coal vs energy req.2'!$C$2:$R$599,16,FALSE)</f>
        <v>0.86</v>
      </c>
      <c r="BN533">
        <f t="shared" si="434"/>
        <v>186.9</v>
      </c>
      <c r="BO533">
        <f t="shared" si="435"/>
        <v>180.6</v>
      </c>
      <c r="BP533" s="2" t="str">
        <f>VLOOKUP(A533,'[7]Table 2'!$J$2:$N$449,5,FALSE)</f>
        <v>Bid Awarded</v>
      </c>
      <c r="BR533">
        <f t="shared" si="418"/>
        <v>200.65545662056684</v>
      </c>
      <c r="BT533">
        <f>(X533*I533*365*[5]Analysis!BK533)/10^4</f>
        <v>188.08635476031779</v>
      </c>
      <c r="BV533">
        <f>(X533*I533*365*[5]Analysis!BL533)/10^4</f>
        <v>12.569101860249059</v>
      </c>
      <c r="BX533">
        <f t="shared" si="419"/>
        <v>1387772.1977297091</v>
      </c>
      <c r="BZ533">
        <f t="shared" si="420"/>
        <v>3282648.6258004177</v>
      </c>
      <c r="CB533">
        <f t="shared" si="421"/>
        <v>-391199.54329809052</v>
      </c>
      <c r="CD533">
        <f t="shared" si="422"/>
        <v>0</v>
      </c>
      <c r="CF533">
        <f t="shared" si="423"/>
        <v>2786731.7520397268</v>
      </c>
      <c r="CH533">
        <f t="shared" si="424"/>
        <v>926186.60732777079</v>
      </c>
      <c r="CJ533">
        <f t="shared" si="425"/>
        <v>-540458.18136440101</v>
      </c>
      <c r="CL533">
        <f t="shared" si="426"/>
        <v>787882.05695028428</v>
      </c>
    </row>
    <row r="534" spans="1:90" x14ac:dyDescent="0.2">
      <c r="A534" s="2" t="s">
        <v>494</v>
      </c>
      <c r="B534" s="2" t="str">
        <f t="shared" si="431"/>
        <v>WANAKBORI TPS</v>
      </c>
      <c r="C534" s="2" t="str">
        <f>VLOOKUP($A534,'[1]daily coal, energy reqd'!$C$2:$T$599,17,FALSE)</f>
        <v>Gujarat</v>
      </c>
      <c r="D534" s="2" t="str">
        <f>VLOOKUP(C534,'Target PLF'!$I$2:$J$19,2,FALSE)</f>
        <v>WR</v>
      </c>
      <c r="E534" s="2" t="str">
        <f>VLOOKUP(A534,[2]Ownership!$C$2:$D$666,2,FALSE)</f>
        <v>STATE SECTOR</v>
      </c>
      <c r="F534" s="2" t="s">
        <v>549</v>
      </c>
      <c r="G534" s="12">
        <v>38.176591375770002</v>
      </c>
      <c r="H534" s="2">
        <v>210</v>
      </c>
      <c r="I534" s="2">
        <f>VLOOKUP(A534,'[3]Calculated coal req (reg.)'!$A$2:$I$599,9,FALSE)</f>
        <v>2.11898922983208</v>
      </c>
      <c r="J534" s="2"/>
      <c r="K534" s="11">
        <v>0.42043437099842862</v>
      </c>
      <c r="L534" s="3">
        <f>VLOOKUP(F534,'Target PLF'!$A$2:$B$11,2,FALSE)</f>
        <v>0.55000000000000004</v>
      </c>
      <c r="M534" s="3">
        <f t="shared" si="414"/>
        <v>0.12956562900157143</v>
      </c>
      <c r="N534" s="2" t="str">
        <f t="shared" si="397"/>
        <v>0.25</v>
      </c>
      <c r="O534" s="2">
        <f t="shared" si="396"/>
        <v>9.3858768158399517</v>
      </c>
      <c r="P534" s="2">
        <f t="shared" si="398"/>
        <v>719427.45793413231</v>
      </c>
      <c r="Q534" s="2">
        <f t="shared" si="399"/>
        <v>15.362552281827513</v>
      </c>
      <c r="R534" s="2">
        <f t="shared" si="400"/>
        <v>2.7719999999999998</v>
      </c>
      <c r="S534" s="2"/>
      <c r="T534" s="2" t="str">
        <f>VLOOKUP(A534,'[4]CEA vs MERIT comp. &amp; NPA marker'!$C$2:$K$735,9,FALSE)</f>
        <v>Contracted</v>
      </c>
      <c r="U534" s="3">
        <f>VLOOKUP(B534,'[8]Import-Domestic share'!$A$208:$F$406,6,FALSE)</f>
        <v>0.10571332468406133</v>
      </c>
      <c r="V534" s="3">
        <f t="shared" si="401"/>
        <v>76053.068447219805</v>
      </c>
      <c r="W534" s="2">
        <f t="shared" si="402"/>
        <v>3357.1152769850914</v>
      </c>
      <c r="X534" s="2">
        <f t="shared" si="403"/>
        <v>3399.9459424428956</v>
      </c>
      <c r="Y534" s="6">
        <f t="shared" si="404"/>
        <v>0.2561723173153399</v>
      </c>
      <c r="Z534" s="2"/>
      <c r="AA534" s="2">
        <f t="shared" si="405"/>
        <v>603120.68492323405</v>
      </c>
      <c r="AB534" s="2" t="s">
        <v>576</v>
      </c>
      <c r="AC534" s="12">
        <f>VLOOKUP(B534,[9]Sheet1!$A$2:$B$137,2,FALSE)</f>
        <v>4360.0292448303944</v>
      </c>
      <c r="AD534" s="12">
        <f t="shared" si="406"/>
        <v>915606.14141438284</v>
      </c>
      <c r="AE534" s="2"/>
      <c r="AF534" s="7">
        <f>VLOOKUP($B534,'[9]Subsidiary wise dispatch'!$A$3:$R$138,11,FALSE)*$H534*$O534*365</f>
        <v>0</v>
      </c>
      <c r="AG534" s="7">
        <f>VLOOKUP($B534,'[9]Subsidiary wise dispatch'!$A$3:$R$138,12,FALSE)*$H534*$O534*365</f>
        <v>0</v>
      </c>
      <c r="AH534" s="7">
        <f>VLOOKUP($B534,'[9]Subsidiary wise dispatch'!$A$3:$R$138,13,FALSE)*$H534*$O534*365</f>
        <v>0</v>
      </c>
      <c r="AI534" s="7">
        <f>VLOOKUP($B534,'[9]Subsidiary wise dispatch'!$A$3:$R$138,14,FALSE)*$H534*$O534*365</f>
        <v>0</v>
      </c>
      <c r="AJ534" s="7">
        <f>VLOOKUP($B534,'[9]Subsidiary wise dispatch'!$A$3:$R$138,15,FALSE)*$H534*$O534*365</f>
        <v>0</v>
      </c>
      <c r="AK534" s="7">
        <f>VLOOKUP($B534,'[9]Subsidiary wise dispatch'!$A$3:$R$138,16,FALSE)*$H534*$O534*365</f>
        <v>0</v>
      </c>
      <c r="AL534" s="7">
        <f>VLOOKUP($B534,'[9]Subsidiary wise dispatch'!$A$3:$R$138,17,FALSE)*$H534*$O534*365</f>
        <v>663672.41242266365</v>
      </c>
      <c r="AM534" s="7">
        <f>VLOOKUP($B534,'[9]Subsidiary wise dispatch'!$A$3:$R$138,18,FALSE)*$H534*$O534*365</f>
        <v>55755.045511468648</v>
      </c>
      <c r="AN534" s="15">
        <f t="shared" si="407"/>
        <v>719427.45793413231</v>
      </c>
      <c r="AO534" s="6">
        <v>9.2496856160444826E-2</v>
      </c>
      <c r="AP534" s="11">
        <f t="shared" si="408"/>
        <v>0.19599984199730966</v>
      </c>
      <c r="AQ534" s="11"/>
      <c r="AR534" s="3">
        <f>VLOOKUP(A534,[10]Sheet1!$A$2:$L$542,12,FALSE)</f>
        <v>3.8335382685068899</v>
      </c>
      <c r="AS534" s="3">
        <f t="shared" si="415"/>
        <v>3.3736960528800553</v>
      </c>
      <c r="AT534" s="2"/>
      <c r="AU534" s="2"/>
      <c r="AV534" s="88">
        <f t="shared" si="416"/>
        <v>9.4948284244931569E-2</v>
      </c>
      <c r="AW534" s="32">
        <f t="shared" si="417"/>
        <v>2.8143698411680022E-2</v>
      </c>
      <c r="AX534" s="12">
        <f t="shared" si="409"/>
        <v>260.93213442846405</v>
      </c>
      <c r="AY534" s="12">
        <f t="shared" si="410"/>
        <v>0</v>
      </c>
      <c r="AZ534" s="3">
        <f>VLOOKUP(A534,[5]Analysis!$A$3:$BJ$543,62,FALSE)</f>
        <v>1.0343248125569651</v>
      </c>
      <c r="BA534" s="2">
        <v>81.290000000000006</v>
      </c>
      <c r="BB534" s="2"/>
      <c r="BC534" s="2" t="str">
        <f>VLOOKUP(A534,'[6]FGD status - Jun 2020'!$I$2:$M$449,5,FALSE)</f>
        <v>LoI Placed</v>
      </c>
      <c r="BD534" s="2"/>
      <c r="BE534" s="2" t="str">
        <f>VLOOKUP(A534,'[1]daily coal, energy reqd'!$C$2:$M$599,11,FALSE)</f>
        <v>Y</v>
      </c>
      <c r="BF534" s="2">
        <f t="shared" si="411"/>
        <v>200.28453788346351</v>
      </c>
      <c r="BG534" s="2">
        <f t="shared" si="412"/>
        <v>0</v>
      </c>
      <c r="BH534" s="2">
        <f t="shared" si="432"/>
        <v>31.5</v>
      </c>
      <c r="BI534" s="2">
        <f t="shared" si="433"/>
        <v>16.8</v>
      </c>
      <c r="BK534">
        <f t="shared" si="413"/>
        <v>88.29121790967001</v>
      </c>
      <c r="BL534">
        <f>VLOOKUP(A534,'[11]Daily coal vs energy req.2'!$C$2:$P$599,14,FALSE)</f>
        <v>1.21</v>
      </c>
      <c r="BM534">
        <f>VLOOKUP(A534,'[11]Daily coal vs energy req.2'!$C$2:$R$599,16,FALSE)</f>
        <v>1.24</v>
      </c>
      <c r="BN534">
        <f t="shared" si="434"/>
        <v>254.1</v>
      </c>
      <c r="BO534">
        <f t="shared" si="435"/>
        <v>260.39999999999998</v>
      </c>
      <c r="BP534" s="2" t="str">
        <f>VLOOKUP(A534,'[7]Table 2'!$J$2:$N$449,5,FALSE)</f>
        <v>Feasibility Study completed</v>
      </c>
      <c r="BR534">
        <f t="shared" si="418"/>
        <v>271.98851692962398</v>
      </c>
      <c r="BT534">
        <f>(X534*I534*365*[5]Analysis!BK534)/10^4</f>
        <v>124.71425311124202</v>
      </c>
      <c r="BV534">
        <f>(X534*I534*365*[5]Analysis!BL534)/10^4</f>
        <v>147.274263818382</v>
      </c>
      <c r="BX534">
        <f t="shared" si="419"/>
        <v>738456.0054898971</v>
      </c>
      <c r="BZ534">
        <f t="shared" si="420"/>
        <v>4144077.2334006908</v>
      </c>
      <c r="CB534">
        <f t="shared" si="421"/>
        <v>-96076.886974737165</v>
      </c>
      <c r="CD534">
        <f t="shared" si="422"/>
        <v>0</v>
      </c>
      <c r="CF534">
        <f t="shared" si="423"/>
        <v>1381037.4571130644</v>
      </c>
      <c r="CH534">
        <f t="shared" si="424"/>
        <v>598992.84711828723</v>
      </c>
      <c r="CJ534">
        <f t="shared" si="425"/>
        <v>-267838.11966154509</v>
      </c>
      <c r="CL534">
        <f t="shared" si="426"/>
        <v>554100.17731944227</v>
      </c>
    </row>
    <row r="535" spans="1:90" x14ac:dyDescent="0.2">
      <c r="A535" s="2" t="s">
        <v>485</v>
      </c>
      <c r="B535" s="2" t="str">
        <f t="shared" si="431"/>
        <v>WANAKBORI TPS</v>
      </c>
      <c r="C535" s="2" t="str">
        <f>VLOOKUP($A535,'[1]daily coal, energy reqd'!$C$2:$T$599,17,FALSE)</f>
        <v>Gujarat</v>
      </c>
      <c r="D535" s="2" t="str">
        <f>VLOOKUP(C535,'Target PLF'!$I$2:$J$19,2,FALSE)</f>
        <v>WR</v>
      </c>
      <c r="E535" s="2" t="str">
        <f>VLOOKUP(A535,[2]Ownership!$C$2:$D$666,2,FALSE)</f>
        <v>STATE SECTOR</v>
      </c>
      <c r="F535" s="2" t="s">
        <v>549</v>
      </c>
      <c r="G535" s="12">
        <v>37.338809034907598</v>
      </c>
      <c r="H535" s="2">
        <v>210</v>
      </c>
      <c r="I535" s="2">
        <f>VLOOKUP(A535,'[3]Calculated coal req (reg.)'!$A$2:$I$599,9,FALSE)</f>
        <v>2.2261808045976998</v>
      </c>
      <c r="J535" s="2"/>
      <c r="K535" s="11">
        <v>0.44170254059478176</v>
      </c>
      <c r="L535" s="3">
        <f>VLOOKUP(F535,'Target PLF'!$A$2:$B$11,2,FALSE)</f>
        <v>0.55000000000000004</v>
      </c>
      <c r="M535" s="3">
        <f t="shared" si="414"/>
        <v>0.10829745940521829</v>
      </c>
      <c r="N535" s="2" t="str">
        <f t="shared" si="397"/>
        <v>0.25</v>
      </c>
      <c r="O535" s="2">
        <f t="shared" si="396"/>
        <v>9.6552504842380742</v>
      </c>
      <c r="P535" s="2">
        <f t="shared" si="398"/>
        <v>740074.94961684837</v>
      </c>
      <c r="Q535" s="2">
        <f t="shared" si="399"/>
        <v>15.336015526180697</v>
      </c>
      <c r="R535" s="2">
        <f t="shared" si="400"/>
        <v>2.7719999999999998</v>
      </c>
      <c r="S535" s="2"/>
      <c r="T535" s="2" t="str">
        <f>VLOOKUP(A535,'[4]CEA vs MERIT comp. &amp; NPA marker'!$C$2:$K$735,9,FALSE)</f>
        <v>Contracted</v>
      </c>
      <c r="U535" s="3">
        <f>VLOOKUP(B535,'[8]Import-Domestic share'!$A$208:$F$406,6,FALSE)</f>
        <v>0.10571332468406133</v>
      </c>
      <c r="V535" s="3">
        <f t="shared" si="401"/>
        <v>78235.783439386214</v>
      </c>
      <c r="W535" s="2">
        <f t="shared" si="402"/>
        <v>3350.7141700117859</v>
      </c>
      <c r="X535" s="2">
        <f t="shared" si="403"/>
        <v>3386.51419112432</v>
      </c>
      <c r="Y535" s="6">
        <f t="shared" si="404"/>
        <v>0.256661701465564</v>
      </c>
      <c r="Z535" s="2"/>
      <c r="AA535" s="2">
        <f t="shared" si="405"/>
        <v>631127.05194280331</v>
      </c>
      <c r="AB535" s="2" t="s">
        <v>576</v>
      </c>
      <c r="AC535" s="12">
        <f>VLOOKUP(B535,[9]Sheet1!$A$2:$B$137,2,FALSE)</f>
        <v>4360.0292448303944</v>
      </c>
      <c r="AD535" s="12">
        <f t="shared" si="406"/>
        <v>915606.14141438284</v>
      </c>
      <c r="AE535" s="2"/>
      <c r="AF535" s="7">
        <f>VLOOKUP($B535,'[9]Subsidiary wise dispatch'!$A$3:$R$138,11,FALSE)*$H535*$O535*365</f>
        <v>0</v>
      </c>
      <c r="AG535" s="7">
        <f>VLOOKUP($B535,'[9]Subsidiary wise dispatch'!$A$3:$R$138,12,FALSE)*$H535*$O535*365</f>
        <v>0</v>
      </c>
      <c r="AH535" s="7">
        <f>VLOOKUP($B535,'[9]Subsidiary wise dispatch'!$A$3:$R$138,13,FALSE)*$H535*$O535*365</f>
        <v>0</v>
      </c>
      <c r="AI535" s="7">
        <f>VLOOKUP($B535,'[9]Subsidiary wise dispatch'!$A$3:$R$138,14,FALSE)*$H535*$O535*365</f>
        <v>0</v>
      </c>
      <c r="AJ535" s="7">
        <f>VLOOKUP($B535,'[9]Subsidiary wise dispatch'!$A$3:$R$138,15,FALSE)*$H535*$O535*365</f>
        <v>0</v>
      </c>
      <c r="AK535" s="7">
        <f>VLOOKUP($B535,'[9]Subsidiary wise dispatch'!$A$3:$R$138,16,FALSE)*$H535*$O535*365</f>
        <v>0</v>
      </c>
      <c r="AL535" s="7">
        <f>VLOOKUP($B535,'[9]Subsidiary wise dispatch'!$A$3:$R$138,17,FALSE)*$H535*$O535*365</f>
        <v>682719.74021703831</v>
      </c>
      <c r="AM535" s="7">
        <f>VLOOKUP($B535,'[9]Subsidiary wise dispatch'!$A$3:$R$138,18,FALSE)*$H535*$O535*365</f>
        <v>57355.209399810126</v>
      </c>
      <c r="AN535" s="15">
        <f t="shared" si="407"/>
        <v>740074.94961684849</v>
      </c>
      <c r="AO535" s="6">
        <v>9.2496856160444826E-2</v>
      </c>
      <c r="AP535" s="11">
        <f t="shared" si="408"/>
        <v>0.20591472567001678</v>
      </c>
      <c r="AQ535" s="11"/>
      <c r="AR535" s="3">
        <f>VLOOKUP(A535,[10]Sheet1!$A$2:$L$542,12,FALSE)</f>
        <v>3.8335382685068899</v>
      </c>
      <c r="AS535" s="3">
        <f t="shared" si="415"/>
        <v>3.3661159390269857</v>
      </c>
      <c r="AT535" s="2"/>
      <c r="AU535" s="2"/>
      <c r="AV535" s="88">
        <f t="shared" si="416"/>
        <v>7.9362544201332069E-2</v>
      </c>
      <c r="AW535" s="32">
        <f t="shared" si="417"/>
        <v>2.3576889696875006E-2</v>
      </c>
      <c r="AX535" s="12">
        <f t="shared" si="409"/>
        <v>273.5157681671966</v>
      </c>
      <c r="AY535" s="12">
        <f t="shared" si="410"/>
        <v>0</v>
      </c>
      <c r="AZ535" s="3">
        <f>VLOOKUP(A535,[5]Analysis!$A$3:$BJ$543,62,FALSE)</f>
        <v>1.0343248125569651</v>
      </c>
      <c r="BA535" s="2">
        <v>81.290000000000006</v>
      </c>
      <c r="BB535" s="2"/>
      <c r="BC535" s="2" t="str">
        <f>VLOOKUP(A535,'[6]FGD status - Jun 2020'!$I$2:$M$449,5,FALSE)</f>
        <v>LoI Placed</v>
      </c>
      <c r="BD535" s="2"/>
      <c r="BE535" s="2" t="str">
        <f>VLOOKUP(A535,'[1]daily coal, energy reqd'!$C$2:$M$599,11,FALSE)</f>
        <v>Y</v>
      </c>
      <c r="BF535" s="2">
        <f t="shared" si="411"/>
        <v>209.58490249792379</v>
      </c>
      <c r="BG535" s="2">
        <f t="shared" si="412"/>
        <v>0</v>
      </c>
      <c r="BH535" s="2">
        <f t="shared" si="432"/>
        <v>31.5</v>
      </c>
      <c r="BI535" s="2">
        <f t="shared" si="433"/>
        <v>16.8</v>
      </c>
      <c r="BK535">
        <f t="shared" si="413"/>
        <v>92.757533524904176</v>
      </c>
      <c r="BL535">
        <f>VLOOKUP(A535,'[11]Daily coal vs energy req.2'!$C$2:$P$599,14,FALSE)</f>
        <v>1.08</v>
      </c>
      <c r="BM535">
        <f>VLOOKUP(A535,'[11]Daily coal vs energy req.2'!$C$2:$R$599,16,FALSE)</f>
        <v>1.3</v>
      </c>
      <c r="BN535">
        <f t="shared" si="434"/>
        <v>226.8</v>
      </c>
      <c r="BO535">
        <f t="shared" si="435"/>
        <v>273</v>
      </c>
      <c r="BP535" s="2" t="str">
        <f>VLOOKUP(A535,'[7]Table 2'!$J$2:$N$449,5,FALSE)</f>
        <v>Feasibility Study completed</v>
      </c>
      <c r="BR535">
        <f t="shared" si="418"/>
        <v>284.6185102637258</v>
      </c>
      <c r="BT535">
        <f>(X535*I535*365*[5]Analysis!BK535)/10^4</f>
        <v>130.50545416356451</v>
      </c>
      <c r="BV535">
        <f>(X535*I535*365*[5]Analysis!BL535)/10^4</f>
        <v>154.11305610016132</v>
      </c>
      <c r="BX535">
        <f t="shared" si="419"/>
        <v>772746.77089481335</v>
      </c>
      <c r="BZ535">
        <f t="shared" si="420"/>
        <v>4353710.2784132771</v>
      </c>
      <c r="CB535">
        <f t="shared" si="421"/>
        <v>-106043.06983352444</v>
      </c>
      <c r="CD535">
        <f t="shared" si="422"/>
        <v>0</v>
      </c>
      <c r="CF535">
        <f t="shared" si="423"/>
        <v>1450898.8692213211</v>
      </c>
      <c r="CH535">
        <f t="shared" si="424"/>
        <v>615483.8087861035</v>
      </c>
      <c r="CJ535">
        <f t="shared" si="425"/>
        <v>-281387.02752034465</v>
      </c>
      <c r="CL535">
        <f t="shared" si="426"/>
        <v>582129.98971706687</v>
      </c>
    </row>
    <row r="536" spans="1:90" x14ac:dyDescent="0.2">
      <c r="A536" s="2" t="s">
        <v>472</v>
      </c>
      <c r="B536" s="2" t="str">
        <f t="shared" si="431"/>
        <v>WANAKBORI TPS</v>
      </c>
      <c r="C536" s="2" t="str">
        <f>VLOOKUP($A536,'[1]daily coal, energy reqd'!$C$2:$T$599,17,FALSE)</f>
        <v>Gujarat</v>
      </c>
      <c r="D536" s="2" t="str">
        <f>VLOOKUP(C536,'Target PLF'!$I$2:$J$19,2,FALSE)</f>
        <v>WR</v>
      </c>
      <c r="E536" s="2" t="str">
        <f>VLOOKUP(A536,[2]Ownership!$C$2:$D$666,2,FALSE)</f>
        <v>STATE SECTOR</v>
      </c>
      <c r="F536" s="2" t="s">
        <v>549</v>
      </c>
      <c r="G536" s="12">
        <v>36.175222450376403</v>
      </c>
      <c r="H536" s="2">
        <v>210</v>
      </c>
      <c r="I536" s="2">
        <f>VLOOKUP(A536,'[3]Calculated coal req (reg.)'!$A$2:$I$599,9,FALSE)</f>
        <v>3.4454878190308702</v>
      </c>
      <c r="J536" s="2"/>
      <c r="K536" s="11">
        <v>0.68362853552199798</v>
      </c>
      <c r="L536" s="3">
        <f>VLOOKUP(F536,'Target PLF'!$A$2:$B$11,2,FALSE)</f>
        <v>0.55000000000000004</v>
      </c>
      <c r="M536" s="3">
        <f t="shared" si="414"/>
        <v>-0.13362853552199794</v>
      </c>
      <c r="N536" s="2" t="str">
        <f t="shared" si="397"/>
        <v>0.25</v>
      </c>
      <c r="O536" s="2">
        <f t="shared" si="396"/>
        <v>12.984382824393887</v>
      </c>
      <c r="P536" s="2">
        <f t="shared" si="398"/>
        <v>995252.94348979148</v>
      </c>
      <c r="Q536" s="2">
        <f t="shared" si="399"/>
        <v>15.299158921115671</v>
      </c>
      <c r="R536" s="2">
        <f t="shared" si="400"/>
        <v>2.7719999999999998</v>
      </c>
      <c r="S536" s="2"/>
      <c r="T536" s="2" t="str">
        <f>VLOOKUP(A536,'[4]CEA vs MERIT comp. &amp; NPA marker'!$C$2:$K$735,9,FALSE)</f>
        <v>Contracted</v>
      </c>
      <c r="U536" s="3">
        <f>VLOOKUP(B536,'[8]Import-Domestic share'!$A$208:$F$406,6,FALSE)</f>
        <v>0.10571332468406133</v>
      </c>
      <c r="V536" s="3">
        <f t="shared" si="401"/>
        <v>105211.49755790406</v>
      </c>
      <c r="W536" s="2">
        <f t="shared" si="402"/>
        <v>3341.8237436599716</v>
      </c>
      <c r="X536" s="2">
        <f t="shared" si="403"/>
        <v>3297.6499983182221</v>
      </c>
      <c r="Y536" s="6">
        <f t="shared" si="404"/>
        <v>0.25734451184972623</v>
      </c>
      <c r="Z536" s="2"/>
      <c r="AA536" s="2">
        <f t="shared" si="405"/>
        <v>951171.30547876062</v>
      </c>
      <c r="AB536" s="2" t="s">
        <v>576</v>
      </c>
      <c r="AC536" s="12">
        <f>VLOOKUP(B536,[9]Sheet1!$A$2:$B$137,2,FALSE)</f>
        <v>4360.0292448303944</v>
      </c>
      <c r="AD536" s="12">
        <f t="shared" si="406"/>
        <v>915606.14141438284</v>
      </c>
      <c r="AE536" s="2"/>
      <c r="AF536" s="7">
        <f>VLOOKUP($B536,'[9]Subsidiary wise dispatch'!$A$3:$R$138,11,FALSE)*$H536*$O536*365</f>
        <v>0</v>
      </c>
      <c r="AG536" s="7">
        <f>VLOOKUP($B536,'[9]Subsidiary wise dispatch'!$A$3:$R$138,12,FALSE)*$H536*$O536*365</f>
        <v>0</v>
      </c>
      <c r="AH536" s="7">
        <f>VLOOKUP($B536,'[9]Subsidiary wise dispatch'!$A$3:$R$138,13,FALSE)*$H536*$O536*365</f>
        <v>0</v>
      </c>
      <c r="AI536" s="7">
        <f>VLOOKUP($B536,'[9]Subsidiary wise dispatch'!$A$3:$R$138,14,FALSE)*$H536*$O536*365</f>
        <v>0</v>
      </c>
      <c r="AJ536" s="7">
        <f>VLOOKUP($B536,'[9]Subsidiary wise dispatch'!$A$3:$R$138,15,FALSE)*$H536*$O536*365</f>
        <v>0</v>
      </c>
      <c r="AK536" s="7">
        <f>VLOOKUP($B536,'[9]Subsidiary wise dispatch'!$A$3:$R$138,16,FALSE)*$H536*$O536*365</f>
        <v>0</v>
      </c>
      <c r="AL536" s="7">
        <f>VLOOKUP($B536,'[9]Subsidiary wise dispatch'!$A$3:$R$138,17,FALSE)*$H536*$O536*365</f>
        <v>918121.64616755757</v>
      </c>
      <c r="AM536" s="7">
        <f>VLOOKUP($B536,'[9]Subsidiary wise dispatch'!$A$3:$R$138,18,FALSE)*$H536*$O536*365</f>
        <v>77131.297322233877</v>
      </c>
      <c r="AN536" s="15">
        <f t="shared" si="407"/>
        <v>995252.94348979148</v>
      </c>
      <c r="AO536" s="6">
        <v>9.2496856160444826E-2</v>
      </c>
      <c r="AP536" s="11">
        <f t="shared" si="408"/>
        <v>0.31869679119946315</v>
      </c>
      <c r="AQ536" s="11"/>
      <c r="AR536" s="3">
        <f>VLOOKUP(A536,[10]Sheet1!$A$2:$L$542,12,FALSE)</f>
        <v>3.8335382685068899</v>
      </c>
      <c r="AS536" s="3">
        <f t="shared" si="415"/>
        <v>3.3483915823991994</v>
      </c>
      <c r="AT536" s="2"/>
      <c r="AU536" s="2"/>
      <c r="AV536" s="88">
        <f t="shared" si="416"/>
        <v>-9.7925663401230531E-2</v>
      </c>
      <c r="AW536" s="32">
        <f t="shared" si="417"/>
        <v>2.9245582839228304E-2</v>
      </c>
      <c r="AX536" s="12">
        <f t="shared" si="409"/>
        <v>421.09474798332087</v>
      </c>
      <c r="AY536" s="12">
        <f t="shared" si="410"/>
        <v>0</v>
      </c>
      <c r="AZ536" s="3">
        <f>VLOOKUP(A536,[5]Analysis!$A$3:$BJ$543,62,FALSE)</f>
        <v>1.0343248125569651</v>
      </c>
      <c r="BA536" s="2">
        <v>81.290000000000006</v>
      </c>
      <c r="BB536" s="2"/>
      <c r="BC536" s="2" t="str">
        <f>VLOOKUP(A536,'[6]FGD status - Jun 2020'!$I$2:$M$449,5,FALSE)</f>
        <v>LoI Placed</v>
      </c>
      <c r="BD536" s="2"/>
      <c r="BE536" s="2" t="str">
        <f>VLOOKUP(A536,'[1]daily coal, energy reqd'!$C$2:$M$599,11,FALSE)</f>
        <v>Y</v>
      </c>
      <c r="BF536" s="2">
        <f t="shared" si="411"/>
        <v>315.86531539715298</v>
      </c>
      <c r="BG536" s="2">
        <f t="shared" si="412"/>
        <v>0</v>
      </c>
      <c r="BH536" s="2">
        <f t="shared" si="432"/>
        <v>31.5</v>
      </c>
      <c r="BI536" s="2">
        <f t="shared" si="433"/>
        <v>16.8</v>
      </c>
      <c r="BK536">
        <f t="shared" si="413"/>
        <v>143.56199245961957</v>
      </c>
      <c r="BL536">
        <f>VLOOKUP(A536,'[11]Daily coal vs energy req.2'!$C$2:$P$599,14,FALSE)</f>
        <v>1.02</v>
      </c>
      <c r="BM536">
        <f>VLOOKUP(A536,'[11]Daily coal vs energy req.2'!$C$2:$R$599,16,FALSE)</f>
        <v>1.24</v>
      </c>
      <c r="BN536">
        <f t="shared" si="434"/>
        <v>214.20000000000002</v>
      </c>
      <c r="BO536">
        <f t="shared" si="435"/>
        <v>260.39999999999998</v>
      </c>
      <c r="BP536" s="2" t="str">
        <f>VLOOKUP(A536,'[7]Table 2'!$J$2:$N$449,5,FALSE)</f>
        <v>Feasibility Study completed</v>
      </c>
      <c r="BR536">
        <f t="shared" si="418"/>
        <v>428.94843302565727</v>
      </c>
      <c r="BT536">
        <f>(X536*I536*365*[5]Analysis!BK536)/10^4</f>
        <v>196.68471320748571</v>
      </c>
      <c r="BV536">
        <f>(X536*I536*365*[5]Analysis!BL536)/10^4</f>
        <v>232.26371981817164</v>
      </c>
      <c r="BX536">
        <f t="shared" si="419"/>
        <v>1164606.3223148419</v>
      </c>
      <c r="BZ536">
        <f t="shared" si="420"/>
        <v>6738291.7420192473</v>
      </c>
      <c r="CB536">
        <f t="shared" si="421"/>
        <v>-254017.04641803369</v>
      </c>
      <c r="CD536">
        <f t="shared" si="422"/>
        <v>0</v>
      </c>
      <c r="CF536">
        <f t="shared" si="423"/>
        <v>2245574.2903825459</v>
      </c>
      <c r="CH536">
        <f t="shared" si="424"/>
        <v>922906.41924329509</v>
      </c>
      <c r="CJ536">
        <f t="shared" si="425"/>
        <v>-435506.21483768296</v>
      </c>
      <c r="CL536">
        <f t="shared" si="426"/>
        <v>900969.85137969512</v>
      </c>
    </row>
    <row r="537" spans="1:90" x14ac:dyDescent="0.2">
      <c r="A537" s="2" t="s">
        <v>455</v>
      </c>
      <c r="B537" s="2" t="str">
        <f t="shared" si="431"/>
        <v>WANAKBORI TPS</v>
      </c>
      <c r="C537" s="2" t="str">
        <f>VLOOKUP($A537,'[1]daily coal, energy reqd'!$C$2:$T$599,17,FALSE)</f>
        <v>Gujarat</v>
      </c>
      <c r="D537" s="2" t="str">
        <f>VLOOKUP(C537,'Target PLF'!$I$2:$J$19,2,FALSE)</f>
        <v>WR</v>
      </c>
      <c r="E537" s="2" t="str">
        <f>VLOOKUP(A537,[2]Ownership!$C$2:$D$666,2,FALSE)</f>
        <v>STATE SECTOR</v>
      </c>
      <c r="F537" s="2" t="s">
        <v>548</v>
      </c>
      <c r="G537" s="12">
        <v>34.176591375770002</v>
      </c>
      <c r="H537" s="2">
        <v>210</v>
      </c>
      <c r="I537" s="2">
        <f>VLOOKUP(A537,'[3]Calculated coal req (reg.)'!$A$2:$I$599,9,FALSE)</f>
        <v>3.0217055915744102</v>
      </c>
      <c r="J537" s="2"/>
      <c r="K537" s="11">
        <v>0.59954476023301795</v>
      </c>
      <c r="L537" s="3">
        <f>VLOOKUP(F537,'Target PLF'!$A$2:$B$11,2,FALSE)</f>
        <v>0.6</v>
      </c>
      <c r="M537" s="3">
        <f t="shared" si="414"/>
        <v>4.5523976698202961E-4</v>
      </c>
      <c r="N537" s="2" t="str">
        <f t="shared" si="397"/>
        <v>0.25</v>
      </c>
      <c r="O537" s="2">
        <f t="shared" si="396"/>
        <v>11.751193394377564</v>
      </c>
      <c r="P537" s="2">
        <f t="shared" si="398"/>
        <v>900728.97367904033</v>
      </c>
      <c r="Q537" s="2">
        <f t="shared" si="399"/>
        <v>15.235852281827514</v>
      </c>
      <c r="R537" s="2">
        <f t="shared" si="400"/>
        <v>3.024</v>
      </c>
      <c r="S537" s="2"/>
      <c r="T537" s="2" t="str">
        <f>VLOOKUP(A537,'[4]CEA vs MERIT comp. &amp; NPA marker'!$C$2:$K$735,9,FALSE)</f>
        <v>Contracted</v>
      </c>
      <c r="U537" s="3">
        <f>VLOOKUP(B537,'[8]Import-Domestic share'!$A$208:$F$406,6,FALSE)</f>
        <v>0.10571332468406133</v>
      </c>
      <c r="V537" s="3">
        <f t="shared" si="401"/>
        <v>95219.054446873721</v>
      </c>
      <c r="W537" s="2">
        <f t="shared" si="402"/>
        <v>3310.0245689850913</v>
      </c>
      <c r="X537" s="2">
        <f t="shared" si="403"/>
        <v>3310.1750581411502</v>
      </c>
      <c r="Y537" s="6">
        <f t="shared" si="404"/>
        <v>0.25981680258756823</v>
      </c>
      <c r="Z537" s="2"/>
      <c r="AA537" s="2">
        <f t="shared" si="405"/>
        <v>837349.12795808306</v>
      </c>
      <c r="AB537" s="2" t="s">
        <v>576</v>
      </c>
      <c r="AC537" s="12">
        <f>VLOOKUP(B537,[9]Sheet1!$A$2:$B$137,2,FALSE)</f>
        <v>4360.0292448303944</v>
      </c>
      <c r="AD537" s="12">
        <f t="shared" si="406"/>
        <v>915606.14141438284</v>
      </c>
      <c r="AE537" s="2"/>
      <c r="AF537" s="7">
        <f>VLOOKUP($B537,'[9]Subsidiary wise dispatch'!$A$3:$R$138,11,FALSE)*$H537*$O537*365</f>
        <v>0</v>
      </c>
      <c r="AG537" s="7">
        <f>VLOOKUP($B537,'[9]Subsidiary wise dispatch'!$A$3:$R$138,12,FALSE)*$H537*$O537*365</f>
        <v>0</v>
      </c>
      <c r="AH537" s="7">
        <f>VLOOKUP($B537,'[9]Subsidiary wise dispatch'!$A$3:$R$138,13,FALSE)*$H537*$O537*365</f>
        <v>0</v>
      </c>
      <c r="AI537" s="7">
        <f>VLOOKUP($B537,'[9]Subsidiary wise dispatch'!$A$3:$R$138,14,FALSE)*$H537*$O537*365</f>
        <v>0</v>
      </c>
      <c r="AJ537" s="7">
        <f>VLOOKUP($B537,'[9]Subsidiary wise dispatch'!$A$3:$R$138,15,FALSE)*$H537*$O537*365</f>
        <v>0</v>
      </c>
      <c r="AK537" s="7">
        <f>VLOOKUP($B537,'[9]Subsidiary wise dispatch'!$A$3:$R$138,16,FALSE)*$H537*$O537*365</f>
        <v>0</v>
      </c>
      <c r="AL537" s="7">
        <f>VLOOKUP($B537,'[9]Subsidiary wise dispatch'!$A$3:$R$138,17,FALSE)*$H537*$O537*365</f>
        <v>830923.20748659794</v>
      </c>
      <c r="AM537" s="7">
        <f>VLOOKUP($B537,'[9]Subsidiary wise dispatch'!$A$3:$R$138,18,FALSE)*$H537*$O537*365</f>
        <v>69805.766192442563</v>
      </c>
      <c r="AN537" s="15">
        <f t="shared" si="407"/>
        <v>900728.97367904056</v>
      </c>
      <c r="AO537" s="6">
        <v>9.2496856160444826E-2</v>
      </c>
      <c r="AP537" s="11">
        <f t="shared" si="408"/>
        <v>0.27949826746307005</v>
      </c>
      <c r="AQ537" s="11"/>
      <c r="AR537" s="3">
        <f>VLOOKUP(A537,[10]Sheet1!$A$2:$L$542,12,FALSE)</f>
        <v>3.8335382685068899</v>
      </c>
      <c r="AS537" s="3">
        <f t="shared" si="415"/>
        <v>3.3348765372391265</v>
      </c>
      <c r="AT537" s="2"/>
      <c r="AU537" s="2"/>
      <c r="AV537" s="88">
        <f t="shared" si="416"/>
        <v>3.3360880603977095E-4</v>
      </c>
      <c r="AW537" s="32">
        <f t="shared" si="417"/>
        <v>1.0003632887589854E-4</v>
      </c>
      <c r="AX537" s="12">
        <f t="shared" si="409"/>
        <v>367.8110504121808</v>
      </c>
      <c r="AY537" s="12">
        <f t="shared" si="410"/>
        <v>0</v>
      </c>
      <c r="AZ537" s="3">
        <f>VLOOKUP(A537,[5]Analysis!$A$3:$BJ$543,62,FALSE)</f>
        <v>1.0343248125569651</v>
      </c>
      <c r="BA537" s="2">
        <v>81.290000000000006</v>
      </c>
      <c r="BB537" s="2"/>
      <c r="BC537" s="2" t="str">
        <f>VLOOKUP(A537,'[6]FGD status - Jun 2020'!$I$2:$M$449,5,FALSE)</f>
        <v>LoI Placed</v>
      </c>
      <c r="BD537" s="2"/>
      <c r="BE537" s="2" t="str">
        <f>VLOOKUP(A537,'[1]daily coal, energy reqd'!$C$2:$M$599,11,FALSE)</f>
        <v>Y</v>
      </c>
      <c r="BF537" s="2">
        <f t="shared" si="411"/>
        <v>278.06720500980975</v>
      </c>
      <c r="BG537" s="2">
        <f t="shared" si="412"/>
        <v>0</v>
      </c>
      <c r="BH537" s="2">
        <f t="shared" si="432"/>
        <v>31.5</v>
      </c>
      <c r="BI537" s="2">
        <f t="shared" si="433"/>
        <v>16.8</v>
      </c>
      <c r="BK537">
        <f t="shared" si="413"/>
        <v>125.90439964893378</v>
      </c>
      <c r="BL537">
        <f>VLOOKUP(A537,'[11]Daily coal vs energy req.2'!$C$2:$P$599,14,FALSE)</f>
        <v>1.46</v>
      </c>
      <c r="BM537">
        <f>VLOOKUP(A537,'[11]Daily coal vs energy req.2'!$C$2:$R$599,16,FALSE)</f>
        <v>1.46</v>
      </c>
      <c r="BN537">
        <f t="shared" si="434"/>
        <v>306.59999999999997</v>
      </c>
      <c r="BO537">
        <f t="shared" si="435"/>
        <v>306.59999999999997</v>
      </c>
      <c r="BP537" s="2" t="str">
        <f>VLOOKUP(A537,'[7]Table 2'!$J$2:$N$449,5,FALSE)</f>
        <v>Feasibility Study completed</v>
      </c>
      <c r="BR537">
        <f t="shared" si="418"/>
        <v>377.61820006989342</v>
      </c>
      <c r="BT537">
        <f>(X537*I537*365*[5]Analysis!BK537)/10^4</f>
        <v>173.14838256614271</v>
      </c>
      <c r="BV537">
        <f>(X537*I537*365*[5]Analysis!BL537)/10^4</f>
        <v>204.46981750375076</v>
      </c>
      <c r="BX537">
        <f t="shared" si="419"/>
        <v>1025243.3844332142</v>
      </c>
      <c r="BZ537">
        <f t="shared" si="420"/>
        <v>5909506.8402378829</v>
      </c>
      <c r="CB537">
        <f t="shared" si="421"/>
        <v>-195373.52877724686</v>
      </c>
      <c r="CD537">
        <f t="shared" si="422"/>
        <v>0</v>
      </c>
      <c r="CF537">
        <f t="shared" si="423"/>
        <v>1969376.9782222768</v>
      </c>
      <c r="CH537">
        <f t="shared" si="424"/>
        <v>764674.54191994807</v>
      </c>
      <c r="CJ537">
        <f t="shared" si="425"/>
        <v>-381940.56506941392</v>
      </c>
      <c r="CL537">
        <f t="shared" si="426"/>
        <v>790153.90004186751</v>
      </c>
    </row>
    <row r="538" spans="1:90" x14ac:dyDescent="0.2">
      <c r="A538" s="2" t="s">
        <v>453</v>
      </c>
      <c r="B538" s="2" t="str">
        <f t="shared" si="431"/>
        <v>WANAKBORI TPS</v>
      </c>
      <c r="C538" s="2" t="str">
        <f>VLOOKUP($A538,'[1]daily coal, energy reqd'!$C$2:$T$599,17,FALSE)</f>
        <v>Gujarat</v>
      </c>
      <c r="D538" s="2" t="str">
        <f>VLOOKUP(C538,'Target PLF'!$I$2:$J$19,2,FALSE)</f>
        <v>WR</v>
      </c>
      <c r="E538" s="2" t="str">
        <f>VLOOKUP(A538,[2]Ownership!$C$2:$D$666,2,FALSE)</f>
        <v>STATE SECTOR</v>
      </c>
      <c r="F538" s="2" t="s">
        <v>548</v>
      </c>
      <c r="G538" s="12">
        <v>33.672826830937701</v>
      </c>
      <c r="H538" s="2">
        <v>210</v>
      </c>
      <c r="I538" s="2">
        <f>VLOOKUP(A538,'[3]Calculated coal req (reg.)'!$A$2:$I$599,9,FALSE)</f>
        <v>2.8977259441707699</v>
      </c>
      <c r="J538" s="2"/>
      <c r="K538" s="11">
        <v>0.57494562384340664</v>
      </c>
      <c r="L538" s="3">
        <f>VLOOKUP(F538,'Target PLF'!$A$2:$B$11,2,FALSE)</f>
        <v>0.6</v>
      </c>
      <c r="M538" s="3">
        <f t="shared" si="414"/>
        <v>2.5054376156593339E-2</v>
      </c>
      <c r="N538" s="2" t="str">
        <f t="shared" si="397"/>
        <v>0.25</v>
      </c>
      <c r="O538" s="2">
        <f t="shared" si="396"/>
        <v>11.39298148809042</v>
      </c>
      <c r="P538" s="2">
        <f t="shared" si="398"/>
        <v>873272.0310621307</v>
      </c>
      <c r="Q538" s="2">
        <f t="shared" si="399"/>
        <v>15.219895539869951</v>
      </c>
      <c r="R538" s="2">
        <f t="shared" si="400"/>
        <v>3.024</v>
      </c>
      <c r="S538" s="2"/>
      <c r="T538" s="2" t="str">
        <f>VLOOKUP(A538,'[4]CEA vs MERIT comp. &amp; NPA marker'!$C$2:$K$735,9,FALSE)</f>
        <v>Contracted</v>
      </c>
      <c r="U538" s="3">
        <f>VLOOKUP(B538,'[8]Import-Domestic share'!$A$208:$F$406,6,FALSE)</f>
        <v>0.10571332468406133</v>
      </c>
      <c r="V538" s="3">
        <f t="shared" si="401"/>
        <v>92316.489757180723</v>
      </c>
      <c r="W538" s="2">
        <f t="shared" si="402"/>
        <v>3306.1755373410119</v>
      </c>
      <c r="X538" s="2">
        <f t="shared" si="403"/>
        <v>3314.4577925323483</v>
      </c>
      <c r="Y538" s="6">
        <f t="shared" si="404"/>
        <v>0.26011927990116762</v>
      </c>
      <c r="Z538" s="2"/>
      <c r="AA538" s="2">
        <f t="shared" si="405"/>
        <v>804031.87132258702</v>
      </c>
      <c r="AB538" s="2" t="s">
        <v>576</v>
      </c>
      <c r="AC538" s="12">
        <f>VLOOKUP(B538,[9]Sheet1!$A$2:$B$137,2,FALSE)</f>
        <v>4360.0292448303944</v>
      </c>
      <c r="AD538" s="12">
        <f t="shared" si="406"/>
        <v>915606.14141438284</v>
      </c>
      <c r="AE538" s="2"/>
      <c r="AF538" s="7">
        <f>VLOOKUP($B538,'[9]Subsidiary wise dispatch'!$A$3:$R$138,11,FALSE)*$H538*$O538*365</f>
        <v>0</v>
      </c>
      <c r="AG538" s="7">
        <f>VLOOKUP($B538,'[9]Subsidiary wise dispatch'!$A$3:$R$138,12,FALSE)*$H538*$O538*365</f>
        <v>0</v>
      </c>
      <c r="AH538" s="7">
        <f>VLOOKUP($B538,'[9]Subsidiary wise dispatch'!$A$3:$R$138,13,FALSE)*$H538*$O538*365</f>
        <v>0</v>
      </c>
      <c r="AI538" s="7">
        <f>VLOOKUP($B538,'[9]Subsidiary wise dispatch'!$A$3:$R$138,14,FALSE)*$H538*$O538*365</f>
        <v>0</v>
      </c>
      <c r="AJ538" s="7">
        <f>VLOOKUP($B538,'[9]Subsidiary wise dispatch'!$A$3:$R$138,15,FALSE)*$H538*$O538*365</f>
        <v>0</v>
      </c>
      <c r="AK538" s="7">
        <f>VLOOKUP($B538,'[9]Subsidiary wise dispatch'!$A$3:$R$138,16,FALSE)*$H538*$O538*365</f>
        <v>0</v>
      </c>
      <c r="AL538" s="7">
        <f>VLOOKUP($B538,'[9]Subsidiary wise dispatch'!$A$3:$R$138,17,FALSE)*$H538*$O538*365</f>
        <v>805594.15569221461</v>
      </c>
      <c r="AM538" s="7">
        <f>VLOOKUP($B538,'[9]Subsidiary wise dispatch'!$A$3:$R$138,18,FALSE)*$H538*$O538*365</f>
        <v>67677.875369916102</v>
      </c>
      <c r="AN538" s="15">
        <f t="shared" si="407"/>
        <v>873272.0310621307</v>
      </c>
      <c r="AO538" s="6">
        <v>9.2496856160444826E-2</v>
      </c>
      <c r="AP538" s="11">
        <f t="shared" si="408"/>
        <v>0.26803053985035286</v>
      </c>
      <c r="AQ538" s="11"/>
      <c r="AR538" s="3">
        <f>VLOOKUP(A538,[10]Sheet1!$A$2:$L$542,12,FALSE)</f>
        <v>3.8335382685068899</v>
      </c>
      <c r="AS538" s="3">
        <f t="shared" si="415"/>
        <v>3.3315853929420132</v>
      </c>
      <c r="AT538" s="2"/>
      <c r="AU538" s="2"/>
      <c r="AV538" s="88">
        <f t="shared" si="416"/>
        <v>1.8360347935074732E-2</v>
      </c>
      <c r="AW538" s="32">
        <f t="shared" si="417"/>
        <v>5.510994247354805E-3</v>
      </c>
      <c r="AX538" s="12">
        <f t="shared" si="409"/>
        <v>352.3717821347181</v>
      </c>
      <c r="AY538" s="12">
        <f t="shared" si="410"/>
        <v>0</v>
      </c>
      <c r="AZ538" s="3">
        <f>VLOOKUP(A538,[5]Analysis!$A$3:$BJ$543,62,FALSE)</f>
        <v>1.0343248125569651</v>
      </c>
      <c r="BA538" s="2">
        <v>81.290000000000006</v>
      </c>
      <c r="BB538" s="2"/>
      <c r="BC538" s="2" t="str">
        <f>VLOOKUP(A538,'[6]FGD status - Jun 2020'!$I$2:$M$449,5,FALSE)</f>
        <v>LoI Placed</v>
      </c>
      <c r="BD538" s="2"/>
      <c r="BE538" s="2" t="str">
        <f>VLOOKUP(A538,'[1]daily coal, energy reqd'!$C$2:$M$599,11,FALSE)</f>
        <v>Y</v>
      </c>
      <c r="BF538" s="2">
        <f t="shared" si="411"/>
        <v>267.00319822709696</v>
      </c>
      <c r="BG538" s="2">
        <f t="shared" si="412"/>
        <v>0</v>
      </c>
      <c r="BH538" s="2">
        <f t="shared" si="432"/>
        <v>31.5</v>
      </c>
      <c r="BI538" s="2">
        <f t="shared" si="433"/>
        <v>16.8</v>
      </c>
      <c r="BK538">
        <f t="shared" si="413"/>
        <v>120.7385810071154</v>
      </c>
      <c r="BL538">
        <f>VLOOKUP(A538,'[11]Daily coal vs energy req.2'!$C$2:$P$599,14,FALSE)</f>
        <v>1.4</v>
      </c>
      <c r="BM538">
        <f>VLOOKUP(A538,'[11]Daily coal vs energy req.2'!$C$2:$R$599,16,FALSE)</f>
        <v>1.46</v>
      </c>
      <c r="BN538">
        <f t="shared" si="434"/>
        <v>294</v>
      </c>
      <c r="BO538">
        <f t="shared" si="435"/>
        <v>306.59999999999997</v>
      </c>
      <c r="BP538" s="2" t="str">
        <f>VLOOKUP(A538,'[7]Table 2'!$J$2:$N$449,5,FALSE)</f>
        <v>Feasibility Study completed</v>
      </c>
      <c r="BR538">
        <f t="shared" si="418"/>
        <v>362.59316205182961</v>
      </c>
      <c r="BT538">
        <f>(X538*I538*365*[5]Analysis!BK538)/10^4</f>
        <v>166.25898732422633</v>
      </c>
      <c r="BV538">
        <f>(X538*I538*365*[5]Analysis!BL538)/10^4</f>
        <v>196.33417472760334</v>
      </c>
      <c r="BX538">
        <f t="shared" si="419"/>
        <v>984450.00946869631</v>
      </c>
      <c r="BZ538">
        <f t="shared" si="420"/>
        <v>5667041.599274301</v>
      </c>
      <c r="CB538">
        <f t="shared" si="421"/>
        <v>-179670.19640387702</v>
      </c>
      <c r="CD538">
        <f t="shared" si="422"/>
        <v>0</v>
      </c>
      <c r="CF538">
        <f t="shared" si="423"/>
        <v>1888574.0488946624</v>
      </c>
      <c r="CH538">
        <f t="shared" si="424"/>
        <v>722491.30282732262</v>
      </c>
      <c r="CJ538">
        <f t="shared" si="425"/>
        <v>-366269.66161724116</v>
      </c>
      <c r="CL538">
        <f t="shared" si="426"/>
        <v>757734.12950070098</v>
      </c>
    </row>
    <row r="539" spans="1:90" x14ac:dyDescent="0.2">
      <c r="A539" s="2" t="s">
        <v>448</v>
      </c>
      <c r="B539" s="2" t="str">
        <f t="shared" si="431"/>
        <v>WANAKBORI TPS</v>
      </c>
      <c r="C539" s="2" t="str">
        <f>VLOOKUP($A539,'[1]daily coal, energy reqd'!$C$2:$T$599,17,FALSE)</f>
        <v>Gujarat</v>
      </c>
      <c r="D539" s="2" t="str">
        <f>VLOOKUP(C539,'Target PLF'!$I$2:$J$19,2,FALSE)</f>
        <v>WR</v>
      </c>
      <c r="E539" s="2" t="str">
        <f>VLOOKUP(A539,[2]Ownership!$C$2:$D$666,2,FALSE)</f>
        <v>STATE SECTOR</v>
      </c>
      <c r="F539" s="2" t="s">
        <v>548</v>
      </c>
      <c r="G539" s="12">
        <v>32.5065023956194</v>
      </c>
      <c r="H539" s="2">
        <v>210</v>
      </c>
      <c r="I539" s="2">
        <f>VLOOKUP(A539,'[3]Calculated coal req (reg.)'!$A$2:$I$599,9,FALSE)</f>
        <v>2.9243829129367702</v>
      </c>
      <c r="J539" s="2"/>
      <c r="K539" s="11">
        <v>0.58023470494777185</v>
      </c>
      <c r="L539" s="3">
        <f>VLOOKUP(F539,'Target PLF'!$A$2:$B$11,2,FALSE)</f>
        <v>0.6</v>
      </c>
      <c r="M539" s="3">
        <f t="shared" si="414"/>
        <v>1.9765295052228127E-2</v>
      </c>
      <c r="N539" s="2" t="str">
        <f t="shared" si="397"/>
        <v>0.25</v>
      </c>
      <c r="O539" s="2">
        <f t="shared" si="396"/>
        <v>11.42962673373108</v>
      </c>
      <c r="P539" s="2">
        <f t="shared" si="398"/>
        <v>876080.88914048718</v>
      </c>
      <c r="Q539" s="2">
        <f t="shared" si="399"/>
        <v>15.182952213381244</v>
      </c>
      <c r="R539" s="2">
        <f t="shared" si="400"/>
        <v>3.024</v>
      </c>
      <c r="S539" s="2"/>
      <c r="T539" s="2" t="str">
        <f>VLOOKUP(A539,'[4]CEA vs MERIT comp. &amp; NPA marker'!$C$2:$K$735,9,FALSE)</f>
        <v>Contracted</v>
      </c>
      <c r="U539" s="3">
        <f>VLOOKUP(B539,'[8]Import-Domestic share'!$A$208:$F$406,6,FALSE)</f>
        <v>0.10571332468406133</v>
      </c>
      <c r="V539" s="3">
        <f t="shared" si="401"/>
        <v>92613.423483209481</v>
      </c>
      <c r="W539" s="2">
        <f t="shared" si="402"/>
        <v>3297.2641923389583</v>
      </c>
      <c r="X539" s="2">
        <f t="shared" si="403"/>
        <v>3303.7980296427277</v>
      </c>
      <c r="Y539" s="6">
        <f t="shared" si="404"/>
        <v>0.26082229079434111</v>
      </c>
      <c r="Z539" s="2"/>
      <c r="AA539" s="2">
        <f t="shared" si="405"/>
        <v>808818.71119441942</v>
      </c>
      <c r="AB539" s="2" t="s">
        <v>576</v>
      </c>
      <c r="AC539" s="12">
        <f>VLOOKUP(B539,[9]Sheet1!$A$2:$B$137,2,FALSE)</f>
        <v>4360.0292448303944</v>
      </c>
      <c r="AD539" s="12">
        <f t="shared" si="406"/>
        <v>915606.14141438284</v>
      </c>
      <c r="AE539" s="2"/>
      <c r="AF539" s="7">
        <f>VLOOKUP($B539,'[9]Subsidiary wise dispatch'!$A$3:$R$138,11,FALSE)*$H539*$O539*365</f>
        <v>0</v>
      </c>
      <c r="AG539" s="7">
        <f>VLOOKUP($B539,'[9]Subsidiary wise dispatch'!$A$3:$R$138,12,FALSE)*$H539*$O539*365</f>
        <v>0</v>
      </c>
      <c r="AH539" s="7">
        <f>VLOOKUP($B539,'[9]Subsidiary wise dispatch'!$A$3:$R$138,13,FALSE)*$H539*$O539*365</f>
        <v>0</v>
      </c>
      <c r="AI539" s="7">
        <f>VLOOKUP($B539,'[9]Subsidiary wise dispatch'!$A$3:$R$138,14,FALSE)*$H539*$O539*365</f>
        <v>0</v>
      </c>
      <c r="AJ539" s="7">
        <f>VLOOKUP($B539,'[9]Subsidiary wise dispatch'!$A$3:$R$138,15,FALSE)*$H539*$O539*365</f>
        <v>0</v>
      </c>
      <c r="AK539" s="7">
        <f>VLOOKUP($B539,'[9]Subsidiary wise dispatch'!$A$3:$R$138,16,FALSE)*$H539*$O539*365</f>
        <v>0</v>
      </c>
      <c r="AL539" s="7">
        <f>VLOOKUP($B539,'[9]Subsidiary wise dispatch'!$A$3:$R$138,17,FALSE)*$H539*$O539*365</f>
        <v>808185.32954366715</v>
      </c>
      <c r="AM539" s="7">
        <f>VLOOKUP($B539,'[9]Subsidiary wise dispatch'!$A$3:$R$138,18,FALSE)*$H539*$O539*365</f>
        <v>67895.559596820283</v>
      </c>
      <c r="AN539" s="15">
        <f t="shared" si="407"/>
        <v>876080.88914048742</v>
      </c>
      <c r="AO539" s="6">
        <v>9.2496856160444826E-2</v>
      </c>
      <c r="AP539" s="11">
        <f t="shared" si="408"/>
        <v>0.27049622565597509</v>
      </c>
      <c r="AQ539" s="11"/>
      <c r="AR539" s="3">
        <f>VLOOKUP(A539,[10]Sheet1!$A$2:$L$542,12,FALSE)</f>
        <v>3.8335382685068899</v>
      </c>
      <c r="AS539" s="3">
        <f t="shared" si="415"/>
        <v>3.3218567179645131</v>
      </c>
      <c r="AT539" s="2"/>
      <c r="AU539" s="2"/>
      <c r="AV539" s="88">
        <f t="shared" si="416"/>
        <v>1.4484403520173817E-2</v>
      </c>
      <c r="AW539" s="32">
        <f t="shared" si="417"/>
        <v>4.360333617594807E-3</v>
      </c>
      <c r="AX539" s="12">
        <f t="shared" si="409"/>
        <v>354.57490742124696</v>
      </c>
      <c r="AY539" s="12">
        <f t="shared" si="410"/>
        <v>0</v>
      </c>
      <c r="AZ539" s="3">
        <f>VLOOKUP(A539,[5]Analysis!$A$3:$BJ$543,62,FALSE)</f>
        <v>1.0343248125569651</v>
      </c>
      <c r="BA539" s="2">
        <v>81.290000000000006</v>
      </c>
      <c r="BB539" s="2"/>
      <c r="BC539" s="2" t="str">
        <f>VLOOKUP(A539,'[6]FGD status - Jun 2020'!$I$2:$M$449,5,FALSE)</f>
        <v>LoI Placed</v>
      </c>
      <c r="BD539" s="2"/>
      <c r="BE539" s="2" t="str">
        <f>VLOOKUP(A539,'[1]daily coal, energy reqd'!$C$2:$M$599,11,FALSE)</f>
        <v>Y</v>
      </c>
      <c r="BF539" s="2">
        <f t="shared" si="411"/>
        <v>268.59281376444847</v>
      </c>
      <c r="BG539" s="2">
        <f t="shared" si="412"/>
        <v>0</v>
      </c>
      <c r="BH539" s="2">
        <f t="shared" si="432"/>
        <v>31.5</v>
      </c>
      <c r="BI539" s="2">
        <f t="shared" si="433"/>
        <v>16.8</v>
      </c>
      <c r="BK539">
        <f t="shared" si="413"/>
        <v>121.84928803903209</v>
      </c>
      <c r="BL539">
        <f>VLOOKUP(A539,'[11]Daily coal vs energy req.2'!$C$2:$P$599,14,FALSE)</f>
        <v>1.24</v>
      </c>
      <c r="BM539">
        <f>VLOOKUP(A539,'[11]Daily coal vs energy req.2'!$C$2:$R$599,16,FALSE)</f>
        <v>1.17</v>
      </c>
      <c r="BN539">
        <f t="shared" si="434"/>
        <v>260.39999999999998</v>
      </c>
      <c r="BO539">
        <f t="shared" si="435"/>
        <v>245.7</v>
      </c>
      <c r="BP539" s="2" t="str">
        <f>VLOOKUP(A539,'[7]Table 2'!$J$2:$N$449,5,FALSE)</f>
        <v>Feasibility Study completed</v>
      </c>
      <c r="BR539">
        <f t="shared" si="418"/>
        <v>364.75187673375939</v>
      </c>
      <c r="BT539">
        <f>(X539*I539*365*[5]Analysis!BK539)/10^4</f>
        <v>167.24881767543488</v>
      </c>
      <c r="BV539">
        <f>(X539*I539*365*[5]Analysis!BL539)/10^4</f>
        <v>197.50305905832454</v>
      </c>
      <c r="BX539">
        <f t="shared" si="419"/>
        <v>990310.97683233966</v>
      </c>
      <c r="BZ539">
        <f t="shared" si="420"/>
        <v>5719174.2556462297</v>
      </c>
      <c r="CB539">
        <f t="shared" si="421"/>
        <v>-182991.07124966179</v>
      </c>
      <c r="CD539">
        <f t="shared" si="422"/>
        <v>0</v>
      </c>
      <c r="CF539">
        <f t="shared" si="423"/>
        <v>1905947.5550176059</v>
      </c>
      <c r="CH539">
        <f t="shared" si="424"/>
        <v>703882.58179239079</v>
      </c>
      <c r="CJ539">
        <f t="shared" si="425"/>
        <v>-369639.07581229485</v>
      </c>
      <c r="CL539">
        <f t="shared" si="426"/>
        <v>764704.73176337045</v>
      </c>
    </row>
    <row r="540" spans="1:90" x14ac:dyDescent="0.2">
      <c r="A540" s="2" t="s">
        <v>380</v>
      </c>
      <c r="B540" s="2" t="str">
        <f t="shared" si="431"/>
        <v>WANAKBORI TPS</v>
      </c>
      <c r="C540" s="2" t="str">
        <f>VLOOKUP($A540,'[1]daily coal, energy reqd'!$C$2:$T$599,17,FALSE)</f>
        <v>Gujarat</v>
      </c>
      <c r="D540" s="2" t="str">
        <f>VLOOKUP(C540,'Target PLF'!$I$2:$J$19,2,FALSE)</f>
        <v>WR</v>
      </c>
      <c r="E540" s="2" t="str">
        <f>VLOOKUP(A540,[2]Ownership!$C$2:$D$666,2,FALSE)</f>
        <v>STATE SECTOR</v>
      </c>
      <c r="F540" s="2" t="s">
        <v>546</v>
      </c>
      <c r="G540" s="12">
        <v>21.423682409308601</v>
      </c>
      <c r="H540" s="2">
        <v>210</v>
      </c>
      <c r="I540" s="2">
        <f>VLOOKUP(A540,'[3]Calculated coal req (reg.)'!$A$2:$I$599,9,FALSE)</f>
        <v>3.8713607908257801</v>
      </c>
      <c r="J540" s="2"/>
      <c r="K540" s="11">
        <v>0.76812714103686108</v>
      </c>
      <c r="L540" s="3">
        <f>VLOOKUP(F540,'Target PLF'!$A$2:$B$11,2,FALSE)</f>
        <v>0.7</v>
      </c>
      <c r="M540" s="3">
        <f t="shared" si="414"/>
        <v>-6.8127141036861127E-2</v>
      </c>
      <c r="N540" s="2" t="str">
        <f t="shared" si="397"/>
        <v>0.25</v>
      </c>
      <c r="O540" s="2">
        <f t="shared" si="396"/>
        <v>13.692782241703007</v>
      </c>
      <c r="P540" s="2">
        <f t="shared" si="398"/>
        <v>1049551.7588265354</v>
      </c>
      <c r="Q540" s="2">
        <f t="shared" si="399"/>
        <v>14.831903890314848</v>
      </c>
      <c r="R540" s="2">
        <f t="shared" si="400"/>
        <v>3.528</v>
      </c>
      <c r="S540" s="2"/>
      <c r="T540" s="2" t="str">
        <f>VLOOKUP(A540,'[4]CEA vs MERIT comp. &amp; NPA marker'!$C$2:$K$735,9,FALSE)</f>
        <v>Contracted</v>
      </c>
      <c r="U540" s="3">
        <f>VLOOKUP(B540,'[8]Import-Domestic share'!$A$208:$F$406,6,FALSE)</f>
        <v>0.10571332468406133</v>
      </c>
      <c r="V540" s="3">
        <f t="shared" si="401"/>
        <v>110951.60585355718</v>
      </c>
      <c r="W540" s="2">
        <f t="shared" si="402"/>
        <v>3179.5283761692112</v>
      </c>
      <c r="X540" s="2">
        <f t="shared" si="403"/>
        <v>3157.0075054040867</v>
      </c>
      <c r="Y540" s="6">
        <f t="shared" si="404"/>
        <v>0.27048036634796546</v>
      </c>
      <c r="Z540" s="2"/>
      <c r="AA540" s="2">
        <f t="shared" si="405"/>
        <v>1023158.0457512335</v>
      </c>
      <c r="AB540" s="2" t="s">
        <v>576</v>
      </c>
      <c r="AC540" s="12">
        <f>VLOOKUP(B540,[9]Sheet1!$A$2:$B$137,2,FALSE)</f>
        <v>4360.0292448303944</v>
      </c>
      <c r="AD540" s="12">
        <f t="shared" si="406"/>
        <v>915606.14141438284</v>
      </c>
      <c r="AE540" s="2"/>
      <c r="AF540" s="7">
        <f>VLOOKUP($B540,'[9]Subsidiary wise dispatch'!$A$3:$R$138,11,FALSE)*$H540*$O540*365</f>
        <v>0</v>
      </c>
      <c r="AG540" s="7">
        <f>VLOOKUP($B540,'[9]Subsidiary wise dispatch'!$A$3:$R$138,12,FALSE)*$H540*$O540*365</f>
        <v>0</v>
      </c>
      <c r="AH540" s="7">
        <f>VLOOKUP($B540,'[9]Subsidiary wise dispatch'!$A$3:$R$138,13,FALSE)*$H540*$O540*365</f>
        <v>0</v>
      </c>
      <c r="AI540" s="7">
        <f>VLOOKUP($B540,'[9]Subsidiary wise dispatch'!$A$3:$R$138,14,FALSE)*$H540*$O540*365</f>
        <v>0</v>
      </c>
      <c r="AJ540" s="7">
        <f>VLOOKUP($B540,'[9]Subsidiary wise dispatch'!$A$3:$R$138,15,FALSE)*$H540*$O540*365</f>
        <v>0</v>
      </c>
      <c r="AK540" s="7">
        <f>VLOOKUP($B540,'[9]Subsidiary wise dispatch'!$A$3:$R$138,16,FALSE)*$H540*$O540*365</f>
        <v>0</v>
      </c>
      <c r="AL540" s="7">
        <f>VLOOKUP($B540,'[9]Subsidiary wise dispatch'!$A$3:$R$138,17,FALSE)*$H540*$O540*365</f>
        <v>968212.347278286</v>
      </c>
      <c r="AM540" s="7">
        <f>VLOOKUP($B540,'[9]Subsidiary wise dispatch'!$A$3:$R$138,18,FALSE)*$H540*$O540*365</f>
        <v>81339.411548249656</v>
      </c>
      <c r="AN540" s="15">
        <f t="shared" si="407"/>
        <v>1049551.7588265357</v>
      </c>
      <c r="AO540" s="6">
        <v>9.2496856160444826E-2</v>
      </c>
      <c r="AP540" s="11">
        <f t="shared" si="408"/>
        <v>0.35808870221419814</v>
      </c>
      <c r="AQ540" s="11"/>
      <c r="AR540" s="3">
        <f>VLOOKUP(A540,[10]Sheet1!$A$2:$L$542,12,FALSE)</f>
        <v>3.6560526315789201</v>
      </c>
      <c r="AS540" s="3">
        <f t="shared" si="415"/>
        <v>3.2247479486414141</v>
      </c>
      <c r="AT540" s="2"/>
      <c r="AU540" s="2"/>
      <c r="AV540" s="88">
        <f t="shared" si="416"/>
        <v>-4.992493149463257E-2</v>
      </c>
      <c r="AW540" s="32">
        <f t="shared" si="417"/>
        <v>1.5481808900961062E-2</v>
      </c>
      <c r="AX540" s="12">
        <f t="shared" si="409"/>
        <v>455.67194105631768</v>
      </c>
      <c r="AY540" s="12">
        <f t="shared" si="410"/>
        <v>0</v>
      </c>
      <c r="AZ540" s="3">
        <f>VLOOKUP(A540,[5]Analysis!$A$3:$BJ$543,62,FALSE)</f>
        <v>1.0343248125569651</v>
      </c>
      <c r="BA540" s="2">
        <v>64.73</v>
      </c>
      <c r="BB540" s="2"/>
      <c r="BC540" s="2" t="str">
        <f>VLOOKUP(A540,'[6]FGD status - Jun 2020'!$I$2:$M$449,5,FALSE)</f>
        <v>Feasbility Study Under Progress</v>
      </c>
      <c r="BD540" s="2"/>
      <c r="BE540" s="2"/>
      <c r="BF540" s="2">
        <f t="shared" si="411"/>
        <v>339.77069846496181</v>
      </c>
      <c r="BG540" s="2">
        <f t="shared" si="412"/>
        <v>0</v>
      </c>
      <c r="BH540" s="2">
        <f t="shared" si="432"/>
        <v>31.5</v>
      </c>
      <c r="BI540" s="2">
        <f t="shared" si="433"/>
        <v>16.8</v>
      </c>
      <c r="BK540">
        <f t="shared" si="413"/>
        <v>161.30669961774083</v>
      </c>
      <c r="BL540">
        <f>VLOOKUP(A540,'[11]Daily coal vs energy req.2'!$C$2:$P$599,14,FALSE)</f>
        <v>1.4</v>
      </c>
      <c r="BM540">
        <f>VLOOKUP(A540,'[11]Daily coal vs energy req.2'!$C$2:$R$599,16,FALSE)</f>
        <v>1.4</v>
      </c>
      <c r="BN540">
        <f t="shared" si="434"/>
        <v>294</v>
      </c>
      <c r="BO540">
        <f t="shared" si="435"/>
        <v>294</v>
      </c>
      <c r="BP540" s="2" t="str">
        <f>VLOOKUP(A540,'[7]Table 2'!$J$2:$N$449,5,FALSE)</f>
        <v>Feasibility Study completed</v>
      </c>
      <c r="BR540">
        <f t="shared" si="418"/>
        <v>461.41219561042095</v>
      </c>
      <c r="BT540">
        <f>(X540*I540*365*[5]Analysis!BK540)/10^4</f>
        <v>211.57024569114958</v>
      </c>
      <c r="BV540">
        <f>(X540*I540*365*[5]Analysis!BL540)/10^4</f>
        <v>249.84194991927143</v>
      </c>
      <c r="BX540">
        <f t="shared" si="419"/>
        <v>1252746.294958319</v>
      </c>
      <c r="BZ540">
        <f t="shared" si="420"/>
        <v>7571165.4828998642</v>
      </c>
      <c r="CB540">
        <f t="shared" si="421"/>
        <v>-320692.43751185434</v>
      </c>
      <c r="CD540">
        <f t="shared" si="422"/>
        <v>0</v>
      </c>
      <c r="CF540">
        <f t="shared" si="423"/>
        <v>2523134.2315755622</v>
      </c>
      <c r="CH540">
        <f t="shared" si="424"/>
        <v>614120.37476964481</v>
      </c>
      <c r="CJ540">
        <f t="shared" si="425"/>
        <v>-489336.13259958779</v>
      </c>
      <c r="CL540">
        <f t="shared" si="426"/>
        <v>1012332.5170624355</v>
      </c>
    </row>
    <row r="541" spans="1:90" x14ac:dyDescent="0.2">
      <c r="A541" s="2" t="s">
        <v>317</v>
      </c>
      <c r="B541" s="2" t="str">
        <f t="shared" si="431"/>
        <v>WARDHA WARORA TPP</v>
      </c>
      <c r="C541" s="2" t="str">
        <f>VLOOKUP($A541,'[1]daily coal, energy reqd'!$C$2:$T$599,17,FALSE)</f>
        <v>Maharashtra</v>
      </c>
      <c r="D541" s="2" t="str">
        <f>VLOOKUP(C541,'Target PLF'!$I$2:$J$19,2,FALSE)</f>
        <v>WR</v>
      </c>
      <c r="E541" s="2" t="str">
        <f>VLOOKUP(A541,[2]Ownership!$C$2:$D$666,2,FALSE)</f>
        <v>PVT SECTOR</v>
      </c>
      <c r="F541" s="2" t="s">
        <v>543</v>
      </c>
      <c r="G541" s="12">
        <v>9.5906913073237501</v>
      </c>
      <c r="H541" s="2">
        <v>135</v>
      </c>
      <c r="I541" s="2">
        <f>VLOOKUP(A541,'[3]Calculated coal req (reg.)'!$A$2:$I$599,9,FALSE)</f>
        <v>0.11651170356549</v>
      </c>
      <c r="J541" s="2"/>
      <c r="K541" s="11">
        <v>3.5960402335027779E-2</v>
      </c>
      <c r="L541" s="3">
        <f>VLOOKUP(F541,'Target PLF'!$A$2:$B$11,2,FALSE)</f>
        <v>0.85</v>
      </c>
      <c r="M541" s="3">
        <f t="shared" si="414"/>
        <v>0.81403959766497225</v>
      </c>
      <c r="N541" s="2" t="str">
        <f t="shared" si="397"/>
        <v>0.15</v>
      </c>
      <c r="O541" s="2">
        <f t="shared" si="396"/>
        <v>2.6608678629674216</v>
      </c>
      <c r="P541" s="2">
        <f t="shared" si="398"/>
        <v>131114.26394771971</v>
      </c>
      <c r="Q541" s="2">
        <f t="shared" si="399"/>
        <v>13.98684499715948</v>
      </c>
      <c r="R541" s="2">
        <f t="shared" si="400"/>
        <v>2.754</v>
      </c>
      <c r="S541" s="2"/>
      <c r="T541" s="2" t="str">
        <f>VLOOKUP(A541,'[4]CEA vs MERIT comp. &amp; NPA marker'!$C$2:$K$735,9,FALSE)</f>
        <v>Not contracted</v>
      </c>
      <c r="U541" s="3">
        <f>VLOOKUP(B541,'[8]Import-Domestic share'!$A$208:$F$406,6,FALSE)</f>
        <v>0</v>
      </c>
      <c r="V541" s="3">
        <f t="shared" si="401"/>
        <v>0</v>
      </c>
      <c r="W541" s="2">
        <f t="shared" si="402"/>
        <v>3085.1293012891856</v>
      </c>
      <c r="X541" s="2">
        <f t="shared" si="403"/>
        <v>3354.2273479368127</v>
      </c>
      <c r="Y541" s="6">
        <f t="shared" si="404"/>
        <v>0.27875654989261911</v>
      </c>
      <c r="Z541" s="2"/>
      <c r="AA541" s="2">
        <f t="shared" si="405"/>
        <v>25367.776976318029</v>
      </c>
      <c r="AB541" s="2" t="s">
        <v>576</v>
      </c>
      <c r="AC541" s="12">
        <f>VLOOKUP(B541,[9]Sheet1!$A$2:$B$137,2,FALSE)</f>
        <v>5623.0572008300906</v>
      </c>
      <c r="AD541" s="12">
        <f t="shared" si="406"/>
        <v>759112.72211206227</v>
      </c>
      <c r="AE541" s="2"/>
      <c r="AF541" s="7">
        <f>VLOOKUP($B541,'[9]Subsidiary wise dispatch'!$A$3:$R$138,11,FALSE)*$H541*$O541*365</f>
        <v>0</v>
      </c>
      <c r="AG541" s="7">
        <f>VLOOKUP($B541,'[9]Subsidiary wise dispatch'!$A$3:$R$138,12,FALSE)*$H541*$O541*365</f>
        <v>0</v>
      </c>
      <c r="AH541" s="7">
        <f>VLOOKUP($B541,'[9]Subsidiary wise dispatch'!$A$3:$R$138,13,FALSE)*$H541*$O541*365</f>
        <v>0</v>
      </c>
      <c r="AI541" s="7">
        <f>VLOOKUP($B541,'[9]Subsidiary wise dispatch'!$A$3:$R$138,14,FALSE)*$H541*$O541*365</f>
        <v>0</v>
      </c>
      <c r="AJ541" s="7">
        <f>VLOOKUP($B541,'[9]Subsidiary wise dispatch'!$A$3:$R$138,15,FALSE)*$H541*$O541*365</f>
        <v>0</v>
      </c>
      <c r="AK541" s="7">
        <f>VLOOKUP($B541,'[9]Subsidiary wise dispatch'!$A$3:$R$138,16,FALSE)*$H541*$O541*365</f>
        <v>0</v>
      </c>
      <c r="AL541" s="7">
        <f>VLOOKUP($B541,'[9]Subsidiary wise dispatch'!$A$3:$R$138,17,FALSE)*$H541*$O541*365</f>
        <v>131114.26394771971</v>
      </c>
      <c r="AM541" s="7">
        <f>VLOOKUP($B541,'[9]Subsidiary wise dispatch'!$A$3:$R$138,18,FALSE)*$H541*$O541*365</f>
        <v>0</v>
      </c>
      <c r="AN541" s="15">
        <f t="shared" si="407"/>
        <v>131114.26394771971</v>
      </c>
      <c r="AO541" s="6">
        <v>0.11099569562813016</v>
      </c>
      <c r="AP541" s="11">
        <f t="shared" si="408"/>
        <v>1.2932297586070056E-2</v>
      </c>
      <c r="AQ541" s="11"/>
      <c r="AR541" s="3"/>
      <c r="AS541" s="3">
        <f t="shared" si="415"/>
        <v>2.9686830166212683</v>
      </c>
      <c r="AT541" s="2"/>
      <c r="AU541" s="2"/>
      <c r="AV541" s="88">
        <f t="shared" si="416"/>
        <v>0.59654449796084497</v>
      </c>
      <c r="AW541" s="32">
        <f t="shared" si="417"/>
        <v>0.20094583848153214</v>
      </c>
      <c r="AX541" s="12">
        <f t="shared" si="409"/>
        <v>12.624850519855588</v>
      </c>
      <c r="AY541" s="12">
        <f t="shared" si="410"/>
        <v>0</v>
      </c>
      <c r="AZ541" s="3">
        <f>VLOOKUP(A541,[5]Analysis!$A$3:$BJ$543,62,FALSE)</f>
        <v>0.88301087872039097</v>
      </c>
      <c r="BA541" s="2"/>
      <c r="BB541" s="2"/>
      <c r="BC541" s="2" t="str">
        <f>VLOOKUP(A541,'[6]FGD status - Jun 2020'!$I$2:$M$449,5,FALSE)</f>
        <v>Feasibility Study completed.</v>
      </c>
      <c r="BD541" s="2"/>
      <c r="BE541" s="2"/>
      <c r="BF541" s="2">
        <f t="shared" si="411"/>
        <v>7.8513269741704299</v>
      </c>
      <c r="BG541" s="2">
        <f t="shared" si="412"/>
        <v>0</v>
      </c>
      <c r="BH541" s="2">
        <f t="shared" si="432"/>
        <v>47.25</v>
      </c>
      <c r="BI541" s="2">
        <f t="shared" si="433"/>
        <v>10.8</v>
      </c>
      <c r="BK541">
        <f t="shared" si="413"/>
        <v>4.8546543152287498</v>
      </c>
      <c r="BL541" t="str">
        <f>VLOOKUP(A541,'[11]Daily coal vs energy req.2'!$C$2:$P$599,14,FALSE)</f>
        <v/>
      </c>
      <c r="BM541" t="str">
        <f>VLOOKUP(A541,'[11]Daily coal vs energy req.2'!$C$2:$R$599,16,FALSE)</f>
        <v/>
      </c>
      <c r="BP541" s="2" t="str">
        <f>VLOOKUP(A541,'[7]Table 2'!$J$2:$N$449,5,FALSE)</f>
        <v>NIT issued</v>
      </c>
      <c r="BR541">
        <f t="shared" si="418"/>
        <v>12.595661084844215</v>
      </c>
      <c r="BT541">
        <f>(X541*I541*365*[5]Analysis!BK541)/10^4</f>
        <v>8.3775578647760085</v>
      </c>
      <c r="BV541">
        <f>(X541*I541*365*[5]Analysis!BL541)/10^4</f>
        <v>4.2181032200682091</v>
      </c>
      <c r="BX541">
        <f t="shared" si="419"/>
        <v>40057.691101542543</v>
      </c>
      <c r="BZ541">
        <f t="shared" si="420"/>
        <v>194526.04396589406</v>
      </c>
      <c r="CB541">
        <f t="shared" si="421"/>
        <v>-451.84143577638525</v>
      </c>
      <c r="CD541">
        <f t="shared" si="422"/>
        <v>-42997.991735304116</v>
      </c>
      <c r="CF541">
        <f t="shared" si="423"/>
        <v>75935.74547273494</v>
      </c>
      <c r="CH541">
        <f t="shared" si="424"/>
        <v>8273.9940161656377</v>
      </c>
      <c r="CJ541">
        <f t="shared" si="425"/>
        <v>-9467.3332407692396</v>
      </c>
      <c r="CL541">
        <f t="shared" si="426"/>
        <v>36560.174296913836</v>
      </c>
    </row>
    <row r="542" spans="1:90" x14ac:dyDescent="0.2">
      <c r="A542" s="2" t="s">
        <v>316</v>
      </c>
      <c r="B542" s="2" t="str">
        <f t="shared" si="431"/>
        <v>WARDHA WARORA TPP</v>
      </c>
      <c r="C542" s="2" t="str">
        <f>VLOOKUP($A542,'[1]daily coal, energy reqd'!$C$2:$T$599,17,FALSE)</f>
        <v>Maharashtra</v>
      </c>
      <c r="D542" s="2" t="str">
        <f>VLOOKUP(C542,'Target PLF'!$I$2:$J$19,2,FALSE)</f>
        <v>WR</v>
      </c>
      <c r="E542" s="2" t="str">
        <f>VLOOKUP(A542,[2]Ownership!$C$2:$D$666,2,FALSE)</f>
        <v>PVT SECTOR</v>
      </c>
      <c r="F542" s="2" t="s">
        <v>543</v>
      </c>
      <c r="G542" s="12">
        <v>9.3388090349075892</v>
      </c>
      <c r="H542" s="2">
        <v>135</v>
      </c>
      <c r="I542" s="2">
        <f>VLOOKUP(A542,'[3]Calculated coal req (reg.)'!$A$2:$I$599,9,FALSE)</f>
        <v>0.89608584569986405</v>
      </c>
      <c r="J542" s="2"/>
      <c r="K542" s="11">
        <v>0.27656970546292103</v>
      </c>
      <c r="L542" s="3">
        <f>VLOOKUP(F542,'Target PLF'!$A$2:$B$11,2,FALSE)</f>
        <v>0.85</v>
      </c>
      <c r="M542" s="3">
        <f t="shared" si="414"/>
        <v>0.57343029453707894</v>
      </c>
      <c r="N542" s="2" t="str">
        <f t="shared" si="397"/>
        <v>0.15</v>
      </c>
      <c r="O542" s="2">
        <f t="shared" si="396"/>
        <v>6.0005589091979576</v>
      </c>
      <c r="P542" s="2">
        <f t="shared" si="398"/>
        <v>295677.54025072936</v>
      </c>
      <c r="Q542" s="2">
        <f t="shared" si="399"/>
        <v>13.978866626180697</v>
      </c>
      <c r="R542" s="2">
        <f t="shared" si="400"/>
        <v>2.754</v>
      </c>
      <c r="S542" s="2"/>
      <c r="T542" s="2" t="str">
        <f>VLOOKUP(A542,'[4]CEA vs MERIT comp. &amp; NPA marker'!$C$2:$K$735,9,FALSE)</f>
        <v>Not contracted</v>
      </c>
      <c r="U542" s="3">
        <f>VLOOKUP(B542,'[8]Import-Domestic share'!$A$208:$F$406,6,FALSE)</f>
        <v>0</v>
      </c>
      <c r="V542" s="3">
        <f t="shared" si="401"/>
        <v>0</v>
      </c>
      <c r="W542" s="2">
        <f t="shared" si="402"/>
        <v>3083.2047854671455</v>
      </c>
      <c r="X542" s="2">
        <f t="shared" si="403"/>
        <v>3272.7643260486211</v>
      </c>
      <c r="Y542" s="6">
        <f t="shared" si="404"/>
        <v>0.27893054786813287</v>
      </c>
      <c r="Z542" s="2"/>
      <c r="AA542" s="2">
        <f t="shared" si="405"/>
        <v>190363.95233263916</v>
      </c>
      <c r="AB542" s="2" t="s">
        <v>576</v>
      </c>
      <c r="AC542" s="12">
        <f>VLOOKUP(B542,[9]Sheet1!$A$2:$B$137,2,FALSE)</f>
        <v>5623.0572008300906</v>
      </c>
      <c r="AD542" s="12">
        <f t="shared" si="406"/>
        <v>759112.72211206227</v>
      </c>
      <c r="AE542" s="2"/>
      <c r="AF542" s="7">
        <f>VLOOKUP($B542,'[9]Subsidiary wise dispatch'!$A$3:$R$138,11,FALSE)*$H542*$O542*365</f>
        <v>0</v>
      </c>
      <c r="AG542" s="7">
        <f>VLOOKUP($B542,'[9]Subsidiary wise dispatch'!$A$3:$R$138,12,FALSE)*$H542*$O542*365</f>
        <v>0</v>
      </c>
      <c r="AH542" s="7">
        <f>VLOOKUP($B542,'[9]Subsidiary wise dispatch'!$A$3:$R$138,13,FALSE)*$H542*$O542*365</f>
        <v>0</v>
      </c>
      <c r="AI542" s="7">
        <f>VLOOKUP($B542,'[9]Subsidiary wise dispatch'!$A$3:$R$138,14,FALSE)*$H542*$O542*365</f>
        <v>0</v>
      </c>
      <c r="AJ542" s="7">
        <f>VLOOKUP($B542,'[9]Subsidiary wise dispatch'!$A$3:$R$138,15,FALSE)*$H542*$O542*365</f>
        <v>0</v>
      </c>
      <c r="AK542" s="7">
        <f>VLOOKUP($B542,'[9]Subsidiary wise dispatch'!$A$3:$R$138,16,FALSE)*$H542*$O542*365</f>
        <v>0</v>
      </c>
      <c r="AL542" s="7">
        <f>VLOOKUP($B542,'[9]Subsidiary wise dispatch'!$A$3:$R$138,17,FALSE)*$H542*$O542*365</f>
        <v>295677.54025072936</v>
      </c>
      <c r="AM542" s="7">
        <f>VLOOKUP($B542,'[9]Subsidiary wise dispatch'!$A$3:$R$138,18,FALSE)*$H542*$O542*365</f>
        <v>0</v>
      </c>
      <c r="AN542" s="15">
        <f t="shared" si="407"/>
        <v>295677.54025072936</v>
      </c>
      <c r="AO542" s="6">
        <v>0.11099569562813016</v>
      </c>
      <c r="AP542" s="11">
        <f t="shared" si="408"/>
        <v>9.9461671785977715E-2</v>
      </c>
      <c r="AQ542" s="11"/>
      <c r="AR542" s="3"/>
      <c r="AS542" s="3">
        <f t="shared" si="415"/>
        <v>2.958467994591623</v>
      </c>
      <c r="AT542" s="2"/>
      <c r="AU542" s="2"/>
      <c r="AV542" s="88">
        <f t="shared" si="416"/>
        <v>0.42022118844266221</v>
      </c>
      <c r="AW542" s="32">
        <f t="shared" si="417"/>
        <v>0.14204013334295615</v>
      </c>
      <c r="AX542" s="12">
        <f t="shared" si="409"/>
        <v>96.763007264200951</v>
      </c>
      <c r="AY542" s="12">
        <f t="shared" si="410"/>
        <v>0</v>
      </c>
      <c r="AZ542" s="3">
        <f>VLOOKUP(A542,[5]Analysis!$A$3:$BJ$543,62,FALSE)</f>
        <v>0.88301087872039097</v>
      </c>
      <c r="BA542" s="2"/>
      <c r="BB542" s="2"/>
      <c r="BC542" s="2" t="str">
        <f>VLOOKUP(A542,'[6]FGD status - Jun 2020'!$I$2:$M$449,5,FALSE)</f>
        <v>Feasibility Study completed.</v>
      </c>
      <c r="BD542" s="2"/>
      <c r="BE542" s="2"/>
      <c r="BF542" s="2">
        <f t="shared" si="411"/>
        <v>58.917643246951819</v>
      </c>
      <c r="BG542" s="2">
        <f t="shared" si="412"/>
        <v>0</v>
      </c>
      <c r="BH542" s="2">
        <f t="shared" si="432"/>
        <v>47.25</v>
      </c>
      <c r="BI542" s="2">
        <f t="shared" si="433"/>
        <v>10.8</v>
      </c>
      <c r="BK542">
        <f t="shared" si="413"/>
        <v>37.336910237494337</v>
      </c>
      <c r="BL542" t="str">
        <f>VLOOKUP(A542,'[11]Daily coal vs energy req.2'!$C$2:$P$599,14,FALSE)</f>
        <v/>
      </c>
      <c r="BM542" t="str">
        <f>VLOOKUP(A542,'[11]Daily coal vs energy req.2'!$C$2:$R$599,16,FALSE)</f>
        <v/>
      </c>
      <c r="BP542" s="2" t="str">
        <f>VLOOKUP(A542,'[7]Table 2'!$J$2:$N$449,5,FALSE)</f>
        <v>NIT issued</v>
      </c>
      <c r="BR542">
        <f t="shared" si="418"/>
        <v>94.519903284855431</v>
      </c>
      <c r="BT542">
        <f>(X542*I542*365*[5]Analysis!BK542)/10^4</f>
        <v>62.866566018888868</v>
      </c>
      <c r="BV542">
        <f>(X542*I542*365*[5]Analysis!BL542)/10^4</f>
        <v>31.653337265966577</v>
      </c>
      <c r="BX542">
        <f t="shared" si="419"/>
        <v>300599.47336057149</v>
      </c>
      <c r="BZ542">
        <f t="shared" si="420"/>
        <v>1496090.3435752115</v>
      </c>
      <c r="CB542">
        <f t="shared" si="421"/>
        <v>-26726.752087636913</v>
      </c>
      <c r="CD542">
        <f t="shared" si="422"/>
        <v>-330695.46327479894</v>
      </c>
      <c r="CF542">
        <f t="shared" si="423"/>
        <v>584018.12537688937</v>
      </c>
      <c r="CH542">
        <f t="shared" si="424"/>
        <v>61963.629665536202</v>
      </c>
      <c r="CJ542">
        <f t="shared" si="425"/>
        <v>-72812.79952111101</v>
      </c>
      <c r="CL542">
        <f t="shared" si="426"/>
        <v>281182.52245251759</v>
      </c>
    </row>
    <row r="543" spans="1:90" x14ac:dyDescent="0.2">
      <c r="A543" s="2" t="s">
        <v>312</v>
      </c>
      <c r="B543" s="2" t="str">
        <f t="shared" si="431"/>
        <v>WARDHA WARORA TPP</v>
      </c>
      <c r="C543" s="2" t="str">
        <f>VLOOKUP($A543,'[1]daily coal, energy reqd'!$C$2:$T$599,17,FALSE)</f>
        <v>Maharashtra</v>
      </c>
      <c r="D543" s="2" t="str">
        <f>VLOOKUP(C543,'Target PLF'!$I$2:$J$19,2,FALSE)</f>
        <v>WR</v>
      </c>
      <c r="E543" s="2" t="str">
        <f>VLOOKUP(A543,[2]Ownership!$C$2:$D$666,2,FALSE)</f>
        <v>PVT SECTOR</v>
      </c>
      <c r="F543" s="2" t="s">
        <v>543</v>
      </c>
      <c r="G543" s="12">
        <v>9.0924024640656995</v>
      </c>
      <c r="H543" s="2">
        <v>135</v>
      </c>
      <c r="I543" s="2">
        <f>VLOOKUP(A543,'[3]Calculated coal req (reg.)'!$A$2:$I$599,9,FALSE)</f>
        <v>0.95140451136183002</v>
      </c>
      <c r="J543" s="2"/>
      <c r="K543" s="11">
        <v>0.29364336770426852</v>
      </c>
      <c r="L543" s="3">
        <f>VLOOKUP(F543,'Target PLF'!$A$2:$B$11,2,FALSE)</f>
        <v>0.85</v>
      </c>
      <c r="M543" s="3">
        <f t="shared" si="414"/>
        <v>0.5563566322957314</v>
      </c>
      <c r="N543" s="2" t="str">
        <f t="shared" si="397"/>
        <v>0.15</v>
      </c>
      <c r="O543" s="2">
        <f t="shared" si="396"/>
        <v>6.230304965929081</v>
      </c>
      <c r="P543" s="2">
        <f t="shared" si="398"/>
        <v>306998.27719615545</v>
      </c>
      <c r="Q543" s="2">
        <f t="shared" si="399"/>
        <v>13.971061698049281</v>
      </c>
      <c r="R543" s="2">
        <f t="shared" si="400"/>
        <v>2.754</v>
      </c>
      <c r="S543" s="2"/>
      <c r="T543" s="2" t="str">
        <f>VLOOKUP(A543,'[4]CEA vs MERIT comp. &amp; NPA marker'!$C$2:$K$735,9,FALSE)</f>
        <v>Not contracted</v>
      </c>
      <c r="U543" s="3">
        <f>VLOOKUP(B543,'[8]Import-Domestic share'!$A$208:$F$406,6,FALSE)</f>
        <v>0</v>
      </c>
      <c r="V543" s="3">
        <f t="shared" si="401"/>
        <v>0</v>
      </c>
      <c r="W543" s="2">
        <f t="shared" si="402"/>
        <v>3081.3221069455849</v>
      </c>
      <c r="X543" s="2">
        <f t="shared" si="403"/>
        <v>3265.2375865115437</v>
      </c>
      <c r="Y543" s="6">
        <f t="shared" si="404"/>
        <v>0.27910097359230329</v>
      </c>
      <c r="Z543" s="2"/>
      <c r="AA543" s="2">
        <f t="shared" si="405"/>
        <v>201650.98908403324</v>
      </c>
      <c r="AB543" s="2" t="s">
        <v>576</v>
      </c>
      <c r="AC543" s="12">
        <f>VLOOKUP(B543,[9]Sheet1!$A$2:$B$137,2,FALSE)</f>
        <v>5623.0572008300906</v>
      </c>
      <c r="AD543" s="12">
        <f t="shared" si="406"/>
        <v>759112.72211206227</v>
      </c>
      <c r="AE543" s="2"/>
      <c r="AF543" s="7">
        <f>VLOOKUP($B543,'[9]Subsidiary wise dispatch'!$A$3:$R$138,11,FALSE)*$H543*$O543*365</f>
        <v>0</v>
      </c>
      <c r="AG543" s="7">
        <f>VLOOKUP($B543,'[9]Subsidiary wise dispatch'!$A$3:$R$138,12,FALSE)*$H543*$O543*365</f>
        <v>0</v>
      </c>
      <c r="AH543" s="7">
        <f>VLOOKUP($B543,'[9]Subsidiary wise dispatch'!$A$3:$R$138,13,FALSE)*$H543*$O543*365</f>
        <v>0</v>
      </c>
      <c r="AI543" s="7">
        <f>VLOOKUP($B543,'[9]Subsidiary wise dispatch'!$A$3:$R$138,14,FALSE)*$H543*$O543*365</f>
        <v>0</v>
      </c>
      <c r="AJ543" s="7">
        <f>VLOOKUP($B543,'[9]Subsidiary wise dispatch'!$A$3:$R$138,15,FALSE)*$H543*$O543*365</f>
        <v>0</v>
      </c>
      <c r="AK543" s="7">
        <f>VLOOKUP($B543,'[9]Subsidiary wise dispatch'!$A$3:$R$138,16,FALSE)*$H543*$O543*365</f>
        <v>0</v>
      </c>
      <c r="AL543" s="7">
        <f>VLOOKUP($B543,'[9]Subsidiary wise dispatch'!$A$3:$R$138,17,FALSE)*$H543*$O543*365</f>
        <v>306998.27719615545</v>
      </c>
      <c r="AM543" s="7">
        <f>VLOOKUP($B543,'[9]Subsidiary wise dispatch'!$A$3:$R$138,18,FALSE)*$H543*$O543*365</f>
        <v>0</v>
      </c>
      <c r="AN543" s="15">
        <f t="shared" si="407"/>
        <v>306998.27719615545</v>
      </c>
      <c r="AO543" s="6">
        <v>0.11099569562813016</v>
      </c>
      <c r="AP543" s="11">
        <f t="shared" si="408"/>
        <v>0.10560180556234759</v>
      </c>
      <c r="AQ543" s="11"/>
      <c r="AR543" s="3"/>
      <c r="AS543" s="3">
        <f t="shared" si="415"/>
        <v>2.9558719863352731</v>
      </c>
      <c r="AT543" s="2"/>
      <c r="AU543" s="2"/>
      <c r="AV543" s="88">
        <f t="shared" si="416"/>
        <v>0.4077092672789579</v>
      </c>
      <c r="AW543" s="32">
        <f t="shared" si="417"/>
        <v>0.13793197715048577</v>
      </c>
      <c r="AX543" s="12">
        <f t="shared" si="409"/>
        <v>102.64639291247128</v>
      </c>
      <c r="AY543" s="12">
        <f t="shared" si="410"/>
        <v>0</v>
      </c>
      <c r="AZ543" s="3">
        <f>VLOOKUP(A543,[5]Analysis!$A$3:$BJ$543,62,FALSE)</f>
        <v>0.88301087872039097</v>
      </c>
      <c r="BA543" s="2"/>
      <c r="BB543" s="2"/>
      <c r="BC543" s="2" t="str">
        <f>VLOOKUP(A543,'[6]FGD status - Jun 2020'!$I$2:$M$449,5,FALSE)</f>
        <v>Feasibility Study completed.</v>
      </c>
      <c r="BD543" s="2"/>
      <c r="BE543" s="2"/>
      <c r="BF543" s="2">
        <f t="shared" si="411"/>
        <v>62.410981121508286</v>
      </c>
      <c r="BG543" s="2">
        <f t="shared" si="412"/>
        <v>0</v>
      </c>
      <c r="BH543" s="2">
        <f t="shared" si="432"/>
        <v>47.25</v>
      </c>
      <c r="BI543" s="2">
        <f t="shared" si="433"/>
        <v>10.8</v>
      </c>
      <c r="BK543">
        <f t="shared" si="413"/>
        <v>39.641854640076254</v>
      </c>
      <c r="BL543" t="str">
        <f>VLOOKUP(A543,'[11]Daily coal vs energy req.2'!$C$2:$P$599,14,FALSE)</f>
        <v/>
      </c>
      <c r="BM543" t="str">
        <f>VLOOKUP(A543,'[11]Daily coal vs energy req.2'!$C$2:$R$599,16,FALSE)</f>
        <v/>
      </c>
      <c r="BP543" s="2" t="str">
        <f>VLOOKUP(A543,'[7]Table 2'!$J$2:$N$449,5,FALSE)</f>
        <v>NIT issued</v>
      </c>
      <c r="BR543">
        <f t="shared" si="418"/>
        <v>100.1241661142496</v>
      </c>
      <c r="BT543">
        <f>(X543*I543*365*[5]Analysis!BK543)/10^4</f>
        <v>66.594042951334742</v>
      </c>
      <c r="BV543">
        <f>(X543*I543*365*[5]Analysis!BL543)/10^4</f>
        <v>33.530123162914876</v>
      </c>
      <c r="BX543">
        <f t="shared" si="419"/>
        <v>318422.58147371787</v>
      </c>
      <c r="BZ543">
        <f t="shared" si="420"/>
        <v>1588449.4874156034</v>
      </c>
      <c r="CB543">
        <f t="shared" si="421"/>
        <v>-30128.489815566594</v>
      </c>
      <c r="CD543">
        <f t="shared" si="422"/>
        <v>-351110.50705281977</v>
      </c>
      <c r="CF543">
        <f t="shared" si="423"/>
        <v>620071.70615074888</v>
      </c>
      <c r="CH543">
        <f t="shared" si="424"/>
        <v>64053.017640633916</v>
      </c>
      <c r="CJ543">
        <f t="shared" si="425"/>
        <v>-77307.800677472551</v>
      </c>
      <c r="CL543">
        <f t="shared" si="426"/>
        <v>298540.95080420142</v>
      </c>
    </row>
    <row r="544" spans="1:90" x14ac:dyDescent="0.2">
      <c r="A544" s="2"/>
      <c r="B544" s="2"/>
      <c r="C544" s="2"/>
      <c r="D544" s="2"/>
      <c r="E544" s="2"/>
      <c r="F544" s="2"/>
      <c r="G544" s="12"/>
      <c r="H544" s="2"/>
      <c r="I544" s="2"/>
      <c r="J544" s="2"/>
      <c r="K544" s="11"/>
      <c r="L544" s="3"/>
      <c r="M544" s="3"/>
      <c r="N544" s="2"/>
      <c r="O544" s="2"/>
      <c r="P544" s="2"/>
      <c r="Q544" s="2"/>
      <c r="R544" s="2"/>
      <c r="S544" s="2"/>
      <c r="T544" s="2"/>
      <c r="U544" s="3"/>
      <c r="V544" s="3"/>
      <c r="W544" s="2"/>
      <c r="X544" s="2"/>
      <c r="Y544" s="6"/>
      <c r="Z544" s="2"/>
      <c r="AA544" s="2"/>
      <c r="AB544" s="2"/>
      <c r="AC544" s="12"/>
      <c r="AD544" s="12"/>
      <c r="AE544" s="2"/>
      <c r="AF544" s="7"/>
      <c r="AG544" s="7"/>
      <c r="AH544" s="7"/>
      <c r="AI544" s="7"/>
      <c r="AJ544" s="7"/>
      <c r="AK544" s="7"/>
      <c r="AL544" s="7"/>
      <c r="AM544" s="7"/>
      <c r="AN544" s="15"/>
      <c r="AO544" s="6"/>
      <c r="AP544" s="11"/>
      <c r="AQ544" s="11"/>
      <c r="AR544" s="3"/>
      <c r="AS544" s="3"/>
      <c r="AT544" s="2"/>
      <c r="AU544" s="2"/>
      <c r="AV544" s="88"/>
      <c r="AW544" s="32"/>
      <c r="AX544" s="12"/>
      <c r="AY544" s="12"/>
      <c r="AZ544" s="3"/>
      <c r="BA544" s="2"/>
      <c r="BB544" s="2"/>
      <c r="BC544" s="2"/>
      <c r="BD544" s="2"/>
      <c r="BE544" s="2"/>
      <c r="BF544" s="2"/>
      <c r="BG544" s="2"/>
      <c r="BH544" s="2"/>
      <c r="BI544" s="2"/>
      <c r="BP544" s="2"/>
    </row>
    <row r="545" spans="1:91" x14ac:dyDescent="0.2">
      <c r="A545" s="2"/>
      <c r="B545" s="2"/>
      <c r="C545" s="2"/>
      <c r="D545" s="2"/>
      <c r="E545" s="2"/>
      <c r="F545" s="2"/>
      <c r="G545" s="12"/>
      <c r="H545" s="2"/>
      <c r="I545" s="2"/>
      <c r="J545" s="2"/>
      <c r="K545" s="11"/>
      <c r="L545" s="3"/>
      <c r="M545" s="3"/>
      <c r="N545" s="2"/>
      <c r="O545" s="2"/>
      <c r="P545" s="2"/>
      <c r="Q545" s="2"/>
      <c r="R545" s="2"/>
      <c r="S545" s="2"/>
      <c r="T545" s="2"/>
      <c r="U545" s="3"/>
      <c r="V545" s="3"/>
      <c r="W545" s="2"/>
      <c r="X545" s="2"/>
      <c r="Y545" s="6"/>
      <c r="Z545" s="2"/>
      <c r="AA545" s="2"/>
      <c r="AB545" s="2"/>
      <c r="AC545" s="2"/>
      <c r="AD545" s="12"/>
      <c r="AE545" s="2"/>
      <c r="AF545" s="7"/>
      <c r="AG545" s="7"/>
      <c r="AH545" s="7"/>
      <c r="AI545" s="7"/>
      <c r="AJ545" s="7"/>
      <c r="AK545" s="7"/>
      <c r="AL545" s="7"/>
      <c r="AM545" s="7"/>
      <c r="AN545" s="15"/>
      <c r="AO545" s="6"/>
      <c r="AP545" s="11"/>
      <c r="AQ545" s="11"/>
      <c r="AR545" s="3"/>
      <c r="AS545" s="3"/>
      <c r="AT545" s="3"/>
      <c r="AU545" s="3"/>
      <c r="AV545" s="3"/>
      <c r="AW545" s="3"/>
      <c r="AX545" s="12"/>
      <c r="AY545" s="12"/>
      <c r="AZ545" s="12"/>
      <c r="BA545" s="2"/>
      <c r="BB545" s="2"/>
      <c r="BC545" s="2"/>
      <c r="BD545" s="2"/>
      <c r="BE545" s="2"/>
      <c r="BF545" s="12">
        <f>SUM(BF3:BF543)</f>
        <v>229734.87532684754</v>
      </c>
      <c r="BG545" s="12">
        <f>SUM(BG3:BG543)</f>
        <v>216231.93522347725</v>
      </c>
      <c r="BH545" s="8">
        <f>SUBTOTAL(9,BH3:BH543)</f>
        <v>7428.6999999999989</v>
      </c>
      <c r="BI545" s="8">
        <f>SUBTOTAL(9,BI3:BI543)</f>
        <v>2820.640000000004</v>
      </c>
      <c r="BP545" s="2"/>
      <c r="BR545">
        <f t="shared" ref="BR545:CK545" si="436">SUM(BR3:BR543)</f>
        <v>222241.70209823412</v>
      </c>
      <c r="BS545">
        <f t="shared" si="436"/>
        <v>213333.81852137603</v>
      </c>
      <c r="BT545">
        <f t="shared" si="436"/>
        <v>149538.51224619363</v>
      </c>
      <c r="BU545">
        <f t="shared" si="436"/>
        <v>141725.87891435268</v>
      </c>
      <c r="BV545">
        <f t="shared" si="436"/>
        <v>72703.189852040567</v>
      </c>
      <c r="BW545">
        <f t="shared" si="436"/>
        <v>71607.939607023218</v>
      </c>
      <c r="BX545">
        <f t="shared" si="436"/>
        <v>806516659.67414594</v>
      </c>
      <c r="BY545">
        <f t="shared" si="436"/>
        <v>752600206.98710823</v>
      </c>
      <c r="BZ545">
        <f t="shared" si="436"/>
        <v>3964293490.3457565</v>
      </c>
      <c r="CA545">
        <f t="shared" si="436"/>
        <v>4104920396.2458897</v>
      </c>
      <c r="CB545">
        <f t="shared" si="436"/>
        <v>-198816460.22041941</v>
      </c>
      <c r="CC545">
        <f t="shared" si="436"/>
        <v>-237892119.69106114</v>
      </c>
      <c r="CD545">
        <f t="shared" si="436"/>
        <v>-350303739.9486829</v>
      </c>
      <c r="CE545">
        <f t="shared" si="436"/>
        <v>-436188559.56263947</v>
      </c>
      <c r="CF545">
        <f t="shared" si="436"/>
        <v>1774279702.883215</v>
      </c>
      <c r="CG545">
        <f t="shared" si="436"/>
        <v>1774845822.1462536</v>
      </c>
      <c r="CH545">
        <f t="shared" si="436"/>
        <v>267152415.23938388</v>
      </c>
      <c r="CI545">
        <f t="shared" si="436"/>
        <v>147902599.15371892</v>
      </c>
      <c r="CJ545">
        <f t="shared" si="436"/>
        <v>-766384752.93331563</v>
      </c>
      <c r="CK545">
        <f t="shared" si="436"/>
        <v>-954356098.28325069</v>
      </c>
      <c r="CL545">
        <f t="shared" ref="CL545:CM545" si="437">SUM(CL3:CL543)</f>
        <v>581468162.92057443</v>
      </c>
      <c r="CM545">
        <f t="shared" si="437"/>
        <v>556383744.78217721</v>
      </c>
    </row>
    <row r="546" spans="1:91" x14ac:dyDescent="0.2">
      <c r="A546" s="2"/>
      <c r="B546" s="2"/>
      <c r="C546" s="2"/>
      <c r="D546" s="2"/>
      <c r="E546" s="2"/>
      <c r="F546" s="2"/>
      <c r="G546" s="12"/>
      <c r="H546" s="2"/>
      <c r="I546" s="2"/>
      <c r="J546" s="2"/>
      <c r="K546" s="11"/>
      <c r="L546" s="3"/>
      <c r="M546" s="3"/>
      <c r="N546" s="2"/>
      <c r="O546" s="2"/>
      <c r="P546" s="2"/>
      <c r="Q546" s="2"/>
      <c r="R546" s="2"/>
      <c r="S546" s="2"/>
      <c r="T546" s="2"/>
      <c r="U546" s="3"/>
      <c r="V546" s="3"/>
      <c r="W546" s="2"/>
      <c r="X546" s="2"/>
      <c r="Y546" s="6"/>
      <c r="Z546" s="2"/>
      <c r="AA546" s="2"/>
      <c r="AB546" s="2"/>
      <c r="AC546" s="2"/>
      <c r="AD546" s="12"/>
      <c r="AE546" s="2"/>
      <c r="AF546" s="7"/>
      <c r="AG546" s="7"/>
      <c r="AH546" s="7"/>
      <c r="AI546" s="7"/>
      <c r="AJ546" s="7"/>
      <c r="AK546" s="7"/>
      <c r="AL546" s="7"/>
      <c r="AM546" s="7"/>
      <c r="AN546" s="15"/>
      <c r="AO546" s="6"/>
      <c r="AP546" s="11"/>
      <c r="AQ546" s="11"/>
      <c r="AR546" s="3"/>
      <c r="AS546" s="3"/>
      <c r="AT546" s="3"/>
      <c r="AU546" s="3"/>
      <c r="AV546" s="3"/>
      <c r="AW546" s="3"/>
      <c r="AX546" s="12"/>
      <c r="AY546" s="12"/>
      <c r="AZ546" s="3">
        <f>MEDIAN(AZ3:AZ543)</f>
        <v>0.73991191889506969</v>
      </c>
      <c r="BA546" s="2"/>
      <c r="BB546" s="2"/>
      <c r="BC546" s="2"/>
      <c r="BD546" s="2"/>
      <c r="BE546" s="2"/>
      <c r="BF546" s="12"/>
      <c r="BG546" s="12">
        <f>BF545-BG545</f>
        <v>13502.940103370289</v>
      </c>
      <c r="BH546" s="2"/>
      <c r="BI546" s="17">
        <f>SUM(BH545,BI545)</f>
        <v>10249.340000000004</v>
      </c>
      <c r="BK546">
        <f>_xlfn.AGGREGATE(9,1,BK3:BK543)/H551</f>
        <v>0.58437604817440025</v>
      </c>
      <c r="BN546" s="18">
        <f>_xlfn.AGGREGATE(9,1,BN3:BN540)/H547</f>
        <v>0.57868325228644968</v>
      </c>
      <c r="BO546" s="18">
        <f>_xlfn.AGGREGATE(9,1,BO3:BO540)/H547</f>
        <v>0.56485116493620657</v>
      </c>
      <c r="BP546" s="2"/>
      <c r="BS546">
        <f>BR545-BS545</f>
        <v>8907.8835768580902</v>
      </c>
      <c r="BU546">
        <f>BT545-BU545</f>
        <v>7812.6333318409452</v>
      </c>
      <c r="BW546">
        <f>BV545-BW545</f>
        <v>1095.2502450173488</v>
      </c>
      <c r="BY546">
        <f>((BX545-BY545)*365)/10^7</f>
        <v>1967.9505230768764</v>
      </c>
      <c r="CA546">
        <f>((BZ545-CA545)*365)/10^7</f>
        <v>-5132.8820653548592</v>
      </c>
      <c r="CC546">
        <f>((CB545-CC545)*365)/10^7</f>
        <v>1426.2615706784234</v>
      </c>
      <c r="CE546">
        <f>((CD545-CE545)*365)/10^7</f>
        <v>3134.7959159094148</v>
      </c>
      <c r="CG546">
        <f>((CF545-CG545)*365)/10^7</f>
        <v>-20.663353100910186</v>
      </c>
      <c r="CI546">
        <f>((CH545-CI545)*365)/10^7</f>
        <v>4352.6182871267711</v>
      </c>
      <c r="CK546">
        <f>((CJ545-CK545)*365)/10^7</f>
        <v>6860.9541052726299</v>
      </c>
      <c r="CM546">
        <f>((CL545-CM545)*365)/10^7</f>
        <v>915.58126205149836</v>
      </c>
    </row>
    <row r="547" spans="1:91" x14ac:dyDescent="0.2">
      <c r="A547" s="2"/>
      <c r="B547" s="2" t="str">
        <f>LEFT(A547,LEN(A547)-LEN(RIGHT(A547,1)))</f>
        <v/>
      </c>
      <c r="C547" s="2"/>
      <c r="D547" s="2"/>
      <c r="E547" s="2"/>
      <c r="F547" s="2"/>
      <c r="G547" s="2"/>
      <c r="H547" s="2">
        <f>_xlfn.AGGREGATE(9,1,H3:H546)</f>
        <v>194023.5</v>
      </c>
      <c r="I547" s="2">
        <f>SUM(I3:I546)</f>
        <v>2722.3588772012477</v>
      </c>
      <c r="J547" s="2"/>
      <c r="K547" s="2"/>
      <c r="L547" s="2"/>
      <c r="M547" s="2"/>
      <c r="N547" s="2"/>
      <c r="O547" s="2"/>
      <c r="P547" s="7">
        <f>SUM(P3:P546)</f>
        <v>649854989.48670578</v>
      </c>
      <c r="Q547" s="14"/>
      <c r="R547" s="2"/>
      <c r="S547" s="15">
        <f>SUM(S3:S546)</f>
        <v>588883594.72431815</v>
      </c>
      <c r="T547" s="14"/>
      <c r="U547" s="2"/>
      <c r="V547" s="3">
        <f>(U547*O547*H547*365)</f>
        <v>0</v>
      </c>
      <c r="W547" s="2"/>
      <c r="X547" s="2"/>
      <c r="Y547" s="6"/>
      <c r="Z547" s="8">
        <f>SUM(Z3:Z546)</f>
        <v>637285380.3033855</v>
      </c>
      <c r="AA547" s="8">
        <f>SUM(AA3:AA546)</f>
        <v>679396245.22722411</v>
      </c>
      <c r="AB547" s="2"/>
      <c r="AC547" s="2"/>
      <c r="AD547" s="12">
        <f>AC547*H547</f>
        <v>0</v>
      </c>
      <c r="AE547" s="2"/>
      <c r="AF547" s="16"/>
      <c r="AG547" s="16"/>
      <c r="AH547" s="16"/>
      <c r="AI547" s="16"/>
      <c r="AJ547" s="16"/>
      <c r="AK547" s="16"/>
      <c r="AL547" s="16"/>
      <c r="AM547" s="16"/>
      <c r="AN547" s="15">
        <f>SUM(AF547:AM547)</f>
        <v>0</v>
      </c>
      <c r="AO547" s="6"/>
      <c r="AP547" s="11">
        <v>72332.012524458652</v>
      </c>
      <c r="AQ547" s="11">
        <v>68087.369512256235</v>
      </c>
      <c r="AR547" s="2"/>
      <c r="AS547" s="3"/>
      <c r="AT547" s="2"/>
      <c r="AU547" s="2"/>
      <c r="AV547" s="2"/>
      <c r="AW547" s="2"/>
      <c r="AX547" s="8">
        <f>SUM(AX3:AX546)</f>
        <v>241897.38725173633</v>
      </c>
      <c r="AY547" s="8">
        <f>SUM(AY3:AY546)</f>
        <v>232953.82849266421</v>
      </c>
      <c r="AZ547" s="8"/>
      <c r="BA547" s="2"/>
      <c r="BB547" s="2"/>
      <c r="BC547" s="2"/>
      <c r="BD547" s="2"/>
      <c r="BE547" s="2"/>
      <c r="BF547" s="2"/>
      <c r="BG547" s="2"/>
      <c r="BH547" s="2"/>
      <c r="BI547" s="2"/>
      <c r="BP547" s="2"/>
      <c r="BS547" s="4"/>
      <c r="BT547" s="4"/>
      <c r="BU547" s="4"/>
      <c r="BV547" s="4"/>
      <c r="BW547" s="4"/>
    </row>
    <row r="548" spans="1:91" x14ac:dyDescent="0.2">
      <c r="B548" t="str">
        <f>LEFT(A548,LEN(A548)-LEN(RIGHT(A548,1)))</f>
        <v/>
      </c>
      <c r="D548" s="61"/>
      <c r="S548" s="5">
        <f>P547-S547</f>
        <v>60971394.762387633</v>
      </c>
      <c r="T548" s="9"/>
      <c r="V548" s="62"/>
      <c r="Y548" s="1"/>
      <c r="Z548" t="s">
        <v>1230</v>
      </c>
      <c r="AA548" s="75">
        <f>AA547-Z547</f>
        <v>42110864.923838615</v>
      </c>
      <c r="AB548" s="61"/>
      <c r="AF548" s="1"/>
      <c r="AG548" s="1"/>
      <c r="AH548" s="1"/>
      <c r="AI548" s="1"/>
      <c r="AJ548" s="1"/>
      <c r="AK548" s="1"/>
      <c r="AL548" s="1"/>
      <c r="AM548" s="1"/>
      <c r="AN548" s="5"/>
      <c r="AO548" s="18"/>
      <c r="AP548" s="25"/>
      <c r="AQ548" s="63">
        <f>AP547-AQ547</f>
        <v>4244.6430122024176</v>
      </c>
      <c r="AS548" s="18"/>
      <c r="AY548" s="19">
        <f>AX547-AY547</f>
        <v>8943.5587590721261</v>
      </c>
      <c r="AZ548" s="19"/>
    </row>
    <row r="549" spans="1:91" x14ac:dyDescent="0.2">
      <c r="D549" s="2"/>
      <c r="T549" s="4"/>
      <c r="V549" s="3"/>
      <c r="AA549" s="1"/>
      <c r="AB549" s="2"/>
      <c r="AD549" s="12"/>
      <c r="AF549" s="1"/>
      <c r="AG549" s="1"/>
      <c r="AH549" s="1"/>
      <c r="AI549" s="1"/>
      <c r="AJ549" s="1"/>
      <c r="AK549" s="1"/>
      <c r="AL549" s="1"/>
      <c r="AM549" s="1"/>
      <c r="AN549" s="5"/>
      <c r="AO549" s="18"/>
      <c r="AP549" s="25"/>
      <c r="AQ549" s="11"/>
      <c r="AS549" s="18"/>
    </row>
    <row r="551" spans="1:91" x14ac:dyDescent="0.2">
      <c r="H551">
        <f>_xlfn.AGGREGATE(9,1,H3:H546)</f>
        <v>194023.5</v>
      </c>
      <c r="Z551" s="4"/>
      <c r="AA551" s="4">
        <f>_xlfn.AGGREGATE(9,1,AA3:AA543)</f>
        <v>679396245.22722411</v>
      </c>
      <c r="AB551" s="4"/>
      <c r="AD551" s="12">
        <f>_xlfn.AGGREGATE(9,1,AD3:AD546)/H551</f>
        <v>3499.778968910166</v>
      </c>
      <c r="BY551" t="s">
        <v>1222</v>
      </c>
      <c r="BZ551" s="75">
        <f>BY546</f>
        <v>1967.9505230768764</v>
      </c>
    </row>
    <row r="552" spans="1:91" x14ac:dyDescent="0.2">
      <c r="AB552" s="4"/>
      <c r="BY552" t="s">
        <v>706</v>
      </c>
      <c r="BZ552" s="75">
        <f>CA546</f>
        <v>-5132.8820653548592</v>
      </c>
    </row>
    <row r="553" spans="1:91" x14ac:dyDescent="0.2">
      <c r="BY553" t="s">
        <v>1224</v>
      </c>
      <c r="BZ553" s="75"/>
    </row>
    <row r="554" spans="1:91" x14ac:dyDescent="0.2">
      <c r="BY554" t="s">
        <v>1324</v>
      </c>
      <c r="BZ554" s="75"/>
    </row>
    <row r="555" spans="1:91" x14ac:dyDescent="0.2">
      <c r="BY555" t="s">
        <v>1325</v>
      </c>
      <c r="BZ555" s="75">
        <f>CG546</f>
        <v>-20.663353100910186</v>
      </c>
    </row>
    <row r="556" spans="1:91" x14ac:dyDescent="0.2">
      <c r="BY556" t="s">
        <v>541</v>
      </c>
      <c r="BZ556" s="75">
        <f>CI546</f>
        <v>4352.6182871267711</v>
      </c>
    </row>
    <row r="557" spans="1:91" x14ac:dyDescent="0.2">
      <c r="BY557" t="s">
        <v>557</v>
      </c>
      <c r="BZ557">
        <f>CK546</f>
        <v>6860.9541052726299</v>
      </c>
    </row>
    <row r="558" spans="1:91" x14ac:dyDescent="0.2">
      <c r="BY558" t="s">
        <v>1336</v>
      </c>
      <c r="BZ558">
        <f>CM546</f>
        <v>915.58126205149836</v>
      </c>
    </row>
    <row r="559" spans="1:91" x14ac:dyDescent="0.2">
      <c r="BY559" t="s">
        <v>567</v>
      </c>
      <c r="BZ559" s="19">
        <f>SUM(BZ551:BZ558)</f>
        <v>8943.5587590720061</v>
      </c>
    </row>
  </sheetData>
  <sortState xmlns:xlrd2="http://schemas.microsoft.com/office/spreadsheetml/2017/richdata2" ref="A3:BA543">
    <sortCondition ref="A1:A550"/>
  </sortState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3"/>
  <sheetViews>
    <sheetView workbookViewId="0">
      <selection activeCell="D15" sqref="D15"/>
    </sheetView>
  </sheetViews>
  <sheetFormatPr baseColWidth="10" defaultColWidth="8.83203125" defaultRowHeight="15" x14ac:dyDescent="0.2"/>
  <cols>
    <col min="1" max="1" width="18.5" bestFit="1" customWidth="1"/>
  </cols>
  <sheetData>
    <row r="2" spans="1:2" x14ac:dyDescent="0.2">
      <c r="A2" t="s">
        <v>556</v>
      </c>
      <c r="B2" t="s">
        <v>557</v>
      </c>
    </row>
    <row r="3" spans="1:2" x14ac:dyDescent="0.2">
      <c r="A3" t="s">
        <v>537</v>
      </c>
      <c r="B3">
        <v>50</v>
      </c>
    </row>
    <row r="4" spans="1:2" x14ac:dyDescent="0.2">
      <c r="A4" t="s">
        <v>533</v>
      </c>
      <c r="B4">
        <v>50</v>
      </c>
    </row>
    <row r="5" spans="1:2" x14ac:dyDescent="0.2">
      <c r="A5" t="s">
        <v>532</v>
      </c>
      <c r="B5">
        <v>50</v>
      </c>
    </row>
    <row r="6" spans="1:2" x14ac:dyDescent="0.2">
      <c r="A6" t="s">
        <v>538</v>
      </c>
      <c r="B6">
        <v>60</v>
      </c>
    </row>
    <row r="7" spans="1:2" x14ac:dyDescent="0.2">
      <c r="A7" t="s">
        <v>536</v>
      </c>
      <c r="B7">
        <v>60</v>
      </c>
    </row>
    <row r="8" spans="1:2" x14ac:dyDescent="0.2">
      <c r="A8" t="s">
        <v>534</v>
      </c>
      <c r="B8">
        <v>60</v>
      </c>
    </row>
    <row r="9" spans="1:2" x14ac:dyDescent="0.2">
      <c r="A9" t="s">
        <v>524</v>
      </c>
      <c r="B9">
        <v>120</v>
      </c>
    </row>
    <row r="10" spans="1:2" x14ac:dyDescent="0.2">
      <c r="A10" t="s">
        <v>523</v>
      </c>
      <c r="B10">
        <v>120</v>
      </c>
    </row>
    <row r="11" spans="1:2" x14ac:dyDescent="0.2">
      <c r="A11" t="s">
        <v>521</v>
      </c>
      <c r="B11">
        <v>120</v>
      </c>
    </row>
    <row r="12" spans="1:2" x14ac:dyDescent="0.2">
      <c r="A12" t="s">
        <v>519</v>
      </c>
      <c r="B12">
        <v>120</v>
      </c>
    </row>
    <row r="13" spans="1:2" x14ac:dyDescent="0.2">
      <c r="A13" t="s">
        <v>438</v>
      </c>
      <c r="B13">
        <v>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63"/>
  <sheetViews>
    <sheetView zoomScale="80" zoomScaleNormal="80" workbookViewId="0">
      <selection activeCell="F11" sqref="F11"/>
    </sheetView>
  </sheetViews>
  <sheetFormatPr baseColWidth="10" defaultColWidth="8.83203125" defaultRowHeight="15" x14ac:dyDescent="0.2"/>
  <cols>
    <col min="1" max="1" width="35.5" customWidth="1"/>
    <col min="2" max="2" width="23" customWidth="1"/>
    <col min="3" max="3" width="22.5" customWidth="1"/>
    <col min="4" max="5" width="22" customWidth="1"/>
    <col min="6" max="6" width="21" customWidth="1"/>
    <col min="7" max="9" width="21.5" customWidth="1"/>
    <col min="10" max="10" width="20.5" customWidth="1"/>
    <col min="11" max="11" width="21.1640625" customWidth="1"/>
    <col min="12" max="12" width="26" customWidth="1"/>
    <col min="13" max="13" width="16.5" customWidth="1"/>
    <col min="15" max="15" width="17.5" bestFit="1" customWidth="1"/>
    <col min="16" max="16" width="13.5" bestFit="1" customWidth="1"/>
    <col min="17" max="17" width="13.6640625" bestFit="1" customWidth="1"/>
    <col min="18" max="18" width="11.33203125" bestFit="1" customWidth="1"/>
    <col min="19" max="19" width="13.5" bestFit="1" customWidth="1"/>
  </cols>
  <sheetData>
    <row r="1" spans="1:20" x14ac:dyDescent="0.2">
      <c r="A1" s="20" t="s">
        <v>553</v>
      </c>
      <c r="B1" s="20" t="s">
        <v>633</v>
      </c>
      <c r="C1" s="20" t="s">
        <v>565</v>
      </c>
      <c r="D1" s="20" t="s">
        <v>566</v>
      </c>
      <c r="E1" s="27"/>
      <c r="G1" s="20" t="s">
        <v>558</v>
      </c>
      <c r="H1" s="21" t="s">
        <v>607</v>
      </c>
      <c r="I1" s="21" t="s">
        <v>559</v>
      </c>
      <c r="J1" s="20" t="s">
        <v>631</v>
      </c>
      <c r="K1" s="20" t="s">
        <v>632</v>
      </c>
      <c r="L1" s="20" t="s">
        <v>630</v>
      </c>
      <c r="O1" s="20" t="s">
        <v>558</v>
      </c>
      <c r="P1" s="20" t="s">
        <v>1304</v>
      </c>
      <c r="Q1" s="20" t="s">
        <v>1302</v>
      </c>
      <c r="R1" s="20" t="s">
        <v>1303</v>
      </c>
      <c r="S1" s="20" t="s">
        <v>1301</v>
      </c>
      <c r="T1" s="20" t="s">
        <v>1305</v>
      </c>
    </row>
    <row r="2" spans="1:20" x14ac:dyDescent="0.2">
      <c r="A2" s="2" t="s">
        <v>542</v>
      </c>
      <c r="B2" s="2">
        <f ca="1">SUMIF('Coal savings'!$F$3:$H$543,Results!A2,'Coal savings'!$H$3:$H$543)</f>
        <v>48365</v>
      </c>
      <c r="C2" s="2">
        <f ca="1">SUMIF('Coal savings'!$F$278:$H$543,Results!A2,'Coal savings'!$H$278:$H$543)</f>
        <v>605</v>
      </c>
      <c r="D2" s="6">
        <f ca="1">C2/B2</f>
        <v>1.2509045797580895E-2</v>
      </c>
      <c r="E2" s="35"/>
      <c r="G2" s="24" t="s">
        <v>622</v>
      </c>
      <c r="H2" s="24" t="str">
        <f>VLOOKUP(G2,'Target PLF'!$I$2:$J$19,2,FALSE)</f>
        <v>SR</v>
      </c>
      <c r="I2" s="23" t="s">
        <v>571</v>
      </c>
      <c r="J2" s="22">
        <f>SUMIFS('Coal savings'!$I$3:$I$543,'Coal savings'!$C$3:$C$543,Results!G2,'Coal savings'!$E$3:$E$543,Results!I2)</f>
        <v>31.472051456369648</v>
      </c>
      <c r="K2" s="12">
        <f>SUMIFS('Coal savings'!$R$3:$R$277,'Coal savings'!$C$3:$C$277,Results!G2,'Coal savings'!$E$3:$E$277,Results!I2)</f>
        <v>51</v>
      </c>
      <c r="L2" s="6">
        <f t="shared" ref="L2:L7" si="0">(K2-J2)/J2</f>
        <v>0.62048540339679947</v>
      </c>
      <c r="O2" s="2" t="s">
        <v>614</v>
      </c>
      <c r="P2" s="2">
        <f ca="1">SUMIF('Coal savings'!$C$3:$H$543,Results!O2,'Coal savings'!$H$3:$H$543)</f>
        <v>11290</v>
      </c>
      <c r="Q2" s="12">
        <f t="shared" ref="Q2:Q18" ca="1" si="1">SUMIF($G$2:$J$52,O2,$J$2:$J$52)</f>
        <v>156.33693238711822</v>
      </c>
      <c r="R2" s="12">
        <f>SUMIFS('Coal savings'!$H$3:$H$277,'Coal savings'!$C$3:$C$277,Results!O2)</f>
        <v>8380</v>
      </c>
      <c r="S2" s="12">
        <f t="shared" ref="S2:S18" ca="1" si="2">SUMIF($G$2:$K$52,O2,$K$2:$K$52)</f>
        <v>167.952</v>
      </c>
      <c r="T2" s="6">
        <f t="shared" ref="T2:T18" ca="1" si="3">(S2-Q2)/Q2</f>
        <v>7.429509736138859E-2</v>
      </c>
    </row>
    <row r="3" spans="1:20" x14ac:dyDescent="0.2">
      <c r="A3" s="2" t="s">
        <v>543</v>
      </c>
      <c r="B3" s="2">
        <f ca="1">SUMIF('Coal savings'!$F$3:$H$543,Results!A3,'Coal savings'!$H$3:$H$543)</f>
        <v>76983</v>
      </c>
      <c r="C3" s="2">
        <f ca="1">SUMIF('Coal savings'!$F$278:$H$543,Results!A3,'Coal savings'!$H$278:$H$543)</f>
        <v>5168</v>
      </c>
      <c r="D3" s="6">
        <f t="shared" ref="D3:D12" ca="1" si="4">C3/B3</f>
        <v>6.7131704402270634E-2</v>
      </c>
      <c r="E3" s="35"/>
      <c r="G3" s="24" t="s">
        <v>622</v>
      </c>
      <c r="H3" s="24" t="str">
        <f>VLOOKUP(G3,'Target PLF'!$I$2:$J$19,2,FALSE)</f>
        <v>SR</v>
      </c>
      <c r="I3" s="23" t="s">
        <v>570</v>
      </c>
      <c r="J3" s="22">
        <f>SUMIFS('Coal savings'!$I$3:$I$543,'Coal savings'!$C$3:$C$543,Results!G3,'Coal savings'!$E$3:$E$543,Results!I3)</f>
        <v>64.153864820252338</v>
      </c>
      <c r="K3" s="12">
        <f>SUMIFS('Coal savings'!$R$3:$R$277,'Coal savings'!$C$3:$C$277,Results!G3,'Coal savings'!$E$3:$E$277,Results!I3)</f>
        <v>36.72</v>
      </c>
      <c r="L3" s="6">
        <f t="shared" si="0"/>
        <v>-0.42762606582030754</v>
      </c>
      <c r="O3" s="2" t="s">
        <v>624</v>
      </c>
      <c r="P3" s="2">
        <f ca="1">SUMIF('Coal savings'!$C$3:$H$543,Results!O3,'Coal savings'!$H$3:$H$543)</f>
        <v>750</v>
      </c>
      <c r="Q3" s="12">
        <f t="shared" ca="1" si="1"/>
        <v>10.529637895715741</v>
      </c>
      <c r="R3" s="12">
        <f>SUMIFS('Coal savings'!$H$3:$H$277,'Coal savings'!$C$3:$C$277,Results!O3)</f>
        <v>750</v>
      </c>
      <c r="S3" s="12">
        <f t="shared" ca="1" si="2"/>
        <v>8.8650000000000002</v>
      </c>
      <c r="T3" s="6">
        <f t="shared" ca="1" si="3"/>
        <v>-0.1580907066512745</v>
      </c>
    </row>
    <row r="4" spans="1:20" x14ac:dyDescent="0.2">
      <c r="A4" s="2" t="s">
        <v>544</v>
      </c>
      <c r="B4" s="2">
        <f ca="1">SUMIF('Coal savings'!$F$3:$H$543,Results!A4,'Coal savings'!$H$3:$H$543)</f>
        <v>18475</v>
      </c>
      <c r="C4" s="2">
        <f ca="1">SUMIF('Coal savings'!$F$278:$H$543,Results!A4,'Coal savings'!$H$278:$H$543)</f>
        <v>8885</v>
      </c>
      <c r="D4" s="6">
        <f t="shared" ca="1" si="4"/>
        <v>0.48092016238159674</v>
      </c>
      <c r="E4" s="35"/>
      <c r="G4" s="24" t="s">
        <v>622</v>
      </c>
      <c r="H4" s="24" t="str">
        <f>VLOOKUP(G4,'Target PLF'!$I$2:$J$19,2,FALSE)</f>
        <v>SR</v>
      </c>
      <c r="I4" s="23" t="s">
        <v>572</v>
      </c>
      <c r="J4" s="22">
        <f>SUMIFS('Coal savings'!$I$3:$I$543,'Coal savings'!$C$3:$C$543,Results!G4,'Coal savings'!$E$3:$E$543,Results!I4)</f>
        <v>27.140386542451697</v>
      </c>
      <c r="K4" s="12">
        <f>SUMIFS('Coal savings'!$R$3:$R$277,'Coal savings'!$C$3:$C$277,Results!G4,'Coal savings'!$E$3:$E$277,Results!I4)</f>
        <v>48.96</v>
      </c>
      <c r="L4" s="6">
        <f t="shared" si="0"/>
        <v>0.80395367337230461</v>
      </c>
      <c r="O4" s="2" t="s">
        <v>615</v>
      </c>
      <c r="P4" s="2">
        <f ca="1">SUMIF('Coal savings'!$C$3:$H$543,Results!O4,'Coal savings'!$H$3:$H$543)</f>
        <v>6040</v>
      </c>
      <c r="Q4" s="12">
        <f t="shared" ca="1" si="1"/>
        <v>95.431079263414873</v>
      </c>
      <c r="R4" s="12">
        <f>SUMIFS('Coal savings'!$H$3:$H$277,'Coal savings'!$C$3:$C$277,Results!O4)</f>
        <v>4675</v>
      </c>
      <c r="S4" s="12">
        <f t="shared" ca="1" si="2"/>
        <v>85.4619</v>
      </c>
      <c r="T4" s="6">
        <f t="shared" ca="1" si="3"/>
        <v>-0.10446470206940986</v>
      </c>
    </row>
    <row r="5" spans="1:20" x14ac:dyDescent="0.2">
      <c r="A5" s="2" t="s">
        <v>545</v>
      </c>
      <c r="B5" s="2">
        <f ca="1">SUMIF('Coal savings'!$F$3:$H$543,Results!A5,'Coal savings'!$H$3:$H$543)</f>
        <v>7155</v>
      </c>
      <c r="C5" s="2">
        <f ca="1">SUMIF('Coal savings'!$F$278:$H$543,Results!A5,'Coal savings'!$H$278:$H$543)</f>
        <v>3155</v>
      </c>
      <c r="D5" s="6">
        <f t="shared" ca="1" si="4"/>
        <v>0.44095038434661077</v>
      </c>
      <c r="E5" s="35"/>
      <c r="G5" s="24" t="s">
        <v>612</v>
      </c>
      <c r="H5" s="24" t="str">
        <f>VLOOKUP(G5,'Target PLF'!$I$2:$J$19,2,FALSE)</f>
        <v>SR</v>
      </c>
      <c r="I5" s="23" t="s">
        <v>571</v>
      </c>
      <c r="J5" s="22">
        <f>SUMIFS('Coal savings'!$I$3:$I$543,'Coal savings'!$C$3:$C$543,Results!G5,'Coal savings'!$E$3:$E$543,Results!I5)</f>
        <v>16.580749234599281</v>
      </c>
      <c r="K5" s="12">
        <f>SUMIFS('Coal savings'!$R$3:$R$277,'Coal savings'!$C$3:$C$277,Results!G5,'Coal savings'!$E$3:$E$277,Results!I5)</f>
        <v>48.96</v>
      </c>
      <c r="L5" s="6">
        <f t="shared" si="0"/>
        <v>1.9528219326684275</v>
      </c>
      <c r="O5" s="2" t="s">
        <v>611</v>
      </c>
      <c r="P5" s="2">
        <f ca="1">SUMIF('Coal savings'!$C$3:$H$543,Results!O5,'Coal savings'!$H$3:$H$543)</f>
        <v>22723</v>
      </c>
      <c r="Q5" s="12">
        <f t="shared" ca="1" si="1"/>
        <v>314.87142237862776</v>
      </c>
      <c r="R5" s="12">
        <f>SUMIFS('Coal savings'!$H$3:$H$277,'Coal savings'!$C$3:$C$277,Results!O5)</f>
        <v>18430</v>
      </c>
      <c r="S5" s="12">
        <f t="shared" ca="1" si="2"/>
        <v>351.60599999999994</v>
      </c>
      <c r="T5" s="6">
        <f t="shared" ca="1" si="3"/>
        <v>0.11666532752915078</v>
      </c>
    </row>
    <row r="6" spans="1:20" x14ac:dyDescent="0.2">
      <c r="A6" s="2" t="s">
        <v>546</v>
      </c>
      <c r="B6" s="2">
        <f ca="1">SUMIF('Coal savings'!$F$3:$H$543,Results!A6,'Coal savings'!$H$3:$H$543)</f>
        <v>7860</v>
      </c>
      <c r="C6" s="2">
        <f ca="1">SUMIF('Coal savings'!$F$278:$H$543,Results!A6,'Coal savings'!$H$278:$H$543)</f>
        <v>5860</v>
      </c>
      <c r="D6" s="6">
        <f t="shared" ca="1" si="4"/>
        <v>0.74554707379134855</v>
      </c>
      <c r="E6" s="35"/>
      <c r="G6" s="24" t="s">
        <v>612</v>
      </c>
      <c r="H6" s="24" t="str">
        <f>VLOOKUP(G6,'Target PLF'!$I$2:$J$19,2,FALSE)</f>
        <v>SR</v>
      </c>
      <c r="I6" s="23" t="s">
        <v>570</v>
      </c>
      <c r="J6" s="22">
        <f>SUMIFS('Coal savings'!$I$3:$I$543,'Coal savings'!$C$3:$C$543,Results!G6,'Coal savings'!$E$3:$E$543,Results!I6)</f>
        <v>38.596188075297817</v>
      </c>
      <c r="K6" s="12">
        <f>SUMIFS('Coal savings'!$R$3:$R$277,'Coal savings'!$C$3:$C$277,Results!G6,'Coal savings'!$E$3:$E$277,Results!I6)</f>
        <v>69.674999999999997</v>
      </c>
      <c r="L6" s="6">
        <f t="shared" si="0"/>
        <v>0.80523008811310881</v>
      </c>
      <c r="O6" s="2" t="s">
        <v>613</v>
      </c>
      <c r="P6" s="2">
        <f ca="1">SUMIF('Coal savings'!$C$3:$H$543,Results!O6,'Coal savings'!$H$3:$H$543)</f>
        <v>14692</v>
      </c>
      <c r="Q6" s="12">
        <f t="shared" ca="1" si="1"/>
        <v>213.0659879262102</v>
      </c>
      <c r="R6" s="12">
        <f>SUMIFS('Coal savings'!$H$3:$H$277,'Coal savings'!$C$3:$C$277,Results!O6)</f>
        <v>9800</v>
      </c>
      <c r="S6" s="12">
        <f t="shared" ca="1" si="2"/>
        <v>199.92000000000002</v>
      </c>
      <c r="T6" s="6">
        <f t="shared" ca="1" si="3"/>
        <v>-6.1699138629122491E-2</v>
      </c>
    </row>
    <row r="7" spans="1:20" x14ac:dyDescent="0.2">
      <c r="A7" s="2" t="s">
        <v>547</v>
      </c>
      <c r="B7" s="2">
        <f ca="1">SUMIF('Coal savings'!$F$3:$H$543,Results!A7,'Coal savings'!$H$3:$H$543)</f>
        <v>10646</v>
      </c>
      <c r="C7" s="2">
        <f ca="1">SUMIF('Coal savings'!$F$278:$H$543,Results!A7,'Coal savings'!$H$278:$H$543)</f>
        <v>7146</v>
      </c>
      <c r="D7" s="6">
        <f t="shared" ca="1" si="4"/>
        <v>0.67123802367086227</v>
      </c>
      <c r="E7" s="35"/>
      <c r="G7" s="24" t="s">
        <v>612</v>
      </c>
      <c r="H7" s="24" t="str">
        <f>VLOOKUP(G7,'Target PLF'!$I$2:$J$19,2,FALSE)</f>
        <v>SR</v>
      </c>
      <c r="I7" s="23" t="s">
        <v>572</v>
      </c>
      <c r="J7" s="22">
        <f>SUMIFS('Coal savings'!$I$3:$I$543,'Coal savings'!$C$3:$C$543,Results!G7,'Coal savings'!$E$3:$E$543,Results!I7)</f>
        <v>22.21786493842788</v>
      </c>
      <c r="K7" s="12">
        <f>SUMIFS('Coal savings'!$R$3:$R$277,'Coal savings'!$C$3:$C$277,Results!G7,'Coal savings'!$E$3:$E$277,Results!I7)</f>
        <v>24.48</v>
      </c>
      <c r="L7" s="6">
        <f t="shared" si="0"/>
        <v>0.10181604163321499</v>
      </c>
      <c r="O7" s="2" t="s">
        <v>619</v>
      </c>
      <c r="P7" s="2">
        <f ca="1">SUMIF('Coal savings'!$C$3:$H$543,Results!O7,'Coal savings'!$H$3:$H$543)</f>
        <v>5540</v>
      </c>
      <c r="Q7" s="12">
        <f t="shared" ca="1" si="1"/>
        <v>61.365831793236673</v>
      </c>
      <c r="R7" s="12">
        <f>SUMIFS('Coal savings'!$H$3:$H$277,'Coal savings'!$C$3:$C$277,Results!O7)</f>
        <v>4620</v>
      </c>
      <c r="S7" s="12">
        <f t="shared" ca="1" si="2"/>
        <v>88.38</v>
      </c>
      <c r="T7" s="6">
        <f t="shared" ca="1" si="3"/>
        <v>0.44021513955491826</v>
      </c>
    </row>
    <row r="8" spans="1:20" x14ac:dyDescent="0.2">
      <c r="A8" s="2" t="s">
        <v>548</v>
      </c>
      <c r="B8" s="2">
        <f ca="1">SUMIF('Coal savings'!$F$3:$H$543,Results!A8,'Coal savings'!$H$3:$H$543)</f>
        <v>12561</v>
      </c>
      <c r="C8" s="2">
        <f ca="1">SUMIF('Coal savings'!$F$278:$H$543,Results!A8,'Coal savings'!$H$278:$H$543)</f>
        <v>7561</v>
      </c>
      <c r="D8" s="6">
        <f t="shared" ca="1" si="4"/>
        <v>0.60194252049996022</v>
      </c>
      <c r="E8" s="35"/>
      <c r="G8" s="24" t="s">
        <v>614</v>
      </c>
      <c r="H8" s="24" t="str">
        <f>VLOOKUP(G8,'Target PLF'!$I$2:$J$19,2,FALSE)</f>
        <v>SR</v>
      </c>
      <c r="I8" s="23" t="s">
        <v>571</v>
      </c>
      <c r="J8" s="22">
        <f>SUMIFS('Coal savings'!$I$3:$I$543,'Coal savings'!$C$3:$C$543,Results!G8,'Coal savings'!$E$3:$E$543,Results!I8)</f>
        <v>31.862989595140959</v>
      </c>
      <c r="K8" s="12">
        <f>SUMIFS('Coal savings'!$R$3:$R$277,'Coal savings'!$C$3:$C$277,Results!G8,'Coal savings'!$E$3:$E$277,Results!I8)</f>
        <v>38.4</v>
      </c>
      <c r="L8" s="6">
        <f t="shared" ref="L8:L50" si="5">(K8-J8)/J8</f>
        <v>0.20515998303737074</v>
      </c>
      <c r="O8" s="2" t="s">
        <v>623</v>
      </c>
      <c r="P8" s="2">
        <f ca="1">SUMIF('Coal savings'!$C$3:$H$543,Results!O8,'Coal savings'!$H$3:$H$543)</f>
        <v>4460</v>
      </c>
      <c r="Q8" s="12">
        <f t="shared" ca="1" si="1"/>
        <v>73.014610420124257</v>
      </c>
      <c r="R8" s="12">
        <f>SUMIFS('Coal savings'!$H$3:$H$277,'Coal savings'!$C$3:$C$277,Results!O8)</f>
        <v>3090</v>
      </c>
      <c r="S8" s="12">
        <f t="shared" ca="1" si="2"/>
        <v>58.402799999999999</v>
      </c>
      <c r="T8" s="6">
        <f t="shared" ca="1" si="3"/>
        <v>-0.20012173366464961</v>
      </c>
    </row>
    <row r="9" spans="1:20" x14ac:dyDescent="0.2">
      <c r="A9" s="2" t="s">
        <v>549</v>
      </c>
      <c r="B9" s="2">
        <f ca="1">SUMIF('Coal savings'!$F$3:$H$543,Results!A9,'Coal savings'!$H$3:$H$543)</f>
        <v>8501</v>
      </c>
      <c r="C9" s="2">
        <f ca="1">SUMIF('Coal savings'!$F$278:$H$543,Results!A9,'Coal savings'!$H$278:$H$543)</f>
        <v>8501</v>
      </c>
      <c r="D9" s="6">
        <f t="shared" ca="1" si="4"/>
        <v>1</v>
      </c>
      <c r="E9" s="35"/>
      <c r="G9" s="24" t="s">
        <v>614</v>
      </c>
      <c r="H9" s="24" t="str">
        <f>VLOOKUP(G9,'Target PLF'!$I$2:$J$19,2,FALSE)</f>
        <v>SR</v>
      </c>
      <c r="I9" s="23" t="s">
        <v>570</v>
      </c>
      <c r="J9" s="22">
        <f>SUMIFS('Coal savings'!$I$3:$I$543,'Coal savings'!$C$3:$C$543,Results!G9,'Coal savings'!$E$3:$E$543,Results!I9)</f>
        <v>67.439484846918532</v>
      </c>
      <c r="K9" s="12">
        <f>SUMIFS('Coal savings'!$R$3:$R$277,'Coal savings'!$C$3:$C$277,Results!G9,'Coal savings'!$E$3:$E$277,Results!I9)</f>
        <v>54.480000000000004</v>
      </c>
      <c r="L9" s="6">
        <f t="shared" si="5"/>
        <v>-0.19216464770357269</v>
      </c>
      <c r="O9" s="2" t="s">
        <v>612</v>
      </c>
      <c r="P9" s="2">
        <f ca="1">SUMIF('Coal savings'!$C$3:$H$543,Results!O9,'Coal savings'!$H$3:$H$543)</f>
        <v>9480</v>
      </c>
      <c r="Q9" s="12">
        <f t="shared" ca="1" si="1"/>
        <v>77.394802248324979</v>
      </c>
      <c r="R9" s="12">
        <f>SUMIFS('Coal savings'!$H$3:$H$277,'Coal savings'!$C$3:$C$277,Results!O9)</f>
        <v>7150</v>
      </c>
      <c r="S9" s="12">
        <f t="shared" ca="1" si="2"/>
        <v>143.11499999999998</v>
      </c>
      <c r="T9" s="6">
        <f t="shared" ca="1" si="3"/>
        <v>0.84915518668564538</v>
      </c>
    </row>
    <row r="10" spans="1:20" x14ac:dyDescent="0.2">
      <c r="A10" s="2" t="s">
        <v>550</v>
      </c>
      <c r="B10" s="2">
        <f ca="1">SUMIF('Coal savings'!$F$3:$H$543,Results!A10,'Coal savings'!$H$3:$H$543)</f>
        <v>2335</v>
      </c>
      <c r="C10" s="2">
        <f ca="1">SUMIF('Coal savings'!$F$278:$H$543,Results!A10,'Coal savings'!$H$278:$H$543)</f>
        <v>2335</v>
      </c>
      <c r="D10" s="6">
        <f t="shared" ca="1" si="4"/>
        <v>1</v>
      </c>
      <c r="E10" s="35"/>
      <c r="G10" s="24" t="s">
        <v>614</v>
      </c>
      <c r="H10" s="24" t="str">
        <f>VLOOKUP(G10,'Target PLF'!$I$2:$J$19,2,FALSE)</f>
        <v>SR</v>
      </c>
      <c r="I10" s="23" t="s">
        <v>572</v>
      </c>
      <c r="J10" s="22">
        <f>SUMIFS('Coal savings'!$I$3:$I$543,'Coal savings'!$C$3:$C$543,Results!G10,'Coal savings'!$E$3:$E$543,Results!I10)</f>
        <v>57.034457945058719</v>
      </c>
      <c r="K10" s="12">
        <f>SUMIFS('Coal savings'!$R$3:$R$277,'Coal savings'!$C$3:$C$277,Results!G10,'Coal savings'!$E$3:$E$277,Results!I10)</f>
        <v>75.072000000000003</v>
      </c>
      <c r="L10" s="6">
        <f t="shared" si="5"/>
        <v>0.31625692090063945</v>
      </c>
      <c r="O10" s="2" t="s">
        <v>609</v>
      </c>
      <c r="P10" s="2">
        <f ca="1">SUMIF('Coal savings'!$C$3:$H$543,Results!O10,'Coal savings'!$H$3:$H$543)</f>
        <v>20490</v>
      </c>
      <c r="Q10" s="12">
        <f t="shared" ca="1" si="1"/>
        <v>333.29797870621348</v>
      </c>
      <c r="R10" s="12">
        <f>SUMIFS('Coal savings'!$H$3:$H$277,'Coal savings'!$C$3:$C$277,Results!O10)</f>
        <v>17260</v>
      </c>
      <c r="S10" s="12">
        <f t="shared" ca="1" si="2"/>
        <v>338.12400000000008</v>
      </c>
      <c r="T10" s="6">
        <f t="shared" ca="1" si="3"/>
        <v>1.4479599643898552E-2</v>
      </c>
    </row>
    <row r="11" spans="1:20" x14ac:dyDescent="0.2">
      <c r="A11" s="2" t="s">
        <v>551</v>
      </c>
      <c r="B11" s="2">
        <f ca="1">SUMIF('Coal savings'!$F$3:$H$543,Results!A11,'Coal savings'!$H$3:$H$543)</f>
        <v>1142.5</v>
      </c>
      <c r="C11" s="2">
        <f ca="1">SUMIF('Coal savings'!$F$278:$H$543,Results!A11,'Coal savings'!$H$278:$H$543)</f>
        <v>1142.5</v>
      </c>
      <c r="D11" s="6">
        <f t="shared" ca="1" si="4"/>
        <v>1</v>
      </c>
      <c r="E11" s="35"/>
      <c r="G11" s="24" t="s">
        <v>610</v>
      </c>
      <c r="H11" s="24" t="str">
        <f>VLOOKUP(G11,'Target PLF'!$I$2:$J$19,2,FALSE)</f>
        <v>SR</v>
      </c>
      <c r="I11" s="23" t="s">
        <v>571</v>
      </c>
      <c r="J11" s="22">
        <f>SUMIFS('Coal savings'!$I$3:$I$543,'Coal savings'!$C$3:$C$543,Results!G11,'Coal savings'!$E$3:$E$543,Results!I11)</f>
        <v>49.934209357640853</v>
      </c>
      <c r="K11" s="12">
        <f>SUMIFS('Coal savings'!$R$3:$R$277,'Coal savings'!$C$3:$C$277,Results!G11,'Coal savings'!$E$3:$E$277,Results!I11)</f>
        <v>26.73</v>
      </c>
      <c r="L11" s="6">
        <f t="shared" si="5"/>
        <v>-0.46469563964549249</v>
      </c>
      <c r="O11" s="2" t="s">
        <v>617</v>
      </c>
      <c r="P11" s="2">
        <f ca="1">SUMIF('Coal savings'!$C$3:$H$543,Results!O11,'Coal savings'!$H$3:$H$543)</f>
        <v>23115</v>
      </c>
      <c r="Q11" s="12">
        <f t="shared" ca="1" si="1"/>
        <v>297.0533577875691</v>
      </c>
      <c r="R11" s="12">
        <f>SUMIFS('Coal savings'!$H$3:$H$277,'Coal savings'!$C$3:$C$277,Results!O11)</f>
        <v>16320</v>
      </c>
      <c r="S11" s="12">
        <f t="shared" ca="1" si="2"/>
        <v>298.52400000000006</v>
      </c>
      <c r="T11" s="6">
        <f t="shared" ca="1" si="3"/>
        <v>4.9507678465047205E-3</v>
      </c>
    </row>
    <row r="12" spans="1:20" x14ac:dyDescent="0.2">
      <c r="A12" s="2" t="s">
        <v>567</v>
      </c>
      <c r="B12" s="7">
        <f ca="1">SUM(B2:B11)</f>
        <v>194023.5</v>
      </c>
      <c r="C12" s="7">
        <f ca="1">SUM(C2:C11)</f>
        <v>50358.5</v>
      </c>
      <c r="D12" s="6">
        <f t="shared" ca="1" si="4"/>
        <v>0.25954845675910393</v>
      </c>
      <c r="E12" s="35"/>
      <c r="G12" s="24" t="s">
        <v>610</v>
      </c>
      <c r="H12" s="24" t="str">
        <f>VLOOKUP(G12,'Target PLF'!$I$2:$J$19,2,FALSE)</f>
        <v>SR</v>
      </c>
      <c r="I12" s="23" t="s">
        <v>570</v>
      </c>
      <c r="J12" s="22">
        <f>SUMIFS('Coal savings'!$I$3:$I$543,'Coal savings'!$C$3:$C$543,Results!G12,'Coal savings'!$E$3:$E$543,Results!I12)</f>
        <v>89.342021868007876</v>
      </c>
      <c r="K12" s="12">
        <f>SUMIFS('Coal savings'!$R$3:$R$277,'Coal savings'!$C$3:$C$277,Results!G12,'Coal savings'!$E$3:$E$277,Results!I12)</f>
        <v>73.440000000000012</v>
      </c>
      <c r="L12" s="6">
        <f t="shared" si="5"/>
        <v>-0.17799039618222648</v>
      </c>
      <c r="O12" s="2" t="s">
        <v>608</v>
      </c>
      <c r="P12" s="2">
        <f ca="1">SUMIF('Coal savings'!$C$3:$H$543,Results!O12,'Coal savings'!$H$3:$H$543)</f>
        <v>9450</v>
      </c>
      <c r="Q12" s="12">
        <f t="shared" ca="1" si="1"/>
        <v>120.38392238750788</v>
      </c>
      <c r="R12" s="12">
        <f>SUMIFS('Coal savings'!$H$3:$H$277,'Coal savings'!$C$3:$C$277,Results!O12)</f>
        <v>8570</v>
      </c>
      <c r="S12" s="12">
        <f t="shared" ca="1" si="2"/>
        <v>163.21799999999999</v>
      </c>
      <c r="T12" s="6">
        <f t="shared" ca="1" si="3"/>
        <v>0.35581227761139106</v>
      </c>
    </row>
    <row r="13" spans="1:20" x14ac:dyDescent="0.2">
      <c r="C13" s="5">
        <f ca="1">B12-C12</f>
        <v>143665</v>
      </c>
      <c r="G13" s="24" t="s">
        <v>610</v>
      </c>
      <c r="H13" s="24" t="str">
        <f>VLOOKUP(G13,'Target PLF'!$I$2:$J$19,2,FALSE)</f>
        <v>SR</v>
      </c>
      <c r="I13" s="23" t="s">
        <v>572</v>
      </c>
      <c r="J13" s="22">
        <f>SUMIFS('Coal savings'!$I$3:$I$543,'Coal savings'!$C$3:$C$543,Results!G13,'Coal savings'!$E$3:$E$543,Results!I13)</f>
        <v>0</v>
      </c>
      <c r="K13" s="12">
        <f>SUMIFS('Coal savings'!$R$3:$R$277,'Coal savings'!$C$3:$C$277,Results!G13,'Coal savings'!$E$3:$E$277,Results!I13)</f>
        <v>0</v>
      </c>
      <c r="L13" s="6"/>
      <c r="O13" s="2" t="s">
        <v>618</v>
      </c>
      <c r="P13" s="2">
        <f ca="1">SUMIF('Coal savings'!$C$3:$H$543,Results!O13,'Coal savings'!$H$3:$H$543)</f>
        <v>5680</v>
      </c>
      <c r="Q13" s="12">
        <f t="shared" ca="1" si="1"/>
        <v>67.548811922304125</v>
      </c>
      <c r="R13" s="12">
        <f>SUMIFS('Coal savings'!$H$3:$H$277,'Coal savings'!$C$3:$C$277,Results!O13)</f>
        <v>3920</v>
      </c>
      <c r="S13" s="12">
        <f t="shared" ca="1" si="2"/>
        <v>75.334800000000001</v>
      </c>
      <c r="T13" s="6">
        <f t="shared" ca="1" si="3"/>
        <v>0.11526461911204984</v>
      </c>
    </row>
    <row r="14" spans="1:20" x14ac:dyDescent="0.2">
      <c r="G14" s="24" t="s">
        <v>618</v>
      </c>
      <c r="H14" s="24" t="str">
        <f>VLOOKUP(G14,'Target PLF'!$I$2:$J$19,2,FALSE)</f>
        <v>NR</v>
      </c>
      <c r="I14" s="23" t="s">
        <v>571</v>
      </c>
      <c r="J14" s="22">
        <f>SUMIFS('Coal savings'!$I$3:$I$543,'Coal savings'!$C$3:$C$543,Results!G14,'Coal savings'!$E$3:$E$543,Results!I14)</f>
        <v>0</v>
      </c>
      <c r="K14" s="12">
        <f>SUMIFS('Coal savings'!$R$3:$R$277,'Coal savings'!$C$3:$C$277,Results!G14,'Coal savings'!$E$3:$E$277,Results!I14)</f>
        <v>0</v>
      </c>
      <c r="L14" s="6"/>
      <c r="O14" s="2" t="s">
        <v>616</v>
      </c>
      <c r="P14" s="2">
        <f ca="1">SUMIF('Coal savings'!$C$3:$H$543,Results!O14,'Coal savings'!$H$3:$H$543)</f>
        <v>7580</v>
      </c>
      <c r="Q14" s="12">
        <f t="shared" ca="1" si="1"/>
        <v>109.5889138633495</v>
      </c>
      <c r="R14" s="12">
        <f>SUMIFS('Coal savings'!$H$3:$H$277,'Coal savings'!$C$3:$C$277,Results!O14)</f>
        <v>4340</v>
      </c>
      <c r="S14" s="12">
        <f t="shared" ca="1" si="2"/>
        <v>84.245999999999995</v>
      </c>
      <c r="T14" s="6">
        <f t="shared" ca="1" si="3"/>
        <v>-0.23125435748866469</v>
      </c>
    </row>
    <row r="15" spans="1:20" x14ac:dyDescent="0.2">
      <c r="G15" s="24" t="s">
        <v>618</v>
      </c>
      <c r="H15" s="24" t="str">
        <f>VLOOKUP(G15,'Target PLF'!$I$2:$J$19,2,FALSE)</f>
        <v>NR</v>
      </c>
      <c r="I15" s="23" t="s">
        <v>570</v>
      </c>
      <c r="J15" s="22">
        <f>SUMIFS('Coal savings'!$I$3:$I$543,'Coal savings'!$C$3:$C$543,Results!G15,'Coal savings'!$E$3:$E$543,Results!I15)</f>
        <v>9.4971698510434308</v>
      </c>
      <c r="K15" s="12">
        <f>SUMIFS('Coal savings'!$R$3:$R$277,'Coal savings'!$C$3:$C$277,Results!G15,'Coal savings'!$E$3:$E$277,Results!I15)</f>
        <v>0</v>
      </c>
      <c r="L15" s="6">
        <f t="shared" si="5"/>
        <v>-1</v>
      </c>
      <c r="O15" s="2" t="s">
        <v>622</v>
      </c>
      <c r="P15" s="2">
        <f ca="1">SUMIF('Coal savings'!$C$3:$H$543,Results!O15,'Coal savings'!$H$3:$H$543)</f>
        <v>9220</v>
      </c>
      <c r="Q15" s="12">
        <f t="shared" ca="1" si="1"/>
        <v>122.76630281907367</v>
      </c>
      <c r="R15" s="12">
        <f>SUMIFS('Coal savings'!$H$3:$H$277,'Coal savings'!$C$3:$C$277,Results!O15)</f>
        <v>6700</v>
      </c>
      <c r="S15" s="12">
        <f t="shared" ca="1" si="2"/>
        <v>136.68</v>
      </c>
      <c r="T15" s="6">
        <f t="shared" ca="1" si="3"/>
        <v>0.11333482284166843</v>
      </c>
    </row>
    <row r="16" spans="1:20" x14ac:dyDescent="0.2">
      <c r="A16" s="20" t="s">
        <v>607</v>
      </c>
      <c r="B16" s="20" t="s">
        <v>631</v>
      </c>
      <c r="C16" s="20" t="s">
        <v>632</v>
      </c>
      <c r="D16" s="20" t="s">
        <v>630</v>
      </c>
      <c r="E16" s="27"/>
      <c r="G16" s="24" t="s">
        <v>618</v>
      </c>
      <c r="H16" s="24" t="str">
        <f>VLOOKUP(G16,'Target PLF'!$I$2:$J$19,2,FALSE)</f>
        <v>NR</v>
      </c>
      <c r="I16" s="23" t="s">
        <v>572</v>
      </c>
      <c r="J16" s="22">
        <f>SUMIFS('Coal savings'!$I$3:$I$543,'Coal savings'!$C$3:$C$543,Results!G16,'Coal savings'!$E$3:$E$543,Results!I16)</f>
        <v>58.051642071260694</v>
      </c>
      <c r="K16" s="12">
        <f>SUMIFS('Coal savings'!$R$3:$R$277,'Coal savings'!$C$3:$C$277,Results!G16,'Coal savings'!$E$3:$E$277,Results!I16)</f>
        <v>75.334800000000001</v>
      </c>
      <c r="L16" s="6">
        <f t="shared" si="5"/>
        <v>0.29772039708236925</v>
      </c>
      <c r="O16" s="2" t="s">
        <v>610</v>
      </c>
      <c r="P16" s="2">
        <f ca="1">SUMIF('Coal savings'!$C$3:$H$543,Results!O16,'Coal savings'!$H$3:$H$543)</f>
        <v>7422.5</v>
      </c>
      <c r="Q16" s="12">
        <f t="shared" ca="1" si="1"/>
        <v>139.27623122564873</v>
      </c>
      <c r="R16" s="12">
        <f>SUMIFS('Coal savings'!$H$3:$H$277,'Coal savings'!$C$3:$C$277,Results!O16)</f>
        <v>5600</v>
      </c>
      <c r="S16" s="12">
        <f t="shared" ca="1" si="2"/>
        <v>100.17000000000002</v>
      </c>
      <c r="T16" s="6">
        <f t="shared" ca="1" si="3"/>
        <v>-0.28078180233273731</v>
      </c>
    </row>
    <row r="17" spans="1:20" x14ac:dyDescent="0.2">
      <c r="A17" s="2" t="s">
        <v>627</v>
      </c>
      <c r="B17" s="12">
        <f ca="1">SUMIF($H$2:$J$52,$A17,$J$2:$J$52)</f>
        <v>495.77426868016551</v>
      </c>
      <c r="C17" s="12">
        <f ca="1">SUMIF($H$2:$K$52,$A17,$K$2:$K$52)</f>
        <v>547.91700000000003</v>
      </c>
      <c r="D17" s="6">
        <f ca="1">(C17-B17)/B17</f>
        <v>0.10517433964180362</v>
      </c>
      <c r="E17" s="35"/>
      <c r="G17" s="24" t="s">
        <v>616</v>
      </c>
      <c r="H17" s="24" t="str">
        <f>VLOOKUP(G17,'Target PLF'!$I$2:$J$19,2,FALSE)</f>
        <v>NR</v>
      </c>
      <c r="I17" s="23" t="s">
        <v>571</v>
      </c>
      <c r="J17" s="22">
        <f>SUMIFS('Coal savings'!$I$3:$I$543,'Coal savings'!$C$3:$C$543,Results!G17,'Coal savings'!$E$3:$E$543,Results!I17)</f>
        <v>0</v>
      </c>
      <c r="K17" s="12">
        <f>SUMIFS('Coal savings'!$R$3:$R$277,'Coal savings'!$C$3:$C$277,Results!G17,'Coal savings'!$E$3:$E$277,Results!I17)</f>
        <v>0</v>
      </c>
      <c r="L17" s="6"/>
      <c r="O17" s="2" t="s">
        <v>634</v>
      </c>
      <c r="P17" s="2">
        <f ca="1">SUMIF('Coal savings'!$C$3:$H$543,Results!O17,'Coal savings'!$H$3:$H$543)</f>
        <v>22455</v>
      </c>
      <c r="Q17" s="12">
        <f t="shared" ca="1" si="1"/>
        <v>331.32986864419229</v>
      </c>
      <c r="R17" s="12">
        <f>SUMIFS('Coal savings'!$H$3:$H$277,'Coal savings'!$C$3:$C$277,Results!O17)</f>
        <v>16360</v>
      </c>
      <c r="S17" s="12">
        <f t="shared" ca="1" si="2"/>
        <v>286.74</v>
      </c>
      <c r="T17" s="6">
        <f t="shared" ca="1" si="3"/>
        <v>-0.13457847560394967</v>
      </c>
    </row>
    <row r="18" spans="1:20" x14ac:dyDescent="0.2">
      <c r="A18" s="2" t="s">
        <v>628</v>
      </c>
      <c r="B18" s="12">
        <f ca="1">SUMIF($H$2:$J$52,$A18,$J$2:$J$52)</f>
        <v>569.83342622308248</v>
      </c>
      <c r="C18" s="12">
        <f ca="1">SUMIF($H$2:$K$52,$A18,$K$2:$K$52)</f>
        <v>534.70079999999996</v>
      </c>
      <c r="D18" s="6">
        <f ca="1">(C18-B18)/B18</f>
        <v>-6.165420385382684E-2</v>
      </c>
      <c r="E18" s="35"/>
      <c r="G18" s="24" t="s">
        <v>616</v>
      </c>
      <c r="H18" s="24" t="str">
        <f>VLOOKUP(G18,'Target PLF'!$I$2:$J$19,2,FALSE)</f>
        <v>NR</v>
      </c>
      <c r="I18" s="23" t="s">
        <v>570</v>
      </c>
      <c r="J18" s="22">
        <f>SUMIFS('Coal savings'!$I$3:$I$543,'Coal savings'!$C$3:$C$543,Results!G18,'Coal savings'!$E$3:$E$543,Results!I18)</f>
        <v>90.660219017657056</v>
      </c>
      <c r="K18" s="12">
        <f>SUMIFS('Coal savings'!$R$3:$R$277,'Coal savings'!$C$3:$C$277,Results!G18,'Coal savings'!$E$3:$E$277,Results!I18)</f>
        <v>57.317999999999998</v>
      </c>
      <c r="L18" s="6">
        <f t="shared" si="5"/>
        <v>-0.36777121629458343</v>
      </c>
      <c r="O18" s="2" t="s">
        <v>621</v>
      </c>
      <c r="P18" s="2">
        <f ca="1">SUMIF('Coal savings'!$C$3:$H$543,Results!O18,'Coal savings'!$H$3:$H$543)</f>
        <v>13636</v>
      </c>
      <c r="Q18" s="12">
        <f t="shared" ca="1" si="1"/>
        <v>199.10318553261985</v>
      </c>
      <c r="R18" s="12">
        <f>SUMIFS('Coal savings'!$H$3:$H$277,'Coal savings'!$C$3:$C$277,Results!O18)</f>
        <v>7700</v>
      </c>
      <c r="S18" s="12">
        <f t="shared" ca="1" si="2"/>
        <v>136.488</v>
      </c>
      <c r="T18" s="6">
        <f t="shared" ca="1" si="3"/>
        <v>-0.31448610611185507</v>
      </c>
    </row>
    <row r="19" spans="1:20" x14ac:dyDescent="0.2">
      <c r="A19" s="2" t="s">
        <v>625</v>
      </c>
      <c r="B19" s="12">
        <f ca="1">SUMIF($H$2:$J$52,$A19,$J$2:$J$52)</f>
        <v>487.93279760366687</v>
      </c>
      <c r="C19" s="12">
        <f ca="1">SUMIF($H$2:$K$52,$A19,$K$2:$K$52)</f>
        <v>443.57069999999999</v>
      </c>
      <c r="D19" s="6">
        <f ca="1">(C19-B19)/B19</f>
        <v>-9.0918458077706182E-2</v>
      </c>
      <c r="E19" s="35"/>
      <c r="G19" s="24" t="s">
        <v>616</v>
      </c>
      <c r="H19" s="24" t="str">
        <f>VLOOKUP(G19,'Target PLF'!$I$2:$J$19,2,FALSE)</f>
        <v>NR</v>
      </c>
      <c r="I19" s="23" t="s">
        <v>572</v>
      </c>
      <c r="J19" s="22">
        <f>SUMIFS('Coal savings'!$I$3:$I$543,'Coal savings'!$C$3:$C$543,Results!G19,'Coal savings'!$E$3:$E$543,Results!I19)</f>
        <v>18.928694845692451</v>
      </c>
      <c r="K19" s="12">
        <f>SUMIFS('Coal savings'!$R$3:$R$277,'Coal savings'!$C$3:$C$277,Results!G19,'Coal savings'!$E$3:$E$277,Results!I19)</f>
        <v>26.928000000000001</v>
      </c>
      <c r="L19" s="6">
        <f t="shared" si="5"/>
        <v>0.42260204517629107</v>
      </c>
      <c r="O19" s="2" t="s">
        <v>567</v>
      </c>
      <c r="P19" s="2">
        <f ca="1">SUM(P2:P18)</f>
        <v>194023.5</v>
      </c>
      <c r="Q19" s="12">
        <f ca="1">SUM(Q2:Q18)</f>
        <v>2722.3588772012517</v>
      </c>
      <c r="R19" s="2">
        <f>SUM(R2:R18)</f>
        <v>143665</v>
      </c>
      <c r="S19" s="12">
        <f ca="1">SUM(S2:S18)</f>
        <v>2723.2275000000004</v>
      </c>
      <c r="T19" s="87"/>
    </row>
    <row r="20" spans="1:20" x14ac:dyDescent="0.2">
      <c r="A20" s="2" t="s">
        <v>626</v>
      </c>
      <c r="B20" s="12">
        <f ca="1">SUMIF($H$2:$J$52,$A20,$J$2:$J$52)</f>
        <v>1158.2887467986204</v>
      </c>
      <c r="C20" s="12">
        <f ca="1">SUMIF($H$2:$K$52,$A20,$K$2:$K$52)</f>
        <v>1188.174</v>
      </c>
      <c r="D20" s="6">
        <f ca="1">(C20-B20)/B20</f>
        <v>2.5801211730649226E-2</v>
      </c>
      <c r="E20" s="35"/>
      <c r="G20" s="24" t="s">
        <v>619</v>
      </c>
      <c r="H20" s="24" t="str">
        <f>VLOOKUP(G20,'Target PLF'!$I$2:$J$19,2,FALSE)</f>
        <v>NR</v>
      </c>
      <c r="I20" s="23" t="s">
        <v>571</v>
      </c>
      <c r="J20" s="22">
        <f>SUMIFS('Coal savings'!$I$3:$I$543,'Coal savings'!$C$3:$C$543,Results!G20,'Coal savings'!$E$3:$E$543,Results!I20)</f>
        <v>16.836731509027189</v>
      </c>
      <c r="K20" s="12">
        <f>SUMIFS('Coal savings'!$R$3:$R$277,'Coal savings'!$C$3:$C$277,Results!G20,'Coal savings'!$E$3:$E$277,Results!I20)</f>
        <v>30.599999999999998</v>
      </c>
      <c r="L20" s="6">
        <f t="shared" si="5"/>
        <v>0.81745488924578324</v>
      </c>
    </row>
    <row r="21" spans="1:20" ht="64" x14ac:dyDescent="0.2">
      <c r="A21" s="2" t="s">
        <v>629</v>
      </c>
      <c r="B21" s="12">
        <f ca="1">SUMIF($H$2:$J$52,$A21,$J$2:$J$52)</f>
        <v>10.529637895715741</v>
      </c>
      <c r="C21" s="12">
        <f ca="1">SUMIF($H$2:$K$52,$A21,$K$2:$K$52)</f>
        <v>8.8650000000000002</v>
      </c>
      <c r="D21" s="6">
        <f ca="1">(C21-B21)/B21</f>
        <v>-0.1580907066512745</v>
      </c>
      <c r="E21" s="35"/>
      <c r="G21" s="24" t="s">
        <v>619</v>
      </c>
      <c r="H21" s="24" t="str">
        <f>VLOOKUP(G21,'Target PLF'!$I$2:$J$19,2,FALSE)</f>
        <v>NR</v>
      </c>
      <c r="I21" s="23" t="s">
        <v>570</v>
      </c>
      <c r="J21" s="22">
        <f>SUMIFS('Coal savings'!$I$3:$I$543,'Coal savings'!$C$3:$C$543,Results!G21,'Coal savings'!$E$3:$E$543,Results!I21)</f>
        <v>25.502661079096221</v>
      </c>
      <c r="K21" s="12">
        <f>SUMIFS('Coal savings'!$R$3:$R$277,'Coal savings'!$C$3:$C$277,Results!G21,'Coal savings'!$E$3:$E$277,Results!I21)</f>
        <v>30.851999999999997</v>
      </c>
      <c r="L21" s="6">
        <f t="shared" si="5"/>
        <v>0.20975610758080737</v>
      </c>
      <c r="O21" s="77" t="s">
        <v>558</v>
      </c>
      <c r="P21" s="78" t="s">
        <v>1263</v>
      </c>
      <c r="Q21" s="78" t="s">
        <v>1265</v>
      </c>
      <c r="R21" s="8" t="s">
        <v>1264</v>
      </c>
    </row>
    <row r="22" spans="1:20" x14ac:dyDescent="0.2">
      <c r="G22" s="24" t="s">
        <v>619</v>
      </c>
      <c r="H22" s="24" t="str">
        <f>VLOOKUP(G22,'Target PLF'!$I$2:$J$19,2,FALSE)</f>
        <v>NR</v>
      </c>
      <c r="I22" s="23" t="s">
        <v>572</v>
      </c>
      <c r="J22" s="22">
        <f>SUMIFS('Coal savings'!$I$3:$I$543,'Coal savings'!$C$3:$C$543,Results!G22,'Coal savings'!$E$3:$E$543,Results!I22)</f>
        <v>19.026439205113263</v>
      </c>
      <c r="K22" s="12">
        <f>SUMIFS('Coal savings'!$R$3:$R$277,'Coal savings'!$C$3:$C$277,Results!G22,'Coal savings'!$E$3:$E$277,Results!I22)</f>
        <v>26.928000000000001</v>
      </c>
      <c r="L22" s="6">
        <f t="shared" si="5"/>
        <v>0.41529372415429322</v>
      </c>
      <c r="O22" s="8" t="s">
        <v>614</v>
      </c>
      <c r="P22" s="8">
        <f ca="1">SUMIF(Sheet4!$B$2:$I$542,Results!O22,Sheet4!$I$2:$I$542)</f>
        <v>9050</v>
      </c>
      <c r="Q22" s="8">
        <f>SUMIFS(Sheet4!$I$2:$I$542,Sheet4!$B$2:$B$542,Results!O22,Sheet4!$H$2:$H$542,"Operational")</f>
        <v>6740</v>
      </c>
      <c r="R22" s="8">
        <f>SUMIFS(Sheet4!$J$2:$J$542,Sheet4!$B$2:$B$542,Results!O22,Sheet4!$H$2:$H$542,"Operational")</f>
        <v>1640</v>
      </c>
    </row>
    <row r="23" spans="1:20" x14ac:dyDescent="0.2">
      <c r="A23" s="20" t="s">
        <v>559</v>
      </c>
      <c r="B23" s="20" t="s">
        <v>631</v>
      </c>
      <c r="C23" s="20" t="s">
        <v>632</v>
      </c>
      <c r="D23" s="20" t="s">
        <v>630</v>
      </c>
      <c r="E23" s="27"/>
      <c r="G23" s="24" t="s">
        <v>634</v>
      </c>
      <c r="H23" s="24" t="str">
        <f>VLOOKUP(G23,'Target PLF'!$I$2:$J$19,2,FALSE)</f>
        <v>NR</v>
      </c>
      <c r="I23" s="23" t="s">
        <v>571</v>
      </c>
      <c r="J23" s="22">
        <f>SUMIFS('Coal savings'!$I$3:$I$543,'Coal savings'!$C$3:$C$543,Results!G23,'Coal savings'!$E$3:$E$543,Results!I23)</f>
        <v>167.61958512090354</v>
      </c>
      <c r="K23" s="12">
        <f>SUMIFS('Coal savings'!$R$3:$R$277,'Coal savings'!$C$3:$C$277,Results!G23,'Coal savings'!$E$3:$E$277,Results!I23)</f>
        <v>119.17199999999998</v>
      </c>
      <c r="L23" s="6">
        <f t="shared" si="5"/>
        <v>-0.28903296166708947</v>
      </c>
      <c r="O23" s="8" t="s">
        <v>624</v>
      </c>
      <c r="P23" s="8">
        <f ca="1">SUMIF(Sheet4!$B$2:$I$542,Results!O23,Sheet4!$I$2:$I$542)</f>
        <v>250</v>
      </c>
      <c r="Q23" s="8">
        <f>SUMIFS(Sheet4!$I$2:$I$542,Sheet4!$B$2:$B$542,Results!O23,Sheet4!$H$2:$H$542,"Operational")</f>
        <v>250</v>
      </c>
      <c r="R23" s="8">
        <f>SUMIFS(Sheet4!$J$2:$J$542,Sheet4!$B$2:$B$542,Results!O23,Sheet4!$H$2:$H$542,"Operational")</f>
        <v>500</v>
      </c>
    </row>
    <row r="24" spans="1:20" x14ac:dyDescent="0.2">
      <c r="A24" s="23" t="s">
        <v>571</v>
      </c>
      <c r="B24" s="12">
        <f ca="1">SUMIF($I$2:$J$52,$A24,$J$2:$J$52)</f>
        <v>901.06758603413368</v>
      </c>
      <c r="C24" s="12">
        <f ca="1">SUMIF($I$2:$K$52,$A24,$K$2:$K$52)</f>
        <v>868.20089999999993</v>
      </c>
      <c r="D24" s="6">
        <f ca="1">(C24-B24)/B24</f>
        <v>-3.6475272824749813E-2</v>
      </c>
      <c r="E24" s="35"/>
      <c r="G24" s="24" t="s">
        <v>634</v>
      </c>
      <c r="H24" s="24" t="str">
        <f>VLOOKUP(G24,'Target PLF'!$I$2:$J$19,2,FALSE)</f>
        <v>NR</v>
      </c>
      <c r="I24" s="23" t="s">
        <v>570</v>
      </c>
      <c r="J24" s="22">
        <f>SUMIFS('Coal savings'!$I$3:$I$543,'Coal savings'!$C$3:$C$543,Results!G24,'Coal savings'!$E$3:$E$543,Results!I24)</f>
        <v>83.493446588143968</v>
      </c>
      <c r="K24" s="12">
        <f>SUMIFS('Coal savings'!$R$3:$R$277,'Coal savings'!$C$3:$C$277,Results!G24,'Coal savings'!$E$3:$E$277,Results!I24)</f>
        <v>48.11999999999999</v>
      </c>
      <c r="L24" s="6">
        <f t="shared" si="5"/>
        <v>-0.42366734197276495</v>
      </c>
      <c r="O24" s="8" t="s">
        <v>615</v>
      </c>
      <c r="P24" s="8">
        <f ca="1">SUMIF(Sheet4!$B$2:$I$542,Results!O24,Sheet4!$I$2:$I$542)</f>
        <v>5930</v>
      </c>
      <c r="Q24" s="8">
        <f>SUMIFS(Sheet4!$I$2:$I$542,Sheet4!$B$2:$B$542,Results!O24,Sheet4!$H$2:$H$542,"Operational")</f>
        <v>4675</v>
      </c>
      <c r="R24" s="8">
        <f>SUMIFS(Sheet4!$J$2:$J$542,Sheet4!$B$2:$B$542,Results!O24,Sheet4!$H$2:$H$542,"Operational")</f>
        <v>0</v>
      </c>
    </row>
    <row r="25" spans="1:20" x14ac:dyDescent="0.2">
      <c r="A25" s="23" t="s">
        <v>570</v>
      </c>
      <c r="B25" s="12">
        <f ca="1">SUMIF($I$2:$J$52,$A25,$J$2:$J$52)</f>
        <v>872.07287747845839</v>
      </c>
      <c r="C25" s="12">
        <f ca="1">SUMIF($I$2:$K$52,$A25,$K$2:$K$52)</f>
        <v>673.08600000000001</v>
      </c>
      <c r="D25" s="6">
        <f ca="1">(C25-B25)/B25</f>
        <v>-0.22817689050692175</v>
      </c>
      <c r="E25" s="35"/>
      <c r="G25" s="24" t="s">
        <v>634</v>
      </c>
      <c r="H25" s="24" t="str">
        <f>VLOOKUP(G25,'Target PLF'!$I$2:$J$19,2,FALSE)</f>
        <v>NR</v>
      </c>
      <c r="I25" s="23" t="s">
        <v>572</v>
      </c>
      <c r="J25" s="22">
        <f>SUMIFS('Coal savings'!$I$3:$I$543,'Coal savings'!$C$3:$C$543,Results!G25,'Coal savings'!$E$3:$E$543,Results!I25)</f>
        <v>80.216836935144755</v>
      </c>
      <c r="K25" s="12">
        <f>SUMIFS('Coal savings'!$R$3:$R$277,'Coal savings'!$C$3:$C$277,Results!G25,'Coal savings'!$E$3:$E$277,Results!I25)</f>
        <v>119.44800000000002</v>
      </c>
      <c r="L25" s="6">
        <f t="shared" si="5"/>
        <v>0.48906394921272733</v>
      </c>
      <c r="O25" s="8" t="s">
        <v>611</v>
      </c>
      <c r="P25" s="8">
        <f ca="1">SUMIF(Sheet4!$B$2:$I$542,Results!O25,Sheet4!$I$2:$I$542)</f>
        <v>18698</v>
      </c>
      <c r="Q25" s="8">
        <f>SUMIFS(Sheet4!$I$2:$I$542,Sheet4!$B$2:$B$542,Results!O25,Sheet4!$H$2:$H$542,"Operational")</f>
        <v>14875</v>
      </c>
      <c r="R25" s="8">
        <f>SUMIFS(Sheet4!$J$2:$J$542,Sheet4!$B$2:$B$542,Results!O25,Sheet4!$H$2:$H$542,"Operational")</f>
        <v>3555</v>
      </c>
    </row>
    <row r="26" spans="1:20" x14ac:dyDescent="0.2">
      <c r="A26" s="23" t="s">
        <v>572</v>
      </c>
      <c r="B26" s="12">
        <f ca="1">SUMIF($I$2:$J$52,$A26,$J$2:$J$52)</f>
        <v>949.21841368865944</v>
      </c>
      <c r="C26" s="12">
        <f ca="1">SUMIF($I$2:$K$52,$A26,$K$2:$K$52)</f>
        <v>1181.9406000000001</v>
      </c>
      <c r="D26" s="6">
        <f ca="1">(C26-B26)/B26</f>
        <v>0.24517243129216498</v>
      </c>
      <c r="E26" s="35"/>
      <c r="G26" s="24" t="s">
        <v>623</v>
      </c>
      <c r="H26" s="24" t="str">
        <f>VLOOKUP(G26,'Target PLF'!$I$2:$J$19,2,FALSE)</f>
        <v>ER</v>
      </c>
      <c r="I26" s="23" t="s">
        <v>571</v>
      </c>
      <c r="J26" s="22">
        <f>SUMIFS('Coal savings'!$I$3:$I$543,'Coal savings'!$C$3:$C$543,Results!G26,'Coal savings'!$E$3:$E$543,Results!I26)</f>
        <v>36.601284887607925</v>
      </c>
      <c r="K26" s="12">
        <f>SUMIFS('Coal savings'!$R$3:$R$277,'Coal savings'!$C$3:$C$277,Results!G26,'Coal savings'!$E$3:$E$277,Results!I26)</f>
        <v>30.599999999999998</v>
      </c>
      <c r="L26" s="6">
        <f t="shared" si="5"/>
        <v>-0.16396377630009865</v>
      </c>
      <c r="O26" s="8" t="s">
        <v>613</v>
      </c>
      <c r="P26" s="8">
        <f ca="1">SUMIF(Sheet4!$B$2:$I$542,Results!O26,Sheet4!$I$2:$I$542)</f>
        <v>14692</v>
      </c>
      <c r="Q26" s="8">
        <f>SUMIFS(Sheet4!$I$2:$I$542,Sheet4!$B$2:$B$542,Results!O26,Sheet4!$H$2:$H$542,"Operational")</f>
        <v>9800</v>
      </c>
      <c r="R26" s="8">
        <f>SUMIFS(Sheet4!$J$2:$J$542,Sheet4!$B$2:$B$542,Results!O26,Sheet4!$H$2:$H$542,"Operational")</f>
        <v>0</v>
      </c>
    </row>
    <row r="27" spans="1:20" x14ac:dyDescent="0.2">
      <c r="G27" s="24" t="s">
        <v>623</v>
      </c>
      <c r="H27" s="24" t="str">
        <f>VLOOKUP(G27,'Target PLF'!$I$2:$J$19,2,FALSE)</f>
        <v>ER</v>
      </c>
      <c r="I27" s="23" t="s">
        <v>570</v>
      </c>
      <c r="J27" s="22">
        <f>SUMIFS('Coal savings'!$I$3:$I$543,'Coal savings'!$C$3:$C$543,Results!G27,'Coal savings'!$E$3:$E$543,Results!I27)</f>
        <v>5.7034940427635599</v>
      </c>
      <c r="K27" s="12">
        <f>SUMIFS('Coal savings'!$R$3:$R$277,'Coal savings'!$C$3:$C$277,Results!G27,'Coal savings'!$E$3:$E$277,Results!I27)</f>
        <v>0</v>
      </c>
      <c r="L27" s="6">
        <f t="shared" si="5"/>
        <v>-1</v>
      </c>
      <c r="O27" s="8" t="s">
        <v>619</v>
      </c>
      <c r="P27" s="8">
        <f ca="1">SUMIF(Sheet4!$B$2:$I$542,Results!O27,Sheet4!$I$2:$I$542)</f>
        <v>5540</v>
      </c>
      <c r="Q27" s="8">
        <f>SUMIFS(Sheet4!$I$2:$I$542,Sheet4!$B$2:$B$542,Results!O27,Sheet4!$H$2:$H$542,"Operational")</f>
        <v>4620</v>
      </c>
      <c r="R27" s="8">
        <f>SUMIFS(Sheet4!$J$2:$J$542,Sheet4!$B$2:$B$542,Results!O27,Sheet4!$H$2:$H$542,"Operational")</f>
        <v>0</v>
      </c>
    </row>
    <row r="28" spans="1:20" x14ac:dyDescent="0.2">
      <c r="G28" s="24" t="s">
        <v>623</v>
      </c>
      <c r="H28" s="24" t="str">
        <f>VLOOKUP(G28,'Target PLF'!$I$2:$J$19,2,FALSE)</f>
        <v>ER</v>
      </c>
      <c r="I28" s="23" t="s">
        <v>572</v>
      </c>
      <c r="J28" s="22">
        <f>SUMIFS('Coal savings'!$I$3:$I$543,'Coal savings'!$C$3:$C$543,Results!G28,'Coal savings'!$E$3:$E$543,Results!I28)</f>
        <v>30.709831489752769</v>
      </c>
      <c r="K28" s="12">
        <f>SUMIFS('Coal savings'!$R$3:$R$277,'Coal savings'!$C$3:$C$277,Results!G28,'Coal savings'!$E$3:$E$277,Results!I28)</f>
        <v>27.802800000000005</v>
      </c>
      <c r="L28" s="6">
        <f t="shared" si="5"/>
        <v>-9.4661264771927531E-2</v>
      </c>
      <c r="O28" s="8" t="s">
        <v>623</v>
      </c>
      <c r="P28" s="8">
        <f ca="1">SUMIF(Sheet4!$B$2:$I$542,Results!O28,Sheet4!$I$2:$I$542)</f>
        <v>3510</v>
      </c>
      <c r="Q28" s="8">
        <f>SUMIFS(Sheet4!$I$2:$I$542,Sheet4!$B$2:$B$542,Results!O28,Sheet4!$H$2:$H$542,"Operational")</f>
        <v>2590</v>
      </c>
      <c r="R28" s="8">
        <f>SUMIFS(Sheet4!$J$2:$J$542,Sheet4!$B$2:$B$542,Results!O28,Sheet4!$H$2:$H$542,"Operational")</f>
        <v>500</v>
      </c>
    </row>
    <row r="29" spans="1:20" x14ac:dyDescent="0.2">
      <c r="A29" s="20" t="s">
        <v>649</v>
      </c>
      <c r="B29" s="20" t="s">
        <v>650</v>
      </c>
      <c r="G29" s="24" t="s">
        <v>608</v>
      </c>
      <c r="H29" s="24" t="str">
        <f>VLOOKUP(G29,'Target PLF'!$I$2:$J$19,2,FALSE)</f>
        <v>ER</v>
      </c>
      <c r="I29" s="23" t="s">
        <v>571</v>
      </c>
      <c r="J29" s="22">
        <f>SUMIFS('Coal savings'!$I$3:$I$543,'Coal savings'!$C$3:$C$543,Results!G29,'Coal savings'!$E$3:$E$543,Results!I29)</f>
        <v>67.471380726009997</v>
      </c>
      <c r="K29" s="12">
        <f>SUMIFS('Coal savings'!$R$3:$R$277,'Coal savings'!$C$3:$C$277,Results!G29,'Coal savings'!$E$3:$E$277,Results!I29)</f>
        <v>66.63</v>
      </c>
      <c r="L29" s="6">
        <f t="shared" si="5"/>
        <v>-1.2470186869699732E-2</v>
      </c>
      <c r="O29" s="8" t="s">
        <v>612</v>
      </c>
      <c r="P29" s="8">
        <f ca="1">SUMIF(Sheet4!$B$2:$I$542,Results!O29,Sheet4!$I$2:$I$542)</f>
        <v>8620</v>
      </c>
      <c r="Q29" s="8">
        <f>SUMIFS(Sheet4!$I$2:$I$542,Sheet4!$B$2:$B$542,Results!O29,Sheet4!$H$2:$H$542,"Operational")</f>
        <v>7150</v>
      </c>
      <c r="R29" s="8">
        <f>SUMIFS(Sheet4!$J$2:$J$542,Sheet4!$B$2:$B$542,Results!O29,Sheet4!$H$2:$H$542,"Operational")</f>
        <v>0</v>
      </c>
    </row>
    <row r="30" spans="1:20" x14ac:dyDescent="0.2">
      <c r="A30" s="2" t="s">
        <v>651</v>
      </c>
      <c r="B30" s="8">
        <f>'Coal savings'!AP547</f>
        <v>72332.012524458652</v>
      </c>
      <c r="G30" s="24" t="s">
        <v>608</v>
      </c>
      <c r="H30" s="24" t="str">
        <f>VLOOKUP(G30,'Target PLF'!$I$2:$J$19,2,FALSE)</f>
        <v>ER</v>
      </c>
      <c r="I30" s="23" t="s">
        <v>570</v>
      </c>
      <c r="J30" s="22">
        <f>SUMIFS('Coal savings'!$I$3:$I$543,'Coal savings'!$C$3:$C$543,Results!G30,'Coal savings'!$E$3:$E$543,Results!I30)</f>
        <v>22.89662582550331</v>
      </c>
      <c r="K30" s="12">
        <f>SUMIFS('Coal savings'!$R$3:$R$277,'Coal savings'!$C$3:$C$277,Results!G30,'Coal savings'!$E$3:$E$277,Results!I30)</f>
        <v>26.928000000000001</v>
      </c>
      <c r="L30" s="6">
        <f t="shared" si="5"/>
        <v>0.17606848298173092</v>
      </c>
      <c r="O30" s="8" t="s">
        <v>609</v>
      </c>
      <c r="P30" s="8">
        <f ca="1">SUMIF(Sheet4!$B$2:$I$542,Results!O30,Sheet4!$I$2:$I$542)</f>
        <v>18600</v>
      </c>
      <c r="Q30" s="8">
        <f>SUMIFS(Sheet4!$I$2:$I$542,Sheet4!$B$2:$B$542,Results!O30,Sheet4!$H$2:$H$542,"Operational")</f>
        <v>15460</v>
      </c>
      <c r="R30" s="8">
        <f>SUMIFS(Sheet4!$J$2:$J$542,Sheet4!$B$2:$B$542,Results!O30,Sheet4!$H$2:$H$542,"Operational")</f>
        <v>1800</v>
      </c>
    </row>
    <row r="31" spans="1:20" x14ac:dyDescent="0.2">
      <c r="A31" s="2" t="s">
        <v>652</v>
      </c>
      <c r="B31" s="8">
        <f>'Coal savings'!AQ547</f>
        <v>68087.369512256235</v>
      </c>
      <c r="G31" s="24" t="s">
        <v>608</v>
      </c>
      <c r="H31" s="24" t="str">
        <f>VLOOKUP(G31,'Target PLF'!$I$2:$J$19,2,FALSE)</f>
        <v>ER</v>
      </c>
      <c r="I31" s="23" t="s">
        <v>572</v>
      </c>
      <c r="J31" s="22">
        <f>SUMIFS('Coal savings'!$I$3:$I$543,'Coal savings'!$C$3:$C$543,Results!G31,'Coal savings'!$E$3:$E$543,Results!I31)</f>
        <v>30.015915835994573</v>
      </c>
      <c r="K31" s="12">
        <f>SUMIFS('Coal savings'!$R$3:$R$277,'Coal savings'!$C$3:$C$277,Results!G31,'Coal savings'!$E$3:$E$277,Results!I31)</f>
        <v>69.66</v>
      </c>
      <c r="L31" s="6">
        <f t="shared" si="5"/>
        <v>1.3207687674971726</v>
      </c>
      <c r="O31" s="8" t="s">
        <v>617</v>
      </c>
      <c r="P31" s="8">
        <f ca="1">SUMIF(Sheet4!$B$2:$I$542,Results!O31,Sheet4!$I$2:$I$542)</f>
        <v>21090</v>
      </c>
      <c r="Q31" s="8">
        <f>SUMIFS(Sheet4!$I$2:$I$542,Sheet4!$B$2:$B$542,Results!O31,Sheet4!$H$2:$H$542,"Operational")</f>
        <v>16020</v>
      </c>
      <c r="R31" s="8">
        <f>SUMIFS(Sheet4!$J$2:$J$542,Sheet4!$B$2:$B$542,Results!O31,Sheet4!$H$2:$H$542,"Operational")</f>
        <v>300</v>
      </c>
    </row>
    <row r="32" spans="1:20" x14ac:dyDescent="0.2">
      <c r="A32" s="2" t="s">
        <v>712</v>
      </c>
      <c r="B32" s="8">
        <f>B30-B31</f>
        <v>4244.6430122024176</v>
      </c>
      <c r="G32" s="24" t="s">
        <v>621</v>
      </c>
      <c r="H32" s="24" t="str">
        <f>VLOOKUP(G32,'Target PLF'!$I$2:$J$19,2,FALSE)</f>
        <v>ER</v>
      </c>
      <c r="I32" s="23" t="s">
        <v>571</v>
      </c>
      <c r="J32" s="22">
        <f>SUMIFS('Coal savings'!$I$3:$I$543,'Coal savings'!$C$3:$C$543,Results!G32,'Coal savings'!$E$3:$E$543,Results!I32)</f>
        <v>102.65973564213023</v>
      </c>
      <c r="K32" s="12">
        <f>SUMIFS('Coal savings'!$R$3:$R$277,'Coal savings'!$C$3:$C$277,Results!G32,'Coal savings'!$E$3:$E$277,Results!I32)</f>
        <v>87.3</v>
      </c>
      <c r="L32" s="6">
        <f t="shared" si="5"/>
        <v>-0.14961791539843783</v>
      </c>
      <c r="O32" s="8" t="s">
        <v>608</v>
      </c>
      <c r="P32" s="8">
        <f ca="1">SUMIF(Sheet4!$B$2:$I$542,Results!O32,Sheet4!$I$2:$I$542)</f>
        <v>8062</v>
      </c>
      <c r="Q32" s="8">
        <f>SUMIFS(Sheet4!$I$2:$I$542,Sheet4!$B$2:$B$542,Results!O32,Sheet4!$H$2:$H$542,"Operational")</f>
        <v>7182</v>
      </c>
      <c r="R32" s="8">
        <f>SUMIFS(Sheet4!$J$2:$J$542,Sheet4!$B$2:$B$542,Results!O32,Sheet4!$H$2:$H$542,"Operational")</f>
        <v>1388</v>
      </c>
    </row>
    <row r="33" spans="1:18" x14ac:dyDescent="0.2">
      <c r="A33" s="2" t="s">
        <v>713</v>
      </c>
      <c r="B33" s="57">
        <f>(B32*2.5)/10</f>
        <v>1061.1607530506044</v>
      </c>
      <c r="G33" s="24" t="s">
        <v>621</v>
      </c>
      <c r="H33" s="24" t="str">
        <f>VLOOKUP(G33,'Target PLF'!$I$2:$J$19,2,FALSE)</f>
        <v>ER</v>
      </c>
      <c r="I33" s="23" t="s">
        <v>570</v>
      </c>
      <c r="J33" s="22">
        <f>SUMIFS('Coal savings'!$I$3:$I$543,'Coal savings'!$C$3:$C$543,Results!G33,'Coal savings'!$E$3:$E$543,Results!I33)</f>
        <v>67.1508512895536</v>
      </c>
      <c r="K33" s="12">
        <f>SUMIFS('Coal savings'!$R$3:$R$277,'Coal savings'!$C$3:$C$277,Results!G33,'Coal savings'!$E$3:$E$277,Results!I33)</f>
        <v>36.947999999999993</v>
      </c>
      <c r="L33" s="6">
        <f t="shared" si="5"/>
        <v>-0.44977614891759604</v>
      </c>
      <c r="O33" s="8" t="s">
        <v>618</v>
      </c>
      <c r="P33" s="8">
        <f ca="1">SUMIF(Sheet4!$B$2:$I$542,Results!O33,Sheet4!$I$2:$I$542)</f>
        <v>4208.666666666667</v>
      </c>
      <c r="Q33" s="8">
        <f>SUMIFS(Sheet4!$I$2:$I$542,Sheet4!$B$2:$B$542,Results!O33,Sheet4!$H$2:$H$542,"Operational")</f>
        <v>2520</v>
      </c>
      <c r="R33" s="8">
        <f>SUMIFS(Sheet4!$J$2:$J$542,Sheet4!$B$2:$B$542,Results!O33,Sheet4!$H$2:$H$542,"Operational")</f>
        <v>1400</v>
      </c>
    </row>
    <row r="34" spans="1:18" x14ac:dyDescent="0.2">
      <c r="G34" s="24" t="s">
        <v>621</v>
      </c>
      <c r="H34" s="24" t="str">
        <f>VLOOKUP(G34,'Target PLF'!$I$2:$J$19,2,FALSE)</f>
        <v>ER</v>
      </c>
      <c r="I34" s="23" t="s">
        <v>572</v>
      </c>
      <c r="J34" s="22">
        <f>SUMIFS('Coal savings'!$I$3:$I$543,'Coal savings'!$C$3:$C$543,Results!G34,'Coal savings'!$E$3:$E$543,Results!I34)</f>
        <v>29.292598600936021</v>
      </c>
      <c r="K34" s="12">
        <f>SUMIFS('Coal savings'!$R$3:$R$277,'Coal savings'!$C$3:$C$277,Results!G34,'Coal savings'!$E$3:$E$277,Results!I34)</f>
        <v>12.24</v>
      </c>
      <c r="L34" s="6">
        <f t="shared" si="5"/>
        <v>-0.58214700693680077</v>
      </c>
      <c r="O34" s="8" t="s">
        <v>616</v>
      </c>
      <c r="P34" s="8">
        <f ca="1">SUMIF(Sheet4!$B$2:$I$542,Results!O34,Sheet4!$I$2:$I$542)</f>
        <v>7580</v>
      </c>
      <c r="Q34" s="8">
        <f>SUMIFS(Sheet4!$I$2:$I$542,Sheet4!$B$2:$B$542,Results!O34,Sheet4!$H$2:$H$542,"Operational")</f>
        <v>4340</v>
      </c>
      <c r="R34" s="8">
        <f>SUMIFS(Sheet4!$J$2:$J$542,Sheet4!$B$2:$B$542,Results!O34,Sheet4!$H$2:$H$542,"Operational")</f>
        <v>0</v>
      </c>
    </row>
    <row r="35" spans="1:18" x14ac:dyDescent="0.2">
      <c r="B35" s="94" t="s">
        <v>598</v>
      </c>
      <c r="C35" s="94"/>
      <c r="D35" s="94" t="s">
        <v>576</v>
      </c>
      <c r="E35" s="94"/>
      <c r="G35" s="24" t="s">
        <v>615</v>
      </c>
      <c r="H35" s="24" t="str">
        <f>VLOOKUP(G35,'Target PLF'!$I$2:$J$19,2,FALSE)</f>
        <v>ER</v>
      </c>
      <c r="I35" s="23" t="s">
        <v>571</v>
      </c>
      <c r="J35" s="22">
        <f>SUMIFS('Coal savings'!$I$3:$I$543,'Coal savings'!$C$3:$C$543,Results!G35,'Coal savings'!$E$3:$E$543,Results!I35)</f>
        <v>95.431079263414873</v>
      </c>
      <c r="K35" s="12">
        <f>SUMIFS('Coal savings'!$R$3:$R$277,'Coal savings'!$C$3:$C$277,Results!G35,'Coal savings'!$E$3:$E$277,Results!I35)</f>
        <v>85.4619</v>
      </c>
      <c r="L35" s="6">
        <f t="shared" si="5"/>
        <v>-0.10446470206940986</v>
      </c>
      <c r="O35" s="8" t="s">
        <v>622</v>
      </c>
      <c r="P35" s="8">
        <f ca="1">SUMIF(Sheet4!$B$2:$I$542,Results!O35,Sheet4!$I$2:$I$542)</f>
        <v>9118</v>
      </c>
      <c r="Q35" s="8">
        <f>SUMIFS(Sheet4!$I$2:$I$542,Sheet4!$B$2:$B$542,Results!O35,Sheet4!$H$2:$H$542,"Operational")</f>
        <v>6598</v>
      </c>
      <c r="R35" s="8">
        <f>SUMIFS(Sheet4!$J$2:$J$542,Sheet4!$B$2:$B$542,Results!O35,Sheet4!$H$2:$H$542,"Operational")</f>
        <v>102</v>
      </c>
    </row>
    <row r="36" spans="1:18" x14ac:dyDescent="0.2">
      <c r="A36" s="20" t="s">
        <v>559</v>
      </c>
      <c r="B36" s="20" t="s">
        <v>655</v>
      </c>
      <c r="C36" s="20" t="s">
        <v>656</v>
      </c>
      <c r="D36" s="20" t="s">
        <v>655</v>
      </c>
      <c r="E36" s="20" t="s">
        <v>656</v>
      </c>
      <c r="G36" s="24" t="s">
        <v>615</v>
      </c>
      <c r="H36" s="24" t="str">
        <f>VLOOKUP(G36,'Target PLF'!$I$2:$J$19,2,FALSE)</f>
        <v>ER</v>
      </c>
      <c r="I36" s="23" t="s">
        <v>570</v>
      </c>
      <c r="J36" s="22">
        <f>SUMIFS('Coal savings'!$I$3:$I$543,'Coal savings'!$C$3:$C$543,Results!G36,'Coal savings'!$E$3:$E$543,Results!I36)</f>
        <v>0</v>
      </c>
      <c r="K36" s="12">
        <f>SUMIFS('Coal savings'!$R$3:$R$277,'Coal savings'!$C$3:$C$277,Results!G36,'Coal savings'!$E$3:$E$277,Results!I36)</f>
        <v>0</v>
      </c>
      <c r="L36" s="6"/>
      <c r="O36" s="8" t="s">
        <v>610</v>
      </c>
      <c r="P36" s="8">
        <f ca="1">SUMIF(Sheet4!$B$2:$I$542,Results!O36,Sheet4!$I$2:$I$542)</f>
        <v>6762.5</v>
      </c>
      <c r="Q36" s="8">
        <f>SUMIFS(Sheet4!$I$2:$I$542,Sheet4!$B$2:$B$542,Results!O36,Sheet4!$H$2:$H$542,"Operational")</f>
        <v>5600</v>
      </c>
      <c r="R36" s="8">
        <f>SUMIFS(Sheet4!$J$2:$J$542,Sheet4!$B$2:$B$542,Results!O36,Sheet4!$H$2:$H$542,"Operational")</f>
        <v>0</v>
      </c>
    </row>
    <row r="37" spans="1:18" x14ac:dyDescent="0.2">
      <c r="A37" s="23" t="s">
        <v>571</v>
      </c>
      <c r="B37" s="8">
        <v>44095</v>
      </c>
      <c r="C37" s="8">
        <v>2910</v>
      </c>
      <c r="D37" s="8">
        <v>10665</v>
      </c>
      <c r="E37" s="8">
        <v>320</v>
      </c>
      <c r="G37" s="24" t="s">
        <v>615</v>
      </c>
      <c r="H37" s="24" t="str">
        <f>VLOOKUP(G37,'Target PLF'!$I$2:$J$19,2,FALSE)</f>
        <v>ER</v>
      </c>
      <c r="I37" s="23" t="s">
        <v>572</v>
      </c>
      <c r="J37" s="22">
        <f>SUMIFS('Coal savings'!$I$3:$I$543,'Coal savings'!$C$3:$C$543,Results!G37,'Coal savings'!$E$3:$E$543,Results!I37)</f>
        <v>0</v>
      </c>
      <c r="K37" s="12">
        <f>SUMIFS('Coal savings'!$R$3:$R$277,'Coal savings'!$C$3:$C$277,Results!G37,'Coal savings'!$E$3:$E$277,Results!I37)</f>
        <v>0</v>
      </c>
      <c r="L37" s="6"/>
      <c r="O37" s="8" t="s">
        <v>634</v>
      </c>
      <c r="P37" s="8">
        <f ca="1">SUMIF(Sheet4!$B$2:$I$542,Results!O37,Sheet4!$I$2:$I$542)</f>
        <v>21267</v>
      </c>
      <c r="Q37" s="8">
        <f>SUMIFS(Sheet4!$I$2:$I$542,Sheet4!$B$2:$B$542,Results!O37,Sheet4!$H$2:$H$542,"Operational")</f>
        <v>15485</v>
      </c>
      <c r="R37" s="8">
        <f>SUMIFS(Sheet4!$J$2:$J$542,Sheet4!$B$2:$B$542,Results!O37,Sheet4!$H$2:$H$542,"Operational")</f>
        <v>875</v>
      </c>
    </row>
    <row r="38" spans="1:18" x14ac:dyDescent="0.2">
      <c r="A38" s="23" t="s">
        <v>572</v>
      </c>
      <c r="B38" s="8">
        <v>52470</v>
      </c>
      <c r="C38" s="8">
        <v>8250</v>
      </c>
      <c r="D38" s="8">
        <v>5888</v>
      </c>
      <c r="E38" s="8">
        <v>3658</v>
      </c>
      <c r="G38" s="24" t="s">
        <v>611</v>
      </c>
      <c r="H38" s="24" t="str">
        <f>VLOOKUP(G38,'Target PLF'!$I$2:$J$19,2,FALSE)</f>
        <v>WR</v>
      </c>
      <c r="I38" s="23" t="s">
        <v>571</v>
      </c>
      <c r="J38" s="22">
        <f>SUMIFS('Coal savings'!$I$3:$I$543,'Coal savings'!$C$3:$C$543,Results!G38,'Coal savings'!$E$3:$E$543,Results!I38)</f>
        <v>130.10474831997132</v>
      </c>
      <c r="K38" s="12">
        <f>SUMIFS('Coal savings'!$R$3:$R$277,'Coal savings'!$C$3:$C$277,Results!G38,'Coal savings'!$E$3:$E$277,Results!I38)</f>
        <v>103.84199999999997</v>
      </c>
      <c r="L38" s="6">
        <f t="shared" si="5"/>
        <v>-0.20185849216957419</v>
      </c>
      <c r="O38" s="8" t="s">
        <v>621</v>
      </c>
      <c r="P38" s="8">
        <f ca="1">SUMIF(Sheet4!$B$2:$I$542,Results!O38,Sheet4!$I$2:$I$542)</f>
        <v>11156</v>
      </c>
      <c r="Q38" s="8">
        <f>SUMIFS(Sheet4!$I$2:$I$542,Sheet4!$B$2:$B$542,Results!O38,Sheet4!$H$2:$H$542,"Operational")</f>
        <v>5550</v>
      </c>
      <c r="R38" s="8">
        <f>SUMIFS(Sheet4!$J$2:$J$542,Sheet4!$B$2:$B$542,Results!O38,Sheet4!$H$2:$H$542,"Operational")</f>
        <v>2150</v>
      </c>
    </row>
    <row r="39" spans="1:18" x14ac:dyDescent="0.2">
      <c r="A39" s="23" t="s">
        <v>570</v>
      </c>
      <c r="B39" s="8">
        <v>35390</v>
      </c>
      <c r="C39" s="8">
        <v>550</v>
      </c>
      <c r="D39" s="7">
        <v>29837.5</v>
      </c>
      <c r="E39" s="8"/>
      <c r="G39" s="24" t="s">
        <v>611</v>
      </c>
      <c r="H39" s="24" t="str">
        <f>VLOOKUP(G39,'Target PLF'!$I$2:$J$19,2,FALSE)</f>
        <v>WR</v>
      </c>
      <c r="I39" s="23" t="s">
        <v>570</v>
      </c>
      <c r="J39" s="22">
        <f>SUMIFS('Coal savings'!$I$3:$I$543,'Coal savings'!$C$3:$C$543,Results!G39,'Coal savings'!$E$3:$E$543,Results!I39)</f>
        <v>55.171383764303904</v>
      </c>
      <c r="K39" s="12">
        <f>SUMIFS('Coal savings'!$R$3:$R$277,'Coal savings'!$C$3:$C$277,Results!G39,'Coal savings'!$E$3:$E$277,Results!I39)</f>
        <v>30.599999999999998</v>
      </c>
      <c r="L39" s="6">
        <f t="shared" si="5"/>
        <v>-0.44536464536170806</v>
      </c>
      <c r="O39" s="29" t="s">
        <v>567</v>
      </c>
      <c r="P39" s="8">
        <f ca="1">SUM(P22:P38)</f>
        <v>174134.16666666669</v>
      </c>
      <c r="Q39" s="8">
        <f>SUM(Q22:Q38)</f>
        <v>129455</v>
      </c>
      <c r="R39" s="8">
        <f>SUM(R22:R38)</f>
        <v>14210</v>
      </c>
    </row>
    <row r="40" spans="1:18" x14ac:dyDescent="0.2">
      <c r="A40" s="2" t="s">
        <v>567</v>
      </c>
      <c r="B40" s="8">
        <f>SUM(B37:B39)</f>
        <v>131955</v>
      </c>
      <c r="C40" s="8">
        <f>SUM(C37:C39)</f>
        <v>11710</v>
      </c>
      <c r="D40" s="7">
        <f>SUM(D37:D39)</f>
        <v>46390.5</v>
      </c>
      <c r="E40" s="8">
        <f>SUM(E37:E39)</f>
        <v>3978</v>
      </c>
      <c r="G40" s="24" t="s">
        <v>611</v>
      </c>
      <c r="H40" s="24" t="str">
        <f>VLOOKUP(G40,'Target PLF'!$I$2:$J$19,2,FALSE)</f>
        <v>WR</v>
      </c>
      <c r="I40" s="23" t="s">
        <v>572</v>
      </c>
      <c r="J40" s="22">
        <f>SUMIFS('Coal savings'!$I$3:$I$543,'Coal savings'!$C$3:$C$543,Results!G40,'Coal savings'!$E$3:$E$543,Results!I40)</f>
        <v>129.59529029435254</v>
      </c>
      <c r="K40" s="12">
        <f>SUMIFS('Coal savings'!$R$3:$R$277,'Coal savings'!$C$3:$C$277,Results!G40,'Coal savings'!$E$3:$E$277,Results!I40)</f>
        <v>217.16399999999996</v>
      </c>
      <c r="L40" s="6">
        <f t="shared" si="5"/>
        <v>0.67570904395330067</v>
      </c>
    </row>
    <row r="41" spans="1:18" x14ac:dyDescent="0.2">
      <c r="G41" s="24" t="s">
        <v>609</v>
      </c>
      <c r="H41" s="24" t="str">
        <f>VLOOKUP(G41,'Target PLF'!$I$2:$J$19,2,FALSE)</f>
        <v>WR</v>
      </c>
      <c r="I41" s="23" t="s">
        <v>571</v>
      </c>
      <c r="J41" s="22">
        <f>SUMIFS('Coal savings'!$I$3:$I$543,'Coal savings'!$C$3:$C$543,Results!G41,'Coal savings'!$E$3:$E$543,Results!I41)</f>
        <v>110.17140162577833</v>
      </c>
      <c r="K41" s="12">
        <f>SUMIFS('Coal savings'!$R$3:$R$277,'Coal savings'!$C$3:$C$277,Results!G41,'Coal savings'!$E$3:$E$277,Results!I41)</f>
        <v>96.384</v>
      </c>
      <c r="L41" s="6">
        <f t="shared" si="5"/>
        <v>-0.12514501424435268</v>
      </c>
    </row>
    <row r="42" spans="1:18" x14ac:dyDescent="0.2">
      <c r="G42" s="24" t="s">
        <v>609</v>
      </c>
      <c r="H42" s="24" t="str">
        <f>VLOOKUP(G42,'Target PLF'!$I$2:$J$19,2,FALSE)</f>
        <v>WR</v>
      </c>
      <c r="I42" s="23" t="s">
        <v>570</v>
      </c>
      <c r="J42" s="22">
        <f>SUMIFS('Coal savings'!$I$3:$I$543,'Coal savings'!$C$3:$C$543,Results!G42,'Coal savings'!$E$3:$E$543,Results!I42)</f>
        <v>71.069808870544705</v>
      </c>
      <c r="K42" s="12">
        <f>SUMIFS('Coal savings'!$R$3:$R$277,'Coal savings'!$C$3:$C$277,Results!G42,'Coal savings'!$E$3:$E$277,Results!I42)</f>
        <v>66.918000000000006</v>
      </c>
      <c r="L42" s="6">
        <f t="shared" si="5"/>
        <v>-5.8418742593037136E-2</v>
      </c>
    </row>
    <row r="43" spans="1:18" x14ac:dyDescent="0.2">
      <c r="A43" s="20" t="s">
        <v>649</v>
      </c>
      <c r="B43" s="20" t="s">
        <v>707</v>
      </c>
      <c r="G43" s="24" t="s">
        <v>609</v>
      </c>
      <c r="H43" s="24" t="str">
        <f>VLOOKUP(G43,'Target PLF'!$I$2:$J$19,2,FALSE)</f>
        <v>WR</v>
      </c>
      <c r="I43" s="23" t="s">
        <v>572</v>
      </c>
      <c r="J43" s="22">
        <f>SUMIFS('Coal savings'!$I$3:$I$543,'Coal savings'!$C$3:$C$543,Results!G43,'Coal savings'!$E$3:$E$543,Results!I43)</f>
        <v>152.05676820989044</v>
      </c>
      <c r="K43" s="12">
        <f>SUMIFS('Coal savings'!$R$3:$R$277,'Coal savings'!$C$3:$C$277,Results!G43,'Coal savings'!$E$3:$E$277,Results!I43)</f>
        <v>174.82200000000006</v>
      </c>
      <c r="L43" s="6">
        <f t="shared" si="5"/>
        <v>0.14971534682813858</v>
      </c>
    </row>
    <row r="44" spans="1:18" x14ac:dyDescent="0.2">
      <c r="A44" s="2" t="s">
        <v>651</v>
      </c>
      <c r="B44" s="8">
        <f>'Coal savings'!AA547</f>
        <v>679396245.22722411</v>
      </c>
      <c r="G44" s="24" t="s">
        <v>613</v>
      </c>
      <c r="H44" s="24" t="str">
        <f>VLOOKUP(G44,'Target PLF'!$I$2:$J$19,2,FALSE)</f>
        <v>WR</v>
      </c>
      <c r="I44" s="23" t="s">
        <v>571</v>
      </c>
      <c r="J44" s="22">
        <f>SUMIFS('Coal savings'!$I$3:$I$543,'Coal savings'!$C$3:$C$543,Results!G44,'Coal savings'!$E$3:$E$543,Results!I44)</f>
        <v>0</v>
      </c>
      <c r="K44" s="12">
        <f>SUMIFS('Coal savings'!$R$3:$R$277,'Coal savings'!$C$3:$C$277,Results!G44,'Coal savings'!$E$3:$E$277,Results!I44)</f>
        <v>0</v>
      </c>
      <c r="L44" s="6"/>
    </row>
    <row r="45" spans="1:18" x14ac:dyDescent="0.2">
      <c r="A45" s="2" t="s">
        <v>652</v>
      </c>
      <c r="B45" s="8">
        <f>'Coal savings'!Z547</f>
        <v>637285380.3033855</v>
      </c>
      <c r="G45" s="24" t="s">
        <v>613</v>
      </c>
      <c r="H45" s="24" t="str">
        <f>VLOOKUP(G45,'Target PLF'!$I$2:$J$19,2,FALSE)</f>
        <v>WR</v>
      </c>
      <c r="I45" s="23" t="s">
        <v>570</v>
      </c>
      <c r="J45" s="22">
        <f>SUMIFS('Coal savings'!$I$3:$I$543,'Coal savings'!$C$3:$C$543,Results!G45,'Coal savings'!$E$3:$E$543,Results!I45)</f>
        <v>57.141760527108893</v>
      </c>
      <c r="K45" s="12">
        <f>SUMIFS('Coal savings'!$R$3:$R$277,'Coal savings'!$C$3:$C$277,Results!G45,'Coal savings'!$E$3:$E$277,Results!I45)</f>
        <v>26.52</v>
      </c>
      <c r="L45" s="6">
        <f t="shared" si="5"/>
        <v>-0.53589109339012186</v>
      </c>
    </row>
    <row r="46" spans="1:18" x14ac:dyDescent="0.2">
      <c r="A46" s="2" t="s">
        <v>710</v>
      </c>
      <c r="B46" s="8">
        <f>B44-B45</f>
        <v>42110864.923838615</v>
      </c>
      <c r="G46" s="24" t="s">
        <v>613</v>
      </c>
      <c r="H46" s="24" t="str">
        <f>VLOOKUP(G46,'Target PLF'!$I$2:$J$19,2,FALSE)</f>
        <v>WR</v>
      </c>
      <c r="I46" s="23" t="s">
        <v>572</v>
      </c>
      <c r="J46" s="22">
        <f>SUMIFS('Coal savings'!$I$3:$I$543,'Coal savings'!$C$3:$C$543,Results!G46,'Coal savings'!$E$3:$E$543,Results!I46)</f>
        <v>155.92422739910131</v>
      </c>
      <c r="K46" s="12">
        <f>SUMIFS('Coal savings'!$R$3:$R$277,'Coal savings'!$C$3:$C$277,Results!G46,'Coal savings'!$E$3:$E$277,Results!I46)</f>
        <v>173.4</v>
      </c>
      <c r="L46" s="6">
        <f t="shared" si="5"/>
        <v>0.11207862236936386</v>
      </c>
    </row>
    <row r="47" spans="1:18" x14ac:dyDescent="0.2">
      <c r="A47" s="2" t="s">
        <v>711</v>
      </c>
      <c r="B47" s="56">
        <f>'Coal savings'!BG546</f>
        <v>13502.940103370289</v>
      </c>
      <c r="G47" s="24" t="s">
        <v>617</v>
      </c>
      <c r="H47" s="24" t="str">
        <f>VLOOKUP(G47,'Target PLF'!$I$2:$J$19,2,FALSE)</f>
        <v>WR</v>
      </c>
      <c r="I47" s="23" t="s">
        <v>571</v>
      </c>
      <c r="J47" s="22">
        <f>SUMIFS('Coal savings'!$I$3:$I$543,'Coal savings'!$C$3:$C$543,Results!G47,'Coal savings'!$E$3:$E$543,Results!I47)</f>
        <v>33.792001399823732</v>
      </c>
      <c r="K47" s="12">
        <f>SUMIFS('Coal savings'!$R$3:$R$277,'Coal savings'!$C$3:$C$277,Results!G47,'Coal savings'!$E$3:$E$277,Results!I47)</f>
        <v>74.256</v>
      </c>
      <c r="L47" s="6">
        <f t="shared" si="5"/>
        <v>1.1974430907897435</v>
      </c>
    </row>
    <row r="48" spans="1:18" x14ac:dyDescent="0.2">
      <c r="G48" s="24" t="s">
        <v>617</v>
      </c>
      <c r="H48" s="24" t="str">
        <f>VLOOKUP(G48,'Target PLF'!$I$2:$J$19,2,FALSE)</f>
        <v>WR</v>
      </c>
      <c r="I48" s="23" t="s">
        <v>570</v>
      </c>
      <c r="J48" s="22">
        <f>SUMIFS('Coal savings'!$I$3:$I$543,'Coal savings'!$C$3:$C$543,Results!G48,'Coal savings'!$E$3:$E$543,Results!I48)</f>
        <v>124.25389701226305</v>
      </c>
      <c r="K48" s="12">
        <f>SUMIFS('Coal savings'!$R$3:$R$277,'Coal savings'!$C$3:$C$277,Results!G48,'Coal savings'!$E$3:$E$277,Results!I48)</f>
        <v>114.56700000000001</v>
      </c>
      <c r="L48" s="6">
        <f t="shared" si="5"/>
        <v>-7.7960508645511628E-2</v>
      </c>
    </row>
    <row r="49" spans="1:12" x14ac:dyDescent="0.2">
      <c r="G49" s="24" t="s">
        <v>617</v>
      </c>
      <c r="H49" s="24" t="str">
        <f>VLOOKUP(G49,'Target PLF'!$I$2:$J$19,2,FALSE)</f>
        <v>WR</v>
      </c>
      <c r="I49" s="23" t="s">
        <v>572</v>
      </c>
      <c r="J49" s="22">
        <f>SUMIFS('Coal savings'!$I$3:$I$543,'Coal savings'!$C$3:$C$543,Results!G49,'Coal savings'!$E$3:$E$543,Results!I49)</f>
        <v>139.00745937548231</v>
      </c>
      <c r="K49" s="12">
        <f>SUMIFS('Coal savings'!$R$3:$R$277,'Coal savings'!$C$3:$C$277,Results!G49,'Coal savings'!$E$3:$E$277,Results!I49)</f>
        <v>109.70100000000005</v>
      </c>
      <c r="L49" s="6">
        <f t="shared" si="5"/>
        <v>-0.21082652331858417</v>
      </c>
    </row>
    <row r="50" spans="1:12" x14ac:dyDescent="0.2">
      <c r="A50" s="20" t="s">
        <v>717</v>
      </c>
      <c r="B50" s="20" t="s">
        <v>706</v>
      </c>
      <c r="C50" s="20" t="s">
        <v>721</v>
      </c>
      <c r="G50" s="24" t="s">
        <v>624</v>
      </c>
      <c r="H50" s="24" t="str">
        <f>VLOOKUP(G50,'Target PLF'!$I$2:$J$19,2,FALSE)</f>
        <v>NER</v>
      </c>
      <c r="I50" s="23" t="s">
        <v>571</v>
      </c>
      <c r="J50" s="22">
        <f>SUMIFS('Coal savings'!$I$3:$I$543,'Coal savings'!$C$3:$C$543,Results!G50,'Coal savings'!$E$3:$E$543,Results!I50)</f>
        <v>10.529637895715741</v>
      </c>
      <c r="K50" s="12">
        <f>SUMIFS('Coal savings'!$R$3:$R$277,'Coal savings'!$C$3:$C$277,Results!G50,'Coal savings'!$E$3:$E$277,Results!I50)</f>
        <v>8.8650000000000002</v>
      </c>
      <c r="L50" s="6">
        <f t="shared" si="5"/>
        <v>-0.1580907066512745</v>
      </c>
    </row>
    <row r="51" spans="1:12" x14ac:dyDescent="0.2">
      <c r="A51" s="2" t="s">
        <v>718</v>
      </c>
      <c r="B51" s="2">
        <v>0.81</v>
      </c>
      <c r="C51" s="58">
        <v>18880</v>
      </c>
      <c r="G51" s="24" t="s">
        <v>624</v>
      </c>
      <c r="H51" s="24" t="str">
        <f>VLOOKUP(G51,'Target PLF'!$I$2:$J$19,2,FALSE)</f>
        <v>NER</v>
      </c>
      <c r="I51" s="23" t="s">
        <v>570</v>
      </c>
      <c r="J51" s="22">
        <f>SUMIFS('Coal savings'!$I$3:$I$543,'Coal savings'!$C$3:$C$543,Results!G51,'Coal savings'!$E$3:$E$543,Results!I51)</f>
        <v>0</v>
      </c>
      <c r="K51" s="12">
        <f>SUMIFS('Coal savings'!$R$3:$R$277,'Coal savings'!$C$3:$C$277,Results!G51,'Coal savings'!$E$3:$E$277,Results!I51)</f>
        <v>0</v>
      </c>
      <c r="L51" s="6"/>
    </row>
    <row r="52" spans="1:12" x14ac:dyDescent="0.2">
      <c r="A52" s="2" t="s">
        <v>719</v>
      </c>
      <c r="B52" s="2">
        <v>0.79</v>
      </c>
      <c r="C52" s="58">
        <v>21417</v>
      </c>
      <c r="G52" s="2" t="s">
        <v>624</v>
      </c>
      <c r="H52" s="2" t="str">
        <f>VLOOKUP(G52,'Target PLF'!$I$2:$J$19,2,FALSE)</f>
        <v>NER</v>
      </c>
      <c r="I52" s="23" t="s">
        <v>572</v>
      </c>
      <c r="J52" s="22">
        <f>SUMIFS('Coal savings'!$I$3:$I$543,'Coal savings'!$C$3:$C$543,Results!G52,'Coal savings'!$E$3:$E$543,Results!I52)</f>
        <v>0</v>
      </c>
      <c r="K52" s="12">
        <f>SUMIFS('Coal savings'!$R$3:$R$277,'Coal savings'!$C$3:$C$277,Results!G52,'Coal savings'!$E$3:$E$277,Results!I52)</f>
        <v>0</v>
      </c>
      <c r="L52" s="6"/>
    </row>
    <row r="53" spans="1:12" x14ac:dyDescent="0.2">
      <c r="A53" s="2" t="s">
        <v>720</v>
      </c>
      <c r="B53" s="2">
        <v>1.01</v>
      </c>
      <c r="C53" s="58">
        <v>-6492</v>
      </c>
    </row>
    <row r="56" spans="1:12" ht="32" x14ac:dyDescent="0.2">
      <c r="A56" s="60" t="s">
        <v>725</v>
      </c>
      <c r="B56" s="56">
        <f>'Coal savings'!BI546</f>
        <v>10249.340000000004</v>
      </c>
    </row>
    <row r="59" spans="1:12" x14ac:dyDescent="0.2">
      <c r="A59" s="2" t="s">
        <v>724</v>
      </c>
      <c r="B59" s="59">
        <v>17399.400000000001</v>
      </c>
    </row>
    <row r="62" spans="1:12" x14ac:dyDescent="0.2">
      <c r="A62" s="2" t="s">
        <v>741</v>
      </c>
      <c r="B62" s="2" t="s">
        <v>742</v>
      </c>
    </row>
    <row r="63" spans="1:12" ht="32" x14ac:dyDescent="0.2">
      <c r="A63" s="60" t="s">
        <v>727</v>
      </c>
      <c r="B63" s="2">
        <v>1024</v>
      </c>
    </row>
    <row r="64" spans="1:12" x14ac:dyDescent="0.2">
      <c r="A64" s="2" t="s">
        <v>726</v>
      </c>
      <c r="B64" s="2">
        <v>737</v>
      </c>
    </row>
    <row r="65" spans="1:3" x14ac:dyDescent="0.2">
      <c r="A65" s="2" t="s">
        <v>728</v>
      </c>
      <c r="B65" s="2">
        <v>1725</v>
      </c>
    </row>
    <row r="66" spans="1:3" x14ac:dyDescent="0.2">
      <c r="A66" s="2" t="s">
        <v>706</v>
      </c>
      <c r="B66" s="3">
        <f>SUM(B63:B65)/4300</f>
        <v>0.81069767441860463</v>
      </c>
    </row>
    <row r="69" spans="1:3" x14ac:dyDescent="0.2">
      <c r="A69" s="2"/>
      <c r="B69" s="2" t="s">
        <v>740</v>
      </c>
      <c r="C69" s="2" t="s">
        <v>739</v>
      </c>
    </row>
    <row r="70" spans="1:3" ht="32" x14ac:dyDescent="0.2">
      <c r="A70" s="60" t="s">
        <v>746</v>
      </c>
      <c r="B70" s="2">
        <v>1725</v>
      </c>
      <c r="C70" s="2" t="s">
        <v>743</v>
      </c>
    </row>
    <row r="71" spans="1:3" ht="32" x14ac:dyDescent="0.2">
      <c r="A71" s="60" t="s">
        <v>747</v>
      </c>
      <c r="B71" s="2">
        <v>2600</v>
      </c>
      <c r="C71" s="2" t="s">
        <v>745</v>
      </c>
    </row>
    <row r="72" spans="1:3" ht="32" x14ac:dyDescent="0.2">
      <c r="A72" s="60" t="s">
        <v>748</v>
      </c>
      <c r="B72" s="2">
        <v>1640</v>
      </c>
      <c r="C72" s="2" t="s">
        <v>744</v>
      </c>
    </row>
    <row r="76" spans="1:3" x14ac:dyDescent="0.2">
      <c r="A76" s="2" t="s">
        <v>729</v>
      </c>
      <c r="B76" s="2"/>
    </row>
    <row r="77" spans="1:3" x14ac:dyDescent="0.2">
      <c r="A77" s="2" t="s">
        <v>574</v>
      </c>
      <c r="B77" s="2" t="s">
        <v>738</v>
      </c>
    </row>
    <row r="78" spans="1:3" x14ac:dyDescent="0.2">
      <c r="A78" s="2" t="s">
        <v>730</v>
      </c>
      <c r="B78" s="2">
        <v>6490</v>
      </c>
    </row>
    <row r="79" spans="1:3" x14ac:dyDescent="0.2">
      <c r="A79" s="2" t="s">
        <v>731</v>
      </c>
      <c r="B79" s="2">
        <v>4320</v>
      </c>
    </row>
    <row r="80" spans="1:3" x14ac:dyDescent="0.2">
      <c r="A80" s="2" t="s">
        <v>732</v>
      </c>
      <c r="B80" s="2">
        <v>500</v>
      </c>
    </row>
    <row r="81" spans="1:10" x14ac:dyDescent="0.2">
      <c r="A81" s="2" t="s">
        <v>733</v>
      </c>
      <c r="B81" s="2">
        <v>9591</v>
      </c>
    </row>
    <row r="82" spans="1:10" x14ac:dyDescent="0.2">
      <c r="A82" s="2" t="s">
        <v>734</v>
      </c>
      <c r="B82" s="2">
        <v>360</v>
      </c>
    </row>
    <row r="83" spans="1:10" x14ac:dyDescent="0.2">
      <c r="A83" s="2" t="s">
        <v>735</v>
      </c>
      <c r="B83" s="2">
        <v>1050</v>
      </c>
    </row>
    <row r="84" spans="1:10" x14ac:dyDescent="0.2">
      <c r="A84" s="2" t="s">
        <v>736</v>
      </c>
      <c r="B84" s="2">
        <v>420</v>
      </c>
    </row>
    <row r="85" spans="1:10" x14ac:dyDescent="0.2">
      <c r="A85" s="2" t="s">
        <v>737</v>
      </c>
      <c r="B85" s="2">
        <v>12527</v>
      </c>
    </row>
    <row r="88" spans="1:10" x14ac:dyDescent="0.2">
      <c r="G88" s="95" t="s">
        <v>759</v>
      </c>
      <c r="H88" s="95"/>
      <c r="I88" s="95"/>
      <c r="J88" s="95"/>
    </row>
    <row r="89" spans="1:10" x14ac:dyDescent="0.2">
      <c r="A89" s="20" t="s">
        <v>553</v>
      </c>
      <c r="B89" s="20" t="s">
        <v>633</v>
      </c>
      <c r="C89" s="20" t="s">
        <v>565</v>
      </c>
      <c r="D89" s="20" t="s">
        <v>752</v>
      </c>
      <c r="E89" s="20" t="s">
        <v>753</v>
      </c>
      <c r="F89" s="67" t="s">
        <v>754</v>
      </c>
      <c r="G89" s="20" t="s">
        <v>755</v>
      </c>
      <c r="H89" s="20" t="s">
        <v>756</v>
      </c>
      <c r="I89" s="20" t="s">
        <v>757</v>
      </c>
      <c r="J89" s="20" t="s">
        <v>758</v>
      </c>
    </row>
    <row r="90" spans="1:10" x14ac:dyDescent="0.2">
      <c r="A90" s="2" t="s">
        <v>542</v>
      </c>
      <c r="B90" s="2">
        <f ca="1">SUMIF('Coal savings'!$F$3:$H$543,Results!A90,'Coal savings'!$H$3:$H$543)</f>
        <v>48365</v>
      </c>
      <c r="C90" s="2">
        <f ca="1">SUMIF('Coal savings'!$F$278:$H$543,Results!A90,'Coal savings'!$H$278:$H$543)</f>
        <v>605</v>
      </c>
      <c r="D90" s="2">
        <f ca="1">B90-C90</f>
        <v>47760</v>
      </c>
      <c r="E90" s="2">
        <v>0.83</v>
      </c>
      <c r="F90" s="68">
        <v>0.84</v>
      </c>
      <c r="G90" s="12">
        <f ca="1">(E90*B90)/100</f>
        <v>401.42949999999996</v>
      </c>
      <c r="H90" s="12">
        <f ca="1">(F90*B90)/100</f>
        <v>406.26599999999996</v>
      </c>
      <c r="I90" s="12">
        <f ca="1">(E90*D90)/100</f>
        <v>396.40799999999996</v>
      </c>
      <c r="J90" s="12">
        <f ca="1">(F90*D90)/100</f>
        <v>401.18400000000003</v>
      </c>
    </row>
    <row r="91" spans="1:10" x14ac:dyDescent="0.2">
      <c r="A91" s="2" t="s">
        <v>543</v>
      </c>
      <c r="B91" s="2">
        <f ca="1">SUMIF('Coal savings'!$F$3:$H$543,Results!A91,'Coal savings'!$H$3:$H$543)</f>
        <v>76983</v>
      </c>
      <c r="C91" s="2">
        <f ca="1">SUMIF('Coal savings'!$F$278:$H$543,Results!A91,'Coal savings'!$H$278:$H$543)</f>
        <v>5168</v>
      </c>
      <c r="D91" s="2">
        <f t="shared" ref="D91:D100" ca="1" si="6">B91-C91</f>
        <v>71815</v>
      </c>
      <c r="E91" s="2">
        <v>0.74</v>
      </c>
      <c r="F91" s="68">
        <v>0.73</v>
      </c>
      <c r="G91" s="12">
        <f t="shared" ref="G91:G99" ca="1" si="7">(E91*B91)/100</f>
        <v>569.67419999999993</v>
      </c>
      <c r="H91" s="12">
        <f t="shared" ref="H91:H99" ca="1" si="8">(F91*B91)/100</f>
        <v>561.97589999999991</v>
      </c>
      <c r="I91" s="12">
        <f t="shared" ref="I91:I99" ca="1" si="9">(E91*D91)/100</f>
        <v>531.43100000000004</v>
      </c>
      <c r="J91" s="12">
        <f t="shared" ref="J91:J99" ca="1" si="10">(F91*D91)/100</f>
        <v>524.24950000000001</v>
      </c>
    </row>
    <row r="92" spans="1:10" x14ac:dyDescent="0.2">
      <c r="A92" s="2" t="s">
        <v>544</v>
      </c>
      <c r="B92" s="2">
        <f ca="1">SUMIF('Coal savings'!$F$3:$H$543,Results!A92,'Coal savings'!$H$3:$H$543)</f>
        <v>18475</v>
      </c>
      <c r="C92" s="2">
        <f ca="1">SUMIF('Coal savings'!$F$278:$H$543,Results!A92,'Coal savings'!$H$278:$H$543)</f>
        <v>8885</v>
      </c>
      <c r="D92" s="2">
        <f t="shared" ca="1" si="6"/>
        <v>9590</v>
      </c>
      <c r="E92" s="2">
        <v>1.03</v>
      </c>
      <c r="F92" s="68">
        <v>1.02</v>
      </c>
      <c r="G92" s="12">
        <f t="shared" ca="1" si="7"/>
        <v>190.29249999999999</v>
      </c>
      <c r="H92" s="12">
        <f t="shared" ca="1" si="8"/>
        <v>188.44499999999999</v>
      </c>
      <c r="I92" s="12">
        <f t="shared" ca="1" si="9"/>
        <v>98.777000000000001</v>
      </c>
      <c r="J92" s="12">
        <f t="shared" ca="1" si="10"/>
        <v>97.817999999999998</v>
      </c>
    </row>
    <row r="93" spans="1:10" x14ac:dyDescent="0.2">
      <c r="A93" s="2" t="s">
        <v>545</v>
      </c>
      <c r="B93" s="2">
        <f ca="1">SUMIF('Coal savings'!$F$3:$H$543,Results!A93,'Coal savings'!$H$3:$H$543)</f>
        <v>7155</v>
      </c>
      <c r="C93" s="2">
        <f ca="1">SUMIF('Coal savings'!$F$278:$H$543,Results!A93,'Coal savings'!$H$278:$H$543)</f>
        <v>3155</v>
      </c>
      <c r="D93" s="2">
        <f t="shared" ca="1" si="6"/>
        <v>4000</v>
      </c>
      <c r="E93" s="2">
        <v>0.84</v>
      </c>
      <c r="F93" s="68">
        <v>0.81</v>
      </c>
      <c r="G93" s="12">
        <f t="shared" ca="1" si="7"/>
        <v>60.101999999999997</v>
      </c>
      <c r="H93" s="12">
        <f t="shared" ca="1" si="8"/>
        <v>57.955500000000001</v>
      </c>
      <c r="I93" s="12">
        <f t="shared" ca="1" si="9"/>
        <v>33.6</v>
      </c>
      <c r="J93" s="12">
        <f t="shared" ca="1" si="10"/>
        <v>32.4</v>
      </c>
    </row>
    <row r="94" spans="1:10" x14ac:dyDescent="0.2">
      <c r="A94" s="2" t="s">
        <v>546</v>
      </c>
      <c r="B94" s="2">
        <f ca="1">SUMIF('Coal savings'!$F$3:$H$543,Results!A94,'Coal savings'!$H$3:$H$543)</f>
        <v>7860</v>
      </c>
      <c r="C94" s="2">
        <f ca="1">SUMIF('Coal savings'!$F$278:$H$543,Results!A94,'Coal savings'!$H$278:$H$543)</f>
        <v>5860</v>
      </c>
      <c r="D94" s="2">
        <f t="shared" ca="1" si="6"/>
        <v>2000</v>
      </c>
      <c r="E94" s="2">
        <v>1</v>
      </c>
      <c r="F94" s="68">
        <v>0.96</v>
      </c>
      <c r="G94" s="12">
        <f t="shared" ca="1" si="7"/>
        <v>78.599999999999994</v>
      </c>
      <c r="H94" s="12">
        <f t="shared" ca="1" si="8"/>
        <v>75.455999999999989</v>
      </c>
      <c r="I94" s="12">
        <f t="shared" ca="1" si="9"/>
        <v>20</v>
      </c>
      <c r="J94" s="12">
        <f t="shared" ca="1" si="10"/>
        <v>19.2</v>
      </c>
    </row>
    <row r="95" spans="1:10" x14ac:dyDescent="0.2">
      <c r="A95" s="2" t="s">
        <v>547</v>
      </c>
      <c r="B95" s="2">
        <f ca="1">SUMIF('Coal savings'!$F$3:$H$543,Results!A95,'Coal savings'!$H$3:$H$543)</f>
        <v>10646</v>
      </c>
      <c r="C95" s="2">
        <f ca="1">SUMIF('Coal savings'!$F$278:$H$543,Results!A95,'Coal savings'!$H$278:$H$543)</f>
        <v>7146</v>
      </c>
      <c r="D95" s="2">
        <f t="shared" ca="1" si="6"/>
        <v>3500</v>
      </c>
      <c r="E95" s="2">
        <v>0.98</v>
      </c>
      <c r="F95" s="68">
        <v>0.91</v>
      </c>
      <c r="G95" s="12">
        <f t="shared" ca="1" si="7"/>
        <v>104.3308</v>
      </c>
      <c r="H95" s="12">
        <f t="shared" ca="1" si="8"/>
        <v>96.878600000000006</v>
      </c>
      <c r="I95" s="12">
        <f t="shared" ca="1" si="9"/>
        <v>34.299999999999997</v>
      </c>
      <c r="J95" s="12">
        <f t="shared" ca="1" si="10"/>
        <v>31.85</v>
      </c>
    </row>
    <row r="96" spans="1:10" x14ac:dyDescent="0.2">
      <c r="A96" s="2" t="s">
        <v>548</v>
      </c>
      <c r="B96" s="2">
        <f ca="1">SUMIF('Coal savings'!$F$3:$H$543,Results!A96,'Coal savings'!$H$3:$H$543)</f>
        <v>12561</v>
      </c>
      <c r="C96" s="2">
        <f ca="1">SUMIF('Coal savings'!$F$278:$H$543,Results!A96,'Coal savings'!$H$278:$H$543)</f>
        <v>7561</v>
      </c>
      <c r="D96" s="2">
        <f t="shared" ca="1" si="6"/>
        <v>5000</v>
      </c>
      <c r="E96" s="2">
        <v>1.04</v>
      </c>
      <c r="F96" s="68">
        <v>0.98</v>
      </c>
      <c r="G96" s="12">
        <f t="shared" ca="1" si="7"/>
        <v>130.6344</v>
      </c>
      <c r="H96" s="12">
        <f t="shared" ca="1" si="8"/>
        <v>123.09780000000001</v>
      </c>
      <c r="I96" s="12">
        <f t="shared" ca="1" si="9"/>
        <v>52</v>
      </c>
      <c r="J96" s="12">
        <f t="shared" ca="1" si="10"/>
        <v>49</v>
      </c>
    </row>
    <row r="97" spans="1:10" x14ac:dyDescent="0.2">
      <c r="A97" s="2" t="s">
        <v>549</v>
      </c>
      <c r="B97" s="2">
        <f ca="1">SUMIF('Coal savings'!$F$3:$H$543,Results!A97,'Coal savings'!$H$3:$H$543)</f>
        <v>8501</v>
      </c>
      <c r="C97" s="2">
        <f ca="1">SUMIF('Coal savings'!$F$278:$H$543,Results!A97,'Coal savings'!$H$278:$H$543)</f>
        <v>8501</v>
      </c>
      <c r="D97" s="2">
        <f t="shared" ca="1" si="6"/>
        <v>0</v>
      </c>
      <c r="E97" s="2">
        <v>0.97</v>
      </c>
      <c r="F97" s="68">
        <v>0.91</v>
      </c>
      <c r="G97" s="12">
        <f t="shared" ca="1" si="7"/>
        <v>82.459699999999998</v>
      </c>
      <c r="H97" s="12">
        <f t="shared" ca="1" si="8"/>
        <v>77.359099999999998</v>
      </c>
      <c r="I97" s="12">
        <f t="shared" ca="1" si="9"/>
        <v>0</v>
      </c>
      <c r="J97" s="12">
        <f t="shared" ca="1" si="10"/>
        <v>0</v>
      </c>
    </row>
    <row r="98" spans="1:10" x14ac:dyDescent="0.2">
      <c r="A98" s="2" t="s">
        <v>550</v>
      </c>
      <c r="B98" s="2">
        <f ca="1">SUMIF('Coal savings'!$F$3:$H$543,Results!A98,'Coal savings'!$H$3:$H$543)</f>
        <v>2335</v>
      </c>
      <c r="C98" s="2">
        <f ca="1">SUMIF('Coal savings'!$F$278:$H$543,Results!A98,'Coal savings'!$H$278:$H$543)</f>
        <v>2335</v>
      </c>
      <c r="D98" s="2">
        <f t="shared" ca="1" si="6"/>
        <v>0</v>
      </c>
      <c r="E98" s="2">
        <v>1.07</v>
      </c>
      <c r="F98" s="68">
        <v>1.22</v>
      </c>
      <c r="G98" s="12">
        <f t="shared" ca="1" si="7"/>
        <v>24.984500000000004</v>
      </c>
      <c r="H98" s="12">
        <f t="shared" ca="1" si="8"/>
        <v>28.486999999999998</v>
      </c>
      <c r="I98" s="12">
        <f t="shared" ca="1" si="9"/>
        <v>0</v>
      </c>
      <c r="J98" s="12">
        <f t="shared" ca="1" si="10"/>
        <v>0</v>
      </c>
    </row>
    <row r="99" spans="1:10" x14ac:dyDescent="0.2">
      <c r="A99" s="2" t="s">
        <v>551</v>
      </c>
      <c r="B99" s="2">
        <f ca="1">SUMIF('Coal savings'!$F$3:$H$543,Results!A99,'Coal savings'!$H$3:$H$543)</f>
        <v>1142.5</v>
      </c>
      <c r="C99" s="2">
        <f ca="1">SUMIF('Coal savings'!$F$278:$H$543,Results!A99,'Coal savings'!$H$278:$H$543)</f>
        <v>1142.5</v>
      </c>
      <c r="D99" s="2">
        <f t="shared" ca="1" si="6"/>
        <v>0</v>
      </c>
      <c r="E99" s="2">
        <v>1.2</v>
      </c>
      <c r="F99" s="68">
        <v>1.3</v>
      </c>
      <c r="G99" s="12">
        <f t="shared" ca="1" si="7"/>
        <v>13.71</v>
      </c>
      <c r="H99" s="12">
        <f t="shared" ca="1" si="8"/>
        <v>14.852499999999999</v>
      </c>
      <c r="I99" s="12">
        <f t="shared" ca="1" si="9"/>
        <v>0</v>
      </c>
      <c r="J99" s="12">
        <f t="shared" ca="1" si="10"/>
        <v>0</v>
      </c>
    </row>
    <row r="100" spans="1:10" x14ac:dyDescent="0.2">
      <c r="A100" s="2" t="s">
        <v>567</v>
      </c>
      <c r="B100" s="7">
        <f ca="1">SUM(B90:B99)</f>
        <v>194023.5</v>
      </c>
      <c r="C100" s="7">
        <f ca="1">SUM(C90:C99)</f>
        <v>50358.5</v>
      </c>
      <c r="D100" s="2">
        <f t="shared" ca="1" si="6"/>
        <v>143665</v>
      </c>
      <c r="G100" s="12">
        <f ca="1">SUM(G90:G99)</f>
        <v>1656.2175999999999</v>
      </c>
      <c r="H100" s="12">
        <f ca="1">SUM(H90:H99)</f>
        <v>1630.7733999999998</v>
      </c>
      <c r="I100" s="12">
        <f ca="1">SUM(I90:I99)</f>
        <v>1166.5159999999998</v>
      </c>
      <c r="J100" s="12">
        <f ca="1">SUM(J90:J99)</f>
        <v>1155.7015000000001</v>
      </c>
    </row>
    <row r="104" spans="1:10" x14ac:dyDescent="0.2">
      <c r="A104" s="20" t="s">
        <v>553</v>
      </c>
      <c r="B104" s="2" t="s">
        <v>1222</v>
      </c>
      <c r="C104" s="2" t="s">
        <v>1220</v>
      </c>
    </row>
    <row r="105" spans="1:10" x14ac:dyDescent="0.2">
      <c r="A105" s="2" t="s">
        <v>542</v>
      </c>
      <c r="B105" s="2">
        <v>2760</v>
      </c>
      <c r="C105" s="3">
        <v>2.7</v>
      </c>
    </row>
    <row r="106" spans="1:10" x14ac:dyDescent="0.2">
      <c r="A106" s="2" t="s">
        <v>543</v>
      </c>
      <c r="B106" s="2">
        <v>2811</v>
      </c>
      <c r="C106" s="3">
        <v>2.31</v>
      </c>
    </row>
    <row r="107" spans="1:10" x14ac:dyDescent="0.2">
      <c r="A107" s="2" t="s">
        <v>544</v>
      </c>
      <c r="B107" s="2">
        <v>2984</v>
      </c>
      <c r="C107" s="3">
        <v>2.56</v>
      </c>
    </row>
    <row r="108" spans="1:10" x14ac:dyDescent="0.2">
      <c r="A108" s="2" t="s">
        <v>545</v>
      </c>
      <c r="B108" s="2">
        <v>2975</v>
      </c>
      <c r="C108" s="3">
        <v>2.5299999999999998</v>
      </c>
    </row>
    <row r="109" spans="1:10" x14ac:dyDescent="0.2">
      <c r="A109" s="2" t="s">
        <v>546</v>
      </c>
      <c r="B109" s="2">
        <v>3106</v>
      </c>
      <c r="C109" s="3">
        <v>2.5099999999999998</v>
      </c>
    </row>
    <row r="110" spans="1:10" x14ac:dyDescent="0.2">
      <c r="A110" s="2" t="s">
        <v>547</v>
      </c>
      <c r="B110" s="2">
        <v>3136</v>
      </c>
      <c r="C110" s="3">
        <v>2.78</v>
      </c>
    </row>
    <row r="111" spans="1:10" x14ac:dyDescent="0.2">
      <c r="A111" s="2" t="s">
        <v>548</v>
      </c>
      <c r="B111" s="2">
        <v>3136</v>
      </c>
      <c r="C111" s="3">
        <v>2.4</v>
      </c>
    </row>
    <row r="112" spans="1:10" x14ac:dyDescent="0.2">
      <c r="A112" s="2" t="s">
        <v>549</v>
      </c>
      <c r="B112" s="2">
        <v>3331</v>
      </c>
      <c r="C112" s="3">
        <v>2.6</v>
      </c>
    </row>
    <row r="113" spans="1:3" x14ac:dyDescent="0.2">
      <c r="A113" s="2" t="s">
        <v>550</v>
      </c>
      <c r="B113" s="2">
        <v>3392</v>
      </c>
      <c r="C113" s="3">
        <v>2.95</v>
      </c>
    </row>
    <row r="114" spans="1:3" x14ac:dyDescent="0.2">
      <c r="A114" s="2" t="s">
        <v>551</v>
      </c>
      <c r="B114" s="2">
        <v>3512</v>
      </c>
      <c r="C114" s="3">
        <v>2.4</v>
      </c>
    </row>
    <row r="117" spans="1:3" x14ac:dyDescent="0.2">
      <c r="A117" s="20" t="s">
        <v>553</v>
      </c>
      <c r="B117" s="2" t="s">
        <v>637</v>
      </c>
    </row>
    <row r="118" spans="1:3" x14ac:dyDescent="0.2">
      <c r="A118" s="2" t="s">
        <v>542</v>
      </c>
      <c r="B118" s="73">
        <v>7.9200000000000007E-2</v>
      </c>
    </row>
    <row r="119" spans="1:3" x14ac:dyDescent="0.2">
      <c r="A119" s="2" t="s">
        <v>543</v>
      </c>
      <c r="B119" s="73">
        <v>7.1400000000000005E-2</v>
      </c>
    </row>
    <row r="120" spans="1:3" x14ac:dyDescent="0.2">
      <c r="A120" s="2" t="s">
        <v>544</v>
      </c>
      <c r="B120" s="73">
        <v>8.2400000000000001E-2</v>
      </c>
    </row>
    <row r="121" spans="1:3" x14ac:dyDescent="0.2">
      <c r="A121" s="2" t="s">
        <v>545</v>
      </c>
      <c r="B121" s="73">
        <v>7.6499999999999999E-2</v>
      </c>
    </row>
    <row r="122" spans="1:3" x14ac:dyDescent="0.2">
      <c r="A122" s="2" t="s">
        <v>546</v>
      </c>
      <c r="B122" s="73">
        <v>8.5699999999999998E-2</v>
      </c>
    </row>
    <row r="123" spans="1:3" x14ac:dyDescent="0.2">
      <c r="A123" s="2" t="s">
        <v>547</v>
      </c>
      <c r="B123" s="73">
        <v>8.5800000000000001E-2</v>
      </c>
    </row>
    <row r="124" spans="1:3" x14ac:dyDescent="0.2">
      <c r="A124" s="2" t="s">
        <v>548</v>
      </c>
      <c r="B124" s="73">
        <v>7.8100000000000003E-2</v>
      </c>
    </row>
    <row r="125" spans="1:3" x14ac:dyDescent="0.2">
      <c r="A125" s="2" t="s">
        <v>549</v>
      </c>
      <c r="B125" s="73">
        <v>8.3100000000000007E-2</v>
      </c>
    </row>
    <row r="126" spans="1:3" x14ac:dyDescent="0.2">
      <c r="A126" s="2" t="s">
        <v>550</v>
      </c>
      <c r="B126" s="73">
        <v>9.2100000000000015E-2</v>
      </c>
    </row>
    <row r="127" spans="1:3" x14ac:dyDescent="0.2">
      <c r="A127" s="2" t="s">
        <v>551</v>
      </c>
      <c r="B127" s="73">
        <v>0.1069</v>
      </c>
    </row>
    <row r="132" spans="1:3" x14ac:dyDescent="0.2">
      <c r="A132" s="20" t="s">
        <v>553</v>
      </c>
      <c r="B132" s="20" t="s">
        <v>1225</v>
      </c>
      <c r="C132" s="20" t="s">
        <v>1224</v>
      </c>
    </row>
    <row r="133" spans="1:3" x14ac:dyDescent="0.2">
      <c r="A133" s="2" t="s">
        <v>542</v>
      </c>
      <c r="B133" s="3">
        <v>2.7</v>
      </c>
      <c r="C133" s="6">
        <v>0.43193963334346197</v>
      </c>
    </row>
    <row r="134" spans="1:3" x14ac:dyDescent="0.2">
      <c r="A134" s="2" t="s">
        <v>543</v>
      </c>
      <c r="B134" s="3">
        <v>2.31</v>
      </c>
      <c r="C134" s="6">
        <v>0.61513141600748056</v>
      </c>
    </row>
    <row r="135" spans="1:3" x14ac:dyDescent="0.2">
      <c r="A135" s="2" t="s">
        <v>544</v>
      </c>
      <c r="B135" s="3">
        <v>2.56</v>
      </c>
      <c r="C135" s="6">
        <v>0.63148591174906965</v>
      </c>
    </row>
    <row r="136" spans="1:3" x14ac:dyDescent="0.2">
      <c r="A136" s="2" t="s">
        <v>545</v>
      </c>
      <c r="B136" s="3">
        <v>2.5299999999999998</v>
      </c>
      <c r="C136" s="6">
        <v>0.69593710691823907</v>
      </c>
    </row>
    <row r="137" spans="1:3" x14ac:dyDescent="0.2">
      <c r="A137" s="2" t="s">
        <v>546</v>
      </c>
      <c r="B137" s="3">
        <v>2.5099999999999998</v>
      </c>
      <c r="C137" s="6">
        <v>0.68409285277947451</v>
      </c>
    </row>
    <row r="138" spans="1:3" x14ac:dyDescent="0.2">
      <c r="A138" s="2" t="s">
        <v>547</v>
      </c>
      <c r="B138" s="3">
        <v>2.78</v>
      </c>
      <c r="C138" s="6">
        <v>0.65247488101533579</v>
      </c>
    </row>
    <row r="139" spans="1:3" x14ac:dyDescent="0.2">
      <c r="A139" s="2" t="s">
        <v>548</v>
      </c>
      <c r="B139" s="3">
        <v>2.4</v>
      </c>
      <c r="C139" s="6">
        <v>0.68449713581321148</v>
      </c>
    </row>
    <row r="140" spans="1:3" x14ac:dyDescent="0.2">
      <c r="A140" s="2" t="s">
        <v>549</v>
      </c>
      <c r="B140" s="3">
        <v>2.6</v>
      </c>
      <c r="C140" s="6">
        <v>0.5540304938680809</v>
      </c>
    </row>
    <row r="141" spans="1:3" x14ac:dyDescent="0.2">
      <c r="A141" s="2" t="s">
        <v>550</v>
      </c>
      <c r="B141" s="3">
        <v>2.95</v>
      </c>
      <c r="C141" s="6">
        <v>0.47450777202072542</v>
      </c>
    </row>
    <row r="142" spans="1:3" x14ac:dyDescent="0.2">
      <c r="A142" s="2" t="s">
        <v>551</v>
      </c>
      <c r="B142" s="3">
        <v>2.4</v>
      </c>
      <c r="C142" s="6">
        <v>0.50713043478260877</v>
      </c>
    </row>
    <row r="146" spans="1:15" x14ac:dyDescent="0.2">
      <c r="A146" s="20" t="s">
        <v>574</v>
      </c>
      <c r="B146" s="20" t="s">
        <v>605</v>
      </c>
    </row>
    <row r="147" spans="1:15" x14ac:dyDescent="0.2">
      <c r="A147" s="2" t="s">
        <v>598</v>
      </c>
      <c r="B147" s="2">
        <v>2.39</v>
      </c>
    </row>
    <row r="148" spans="1:15" x14ac:dyDescent="0.2">
      <c r="A148" s="2" t="s">
        <v>576</v>
      </c>
      <c r="B148" s="2">
        <v>2.82</v>
      </c>
    </row>
    <row r="155" spans="1:15" x14ac:dyDescent="0.2">
      <c r="A155" s="20" t="s">
        <v>558</v>
      </c>
      <c r="B155" s="20" t="s">
        <v>1226</v>
      </c>
      <c r="C155" s="20" t="s">
        <v>752</v>
      </c>
      <c r="D155" s="20" t="s">
        <v>1227</v>
      </c>
    </row>
    <row r="156" spans="1:15" x14ac:dyDescent="0.2">
      <c r="A156" s="2" t="s">
        <v>608</v>
      </c>
      <c r="B156" s="2">
        <f ca="1">SUMIF('Coal savings'!$C$3:$H$543,Results!A156,'Coal savings'!$H$3:$H$543)</f>
        <v>9450</v>
      </c>
      <c r="C156" s="2">
        <f ca="1">SUMIF('Coal savings'!$C$3:$H$277,Results!A156,'Coal savings'!$H$3:$H$277)</f>
        <v>8570</v>
      </c>
      <c r="D156" s="6">
        <f ca="1">(B156-C156)/B156</f>
        <v>9.3121693121693119E-2</v>
      </c>
    </row>
    <row r="157" spans="1:15" x14ac:dyDescent="0.2">
      <c r="A157" s="2" t="s">
        <v>609</v>
      </c>
      <c r="B157" s="2">
        <f ca="1">SUMIF('Coal savings'!$C$3:$H$543,Results!A157,'Coal savings'!$H$3:$H$543)</f>
        <v>20490</v>
      </c>
      <c r="C157" s="2">
        <f ca="1">SUMIF('Coal savings'!$C$3:$H$277,Results!A157,'Coal savings'!$H$3:$H$277)</f>
        <v>17260</v>
      </c>
      <c r="D157" s="6">
        <f t="shared" ref="D157:D173" ca="1" si="11">(B157-C157)/B157</f>
        <v>0.15763787213274769</v>
      </c>
      <c r="O157" s="38"/>
    </row>
    <row r="158" spans="1:15" s="38" customFormat="1" x14ac:dyDescent="0.2">
      <c r="A158" s="39" t="s">
        <v>610</v>
      </c>
      <c r="B158" s="39">
        <f ca="1">SUMIF('Coal savings'!$C$3:$H$543,Results!A158,'Coal savings'!$H$3:$H$543)</f>
        <v>7422.5</v>
      </c>
      <c r="C158" s="39">
        <f ca="1">SUMIF('Coal savings'!$C$3:$H$277,Results!A158,'Coal savings'!$H$3:$H$277)</f>
        <v>5600</v>
      </c>
      <c r="D158" s="74">
        <f t="shared" ca="1" si="11"/>
        <v>0.24553721791849106</v>
      </c>
      <c r="O158"/>
    </row>
    <row r="159" spans="1:15" x14ac:dyDescent="0.2">
      <c r="A159" s="2" t="s">
        <v>611</v>
      </c>
      <c r="B159" s="2">
        <f ca="1">SUMIF('Coal savings'!$C$3:$H$543,Results!A159,'Coal savings'!$H$3:$H$543)</f>
        <v>22723</v>
      </c>
      <c r="C159" s="2">
        <f ca="1">SUMIF('Coal savings'!$C$3:$H$277,Results!A159,'Coal savings'!$H$3:$H$277)</f>
        <v>18430</v>
      </c>
      <c r="D159" s="6">
        <f t="shared" ca="1" si="11"/>
        <v>0.1889275183734542</v>
      </c>
      <c r="O159" s="38"/>
    </row>
    <row r="160" spans="1:15" s="38" customFormat="1" x14ac:dyDescent="0.2">
      <c r="A160" s="39" t="s">
        <v>612</v>
      </c>
      <c r="B160" s="39">
        <f ca="1">SUMIF('Coal savings'!$C$3:$H$543,Results!A160,'Coal savings'!$H$3:$H$543)</f>
        <v>9480</v>
      </c>
      <c r="C160" s="39">
        <f ca="1">SUMIF('Coal savings'!$C$3:$H$277,Results!A160,'Coal savings'!$H$3:$H$277)</f>
        <v>7150</v>
      </c>
      <c r="D160" s="74">
        <f t="shared" ca="1" si="11"/>
        <v>0.24578059071729957</v>
      </c>
      <c r="O160"/>
    </row>
    <row r="161" spans="1:15" x14ac:dyDescent="0.2">
      <c r="A161" s="2" t="s">
        <v>613</v>
      </c>
      <c r="B161" s="2">
        <f ca="1">SUMIF('Coal savings'!$C$3:$H$543,Results!A161,'Coal savings'!$H$3:$H$543)</f>
        <v>14692</v>
      </c>
      <c r="C161" s="2">
        <f ca="1">SUMIF('Coal savings'!$C$3:$H$277,Results!A161,'Coal savings'!$H$3:$H$277)</f>
        <v>9800</v>
      </c>
      <c r="D161" s="6">
        <f t="shared" ca="1" si="11"/>
        <v>0.33297032398584264</v>
      </c>
      <c r="O161" s="38"/>
    </row>
    <row r="162" spans="1:15" s="38" customFormat="1" x14ac:dyDescent="0.2">
      <c r="A162" s="39" t="s">
        <v>614</v>
      </c>
      <c r="B162" s="39">
        <f ca="1">SUMIF('Coal savings'!$C$3:$H$543,Results!A162,'Coal savings'!$H$3:$H$543)</f>
        <v>11290</v>
      </c>
      <c r="C162" s="39">
        <f ca="1">SUMIF('Coal savings'!$C$3:$H$277,Results!A162,'Coal savings'!$H$3:$H$277)</f>
        <v>8380</v>
      </c>
      <c r="D162" s="74">
        <f t="shared" ca="1" si="11"/>
        <v>0.25775022143489812</v>
      </c>
      <c r="O162"/>
    </row>
    <row r="163" spans="1:15" x14ac:dyDescent="0.2">
      <c r="A163" s="2" t="s">
        <v>634</v>
      </c>
      <c r="B163" s="2">
        <f ca="1">SUMIF('Coal savings'!$C$3:$H$543,Results!A163,'Coal savings'!$H$3:$H$543)</f>
        <v>22455</v>
      </c>
      <c r="C163" s="2">
        <f ca="1">SUMIF('Coal savings'!$C$3:$H$277,Results!A163,'Coal savings'!$H$3:$H$277)</f>
        <v>16360</v>
      </c>
      <c r="D163" s="6">
        <f t="shared" ca="1" si="11"/>
        <v>0.27143175239367623</v>
      </c>
    </row>
    <row r="164" spans="1:15" x14ac:dyDescent="0.2">
      <c r="A164" s="2" t="s">
        <v>615</v>
      </c>
      <c r="B164" s="2">
        <f ca="1">SUMIF('Coal savings'!$C$3:$H$543,Results!A164,'Coal savings'!$H$3:$H$543)</f>
        <v>6040</v>
      </c>
      <c r="C164" s="2">
        <f ca="1">SUMIF('Coal savings'!$C$3:$H$277,Results!A164,'Coal savings'!$H$3:$H$277)</f>
        <v>4675</v>
      </c>
      <c r="D164" s="6">
        <f t="shared" ca="1" si="11"/>
        <v>0.2259933774834437</v>
      </c>
    </row>
    <row r="165" spans="1:15" x14ac:dyDescent="0.2">
      <c r="A165" s="2" t="s">
        <v>616</v>
      </c>
      <c r="B165" s="2">
        <f ca="1">SUMIF('Coal savings'!$C$3:$H$543,Results!A165,'Coal savings'!$H$3:$H$543)</f>
        <v>7580</v>
      </c>
      <c r="C165" s="2">
        <f ca="1">SUMIF('Coal savings'!$C$3:$H$277,Results!A165,'Coal savings'!$H$3:$H$277)</f>
        <v>4340</v>
      </c>
      <c r="D165" s="6">
        <f t="shared" ca="1" si="11"/>
        <v>0.42744063324538256</v>
      </c>
    </row>
    <row r="166" spans="1:15" x14ac:dyDescent="0.2">
      <c r="A166" s="2" t="s">
        <v>617</v>
      </c>
      <c r="B166" s="2">
        <f ca="1">SUMIF('Coal savings'!$C$3:$H$543,Results!A166,'Coal savings'!$H$3:$H$543)</f>
        <v>23115</v>
      </c>
      <c r="C166" s="2">
        <f ca="1">SUMIF('Coal savings'!$C$3:$H$277,Results!A166,'Coal savings'!$H$3:$H$277)</f>
        <v>16320</v>
      </c>
      <c r="D166" s="6">
        <f t="shared" ca="1" si="11"/>
        <v>0.29396495781959764</v>
      </c>
    </row>
    <row r="167" spans="1:15" x14ac:dyDescent="0.2">
      <c r="A167" s="2" t="s">
        <v>618</v>
      </c>
      <c r="B167" s="2">
        <f ca="1">SUMIF('Coal savings'!$C$3:$H$543,Results!A167,'Coal savings'!$H$3:$H$543)</f>
        <v>5680</v>
      </c>
      <c r="C167" s="2">
        <f ca="1">SUMIF('Coal savings'!$C$3:$H$277,Results!A167,'Coal savings'!$H$3:$H$277)</f>
        <v>3920</v>
      </c>
      <c r="D167" s="6">
        <f t="shared" ca="1" si="11"/>
        <v>0.30985915492957744</v>
      </c>
    </row>
    <row r="168" spans="1:15" x14ac:dyDescent="0.2">
      <c r="A168" s="2" t="s">
        <v>619</v>
      </c>
      <c r="B168" s="2">
        <f ca="1">SUMIF('Coal savings'!$C$3:$H$543,Results!A168,'Coal savings'!$H$3:$H$543)</f>
        <v>5540</v>
      </c>
      <c r="C168" s="2">
        <f ca="1">SUMIF('Coal savings'!$C$3:$H$277,Results!A168,'Coal savings'!$H$3:$H$277)</f>
        <v>4620</v>
      </c>
      <c r="D168" s="6">
        <f t="shared" ca="1" si="11"/>
        <v>0.16606498194945848</v>
      </c>
    </row>
    <row r="169" spans="1:15" x14ac:dyDescent="0.2">
      <c r="A169" s="2" t="s">
        <v>621</v>
      </c>
      <c r="B169" s="2">
        <f ca="1">SUMIF('Coal savings'!$C$3:$H$543,Results!A169,'Coal savings'!$H$3:$H$543)</f>
        <v>13636</v>
      </c>
      <c r="C169" s="2">
        <f ca="1">SUMIF('Coal savings'!$C$3:$H$277,Results!A169,'Coal savings'!$H$3:$H$277)</f>
        <v>7700</v>
      </c>
      <c r="D169" s="6">
        <f t="shared" ca="1" si="11"/>
        <v>0.43531827515400412</v>
      </c>
      <c r="O169" s="38"/>
    </row>
    <row r="170" spans="1:15" s="38" customFormat="1" x14ac:dyDescent="0.2">
      <c r="A170" s="39" t="s">
        <v>622</v>
      </c>
      <c r="B170" s="39">
        <f ca="1">SUMIF('Coal savings'!$C$3:$H$543,Results!A170,'Coal savings'!$H$3:$H$543)</f>
        <v>9220</v>
      </c>
      <c r="C170" s="39">
        <f ca="1">SUMIF('Coal savings'!$C$3:$H$277,Results!A170,'Coal savings'!$H$3:$H$277)</f>
        <v>6700</v>
      </c>
      <c r="D170" s="74">
        <f t="shared" ca="1" si="11"/>
        <v>0.27331887201735355</v>
      </c>
      <c r="O170"/>
    </row>
    <row r="171" spans="1:15" x14ac:dyDescent="0.2">
      <c r="A171" s="2" t="s">
        <v>623</v>
      </c>
      <c r="B171" s="2">
        <f ca="1">SUMIF('Coal savings'!$C$3:$H$543,Results!A171,'Coal savings'!$H$3:$H$543)</f>
        <v>4460</v>
      </c>
      <c r="C171" s="2">
        <f ca="1">SUMIF('Coal savings'!$C$3:$H$277,Results!A171,'Coal savings'!$H$3:$H$277)</f>
        <v>3090</v>
      </c>
      <c r="D171" s="6">
        <f t="shared" ca="1" si="11"/>
        <v>0.30717488789237668</v>
      </c>
    </row>
    <row r="172" spans="1:15" x14ac:dyDescent="0.2">
      <c r="A172" s="2" t="s">
        <v>624</v>
      </c>
      <c r="B172" s="2">
        <f ca="1">SUMIF('Coal savings'!$C$3:$H$543,Results!A172,'Coal savings'!$H$3:$H$543)</f>
        <v>750</v>
      </c>
      <c r="C172" s="2">
        <f ca="1">SUMIF('Coal savings'!$C$3:$H$277,Results!A172,'Coal savings'!$H$3:$H$277)</f>
        <v>750</v>
      </c>
      <c r="D172" s="6">
        <f t="shared" ca="1" si="11"/>
        <v>0</v>
      </c>
    </row>
    <row r="173" spans="1:15" x14ac:dyDescent="0.2">
      <c r="A173" s="2" t="s">
        <v>567</v>
      </c>
      <c r="B173" s="2">
        <f ca="1">SUM(B156:B172)</f>
        <v>194023.5</v>
      </c>
      <c r="C173" s="2">
        <f ca="1">SUM(C156:C172)</f>
        <v>143665</v>
      </c>
      <c r="D173" s="6">
        <f t="shared" ca="1" si="11"/>
        <v>0.25954845675910393</v>
      </c>
    </row>
    <row r="178" spans="1:3" x14ac:dyDescent="0.2">
      <c r="A178" s="20" t="s">
        <v>553</v>
      </c>
      <c r="B178" t="s">
        <v>1247</v>
      </c>
    </row>
    <row r="179" spans="1:3" x14ac:dyDescent="0.2">
      <c r="A179" s="2" t="s">
        <v>542</v>
      </c>
      <c r="B179">
        <v>119</v>
      </c>
      <c r="C179" s="1">
        <f>B179/$B$189</f>
        <v>0.17525773195876287</v>
      </c>
    </row>
    <row r="180" spans="1:3" x14ac:dyDescent="0.2">
      <c r="A180" s="2" t="s">
        <v>543</v>
      </c>
      <c r="B180">
        <v>275</v>
      </c>
      <c r="C180" s="1">
        <f t="shared" ref="C180:C188" si="12">B180/$B$189</f>
        <v>0.40500736377025037</v>
      </c>
    </row>
    <row r="181" spans="1:3" x14ac:dyDescent="0.2">
      <c r="A181" s="2" t="s">
        <v>544</v>
      </c>
      <c r="B181">
        <v>71</v>
      </c>
      <c r="C181" s="1">
        <f t="shared" si="12"/>
        <v>0.10456553755522828</v>
      </c>
    </row>
    <row r="182" spans="1:3" x14ac:dyDescent="0.2">
      <c r="A182" s="2" t="s">
        <v>545</v>
      </c>
      <c r="B182">
        <v>31</v>
      </c>
      <c r="C182" s="1">
        <f t="shared" si="12"/>
        <v>4.5655375552282766E-2</v>
      </c>
    </row>
    <row r="183" spans="1:3" x14ac:dyDescent="0.2">
      <c r="A183" s="2" t="s">
        <v>546</v>
      </c>
      <c r="B183">
        <v>34</v>
      </c>
      <c r="C183" s="1">
        <f t="shared" si="12"/>
        <v>5.0073637702503684E-2</v>
      </c>
    </row>
    <row r="184" spans="1:3" x14ac:dyDescent="0.2">
      <c r="A184" s="2" t="s">
        <v>547</v>
      </c>
      <c r="B184">
        <v>45</v>
      </c>
      <c r="C184" s="1">
        <f t="shared" si="12"/>
        <v>6.6273932253313697E-2</v>
      </c>
    </row>
    <row r="185" spans="1:3" x14ac:dyDescent="0.2">
      <c r="A185" s="2" t="s">
        <v>548</v>
      </c>
      <c r="B185">
        <v>56</v>
      </c>
      <c r="C185" s="1">
        <f t="shared" si="12"/>
        <v>8.247422680412371E-2</v>
      </c>
    </row>
    <row r="186" spans="1:3" x14ac:dyDescent="0.2">
      <c r="A186" s="2" t="s">
        <v>549</v>
      </c>
      <c r="B186">
        <v>33</v>
      </c>
      <c r="C186" s="1">
        <f t="shared" si="12"/>
        <v>4.8600883652430045E-2</v>
      </c>
    </row>
    <row r="187" spans="1:3" x14ac:dyDescent="0.2">
      <c r="A187" s="2" t="s">
        <v>550</v>
      </c>
      <c r="B187">
        <v>9</v>
      </c>
      <c r="C187" s="1">
        <f t="shared" si="12"/>
        <v>1.3254786450662739E-2</v>
      </c>
    </row>
    <row r="188" spans="1:3" x14ac:dyDescent="0.2">
      <c r="A188" s="2" t="s">
        <v>551</v>
      </c>
      <c r="B188">
        <v>6</v>
      </c>
      <c r="C188" s="1">
        <f t="shared" si="12"/>
        <v>8.836524300441826E-3</v>
      </c>
    </row>
    <row r="189" spans="1:3" x14ac:dyDescent="0.2">
      <c r="B189">
        <f>SUM(B179:B188)</f>
        <v>679</v>
      </c>
    </row>
    <row r="191" spans="1:3" x14ac:dyDescent="0.2">
      <c r="A191" t="s">
        <v>1248</v>
      </c>
      <c r="B191" t="s">
        <v>557</v>
      </c>
    </row>
    <row r="192" spans="1:3" x14ac:dyDescent="0.2">
      <c r="A192" s="26" t="s">
        <v>542</v>
      </c>
      <c r="B192" s="75">
        <v>48365</v>
      </c>
      <c r="C192" s="1">
        <f>B192/$B$202</f>
        <v>0.24927392815818702</v>
      </c>
    </row>
    <row r="193" spans="1:5" x14ac:dyDescent="0.2">
      <c r="A193" s="26" t="s">
        <v>543</v>
      </c>
      <c r="B193" s="75">
        <v>76983</v>
      </c>
      <c r="C193" s="1">
        <f t="shared" ref="C193:C201" si="13">B193/$B$202</f>
        <v>0.39677152509876379</v>
      </c>
    </row>
    <row r="194" spans="1:5" x14ac:dyDescent="0.2">
      <c r="A194" s="26" t="s">
        <v>544</v>
      </c>
      <c r="B194" s="75">
        <v>18475</v>
      </c>
      <c r="C194" s="1">
        <f t="shared" si="13"/>
        <v>9.5220424330042491E-2</v>
      </c>
    </row>
    <row r="195" spans="1:5" x14ac:dyDescent="0.2">
      <c r="A195" s="26" t="s">
        <v>545</v>
      </c>
      <c r="B195" s="75">
        <v>7155</v>
      </c>
      <c r="C195" s="1">
        <f t="shared" si="13"/>
        <v>3.6876976242568554E-2</v>
      </c>
    </row>
    <row r="196" spans="1:5" x14ac:dyDescent="0.2">
      <c r="A196" s="26" t="s">
        <v>546</v>
      </c>
      <c r="B196" s="75">
        <v>7860</v>
      </c>
      <c r="C196" s="1">
        <f t="shared" si="13"/>
        <v>4.0510556710913886E-2</v>
      </c>
    </row>
    <row r="197" spans="1:5" x14ac:dyDescent="0.2">
      <c r="A197" s="26" t="s">
        <v>547</v>
      </c>
      <c r="B197" s="75">
        <v>10646</v>
      </c>
      <c r="C197" s="1">
        <f t="shared" si="13"/>
        <v>5.4869642079438834E-2</v>
      </c>
    </row>
    <row r="198" spans="1:5" x14ac:dyDescent="0.2">
      <c r="A198" s="26" t="s">
        <v>548</v>
      </c>
      <c r="B198" s="75">
        <v>12561</v>
      </c>
      <c r="C198" s="1">
        <f t="shared" si="13"/>
        <v>6.4739580514731457E-2</v>
      </c>
    </row>
    <row r="199" spans="1:5" x14ac:dyDescent="0.2">
      <c r="A199" s="26" t="s">
        <v>549</v>
      </c>
      <c r="B199" s="75">
        <v>8501</v>
      </c>
      <c r="C199" s="1">
        <f t="shared" si="13"/>
        <v>4.3814280228941342E-2</v>
      </c>
    </row>
    <row r="200" spans="1:5" x14ac:dyDescent="0.2">
      <c r="A200" s="26" t="s">
        <v>550</v>
      </c>
      <c r="B200" s="75">
        <v>2335</v>
      </c>
      <c r="C200" s="1">
        <f t="shared" si="13"/>
        <v>1.2034624671753679E-2</v>
      </c>
    </row>
    <row r="201" spans="1:5" x14ac:dyDescent="0.2">
      <c r="A201" s="26" t="s">
        <v>551</v>
      </c>
      <c r="B201" s="75">
        <v>1142.5</v>
      </c>
      <c r="C201" s="1">
        <f t="shared" si="13"/>
        <v>5.8884619646589198E-3</v>
      </c>
    </row>
    <row r="202" spans="1:5" x14ac:dyDescent="0.2">
      <c r="B202" s="19">
        <f>SUM(B192:B201)</f>
        <v>194023.5</v>
      </c>
    </row>
    <row r="205" spans="1:5" x14ac:dyDescent="0.2">
      <c r="A205" t="s">
        <v>638</v>
      </c>
      <c r="B205" t="s">
        <v>571</v>
      </c>
      <c r="C205" t="s">
        <v>572</v>
      </c>
      <c r="D205" t="s">
        <v>570</v>
      </c>
      <c r="E205" t="s">
        <v>645</v>
      </c>
    </row>
    <row r="206" spans="1:5" x14ac:dyDescent="0.2">
      <c r="A206" t="s">
        <v>542</v>
      </c>
      <c r="B206" s="1">
        <v>7.5944408795841745E-2</v>
      </c>
      <c r="C206" s="1">
        <v>9.1483763564722834E-2</v>
      </c>
      <c r="D206" s="1">
        <v>8.1845755797622446E-2</v>
      </c>
      <c r="E206" s="1">
        <v>0.24927392815818702</v>
      </c>
    </row>
    <row r="207" spans="1:5" x14ac:dyDescent="0.2">
      <c r="A207" t="s">
        <v>543</v>
      </c>
      <c r="B207" s="1">
        <v>8.4036212108327082E-2</v>
      </c>
      <c r="C207" s="1">
        <v>0.23583741144758238</v>
      </c>
      <c r="D207" s="1">
        <v>7.6897901542854349E-2</v>
      </c>
      <c r="E207" s="1">
        <v>0.39677152509876379</v>
      </c>
    </row>
    <row r="208" spans="1:5" x14ac:dyDescent="0.2">
      <c r="A208" t="s">
        <v>544</v>
      </c>
      <c r="B208" s="1">
        <v>3.1954892062044028E-2</v>
      </c>
      <c r="C208" s="1">
        <v>2.1956103255533481E-2</v>
      </c>
      <c r="D208" s="1">
        <v>4.1309429012464982E-2</v>
      </c>
      <c r="E208" s="1">
        <v>9.5220424330042491E-2</v>
      </c>
    </row>
    <row r="209" spans="1:5" x14ac:dyDescent="0.2">
      <c r="A209" t="s">
        <v>545</v>
      </c>
      <c r="B209" s="1">
        <v>2.1698402513097639E-2</v>
      </c>
      <c r="C209" s="1">
        <v>1.2369635636920271E-3</v>
      </c>
      <c r="D209" s="1">
        <v>1.3941610165778887E-2</v>
      </c>
      <c r="E209" s="1">
        <v>3.6876976242568554E-2</v>
      </c>
    </row>
    <row r="210" spans="1:5" x14ac:dyDescent="0.2">
      <c r="A210" t="s">
        <v>546</v>
      </c>
      <c r="B210" s="1">
        <v>1.4792022615817156E-2</v>
      </c>
      <c r="C210" s="1">
        <v>3.9170512850247525E-3</v>
      </c>
      <c r="D210" s="1">
        <v>2.1801482810071975E-2</v>
      </c>
      <c r="E210" s="1">
        <v>4.0510556710913886E-2</v>
      </c>
    </row>
    <row r="211" spans="1:5" x14ac:dyDescent="0.2">
      <c r="A211" t="s">
        <v>547</v>
      </c>
      <c r="B211" s="1">
        <v>1.747211033714988E-2</v>
      </c>
      <c r="C211" s="1">
        <v>3.2779534437838717E-3</v>
      </c>
      <c r="D211" s="1">
        <v>3.4119578298505079E-2</v>
      </c>
      <c r="E211" s="1">
        <v>5.4869642079438834E-2</v>
      </c>
    </row>
    <row r="212" spans="1:5" x14ac:dyDescent="0.2">
      <c r="A212" t="s">
        <v>548</v>
      </c>
      <c r="B212" s="1">
        <v>3.8139709880504163E-2</v>
      </c>
      <c r="C212" s="1">
        <v>6.2363579669473025E-4</v>
      </c>
      <c r="D212" s="1">
        <v>2.5976234837532568E-2</v>
      </c>
      <c r="E212" s="1">
        <v>6.4739580514731457E-2</v>
      </c>
    </row>
    <row r="213" spans="1:5" x14ac:dyDescent="0.2">
      <c r="A213" t="s">
        <v>549</v>
      </c>
      <c r="B213" s="1">
        <v>1.2472715933894606E-2</v>
      </c>
      <c r="C213" s="1">
        <v>3.2006432210531198E-3</v>
      </c>
      <c r="D213" s="1">
        <v>2.8140921073993613E-2</v>
      </c>
      <c r="E213" s="1">
        <v>4.3814280228941342E-2</v>
      </c>
    </row>
    <row r="214" spans="1:5" x14ac:dyDescent="0.2">
      <c r="A214" t="s">
        <v>550</v>
      </c>
      <c r="B214" s="1">
        <v>0</v>
      </c>
      <c r="C214" s="1">
        <v>6.1848178184601354E-4</v>
      </c>
      <c r="D214" s="1">
        <v>1.1416142889907666E-2</v>
      </c>
      <c r="E214" s="1">
        <v>1.2034624671753679E-2</v>
      </c>
    </row>
    <row r="215" spans="1:5" x14ac:dyDescent="0.2">
      <c r="A215" t="s">
        <v>551</v>
      </c>
      <c r="B215" s="1">
        <v>2.3708468304097182E-3</v>
      </c>
      <c r="C215" s="1">
        <v>0</v>
      </c>
      <c r="D215" s="1">
        <v>3.5176151342492016E-3</v>
      </c>
      <c r="E215" s="1">
        <v>5.8884619646589198E-3</v>
      </c>
    </row>
    <row r="216" spans="1:5" x14ac:dyDescent="0.2">
      <c r="A216" t="s">
        <v>567</v>
      </c>
      <c r="B216" s="76">
        <f>SUM(B206:B215)</f>
        <v>0.29888132107708598</v>
      </c>
      <c r="C216" s="76">
        <f>SUM(C206:C215)</f>
        <v>0.36215200735993325</v>
      </c>
      <c r="D216" s="76">
        <f>SUM(D206:D215)</f>
        <v>0.33896667156298077</v>
      </c>
      <c r="E216" s="76">
        <f>SUM(E206:E215)</f>
        <v>1</v>
      </c>
    </row>
    <row r="219" spans="1:5" x14ac:dyDescent="0.2">
      <c r="A219" t="s">
        <v>555</v>
      </c>
      <c r="B219" t="s">
        <v>1252</v>
      </c>
      <c r="C219" t="s">
        <v>1253</v>
      </c>
      <c r="D219" t="s">
        <v>1254</v>
      </c>
    </row>
    <row r="220" spans="1:5" x14ac:dyDescent="0.2">
      <c r="A220" t="s">
        <v>542</v>
      </c>
      <c r="B220" s="1">
        <v>0.34971869976606113</v>
      </c>
      <c r="C220" s="1">
        <v>0.48733840788832478</v>
      </c>
      <c r="D220" s="1">
        <v>0.4635004493371887</v>
      </c>
    </row>
    <row r="221" spans="1:5" x14ac:dyDescent="0.2">
      <c r="A221" t="s">
        <v>543</v>
      </c>
      <c r="B221" s="1">
        <v>0.68804301677683788</v>
      </c>
      <c r="C221" s="1">
        <v>0.58987129300467367</v>
      </c>
      <c r="D221" s="1">
        <v>0.62141720502436426</v>
      </c>
    </row>
    <row r="222" spans="1:5" x14ac:dyDescent="0.2">
      <c r="A222" t="s">
        <v>544</v>
      </c>
      <c r="B222" s="1">
        <v>0.80342946065451171</v>
      </c>
      <c r="C222" s="1">
        <v>0.48755001152723471</v>
      </c>
      <c r="D222" s="1">
        <v>0.58161079202522148</v>
      </c>
    </row>
    <row r="223" spans="1:5" x14ac:dyDescent="0.2">
      <c r="A223" t="s">
        <v>545</v>
      </c>
      <c r="B223" s="1">
        <v>0.78193548503293064</v>
      </c>
      <c r="C223" s="1">
        <v>0.72190275523573277</v>
      </c>
      <c r="D223" s="1">
        <v>0.55134606918040641</v>
      </c>
    </row>
    <row r="224" spans="1:5" x14ac:dyDescent="0.2">
      <c r="A224" t="s">
        <v>546</v>
      </c>
      <c r="B224" s="1">
        <v>0.7487009761100164</v>
      </c>
      <c r="C224" s="1">
        <v>0.76787461591830908</v>
      </c>
      <c r="D224" s="1">
        <v>0.61816157918163295</v>
      </c>
    </row>
    <row r="225" spans="1:4" x14ac:dyDescent="0.2">
      <c r="A225" t="s">
        <v>547</v>
      </c>
      <c r="B225" s="1">
        <v>0.68092825644989685</v>
      </c>
      <c r="C225" s="1">
        <v>0.66603945227729511</v>
      </c>
      <c r="D225" s="1">
        <v>0.61600329950155741</v>
      </c>
    </row>
    <row r="226" spans="1:4" x14ac:dyDescent="0.2">
      <c r="A226" t="s">
        <v>548</v>
      </c>
      <c r="B226" s="1">
        <v>0.82402495092137162</v>
      </c>
      <c r="C226" s="1">
        <v>0.8162952483112742</v>
      </c>
      <c r="D226" s="1">
        <v>0.54217145116207099</v>
      </c>
    </row>
    <row r="227" spans="1:4" x14ac:dyDescent="0.2">
      <c r="A227" t="s">
        <v>549</v>
      </c>
      <c r="B227" s="1">
        <v>0.80143053940924791</v>
      </c>
      <c r="C227" s="1">
        <v>0.7345884960438942</v>
      </c>
      <c r="D227" s="1">
        <v>0.45321071402954993</v>
      </c>
    </row>
    <row r="228" spans="1:4" x14ac:dyDescent="0.2">
      <c r="A228" t="s">
        <v>550</v>
      </c>
      <c r="B228" s="1"/>
      <c r="C228" s="1">
        <v>0.80685983753381596</v>
      </c>
      <c r="D228" s="1">
        <v>0.56325290385421933</v>
      </c>
    </row>
    <row r="229" spans="1:4" x14ac:dyDescent="0.2">
      <c r="A229" t="s">
        <v>551</v>
      </c>
      <c r="B229" s="1">
        <v>0.88100030605856527</v>
      </c>
      <c r="C229" s="1"/>
      <c r="D229" s="1">
        <v>0.52023095637920513</v>
      </c>
    </row>
    <row r="233" spans="1:4" x14ac:dyDescent="0.2">
      <c r="A233" t="s">
        <v>555</v>
      </c>
      <c r="B233" t="s">
        <v>1256</v>
      </c>
    </row>
    <row r="234" spans="1:4" x14ac:dyDescent="0.2">
      <c r="A234" t="s">
        <v>542</v>
      </c>
      <c r="B234">
        <f ca="1">SUMIF(Sheet3!$E$2:$Q$542,Results!A234,Sheet3!$Q$2:$Q$542)</f>
        <v>185368.67999999973</v>
      </c>
      <c r="C234" s="1">
        <f ca="1">B234/$B$244</f>
        <v>0.19147242059108485</v>
      </c>
    </row>
    <row r="235" spans="1:4" x14ac:dyDescent="0.2">
      <c r="A235" t="s">
        <v>543</v>
      </c>
      <c r="B235">
        <f ca="1">SUMIF(Sheet3!$E$2:$Q$542,Results!A235,Sheet3!$Q$2:$Q$542)</f>
        <v>416637.35999999923</v>
      </c>
      <c r="C235" s="1">
        <f t="shared" ref="C235:C243" ca="1" si="14">B235/$B$244</f>
        <v>0.43035621674534874</v>
      </c>
    </row>
    <row r="236" spans="1:4" x14ac:dyDescent="0.2">
      <c r="A236" t="s">
        <v>544</v>
      </c>
      <c r="B236">
        <f ca="1">SUMIF(Sheet3!$E$2:$Q$542,Results!A236,Sheet3!$Q$2:$Q$542)</f>
        <v>97567.579999999711</v>
      </c>
      <c r="C236" s="1">
        <f t="shared" ca="1" si="14"/>
        <v>0.10078024353312701</v>
      </c>
    </row>
    <row r="237" spans="1:4" x14ac:dyDescent="0.2">
      <c r="A237" t="s">
        <v>545</v>
      </c>
      <c r="B237">
        <f ca="1">SUMIF(Sheet3!$E$2:$Q$542,Results!A237,Sheet3!$Q$2:$Q$542)</f>
        <v>40716.159999999945</v>
      </c>
      <c r="C237" s="1">
        <f t="shared" ca="1" si="14"/>
        <v>4.2056844297396444E-2</v>
      </c>
    </row>
    <row r="238" spans="1:4" x14ac:dyDescent="0.2">
      <c r="A238" t="s">
        <v>546</v>
      </c>
      <c r="B238">
        <f ca="1">SUMIF(Sheet3!$E$2:$Q$542,Results!A238,Sheet3!$Q$2:$Q$542)</f>
        <v>42311.189999999915</v>
      </c>
      <c r="C238" s="1">
        <f t="shared" ca="1" si="14"/>
        <v>4.3704394762854752E-2</v>
      </c>
    </row>
    <row r="239" spans="1:4" x14ac:dyDescent="0.2">
      <c r="A239" t="s">
        <v>547</v>
      </c>
      <c r="B239">
        <f ca="1">SUMIF(Sheet3!$E$2:$Q$542,Results!A239,Sheet3!$Q$2:$Q$542)</f>
        <v>53840.909999999836</v>
      </c>
      <c r="C239" s="1">
        <f t="shared" ca="1" si="14"/>
        <v>5.5613760450399334E-2</v>
      </c>
    </row>
    <row r="240" spans="1:4" x14ac:dyDescent="0.2">
      <c r="A240" t="s">
        <v>548</v>
      </c>
      <c r="B240">
        <f ca="1">SUMIF(Sheet3!$E$2:$Q$542,Results!A240,Sheet3!$Q$2:$Q$542)</f>
        <v>75457.239999999831</v>
      </c>
      <c r="C240" s="1">
        <f t="shared" ca="1" si="14"/>
        <v>7.7941863716796275E-2</v>
      </c>
    </row>
    <row r="241" spans="1:3" x14ac:dyDescent="0.2">
      <c r="A241" t="s">
        <v>549</v>
      </c>
      <c r="B241">
        <f ca="1">SUMIF(Sheet3!$E$2:$Q$542,Results!A241,Sheet3!$Q$2:$Q$542)</f>
        <v>40241.749999999905</v>
      </c>
      <c r="C241" s="1">
        <f t="shared" ca="1" si="14"/>
        <v>4.1566813127877272E-2</v>
      </c>
    </row>
    <row r="242" spans="1:3" x14ac:dyDescent="0.2">
      <c r="A242" t="s">
        <v>550</v>
      </c>
      <c r="B242">
        <f ca="1">SUMIF(Sheet3!$E$2:$Q$542,Results!A242,Sheet3!$Q$2:$Q$542)</f>
        <v>10091.55999999997</v>
      </c>
      <c r="C242" s="1">
        <f t="shared" ca="1" si="14"/>
        <v>1.0423850570334564E-2</v>
      </c>
    </row>
    <row r="243" spans="1:3" x14ac:dyDescent="0.2">
      <c r="A243" t="s">
        <v>551</v>
      </c>
      <c r="B243">
        <f ca="1">SUMIF(Sheet3!$E$2:$Q$542,Results!A243,Sheet3!$Q$2:$Q$542)</f>
        <v>5889.6599999999935</v>
      </c>
      <c r="C243" s="1">
        <f t="shared" ca="1" si="14"/>
        <v>6.0835922047807059E-3</v>
      </c>
    </row>
    <row r="244" spans="1:3" x14ac:dyDescent="0.2">
      <c r="B244">
        <f ca="1">SUM(B234:B243)</f>
        <v>968122.0899999981</v>
      </c>
    </row>
    <row r="246" spans="1:3" x14ac:dyDescent="0.2">
      <c r="A246" t="s">
        <v>555</v>
      </c>
      <c r="B246" t="s">
        <v>1258</v>
      </c>
      <c r="C246" t="s">
        <v>1257</v>
      </c>
    </row>
    <row r="247" spans="1:3" x14ac:dyDescent="0.2">
      <c r="A247" t="s">
        <v>542</v>
      </c>
      <c r="B247" s="1">
        <v>0.19147242059108485</v>
      </c>
      <c r="C247" s="1">
        <v>0.24927392815818702</v>
      </c>
    </row>
    <row r="248" spans="1:3" x14ac:dyDescent="0.2">
      <c r="A248" t="s">
        <v>543</v>
      </c>
      <c r="B248" s="1">
        <v>0.43035621674534874</v>
      </c>
      <c r="C248" s="1">
        <v>0.39677152509876379</v>
      </c>
    </row>
    <row r="249" spans="1:3" x14ac:dyDescent="0.2">
      <c r="A249" t="s">
        <v>544</v>
      </c>
      <c r="B249" s="1">
        <v>0.10078024353312701</v>
      </c>
      <c r="C249" s="1">
        <v>9.5220424330042491E-2</v>
      </c>
    </row>
    <row r="250" spans="1:3" x14ac:dyDescent="0.2">
      <c r="A250" t="s">
        <v>545</v>
      </c>
      <c r="B250" s="1">
        <v>4.2056844297396444E-2</v>
      </c>
      <c r="C250" s="1">
        <v>3.6876976242568554E-2</v>
      </c>
    </row>
    <row r="251" spans="1:3" x14ac:dyDescent="0.2">
      <c r="A251" t="s">
        <v>546</v>
      </c>
      <c r="B251" s="1">
        <v>4.3704394762854752E-2</v>
      </c>
      <c r="C251" s="1">
        <v>4.0510556710913886E-2</v>
      </c>
    </row>
    <row r="252" spans="1:3" x14ac:dyDescent="0.2">
      <c r="A252" t="s">
        <v>547</v>
      </c>
      <c r="B252" s="1">
        <v>5.5613760450399334E-2</v>
      </c>
      <c r="C252" s="1">
        <v>5.4869642079438834E-2</v>
      </c>
    </row>
    <row r="253" spans="1:3" x14ac:dyDescent="0.2">
      <c r="A253" t="s">
        <v>548</v>
      </c>
      <c r="B253" s="1">
        <v>7.7941863716796275E-2</v>
      </c>
      <c r="C253" s="1">
        <v>6.4739580514731457E-2</v>
      </c>
    </row>
    <row r="254" spans="1:3" x14ac:dyDescent="0.2">
      <c r="A254" t="s">
        <v>549</v>
      </c>
      <c r="B254" s="1">
        <v>4.1566813127877272E-2</v>
      </c>
      <c r="C254" s="1">
        <v>4.3814280228941342E-2</v>
      </c>
    </row>
    <row r="255" spans="1:3" x14ac:dyDescent="0.2">
      <c r="A255" t="s">
        <v>550</v>
      </c>
      <c r="B255" s="1">
        <v>1.0423850570334564E-2</v>
      </c>
      <c r="C255" s="1">
        <v>1.2034624671753679E-2</v>
      </c>
    </row>
    <row r="256" spans="1:3" x14ac:dyDescent="0.2">
      <c r="A256" t="s">
        <v>551</v>
      </c>
      <c r="B256" s="1">
        <v>6.0835922047807059E-3</v>
      </c>
      <c r="C256" s="1">
        <v>5.8884619646589198E-3</v>
      </c>
    </row>
    <row r="262" spans="1:11" x14ac:dyDescent="0.2">
      <c r="A262" s="20" t="s">
        <v>607</v>
      </c>
      <c r="B262" s="20" t="s">
        <v>1226</v>
      </c>
      <c r="C262" s="20" t="s">
        <v>752</v>
      </c>
      <c r="D262" s="20" t="s">
        <v>753</v>
      </c>
      <c r="E262" s="20" t="s">
        <v>754</v>
      </c>
      <c r="F262" s="20" t="s">
        <v>755</v>
      </c>
      <c r="G262" s="20" t="s">
        <v>756</v>
      </c>
      <c r="H262" s="20" t="s">
        <v>757</v>
      </c>
      <c r="I262" s="20" t="s">
        <v>758</v>
      </c>
    </row>
    <row r="263" spans="1:11" x14ac:dyDescent="0.2">
      <c r="A263" s="2" t="s">
        <v>625</v>
      </c>
      <c r="B263" s="2">
        <f ca="1">SUMIF('Coal savings'!$D$3:$H$543,Results!A263,'Coal savings'!$H$3:$H$543)</f>
        <v>33586</v>
      </c>
      <c r="C263" s="2">
        <v>24035</v>
      </c>
      <c r="D263" s="2">
        <v>0.86</v>
      </c>
      <c r="E263" s="2">
        <v>0.83</v>
      </c>
      <c r="F263" s="12">
        <f ca="1">(D263*B263)/100</f>
        <v>288.83960000000002</v>
      </c>
      <c r="G263" s="12">
        <f ca="1">(E263*B263)/100</f>
        <v>278.76379999999995</v>
      </c>
      <c r="H263" s="12">
        <f>(D263*C263)/100</f>
        <v>206.70099999999999</v>
      </c>
      <c r="I263" s="12">
        <f>(E263*C263)/100</f>
        <v>199.4905</v>
      </c>
      <c r="J263">
        <f ca="1">(F263-H263)/F263</f>
        <v>0.28437444173167398</v>
      </c>
      <c r="K263">
        <f ca="1">(G263-I263)/G263</f>
        <v>0.28437444173167381</v>
      </c>
    </row>
    <row r="264" spans="1:11" x14ac:dyDescent="0.2">
      <c r="A264" s="2" t="s">
        <v>629</v>
      </c>
      <c r="B264" s="2">
        <f ca="1">SUMIF('Coal savings'!$D$3:$H$543,Results!A264,'Coal savings'!$H$3:$H$543)</f>
        <v>750</v>
      </c>
      <c r="C264" s="2">
        <v>750</v>
      </c>
      <c r="D264" s="2">
        <v>0.12</v>
      </c>
      <c r="E264" s="2">
        <v>0.13</v>
      </c>
      <c r="F264" s="12">
        <f ca="1">(D264*B264)/100</f>
        <v>0.9</v>
      </c>
      <c r="G264" s="12">
        <f ca="1">(E264*B264)/100</f>
        <v>0.97499999999999998</v>
      </c>
      <c r="H264" s="12">
        <f>(D264*C264)/100</f>
        <v>0.9</v>
      </c>
      <c r="I264" s="12">
        <f>(E264*C264)/100</f>
        <v>0.97499999999999998</v>
      </c>
      <c r="J264">
        <f t="shared" ref="J264:K268" ca="1" si="15">(F264-H264)/F264</f>
        <v>0</v>
      </c>
      <c r="K264">
        <f t="shared" ca="1" si="15"/>
        <v>0</v>
      </c>
    </row>
    <row r="265" spans="1:11" x14ac:dyDescent="0.2">
      <c r="A265" s="2" t="s">
        <v>628</v>
      </c>
      <c r="B265" s="2">
        <f ca="1">SUMIF('Coal savings'!$D$3:$H$543,Results!A265,'Coal savings'!$H$3:$H$543)</f>
        <v>41255</v>
      </c>
      <c r="C265" s="2">
        <v>29240</v>
      </c>
      <c r="D265" s="2">
        <v>0.99</v>
      </c>
      <c r="E265" s="2">
        <v>0.88</v>
      </c>
      <c r="F265" s="12">
        <f ca="1">(D265*B265)/100</f>
        <v>408.42449999999997</v>
      </c>
      <c r="G265" s="12">
        <f ca="1">(E265*B265)/100</f>
        <v>363.04400000000004</v>
      </c>
      <c r="H265" s="12">
        <f>(D265*C265)/100</f>
        <v>289.476</v>
      </c>
      <c r="I265" s="12">
        <f>(E265*C265)/100</f>
        <v>257.31200000000001</v>
      </c>
      <c r="J265">
        <f t="shared" ca="1" si="15"/>
        <v>0.29123742576657369</v>
      </c>
      <c r="K265">
        <f t="shared" ca="1" si="15"/>
        <v>0.2912374257665738</v>
      </c>
    </row>
    <row r="266" spans="1:11" x14ac:dyDescent="0.2">
      <c r="A266" s="2" t="s">
        <v>627</v>
      </c>
      <c r="B266" s="2">
        <f ca="1">SUMIF('Coal savings'!$D$3:$H$543,Results!A266,'Coal savings'!$H$3:$H$543)</f>
        <v>37412.5</v>
      </c>
      <c r="C266" s="2">
        <v>27830</v>
      </c>
      <c r="D266" s="2">
        <v>0.83</v>
      </c>
      <c r="E266" s="2">
        <v>0.86</v>
      </c>
      <c r="F266" s="12">
        <f ca="1">(D266*B266)/100</f>
        <v>310.52375000000001</v>
      </c>
      <c r="G266" s="12">
        <f ca="1">(E266*B266)/100</f>
        <v>321.7475</v>
      </c>
      <c r="H266" s="12">
        <f>(D266*C266)/100</f>
        <v>230.98899999999998</v>
      </c>
      <c r="I266" s="12">
        <f>(E266*C266)/100</f>
        <v>239.33799999999999</v>
      </c>
      <c r="J266">
        <f t="shared" ca="1" si="15"/>
        <v>0.25613097226862691</v>
      </c>
      <c r="K266">
        <f t="shared" ca="1" si="15"/>
        <v>0.2561309722686268</v>
      </c>
    </row>
    <row r="267" spans="1:11" x14ac:dyDescent="0.2">
      <c r="A267" s="2" t="s">
        <v>626</v>
      </c>
      <c r="B267" s="2">
        <f ca="1">SUMIF('Coal savings'!$D$3:$H$543,Results!A267,'Coal savings'!$H$3:$H$543)</f>
        <v>81020</v>
      </c>
      <c r="C267" s="2">
        <v>61810</v>
      </c>
      <c r="D267" s="2">
        <v>0.8</v>
      </c>
      <c r="E267" s="2">
        <v>0.81</v>
      </c>
      <c r="F267" s="12">
        <f ca="1">(D267*B267)/100</f>
        <v>648.16</v>
      </c>
      <c r="G267" s="12">
        <f ca="1">(E267*B267)/100</f>
        <v>656.26199999999994</v>
      </c>
      <c r="H267" s="12">
        <f>(D267*C267)/100</f>
        <v>494.48</v>
      </c>
      <c r="I267" s="12">
        <f>(E267*C267)/100</f>
        <v>500.66100000000006</v>
      </c>
      <c r="J267">
        <f t="shared" ca="1" si="15"/>
        <v>0.23710195013576887</v>
      </c>
      <c r="K267">
        <f t="shared" ca="1" si="15"/>
        <v>0.23710195013576879</v>
      </c>
    </row>
    <row r="268" spans="1:11" x14ac:dyDescent="0.2">
      <c r="A268" s="2" t="s">
        <v>567</v>
      </c>
      <c r="B268" s="2">
        <f ca="1">SUM(B263:B267)</f>
        <v>194023.5</v>
      </c>
      <c r="C268" s="2">
        <f>SUM(C263:C267)</f>
        <v>143665</v>
      </c>
      <c r="D268" s="2"/>
      <c r="E268" s="2"/>
      <c r="F268" s="12">
        <f ca="1">SUM(F263:F267)</f>
        <v>1656.8478500000001</v>
      </c>
      <c r="G268" s="12">
        <f ca="1">SUM(G263:G267)</f>
        <v>1620.7922999999998</v>
      </c>
      <c r="H268" s="12">
        <f>SUM(H263:H267)</f>
        <v>1222.546</v>
      </c>
      <c r="I268" s="12">
        <f>SUM(I263:I267)</f>
        <v>1197.7764999999999</v>
      </c>
      <c r="J268">
        <f t="shared" ca="1" si="15"/>
        <v>0.26212536655070651</v>
      </c>
      <c r="K268">
        <f t="shared" ca="1" si="15"/>
        <v>0.26099321918052049</v>
      </c>
    </row>
    <row r="270" spans="1:11" x14ac:dyDescent="0.2">
      <c r="H270" s="1">
        <f ca="1">(F268-H268)/F268</f>
        <v>0.26212536655070651</v>
      </c>
      <c r="I270" s="1">
        <f ca="1">(G268-I268)/G268</f>
        <v>0.26099321918052049</v>
      </c>
    </row>
    <row r="273" spans="1:7" x14ac:dyDescent="0.2">
      <c r="A273" s="2" t="s">
        <v>1273</v>
      </c>
      <c r="B273" s="2" t="s">
        <v>557</v>
      </c>
    </row>
    <row r="274" spans="1:7" x14ac:dyDescent="0.2">
      <c r="A274" s="2" t="s">
        <v>1268</v>
      </c>
      <c r="B274" s="2">
        <v>1410</v>
      </c>
    </row>
    <row r="275" spans="1:7" x14ac:dyDescent="0.2">
      <c r="A275" s="2" t="s">
        <v>733</v>
      </c>
      <c r="B275" s="2">
        <v>10226</v>
      </c>
    </row>
    <row r="276" spans="1:7" x14ac:dyDescent="0.2">
      <c r="A276" s="2" t="s">
        <v>1270</v>
      </c>
      <c r="B276" s="2">
        <v>3020</v>
      </c>
    </row>
    <row r="277" spans="1:7" x14ac:dyDescent="0.2">
      <c r="A277" s="2" t="s">
        <v>1269</v>
      </c>
      <c r="B277" s="2">
        <v>6982</v>
      </c>
    </row>
    <row r="278" spans="1:7" x14ac:dyDescent="0.2">
      <c r="A278" s="2" t="s">
        <v>731</v>
      </c>
      <c r="B278" s="2">
        <v>4270</v>
      </c>
    </row>
    <row r="279" spans="1:7" x14ac:dyDescent="0.2">
      <c r="A279" s="2" t="s">
        <v>730</v>
      </c>
      <c r="B279" s="2">
        <v>8380</v>
      </c>
    </row>
    <row r="280" spans="1:7" x14ac:dyDescent="0.2">
      <c r="A280" s="2" t="s">
        <v>1271</v>
      </c>
      <c r="B280" s="2">
        <v>920</v>
      </c>
    </row>
    <row r="281" spans="1:7" x14ac:dyDescent="0.2">
      <c r="A281" s="2" t="s">
        <v>1272</v>
      </c>
      <c r="B281" s="2">
        <v>840</v>
      </c>
    </row>
    <row r="284" spans="1:7" ht="16" x14ac:dyDescent="0.2">
      <c r="B284" s="80" t="s">
        <v>1274</v>
      </c>
      <c r="C284" s="79" t="s">
        <v>625</v>
      </c>
      <c r="D284" s="79" t="s">
        <v>629</v>
      </c>
      <c r="E284" s="79" t="s">
        <v>628</v>
      </c>
      <c r="F284" s="79" t="s">
        <v>627</v>
      </c>
      <c r="G284" s="79" t="s">
        <v>626</v>
      </c>
    </row>
    <row r="285" spans="1:7" x14ac:dyDescent="0.2">
      <c r="A285" t="s">
        <v>1275</v>
      </c>
      <c r="B285" s="79" t="s">
        <v>1276</v>
      </c>
      <c r="C285" s="81" t="s">
        <v>1277</v>
      </c>
      <c r="D285" s="81" t="s">
        <v>1278</v>
      </c>
      <c r="E285" s="81" t="s">
        <v>1279</v>
      </c>
      <c r="F285" s="81" t="s">
        <v>1280</v>
      </c>
      <c r="G285" s="81" t="s">
        <v>1281</v>
      </c>
    </row>
    <row r="286" spans="1:7" x14ac:dyDescent="0.2">
      <c r="B286" s="79" t="s">
        <v>1282</v>
      </c>
      <c r="C286" s="81" t="s">
        <v>1283</v>
      </c>
      <c r="D286" s="81" t="s">
        <v>1284</v>
      </c>
      <c r="E286" s="81" t="s">
        <v>1285</v>
      </c>
      <c r="F286" s="81" t="s">
        <v>1286</v>
      </c>
      <c r="G286" s="81" t="s">
        <v>1287</v>
      </c>
    </row>
    <row r="289" spans="1:7" ht="16" x14ac:dyDescent="0.2">
      <c r="B289" s="80" t="s">
        <v>1274</v>
      </c>
      <c r="C289" s="79" t="s">
        <v>625</v>
      </c>
      <c r="D289" s="79" t="s">
        <v>629</v>
      </c>
      <c r="E289" s="79" t="s">
        <v>628</v>
      </c>
      <c r="F289" s="79" t="s">
        <v>627</v>
      </c>
      <c r="G289" s="79" t="s">
        <v>626</v>
      </c>
    </row>
    <row r="290" spans="1:7" x14ac:dyDescent="0.2">
      <c r="A290" t="s">
        <v>1288</v>
      </c>
      <c r="B290" s="79" t="s">
        <v>1289</v>
      </c>
      <c r="C290" s="81" t="s">
        <v>1290</v>
      </c>
      <c r="D290" s="81" t="s">
        <v>1291</v>
      </c>
      <c r="E290" s="81" t="s">
        <v>1292</v>
      </c>
      <c r="F290" s="81" t="s">
        <v>1293</v>
      </c>
      <c r="G290" s="81" t="s">
        <v>1294</v>
      </c>
    </row>
    <row r="291" spans="1:7" x14ac:dyDescent="0.2">
      <c r="B291" s="79" t="s">
        <v>1295</v>
      </c>
      <c r="C291" s="81" t="s">
        <v>1296</v>
      </c>
      <c r="D291" s="81" t="s">
        <v>1297</v>
      </c>
      <c r="E291" s="81" t="s">
        <v>1298</v>
      </c>
      <c r="F291" s="81" t="s">
        <v>1299</v>
      </c>
      <c r="G291" s="81" t="s">
        <v>1300</v>
      </c>
    </row>
    <row r="294" spans="1:7" x14ac:dyDescent="0.2">
      <c r="C294" t="s">
        <v>627</v>
      </c>
      <c r="D294">
        <v>495.77426868016551</v>
      </c>
      <c r="E294">
        <v>547.91700000000003</v>
      </c>
      <c r="F294" s="1">
        <f>D294/SUM($D$294:$D$298)</f>
        <v>0.18211201793859422</v>
      </c>
      <c r="G294" s="1">
        <f>E294/SUM($E$294:$E$298)</f>
        <v>0.20120133187550435</v>
      </c>
    </row>
    <row r="295" spans="1:7" x14ac:dyDescent="0.2">
      <c r="C295" t="s">
        <v>628</v>
      </c>
      <c r="D295">
        <v>569.83342622308248</v>
      </c>
      <c r="E295">
        <v>534.70079999999996</v>
      </c>
      <c r="F295" s="1">
        <f>D295/SUM($D$294:$D$298)</f>
        <v>0.20931605711327286</v>
      </c>
      <c r="G295" s="1">
        <f>E295/SUM($E$294:$E$298)</f>
        <v>0.19634819345794649</v>
      </c>
    </row>
    <row r="296" spans="1:7" x14ac:dyDescent="0.2">
      <c r="C296" t="s">
        <v>625</v>
      </c>
      <c r="D296">
        <v>487.93279760366687</v>
      </c>
      <c r="E296">
        <v>443.57069999999999</v>
      </c>
      <c r="F296" s="1">
        <f>D296/SUM($D$294:$D$298)</f>
        <v>0.17923162213840488</v>
      </c>
      <c r="G296" s="1">
        <f>E296/SUM($E$294:$E$298)</f>
        <v>0.16288418797180917</v>
      </c>
    </row>
    <row r="297" spans="1:7" x14ac:dyDescent="0.2">
      <c r="C297" t="s">
        <v>626</v>
      </c>
      <c r="D297">
        <v>1158.2887467986204</v>
      </c>
      <c r="E297">
        <v>1188.174</v>
      </c>
      <c r="F297" s="1">
        <f>D297/SUM($D$294:$D$298)</f>
        <v>0.42547246672687433</v>
      </c>
      <c r="G297" s="1">
        <f>E297/SUM($E$294:$E$298)</f>
        <v>0.43631095822879284</v>
      </c>
    </row>
    <row r="298" spans="1:7" x14ac:dyDescent="0.2">
      <c r="C298" t="s">
        <v>629</v>
      </c>
      <c r="D298">
        <v>10.529637895715741</v>
      </c>
      <c r="E298">
        <v>8.8650000000000002</v>
      </c>
      <c r="F298" s="1">
        <f>D298/SUM($D$294:$D$298)</f>
        <v>3.8678360828535738E-3</v>
      </c>
      <c r="G298" s="1">
        <f>E298/SUM($E$294:$E$298)</f>
        <v>3.255328465947116E-3</v>
      </c>
    </row>
    <row r="305" spans="1:6" x14ac:dyDescent="0.2">
      <c r="A305" s="2" t="s">
        <v>558</v>
      </c>
      <c r="B305" s="2" t="s">
        <v>607</v>
      </c>
      <c r="C305" s="2" t="s">
        <v>559</v>
      </c>
      <c r="D305" s="2" t="s">
        <v>555</v>
      </c>
      <c r="E305" s="2" t="s">
        <v>541</v>
      </c>
      <c r="F305" s="2" t="s">
        <v>557</v>
      </c>
    </row>
    <row r="306" spans="1:6" x14ac:dyDescent="0.2">
      <c r="A306" s="2" t="s">
        <v>614</v>
      </c>
      <c r="B306" s="2" t="s">
        <v>627</v>
      </c>
      <c r="C306" s="2" t="s">
        <v>570</v>
      </c>
      <c r="D306" s="2" t="s">
        <v>550</v>
      </c>
      <c r="E306" s="12">
        <v>40.5065023956194</v>
      </c>
      <c r="F306" s="2">
        <v>210</v>
      </c>
    </row>
    <row r="307" spans="1:6" x14ac:dyDescent="0.2">
      <c r="A307" s="2" t="s">
        <v>614</v>
      </c>
      <c r="B307" s="2" t="s">
        <v>627</v>
      </c>
      <c r="C307" s="2" t="s">
        <v>570</v>
      </c>
      <c r="D307" s="2" t="s">
        <v>549</v>
      </c>
      <c r="E307" s="12">
        <v>39.564681724845997</v>
      </c>
      <c r="F307" s="2">
        <v>210</v>
      </c>
    </row>
    <row r="308" spans="1:6" x14ac:dyDescent="0.2">
      <c r="A308" s="2" t="s">
        <v>614</v>
      </c>
      <c r="B308" s="2" t="s">
        <v>627</v>
      </c>
      <c r="C308" s="2" t="s">
        <v>570</v>
      </c>
      <c r="D308" s="2" t="s">
        <v>548</v>
      </c>
      <c r="E308" s="12">
        <v>30.579055441478399</v>
      </c>
      <c r="F308" s="2">
        <v>210</v>
      </c>
    </row>
    <row r="309" spans="1:6" x14ac:dyDescent="0.2">
      <c r="A309" s="2" t="s">
        <v>614</v>
      </c>
      <c r="B309" s="2" t="s">
        <v>627</v>
      </c>
      <c r="C309" s="2" t="s">
        <v>570</v>
      </c>
      <c r="D309" s="2" t="s">
        <v>547</v>
      </c>
      <c r="E309" s="12">
        <v>29.6974674880219</v>
      </c>
      <c r="F309" s="2">
        <v>210</v>
      </c>
    </row>
    <row r="310" spans="1:6" x14ac:dyDescent="0.2">
      <c r="A310" s="2" t="s">
        <v>614</v>
      </c>
      <c r="B310" s="2" t="s">
        <v>627</v>
      </c>
      <c r="C310" s="2" t="s">
        <v>570</v>
      </c>
      <c r="D310" s="2" t="s">
        <v>547</v>
      </c>
      <c r="E310" s="12">
        <v>26.094455852155999</v>
      </c>
      <c r="F310" s="2">
        <v>210</v>
      </c>
    </row>
    <row r="311" spans="1:6" x14ac:dyDescent="0.2">
      <c r="A311" s="2" t="s">
        <v>614</v>
      </c>
      <c r="B311" s="2" t="s">
        <v>627</v>
      </c>
      <c r="C311" s="2" t="s">
        <v>570</v>
      </c>
      <c r="D311" s="2" t="s">
        <v>547</v>
      </c>
      <c r="E311" s="12">
        <v>25.190965092402401</v>
      </c>
      <c r="F311" s="2">
        <v>210</v>
      </c>
    </row>
    <row r="312" spans="1:6" x14ac:dyDescent="0.2">
      <c r="A312" s="2" t="s">
        <v>614</v>
      </c>
      <c r="B312" s="2" t="s">
        <v>627</v>
      </c>
      <c r="C312" s="2" t="s">
        <v>570</v>
      </c>
      <c r="D312" s="2" t="s">
        <v>547</v>
      </c>
      <c r="E312" s="12">
        <v>26.176591375769998</v>
      </c>
      <c r="F312" s="2">
        <v>210</v>
      </c>
    </row>
    <row r="313" spans="1:6" x14ac:dyDescent="0.2">
      <c r="A313" s="2" t="s">
        <v>614</v>
      </c>
      <c r="B313" s="2" t="s">
        <v>627</v>
      </c>
      <c r="C313" s="2" t="s">
        <v>570</v>
      </c>
      <c r="D313" s="2" t="s">
        <v>547</v>
      </c>
      <c r="E313" s="12">
        <v>25.2539356605065</v>
      </c>
      <c r="F313" s="2">
        <v>210</v>
      </c>
    </row>
    <row r="314" spans="1:6" x14ac:dyDescent="0.2">
      <c r="A314" s="2" t="s">
        <v>614</v>
      </c>
      <c r="B314" s="2" t="s">
        <v>627</v>
      </c>
      <c r="C314" s="2" t="s">
        <v>570</v>
      </c>
      <c r="D314" s="2" t="s">
        <v>544</v>
      </c>
      <c r="E314" s="12">
        <v>13.3388090349075</v>
      </c>
      <c r="F314" s="2">
        <v>210</v>
      </c>
    </row>
    <row r="315" spans="1:6" x14ac:dyDescent="0.2">
      <c r="A315" s="2" t="s">
        <v>614</v>
      </c>
      <c r="B315" s="2" t="s">
        <v>627</v>
      </c>
      <c r="C315" s="2" t="s">
        <v>570</v>
      </c>
      <c r="D315" s="2" t="s">
        <v>544</v>
      </c>
      <c r="E315" s="12">
        <v>12.5065023956194</v>
      </c>
      <c r="F315" s="2">
        <v>210</v>
      </c>
    </row>
    <row r="316" spans="1:6" x14ac:dyDescent="0.2">
      <c r="A316" s="2" t="s">
        <v>614</v>
      </c>
      <c r="B316" s="2" t="s">
        <v>627</v>
      </c>
      <c r="C316" s="2" t="s">
        <v>570</v>
      </c>
      <c r="D316" s="2" t="s">
        <v>543</v>
      </c>
      <c r="E316" s="12">
        <v>9.4236824093086895</v>
      </c>
      <c r="F316" s="2">
        <v>210</v>
      </c>
    </row>
    <row r="317" spans="1:6" x14ac:dyDescent="0.2">
      <c r="A317" s="2" t="s">
        <v>611</v>
      </c>
      <c r="B317" s="2" t="s">
        <v>626</v>
      </c>
      <c r="C317" s="2" t="s">
        <v>570</v>
      </c>
      <c r="D317" s="2" t="s">
        <v>544</v>
      </c>
      <c r="E317" s="12">
        <v>13.1772758384668</v>
      </c>
      <c r="F317" s="2">
        <v>250</v>
      </c>
    </row>
    <row r="318" spans="1:6" x14ac:dyDescent="0.2">
      <c r="A318" s="2" t="s">
        <v>611</v>
      </c>
      <c r="B318" s="2" t="s">
        <v>626</v>
      </c>
      <c r="C318" s="2" t="s">
        <v>570</v>
      </c>
      <c r="D318" s="2" t="s">
        <v>544</v>
      </c>
      <c r="E318" s="12">
        <v>12.4243668720054</v>
      </c>
      <c r="F318" s="2">
        <v>250</v>
      </c>
    </row>
    <row r="319" spans="1:6" x14ac:dyDescent="0.2">
      <c r="A319" s="2" t="s">
        <v>611</v>
      </c>
      <c r="B319" s="2" t="s">
        <v>626</v>
      </c>
      <c r="C319" s="2" t="s">
        <v>570</v>
      </c>
      <c r="D319" s="2" t="s">
        <v>551</v>
      </c>
      <c r="E319" s="12">
        <v>53.0102669404517</v>
      </c>
      <c r="F319" s="2">
        <v>50</v>
      </c>
    </row>
    <row r="320" spans="1:6" x14ac:dyDescent="0.2">
      <c r="A320" s="2" t="s">
        <v>611</v>
      </c>
      <c r="B320" s="2" t="s">
        <v>626</v>
      </c>
      <c r="C320" s="2" t="s">
        <v>570</v>
      </c>
      <c r="D320" s="2" t="s">
        <v>551</v>
      </c>
      <c r="E320" s="12">
        <v>52.175222450376403</v>
      </c>
      <c r="F320" s="2">
        <v>50</v>
      </c>
    </row>
    <row r="321" spans="1:6" x14ac:dyDescent="0.2">
      <c r="A321" s="2" t="s">
        <v>611</v>
      </c>
      <c r="B321" s="2" t="s">
        <v>626</v>
      </c>
      <c r="C321" s="2" t="s">
        <v>570</v>
      </c>
      <c r="D321" s="2" t="s">
        <v>551</v>
      </c>
      <c r="E321" s="12">
        <v>51.589322381930103</v>
      </c>
      <c r="F321" s="2">
        <v>50</v>
      </c>
    </row>
    <row r="322" spans="1:6" x14ac:dyDescent="0.2">
      <c r="A322" s="2" t="s">
        <v>611</v>
      </c>
      <c r="B322" s="2" t="s">
        <v>626</v>
      </c>
      <c r="C322" s="2" t="s">
        <v>570</v>
      </c>
      <c r="D322" s="2" t="s">
        <v>550</v>
      </c>
      <c r="E322" s="12">
        <v>44.090349075975297</v>
      </c>
      <c r="F322" s="2">
        <v>120</v>
      </c>
    </row>
    <row r="323" spans="1:6" x14ac:dyDescent="0.2">
      <c r="A323" s="2" t="s">
        <v>611</v>
      </c>
      <c r="B323" s="2" t="s">
        <v>626</v>
      </c>
      <c r="C323" s="2" t="s">
        <v>570</v>
      </c>
      <c r="D323" s="2" t="s">
        <v>549</v>
      </c>
      <c r="E323" s="12">
        <v>39.0910335386721</v>
      </c>
      <c r="F323" s="2">
        <v>120</v>
      </c>
    </row>
    <row r="324" spans="1:6" x14ac:dyDescent="0.2">
      <c r="A324" s="2" t="s">
        <v>611</v>
      </c>
      <c r="B324" s="2" t="s">
        <v>626</v>
      </c>
      <c r="C324" s="2" t="s">
        <v>570</v>
      </c>
      <c r="D324" s="2" t="s">
        <v>549</v>
      </c>
      <c r="E324" s="12">
        <v>36.925393566050602</v>
      </c>
      <c r="F324" s="2">
        <v>210</v>
      </c>
    </row>
    <row r="325" spans="1:6" x14ac:dyDescent="0.2">
      <c r="A325" s="2" t="s">
        <v>611</v>
      </c>
      <c r="B325" s="2" t="s">
        <v>626</v>
      </c>
      <c r="C325" s="2" t="s">
        <v>570</v>
      </c>
      <c r="D325" s="2" t="s">
        <v>549</v>
      </c>
      <c r="E325" s="12">
        <v>36.175222450376403</v>
      </c>
      <c r="F325" s="2">
        <v>210</v>
      </c>
    </row>
    <row r="326" spans="1:6" x14ac:dyDescent="0.2">
      <c r="A326" s="2" t="s">
        <v>611</v>
      </c>
      <c r="B326" s="2" t="s">
        <v>626</v>
      </c>
      <c r="C326" s="2" t="s">
        <v>570</v>
      </c>
      <c r="D326" s="2" t="s">
        <v>549</v>
      </c>
      <c r="E326" s="12">
        <v>35.175906913073199</v>
      </c>
      <c r="F326" s="2">
        <v>210</v>
      </c>
    </row>
    <row r="327" spans="1:6" x14ac:dyDescent="0.2">
      <c r="A327" s="2" t="s">
        <v>611</v>
      </c>
      <c r="B327" s="2" t="s">
        <v>626</v>
      </c>
      <c r="C327" s="2" t="s">
        <v>570</v>
      </c>
      <c r="D327" s="2" t="s">
        <v>548</v>
      </c>
      <c r="E327" s="12">
        <v>34.176591375770002</v>
      </c>
      <c r="F327" s="2">
        <v>210</v>
      </c>
    </row>
    <row r="328" spans="1:6" x14ac:dyDescent="0.2">
      <c r="A328" s="2" t="s">
        <v>613</v>
      </c>
      <c r="B328" s="2" t="s">
        <v>626</v>
      </c>
      <c r="C328" s="2" t="s">
        <v>570</v>
      </c>
      <c r="D328" s="2" t="s">
        <v>548</v>
      </c>
      <c r="E328" s="12">
        <v>30.176591375769998</v>
      </c>
      <c r="F328" s="2">
        <v>210</v>
      </c>
    </row>
    <row r="329" spans="1:6" x14ac:dyDescent="0.2">
      <c r="A329" s="2" t="s">
        <v>613</v>
      </c>
      <c r="B329" s="2" t="s">
        <v>626</v>
      </c>
      <c r="C329" s="2" t="s">
        <v>570</v>
      </c>
      <c r="D329" s="2" t="s">
        <v>547</v>
      </c>
      <c r="E329" s="12">
        <v>28.843258042436599</v>
      </c>
      <c r="F329" s="2">
        <v>210</v>
      </c>
    </row>
    <row r="330" spans="1:6" x14ac:dyDescent="0.2">
      <c r="A330" s="2" t="s">
        <v>613</v>
      </c>
      <c r="B330" s="2" t="s">
        <v>626</v>
      </c>
      <c r="C330" s="2" t="s">
        <v>570</v>
      </c>
      <c r="D330" s="2" t="s">
        <v>546</v>
      </c>
      <c r="E330" s="12">
        <v>22.176591375769998</v>
      </c>
      <c r="F330" s="2">
        <v>210</v>
      </c>
    </row>
    <row r="331" spans="1:6" x14ac:dyDescent="0.2">
      <c r="A331" s="2" t="s">
        <v>613</v>
      </c>
      <c r="B331" s="2" t="s">
        <v>626</v>
      </c>
      <c r="C331" s="2" t="s">
        <v>570</v>
      </c>
      <c r="D331" s="2" t="s">
        <v>543</v>
      </c>
      <c r="E331" s="12">
        <v>5.1772758384667998</v>
      </c>
      <c r="F331" s="2">
        <v>250</v>
      </c>
    </row>
    <row r="332" spans="1:6" x14ac:dyDescent="0.2">
      <c r="A332" s="2" t="s">
        <v>613</v>
      </c>
      <c r="B332" s="2" t="s">
        <v>626</v>
      </c>
      <c r="C332" s="2" t="s">
        <v>570</v>
      </c>
      <c r="D332" s="2" t="s">
        <v>542</v>
      </c>
      <c r="E332" s="12">
        <v>4.6735112936344896</v>
      </c>
      <c r="F332" s="2">
        <v>250</v>
      </c>
    </row>
    <row r="333" spans="1:6" x14ac:dyDescent="0.2">
      <c r="A333" s="2" t="s">
        <v>613</v>
      </c>
      <c r="B333" s="2" t="s">
        <v>626</v>
      </c>
      <c r="C333" s="2" t="s">
        <v>570</v>
      </c>
      <c r="D333" s="2" t="s">
        <v>550</v>
      </c>
      <c r="E333" s="12">
        <v>41.338809034907598</v>
      </c>
      <c r="F333" s="2">
        <v>200</v>
      </c>
    </row>
    <row r="334" spans="1:6" x14ac:dyDescent="0.2">
      <c r="A334" s="2" t="s">
        <v>613</v>
      </c>
      <c r="B334" s="2" t="s">
        <v>626</v>
      </c>
      <c r="C334" s="2" t="s">
        <v>570</v>
      </c>
      <c r="D334" s="2" t="s">
        <v>550</v>
      </c>
      <c r="E334" s="12">
        <v>41.177275838466798</v>
      </c>
      <c r="F334" s="2">
        <v>200</v>
      </c>
    </row>
    <row r="335" spans="1:6" x14ac:dyDescent="0.2">
      <c r="A335" s="2" t="s">
        <v>613</v>
      </c>
      <c r="B335" s="2" t="s">
        <v>626</v>
      </c>
      <c r="C335" s="2" t="s">
        <v>570</v>
      </c>
      <c r="D335" s="2" t="s">
        <v>549</v>
      </c>
      <c r="E335" s="12">
        <v>35.337440109513999</v>
      </c>
      <c r="F335" s="2">
        <v>210</v>
      </c>
    </row>
    <row r="336" spans="1:6" x14ac:dyDescent="0.2">
      <c r="A336" s="2" t="s">
        <v>613</v>
      </c>
      <c r="B336" s="2" t="s">
        <v>626</v>
      </c>
      <c r="C336" s="2" t="s">
        <v>570</v>
      </c>
      <c r="D336" s="2" t="s">
        <v>549</v>
      </c>
      <c r="E336" s="12">
        <v>38.176591375770002</v>
      </c>
      <c r="F336" s="2">
        <v>210</v>
      </c>
    </row>
    <row r="337" spans="1:6" x14ac:dyDescent="0.2">
      <c r="A337" s="2" t="s">
        <v>613</v>
      </c>
      <c r="B337" s="2" t="s">
        <v>626</v>
      </c>
      <c r="C337" s="2" t="s">
        <v>570</v>
      </c>
      <c r="D337" s="2" t="s">
        <v>549</v>
      </c>
      <c r="E337" s="12">
        <v>37.338809034907598</v>
      </c>
      <c r="F337" s="2">
        <v>210</v>
      </c>
    </row>
    <row r="338" spans="1:6" x14ac:dyDescent="0.2">
      <c r="A338" s="2" t="s">
        <v>613</v>
      </c>
      <c r="B338" s="2" t="s">
        <v>626</v>
      </c>
      <c r="C338" s="2" t="s">
        <v>570</v>
      </c>
      <c r="D338" s="2" t="s">
        <v>549</v>
      </c>
      <c r="E338" s="12">
        <v>36.175222450376403</v>
      </c>
      <c r="F338" s="2">
        <v>210</v>
      </c>
    </row>
    <row r="339" spans="1:6" x14ac:dyDescent="0.2">
      <c r="A339" s="2" t="s">
        <v>613</v>
      </c>
      <c r="B339" s="2" t="s">
        <v>626</v>
      </c>
      <c r="C339" s="2" t="s">
        <v>570</v>
      </c>
      <c r="D339" s="2" t="s">
        <v>548</v>
      </c>
      <c r="E339" s="12">
        <v>34.176591375770002</v>
      </c>
      <c r="F339" s="2">
        <v>210</v>
      </c>
    </row>
    <row r="340" spans="1:6" x14ac:dyDescent="0.2">
      <c r="A340" s="2" t="s">
        <v>613</v>
      </c>
      <c r="B340" s="2" t="s">
        <v>626</v>
      </c>
      <c r="C340" s="2" t="s">
        <v>570</v>
      </c>
      <c r="D340" s="2" t="s">
        <v>548</v>
      </c>
      <c r="E340" s="12">
        <v>33.672826830937701</v>
      </c>
      <c r="F340" s="2">
        <v>210</v>
      </c>
    </row>
    <row r="341" spans="1:6" x14ac:dyDescent="0.2">
      <c r="A341" s="2" t="s">
        <v>613</v>
      </c>
      <c r="B341" s="2" t="s">
        <v>626</v>
      </c>
      <c r="C341" s="2" t="s">
        <v>570</v>
      </c>
      <c r="D341" s="2" t="s">
        <v>548</v>
      </c>
      <c r="E341" s="12">
        <v>32.5065023956194</v>
      </c>
      <c r="F341" s="2">
        <v>210</v>
      </c>
    </row>
    <row r="342" spans="1:6" x14ac:dyDescent="0.2">
      <c r="A342" s="2" t="s">
        <v>613</v>
      </c>
      <c r="B342" s="2" t="s">
        <v>626</v>
      </c>
      <c r="C342" s="2" t="s">
        <v>570</v>
      </c>
      <c r="D342" s="2" t="s">
        <v>546</v>
      </c>
      <c r="E342" s="12">
        <v>21.423682409308601</v>
      </c>
      <c r="F342" s="2">
        <v>210</v>
      </c>
    </row>
    <row r="343" spans="1:6" x14ac:dyDescent="0.2">
      <c r="A343" s="2" t="s">
        <v>619</v>
      </c>
      <c r="B343" s="2" t="s">
        <v>628</v>
      </c>
      <c r="C343" s="2" t="s">
        <v>570</v>
      </c>
      <c r="D343" s="2" t="s">
        <v>548</v>
      </c>
      <c r="E343" s="12">
        <v>31.175906913073199</v>
      </c>
      <c r="F343" s="2">
        <v>210</v>
      </c>
    </row>
    <row r="344" spans="1:6" x14ac:dyDescent="0.2">
      <c r="A344" s="2" t="s">
        <v>619</v>
      </c>
      <c r="B344" s="2" t="s">
        <v>628</v>
      </c>
      <c r="C344" s="2" t="s">
        <v>570</v>
      </c>
      <c r="D344" s="2" t="s">
        <v>545</v>
      </c>
      <c r="E344" s="12">
        <v>19.175906913073199</v>
      </c>
      <c r="F344" s="2">
        <v>210</v>
      </c>
    </row>
    <row r="345" spans="1:6" x14ac:dyDescent="0.2">
      <c r="A345" s="2" t="s">
        <v>619</v>
      </c>
      <c r="B345" s="2" t="s">
        <v>628</v>
      </c>
      <c r="C345" s="2" t="s">
        <v>570</v>
      </c>
      <c r="D345" s="2" t="s">
        <v>545</v>
      </c>
      <c r="E345" s="12">
        <v>15.6714579055441</v>
      </c>
      <c r="F345" s="2">
        <v>250</v>
      </c>
    </row>
    <row r="346" spans="1:6" x14ac:dyDescent="0.2">
      <c r="A346" s="2" t="s">
        <v>619</v>
      </c>
      <c r="B346" s="2" t="s">
        <v>628</v>
      </c>
      <c r="C346" s="2" t="s">
        <v>570</v>
      </c>
      <c r="D346" s="2" t="s">
        <v>545</v>
      </c>
      <c r="E346" s="12">
        <v>15.337440109514</v>
      </c>
      <c r="F346" s="2">
        <v>250</v>
      </c>
    </row>
    <row r="347" spans="1:6" x14ac:dyDescent="0.2">
      <c r="A347" s="2" t="s">
        <v>623</v>
      </c>
      <c r="B347" s="2" t="s">
        <v>625</v>
      </c>
      <c r="C347" s="2" t="s">
        <v>570</v>
      </c>
      <c r="D347" s="2" t="s">
        <v>546</v>
      </c>
      <c r="E347" s="12">
        <v>23.671457905544099</v>
      </c>
      <c r="F347" s="2">
        <v>210</v>
      </c>
    </row>
    <row r="348" spans="1:6" x14ac:dyDescent="0.2">
      <c r="A348" s="2" t="s">
        <v>623</v>
      </c>
      <c r="B348" s="2" t="s">
        <v>625</v>
      </c>
      <c r="C348" s="2" t="s">
        <v>570</v>
      </c>
      <c r="D348" s="2" t="s">
        <v>546</v>
      </c>
      <c r="E348" s="12">
        <v>22.672142368240898</v>
      </c>
      <c r="F348" s="2">
        <v>210</v>
      </c>
    </row>
    <row r="349" spans="1:6" x14ac:dyDescent="0.2">
      <c r="A349" s="2" t="s">
        <v>612</v>
      </c>
      <c r="B349" s="2" t="s">
        <v>627</v>
      </c>
      <c r="C349" s="2" t="s">
        <v>570</v>
      </c>
      <c r="D349" s="2" t="s">
        <v>549</v>
      </c>
      <c r="E349" s="12">
        <v>35.175906913073199</v>
      </c>
      <c r="F349" s="2">
        <v>210</v>
      </c>
    </row>
    <row r="350" spans="1:6" x14ac:dyDescent="0.2">
      <c r="A350" s="2" t="s">
        <v>612</v>
      </c>
      <c r="B350" s="2" t="s">
        <v>627</v>
      </c>
      <c r="C350" s="2" t="s">
        <v>570</v>
      </c>
      <c r="D350" s="2" t="s">
        <v>548</v>
      </c>
      <c r="E350" s="12">
        <v>34.176591375770002</v>
      </c>
      <c r="F350" s="2">
        <v>210</v>
      </c>
    </row>
    <row r="351" spans="1:6" x14ac:dyDescent="0.2">
      <c r="A351" s="2" t="s">
        <v>612</v>
      </c>
      <c r="B351" s="2" t="s">
        <v>627</v>
      </c>
      <c r="C351" s="2" t="s">
        <v>570</v>
      </c>
      <c r="D351" s="2" t="s">
        <v>547</v>
      </c>
      <c r="E351" s="12">
        <v>29.177275838466802</v>
      </c>
      <c r="F351" s="2">
        <v>210</v>
      </c>
    </row>
    <row r="352" spans="1:6" x14ac:dyDescent="0.2">
      <c r="A352" s="2" t="s">
        <v>612</v>
      </c>
      <c r="B352" s="2" t="s">
        <v>627</v>
      </c>
      <c r="C352" s="2" t="s">
        <v>570</v>
      </c>
      <c r="D352" s="2" t="s">
        <v>547</v>
      </c>
      <c r="E352" s="12">
        <v>25.672826830937701</v>
      </c>
      <c r="F352" s="2">
        <v>210</v>
      </c>
    </row>
    <row r="353" spans="1:6" x14ac:dyDescent="0.2">
      <c r="A353" s="2" t="s">
        <v>612</v>
      </c>
      <c r="B353" s="2" t="s">
        <v>627</v>
      </c>
      <c r="C353" s="2" t="s">
        <v>570</v>
      </c>
      <c r="D353" s="2" t="s">
        <v>546</v>
      </c>
      <c r="E353" s="12">
        <v>21.338809034907499</v>
      </c>
      <c r="F353" s="2">
        <v>210</v>
      </c>
    </row>
    <row r="354" spans="1:6" x14ac:dyDescent="0.2">
      <c r="A354" s="2" t="s">
        <v>612</v>
      </c>
      <c r="B354" s="2" t="s">
        <v>627</v>
      </c>
      <c r="C354" s="2" t="s">
        <v>570</v>
      </c>
      <c r="D354" s="2" t="s">
        <v>546</v>
      </c>
      <c r="E354" s="12">
        <v>20.843258042436599</v>
      </c>
      <c r="F354" s="2">
        <v>210</v>
      </c>
    </row>
    <row r="355" spans="1:6" x14ac:dyDescent="0.2">
      <c r="A355" s="2" t="s">
        <v>612</v>
      </c>
      <c r="B355" s="2" t="s">
        <v>627</v>
      </c>
      <c r="C355" s="2" t="s">
        <v>570</v>
      </c>
      <c r="D355" s="2" t="s">
        <v>545</v>
      </c>
      <c r="E355" s="12">
        <v>17.423682409308601</v>
      </c>
      <c r="F355" s="2">
        <v>210</v>
      </c>
    </row>
    <row r="356" spans="1:6" x14ac:dyDescent="0.2">
      <c r="A356" s="2" t="s">
        <v>609</v>
      </c>
      <c r="B356" s="2" t="s">
        <v>626</v>
      </c>
      <c r="C356" s="2" t="s">
        <v>570</v>
      </c>
      <c r="D356" s="2" t="s">
        <v>544</v>
      </c>
      <c r="E356" s="12">
        <v>11.9233401779603</v>
      </c>
      <c r="F356" s="2">
        <v>210</v>
      </c>
    </row>
    <row r="357" spans="1:6" x14ac:dyDescent="0.2">
      <c r="A357" s="2" t="s">
        <v>609</v>
      </c>
      <c r="B357" s="2" t="s">
        <v>626</v>
      </c>
      <c r="C357" s="2" t="s">
        <v>570</v>
      </c>
      <c r="D357" s="2" t="s">
        <v>547</v>
      </c>
      <c r="E357" s="12">
        <v>27.175906913073199</v>
      </c>
      <c r="F357" s="2">
        <v>210</v>
      </c>
    </row>
    <row r="358" spans="1:6" x14ac:dyDescent="0.2">
      <c r="A358" s="2" t="s">
        <v>609</v>
      </c>
      <c r="B358" s="2" t="s">
        <v>626</v>
      </c>
      <c r="C358" s="2" t="s">
        <v>570</v>
      </c>
      <c r="D358" s="2" t="s">
        <v>547</v>
      </c>
      <c r="E358" s="12">
        <v>27.175906913073199</v>
      </c>
      <c r="F358" s="2">
        <v>210</v>
      </c>
    </row>
    <row r="359" spans="1:6" x14ac:dyDescent="0.2">
      <c r="A359" s="2" t="s">
        <v>609</v>
      </c>
      <c r="B359" s="2" t="s">
        <v>626</v>
      </c>
      <c r="C359" s="2" t="s">
        <v>570</v>
      </c>
      <c r="D359" s="2" t="s">
        <v>546</v>
      </c>
      <c r="E359" s="12">
        <v>21.2539356605065</v>
      </c>
      <c r="F359" s="2">
        <v>210</v>
      </c>
    </row>
    <row r="360" spans="1:6" x14ac:dyDescent="0.2">
      <c r="A360" s="2" t="s">
        <v>609</v>
      </c>
      <c r="B360" s="2" t="s">
        <v>626</v>
      </c>
      <c r="C360" s="2" t="s">
        <v>570</v>
      </c>
      <c r="D360" s="2" t="s">
        <v>546</v>
      </c>
      <c r="E360" s="12">
        <v>20.5065023956194</v>
      </c>
      <c r="F360" s="2">
        <v>210</v>
      </c>
    </row>
    <row r="361" spans="1:6" x14ac:dyDescent="0.2">
      <c r="A361" s="2" t="s">
        <v>609</v>
      </c>
      <c r="B361" s="2" t="s">
        <v>626</v>
      </c>
      <c r="C361" s="2" t="s">
        <v>570</v>
      </c>
      <c r="D361" s="2" t="s">
        <v>550</v>
      </c>
      <c r="E361" s="12">
        <v>40.843258042436602</v>
      </c>
      <c r="F361" s="2">
        <v>200</v>
      </c>
    </row>
    <row r="362" spans="1:6" x14ac:dyDescent="0.2">
      <c r="A362" s="2" t="s">
        <v>609</v>
      </c>
      <c r="B362" s="2" t="s">
        <v>626</v>
      </c>
      <c r="C362" s="2" t="s">
        <v>570</v>
      </c>
      <c r="D362" s="2" t="s">
        <v>549</v>
      </c>
      <c r="E362" s="12">
        <v>39.671457905544102</v>
      </c>
      <c r="F362" s="2">
        <v>210</v>
      </c>
    </row>
    <row r="363" spans="1:6" x14ac:dyDescent="0.2">
      <c r="A363" s="2" t="s">
        <v>609</v>
      </c>
      <c r="B363" s="2" t="s">
        <v>626</v>
      </c>
      <c r="C363" s="2" t="s">
        <v>570</v>
      </c>
      <c r="D363" s="2" t="s">
        <v>549</v>
      </c>
      <c r="E363" s="12">
        <v>37.338809034907598</v>
      </c>
      <c r="F363" s="2">
        <v>210</v>
      </c>
    </row>
    <row r="364" spans="1:6" x14ac:dyDescent="0.2">
      <c r="A364" s="2" t="s">
        <v>609</v>
      </c>
      <c r="B364" s="2" t="s">
        <v>626</v>
      </c>
      <c r="C364" s="2" t="s">
        <v>570</v>
      </c>
      <c r="D364" s="2" t="s">
        <v>549</v>
      </c>
      <c r="E364" s="12">
        <v>36.254620123203203</v>
      </c>
      <c r="F364" s="2">
        <v>210</v>
      </c>
    </row>
    <row r="365" spans="1:6" x14ac:dyDescent="0.2">
      <c r="A365" s="2" t="s">
        <v>617</v>
      </c>
      <c r="B365" s="2" t="s">
        <v>626</v>
      </c>
      <c r="C365" s="2" t="s">
        <v>570</v>
      </c>
      <c r="D365" s="2" t="s">
        <v>549</v>
      </c>
      <c r="E365" s="12">
        <v>37.672826830937701</v>
      </c>
      <c r="F365" s="2">
        <v>210</v>
      </c>
    </row>
    <row r="366" spans="1:6" x14ac:dyDescent="0.2">
      <c r="A366" s="2" t="s">
        <v>617</v>
      </c>
      <c r="B366" s="2" t="s">
        <v>626</v>
      </c>
      <c r="C366" s="2" t="s">
        <v>570</v>
      </c>
      <c r="D366" s="2" t="s">
        <v>548</v>
      </c>
      <c r="E366" s="12">
        <v>35.008898015058101</v>
      </c>
      <c r="F366" s="2">
        <v>210</v>
      </c>
    </row>
    <row r="367" spans="1:6" x14ac:dyDescent="0.2">
      <c r="A367" s="2" t="s">
        <v>617</v>
      </c>
      <c r="B367" s="2" t="s">
        <v>626</v>
      </c>
      <c r="C367" s="2" t="s">
        <v>570</v>
      </c>
      <c r="D367" s="2" t="s">
        <v>548</v>
      </c>
      <c r="E367" s="12">
        <v>34.176591375770002</v>
      </c>
      <c r="F367" s="2">
        <v>210</v>
      </c>
    </row>
    <row r="368" spans="1:6" x14ac:dyDescent="0.2">
      <c r="A368" s="2" t="s">
        <v>617</v>
      </c>
      <c r="B368" s="2" t="s">
        <v>626</v>
      </c>
      <c r="C368" s="2" t="s">
        <v>570</v>
      </c>
      <c r="D368" s="2" t="s">
        <v>548</v>
      </c>
      <c r="E368" s="12">
        <v>31.175906913073199</v>
      </c>
      <c r="F368" s="2">
        <v>210</v>
      </c>
    </row>
    <row r="369" spans="1:6" x14ac:dyDescent="0.2">
      <c r="A369" s="2" t="s">
        <v>617</v>
      </c>
      <c r="B369" s="2" t="s">
        <v>626</v>
      </c>
      <c r="C369" s="2" t="s">
        <v>570</v>
      </c>
      <c r="D369" s="2" t="s">
        <v>548</v>
      </c>
      <c r="E369" s="12">
        <v>30.338124572210798</v>
      </c>
      <c r="F369" s="2">
        <v>210</v>
      </c>
    </row>
    <row r="370" spans="1:6" x14ac:dyDescent="0.2">
      <c r="A370" s="2" t="s">
        <v>617</v>
      </c>
      <c r="B370" s="2" t="s">
        <v>626</v>
      </c>
      <c r="C370" s="2" t="s">
        <v>570</v>
      </c>
      <c r="D370" s="2" t="s">
        <v>545</v>
      </c>
      <c r="E370" s="12">
        <v>20.008213552361301</v>
      </c>
      <c r="F370" s="2">
        <v>210</v>
      </c>
    </row>
    <row r="371" spans="1:6" x14ac:dyDescent="0.2">
      <c r="A371" s="2" t="s">
        <v>617</v>
      </c>
      <c r="B371" s="2" t="s">
        <v>626</v>
      </c>
      <c r="C371" s="2" t="s">
        <v>570</v>
      </c>
      <c r="D371" s="2" t="s">
        <v>545</v>
      </c>
      <c r="E371" s="12">
        <v>19.337440109513999</v>
      </c>
      <c r="F371" s="2">
        <v>210</v>
      </c>
    </row>
    <row r="372" spans="1:6" x14ac:dyDescent="0.2">
      <c r="A372" s="2" t="s">
        <v>617</v>
      </c>
      <c r="B372" s="2" t="s">
        <v>626</v>
      </c>
      <c r="C372" s="2" t="s">
        <v>570</v>
      </c>
      <c r="D372" s="2" t="s">
        <v>549</v>
      </c>
      <c r="E372" s="12">
        <v>38.176591375770002</v>
      </c>
      <c r="F372" s="2">
        <v>210</v>
      </c>
    </row>
    <row r="373" spans="1:6" x14ac:dyDescent="0.2">
      <c r="A373" s="2" t="s">
        <v>617</v>
      </c>
      <c r="B373" s="2" t="s">
        <v>626</v>
      </c>
      <c r="C373" s="2" t="s">
        <v>570</v>
      </c>
      <c r="D373" s="2" t="s">
        <v>549</v>
      </c>
      <c r="E373" s="12">
        <v>37.338809034907598</v>
      </c>
      <c r="F373" s="2">
        <v>210</v>
      </c>
    </row>
    <row r="374" spans="1:6" x14ac:dyDescent="0.2">
      <c r="A374" s="2" t="s">
        <v>617</v>
      </c>
      <c r="B374" s="2" t="s">
        <v>626</v>
      </c>
      <c r="C374" s="2" t="s">
        <v>570</v>
      </c>
      <c r="D374" s="2" t="s">
        <v>550</v>
      </c>
      <c r="E374" s="12">
        <v>41.0924024640657</v>
      </c>
      <c r="F374" s="2">
        <v>210</v>
      </c>
    </row>
    <row r="375" spans="1:6" x14ac:dyDescent="0.2">
      <c r="A375" s="2" t="s">
        <v>617</v>
      </c>
      <c r="B375" s="2" t="s">
        <v>626</v>
      </c>
      <c r="C375" s="2" t="s">
        <v>570</v>
      </c>
      <c r="D375" s="2" t="s">
        <v>549</v>
      </c>
      <c r="E375" s="12">
        <v>39.841204654346299</v>
      </c>
      <c r="F375" s="2">
        <v>210</v>
      </c>
    </row>
    <row r="376" spans="1:6" x14ac:dyDescent="0.2">
      <c r="A376" s="2" t="s">
        <v>617</v>
      </c>
      <c r="B376" s="2" t="s">
        <v>626</v>
      </c>
      <c r="C376" s="2" t="s">
        <v>570</v>
      </c>
      <c r="D376" s="2" t="s">
        <v>549</v>
      </c>
      <c r="E376" s="12">
        <v>39.337440109513999</v>
      </c>
      <c r="F376" s="2">
        <v>210</v>
      </c>
    </row>
    <row r="377" spans="1:6" x14ac:dyDescent="0.2">
      <c r="A377" s="2" t="s">
        <v>617</v>
      </c>
      <c r="B377" s="2" t="s">
        <v>626</v>
      </c>
      <c r="C377" s="2" t="s">
        <v>570</v>
      </c>
      <c r="D377" s="2" t="s">
        <v>544</v>
      </c>
      <c r="E377" s="12">
        <v>13.0102669404517</v>
      </c>
      <c r="F377" s="2">
        <v>250</v>
      </c>
    </row>
    <row r="378" spans="1:6" x14ac:dyDescent="0.2">
      <c r="A378" s="2" t="s">
        <v>617</v>
      </c>
      <c r="B378" s="2" t="s">
        <v>626</v>
      </c>
      <c r="C378" s="2" t="s">
        <v>570</v>
      </c>
      <c r="D378" s="2" t="s">
        <v>544</v>
      </c>
      <c r="E378" s="12">
        <v>10.17659137577</v>
      </c>
      <c r="F378" s="2">
        <v>250</v>
      </c>
    </row>
    <row r="379" spans="1:6" x14ac:dyDescent="0.2">
      <c r="A379" s="2" t="s">
        <v>617</v>
      </c>
      <c r="B379" s="2" t="s">
        <v>626</v>
      </c>
      <c r="C379" s="2" t="s">
        <v>570</v>
      </c>
      <c r="D379" s="2" t="s">
        <v>544</v>
      </c>
      <c r="E379" s="12">
        <v>13.2539356605065</v>
      </c>
      <c r="F379" s="2">
        <v>250</v>
      </c>
    </row>
    <row r="380" spans="1:6" x14ac:dyDescent="0.2">
      <c r="A380" s="2" t="s">
        <v>617</v>
      </c>
      <c r="B380" s="2" t="s">
        <v>626</v>
      </c>
      <c r="C380" s="2" t="s">
        <v>570</v>
      </c>
      <c r="D380" s="2" t="s">
        <v>544</v>
      </c>
      <c r="E380" s="12">
        <v>10.2532511978097</v>
      </c>
      <c r="F380" s="2">
        <v>250</v>
      </c>
    </row>
    <row r="381" spans="1:6" x14ac:dyDescent="0.2">
      <c r="A381" s="2" t="s">
        <v>608</v>
      </c>
      <c r="B381" s="2" t="s">
        <v>625</v>
      </c>
      <c r="C381" s="2" t="s">
        <v>570</v>
      </c>
      <c r="D381" s="2" t="s">
        <v>547</v>
      </c>
      <c r="E381" s="12">
        <v>25.924709103353798</v>
      </c>
      <c r="F381" s="2">
        <v>210</v>
      </c>
    </row>
    <row r="382" spans="1:6" x14ac:dyDescent="0.2">
      <c r="A382" s="2" t="s">
        <v>608</v>
      </c>
      <c r="B382" s="2" t="s">
        <v>625</v>
      </c>
      <c r="C382" s="2" t="s">
        <v>570</v>
      </c>
      <c r="D382" s="2" t="s">
        <v>546</v>
      </c>
      <c r="E382" s="12">
        <v>24.591375770020498</v>
      </c>
      <c r="F382" s="2">
        <v>210</v>
      </c>
    </row>
    <row r="383" spans="1:6" x14ac:dyDescent="0.2">
      <c r="A383" s="2" t="s">
        <v>618</v>
      </c>
      <c r="B383" s="2" t="s">
        <v>628</v>
      </c>
      <c r="C383" s="2" t="s">
        <v>570</v>
      </c>
      <c r="D383" s="2" t="s">
        <v>546</v>
      </c>
      <c r="E383" s="12">
        <v>22.4229979466119</v>
      </c>
      <c r="F383" s="2">
        <v>210</v>
      </c>
    </row>
    <row r="384" spans="1:6" x14ac:dyDescent="0.2">
      <c r="A384" s="2" t="s">
        <v>618</v>
      </c>
      <c r="B384" s="2" t="s">
        <v>628</v>
      </c>
      <c r="C384" s="2" t="s">
        <v>570</v>
      </c>
      <c r="D384" s="2" t="s">
        <v>546</v>
      </c>
      <c r="E384" s="12">
        <v>21.590691307323699</v>
      </c>
      <c r="F384" s="2">
        <v>210</v>
      </c>
    </row>
    <row r="385" spans="1:6" x14ac:dyDescent="0.2">
      <c r="A385" s="2" t="s">
        <v>618</v>
      </c>
      <c r="B385" s="2" t="s">
        <v>628</v>
      </c>
      <c r="C385" s="2" t="s">
        <v>570</v>
      </c>
      <c r="D385" s="2" t="s">
        <v>544</v>
      </c>
      <c r="E385" s="12">
        <v>12.3394934976043</v>
      </c>
      <c r="F385" s="2">
        <v>250</v>
      </c>
    </row>
    <row r="386" spans="1:6" x14ac:dyDescent="0.2">
      <c r="A386" s="2" t="s">
        <v>618</v>
      </c>
      <c r="B386" s="2" t="s">
        <v>628</v>
      </c>
      <c r="C386" s="2" t="s">
        <v>570</v>
      </c>
      <c r="D386" s="2" t="s">
        <v>544</v>
      </c>
      <c r="E386" s="12">
        <v>11.841204654346299</v>
      </c>
      <c r="F386" s="2">
        <v>250</v>
      </c>
    </row>
    <row r="387" spans="1:6" x14ac:dyDescent="0.2">
      <c r="A387" s="2" t="s">
        <v>618</v>
      </c>
      <c r="B387" s="2" t="s">
        <v>628</v>
      </c>
      <c r="C387" s="2" t="s">
        <v>570</v>
      </c>
      <c r="D387" s="2" t="s">
        <v>548</v>
      </c>
      <c r="E387" s="12">
        <v>32.175222450376403</v>
      </c>
      <c r="F387" s="2">
        <v>210</v>
      </c>
    </row>
    <row r="388" spans="1:6" x14ac:dyDescent="0.2">
      <c r="A388" s="2" t="s">
        <v>618</v>
      </c>
      <c r="B388" s="2" t="s">
        <v>628</v>
      </c>
      <c r="C388" s="2" t="s">
        <v>570</v>
      </c>
      <c r="D388" s="2" t="s">
        <v>548</v>
      </c>
      <c r="E388" s="12">
        <v>31.337440109513999</v>
      </c>
      <c r="F388" s="2">
        <v>210</v>
      </c>
    </row>
    <row r="389" spans="1:6" x14ac:dyDescent="0.2">
      <c r="A389" s="2" t="s">
        <v>618</v>
      </c>
      <c r="B389" s="2" t="s">
        <v>628</v>
      </c>
      <c r="C389" s="2" t="s">
        <v>570</v>
      </c>
      <c r="D389" s="2" t="s">
        <v>547</v>
      </c>
      <c r="E389" s="12">
        <v>28.175222450376399</v>
      </c>
      <c r="F389" s="2">
        <v>210</v>
      </c>
    </row>
    <row r="390" spans="1:6" x14ac:dyDescent="0.2">
      <c r="A390" s="2" t="s">
        <v>618</v>
      </c>
      <c r="B390" s="2" t="s">
        <v>628</v>
      </c>
      <c r="C390" s="2" t="s">
        <v>570</v>
      </c>
      <c r="D390" s="2" t="s">
        <v>547</v>
      </c>
      <c r="E390" s="12">
        <v>27.175906913073199</v>
      </c>
      <c r="F390" s="2">
        <v>210</v>
      </c>
    </row>
    <row r="391" spans="1:6" x14ac:dyDescent="0.2">
      <c r="A391" s="2" t="s">
        <v>616</v>
      </c>
      <c r="B391" s="2" t="s">
        <v>628</v>
      </c>
      <c r="C391" s="2" t="s">
        <v>570</v>
      </c>
      <c r="D391" s="2" t="s">
        <v>544</v>
      </c>
      <c r="E391" s="12">
        <v>10.590006844626901</v>
      </c>
      <c r="F391" s="2">
        <v>250</v>
      </c>
    </row>
    <row r="392" spans="1:6" x14ac:dyDescent="0.2">
      <c r="A392" s="2" t="s">
        <v>616</v>
      </c>
      <c r="B392" s="2" t="s">
        <v>628</v>
      </c>
      <c r="C392" s="2" t="s">
        <v>570</v>
      </c>
      <c r="D392" s="2" t="s">
        <v>543</v>
      </c>
      <c r="E392" s="12">
        <v>10.009582477754901</v>
      </c>
      <c r="F392" s="2">
        <v>250</v>
      </c>
    </row>
    <row r="393" spans="1:6" x14ac:dyDescent="0.2">
      <c r="A393" s="2" t="s">
        <v>616</v>
      </c>
      <c r="B393" s="2" t="s">
        <v>628</v>
      </c>
      <c r="C393" s="2" t="s">
        <v>570</v>
      </c>
      <c r="D393" s="2" t="s">
        <v>549</v>
      </c>
      <c r="E393" s="12">
        <v>37.338809034907598</v>
      </c>
      <c r="F393" s="2">
        <v>110</v>
      </c>
    </row>
    <row r="394" spans="1:6" x14ac:dyDescent="0.2">
      <c r="A394" s="2" t="s">
        <v>616</v>
      </c>
      <c r="B394" s="2" t="s">
        <v>628</v>
      </c>
      <c r="C394" s="2" t="s">
        <v>570</v>
      </c>
      <c r="D394" s="2" t="s">
        <v>549</v>
      </c>
      <c r="E394" s="12">
        <v>36.843258042436602</v>
      </c>
      <c r="F394" s="2">
        <v>110</v>
      </c>
    </row>
    <row r="395" spans="1:6" x14ac:dyDescent="0.2">
      <c r="A395" s="2" t="s">
        <v>616</v>
      </c>
      <c r="B395" s="2" t="s">
        <v>628</v>
      </c>
      <c r="C395" s="2" t="s">
        <v>570</v>
      </c>
      <c r="D395" s="2" t="s">
        <v>548</v>
      </c>
      <c r="E395" s="12">
        <v>31.671457905544099</v>
      </c>
      <c r="F395" s="2">
        <v>210</v>
      </c>
    </row>
    <row r="396" spans="1:6" x14ac:dyDescent="0.2">
      <c r="A396" s="2" t="s">
        <v>616</v>
      </c>
      <c r="B396" s="2" t="s">
        <v>628</v>
      </c>
      <c r="C396" s="2" t="s">
        <v>570</v>
      </c>
      <c r="D396" s="2" t="s">
        <v>548</v>
      </c>
      <c r="E396" s="12">
        <v>31.008898015058101</v>
      </c>
      <c r="F396" s="2">
        <v>210</v>
      </c>
    </row>
    <row r="397" spans="1:6" x14ac:dyDescent="0.2">
      <c r="A397" s="2" t="s">
        <v>616</v>
      </c>
      <c r="B397" s="2" t="s">
        <v>628</v>
      </c>
      <c r="C397" s="2" t="s">
        <v>570</v>
      </c>
      <c r="D397" s="2" t="s">
        <v>547</v>
      </c>
      <c r="E397" s="12">
        <v>26.176591375769998</v>
      </c>
      <c r="F397" s="2">
        <v>210</v>
      </c>
    </row>
    <row r="398" spans="1:6" x14ac:dyDescent="0.2">
      <c r="A398" s="2" t="s">
        <v>616</v>
      </c>
      <c r="B398" s="2" t="s">
        <v>628</v>
      </c>
      <c r="C398" s="2" t="s">
        <v>570</v>
      </c>
      <c r="D398" s="2" t="s">
        <v>545</v>
      </c>
      <c r="E398" s="12">
        <v>16.843258042436599</v>
      </c>
      <c r="F398" s="2">
        <v>195</v>
      </c>
    </row>
    <row r="399" spans="1:6" x14ac:dyDescent="0.2">
      <c r="A399" s="2" t="s">
        <v>616</v>
      </c>
      <c r="B399" s="2" t="s">
        <v>628</v>
      </c>
      <c r="C399" s="2" t="s">
        <v>570</v>
      </c>
      <c r="D399" s="2" t="s">
        <v>544</v>
      </c>
      <c r="E399" s="12">
        <v>10.757015742642</v>
      </c>
      <c r="F399" s="2">
        <v>195</v>
      </c>
    </row>
    <row r="400" spans="1:6" x14ac:dyDescent="0.2">
      <c r="A400" s="2" t="s">
        <v>616</v>
      </c>
      <c r="B400" s="2" t="s">
        <v>628</v>
      </c>
      <c r="C400" s="2" t="s">
        <v>570</v>
      </c>
      <c r="D400" s="2" t="s">
        <v>546</v>
      </c>
      <c r="E400" s="12">
        <v>22.009582477754901</v>
      </c>
      <c r="F400" s="2">
        <v>250</v>
      </c>
    </row>
    <row r="401" spans="1:6" x14ac:dyDescent="0.2">
      <c r="A401" s="2" t="s">
        <v>616</v>
      </c>
      <c r="B401" s="2" t="s">
        <v>628</v>
      </c>
      <c r="C401" s="2" t="s">
        <v>570</v>
      </c>
      <c r="D401" s="2" t="s">
        <v>546</v>
      </c>
      <c r="E401" s="12">
        <v>20.175222450376399</v>
      </c>
      <c r="F401" s="2">
        <v>250</v>
      </c>
    </row>
    <row r="402" spans="1:6" x14ac:dyDescent="0.2">
      <c r="A402" s="2" t="s">
        <v>616</v>
      </c>
      <c r="B402" s="2" t="s">
        <v>628</v>
      </c>
      <c r="C402" s="2" t="s">
        <v>570</v>
      </c>
      <c r="D402" s="2" t="s">
        <v>545</v>
      </c>
      <c r="E402" s="12">
        <v>18.590006844626899</v>
      </c>
      <c r="F402" s="2">
        <v>250</v>
      </c>
    </row>
    <row r="403" spans="1:6" x14ac:dyDescent="0.2">
      <c r="A403" s="2" t="s">
        <v>616</v>
      </c>
      <c r="B403" s="2" t="s">
        <v>628</v>
      </c>
      <c r="C403" s="2" t="s">
        <v>570</v>
      </c>
      <c r="D403" s="2" t="s">
        <v>545</v>
      </c>
      <c r="E403" s="12">
        <v>18.176591375769998</v>
      </c>
      <c r="F403" s="2">
        <v>250</v>
      </c>
    </row>
    <row r="404" spans="1:6" x14ac:dyDescent="0.2">
      <c r="A404" s="2" t="s">
        <v>616</v>
      </c>
      <c r="B404" s="2" t="s">
        <v>628</v>
      </c>
      <c r="C404" s="2" t="s">
        <v>570</v>
      </c>
      <c r="D404" s="2" t="s">
        <v>545</v>
      </c>
      <c r="E404" s="12">
        <v>16.925393566050602</v>
      </c>
      <c r="F404" s="2">
        <v>250</v>
      </c>
    </row>
    <row r="405" spans="1:6" x14ac:dyDescent="0.2">
      <c r="A405" s="2" t="s">
        <v>616</v>
      </c>
      <c r="B405" s="2" t="s">
        <v>628</v>
      </c>
      <c r="C405" s="2" t="s">
        <v>570</v>
      </c>
      <c r="D405" s="2" t="s">
        <v>544</v>
      </c>
      <c r="E405" s="12">
        <v>10.757015742642</v>
      </c>
      <c r="F405" s="2">
        <v>250</v>
      </c>
    </row>
    <row r="406" spans="1:6" x14ac:dyDescent="0.2">
      <c r="A406" s="2" t="s">
        <v>622</v>
      </c>
      <c r="B406" s="2" t="s">
        <v>627</v>
      </c>
      <c r="C406" s="2" t="s">
        <v>570</v>
      </c>
      <c r="D406" s="2" t="s">
        <v>548</v>
      </c>
      <c r="E406" s="12">
        <v>33.338809034907598</v>
      </c>
      <c r="F406" s="2">
        <v>210</v>
      </c>
    </row>
    <row r="407" spans="1:6" x14ac:dyDescent="0.2">
      <c r="A407" s="2" t="s">
        <v>622</v>
      </c>
      <c r="B407" s="2" t="s">
        <v>627</v>
      </c>
      <c r="C407" s="2" t="s">
        <v>570</v>
      </c>
      <c r="D407" s="2" t="s">
        <v>548</v>
      </c>
      <c r="E407" s="12">
        <v>32.4243668720054</v>
      </c>
      <c r="F407" s="2">
        <v>210</v>
      </c>
    </row>
    <row r="408" spans="1:6" x14ac:dyDescent="0.2">
      <c r="A408" s="2" t="s">
        <v>622</v>
      </c>
      <c r="B408" s="2" t="s">
        <v>627</v>
      </c>
      <c r="C408" s="2" t="s">
        <v>570</v>
      </c>
      <c r="D408" s="2" t="s">
        <v>548</v>
      </c>
      <c r="E408" s="12">
        <v>31.175906913073199</v>
      </c>
      <c r="F408" s="2">
        <v>210</v>
      </c>
    </row>
    <row r="409" spans="1:6" x14ac:dyDescent="0.2">
      <c r="A409" s="2" t="s">
        <v>622</v>
      </c>
      <c r="B409" s="2" t="s">
        <v>627</v>
      </c>
      <c r="C409" s="2" t="s">
        <v>570</v>
      </c>
      <c r="D409" s="2" t="s">
        <v>548</v>
      </c>
      <c r="E409" s="12">
        <v>30.176591375769998</v>
      </c>
      <c r="F409" s="2">
        <v>210</v>
      </c>
    </row>
    <row r="410" spans="1:6" x14ac:dyDescent="0.2">
      <c r="A410" s="2" t="s">
        <v>622</v>
      </c>
      <c r="B410" s="2" t="s">
        <v>627</v>
      </c>
      <c r="C410" s="2" t="s">
        <v>570</v>
      </c>
      <c r="D410" s="2" t="s">
        <v>547</v>
      </c>
      <c r="E410" s="12">
        <v>16.383299110198401</v>
      </c>
      <c r="F410" s="2">
        <v>210</v>
      </c>
    </row>
    <row r="411" spans="1:6" x14ac:dyDescent="0.2">
      <c r="A411" s="2" t="s">
        <v>622</v>
      </c>
      <c r="B411" s="2" t="s">
        <v>627</v>
      </c>
      <c r="C411" s="2" t="s">
        <v>570</v>
      </c>
      <c r="D411" s="2" t="s">
        <v>547</v>
      </c>
      <c r="E411" s="12">
        <v>15.9247091033538</v>
      </c>
      <c r="F411" s="2">
        <v>210</v>
      </c>
    </row>
    <row r="412" spans="1:6" x14ac:dyDescent="0.2">
      <c r="A412" s="2" t="s">
        <v>622</v>
      </c>
      <c r="B412" s="2" t="s">
        <v>627</v>
      </c>
      <c r="C412" s="2" t="s">
        <v>570</v>
      </c>
      <c r="D412" s="2" t="s">
        <v>546</v>
      </c>
      <c r="E412" s="12">
        <v>24.2546201232032</v>
      </c>
      <c r="F412" s="2">
        <v>210</v>
      </c>
    </row>
    <row r="413" spans="1:6" x14ac:dyDescent="0.2">
      <c r="A413" s="2" t="s">
        <v>622</v>
      </c>
      <c r="B413" s="2" t="s">
        <v>627</v>
      </c>
      <c r="C413" s="2" t="s">
        <v>570</v>
      </c>
      <c r="D413" s="2" t="s">
        <v>550</v>
      </c>
      <c r="E413" s="12">
        <v>40.821355236139603</v>
      </c>
      <c r="F413" s="2">
        <v>210</v>
      </c>
    </row>
    <row r="414" spans="1:6" x14ac:dyDescent="0.2">
      <c r="A414" s="2" t="s">
        <v>622</v>
      </c>
      <c r="B414" s="2" t="s">
        <v>627</v>
      </c>
      <c r="C414" s="2" t="s">
        <v>570</v>
      </c>
      <c r="D414" s="2" t="s">
        <v>549</v>
      </c>
      <c r="E414" s="12">
        <v>39.378507871320998</v>
      </c>
      <c r="F414" s="2">
        <v>210</v>
      </c>
    </row>
    <row r="415" spans="1:6" x14ac:dyDescent="0.2">
      <c r="A415" s="2" t="s">
        <v>622</v>
      </c>
      <c r="B415" s="2" t="s">
        <v>627</v>
      </c>
      <c r="C415" s="2" t="s">
        <v>570</v>
      </c>
      <c r="D415" s="2" t="s">
        <v>549</v>
      </c>
      <c r="E415" s="12">
        <v>38.050650239561897</v>
      </c>
      <c r="F415" s="2">
        <v>210</v>
      </c>
    </row>
    <row r="416" spans="1:6" x14ac:dyDescent="0.2">
      <c r="A416" s="2" t="s">
        <v>622</v>
      </c>
      <c r="B416" s="2" t="s">
        <v>627</v>
      </c>
      <c r="C416" s="2" t="s">
        <v>570</v>
      </c>
      <c r="D416" s="2" t="s">
        <v>547</v>
      </c>
      <c r="E416" s="12">
        <v>28.227241615331899</v>
      </c>
      <c r="F416" s="2">
        <v>210</v>
      </c>
    </row>
    <row r="417" spans="1:6" x14ac:dyDescent="0.2">
      <c r="A417" s="2" t="s">
        <v>622</v>
      </c>
      <c r="B417" s="2" t="s">
        <v>627</v>
      </c>
      <c r="C417" s="2" t="s">
        <v>570</v>
      </c>
      <c r="D417" s="2" t="s">
        <v>547</v>
      </c>
      <c r="E417" s="12">
        <v>29.095140314852799</v>
      </c>
      <c r="F417" s="2">
        <v>210</v>
      </c>
    </row>
    <row r="418" spans="1:6" x14ac:dyDescent="0.2">
      <c r="A418" s="2" t="s">
        <v>610</v>
      </c>
      <c r="B418" s="2" t="s">
        <v>627</v>
      </c>
      <c r="C418" s="2" t="s">
        <v>570</v>
      </c>
      <c r="D418" s="2" t="s">
        <v>546</v>
      </c>
      <c r="E418" s="12">
        <v>22.179329226557101</v>
      </c>
      <c r="F418" s="2">
        <v>250</v>
      </c>
    </row>
    <row r="419" spans="1:6" x14ac:dyDescent="0.2">
      <c r="A419" s="2" t="s">
        <v>610</v>
      </c>
      <c r="B419" s="2" t="s">
        <v>627</v>
      </c>
      <c r="C419" s="2" t="s">
        <v>570</v>
      </c>
      <c r="D419" s="2" t="s">
        <v>546</v>
      </c>
      <c r="E419" s="12">
        <v>23.104722792607799</v>
      </c>
      <c r="F419" s="2">
        <v>250</v>
      </c>
    </row>
    <row r="420" spans="1:6" x14ac:dyDescent="0.2">
      <c r="A420" s="2" t="s">
        <v>610</v>
      </c>
      <c r="B420" s="2" t="s">
        <v>627</v>
      </c>
      <c r="C420" s="2" t="s">
        <v>570</v>
      </c>
      <c r="D420" s="2" t="s">
        <v>551</v>
      </c>
      <c r="E420" s="12">
        <v>53.834360027378501</v>
      </c>
      <c r="F420" s="2">
        <v>60</v>
      </c>
    </row>
    <row r="421" spans="1:6" x14ac:dyDescent="0.2">
      <c r="A421" s="2" t="s">
        <v>610</v>
      </c>
      <c r="B421" s="2" t="s">
        <v>627</v>
      </c>
      <c r="C421" s="2" t="s">
        <v>570</v>
      </c>
      <c r="D421" s="2" t="s">
        <v>551</v>
      </c>
      <c r="E421" s="12">
        <v>53.4346338124572</v>
      </c>
      <c r="F421" s="2">
        <v>60</v>
      </c>
    </row>
    <row r="422" spans="1:6" x14ac:dyDescent="0.2">
      <c r="A422" s="2" t="s">
        <v>610</v>
      </c>
      <c r="B422" s="2" t="s">
        <v>627</v>
      </c>
      <c r="C422" s="2" t="s">
        <v>570</v>
      </c>
      <c r="D422" s="2" t="s">
        <v>551</v>
      </c>
      <c r="E422" s="12">
        <v>52.824093086926702</v>
      </c>
      <c r="F422" s="2">
        <v>60</v>
      </c>
    </row>
    <row r="423" spans="1:6" x14ac:dyDescent="0.2">
      <c r="A423" s="2" t="s">
        <v>610</v>
      </c>
      <c r="B423" s="2" t="s">
        <v>627</v>
      </c>
      <c r="C423" s="2" t="s">
        <v>570</v>
      </c>
      <c r="D423" s="2" t="s">
        <v>551</v>
      </c>
      <c r="E423" s="12">
        <v>45.724845995893197</v>
      </c>
      <c r="F423" s="2">
        <v>120</v>
      </c>
    </row>
    <row r="424" spans="1:6" x14ac:dyDescent="0.2">
      <c r="A424" s="2" t="s">
        <v>610</v>
      </c>
      <c r="B424" s="2" t="s">
        <v>627</v>
      </c>
      <c r="C424" s="2" t="s">
        <v>570</v>
      </c>
      <c r="D424" s="2" t="s">
        <v>550</v>
      </c>
      <c r="E424" s="12">
        <v>45.3744010951403</v>
      </c>
      <c r="F424" s="2">
        <v>120</v>
      </c>
    </row>
    <row r="425" spans="1:6" x14ac:dyDescent="0.2">
      <c r="A425" s="2" t="s">
        <v>610</v>
      </c>
      <c r="B425" s="2" t="s">
        <v>627</v>
      </c>
      <c r="C425" s="2" t="s">
        <v>570</v>
      </c>
      <c r="D425" s="2" t="s">
        <v>550</v>
      </c>
      <c r="E425" s="12">
        <v>43.151266255989</v>
      </c>
      <c r="F425" s="2">
        <v>120</v>
      </c>
    </row>
    <row r="426" spans="1:6" x14ac:dyDescent="0.2">
      <c r="A426" s="2" t="s">
        <v>610</v>
      </c>
      <c r="B426" s="2" t="s">
        <v>627</v>
      </c>
      <c r="C426" s="2" t="s">
        <v>570</v>
      </c>
      <c r="D426" s="2" t="s">
        <v>550</v>
      </c>
      <c r="E426" s="12">
        <v>42.313483915126596</v>
      </c>
      <c r="F426" s="2">
        <v>120</v>
      </c>
    </row>
    <row r="427" spans="1:6" x14ac:dyDescent="0.2">
      <c r="A427" s="2" t="s">
        <v>610</v>
      </c>
      <c r="B427" s="2" t="s">
        <v>627</v>
      </c>
      <c r="C427" s="2" t="s">
        <v>570</v>
      </c>
      <c r="D427" s="2" t="s">
        <v>551</v>
      </c>
      <c r="E427" s="12">
        <v>48.591375770020498</v>
      </c>
      <c r="F427" s="2">
        <v>62.5</v>
      </c>
    </row>
    <row r="428" spans="1:6" x14ac:dyDescent="0.2">
      <c r="A428" s="2" t="s">
        <v>634</v>
      </c>
      <c r="B428" s="2" t="s">
        <v>628</v>
      </c>
      <c r="C428" s="2" t="s">
        <v>570</v>
      </c>
      <c r="D428" s="2" t="s">
        <v>548</v>
      </c>
      <c r="E428" s="12">
        <v>34.176591375770002</v>
      </c>
      <c r="F428" s="2">
        <v>210</v>
      </c>
    </row>
    <row r="429" spans="1:6" x14ac:dyDescent="0.2">
      <c r="A429" s="2" t="s">
        <v>634</v>
      </c>
      <c r="B429" s="2" t="s">
        <v>628</v>
      </c>
      <c r="C429" s="2" t="s">
        <v>570</v>
      </c>
      <c r="D429" s="2" t="s">
        <v>548</v>
      </c>
      <c r="E429" s="12">
        <v>33.2539356605065</v>
      </c>
      <c r="F429" s="2">
        <v>210</v>
      </c>
    </row>
    <row r="430" spans="1:6" x14ac:dyDescent="0.2">
      <c r="A430" s="2" t="s">
        <v>634</v>
      </c>
      <c r="B430" s="2" t="s">
        <v>628</v>
      </c>
      <c r="C430" s="2" t="s">
        <v>570</v>
      </c>
      <c r="D430" s="2" t="s">
        <v>548</v>
      </c>
      <c r="E430" s="12">
        <v>32.175222450376403</v>
      </c>
      <c r="F430" s="2">
        <v>210</v>
      </c>
    </row>
    <row r="431" spans="1:6" x14ac:dyDescent="0.2">
      <c r="A431" s="2" t="s">
        <v>634</v>
      </c>
      <c r="B431" s="2" t="s">
        <v>628</v>
      </c>
      <c r="C431" s="2" t="s">
        <v>570</v>
      </c>
      <c r="D431" s="2" t="s">
        <v>550</v>
      </c>
      <c r="E431" s="12">
        <v>42.176591375770002</v>
      </c>
      <c r="F431" s="2">
        <v>105</v>
      </c>
    </row>
    <row r="432" spans="1:6" x14ac:dyDescent="0.2">
      <c r="A432" s="2" t="s">
        <v>634</v>
      </c>
      <c r="B432" s="2" t="s">
        <v>628</v>
      </c>
      <c r="C432" s="2" t="s">
        <v>570</v>
      </c>
      <c r="D432" s="2" t="s">
        <v>551</v>
      </c>
      <c r="E432" s="12">
        <v>52.758384668035497</v>
      </c>
      <c r="F432" s="2">
        <v>50</v>
      </c>
    </row>
    <row r="433" spans="1:6" x14ac:dyDescent="0.2">
      <c r="A433" s="2" t="s">
        <v>634</v>
      </c>
      <c r="B433" s="2" t="s">
        <v>628</v>
      </c>
      <c r="C433" s="2" t="s">
        <v>570</v>
      </c>
      <c r="D433" s="2" t="s">
        <v>550</v>
      </c>
      <c r="E433" s="12">
        <v>41.338809034907598</v>
      </c>
      <c r="F433" s="2">
        <v>200</v>
      </c>
    </row>
    <row r="434" spans="1:6" x14ac:dyDescent="0.2">
      <c r="A434" s="2" t="s">
        <v>634</v>
      </c>
      <c r="B434" s="2" t="s">
        <v>628</v>
      </c>
      <c r="C434" s="2" t="s">
        <v>570</v>
      </c>
      <c r="D434" s="2" t="s">
        <v>550</v>
      </c>
      <c r="E434" s="12">
        <v>42.4229979466119</v>
      </c>
      <c r="F434" s="2">
        <v>200</v>
      </c>
    </row>
    <row r="435" spans="1:6" x14ac:dyDescent="0.2">
      <c r="A435" s="2" t="s">
        <v>634</v>
      </c>
      <c r="B435" s="2" t="s">
        <v>628</v>
      </c>
      <c r="C435" s="2" t="s">
        <v>570</v>
      </c>
      <c r="D435" s="2" t="s">
        <v>549</v>
      </c>
      <c r="E435" s="12">
        <v>39.175906913073199</v>
      </c>
      <c r="F435" s="2">
        <v>200</v>
      </c>
    </row>
    <row r="436" spans="1:6" x14ac:dyDescent="0.2">
      <c r="A436" s="2" t="s">
        <v>634</v>
      </c>
      <c r="B436" s="2" t="s">
        <v>628</v>
      </c>
      <c r="C436" s="2" t="s">
        <v>570</v>
      </c>
      <c r="D436" s="2" t="s">
        <v>549</v>
      </c>
      <c r="E436" s="12">
        <v>37.842573579739899</v>
      </c>
      <c r="F436" s="2">
        <v>200</v>
      </c>
    </row>
    <row r="437" spans="1:6" x14ac:dyDescent="0.2">
      <c r="A437" s="2" t="s">
        <v>634</v>
      </c>
      <c r="B437" s="2" t="s">
        <v>628</v>
      </c>
      <c r="C437" s="2" t="s">
        <v>570</v>
      </c>
      <c r="D437" s="2" t="s">
        <v>549</v>
      </c>
      <c r="E437" s="12">
        <v>39.589322381930103</v>
      </c>
      <c r="F437" s="2">
        <v>200</v>
      </c>
    </row>
    <row r="438" spans="1:6" x14ac:dyDescent="0.2">
      <c r="A438" s="2" t="s">
        <v>634</v>
      </c>
      <c r="B438" s="2" t="s">
        <v>628</v>
      </c>
      <c r="C438" s="2" t="s">
        <v>570</v>
      </c>
      <c r="D438" s="2" t="s">
        <v>549</v>
      </c>
      <c r="E438" s="12">
        <v>35.2525667351129</v>
      </c>
      <c r="F438" s="2">
        <v>110</v>
      </c>
    </row>
    <row r="439" spans="1:6" x14ac:dyDescent="0.2">
      <c r="A439" s="2" t="s">
        <v>634</v>
      </c>
      <c r="B439" s="2" t="s">
        <v>628</v>
      </c>
      <c r="C439" s="2" t="s">
        <v>570</v>
      </c>
      <c r="D439" s="2" t="s">
        <v>544</v>
      </c>
      <c r="E439" s="12">
        <v>14.17659137577</v>
      </c>
      <c r="F439" s="2">
        <v>210</v>
      </c>
    </row>
    <row r="440" spans="1:6" x14ac:dyDescent="0.2">
      <c r="A440" s="2" t="s">
        <v>634</v>
      </c>
      <c r="B440" s="2" t="s">
        <v>628</v>
      </c>
      <c r="C440" s="2" t="s">
        <v>570</v>
      </c>
      <c r="D440" s="2" t="s">
        <v>544</v>
      </c>
      <c r="E440" s="12">
        <v>13.423682409308601</v>
      </c>
      <c r="F440" s="2">
        <v>210</v>
      </c>
    </row>
    <row r="441" spans="1:6" x14ac:dyDescent="0.2">
      <c r="A441" s="2" t="s">
        <v>621</v>
      </c>
      <c r="B441" s="2" t="s">
        <v>625</v>
      </c>
      <c r="C441" s="2" t="s">
        <v>570</v>
      </c>
      <c r="D441" s="2" t="s">
        <v>544</v>
      </c>
      <c r="E441" s="12">
        <v>10.924024640657001</v>
      </c>
      <c r="F441" s="2">
        <v>210</v>
      </c>
    </row>
    <row r="442" spans="1:6" x14ac:dyDescent="0.2">
      <c r="A442" s="2" t="s">
        <v>621</v>
      </c>
      <c r="B442" s="2" t="s">
        <v>625</v>
      </c>
      <c r="C442" s="2" t="s">
        <v>570</v>
      </c>
      <c r="D442" s="2" t="s">
        <v>546</v>
      </c>
      <c r="E442" s="12">
        <v>20.843258042436599</v>
      </c>
      <c r="F442" s="2">
        <v>210</v>
      </c>
    </row>
    <row r="443" spans="1:6" x14ac:dyDescent="0.2">
      <c r="A443" s="2" t="s">
        <v>621</v>
      </c>
      <c r="B443" s="2" t="s">
        <v>625</v>
      </c>
      <c r="C443" s="2" t="s">
        <v>570</v>
      </c>
      <c r="D443" s="2" t="s">
        <v>545</v>
      </c>
      <c r="E443" s="12">
        <v>20.008213552361301</v>
      </c>
      <c r="F443" s="2">
        <v>210</v>
      </c>
    </row>
    <row r="444" spans="1:6" x14ac:dyDescent="0.2">
      <c r="A444" s="2" t="s">
        <v>621</v>
      </c>
      <c r="B444" s="2" t="s">
        <v>625</v>
      </c>
      <c r="C444" s="2" t="s">
        <v>570</v>
      </c>
      <c r="D444" s="2" t="s">
        <v>545</v>
      </c>
      <c r="E444" s="12">
        <v>19.175906913073199</v>
      </c>
      <c r="F444" s="2">
        <v>210</v>
      </c>
    </row>
    <row r="445" spans="1:6" x14ac:dyDescent="0.2">
      <c r="A445" s="2" t="s">
        <v>621</v>
      </c>
      <c r="B445" s="2" t="s">
        <v>625</v>
      </c>
      <c r="C445" s="2" t="s">
        <v>570</v>
      </c>
      <c r="D445" s="2" t="s">
        <v>544</v>
      </c>
      <c r="E445" s="12">
        <v>12.4243668720054</v>
      </c>
      <c r="F445" s="2">
        <v>210</v>
      </c>
    </row>
    <row r="446" spans="1:6" x14ac:dyDescent="0.2">
      <c r="A446" s="2" t="s">
        <v>621</v>
      </c>
      <c r="B446" s="2" t="s">
        <v>625</v>
      </c>
      <c r="C446" s="2" t="s">
        <v>570</v>
      </c>
      <c r="D446" s="2" t="s">
        <v>551</v>
      </c>
      <c r="E446" s="12">
        <v>54.672142368240898</v>
      </c>
      <c r="F446" s="2">
        <v>60</v>
      </c>
    </row>
    <row r="447" spans="1:6" x14ac:dyDescent="0.2">
      <c r="A447" s="2" t="s">
        <v>621</v>
      </c>
      <c r="B447" s="2" t="s">
        <v>625</v>
      </c>
      <c r="C447" s="2" t="s">
        <v>570</v>
      </c>
      <c r="D447" s="2" t="s">
        <v>551</v>
      </c>
      <c r="E447" s="12">
        <v>54.590006844626899</v>
      </c>
      <c r="F447" s="2">
        <v>60</v>
      </c>
    </row>
    <row r="448" spans="1:6" x14ac:dyDescent="0.2">
      <c r="A448" s="2" t="s">
        <v>621</v>
      </c>
      <c r="B448" s="2" t="s">
        <v>625</v>
      </c>
      <c r="C448" s="2" t="s">
        <v>570</v>
      </c>
      <c r="D448" s="2" t="s">
        <v>549</v>
      </c>
      <c r="E448" s="12">
        <v>37.590691307323702</v>
      </c>
      <c r="F448" s="2">
        <v>210</v>
      </c>
    </row>
    <row r="449" spans="1:6" x14ac:dyDescent="0.2">
      <c r="A449" s="2" t="s">
        <v>621</v>
      </c>
      <c r="B449" s="2" t="s">
        <v>625</v>
      </c>
      <c r="C449" s="2" t="s">
        <v>570</v>
      </c>
      <c r="D449" s="2" t="s">
        <v>547</v>
      </c>
      <c r="E449" s="12">
        <v>27.337440109513999</v>
      </c>
      <c r="F449" s="2">
        <v>210</v>
      </c>
    </row>
    <row r="450" spans="1:6" x14ac:dyDescent="0.2">
      <c r="A450" s="2" t="s">
        <v>621</v>
      </c>
      <c r="B450" s="2" t="s">
        <v>625</v>
      </c>
      <c r="C450" s="2" t="s">
        <v>570</v>
      </c>
      <c r="D450" s="2" t="s">
        <v>547</v>
      </c>
      <c r="E450" s="12">
        <v>29.7577002053388</v>
      </c>
      <c r="F450" s="2">
        <v>210</v>
      </c>
    </row>
    <row r="451" spans="1:6" x14ac:dyDescent="0.2">
      <c r="A451" s="2" t="s">
        <v>621</v>
      </c>
      <c r="B451" s="2" t="s">
        <v>625</v>
      </c>
      <c r="C451" s="2" t="s">
        <v>570</v>
      </c>
      <c r="D451" s="2" t="s">
        <v>548</v>
      </c>
      <c r="E451" s="12">
        <v>34.4229979466119</v>
      </c>
      <c r="F451" s="2">
        <v>210</v>
      </c>
    </row>
    <row r="452" spans="1:6" x14ac:dyDescent="0.2">
      <c r="A452" s="2" t="s">
        <v>621</v>
      </c>
      <c r="B452" s="2" t="s">
        <v>625</v>
      </c>
      <c r="C452" s="2" t="s">
        <v>570</v>
      </c>
      <c r="D452" s="2" t="s">
        <v>549</v>
      </c>
      <c r="E452" s="12">
        <v>36.339493497604302</v>
      </c>
      <c r="F452" s="2">
        <v>210</v>
      </c>
    </row>
    <row r="453" spans="1:6" x14ac:dyDescent="0.2">
      <c r="A453" s="2" t="s">
        <v>621</v>
      </c>
      <c r="B453" s="2" t="s">
        <v>625</v>
      </c>
      <c r="C453" s="2" t="s">
        <v>570</v>
      </c>
      <c r="D453" s="2" t="s">
        <v>547</v>
      </c>
      <c r="E453" s="12">
        <v>26.4229979466119</v>
      </c>
      <c r="F453" s="2">
        <v>210</v>
      </c>
    </row>
    <row r="454" spans="1:6" x14ac:dyDescent="0.2">
      <c r="A454" s="2" t="s">
        <v>621</v>
      </c>
      <c r="B454" s="2" t="s">
        <v>625</v>
      </c>
      <c r="C454" s="2" t="s">
        <v>570</v>
      </c>
      <c r="D454" s="2" t="s">
        <v>547</v>
      </c>
      <c r="E454" s="12">
        <v>29.177275838466802</v>
      </c>
      <c r="F454" s="2">
        <v>210</v>
      </c>
    </row>
    <row r="455" spans="1:6" x14ac:dyDescent="0.2">
      <c r="A455" s="2" t="s">
        <v>621</v>
      </c>
      <c r="B455" s="2" t="s">
        <v>625</v>
      </c>
      <c r="C455" s="2" t="s">
        <v>570</v>
      </c>
      <c r="D455" s="2" t="s">
        <v>544</v>
      </c>
      <c r="E455" s="12">
        <v>11.0910335386721</v>
      </c>
      <c r="F455" s="2">
        <v>250</v>
      </c>
    </row>
    <row r="456" spans="1:6" x14ac:dyDescent="0.2">
      <c r="A456" s="2"/>
      <c r="B456" s="2"/>
      <c r="C456" s="2"/>
      <c r="D456" s="2"/>
      <c r="E456" s="12"/>
      <c r="F456" s="2"/>
    </row>
    <row r="457" spans="1:6" x14ac:dyDescent="0.2">
      <c r="A457" s="2"/>
      <c r="B457" s="2"/>
      <c r="C457" s="2"/>
      <c r="D457" s="2"/>
      <c r="E457" s="12"/>
      <c r="F457" s="2"/>
    </row>
    <row r="458" spans="1:6" x14ac:dyDescent="0.2">
      <c r="A458" s="2"/>
      <c r="B458" s="2"/>
      <c r="C458" s="2"/>
      <c r="D458" s="2"/>
      <c r="E458" s="12"/>
      <c r="F458" s="2"/>
    </row>
    <row r="459" spans="1:6" x14ac:dyDescent="0.2">
      <c r="A459" s="2"/>
      <c r="B459" s="2"/>
      <c r="C459" s="2"/>
      <c r="D459" s="2"/>
      <c r="E459" s="2"/>
      <c r="F459" s="2">
        <v>29827.5</v>
      </c>
    </row>
    <row r="460" spans="1:6" x14ac:dyDescent="0.2">
      <c r="B460" s="61"/>
    </row>
    <row r="461" spans="1:6" x14ac:dyDescent="0.2">
      <c r="B461" s="2"/>
    </row>
    <row r="463" spans="1:6" x14ac:dyDescent="0.2">
      <c r="F463">
        <v>29827.5</v>
      </c>
    </row>
  </sheetData>
  <autoFilter ref="G1:L52" xr:uid="{00000000-0009-0000-0000-000003000000}"/>
  <sortState xmlns:xlrd2="http://schemas.microsoft.com/office/spreadsheetml/2017/richdata2" ref="A306:F1048489">
    <sortCondition ref="A306:A1048489"/>
  </sortState>
  <mergeCells count="3">
    <mergeCell ref="B35:C35"/>
    <mergeCell ref="D35:E35"/>
    <mergeCell ref="G88:J88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BG543"/>
  <sheetViews>
    <sheetView zoomScale="80" zoomScaleNormal="80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2" sqref="H2"/>
    </sheetView>
  </sheetViews>
  <sheetFormatPr baseColWidth="10" defaultColWidth="8.83203125" defaultRowHeight="15" x14ac:dyDescent="0.2"/>
  <cols>
    <col min="1" max="1" width="31" bestFit="1" customWidth="1"/>
    <col min="2" max="2" width="18.5" customWidth="1"/>
    <col min="3" max="3" width="8.83203125" customWidth="1"/>
    <col min="4" max="4" width="26.1640625" customWidth="1"/>
    <col min="5" max="5" width="11.5" customWidth="1"/>
    <col min="6" max="6" width="8.83203125" customWidth="1"/>
    <col min="8" max="8" width="23" customWidth="1"/>
    <col min="9" max="9" width="15" bestFit="1" customWidth="1"/>
    <col min="10" max="10" width="25.83203125" customWidth="1"/>
    <col min="11" max="11" width="23.5" customWidth="1"/>
    <col min="12" max="12" width="3.5" customWidth="1"/>
    <col min="13" max="13" width="2.83203125" customWidth="1"/>
    <col min="14" max="14" width="15.1640625" customWidth="1"/>
    <col min="15" max="16" width="23.5" customWidth="1"/>
    <col min="17" max="17" width="25.83203125" customWidth="1"/>
    <col min="18" max="18" width="17.83203125" customWidth="1"/>
    <col min="19" max="19" width="22.1640625" customWidth="1"/>
    <col min="20" max="20" width="21.5" customWidth="1"/>
    <col min="21" max="21" width="16.5" customWidth="1"/>
    <col min="22" max="22" width="8.83203125" customWidth="1"/>
    <col min="23" max="23" width="16.5" customWidth="1"/>
    <col min="24" max="24" width="17.5" customWidth="1"/>
    <col min="25" max="25" width="15.83203125" customWidth="1"/>
    <col min="26" max="30" width="8.83203125" customWidth="1"/>
    <col min="31" max="31" width="30.1640625" customWidth="1"/>
    <col min="32" max="34" width="8.83203125" customWidth="1"/>
    <col min="35" max="35" width="21.5" customWidth="1"/>
    <col min="36" max="36" width="14.5" customWidth="1"/>
    <col min="37" max="37" width="19.33203125" customWidth="1"/>
    <col min="38" max="38" width="17" customWidth="1"/>
    <col min="39" max="39" width="19.5" customWidth="1"/>
    <col min="40" max="40" width="8.83203125" customWidth="1"/>
    <col min="41" max="41" width="20.33203125" customWidth="1"/>
    <col min="42" max="42" width="21.5" customWidth="1"/>
    <col min="43" max="43" width="26" customWidth="1"/>
    <col min="44" max="44" width="13.1640625" customWidth="1"/>
    <col min="45" max="45" width="16.5" customWidth="1"/>
    <col min="46" max="46" width="8.83203125" customWidth="1"/>
    <col min="47" max="47" width="12.5" customWidth="1"/>
    <col min="49" max="49" width="18" bestFit="1" customWidth="1"/>
    <col min="50" max="50" width="18" customWidth="1"/>
    <col min="51" max="51" width="21.5" customWidth="1"/>
    <col min="53" max="53" width="14.5" customWidth="1"/>
    <col min="55" max="55" width="17.6640625" bestFit="1" customWidth="1"/>
    <col min="56" max="56" width="15.1640625" customWidth="1"/>
    <col min="57" max="57" width="14.6640625" customWidth="1"/>
    <col min="58" max="58" width="13.6640625" customWidth="1"/>
    <col min="59" max="59" width="13" customWidth="1"/>
  </cols>
  <sheetData>
    <row r="1" spans="1:59" ht="72.75" customHeight="1" x14ac:dyDescent="0.2">
      <c r="A1" s="2" t="s">
        <v>556</v>
      </c>
      <c r="B1" s="2" t="s">
        <v>558</v>
      </c>
      <c r="C1" s="2" t="s">
        <v>607</v>
      </c>
      <c r="D1" s="2" t="s">
        <v>559</v>
      </c>
      <c r="E1" s="2" t="s">
        <v>555</v>
      </c>
      <c r="F1" s="2" t="s">
        <v>541</v>
      </c>
      <c r="G1" s="2" t="s">
        <v>557</v>
      </c>
      <c r="H1" s="52" t="s">
        <v>574</v>
      </c>
      <c r="I1" s="52" t="s">
        <v>696</v>
      </c>
      <c r="J1" s="41" t="s">
        <v>669</v>
      </c>
      <c r="K1" s="42" t="s">
        <v>670</v>
      </c>
      <c r="L1" s="53" t="s">
        <v>699</v>
      </c>
      <c r="M1" s="53" t="s">
        <v>699</v>
      </c>
      <c r="N1" s="54" t="s">
        <v>692</v>
      </c>
      <c r="O1" s="2" t="s">
        <v>556</v>
      </c>
      <c r="P1" s="53" t="s">
        <v>693</v>
      </c>
      <c r="Q1" s="43" t="s">
        <v>671</v>
      </c>
      <c r="R1" s="38" t="s">
        <v>672</v>
      </c>
      <c r="S1" s="38" t="s">
        <v>673</v>
      </c>
      <c r="T1" s="44" t="s">
        <v>671</v>
      </c>
      <c r="U1" s="45" t="s">
        <v>676</v>
      </c>
      <c r="V1" s="45" t="s">
        <v>677</v>
      </c>
      <c r="W1" s="46" t="s">
        <v>671</v>
      </c>
      <c r="X1" s="47" t="s">
        <v>679</v>
      </c>
      <c r="Y1" s="47" t="s">
        <v>680</v>
      </c>
      <c r="Z1" s="48" t="s">
        <v>671</v>
      </c>
      <c r="AA1" s="49" t="s">
        <v>682</v>
      </c>
      <c r="AB1" s="49" t="s">
        <v>683</v>
      </c>
      <c r="AC1" s="50" t="s">
        <v>671</v>
      </c>
      <c r="AD1" s="51" t="s">
        <v>685</v>
      </c>
      <c r="AE1" s="51" t="s">
        <v>686</v>
      </c>
      <c r="AH1" s="2" t="s">
        <v>701</v>
      </c>
      <c r="AI1" s="2" t="s">
        <v>703</v>
      </c>
      <c r="AJ1" s="2" t="s">
        <v>704</v>
      </c>
      <c r="AK1" s="2" t="s">
        <v>702</v>
      </c>
      <c r="AL1" s="2" t="s">
        <v>559</v>
      </c>
      <c r="AM1" s="2" t="s">
        <v>705</v>
      </c>
      <c r="AN1" s="2" t="s">
        <v>557</v>
      </c>
      <c r="AO1" s="2" t="s">
        <v>714</v>
      </c>
      <c r="AP1" s="2" t="s">
        <v>655</v>
      </c>
      <c r="AQ1" s="2" t="s">
        <v>656</v>
      </c>
      <c r="AR1" s="2" t="s">
        <v>715</v>
      </c>
      <c r="AS1" s="2" t="s">
        <v>716</v>
      </c>
      <c r="AU1" s="2" t="s">
        <v>749</v>
      </c>
      <c r="AV1" s="2" t="s">
        <v>704</v>
      </c>
      <c r="AW1" s="2" t="s">
        <v>750</v>
      </c>
      <c r="AX1" s="2" t="s">
        <v>557</v>
      </c>
      <c r="AY1" s="2" t="s">
        <v>751</v>
      </c>
      <c r="AZ1" s="2" t="s">
        <v>715</v>
      </c>
      <c r="BA1" s="2" t="s">
        <v>716</v>
      </c>
      <c r="BC1" t="s">
        <v>1245</v>
      </c>
      <c r="BD1" t="s">
        <v>704</v>
      </c>
      <c r="BE1" t="s">
        <v>751</v>
      </c>
      <c r="BF1" s="2" t="s">
        <v>715</v>
      </c>
      <c r="BG1" s="2" t="s">
        <v>716</v>
      </c>
    </row>
    <row r="2" spans="1:59" ht="15" customHeight="1" x14ac:dyDescent="0.2">
      <c r="A2" s="2" t="s">
        <v>51</v>
      </c>
      <c r="B2" s="2" t="str">
        <f>VLOOKUP($A2,'[1]daily coal, energy reqd'!$C$2:$T$599,17,FALSE)</f>
        <v>Chhatisgarh</v>
      </c>
      <c r="C2" s="2" t="str">
        <f>VLOOKUP(B2,'Target PLF'!$I$2:$J$19,2,FALSE)</f>
        <v>WR</v>
      </c>
      <c r="D2" s="2" t="s">
        <v>572</v>
      </c>
      <c r="E2" s="2" t="s">
        <v>542</v>
      </c>
      <c r="F2" s="13">
        <v>2.3381245722108099</v>
      </c>
      <c r="G2" s="2">
        <v>600</v>
      </c>
      <c r="H2">
        <f>VLOOKUP(A2,'Coal savings'!$A$3:$AB$543,26,FALSE)</f>
        <v>2724294.2552560051</v>
      </c>
      <c r="O2" s="2" t="s">
        <v>51</v>
      </c>
      <c r="P2">
        <v>2019</v>
      </c>
      <c r="Q2" s="96">
        <v>293.61</v>
      </c>
      <c r="R2" s="96" t="s">
        <v>614</v>
      </c>
      <c r="S2" s="96">
        <v>400</v>
      </c>
      <c r="AH2" s="2"/>
      <c r="AI2" s="2"/>
      <c r="AJ2" s="2" t="str">
        <f t="shared" ref="AJ2:AJ65" si="0">IF(AI2/G2=0,"",AI2/G2)</f>
        <v/>
      </c>
      <c r="AK2" s="12">
        <f t="shared" ref="AK2:AK65" si="1">IF(F2-4&lt;0,1,F2-4)</f>
        <v>1</v>
      </c>
      <c r="AL2" s="2" t="s">
        <v>572</v>
      </c>
      <c r="AM2" s="2" t="str">
        <f>VLOOKUP(A2,'[12]Power plant names'!$C$2:$F$545,4,FALSE)</f>
        <v>Sub critical</v>
      </c>
      <c r="AN2" s="2">
        <v>600</v>
      </c>
      <c r="AO2" s="2">
        <f>IF(AJ2="",((-0.0138556*AK2)+(-0.0004519*AN2)+1.081506),AJ2)</f>
        <v>0.79651040000000006</v>
      </c>
      <c r="AP2" s="2">
        <v>600</v>
      </c>
      <c r="AQ2" s="2">
        <f>G2-AP2</f>
        <v>0</v>
      </c>
      <c r="AR2" s="2">
        <f>AP2*AO2</f>
        <v>477.90624000000003</v>
      </c>
      <c r="AS2" s="2">
        <f>AQ2*AO2</f>
        <v>0</v>
      </c>
      <c r="AU2" s="2"/>
      <c r="AV2" s="2" t="str">
        <f>IF(AU2/AN2=0,"",AU2/AN2)</f>
        <v/>
      </c>
      <c r="AW2" s="12">
        <f>(F2-IF(AH2="",0,(2020-AH2)))</f>
        <v>2.3381245722108099</v>
      </c>
      <c r="AX2" s="2">
        <v>600</v>
      </c>
      <c r="AY2" s="3">
        <f>IF(AV2="",(( -0.0181323 *AW2)+(-0.0005584 *AN2)+  1.418303),AV2)</f>
        <v>1.0408674238193021</v>
      </c>
      <c r="AZ2" s="2">
        <f>AY2*AP2</f>
        <v>624.52045429158125</v>
      </c>
      <c r="BA2" s="2">
        <f>AY2*AQ2</f>
        <v>0</v>
      </c>
      <c r="BC2" t="str">
        <f>IF(AU2="","",(AU2)*(1+0.115)^(2020-AH2))</f>
        <v/>
      </c>
      <c r="BE2">
        <f>IF(BD2="",(-0.0215235 *AW2)+(-0.0007022*AX2)+1.634873,BD2)</f>
        <v>1.1632283757700206</v>
      </c>
      <c r="BF2">
        <f>BE2*AP2</f>
        <v>697.93702546201234</v>
      </c>
      <c r="BG2">
        <f>BE2*AQ2</f>
        <v>0</v>
      </c>
    </row>
    <row r="3" spans="1:59" ht="15" customHeight="1" x14ac:dyDescent="0.2">
      <c r="A3" s="2" t="s">
        <v>110</v>
      </c>
      <c r="B3" s="2" t="str">
        <f>VLOOKUP($A3,'[1]daily coal, energy reqd'!$C$2:$T$599,17,FALSE)</f>
        <v>Chhatisgarh</v>
      </c>
      <c r="C3" s="2" t="str">
        <f>VLOOKUP(B3,'Target PLF'!$I$2:$J$19,2,FALSE)</f>
        <v>WR</v>
      </c>
      <c r="D3" s="2" t="s">
        <v>572</v>
      </c>
      <c r="E3" s="2" t="s">
        <v>543</v>
      </c>
      <c r="F3" s="12">
        <v>6.7570157426420199</v>
      </c>
      <c r="G3" s="2">
        <v>600</v>
      </c>
      <c r="H3">
        <f>VLOOKUP(A3,'Coal savings'!$A$3:$AB$543,26,FALSE)</f>
        <v>2759547.2375359228</v>
      </c>
      <c r="O3" s="2" t="s">
        <v>110</v>
      </c>
      <c r="Q3" s="96"/>
      <c r="R3" s="96"/>
      <c r="S3" s="96"/>
      <c r="AH3" s="2" t="str">
        <f>RIGHT(I3,4)</f>
        <v/>
      </c>
      <c r="AI3" s="2"/>
      <c r="AJ3" s="2" t="str">
        <f t="shared" si="0"/>
        <v/>
      </c>
      <c r="AK3" s="12">
        <f t="shared" si="1"/>
        <v>2.7570157426420199</v>
      </c>
      <c r="AL3" s="2" t="s">
        <v>572</v>
      </c>
      <c r="AM3" s="2" t="str">
        <f>VLOOKUP(A3,'[12]Power plant names'!$C$2:$F$545,4,FALSE)</f>
        <v>Sub critical</v>
      </c>
      <c r="AN3" s="2">
        <v>600</v>
      </c>
      <c r="AO3" s="2">
        <f t="shared" ref="AO3:AO66" si="2">IF(AJ3="",((-0.0138556*AK3)+(-0.0004519*AN3)+1.081506),AJ3)</f>
        <v>0.77216589267624935</v>
      </c>
      <c r="AP3" s="2">
        <v>600</v>
      </c>
      <c r="AQ3" s="2">
        <f t="shared" ref="AQ3:AQ66" si="3">G3-AP3</f>
        <v>0</v>
      </c>
      <c r="AR3" s="2">
        <f t="shared" ref="AR3:AR66" si="4">AP3*AO3</f>
        <v>463.29953560574961</v>
      </c>
      <c r="AS3" s="2">
        <f t="shared" ref="AS3:AS66" si="5">AQ3*AO3</f>
        <v>0</v>
      </c>
      <c r="AU3" s="2"/>
      <c r="AV3" s="2" t="str">
        <f t="shared" ref="AV3:AV66" si="6">IF(AU3/AN3=0,"",AU3/AN3)</f>
        <v/>
      </c>
      <c r="AW3" s="12">
        <f t="shared" ref="AW3:AW66" si="7">(F3-IF(AH3="",0,(2020-AH3)))</f>
        <v>6.7570157426420199</v>
      </c>
      <c r="AX3" s="2">
        <v>600</v>
      </c>
      <c r="AY3" s="3">
        <f t="shared" ref="AY3:AY66" si="8">IF(AV3="",(( -0.0181323 *AW3)+(-0.0005584 *AN3)+  1.418303),AV3)</f>
        <v>0.96074276344969212</v>
      </c>
      <c r="AZ3" s="2">
        <f t="shared" ref="AZ3:AZ66" si="9">AY3*AP3</f>
        <v>576.44565806981529</v>
      </c>
      <c r="BA3" s="2">
        <f t="shared" ref="BA3:BA66" si="10">AY3*AQ3</f>
        <v>0</v>
      </c>
      <c r="BC3" t="str">
        <f t="shared" ref="BC3:BC66" si="11">IF(AU3="","",(AU3)*(1+0.115)^(2020-AH3))</f>
        <v/>
      </c>
      <c r="BE3">
        <f t="shared" ref="BE3:BE66" si="12">IF(BD3="",(-0.0215235 *AW3)+(-0.0007022*AX3)+1.634873,BD3)</f>
        <v>1.0681183716632445</v>
      </c>
      <c r="BF3">
        <f t="shared" ref="BF3:BF66" si="13">BE3*AP3</f>
        <v>640.87102299794674</v>
      </c>
      <c r="BG3">
        <f t="shared" ref="BG3:BG66" si="14">BE3*AQ3</f>
        <v>0</v>
      </c>
    </row>
    <row r="4" spans="1:59" ht="15" customHeight="1" x14ac:dyDescent="0.2">
      <c r="A4" s="2" t="s">
        <v>98</v>
      </c>
      <c r="B4" s="2" t="str">
        <f>VLOOKUP($A4,'[1]daily coal, energy reqd'!$C$2:$T$599,17,FALSE)</f>
        <v>Chhatisgarh</v>
      </c>
      <c r="C4" s="2" t="str">
        <f>VLOOKUP(B4,'Target PLF'!$I$2:$J$19,2,FALSE)</f>
        <v>WR</v>
      </c>
      <c r="D4" s="2" t="s">
        <v>572</v>
      </c>
      <c r="E4" s="2" t="s">
        <v>543</v>
      </c>
      <c r="F4" s="12">
        <v>5.7577002053388</v>
      </c>
      <c r="G4" s="2">
        <v>600</v>
      </c>
      <c r="H4">
        <f>VLOOKUP(A4,'Coal savings'!$A$3:$AB$543,26,FALSE)</f>
        <v>2751574.9088294976</v>
      </c>
      <c r="O4" s="2" t="s">
        <v>98</v>
      </c>
      <c r="Q4" s="96"/>
      <c r="R4" s="96"/>
      <c r="S4" s="96"/>
      <c r="AH4" s="2" t="str">
        <f>RIGHT(I4,4)</f>
        <v/>
      </c>
      <c r="AI4" s="2"/>
      <c r="AJ4" s="2" t="str">
        <f t="shared" si="0"/>
        <v/>
      </c>
      <c r="AK4" s="12">
        <f t="shared" si="1"/>
        <v>1.7577002053388</v>
      </c>
      <c r="AL4" s="2" t="s">
        <v>572</v>
      </c>
      <c r="AM4" s="2" t="str">
        <f>VLOOKUP(A4,'[12]Power plant names'!$C$2:$F$545,4,FALSE)</f>
        <v>Sub critical</v>
      </c>
      <c r="AN4" s="2">
        <v>600</v>
      </c>
      <c r="AO4" s="2">
        <f t="shared" si="2"/>
        <v>0.78601200903490787</v>
      </c>
      <c r="AP4" s="2"/>
      <c r="AQ4" s="2">
        <f t="shared" si="3"/>
        <v>600</v>
      </c>
      <c r="AR4" s="2">
        <f t="shared" si="4"/>
        <v>0</v>
      </c>
      <c r="AS4" s="2">
        <f t="shared" si="5"/>
        <v>471.60720542094469</v>
      </c>
      <c r="AU4" s="2"/>
      <c r="AV4" s="2" t="str">
        <f t="shared" si="6"/>
        <v/>
      </c>
      <c r="AW4" s="12">
        <f t="shared" si="7"/>
        <v>5.7577002053388</v>
      </c>
      <c r="AX4" s="2">
        <v>600</v>
      </c>
      <c r="AY4" s="3">
        <f t="shared" si="8"/>
        <v>0.97886265256673544</v>
      </c>
      <c r="AZ4" s="2">
        <f>AY4*AP4</f>
        <v>0</v>
      </c>
      <c r="BA4" s="2">
        <f t="shared" si="10"/>
        <v>587.31759154004124</v>
      </c>
      <c r="BC4" t="str">
        <f t="shared" si="11"/>
        <v/>
      </c>
      <c r="BE4">
        <f t="shared" si="12"/>
        <v>1.0896271396303905</v>
      </c>
      <c r="BF4">
        <f t="shared" si="13"/>
        <v>0</v>
      </c>
      <c r="BG4">
        <f t="shared" si="14"/>
        <v>653.7762837782343</v>
      </c>
    </row>
    <row r="5" spans="1:59" ht="15" hidden="1" customHeight="1" x14ac:dyDescent="0.2">
      <c r="A5" s="2" t="s">
        <v>311</v>
      </c>
      <c r="B5" s="2" t="str">
        <f>VLOOKUP($A5,'[1]daily coal, energy reqd'!$C$2:$T$599,17,FALSE)</f>
        <v>Madhya Pradesh</v>
      </c>
      <c r="C5" s="2" t="str">
        <f>VLOOKUP(B5,'Target PLF'!$I$2:$J$19,2,FALSE)</f>
        <v>WR</v>
      </c>
      <c r="D5" s="2" t="s">
        <v>570</v>
      </c>
      <c r="E5" s="2" t="s">
        <v>544</v>
      </c>
      <c r="F5" s="12">
        <v>11.9233401779603</v>
      </c>
      <c r="G5" s="2">
        <v>210</v>
      </c>
      <c r="H5">
        <f>VLOOKUP(A5,'Coal savings'!$A$3:$AB$543,26,FALSE)</f>
        <v>0</v>
      </c>
      <c r="O5" s="2" t="s">
        <v>311</v>
      </c>
      <c r="P5">
        <v>2019</v>
      </c>
      <c r="Q5">
        <v>199.2</v>
      </c>
      <c r="R5" t="s">
        <v>609</v>
      </c>
      <c r="S5">
        <v>210</v>
      </c>
      <c r="AH5" s="2">
        <v>2019</v>
      </c>
      <c r="AI5" s="2">
        <f>(Q5)/(1+0.115)^(AH5-2016)</f>
        <v>143.70263509837667</v>
      </c>
      <c r="AJ5" s="2">
        <f>IF(AI5/G5=0,"",AI5/G5)</f>
        <v>0.68429826237322222</v>
      </c>
      <c r="AK5" s="12">
        <f t="shared" si="1"/>
        <v>7.9233401779603003</v>
      </c>
      <c r="AL5" s="2" t="s">
        <v>570</v>
      </c>
      <c r="AM5" s="2" t="str">
        <f>VLOOKUP(A5,'[12]Power plant names'!$C$2:$F$545,4,FALSE)</f>
        <v>Sub critical</v>
      </c>
      <c r="AN5" s="2">
        <v>210</v>
      </c>
      <c r="AO5" s="2">
        <f t="shared" si="2"/>
        <v>0.68429826237322222</v>
      </c>
      <c r="AP5" s="2">
        <v>210</v>
      </c>
      <c r="AQ5" s="2">
        <f t="shared" si="3"/>
        <v>0</v>
      </c>
      <c r="AR5" s="2">
        <f t="shared" si="4"/>
        <v>143.70263509837667</v>
      </c>
      <c r="AS5" s="2">
        <f t="shared" si="5"/>
        <v>0</v>
      </c>
      <c r="AU5" s="2">
        <f>AI5*(1.115)^(AH5-2016)</f>
        <v>199.2</v>
      </c>
      <c r="AV5" s="2">
        <f>IF(AU5/AN5=0,"",AU5/AN5)</f>
        <v>0.94857142857142851</v>
      </c>
      <c r="AW5" s="12">
        <f t="shared" si="7"/>
        <v>10.9233401779603</v>
      </c>
      <c r="AX5" s="2">
        <v>210</v>
      </c>
      <c r="AY5" s="3">
        <f t="shared" si="8"/>
        <v>0.94857142857142851</v>
      </c>
      <c r="AZ5" s="2">
        <f t="shared" si="9"/>
        <v>199.2</v>
      </c>
      <c r="BA5" s="2">
        <f t="shared" si="10"/>
        <v>0</v>
      </c>
      <c r="BC5">
        <f>IF(AU5="","",(AU5)*(1+0.115)^(2020-AH5))</f>
        <v>222.10799999999998</v>
      </c>
      <c r="BD5">
        <f>BC5/AN5</f>
        <v>1.0576571428571429</v>
      </c>
      <c r="BE5">
        <f t="shared" si="12"/>
        <v>1.0576571428571429</v>
      </c>
      <c r="BF5">
        <f t="shared" si="13"/>
        <v>222.108</v>
      </c>
      <c r="BG5">
        <f t="shared" si="14"/>
        <v>0</v>
      </c>
    </row>
    <row r="6" spans="1:59" ht="15" customHeight="1" x14ac:dyDescent="0.2">
      <c r="A6" s="2" t="s">
        <v>234</v>
      </c>
      <c r="B6" s="2" t="str">
        <f>VLOOKUP($A6,'[1]daily coal, energy reqd'!$C$2:$T$599,17,FALSE)</f>
        <v>Maharashtra</v>
      </c>
      <c r="C6" s="2" t="str">
        <f>VLOOKUP(B6,'Target PLF'!$I$2:$J$19,2,FALSE)</f>
        <v>WR</v>
      </c>
      <c r="D6" s="2" t="s">
        <v>572</v>
      </c>
      <c r="E6" s="2" t="s">
        <v>543</v>
      </c>
      <c r="F6" s="12">
        <v>7.1759069130732298</v>
      </c>
      <c r="G6" s="2">
        <v>270</v>
      </c>
      <c r="H6">
        <f>VLOOKUP(A6,'Coal savings'!$A$3:$AB$543,26,FALSE)</f>
        <v>859542.40948238003</v>
      </c>
      <c r="O6" s="2" t="s">
        <v>234</v>
      </c>
      <c r="P6">
        <v>2019</v>
      </c>
      <c r="Q6" s="96">
        <v>983</v>
      </c>
      <c r="R6" t="s">
        <v>617</v>
      </c>
      <c r="S6" s="96">
        <v>1200</v>
      </c>
      <c r="AH6" s="2"/>
      <c r="AI6" s="2"/>
      <c r="AJ6" s="2" t="str">
        <f t="shared" si="0"/>
        <v/>
      </c>
      <c r="AK6" s="12">
        <f t="shared" si="1"/>
        <v>3.1759069130732298</v>
      </c>
      <c r="AL6" s="2" t="s">
        <v>572</v>
      </c>
      <c r="AM6" s="2" t="str">
        <f>VLOOKUP(A6,'[12]Power plant names'!$C$2:$F$545,4,FALSE)</f>
        <v>Sub critical</v>
      </c>
      <c r="AN6" s="2">
        <v>270</v>
      </c>
      <c r="AO6" s="2">
        <f t="shared" si="2"/>
        <v>0.91548890417522266</v>
      </c>
      <c r="AP6" s="2">
        <v>270</v>
      </c>
      <c r="AQ6" s="2">
        <f t="shared" si="3"/>
        <v>0</v>
      </c>
      <c r="AR6" s="2">
        <f t="shared" si="4"/>
        <v>247.18200412731011</v>
      </c>
      <c r="AS6" s="2">
        <f t="shared" si="5"/>
        <v>0</v>
      </c>
      <c r="AU6" s="2"/>
      <c r="AV6" s="2" t="str">
        <f t="shared" si="6"/>
        <v/>
      </c>
      <c r="AW6" s="12">
        <f t="shared" si="7"/>
        <v>7.1759069130732298</v>
      </c>
      <c r="AX6" s="2">
        <v>270</v>
      </c>
      <c r="AY6" s="3">
        <f t="shared" si="8"/>
        <v>1.1374193030800823</v>
      </c>
      <c r="AZ6" s="2">
        <f t="shared" si="9"/>
        <v>307.10321183162222</v>
      </c>
      <c r="BA6" s="2">
        <f t="shared" si="10"/>
        <v>0</v>
      </c>
      <c r="BC6" t="str">
        <f t="shared" si="11"/>
        <v/>
      </c>
      <c r="BE6">
        <f t="shared" si="12"/>
        <v>1.2908283675564682</v>
      </c>
      <c r="BF6">
        <f t="shared" si="13"/>
        <v>348.52365924024645</v>
      </c>
      <c r="BG6">
        <f t="shared" si="14"/>
        <v>0</v>
      </c>
    </row>
    <row r="7" spans="1:59" ht="15" customHeight="1" x14ac:dyDescent="0.2">
      <c r="A7" s="2" t="s">
        <v>222</v>
      </c>
      <c r="B7" s="2" t="str">
        <f>VLOOKUP($A7,'[1]daily coal, energy reqd'!$C$2:$T$599,17,FALSE)</f>
        <v>Maharashtra</v>
      </c>
      <c r="C7" s="2" t="str">
        <f>VLOOKUP(B7,'Target PLF'!$I$2:$J$19,2,FALSE)</f>
        <v>WR</v>
      </c>
      <c r="D7" s="2" t="s">
        <v>572</v>
      </c>
      <c r="E7" s="2" t="s">
        <v>543</v>
      </c>
      <c r="F7" s="12">
        <v>6.2532511978097096</v>
      </c>
      <c r="G7" s="2">
        <v>270</v>
      </c>
      <c r="H7">
        <f>VLOOKUP(A7,'Coal savings'!$A$3:$AB$543,26,FALSE)</f>
        <v>857566.32415629027</v>
      </c>
      <c r="O7" s="2" t="s">
        <v>222</v>
      </c>
      <c r="P7">
        <v>2019</v>
      </c>
      <c r="Q7" s="96"/>
      <c r="R7" t="s">
        <v>617</v>
      </c>
      <c r="S7" s="96"/>
      <c r="AH7" s="2" t="str">
        <f t="shared" ref="AH7:AH30" si="15">RIGHT(I7,4)</f>
        <v/>
      </c>
      <c r="AI7" s="2"/>
      <c r="AJ7" s="2" t="str">
        <f t="shared" si="0"/>
        <v/>
      </c>
      <c r="AK7" s="12">
        <f t="shared" si="1"/>
        <v>2.2532511978097096</v>
      </c>
      <c r="AL7" s="2" t="s">
        <v>572</v>
      </c>
      <c r="AM7" s="2" t="str">
        <f>VLOOKUP(A7,'[12]Power plant names'!$C$2:$F$545,4,FALSE)</f>
        <v>Sub critical</v>
      </c>
      <c r="AN7" s="2">
        <v>270</v>
      </c>
      <c r="AO7" s="2">
        <f t="shared" si="2"/>
        <v>0.92827285270362792</v>
      </c>
      <c r="AP7" s="2">
        <v>270</v>
      </c>
      <c r="AQ7" s="2">
        <f t="shared" si="3"/>
        <v>0</v>
      </c>
      <c r="AR7" s="2">
        <f t="shared" si="4"/>
        <v>250.63367022997954</v>
      </c>
      <c r="AS7" s="2">
        <f t="shared" si="5"/>
        <v>0</v>
      </c>
      <c r="AU7" s="2"/>
      <c r="AV7" s="2" t="str">
        <f t="shared" si="6"/>
        <v/>
      </c>
      <c r="AW7" s="12">
        <f t="shared" si="7"/>
        <v>6.2532511978097096</v>
      </c>
      <c r="AX7" s="2">
        <v>270</v>
      </c>
      <c r="AY7" s="3">
        <f t="shared" si="8"/>
        <v>1.154149173305955</v>
      </c>
      <c r="AZ7" s="2">
        <f t="shared" si="9"/>
        <v>311.62027679260785</v>
      </c>
      <c r="BA7" s="2">
        <f t="shared" si="10"/>
        <v>0</v>
      </c>
      <c r="BC7" t="str">
        <f t="shared" si="11"/>
        <v/>
      </c>
      <c r="BE7">
        <f t="shared" si="12"/>
        <v>1.3106871478439426</v>
      </c>
      <c r="BF7">
        <f t="shared" si="13"/>
        <v>353.88552991786452</v>
      </c>
      <c r="BG7">
        <f t="shared" si="14"/>
        <v>0</v>
      </c>
    </row>
    <row r="8" spans="1:59" ht="15" customHeight="1" x14ac:dyDescent="0.2">
      <c r="A8" s="2" t="s">
        <v>213</v>
      </c>
      <c r="B8" s="2" t="str">
        <f>VLOOKUP($A8,'[1]daily coal, energy reqd'!$C$2:$T$599,17,FALSE)</f>
        <v>Maharashtra</v>
      </c>
      <c r="C8" s="2" t="str">
        <f>VLOOKUP(B8,'Target PLF'!$I$2:$J$19,2,FALSE)</f>
        <v>WR</v>
      </c>
      <c r="D8" s="2" t="s">
        <v>572</v>
      </c>
      <c r="E8" s="2" t="s">
        <v>543</v>
      </c>
      <c r="F8" s="12">
        <v>5.3388090349075901</v>
      </c>
      <c r="G8" s="2">
        <v>270</v>
      </c>
      <c r="H8">
        <f>VLOOKUP(A8,'Coal savings'!$A$3:$AB$543,26,FALSE)</f>
        <v>855607.83009423083</v>
      </c>
      <c r="O8" s="2" t="s">
        <v>213</v>
      </c>
      <c r="P8">
        <v>2019</v>
      </c>
      <c r="Q8" s="96"/>
      <c r="R8" t="s">
        <v>617</v>
      </c>
      <c r="S8" s="96"/>
      <c r="AH8" s="2" t="str">
        <f t="shared" si="15"/>
        <v/>
      </c>
      <c r="AI8" s="2"/>
      <c r="AJ8" s="2" t="str">
        <f t="shared" si="0"/>
        <v/>
      </c>
      <c r="AK8" s="12">
        <f t="shared" si="1"/>
        <v>1.3388090349075901</v>
      </c>
      <c r="AL8" s="2" t="s">
        <v>572</v>
      </c>
      <c r="AM8" s="2" t="str">
        <f>VLOOKUP(A8,'[12]Power plant names'!$C$2:$F$545,4,FALSE)</f>
        <v>Sub critical</v>
      </c>
      <c r="AN8" s="2">
        <v>270</v>
      </c>
      <c r="AO8" s="2">
        <f t="shared" si="2"/>
        <v>0.94094299753593447</v>
      </c>
      <c r="AP8" s="2">
        <v>270</v>
      </c>
      <c r="AQ8" s="2">
        <f t="shared" si="3"/>
        <v>0</v>
      </c>
      <c r="AR8" s="2">
        <f t="shared" si="4"/>
        <v>254.05460933470232</v>
      </c>
      <c r="AS8" s="2">
        <f t="shared" si="5"/>
        <v>0</v>
      </c>
      <c r="AU8" s="2"/>
      <c r="AV8" s="2" t="str">
        <f t="shared" si="6"/>
        <v/>
      </c>
      <c r="AW8" s="12">
        <f t="shared" si="7"/>
        <v>5.3388090349075901</v>
      </c>
      <c r="AX8" s="2">
        <v>270</v>
      </c>
      <c r="AY8" s="3">
        <f t="shared" si="8"/>
        <v>1.1707301129363452</v>
      </c>
      <c r="AZ8" s="2">
        <f t="shared" si="9"/>
        <v>316.09713049281322</v>
      </c>
      <c r="BA8" s="2">
        <f t="shared" si="10"/>
        <v>0</v>
      </c>
      <c r="BC8" t="str">
        <f t="shared" si="11"/>
        <v/>
      </c>
      <c r="BE8">
        <f t="shared" si="12"/>
        <v>1.3303691437371665</v>
      </c>
      <c r="BF8">
        <f t="shared" si="13"/>
        <v>359.19966880903496</v>
      </c>
      <c r="BG8">
        <f t="shared" si="14"/>
        <v>0</v>
      </c>
    </row>
    <row r="9" spans="1:59" ht="15" customHeight="1" x14ac:dyDescent="0.2">
      <c r="A9" s="2" t="s">
        <v>210</v>
      </c>
      <c r="B9" s="2" t="str">
        <f>VLOOKUP($A9,'[1]daily coal, energy reqd'!$C$2:$T$599,17,FALSE)</f>
        <v>Maharashtra</v>
      </c>
      <c r="C9" s="2" t="str">
        <f>VLOOKUP(B9,'Target PLF'!$I$2:$J$19,2,FALSE)</f>
        <v>WR</v>
      </c>
      <c r="D9" s="2" t="s">
        <v>572</v>
      </c>
      <c r="E9" s="2" t="s">
        <v>543</v>
      </c>
      <c r="F9" s="12">
        <v>5.1772758384667998</v>
      </c>
      <c r="G9" s="2">
        <v>270</v>
      </c>
      <c r="H9">
        <f>VLOOKUP(A9,'Coal savings'!$A$3:$AB$543,26,FALSE)</f>
        <v>855261.86856829829</v>
      </c>
      <c r="O9" s="2" t="s">
        <v>210</v>
      </c>
      <c r="P9">
        <v>2019</v>
      </c>
      <c r="Q9" s="96"/>
      <c r="R9" t="s">
        <v>617</v>
      </c>
      <c r="S9" s="96"/>
      <c r="AH9" s="2" t="str">
        <f t="shared" si="15"/>
        <v/>
      </c>
      <c r="AI9" s="2"/>
      <c r="AJ9" s="2" t="str">
        <f t="shared" si="0"/>
        <v/>
      </c>
      <c r="AK9" s="12">
        <f t="shared" si="1"/>
        <v>1.1772758384667998</v>
      </c>
      <c r="AL9" s="2" t="s">
        <v>572</v>
      </c>
      <c r="AM9" s="2" t="str">
        <f>VLOOKUP(A9,'[12]Power plant names'!$C$2:$F$545,4,FALSE)</f>
        <v>Sub critical</v>
      </c>
      <c r="AN9" s="2">
        <v>270</v>
      </c>
      <c r="AO9" s="2">
        <f t="shared" si="2"/>
        <v>0.94318113689253946</v>
      </c>
      <c r="AP9" s="2">
        <v>270</v>
      </c>
      <c r="AQ9" s="2">
        <f t="shared" si="3"/>
        <v>0</v>
      </c>
      <c r="AR9" s="2">
        <f t="shared" si="4"/>
        <v>254.65890696098566</v>
      </c>
      <c r="AS9" s="2">
        <f t="shared" si="5"/>
        <v>0</v>
      </c>
      <c r="AU9" s="2"/>
      <c r="AV9" s="2" t="str">
        <f t="shared" si="6"/>
        <v/>
      </c>
      <c r="AW9" s="12">
        <f t="shared" si="7"/>
        <v>5.1772758384667998</v>
      </c>
      <c r="AX9" s="2">
        <v>270</v>
      </c>
      <c r="AY9" s="3">
        <f t="shared" si="8"/>
        <v>1.1736590813141685</v>
      </c>
      <c r="AZ9" s="2">
        <f t="shared" si="9"/>
        <v>316.8879519548255</v>
      </c>
      <c r="BA9" s="2">
        <f t="shared" si="10"/>
        <v>0</v>
      </c>
      <c r="BC9" t="str">
        <f t="shared" si="11"/>
        <v/>
      </c>
      <c r="BE9">
        <f t="shared" si="12"/>
        <v>1.3338459034907597</v>
      </c>
      <c r="BF9">
        <f t="shared" si="13"/>
        <v>360.1383939425051</v>
      </c>
      <c r="BG9">
        <f t="shared" si="14"/>
        <v>0</v>
      </c>
    </row>
    <row r="10" spans="1:59" ht="15" customHeight="1" x14ac:dyDescent="0.2">
      <c r="A10" s="2" t="s">
        <v>209</v>
      </c>
      <c r="B10" s="2" t="str">
        <f>VLOOKUP($A10,'[1]daily coal, energy reqd'!$C$2:$T$599,17,FALSE)</f>
        <v>Maharashtra</v>
      </c>
      <c r="C10" s="2" t="str">
        <f>VLOOKUP(B10,'Target PLF'!$I$2:$J$19,2,FALSE)</f>
        <v>WR</v>
      </c>
      <c r="D10" s="2" t="s">
        <v>572</v>
      </c>
      <c r="E10" s="2" t="s">
        <v>543</v>
      </c>
      <c r="F10" s="12">
        <v>5.1772758384667998</v>
      </c>
      <c r="G10" s="2">
        <v>270</v>
      </c>
      <c r="H10">
        <f>VLOOKUP(A10,'Coal savings'!$A$3:$AB$543,26,FALSE)</f>
        <v>855261.86856829829</v>
      </c>
      <c r="O10" s="2" t="s">
        <v>209</v>
      </c>
      <c r="P10">
        <v>2019</v>
      </c>
      <c r="Q10" s="96"/>
      <c r="R10" t="s">
        <v>617</v>
      </c>
      <c r="S10" s="96"/>
      <c r="AH10" s="2" t="str">
        <f t="shared" si="15"/>
        <v/>
      </c>
      <c r="AI10" s="2"/>
      <c r="AJ10" s="2" t="str">
        <f t="shared" si="0"/>
        <v/>
      </c>
      <c r="AK10" s="12">
        <f t="shared" si="1"/>
        <v>1.1772758384667998</v>
      </c>
      <c r="AL10" s="2" t="s">
        <v>572</v>
      </c>
      <c r="AM10" s="2" t="str">
        <f>VLOOKUP(A10,'[12]Power plant names'!$C$2:$F$545,4,FALSE)</f>
        <v>Sub critical</v>
      </c>
      <c r="AN10" s="2">
        <v>270</v>
      </c>
      <c r="AO10" s="2">
        <f t="shared" si="2"/>
        <v>0.94318113689253946</v>
      </c>
      <c r="AP10" s="2">
        <v>270</v>
      </c>
      <c r="AQ10" s="2">
        <f t="shared" si="3"/>
        <v>0</v>
      </c>
      <c r="AR10" s="2">
        <f t="shared" si="4"/>
        <v>254.65890696098566</v>
      </c>
      <c r="AS10" s="2">
        <f t="shared" si="5"/>
        <v>0</v>
      </c>
      <c r="AU10" s="2"/>
      <c r="AV10" s="2" t="str">
        <f t="shared" si="6"/>
        <v/>
      </c>
      <c r="AW10" s="12">
        <f t="shared" si="7"/>
        <v>5.1772758384667998</v>
      </c>
      <c r="AX10" s="2">
        <v>270</v>
      </c>
      <c r="AY10" s="3">
        <f t="shared" si="8"/>
        <v>1.1736590813141685</v>
      </c>
      <c r="AZ10" s="2">
        <f t="shared" si="9"/>
        <v>316.8879519548255</v>
      </c>
      <c r="BA10" s="2">
        <f t="shared" si="10"/>
        <v>0</v>
      </c>
      <c r="BC10" t="str">
        <f t="shared" si="11"/>
        <v/>
      </c>
      <c r="BE10">
        <f t="shared" si="12"/>
        <v>1.3338459034907597</v>
      </c>
      <c r="BF10">
        <f t="shared" si="13"/>
        <v>360.1383939425051</v>
      </c>
      <c r="BG10">
        <f t="shared" si="14"/>
        <v>0</v>
      </c>
    </row>
    <row r="11" spans="1:59" ht="15" customHeight="1" x14ac:dyDescent="0.2">
      <c r="A11" s="2" t="s">
        <v>127</v>
      </c>
      <c r="B11" s="2" t="str">
        <f>VLOOKUP($A11,'[1]daily coal, energy reqd'!$C$2:$T$599,17,FALSE)</f>
        <v>Uttar Pradesh</v>
      </c>
      <c r="C11" s="2" t="str">
        <f>VLOOKUP(B11,'Target PLF'!$I$2:$J$19,2,FALSE)</f>
        <v>NR</v>
      </c>
      <c r="D11" s="2" t="s">
        <v>572</v>
      </c>
      <c r="E11" s="2" t="s">
        <v>543</v>
      </c>
      <c r="F11" s="12">
        <v>8.5913757700205302</v>
      </c>
      <c r="G11" s="2">
        <v>600</v>
      </c>
      <c r="H11">
        <f>VLOOKUP(A11,'Coal savings'!$A$3:$AB$543,26,FALSE)</f>
        <v>2410149.6934551382</v>
      </c>
      <c r="O11" s="2" t="s">
        <v>127</v>
      </c>
      <c r="R11" t="s">
        <v>691</v>
      </c>
      <c r="AH11" s="2" t="str">
        <f t="shared" si="15"/>
        <v/>
      </c>
      <c r="AI11" s="2"/>
      <c r="AJ11" s="2" t="str">
        <f t="shared" si="0"/>
        <v/>
      </c>
      <c r="AK11" s="12">
        <f t="shared" si="1"/>
        <v>4.5913757700205302</v>
      </c>
      <c r="AL11" s="2" t="s">
        <v>572</v>
      </c>
      <c r="AM11" s="2" t="str">
        <f>VLOOKUP(A11,'[12]Power plant names'!$C$2:$F$545,4,FALSE)</f>
        <v>Sub critical</v>
      </c>
      <c r="AN11" s="2">
        <v>600</v>
      </c>
      <c r="AO11" s="2">
        <f t="shared" si="2"/>
        <v>0.7467497338809036</v>
      </c>
      <c r="AP11" s="2">
        <f>1080/2</f>
        <v>540</v>
      </c>
      <c r="AQ11" s="2">
        <f t="shared" si="3"/>
        <v>60</v>
      </c>
      <c r="AR11" s="2">
        <f t="shared" si="4"/>
        <v>403.24485629568795</v>
      </c>
      <c r="AS11" s="2">
        <f t="shared" si="5"/>
        <v>44.804984032854215</v>
      </c>
      <c r="AU11" s="2"/>
      <c r="AV11" s="2" t="str">
        <f t="shared" si="6"/>
        <v/>
      </c>
      <c r="AW11" s="12">
        <f t="shared" si="7"/>
        <v>8.5913757700205302</v>
      </c>
      <c r="AX11" s="2">
        <v>600</v>
      </c>
      <c r="AY11" s="3">
        <f t="shared" si="8"/>
        <v>0.9274815971252568</v>
      </c>
      <c r="AZ11" s="2">
        <f t="shared" si="9"/>
        <v>500.84006244763867</v>
      </c>
      <c r="BA11" s="2">
        <f t="shared" si="10"/>
        <v>55.64889582751541</v>
      </c>
      <c r="BC11" t="str">
        <f t="shared" si="11"/>
        <v/>
      </c>
      <c r="BE11">
        <f t="shared" si="12"/>
        <v>1.028636523613963</v>
      </c>
      <c r="BF11">
        <f t="shared" si="13"/>
        <v>555.46372275153999</v>
      </c>
      <c r="BG11">
        <f t="shared" si="14"/>
        <v>61.718191416837776</v>
      </c>
    </row>
    <row r="12" spans="1:59" ht="15" customHeight="1" x14ac:dyDescent="0.2">
      <c r="A12" s="2" t="s">
        <v>124</v>
      </c>
      <c r="B12" s="2" t="str">
        <f>VLOOKUP($A12,'[1]daily coal, energy reqd'!$C$2:$T$599,17,FALSE)</f>
        <v>Uttar Pradesh</v>
      </c>
      <c r="C12" s="2" t="str">
        <f>VLOOKUP(B12,'Target PLF'!$I$2:$J$19,2,FALSE)</f>
        <v>NR</v>
      </c>
      <c r="D12" s="2" t="s">
        <v>572</v>
      </c>
      <c r="E12" s="2" t="s">
        <v>543</v>
      </c>
      <c r="F12" s="12">
        <v>8.33949349760438</v>
      </c>
      <c r="G12" s="2">
        <v>600</v>
      </c>
      <c r="H12">
        <f>VLOOKUP(A12,'Coal savings'!$A$3:$AB$543,26,FALSE)</f>
        <v>2408397.396715044</v>
      </c>
      <c r="O12" s="2" t="s">
        <v>124</v>
      </c>
      <c r="R12" t="s">
        <v>691</v>
      </c>
      <c r="AH12" s="2" t="str">
        <f t="shared" si="15"/>
        <v/>
      </c>
      <c r="AI12" s="2"/>
      <c r="AJ12" s="2" t="str">
        <f t="shared" si="0"/>
        <v/>
      </c>
      <c r="AK12" s="12">
        <f t="shared" si="1"/>
        <v>4.33949349760438</v>
      </c>
      <c r="AL12" s="2" t="s">
        <v>572</v>
      </c>
      <c r="AM12" s="2" t="str">
        <f>VLOOKUP(A12,'[12]Power plant names'!$C$2:$F$545,4,FALSE)</f>
        <v>Sub critical</v>
      </c>
      <c r="AN12" s="2">
        <v>600</v>
      </c>
      <c r="AO12" s="2">
        <f t="shared" si="2"/>
        <v>0.75023971389459287</v>
      </c>
      <c r="AP12" s="2">
        <f>1080/2</f>
        <v>540</v>
      </c>
      <c r="AQ12" s="2">
        <f t="shared" si="3"/>
        <v>60</v>
      </c>
      <c r="AR12" s="2">
        <f t="shared" si="4"/>
        <v>405.12944550308015</v>
      </c>
      <c r="AS12" s="2">
        <f t="shared" si="5"/>
        <v>45.014382833675569</v>
      </c>
      <c r="AU12" s="2"/>
      <c r="AV12" s="2" t="str">
        <f t="shared" si="6"/>
        <v/>
      </c>
      <c r="AW12" s="12">
        <f t="shared" si="7"/>
        <v>8.33949349760438</v>
      </c>
      <c r="AX12" s="2">
        <v>600</v>
      </c>
      <c r="AY12" s="3">
        <f t="shared" si="8"/>
        <v>0.93204880205338814</v>
      </c>
      <c r="AZ12" s="2">
        <f t="shared" si="9"/>
        <v>503.30635310882957</v>
      </c>
      <c r="BA12" s="2">
        <f t="shared" si="10"/>
        <v>55.922928123203292</v>
      </c>
      <c r="BC12" t="str">
        <f t="shared" si="11"/>
        <v/>
      </c>
      <c r="BE12">
        <f t="shared" si="12"/>
        <v>1.034057911704312</v>
      </c>
      <c r="BF12">
        <f t="shared" si="13"/>
        <v>558.39127232032854</v>
      </c>
      <c r="BG12">
        <f t="shared" si="14"/>
        <v>62.04347470225872</v>
      </c>
    </row>
    <row r="13" spans="1:59" ht="15" hidden="1" customHeight="1" x14ac:dyDescent="0.2">
      <c r="A13" s="2" t="s">
        <v>456</v>
      </c>
      <c r="B13" s="2" t="str">
        <f>VLOOKUP($A13,'[1]daily coal, energy reqd'!$C$2:$T$599,17,FALSE)</f>
        <v>Uttar Pradesh</v>
      </c>
      <c r="C13" s="2" t="str">
        <f>VLOOKUP(B13,'Target PLF'!$I$2:$J$19,2,FALSE)</f>
        <v>NR</v>
      </c>
      <c r="D13" s="2" t="s">
        <v>570</v>
      </c>
      <c r="E13" s="2" t="s">
        <v>548</v>
      </c>
      <c r="F13" s="12">
        <v>34.176591375770002</v>
      </c>
      <c r="G13" s="2">
        <v>210</v>
      </c>
      <c r="H13">
        <f>VLOOKUP(A13,'Coal savings'!$A$3:$AB$543,26,FALSE)</f>
        <v>0</v>
      </c>
      <c r="I13" t="s">
        <v>694</v>
      </c>
      <c r="J13">
        <f>285.56/3</f>
        <v>95.186666666666667</v>
      </c>
      <c r="O13" s="2" t="s">
        <v>456</v>
      </c>
      <c r="Q13" s="96"/>
      <c r="AH13" s="2" t="str">
        <f t="shared" si="15"/>
        <v>2019</v>
      </c>
      <c r="AI13" s="2">
        <f>(J13)/(1+0.115)^(AH13-2016)</f>
        <v>68.667544308387633</v>
      </c>
      <c r="AJ13" s="2">
        <f t="shared" si="0"/>
        <v>0.3269883062304173</v>
      </c>
      <c r="AK13" s="12">
        <f t="shared" si="1"/>
        <v>30.176591375770002</v>
      </c>
      <c r="AL13" s="2" t="s">
        <v>570</v>
      </c>
      <c r="AM13" s="2" t="str">
        <f>VLOOKUP(A13,'[12]Power plant names'!$C$2:$F$545,4,FALSE)</f>
        <v>Sub critical</v>
      </c>
      <c r="AN13" s="2">
        <v>210</v>
      </c>
      <c r="AO13" s="2">
        <f t="shared" si="2"/>
        <v>0.3269883062304173</v>
      </c>
      <c r="AP13" s="2">
        <f>567/3</f>
        <v>189</v>
      </c>
      <c r="AQ13" s="2">
        <f t="shared" si="3"/>
        <v>21</v>
      </c>
      <c r="AR13" s="2">
        <f t="shared" si="4"/>
        <v>61.800789877548873</v>
      </c>
      <c r="AS13" s="2">
        <f t="shared" si="5"/>
        <v>6.8667544308387631</v>
      </c>
      <c r="AU13" s="2">
        <f>AI13*(1.115)^(AH13-2016)</f>
        <v>95.186666666666667</v>
      </c>
      <c r="AV13" s="2">
        <f t="shared" si="6"/>
        <v>0.45326984126984127</v>
      </c>
      <c r="AW13" s="12">
        <f t="shared" si="7"/>
        <v>33.176591375770002</v>
      </c>
      <c r="AX13" s="2">
        <v>210</v>
      </c>
      <c r="AY13" s="3">
        <f t="shared" si="8"/>
        <v>0.45326984126984127</v>
      </c>
      <c r="AZ13" s="2">
        <f t="shared" si="9"/>
        <v>85.668000000000006</v>
      </c>
      <c r="BA13" s="2">
        <f t="shared" si="10"/>
        <v>9.5186666666666664</v>
      </c>
      <c r="BC13">
        <f t="shared" si="11"/>
        <v>106.13313333333333</v>
      </c>
      <c r="BD13">
        <f>BC13/AN13</f>
        <v>0.50539587301587297</v>
      </c>
      <c r="BE13">
        <f t="shared" si="12"/>
        <v>0.50539587301587297</v>
      </c>
      <c r="BF13">
        <f t="shared" si="13"/>
        <v>95.519819999999996</v>
      </c>
      <c r="BG13">
        <f t="shared" si="14"/>
        <v>10.613313333333332</v>
      </c>
    </row>
    <row r="14" spans="1:59" ht="15" hidden="1" customHeight="1" x14ac:dyDescent="0.2">
      <c r="A14" s="2" t="s">
        <v>451</v>
      </c>
      <c r="B14" s="2" t="str">
        <f>VLOOKUP($A14,'[1]daily coal, energy reqd'!$C$2:$T$599,17,FALSE)</f>
        <v>Uttar Pradesh</v>
      </c>
      <c r="C14" s="2" t="str">
        <f>VLOOKUP(B14,'Target PLF'!$I$2:$J$19,2,FALSE)</f>
        <v>NR</v>
      </c>
      <c r="D14" s="2" t="s">
        <v>570</v>
      </c>
      <c r="E14" s="2" t="s">
        <v>548</v>
      </c>
      <c r="F14" s="12">
        <v>33.2539356605065</v>
      </c>
      <c r="G14" s="2">
        <v>210</v>
      </c>
      <c r="H14">
        <f>VLOOKUP(A14,'Coal savings'!$A$3:$AB$543,26,FALSE)</f>
        <v>0</v>
      </c>
      <c r="I14" t="s">
        <v>694</v>
      </c>
      <c r="J14">
        <f>285.56/3</f>
        <v>95.186666666666667</v>
      </c>
      <c r="O14" s="2" t="s">
        <v>451</v>
      </c>
      <c r="Q14" s="96"/>
      <c r="AH14" s="2" t="str">
        <f t="shared" si="15"/>
        <v>2019</v>
      </c>
      <c r="AI14" s="2">
        <f>(J14)/(1+0.115)^(AH14-2016)</f>
        <v>68.667544308387633</v>
      </c>
      <c r="AJ14" s="2">
        <f t="shared" si="0"/>
        <v>0.3269883062304173</v>
      </c>
      <c r="AK14" s="12">
        <f t="shared" si="1"/>
        <v>29.2539356605065</v>
      </c>
      <c r="AL14" s="2" t="s">
        <v>570</v>
      </c>
      <c r="AM14" s="2" t="str">
        <f>VLOOKUP(A14,'[12]Power plant names'!$C$2:$F$545,4,FALSE)</f>
        <v>Sub critical</v>
      </c>
      <c r="AN14" s="2">
        <v>210</v>
      </c>
      <c r="AO14" s="2">
        <f t="shared" si="2"/>
        <v>0.3269883062304173</v>
      </c>
      <c r="AP14" s="2">
        <f>567/3</f>
        <v>189</v>
      </c>
      <c r="AQ14" s="2">
        <f t="shared" si="3"/>
        <v>21</v>
      </c>
      <c r="AR14" s="2">
        <f t="shared" si="4"/>
        <v>61.800789877548873</v>
      </c>
      <c r="AS14" s="2">
        <f t="shared" si="5"/>
        <v>6.8667544308387631</v>
      </c>
      <c r="AU14" s="2">
        <f>AI14*(1.115)^(AH14-2016)</f>
        <v>95.186666666666667</v>
      </c>
      <c r="AV14" s="2">
        <f t="shared" si="6"/>
        <v>0.45326984126984127</v>
      </c>
      <c r="AW14" s="12">
        <f t="shared" si="7"/>
        <v>32.2539356605065</v>
      </c>
      <c r="AX14" s="2">
        <v>210</v>
      </c>
      <c r="AY14" s="3">
        <f t="shared" si="8"/>
        <v>0.45326984126984127</v>
      </c>
      <c r="AZ14" s="2">
        <f t="shared" si="9"/>
        <v>85.668000000000006</v>
      </c>
      <c r="BA14" s="2">
        <f t="shared" si="10"/>
        <v>9.5186666666666664</v>
      </c>
      <c r="BC14">
        <f t="shared" si="11"/>
        <v>106.13313333333333</v>
      </c>
      <c r="BD14">
        <f>BC14/AN14</f>
        <v>0.50539587301587297</v>
      </c>
      <c r="BE14">
        <f t="shared" si="12"/>
        <v>0.50539587301587297</v>
      </c>
      <c r="BF14">
        <f t="shared" si="13"/>
        <v>95.519819999999996</v>
      </c>
      <c r="BG14">
        <f t="shared" si="14"/>
        <v>10.613313333333332</v>
      </c>
    </row>
    <row r="15" spans="1:59" ht="15" hidden="1" customHeight="1" x14ac:dyDescent="0.2">
      <c r="A15" s="2" t="s">
        <v>445</v>
      </c>
      <c r="B15" s="2" t="str">
        <f>VLOOKUP($A15,'[1]daily coal, energy reqd'!$C$2:$T$599,17,FALSE)</f>
        <v>Uttar Pradesh</v>
      </c>
      <c r="C15" s="2" t="str">
        <f>VLOOKUP(B15,'Target PLF'!$I$2:$J$19,2,FALSE)</f>
        <v>NR</v>
      </c>
      <c r="D15" s="2" t="s">
        <v>570</v>
      </c>
      <c r="E15" s="2" t="s">
        <v>548</v>
      </c>
      <c r="F15" s="12">
        <v>32.175222450376403</v>
      </c>
      <c r="G15" s="2">
        <v>210</v>
      </c>
      <c r="H15">
        <f>VLOOKUP(A15,'Coal savings'!$A$3:$AB$543,26,FALSE)</f>
        <v>0</v>
      </c>
      <c r="I15" t="s">
        <v>694</v>
      </c>
      <c r="J15">
        <f>285.56/3</f>
        <v>95.186666666666667</v>
      </c>
      <c r="O15" s="2" t="s">
        <v>445</v>
      </c>
      <c r="Q15" s="96"/>
      <c r="AH15" s="2" t="str">
        <f t="shared" si="15"/>
        <v>2019</v>
      </c>
      <c r="AI15" s="2">
        <f>(J15)/(1+0.115)^(AH15-2016)</f>
        <v>68.667544308387633</v>
      </c>
      <c r="AJ15" s="2">
        <f t="shared" si="0"/>
        <v>0.3269883062304173</v>
      </c>
      <c r="AK15" s="12">
        <f t="shared" si="1"/>
        <v>28.175222450376403</v>
      </c>
      <c r="AL15" s="2" t="s">
        <v>570</v>
      </c>
      <c r="AM15" s="2" t="str">
        <f>VLOOKUP(A15,'[12]Power plant names'!$C$2:$F$545,4,FALSE)</f>
        <v>Sub critical</v>
      </c>
      <c r="AN15" s="2">
        <v>210</v>
      </c>
      <c r="AO15" s="2">
        <f t="shared" si="2"/>
        <v>0.3269883062304173</v>
      </c>
      <c r="AP15" s="2">
        <f>567/3</f>
        <v>189</v>
      </c>
      <c r="AQ15" s="2">
        <f t="shared" si="3"/>
        <v>21</v>
      </c>
      <c r="AR15" s="2">
        <f t="shared" si="4"/>
        <v>61.800789877548873</v>
      </c>
      <c r="AS15" s="2">
        <f t="shared" si="5"/>
        <v>6.8667544308387631</v>
      </c>
      <c r="AU15" s="2">
        <f>AI15*(1.115)^(AH15-2016)</f>
        <v>95.186666666666667</v>
      </c>
      <c r="AV15" s="2">
        <f t="shared" si="6"/>
        <v>0.45326984126984127</v>
      </c>
      <c r="AW15" s="12">
        <f t="shared" si="7"/>
        <v>31.175222450376403</v>
      </c>
      <c r="AX15" s="2">
        <v>210</v>
      </c>
      <c r="AY15" s="3">
        <f t="shared" si="8"/>
        <v>0.45326984126984127</v>
      </c>
      <c r="AZ15" s="2">
        <f t="shared" si="9"/>
        <v>85.668000000000006</v>
      </c>
      <c r="BA15" s="2">
        <f t="shared" si="10"/>
        <v>9.5186666666666664</v>
      </c>
      <c r="BC15">
        <f t="shared" si="11"/>
        <v>106.13313333333333</v>
      </c>
      <c r="BD15">
        <f>BC15/AN15</f>
        <v>0.50539587301587297</v>
      </c>
      <c r="BE15">
        <f t="shared" si="12"/>
        <v>0.50539587301587297</v>
      </c>
      <c r="BF15">
        <f t="shared" si="13"/>
        <v>95.519819999999996</v>
      </c>
      <c r="BG15">
        <f t="shared" si="14"/>
        <v>10.613313333333332</v>
      </c>
    </row>
    <row r="16" spans="1:59" ht="15" customHeight="1" x14ac:dyDescent="0.2">
      <c r="A16" s="2" t="s">
        <v>326</v>
      </c>
      <c r="B16" s="2" t="str">
        <f>VLOOKUP($A16,'[1]daily coal, energy reqd'!$C$2:$T$599,17,FALSE)</f>
        <v>Uttar Pradesh</v>
      </c>
      <c r="C16" s="2" t="str">
        <f>VLOOKUP(B16,'Target PLF'!$I$2:$J$19,2,FALSE)</f>
        <v>NR</v>
      </c>
      <c r="D16" s="2" t="s">
        <v>570</v>
      </c>
      <c r="E16" s="2" t="s">
        <v>547</v>
      </c>
      <c r="F16" s="12">
        <v>26.841889117043099</v>
      </c>
      <c r="G16" s="2">
        <v>500</v>
      </c>
      <c r="H16">
        <f>VLOOKUP(A16,'Coal savings'!$A$3:$AB$543,26,FALSE)</f>
        <v>1440246.753869269</v>
      </c>
      <c r="I16" t="s">
        <v>694</v>
      </c>
      <c r="J16">
        <f>484.84/2</f>
        <v>242.42</v>
      </c>
      <c r="O16" s="2" t="s">
        <v>326</v>
      </c>
      <c r="Q16" s="96"/>
      <c r="AH16" s="2" t="str">
        <f t="shared" si="15"/>
        <v>2019</v>
      </c>
      <c r="AI16" s="2">
        <f>(J16)/(1+0.115)^(AH16-2016)</f>
        <v>174.88148996259275</v>
      </c>
      <c r="AJ16" s="2">
        <f t="shared" si="0"/>
        <v>0.34976297992518551</v>
      </c>
      <c r="AK16" s="12">
        <f t="shared" si="1"/>
        <v>22.841889117043099</v>
      </c>
      <c r="AL16" s="2" t="s">
        <v>570</v>
      </c>
      <c r="AM16" s="2" t="str">
        <f>VLOOKUP(A16,'[12]Power plant names'!$C$2:$F$545,4,FALSE)</f>
        <v>Sub critical</v>
      </c>
      <c r="AN16" s="2">
        <v>500</v>
      </c>
      <c r="AO16" s="2">
        <f t="shared" si="2"/>
        <v>0.34976297992518551</v>
      </c>
      <c r="AP16" s="2">
        <f>900/2</f>
        <v>450</v>
      </c>
      <c r="AQ16" s="2">
        <f t="shared" si="3"/>
        <v>50</v>
      </c>
      <c r="AR16" s="2">
        <f t="shared" si="4"/>
        <v>157.39334096633348</v>
      </c>
      <c r="AS16" s="2">
        <f t="shared" si="5"/>
        <v>17.488148996259277</v>
      </c>
      <c r="AU16" s="2">
        <f>AI16*(1.115)^(AH16-2016)</f>
        <v>242.42</v>
      </c>
      <c r="AV16" s="2">
        <f t="shared" si="6"/>
        <v>0.48483999999999999</v>
      </c>
      <c r="AW16" s="12">
        <f t="shared" si="7"/>
        <v>25.841889117043099</v>
      </c>
      <c r="AX16" s="2">
        <v>500</v>
      </c>
      <c r="AY16" s="3">
        <f t="shared" si="8"/>
        <v>0.48483999999999999</v>
      </c>
      <c r="AZ16" s="2">
        <f t="shared" si="9"/>
        <v>218.178</v>
      </c>
      <c r="BA16" s="2">
        <f t="shared" si="10"/>
        <v>24.242000000000001</v>
      </c>
      <c r="BC16">
        <f t="shared" si="11"/>
        <v>270.29829999999998</v>
      </c>
      <c r="BD16">
        <f>BC16/AN16</f>
        <v>0.54059659999999998</v>
      </c>
      <c r="BE16">
        <f t="shared" si="12"/>
        <v>0.54059659999999998</v>
      </c>
      <c r="BF16">
        <f t="shared" si="13"/>
        <v>243.26846999999998</v>
      </c>
      <c r="BG16">
        <f t="shared" si="14"/>
        <v>27.02983</v>
      </c>
    </row>
    <row r="17" spans="1:59" ht="15" customHeight="1" x14ac:dyDescent="0.2">
      <c r="A17" s="2" t="s">
        <v>318</v>
      </c>
      <c r="B17" s="2" t="str">
        <f>VLOOKUP($A17,'[1]daily coal, energy reqd'!$C$2:$T$599,17,FALSE)</f>
        <v>Uttar Pradesh</v>
      </c>
      <c r="C17" s="2" t="str">
        <f>VLOOKUP(B17,'Target PLF'!$I$2:$J$19,2,FALSE)</f>
        <v>NR</v>
      </c>
      <c r="D17" s="2" t="s">
        <v>570</v>
      </c>
      <c r="E17" s="2" t="s">
        <v>547</v>
      </c>
      <c r="F17" s="12">
        <v>25.842573579739899</v>
      </c>
      <c r="G17" s="2">
        <v>500</v>
      </c>
      <c r="H17">
        <f>VLOOKUP(A17,'Coal savings'!$A$3:$AB$543,26,FALSE)</f>
        <v>1436577.7796169731</v>
      </c>
      <c r="I17" t="s">
        <v>694</v>
      </c>
      <c r="J17">
        <f>484.84/2</f>
        <v>242.42</v>
      </c>
      <c r="O17" s="2" t="s">
        <v>318</v>
      </c>
      <c r="Q17" s="96"/>
      <c r="AH17" s="2" t="str">
        <f t="shared" si="15"/>
        <v>2019</v>
      </c>
      <c r="AI17" s="2">
        <f>(J17)/(1+0.115)^(AH17-2016)</f>
        <v>174.88148996259275</v>
      </c>
      <c r="AJ17" s="2">
        <f t="shared" si="0"/>
        <v>0.34976297992518551</v>
      </c>
      <c r="AK17" s="12">
        <f t="shared" si="1"/>
        <v>21.842573579739899</v>
      </c>
      <c r="AL17" s="2" t="s">
        <v>570</v>
      </c>
      <c r="AM17" s="2" t="str">
        <f>VLOOKUP(A17,'[12]Power plant names'!$C$2:$F$545,4,FALSE)</f>
        <v>Sub critical</v>
      </c>
      <c r="AN17" s="2">
        <v>500</v>
      </c>
      <c r="AO17" s="2">
        <f t="shared" si="2"/>
        <v>0.34976297992518551</v>
      </c>
      <c r="AP17" s="2">
        <f>900/2</f>
        <v>450</v>
      </c>
      <c r="AQ17" s="2">
        <f t="shared" si="3"/>
        <v>50</v>
      </c>
      <c r="AR17" s="2">
        <f t="shared" si="4"/>
        <v>157.39334096633348</v>
      </c>
      <c r="AS17" s="2">
        <f t="shared" si="5"/>
        <v>17.488148996259277</v>
      </c>
      <c r="AU17" s="2">
        <f>AI17*(1.115)^(AH17-2016)</f>
        <v>242.42</v>
      </c>
      <c r="AV17" s="2">
        <f t="shared" si="6"/>
        <v>0.48483999999999999</v>
      </c>
      <c r="AW17" s="12">
        <f t="shared" si="7"/>
        <v>24.842573579739899</v>
      </c>
      <c r="AX17" s="2">
        <v>500</v>
      </c>
      <c r="AY17" s="3">
        <f t="shared" si="8"/>
        <v>0.48483999999999999</v>
      </c>
      <c r="AZ17" s="2">
        <f t="shared" si="9"/>
        <v>218.178</v>
      </c>
      <c r="BA17" s="2">
        <f t="shared" si="10"/>
        <v>24.242000000000001</v>
      </c>
      <c r="BC17">
        <f t="shared" si="11"/>
        <v>270.29829999999998</v>
      </c>
      <c r="BD17">
        <f>BC17/AN17</f>
        <v>0.54059659999999998</v>
      </c>
      <c r="BE17">
        <f t="shared" si="12"/>
        <v>0.54059659999999998</v>
      </c>
      <c r="BF17">
        <f t="shared" si="13"/>
        <v>243.26846999999998</v>
      </c>
      <c r="BG17">
        <f t="shared" si="14"/>
        <v>27.02983</v>
      </c>
    </row>
    <row r="18" spans="1:59" ht="15" customHeight="1" x14ac:dyDescent="0.2">
      <c r="A18" s="2" t="s">
        <v>82</v>
      </c>
      <c r="B18" s="2" t="str">
        <f>VLOOKUP($A18,'[1]daily coal, energy reqd'!$C$2:$T$599,17,FALSE)</f>
        <v>Uttar Pradesh</v>
      </c>
      <c r="C18" s="2" t="str">
        <f>VLOOKUP(B18,'Target PLF'!$I$2:$J$19,2,FALSE)</f>
        <v>NR</v>
      </c>
      <c r="D18" s="2" t="s">
        <v>570</v>
      </c>
      <c r="E18" s="2" t="s">
        <v>542</v>
      </c>
      <c r="F18" s="12">
        <v>4.9253935660506496</v>
      </c>
      <c r="G18" s="2">
        <v>600</v>
      </c>
      <c r="H18">
        <f>VLOOKUP(A18,'Coal savings'!$A$3:$AB$543,26,FALSE)</f>
        <v>2606452.7519400804</v>
      </c>
      <c r="O18" s="2" t="s">
        <v>82</v>
      </c>
      <c r="Q18" s="96"/>
      <c r="AH18" s="2" t="str">
        <f t="shared" si="15"/>
        <v/>
      </c>
      <c r="AI18" s="2"/>
      <c r="AJ18" s="2" t="str">
        <f t="shared" si="0"/>
        <v/>
      </c>
      <c r="AK18" s="12">
        <f t="shared" si="1"/>
        <v>0.9253935660506496</v>
      </c>
      <c r="AL18" s="2" t="s">
        <v>570</v>
      </c>
      <c r="AM18" s="2" t="str">
        <f>VLOOKUP(A18,'[12]Power plant names'!$C$2:$F$545,4,FALSE)</f>
        <v>Sub critical</v>
      </c>
      <c r="AN18" s="2">
        <v>600</v>
      </c>
      <c r="AO18" s="2">
        <f t="shared" si="2"/>
        <v>0.79754411690622873</v>
      </c>
      <c r="AP18" s="2">
        <f>900/2</f>
        <v>450</v>
      </c>
      <c r="AQ18" s="2">
        <f t="shared" si="3"/>
        <v>150</v>
      </c>
      <c r="AR18" s="2">
        <f t="shared" si="4"/>
        <v>358.89485260780293</v>
      </c>
      <c r="AS18" s="2">
        <f t="shared" si="5"/>
        <v>119.63161753593431</v>
      </c>
      <c r="AU18" s="2"/>
      <c r="AV18" s="2" t="str">
        <f t="shared" si="6"/>
        <v/>
      </c>
      <c r="AW18" s="12">
        <f t="shared" si="7"/>
        <v>4.9253935660506496</v>
      </c>
      <c r="AX18" s="2">
        <v>600</v>
      </c>
      <c r="AY18" s="3">
        <f t="shared" si="8"/>
        <v>0.99395428624229987</v>
      </c>
      <c r="AZ18" s="2">
        <f t="shared" si="9"/>
        <v>447.27942880903493</v>
      </c>
      <c r="BA18" s="2">
        <f t="shared" si="10"/>
        <v>149.09314293634498</v>
      </c>
      <c r="BC18" t="str">
        <f t="shared" si="11"/>
        <v/>
      </c>
      <c r="BE18">
        <f t="shared" si="12"/>
        <v>1.1075412915811089</v>
      </c>
      <c r="BF18">
        <f t="shared" si="13"/>
        <v>498.393581211499</v>
      </c>
      <c r="BG18">
        <f t="shared" si="14"/>
        <v>166.13119373716634</v>
      </c>
    </row>
    <row r="19" spans="1:59" ht="14.5" customHeight="1" x14ac:dyDescent="0.2">
      <c r="A19" s="2" t="s">
        <v>70</v>
      </c>
      <c r="B19" s="2" t="str">
        <f>VLOOKUP($A19,'[1]daily coal, energy reqd'!$C$2:$T$599,17,FALSE)</f>
        <v>Uttar Pradesh</v>
      </c>
      <c r="C19" s="2" t="str">
        <f>VLOOKUP(B19,'Target PLF'!$I$2:$J$19,2,FALSE)</f>
        <v>NR</v>
      </c>
      <c r="D19" s="2" t="s">
        <v>570</v>
      </c>
      <c r="E19" s="2" t="s">
        <v>542</v>
      </c>
      <c r="F19" s="12">
        <v>4.1752224503764497</v>
      </c>
      <c r="G19" s="2">
        <v>600</v>
      </c>
      <c r="H19">
        <f>VLOOKUP(A19,'Coal savings'!$A$3:$AB$543,26,FALSE)</f>
        <v>2600748.5315157329</v>
      </c>
      <c r="O19" s="2" t="s">
        <v>70</v>
      </c>
      <c r="Q19" s="96"/>
      <c r="AH19" s="2" t="str">
        <f t="shared" si="15"/>
        <v/>
      </c>
      <c r="AI19" s="2"/>
      <c r="AJ19" s="2" t="str">
        <f t="shared" si="0"/>
        <v/>
      </c>
      <c r="AK19" s="12">
        <f t="shared" si="1"/>
        <v>0.17522245037644968</v>
      </c>
      <c r="AL19" s="2" t="s">
        <v>570</v>
      </c>
      <c r="AM19" s="2" t="str">
        <f>VLOOKUP(A19,'[12]Power plant names'!$C$2:$F$545,4,FALSE)</f>
        <v>Sub critical</v>
      </c>
      <c r="AN19" s="2">
        <v>600</v>
      </c>
      <c r="AO19" s="2">
        <f t="shared" si="2"/>
        <v>0.80793818781656412</v>
      </c>
      <c r="AP19" s="2">
        <f>900/2</f>
        <v>450</v>
      </c>
      <c r="AQ19" s="2">
        <f t="shared" si="3"/>
        <v>150</v>
      </c>
      <c r="AR19" s="2">
        <f t="shared" si="4"/>
        <v>363.57218451745388</v>
      </c>
      <c r="AS19" s="2">
        <f t="shared" si="5"/>
        <v>121.19072817248463</v>
      </c>
      <c r="AU19" s="2"/>
      <c r="AV19" s="2" t="str">
        <f t="shared" si="6"/>
        <v/>
      </c>
      <c r="AW19" s="12">
        <f t="shared" si="7"/>
        <v>4.1752224503764497</v>
      </c>
      <c r="AX19" s="2">
        <v>600</v>
      </c>
      <c r="AY19" s="3">
        <f t="shared" si="8"/>
        <v>1.0075566139630392</v>
      </c>
      <c r="AZ19" s="2">
        <f t="shared" si="9"/>
        <v>453.40047628336765</v>
      </c>
      <c r="BA19" s="2">
        <f t="shared" si="10"/>
        <v>151.13349209445587</v>
      </c>
      <c r="BC19" t="str">
        <f t="shared" si="11"/>
        <v/>
      </c>
      <c r="BE19">
        <f t="shared" si="12"/>
        <v>1.1236875995893225</v>
      </c>
      <c r="BF19">
        <f t="shared" si="13"/>
        <v>505.65941981519512</v>
      </c>
      <c r="BG19">
        <f t="shared" si="14"/>
        <v>168.55313993839837</v>
      </c>
    </row>
    <row r="20" spans="1:59" ht="15" customHeight="1" x14ac:dyDescent="0.2">
      <c r="A20" s="2" t="s">
        <v>84</v>
      </c>
      <c r="B20" s="2" t="str">
        <f>VLOOKUP($A20,'[1]daily coal, energy reqd'!$C$2:$T$599,17,FALSE)</f>
        <v>Madhya Pradesh</v>
      </c>
      <c r="C20" s="2" t="str">
        <f>VLOOKUP(B20,'Target PLF'!$I$2:$J$19,2,FALSE)</f>
        <v>WR</v>
      </c>
      <c r="D20" s="2" t="s">
        <v>572</v>
      </c>
      <c r="E20" s="2" t="s">
        <v>542</v>
      </c>
      <c r="F20" s="12">
        <v>5.0924024640657004</v>
      </c>
      <c r="G20" s="2">
        <v>600</v>
      </c>
      <c r="H20">
        <f>VLOOKUP(A20,'Coal savings'!$A$3:$AB$543,26,FALSE)</f>
        <v>2771808.8680760558</v>
      </c>
      <c r="O20" s="2" t="s">
        <v>84</v>
      </c>
      <c r="AH20" s="2" t="str">
        <f t="shared" si="15"/>
        <v/>
      </c>
      <c r="AI20" s="2"/>
      <c r="AJ20" s="2" t="str">
        <f t="shared" si="0"/>
        <v/>
      </c>
      <c r="AK20" s="12">
        <f t="shared" si="1"/>
        <v>1.0924024640657004</v>
      </c>
      <c r="AL20" s="2" t="s">
        <v>572</v>
      </c>
      <c r="AM20" s="2" t="str">
        <f>VLOOKUP(A20,'[12]Power plant names'!$C$2:$F$545,4,FALSE)</f>
        <v>Sub critical</v>
      </c>
      <c r="AN20" s="2">
        <v>600</v>
      </c>
      <c r="AO20" s="2">
        <f t="shared" si="2"/>
        <v>0.7952301084188913</v>
      </c>
      <c r="AP20" s="2">
        <v>600</v>
      </c>
      <c r="AQ20" s="2">
        <f t="shared" si="3"/>
        <v>0</v>
      </c>
      <c r="AR20" s="2">
        <f t="shared" si="4"/>
        <v>477.13806505133476</v>
      </c>
      <c r="AS20" s="2">
        <f t="shared" si="5"/>
        <v>0</v>
      </c>
      <c r="AU20" s="2"/>
      <c r="AV20" s="2" t="str">
        <f t="shared" si="6"/>
        <v/>
      </c>
      <c r="AW20" s="12">
        <f t="shared" si="7"/>
        <v>5.0924024640657004</v>
      </c>
      <c r="AX20" s="2">
        <v>600</v>
      </c>
      <c r="AY20" s="3">
        <f t="shared" si="8"/>
        <v>0.99092603080082164</v>
      </c>
      <c r="AZ20" s="2">
        <f t="shared" si="9"/>
        <v>594.55561848049297</v>
      </c>
      <c r="BA20" s="2">
        <f t="shared" si="10"/>
        <v>0</v>
      </c>
      <c r="BC20" t="str">
        <f t="shared" si="11"/>
        <v/>
      </c>
      <c r="BE20">
        <f t="shared" si="12"/>
        <v>1.1039466755646818</v>
      </c>
      <c r="BF20">
        <f t="shared" si="13"/>
        <v>662.3680053388091</v>
      </c>
      <c r="BG20">
        <f t="shared" si="14"/>
        <v>0</v>
      </c>
    </row>
    <row r="21" spans="1:59" ht="15" customHeight="1" x14ac:dyDescent="0.2">
      <c r="A21" s="2" t="s">
        <v>71</v>
      </c>
      <c r="B21" s="2" t="str">
        <f>VLOOKUP($A21,'[1]daily coal, energy reqd'!$C$2:$T$599,17,FALSE)</f>
        <v>Madhya Pradesh</v>
      </c>
      <c r="C21" s="2" t="str">
        <f>VLOOKUP(B21,'Target PLF'!$I$2:$J$19,2,FALSE)</f>
        <v>WR</v>
      </c>
      <c r="D21" s="2" t="s">
        <v>572</v>
      </c>
      <c r="E21" s="2" t="s">
        <v>542</v>
      </c>
      <c r="F21" s="12">
        <v>4.1752224503764497</v>
      </c>
      <c r="G21" s="2">
        <v>600</v>
      </c>
      <c r="H21">
        <f>VLOOKUP(A21,'Coal savings'!$A$3:$AB$543,26,FALSE)</f>
        <v>2764397.7592171403</v>
      </c>
      <c r="I21" t="s">
        <v>694</v>
      </c>
      <c r="J21">
        <v>745.9</v>
      </c>
      <c r="O21" s="2" t="s">
        <v>71</v>
      </c>
      <c r="AH21" s="2" t="str">
        <f t="shared" si="15"/>
        <v>2019</v>
      </c>
      <c r="AI21" s="2">
        <f>(J21)/(1+0.115)^(AH21-2016)</f>
        <v>538.09134297128094</v>
      </c>
      <c r="AJ21" s="2">
        <f t="shared" si="0"/>
        <v>0.8968189049521349</v>
      </c>
      <c r="AK21" s="12">
        <f t="shared" si="1"/>
        <v>0.17522245037644968</v>
      </c>
      <c r="AL21" s="2" t="s">
        <v>572</v>
      </c>
      <c r="AM21" s="2" t="str">
        <f>VLOOKUP(A21,'[12]Power plant names'!$C$2:$F$545,4,FALSE)</f>
        <v>Sub critical</v>
      </c>
      <c r="AN21" s="2">
        <v>600</v>
      </c>
      <c r="AO21" s="2">
        <f t="shared" si="2"/>
        <v>0.8968189049521349</v>
      </c>
      <c r="AP21" s="2"/>
      <c r="AQ21" s="2">
        <f t="shared" si="3"/>
        <v>600</v>
      </c>
      <c r="AR21" s="2">
        <f t="shared" si="4"/>
        <v>0</v>
      </c>
      <c r="AS21" s="2">
        <f t="shared" si="5"/>
        <v>538.09134297128094</v>
      </c>
      <c r="AU21" s="2">
        <f>AI21*(1.115)^(AH21-2016)</f>
        <v>745.9</v>
      </c>
      <c r="AV21" s="2">
        <f t="shared" si="6"/>
        <v>1.2431666666666665</v>
      </c>
      <c r="AW21" s="12">
        <f t="shared" si="7"/>
        <v>3.1752224503764497</v>
      </c>
      <c r="AX21" s="2">
        <v>600</v>
      </c>
      <c r="AY21" s="3">
        <f t="shared" si="8"/>
        <v>1.2431666666666665</v>
      </c>
      <c r="AZ21" s="2">
        <f t="shared" si="9"/>
        <v>0</v>
      </c>
      <c r="BA21" s="2">
        <f t="shared" si="10"/>
        <v>745.89999999999986</v>
      </c>
      <c r="BC21">
        <f t="shared" si="11"/>
        <v>831.67849999999999</v>
      </c>
      <c r="BD21">
        <f>BC21/AN21</f>
        <v>1.3861308333333333</v>
      </c>
      <c r="BE21">
        <f t="shared" si="12"/>
        <v>1.3861308333333333</v>
      </c>
      <c r="BF21">
        <f t="shared" si="13"/>
        <v>0</v>
      </c>
      <c r="BG21">
        <f t="shared" si="14"/>
        <v>831.67849999999999</v>
      </c>
    </row>
    <row r="22" spans="1:59" ht="15" customHeight="1" x14ac:dyDescent="0.2">
      <c r="A22" s="2" t="s">
        <v>103</v>
      </c>
      <c r="B22" s="2" t="str">
        <f>VLOOKUP($A22,'[1]daily coal, energy reqd'!$C$2:$T$599,17,FALSE)</f>
        <v>Chhatisgarh</v>
      </c>
      <c r="C22" s="2" t="str">
        <f>VLOOKUP(B22,'Target PLF'!$I$2:$J$19,2,FALSE)</f>
        <v>WR</v>
      </c>
      <c r="D22" s="2" t="s">
        <v>572</v>
      </c>
      <c r="E22" s="2" t="s">
        <v>543</v>
      </c>
      <c r="F22" s="12">
        <v>6.1765913757700197</v>
      </c>
      <c r="G22" s="2">
        <v>600</v>
      </c>
      <c r="H22">
        <f>VLOOKUP(A22,'Coal savings'!$A$3:$AB$543,26,FALSE)</f>
        <v>2805749.8894542134</v>
      </c>
      <c r="O22" s="2" t="s">
        <v>103</v>
      </c>
      <c r="AH22" s="2" t="str">
        <f t="shared" si="15"/>
        <v/>
      </c>
      <c r="AI22" s="2"/>
      <c r="AJ22" s="2" t="str">
        <f t="shared" si="0"/>
        <v/>
      </c>
      <c r="AK22" s="12">
        <f t="shared" si="1"/>
        <v>2.1765913757700197</v>
      </c>
      <c r="AL22" s="2" t="s">
        <v>572</v>
      </c>
      <c r="AM22" s="2" t="str">
        <f>VLOOKUP(A22,'[12]Power plant names'!$C$2:$F$545,4,FALSE)</f>
        <v>Sub critical</v>
      </c>
      <c r="AN22" s="2">
        <v>600</v>
      </c>
      <c r="AO22" s="2">
        <f t="shared" si="2"/>
        <v>0.78020802053388105</v>
      </c>
      <c r="AP22" s="2"/>
      <c r="AQ22" s="2">
        <f t="shared" si="3"/>
        <v>600</v>
      </c>
      <c r="AR22" s="2">
        <f t="shared" si="4"/>
        <v>0</v>
      </c>
      <c r="AS22" s="2">
        <f t="shared" si="5"/>
        <v>468.12481232032866</v>
      </c>
      <c r="AU22" s="2"/>
      <c r="AV22" s="2" t="str">
        <f t="shared" si="6"/>
        <v/>
      </c>
      <c r="AW22" s="12">
        <f t="shared" si="7"/>
        <v>6.1765913757700197</v>
      </c>
      <c r="AX22" s="2">
        <v>600</v>
      </c>
      <c r="AY22" s="3">
        <f t="shared" si="8"/>
        <v>0.97126719219712543</v>
      </c>
      <c r="AZ22" s="2">
        <f t="shared" si="9"/>
        <v>0</v>
      </c>
      <c r="BA22" s="2">
        <f t="shared" si="10"/>
        <v>582.76031531827527</v>
      </c>
      <c r="BC22" t="str">
        <f t="shared" si="11"/>
        <v/>
      </c>
      <c r="BE22">
        <f t="shared" si="12"/>
        <v>1.0806111355236139</v>
      </c>
      <c r="BF22">
        <f t="shared" si="13"/>
        <v>0</v>
      </c>
      <c r="BG22">
        <f t="shared" si="14"/>
        <v>648.36668131416832</v>
      </c>
    </row>
    <row r="23" spans="1:59" ht="15" hidden="1" customHeight="1" x14ac:dyDescent="0.2">
      <c r="A23" s="2" t="s">
        <v>302</v>
      </c>
      <c r="B23" s="2" t="str">
        <f>VLOOKUP($A23,'[1]daily coal, energy reqd'!$C$2:$T$599,17,FALSE)</f>
        <v>West Bengal</v>
      </c>
      <c r="C23" s="2" t="str">
        <f>VLOOKUP(B23,'Target PLF'!$I$2:$J$19,2,FALSE)</f>
        <v>ER</v>
      </c>
      <c r="D23" s="2" t="s">
        <v>570</v>
      </c>
      <c r="E23" s="2" t="s">
        <v>544</v>
      </c>
      <c r="F23" s="12">
        <v>10.924024640657001</v>
      </c>
      <c r="G23" s="2">
        <v>210</v>
      </c>
      <c r="H23">
        <f>VLOOKUP(A23,'Coal savings'!$A$3:$AB$543,26,FALSE)</f>
        <v>0</v>
      </c>
      <c r="O23" s="2" t="s">
        <v>302</v>
      </c>
      <c r="Q23" s="96"/>
      <c r="AH23" s="2" t="str">
        <f t="shared" si="15"/>
        <v/>
      </c>
      <c r="AI23" s="2"/>
      <c r="AJ23" s="2" t="str">
        <f t="shared" si="0"/>
        <v/>
      </c>
      <c r="AK23" s="12">
        <f t="shared" si="1"/>
        <v>6.9240246406570005</v>
      </c>
      <c r="AL23" s="2" t="s">
        <v>570</v>
      </c>
      <c r="AM23" s="2" t="str">
        <f>VLOOKUP(A23,'[12]Power plant names'!$C$2:$F$545,4,FALSE)</f>
        <v>Sub critical</v>
      </c>
      <c r="AN23" s="2">
        <v>210</v>
      </c>
      <c r="AO23" s="2">
        <f t="shared" si="2"/>
        <v>0.89067048418891293</v>
      </c>
      <c r="AP23" s="2">
        <v>210</v>
      </c>
      <c r="AQ23" s="2">
        <f t="shared" si="3"/>
        <v>0</v>
      </c>
      <c r="AR23" s="2">
        <f t="shared" si="4"/>
        <v>187.04080167967172</v>
      </c>
      <c r="AS23" s="2">
        <f t="shared" si="5"/>
        <v>0</v>
      </c>
      <c r="AU23" s="2"/>
      <c r="AV23" s="2" t="str">
        <f t="shared" si="6"/>
        <v/>
      </c>
      <c r="AW23" s="12">
        <f t="shared" si="7"/>
        <v>10.924024640657001</v>
      </c>
      <c r="AX23" s="2">
        <v>210</v>
      </c>
      <c r="AY23" s="3">
        <f t="shared" si="8"/>
        <v>1.102961308008215</v>
      </c>
      <c r="AZ23" s="2">
        <f t="shared" si="9"/>
        <v>231.62187468172516</v>
      </c>
      <c r="BA23" s="2">
        <f t="shared" si="10"/>
        <v>0</v>
      </c>
      <c r="BC23" t="str">
        <f t="shared" si="11"/>
        <v/>
      </c>
      <c r="BE23">
        <f t="shared" si="12"/>
        <v>1.252287755646819</v>
      </c>
      <c r="BF23">
        <f t="shared" si="13"/>
        <v>262.98042868583201</v>
      </c>
      <c r="BG23">
        <f t="shared" si="14"/>
        <v>0</v>
      </c>
    </row>
    <row r="24" spans="1:59" ht="15" hidden="1" customHeight="1" x14ac:dyDescent="0.2">
      <c r="A24" s="2" t="s">
        <v>373</v>
      </c>
      <c r="B24" s="2" t="str">
        <f>VLOOKUP($A24,'[1]daily coal, energy reqd'!$C$2:$T$599,17,FALSE)</f>
        <v>West Bengal</v>
      </c>
      <c r="C24" s="2" t="str">
        <f>VLOOKUP(B24,'Target PLF'!$I$2:$J$19,2,FALSE)</f>
        <v>ER</v>
      </c>
      <c r="D24" s="2" t="s">
        <v>570</v>
      </c>
      <c r="E24" s="2" t="s">
        <v>546</v>
      </c>
      <c r="F24" s="12">
        <v>20.843258042436599</v>
      </c>
      <c r="G24" s="2">
        <v>210</v>
      </c>
      <c r="H24">
        <f>VLOOKUP(A24,'Coal savings'!$A$3:$AB$543,26,FALSE)</f>
        <v>0</v>
      </c>
      <c r="O24" s="2" t="s">
        <v>373</v>
      </c>
      <c r="Q24" s="96"/>
      <c r="AH24" s="2" t="str">
        <f t="shared" si="15"/>
        <v/>
      </c>
      <c r="AI24" s="2"/>
      <c r="AJ24" s="2" t="str">
        <f t="shared" si="0"/>
        <v/>
      </c>
      <c r="AK24" s="12">
        <f t="shared" si="1"/>
        <v>16.843258042436599</v>
      </c>
      <c r="AL24" s="2" t="s">
        <v>570</v>
      </c>
      <c r="AM24" s="2" t="str">
        <f>VLOOKUP(A24,'[12]Power plant names'!$C$2:$F$545,4,FALSE)</f>
        <v>Sub critical</v>
      </c>
      <c r="AN24" s="2">
        <v>210</v>
      </c>
      <c r="AO24" s="2">
        <f t="shared" si="2"/>
        <v>0.75323355386721558</v>
      </c>
      <c r="AP24" s="2">
        <v>210</v>
      </c>
      <c r="AQ24" s="2">
        <f t="shared" si="3"/>
        <v>0</v>
      </c>
      <c r="AR24" s="2">
        <f t="shared" si="4"/>
        <v>158.17904631211528</v>
      </c>
      <c r="AS24" s="2">
        <f t="shared" si="5"/>
        <v>0</v>
      </c>
      <c r="AU24" s="2"/>
      <c r="AV24" s="2" t="str">
        <f t="shared" si="6"/>
        <v/>
      </c>
      <c r="AW24" s="12">
        <f t="shared" si="7"/>
        <v>20.843258042436599</v>
      </c>
      <c r="AX24" s="2">
        <v>210</v>
      </c>
      <c r="AY24" s="3">
        <f t="shared" si="8"/>
        <v>0.92310279219712699</v>
      </c>
      <c r="AZ24" s="2">
        <f t="shared" si="9"/>
        <v>193.85158636139667</v>
      </c>
      <c r="BA24" s="2">
        <f t="shared" si="10"/>
        <v>0</v>
      </c>
      <c r="BC24" t="str">
        <f t="shared" si="11"/>
        <v/>
      </c>
      <c r="BE24">
        <f t="shared" si="12"/>
        <v>1.0387911355236159</v>
      </c>
      <c r="BF24">
        <f t="shared" si="13"/>
        <v>218.14613845995933</v>
      </c>
      <c r="BG24">
        <f t="shared" si="14"/>
        <v>0</v>
      </c>
    </row>
    <row r="25" spans="1:59" ht="15" hidden="1" customHeight="1" x14ac:dyDescent="0.2">
      <c r="A25" s="2" t="s">
        <v>365</v>
      </c>
      <c r="B25" s="2" t="str">
        <f>VLOOKUP($A25,'[1]daily coal, energy reqd'!$C$2:$T$599,17,FALSE)</f>
        <v>West Bengal</v>
      </c>
      <c r="C25" s="2" t="str">
        <f>VLOOKUP(B25,'Target PLF'!$I$2:$J$19,2,FALSE)</f>
        <v>ER</v>
      </c>
      <c r="D25" s="2" t="s">
        <v>570</v>
      </c>
      <c r="E25" s="2" t="s">
        <v>545</v>
      </c>
      <c r="F25" s="12">
        <v>20.008213552361301</v>
      </c>
      <c r="G25" s="2">
        <v>210</v>
      </c>
      <c r="H25">
        <f>VLOOKUP(A25,'Coal savings'!$A$3:$AB$543,26,FALSE)</f>
        <v>0</v>
      </c>
      <c r="O25" s="2" t="s">
        <v>365</v>
      </c>
      <c r="Q25" s="96"/>
      <c r="AH25" s="2" t="str">
        <f t="shared" si="15"/>
        <v/>
      </c>
      <c r="AI25" s="2"/>
      <c r="AJ25" s="2" t="str">
        <f t="shared" si="0"/>
        <v/>
      </c>
      <c r="AK25" s="12">
        <f t="shared" si="1"/>
        <v>16.008213552361301</v>
      </c>
      <c r="AL25" s="2" t="s">
        <v>570</v>
      </c>
      <c r="AM25" s="2" t="str">
        <f>VLOOKUP(A25,'[12]Power plant names'!$C$2:$F$545,4,FALSE)</f>
        <v>Sub critical</v>
      </c>
      <c r="AN25" s="2">
        <v>210</v>
      </c>
      <c r="AO25" s="2">
        <f t="shared" si="2"/>
        <v>0.76480359630390282</v>
      </c>
      <c r="AP25" s="2">
        <v>210</v>
      </c>
      <c r="AQ25" s="2">
        <f t="shared" si="3"/>
        <v>0</v>
      </c>
      <c r="AR25" s="2">
        <f t="shared" si="4"/>
        <v>160.6087552238196</v>
      </c>
      <c r="AS25" s="2">
        <f t="shared" si="5"/>
        <v>0</v>
      </c>
      <c r="AU25" s="2"/>
      <c r="AV25" s="2" t="str">
        <f t="shared" si="6"/>
        <v/>
      </c>
      <c r="AW25" s="12">
        <f t="shared" si="7"/>
        <v>20.008213552361301</v>
      </c>
      <c r="AX25" s="2">
        <v>210</v>
      </c>
      <c r="AY25" s="3">
        <f t="shared" si="8"/>
        <v>0.93824406940451921</v>
      </c>
      <c r="AZ25" s="2">
        <f t="shared" si="9"/>
        <v>197.03125457494903</v>
      </c>
      <c r="BA25" s="2">
        <f t="shared" si="10"/>
        <v>0</v>
      </c>
      <c r="BC25" t="str">
        <f t="shared" si="11"/>
        <v/>
      </c>
      <c r="BE25">
        <f t="shared" si="12"/>
        <v>1.0567642156057515</v>
      </c>
      <c r="BF25">
        <f t="shared" si="13"/>
        <v>221.92048527720783</v>
      </c>
      <c r="BG25">
        <f t="shared" si="14"/>
        <v>0</v>
      </c>
    </row>
    <row r="26" spans="1:59" ht="15" hidden="1" customHeight="1" x14ac:dyDescent="0.2">
      <c r="A26" s="2" t="s">
        <v>358</v>
      </c>
      <c r="B26" s="2" t="str">
        <f>VLOOKUP($A26,'[1]daily coal, energy reqd'!$C$2:$T$599,17,FALSE)</f>
        <v>West Bengal</v>
      </c>
      <c r="C26" s="2" t="str">
        <f>VLOOKUP(B26,'Target PLF'!$I$2:$J$19,2,FALSE)</f>
        <v>ER</v>
      </c>
      <c r="D26" s="2" t="s">
        <v>570</v>
      </c>
      <c r="E26" s="2" t="s">
        <v>545</v>
      </c>
      <c r="F26" s="12">
        <v>19.175906913073199</v>
      </c>
      <c r="G26" s="2">
        <v>210</v>
      </c>
      <c r="H26">
        <f>VLOOKUP(A26,'Coal savings'!$A$3:$AB$543,26,FALSE)</f>
        <v>0</v>
      </c>
      <c r="O26" s="2" t="s">
        <v>358</v>
      </c>
      <c r="Q26" s="96"/>
      <c r="AH26" s="2" t="str">
        <f t="shared" si="15"/>
        <v/>
      </c>
      <c r="AI26" s="2"/>
      <c r="AJ26" s="2" t="str">
        <f t="shared" si="0"/>
        <v/>
      </c>
      <c r="AK26" s="12">
        <f t="shared" si="1"/>
        <v>15.175906913073199</v>
      </c>
      <c r="AL26" s="2" t="s">
        <v>570</v>
      </c>
      <c r="AM26" s="2" t="str">
        <f>VLOOKUP(A26,'[12]Power plant names'!$C$2:$F$545,4,FALSE)</f>
        <v>Sub critical</v>
      </c>
      <c r="AN26" s="2">
        <v>210</v>
      </c>
      <c r="AO26" s="2">
        <f t="shared" si="2"/>
        <v>0.77633570417522302</v>
      </c>
      <c r="AP26" s="2">
        <v>210</v>
      </c>
      <c r="AQ26" s="2">
        <f t="shared" si="3"/>
        <v>0</v>
      </c>
      <c r="AR26" s="2">
        <f t="shared" si="4"/>
        <v>163.03049787679683</v>
      </c>
      <c r="AS26" s="2">
        <f t="shared" si="5"/>
        <v>0</v>
      </c>
      <c r="AU26" s="2"/>
      <c r="AV26" s="2" t="str">
        <f t="shared" si="6"/>
        <v/>
      </c>
      <c r="AW26" s="12">
        <f t="shared" si="7"/>
        <v>19.175906913073199</v>
      </c>
      <c r="AX26" s="2">
        <v>210</v>
      </c>
      <c r="AY26" s="3">
        <f t="shared" si="8"/>
        <v>0.95333570308008286</v>
      </c>
      <c r="AZ26" s="2">
        <f t="shared" si="9"/>
        <v>200.20049764681741</v>
      </c>
      <c r="BA26" s="2">
        <f t="shared" si="10"/>
        <v>0</v>
      </c>
      <c r="BC26" t="str">
        <f t="shared" si="11"/>
        <v/>
      </c>
      <c r="BE26">
        <f t="shared" si="12"/>
        <v>1.0746783675564688</v>
      </c>
      <c r="BF26">
        <f t="shared" si="13"/>
        <v>225.68245718685844</v>
      </c>
      <c r="BG26">
        <f t="shared" si="14"/>
        <v>0</v>
      </c>
    </row>
    <row r="27" spans="1:59" ht="15" hidden="1" customHeight="1" x14ac:dyDescent="0.2">
      <c r="A27" s="2" t="s">
        <v>313</v>
      </c>
      <c r="B27" s="2" t="str">
        <f>VLOOKUP($A27,'[1]daily coal, energy reqd'!$C$2:$T$599,17,FALSE)</f>
        <v>West Bengal</v>
      </c>
      <c r="C27" s="2" t="str">
        <f>VLOOKUP(B27,'Target PLF'!$I$2:$J$19,2,FALSE)</f>
        <v>ER</v>
      </c>
      <c r="D27" s="2" t="s">
        <v>570</v>
      </c>
      <c r="E27" s="2" t="s">
        <v>544</v>
      </c>
      <c r="F27" s="12">
        <v>12.4243668720054</v>
      </c>
      <c r="G27" s="2">
        <v>210</v>
      </c>
      <c r="H27">
        <f>VLOOKUP(A27,'Coal savings'!$A$3:$AB$543,26,FALSE)</f>
        <v>0</v>
      </c>
      <c r="O27" s="2" t="s">
        <v>313</v>
      </c>
      <c r="Q27" s="96"/>
      <c r="AH27" s="2" t="str">
        <f t="shared" si="15"/>
        <v/>
      </c>
      <c r="AI27" s="2"/>
      <c r="AJ27" s="2" t="str">
        <f t="shared" si="0"/>
        <v/>
      </c>
      <c r="AK27" s="12">
        <f t="shared" si="1"/>
        <v>8.4243668720054004</v>
      </c>
      <c r="AL27" s="2" t="s">
        <v>570</v>
      </c>
      <c r="AM27" s="2" t="str">
        <f>VLOOKUP(A27,'[12]Power plant names'!$C$2:$F$545,4,FALSE)</f>
        <v>Sub critical</v>
      </c>
      <c r="AN27" s="2">
        <v>210</v>
      </c>
      <c r="AO27" s="2">
        <f t="shared" si="2"/>
        <v>0.86988234236824202</v>
      </c>
      <c r="AP27" s="2">
        <v>210</v>
      </c>
      <c r="AQ27" s="2">
        <f t="shared" si="3"/>
        <v>0</v>
      </c>
      <c r="AR27" s="2">
        <f t="shared" si="4"/>
        <v>182.67529189733082</v>
      </c>
      <c r="AS27" s="2">
        <f t="shared" si="5"/>
        <v>0</v>
      </c>
      <c r="AU27" s="2"/>
      <c r="AV27" s="2" t="str">
        <f t="shared" si="6"/>
        <v/>
      </c>
      <c r="AW27" s="12">
        <f t="shared" si="7"/>
        <v>12.4243668720054</v>
      </c>
      <c r="AX27" s="2">
        <v>210</v>
      </c>
      <c r="AY27" s="3">
        <f t="shared" si="8"/>
        <v>1.0757566525667366</v>
      </c>
      <c r="AZ27" s="2">
        <f t="shared" si="9"/>
        <v>225.90889703901468</v>
      </c>
      <c r="BA27" s="2">
        <f t="shared" si="10"/>
        <v>0</v>
      </c>
      <c r="BC27" t="str">
        <f t="shared" si="11"/>
        <v/>
      </c>
      <c r="BE27">
        <f t="shared" si="12"/>
        <v>1.2199951396303916</v>
      </c>
      <c r="BF27">
        <f t="shared" si="13"/>
        <v>256.19897932238223</v>
      </c>
      <c r="BG27">
        <f t="shared" si="14"/>
        <v>0</v>
      </c>
    </row>
    <row r="28" spans="1:59" ht="15" customHeight="1" x14ac:dyDescent="0.2">
      <c r="A28" s="2" t="s">
        <v>195</v>
      </c>
      <c r="B28" s="2" t="str">
        <f>VLOOKUP($A28,'[1]daily coal, energy reqd'!$C$2:$T$599,17,FALSE)</f>
        <v>Chhatisgarh</v>
      </c>
      <c r="C28" s="2" t="str">
        <f>VLOOKUP(B28,'Target PLF'!$I$2:$J$19,2,FALSE)</f>
        <v>WR</v>
      </c>
      <c r="D28" s="2" t="s">
        <v>572</v>
      </c>
      <c r="E28" s="2" t="s">
        <v>542</v>
      </c>
      <c r="F28" s="12">
        <v>4.9253935660506496</v>
      </c>
      <c r="G28" s="2">
        <v>300</v>
      </c>
      <c r="H28">
        <f>VLOOKUP(A28,'Coal savings'!$A$3:$AB$543,26,FALSE)</f>
        <v>952629.38227265014</v>
      </c>
      <c r="O28" s="2" t="s">
        <v>195</v>
      </c>
      <c r="AH28" s="2" t="str">
        <f t="shared" si="15"/>
        <v/>
      </c>
      <c r="AI28" s="2"/>
      <c r="AJ28" s="2" t="str">
        <f t="shared" si="0"/>
        <v/>
      </c>
      <c r="AK28" s="12">
        <f t="shared" si="1"/>
        <v>0.9253935660506496</v>
      </c>
      <c r="AL28" s="2" t="s">
        <v>572</v>
      </c>
      <c r="AM28" s="2" t="str">
        <f>VLOOKUP(A28,'[12]Power plant names'!$C$2:$F$545,4,FALSE)</f>
        <v>Sub critical</v>
      </c>
      <c r="AN28" s="2">
        <v>300</v>
      </c>
      <c r="AO28" s="2">
        <f t="shared" si="2"/>
        <v>0.9331141169062287</v>
      </c>
      <c r="AP28" s="2">
        <v>300</v>
      </c>
      <c r="AQ28" s="2">
        <f t="shared" si="3"/>
        <v>0</v>
      </c>
      <c r="AR28" s="2">
        <f t="shared" si="4"/>
        <v>279.93423507186861</v>
      </c>
      <c r="AS28" s="2">
        <f t="shared" si="5"/>
        <v>0</v>
      </c>
      <c r="AU28" s="2"/>
      <c r="AV28" s="2" t="str">
        <f t="shared" si="6"/>
        <v/>
      </c>
      <c r="AW28" s="12">
        <f t="shared" si="7"/>
        <v>4.9253935660506496</v>
      </c>
      <c r="AX28" s="2">
        <v>300</v>
      </c>
      <c r="AY28" s="3">
        <f t="shared" si="8"/>
        <v>1.1614742862422998</v>
      </c>
      <c r="AZ28" s="2">
        <f t="shared" si="9"/>
        <v>348.44228587268992</v>
      </c>
      <c r="BA28" s="2">
        <f t="shared" si="10"/>
        <v>0</v>
      </c>
      <c r="BC28" t="str">
        <f t="shared" si="11"/>
        <v/>
      </c>
      <c r="BE28">
        <f t="shared" si="12"/>
        <v>1.3182012915811088</v>
      </c>
      <c r="BF28">
        <f t="shared" si="13"/>
        <v>395.46038747433261</v>
      </c>
      <c r="BG28">
        <f t="shared" si="14"/>
        <v>0</v>
      </c>
    </row>
    <row r="29" spans="1:59" ht="15" customHeight="1" x14ac:dyDescent="0.2">
      <c r="A29" s="2" t="s">
        <v>189</v>
      </c>
      <c r="B29" s="2" t="str">
        <f>VLOOKUP($A29,'[1]daily coal, energy reqd'!$C$2:$T$599,17,FALSE)</f>
        <v>Chhatisgarh</v>
      </c>
      <c r="C29" s="2" t="str">
        <f>VLOOKUP(B29,'Target PLF'!$I$2:$J$19,2,FALSE)</f>
        <v>WR</v>
      </c>
      <c r="D29" s="2" t="s">
        <v>572</v>
      </c>
      <c r="E29" s="2" t="s">
        <v>542</v>
      </c>
      <c r="F29" s="12">
        <v>4.1752224503764497</v>
      </c>
      <c r="G29" s="2">
        <v>300</v>
      </c>
      <c r="H29">
        <f>VLOOKUP(A29,'Coal savings'!$A$3:$AB$543,26,FALSE)</f>
        <v>950839.09462769201</v>
      </c>
      <c r="O29" s="2" t="s">
        <v>189</v>
      </c>
      <c r="AH29" s="2" t="str">
        <f t="shared" si="15"/>
        <v/>
      </c>
      <c r="AI29" s="2"/>
      <c r="AJ29" s="2" t="str">
        <f t="shared" si="0"/>
        <v/>
      </c>
      <c r="AK29" s="12">
        <f t="shared" si="1"/>
        <v>0.17522245037644968</v>
      </c>
      <c r="AL29" s="2" t="s">
        <v>572</v>
      </c>
      <c r="AM29" s="2" t="str">
        <f>VLOOKUP(A29,'[12]Power plant names'!$C$2:$F$545,4,FALSE)</f>
        <v>Sub critical</v>
      </c>
      <c r="AN29" s="2">
        <v>300</v>
      </c>
      <c r="AO29" s="2">
        <f t="shared" si="2"/>
        <v>0.94350818781656409</v>
      </c>
      <c r="AP29" s="2">
        <v>300</v>
      </c>
      <c r="AQ29" s="2">
        <f t="shared" si="3"/>
        <v>0</v>
      </c>
      <c r="AR29" s="2">
        <f t="shared" si="4"/>
        <v>283.05245634496924</v>
      </c>
      <c r="AS29" s="2">
        <f t="shared" si="5"/>
        <v>0</v>
      </c>
      <c r="AU29" s="2"/>
      <c r="AV29" s="2" t="str">
        <f t="shared" si="6"/>
        <v/>
      </c>
      <c r="AW29" s="12">
        <f t="shared" si="7"/>
        <v>4.1752224503764497</v>
      </c>
      <c r="AX29" s="2">
        <v>300</v>
      </c>
      <c r="AY29" s="3">
        <f t="shared" si="8"/>
        <v>1.1750766139630393</v>
      </c>
      <c r="AZ29" s="2">
        <f t="shared" si="9"/>
        <v>352.52298418891178</v>
      </c>
      <c r="BA29" s="2">
        <f t="shared" si="10"/>
        <v>0</v>
      </c>
      <c r="BC29" t="str">
        <f t="shared" si="11"/>
        <v/>
      </c>
      <c r="BE29">
        <f t="shared" si="12"/>
        <v>1.3343475995893224</v>
      </c>
      <c r="BF29">
        <f t="shared" si="13"/>
        <v>400.30427987679673</v>
      </c>
      <c r="BG29">
        <f t="shared" si="14"/>
        <v>0</v>
      </c>
    </row>
    <row r="30" spans="1:59" ht="15" customHeight="1" x14ac:dyDescent="0.2">
      <c r="A30" s="2" t="s">
        <v>194</v>
      </c>
      <c r="B30" s="2" t="str">
        <f>VLOOKUP($A30,'[1]daily coal, energy reqd'!$C$2:$T$599,17,FALSE)</f>
        <v>Chhatisgarh</v>
      </c>
      <c r="C30" s="2" t="str">
        <f>VLOOKUP(B30,'Target PLF'!$I$2:$J$19,2,FALSE)</f>
        <v>WR</v>
      </c>
      <c r="D30" s="2" t="s">
        <v>572</v>
      </c>
      <c r="E30" s="2" t="s">
        <v>542</v>
      </c>
      <c r="F30" s="12">
        <v>4.8432580424366796</v>
      </c>
      <c r="G30" s="2">
        <v>300</v>
      </c>
      <c r="H30">
        <f>VLOOKUP(A30,'Coal savings'!$A$3:$AB$543,26,FALSE)</f>
        <v>1549521.8708582362</v>
      </c>
      <c r="O30" s="2" t="s">
        <v>194</v>
      </c>
      <c r="AH30" s="2" t="str">
        <f t="shared" si="15"/>
        <v/>
      </c>
      <c r="AI30" s="2"/>
      <c r="AJ30" s="2" t="str">
        <f t="shared" si="0"/>
        <v/>
      </c>
      <c r="AK30" s="12">
        <f t="shared" si="1"/>
        <v>0.84325804243667957</v>
      </c>
      <c r="AL30" s="2" t="s">
        <v>572</v>
      </c>
      <c r="AM30" s="2" t="str">
        <f>VLOOKUP(A30,'[12]Power plant names'!$C$2:$F$545,4,FALSE)</f>
        <v>Sub critical</v>
      </c>
      <c r="AN30" s="2">
        <v>300</v>
      </c>
      <c r="AO30" s="2">
        <f t="shared" si="2"/>
        <v>0.93425215386721439</v>
      </c>
      <c r="AP30" s="2">
        <v>300</v>
      </c>
      <c r="AQ30" s="2">
        <f t="shared" si="3"/>
        <v>0</v>
      </c>
      <c r="AR30" s="2">
        <f t="shared" si="4"/>
        <v>280.27564616016434</v>
      </c>
      <c r="AS30" s="2">
        <f t="shared" si="5"/>
        <v>0</v>
      </c>
      <c r="AU30" s="2"/>
      <c r="AV30" s="2" t="str">
        <f t="shared" si="6"/>
        <v/>
      </c>
      <c r="AW30" s="12">
        <f t="shared" si="7"/>
        <v>4.8432580424366796</v>
      </c>
      <c r="AX30" s="2">
        <v>300</v>
      </c>
      <c r="AY30" s="3">
        <f t="shared" si="8"/>
        <v>1.1629635921971255</v>
      </c>
      <c r="AZ30" s="2">
        <f t="shared" si="9"/>
        <v>348.88907765913768</v>
      </c>
      <c r="BA30" s="2">
        <f t="shared" si="10"/>
        <v>0</v>
      </c>
      <c r="BC30" t="str">
        <f t="shared" si="11"/>
        <v/>
      </c>
      <c r="BE30">
        <f t="shared" si="12"/>
        <v>1.3199691355236141</v>
      </c>
      <c r="BF30">
        <f t="shared" si="13"/>
        <v>395.99074065708419</v>
      </c>
      <c r="BG30">
        <f t="shared" si="14"/>
        <v>0</v>
      </c>
    </row>
    <row r="31" spans="1:59" ht="15" hidden="1" customHeight="1" x14ac:dyDescent="0.2">
      <c r="A31" s="2" t="s">
        <v>540</v>
      </c>
      <c r="B31" s="2" t="str">
        <f>VLOOKUP($A31,'[1]daily coal, energy reqd'!$C$2:$T$599,17,FALSE)</f>
        <v>West Bengal</v>
      </c>
      <c r="C31" s="2" t="str">
        <f>VLOOKUP(B31,'Target PLF'!$I$2:$J$19,2,FALSE)</f>
        <v>ER</v>
      </c>
      <c r="D31" s="2" t="s">
        <v>570</v>
      </c>
      <c r="E31" s="2" t="s">
        <v>551</v>
      </c>
      <c r="F31" s="12">
        <v>54.672142368240898</v>
      </c>
      <c r="G31" s="2">
        <v>60</v>
      </c>
      <c r="H31">
        <f>VLOOKUP(A31,'Coal savings'!$A$3:$AB$543,26,FALSE)</f>
        <v>0</v>
      </c>
      <c r="O31" s="2" t="s">
        <v>540</v>
      </c>
      <c r="P31">
        <v>2019</v>
      </c>
      <c r="Q31" s="96">
        <v>106.29</v>
      </c>
      <c r="R31" t="s">
        <v>621</v>
      </c>
      <c r="S31" s="38"/>
      <c r="AH31" s="2"/>
      <c r="AI31" s="2"/>
      <c r="AJ31" s="2" t="str">
        <f t="shared" si="0"/>
        <v/>
      </c>
      <c r="AK31" s="12">
        <f t="shared" si="1"/>
        <v>50.672142368240898</v>
      </c>
      <c r="AL31" s="2" t="s">
        <v>570</v>
      </c>
      <c r="AM31" s="2" t="str">
        <f>VLOOKUP(A31,'[12]Power plant names'!$C$2:$F$545,4,FALSE)</f>
        <v>Sub critical</v>
      </c>
      <c r="AN31" s="2">
        <v>60</v>
      </c>
      <c r="AO31" s="2">
        <f t="shared" si="2"/>
        <v>0.3522990642026016</v>
      </c>
      <c r="AP31" s="2"/>
      <c r="AQ31" s="2">
        <f t="shared" si="3"/>
        <v>60</v>
      </c>
      <c r="AR31" s="2">
        <f t="shared" si="4"/>
        <v>0</v>
      </c>
      <c r="AS31" s="2">
        <f t="shared" si="5"/>
        <v>21.137943852156095</v>
      </c>
      <c r="AU31" s="2"/>
      <c r="AV31" s="2" t="str">
        <f t="shared" si="6"/>
        <v/>
      </c>
      <c r="AW31" s="12">
        <f t="shared" si="7"/>
        <v>54.672142368240898</v>
      </c>
      <c r="AX31" s="2">
        <v>60</v>
      </c>
      <c r="AY31" s="3">
        <f t="shared" si="8"/>
        <v>0.39346731293634551</v>
      </c>
      <c r="AZ31" s="2">
        <f t="shared" si="9"/>
        <v>0</v>
      </c>
      <c r="BA31" s="2">
        <f t="shared" si="10"/>
        <v>23.608038776180731</v>
      </c>
      <c r="BC31" t="str">
        <f t="shared" si="11"/>
        <v/>
      </c>
      <c r="BE31">
        <f t="shared" si="12"/>
        <v>0.41600514373716702</v>
      </c>
      <c r="BF31">
        <f t="shared" si="13"/>
        <v>0</v>
      </c>
      <c r="BG31">
        <f t="shared" si="14"/>
        <v>24.96030862423002</v>
      </c>
    </row>
    <row r="32" spans="1:59" ht="15" hidden="1" customHeight="1" x14ac:dyDescent="0.2">
      <c r="A32" s="2" t="s">
        <v>539</v>
      </c>
      <c r="B32" s="2" t="str">
        <f>VLOOKUP($A32,'[1]daily coal, energy reqd'!$C$2:$T$599,17,FALSE)</f>
        <v>West Bengal</v>
      </c>
      <c r="C32" s="2" t="str">
        <f>VLOOKUP(B32,'Target PLF'!$I$2:$J$19,2,FALSE)</f>
        <v>ER</v>
      </c>
      <c r="D32" s="2" t="s">
        <v>570</v>
      </c>
      <c r="E32" s="2" t="s">
        <v>551</v>
      </c>
      <c r="F32" s="12">
        <v>54.590006844626899</v>
      </c>
      <c r="G32" s="2">
        <v>60</v>
      </c>
      <c r="H32">
        <f>VLOOKUP(A32,'Coal savings'!$A$3:$AB$543,26,FALSE)</f>
        <v>0</v>
      </c>
      <c r="O32" s="2" t="s">
        <v>539</v>
      </c>
      <c r="P32">
        <v>2019</v>
      </c>
      <c r="Q32" s="96"/>
      <c r="R32" t="s">
        <v>621</v>
      </c>
      <c r="AH32" s="2" t="str">
        <f t="shared" ref="AH32:AH40" si="16">RIGHT(I32,4)</f>
        <v/>
      </c>
      <c r="AI32" s="2"/>
      <c r="AJ32" s="2" t="str">
        <f t="shared" si="0"/>
        <v/>
      </c>
      <c r="AK32" s="12">
        <f t="shared" si="1"/>
        <v>50.590006844626899</v>
      </c>
      <c r="AL32" s="2" t="s">
        <v>570</v>
      </c>
      <c r="AM32" s="2" t="str">
        <f>VLOOKUP(A32,'[12]Power plant names'!$C$2:$F$545,4,FALSE)</f>
        <v>Sub critical</v>
      </c>
      <c r="AN32" s="2">
        <v>60</v>
      </c>
      <c r="AO32" s="2">
        <f t="shared" si="2"/>
        <v>0.35343710116358773</v>
      </c>
      <c r="AP32" s="2"/>
      <c r="AQ32" s="2">
        <f t="shared" si="3"/>
        <v>60</v>
      </c>
      <c r="AR32" s="2">
        <f t="shared" si="4"/>
        <v>0</v>
      </c>
      <c r="AS32" s="2">
        <f t="shared" si="5"/>
        <v>21.206226069815266</v>
      </c>
      <c r="AU32" s="2"/>
      <c r="AV32" s="2" t="str">
        <f t="shared" si="6"/>
        <v/>
      </c>
      <c r="AW32" s="12">
        <f t="shared" si="7"/>
        <v>54.590006844626899</v>
      </c>
      <c r="AX32" s="2">
        <v>60</v>
      </c>
      <c r="AY32" s="3">
        <f t="shared" si="8"/>
        <v>0.39495661889117173</v>
      </c>
      <c r="AZ32" s="2">
        <f t="shared" si="9"/>
        <v>0</v>
      </c>
      <c r="BA32" s="2">
        <f t="shared" si="10"/>
        <v>23.697397133470304</v>
      </c>
      <c r="BC32" t="str">
        <f t="shared" si="11"/>
        <v/>
      </c>
      <c r="BE32">
        <f t="shared" si="12"/>
        <v>0.41777298767967275</v>
      </c>
      <c r="BF32">
        <f t="shared" si="13"/>
        <v>0</v>
      </c>
      <c r="BG32">
        <f t="shared" si="14"/>
        <v>25.066379260780366</v>
      </c>
    </row>
    <row r="33" spans="1:59" ht="15" hidden="1" customHeight="1" x14ac:dyDescent="0.2">
      <c r="A33" s="2" t="s">
        <v>488</v>
      </c>
      <c r="B33" s="2" t="str">
        <f>VLOOKUP($A33,'[1]daily coal, energy reqd'!$C$2:$T$599,17,FALSE)</f>
        <v>West Bengal</v>
      </c>
      <c r="C33" s="2" t="str">
        <f>VLOOKUP(B33,'Target PLF'!$I$2:$J$19,2,FALSE)</f>
        <v>ER</v>
      </c>
      <c r="D33" s="2" t="s">
        <v>570</v>
      </c>
      <c r="E33" s="2" t="s">
        <v>549</v>
      </c>
      <c r="F33" s="12">
        <v>37.590691307323702</v>
      </c>
      <c r="G33" s="2">
        <v>210</v>
      </c>
      <c r="H33">
        <f>VLOOKUP(A33,'Coal savings'!$A$3:$AB$543,26,FALSE)</f>
        <v>0</v>
      </c>
      <c r="O33" s="2" t="s">
        <v>488</v>
      </c>
      <c r="P33">
        <v>2019</v>
      </c>
      <c r="Q33" s="96"/>
      <c r="R33" t="s">
        <v>621</v>
      </c>
      <c r="AH33" s="2" t="str">
        <f t="shared" si="16"/>
        <v/>
      </c>
      <c r="AI33" s="2"/>
      <c r="AJ33" s="2" t="str">
        <f t="shared" si="0"/>
        <v/>
      </c>
      <c r="AK33" s="12">
        <f t="shared" si="1"/>
        <v>33.590691307323702</v>
      </c>
      <c r="AL33" s="2" t="s">
        <v>570</v>
      </c>
      <c r="AM33" s="2" t="str">
        <f>VLOOKUP(A33,'[12]Power plant names'!$C$2:$F$545,4,FALSE)</f>
        <v>Sub critical</v>
      </c>
      <c r="AN33" s="2">
        <v>210</v>
      </c>
      <c r="AO33" s="2">
        <f t="shared" si="2"/>
        <v>0.52118781752224586</v>
      </c>
      <c r="AP33" s="2"/>
      <c r="AQ33" s="2">
        <f t="shared" si="3"/>
        <v>210</v>
      </c>
      <c r="AR33" s="2">
        <f t="shared" si="4"/>
        <v>0</v>
      </c>
      <c r="AS33" s="2">
        <f t="shared" si="5"/>
        <v>109.44944167967164</v>
      </c>
      <c r="AU33" s="2"/>
      <c r="AV33" s="2" t="str">
        <f t="shared" si="6"/>
        <v/>
      </c>
      <c r="AW33" s="12">
        <f t="shared" si="7"/>
        <v>37.590691307323702</v>
      </c>
      <c r="AX33" s="2">
        <v>210</v>
      </c>
      <c r="AY33" s="3">
        <f t="shared" si="8"/>
        <v>0.6194333080082145</v>
      </c>
      <c r="AZ33" s="2">
        <f t="shared" si="9"/>
        <v>0</v>
      </c>
      <c r="BA33" s="2">
        <f t="shared" si="10"/>
        <v>130.08099468172506</v>
      </c>
      <c r="BC33" t="str">
        <f t="shared" si="11"/>
        <v/>
      </c>
      <c r="BE33">
        <f t="shared" si="12"/>
        <v>0.67832775564681835</v>
      </c>
      <c r="BF33">
        <f t="shared" si="13"/>
        <v>0</v>
      </c>
      <c r="BG33">
        <f t="shared" si="14"/>
        <v>142.44882868583184</v>
      </c>
    </row>
    <row r="34" spans="1:59" ht="15" customHeight="1" x14ac:dyDescent="0.2">
      <c r="A34" s="2" t="s">
        <v>35</v>
      </c>
      <c r="B34" s="2" t="str">
        <f>VLOOKUP($A34,'[1]daily coal, energy reqd'!$C$2:$T$599,17,FALSE)</f>
        <v>Uttar Pradesh</v>
      </c>
      <c r="C34" s="2" t="str">
        <f>VLOOKUP(B34,'Target PLF'!$I$2:$J$19,2,FALSE)</f>
        <v>NR</v>
      </c>
      <c r="D34" s="2" t="s">
        <v>572</v>
      </c>
      <c r="E34" s="2" t="s">
        <v>542</v>
      </c>
      <c r="F34" s="12">
        <v>3.4223134839151199</v>
      </c>
      <c r="G34" s="2">
        <v>660</v>
      </c>
      <c r="H34">
        <f>VLOOKUP(A34,'Coal savings'!$A$3:$AB$543,26,FALSE)</f>
        <v>2755586.4924714491</v>
      </c>
      <c r="O34" s="2" t="s">
        <v>35</v>
      </c>
      <c r="AH34" s="2" t="str">
        <f t="shared" si="16"/>
        <v/>
      </c>
      <c r="AI34" s="2"/>
      <c r="AJ34" s="2" t="str">
        <f t="shared" si="0"/>
        <v/>
      </c>
      <c r="AK34" s="12">
        <f t="shared" si="1"/>
        <v>1</v>
      </c>
      <c r="AL34" s="2" t="s">
        <v>572</v>
      </c>
      <c r="AM34" s="2" t="str">
        <f>VLOOKUP(A34,'[12]Power plant names'!$C$2:$F$545,4,FALSE)</f>
        <v>Super critical</v>
      </c>
      <c r="AN34" s="2">
        <v>660</v>
      </c>
      <c r="AO34" s="2">
        <f t="shared" si="2"/>
        <v>0.76939640000000009</v>
      </c>
      <c r="AP34" s="2">
        <v>660</v>
      </c>
      <c r="AQ34" s="2">
        <f t="shared" si="3"/>
        <v>0</v>
      </c>
      <c r="AR34" s="2">
        <f t="shared" si="4"/>
        <v>507.80162400000006</v>
      </c>
      <c r="AS34" s="2">
        <f t="shared" si="5"/>
        <v>0</v>
      </c>
      <c r="AU34" s="2"/>
      <c r="AV34" s="2" t="str">
        <f t="shared" si="6"/>
        <v/>
      </c>
      <c r="AW34" s="12">
        <f t="shared" si="7"/>
        <v>3.4223134839151199</v>
      </c>
      <c r="AX34" s="2">
        <v>660</v>
      </c>
      <c r="AY34" s="3">
        <f t="shared" si="8"/>
        <v>0.98770458521560589</v>
      </c>
      <c r="AZ34" s="2">
        <f t="shared" si="9"/>
        <v>651.88502624229989</v>
      </c>
      <c r="BA34" s="2">
        <f t="shared" si="10"/>
        <v>0</v>
      </c>
      <c r="BC34" t="str">
        <f t="shared" si="11"/>
        <v/>
      </c>
      <c r="BE34">
        <f t="shared" si="12"/>
        <v>1.0977608357289528</v>
      </c>
      <c r="BF34">
        <f t="shared" si="13"/>
        <v>724.5221515811088</v>
      </c>
      <c r="BG34">
        <f t="shared" si="14"/>
        <v>0</v>
      </c>
    </row>
    <row r="35" spans="1:59" ht="15" customHeight="1" x14ac:dyDescent="0.2">
      <c r="A35" s="2" t="s">
        <v>49</v>
      </c>
      <c r="B35" s="2" t="str">
        <f>VLOOKUP($A35,'[1]daily coal, energy reqd'!$C$2:$T$599,17,FALSE)</f>
        <v>Uttar Pradesh</v>
      </c>
      <c r="C35" s="2" t="str">
        <f>VLOOKUP(B35,'Target PLF'!$I$2:$J$19,2,FALSE)</f>
        <v>NR</v>
      </c>
      <c r="D35" s="2" t="s">
        <v>572</v>
      </c>
      <c r="E35" s="2" t="s">
        <v>542</v>
      </c>
      <c r="F35" s="12">
        <v>4.6735112936344896</v>
      </c>
      <c r="G35" s="2">
        <v>660</v>
      </c>
      <c r="H35">
        <f>VLOOKUP(A35,'Coal savings'!$A$3:$AB$543,26,FALSE)</f>
        <v>2765909.0142970327</v>
      </c>
      <c r="O35" s="2" t="s">
        <v>49</v>
      </c>
      <c r="AH35" s="2" t="str">
        <f t="shared" si="16"/>
        <v/>
      </c>
      <c r="AI35" s="2"/>
      <c r="AJ35" s="2" t="str">
        <f t="shared" si="0"/>
        <v/>
      </c>
      <c r="AK35" s="12">
        <f t="shared" si="1"/>
        <v>0.67351129363448958</v>
      </c>
      <c r="AL35" s="2" t="s">
        <v>572</v>
      </c>
      <c r="AM35" s="2" t="str">
        <f>VLOOKUP(A35,'[12]Power plant names'!$C$2:$F$545,4,FALSE)</f>
        <v>Super critical</v>
      </c>
      <c r="AN35" s="2">
        <v>660</v>
      </c>
      <c r="AO35" s="2">
        <f t="shared" si="2"/>
        <v>0.77392009691991803</v>
      </c>
      <c r="AP35" s="2">
        <v>660</v>
      </c>
      <c r="AQ35" s="2">
        <f t="shared" si="3"/>
        <v>0</v>
      </c>
      <c r="AR35" s="2">
        <f t="shared" si="4"/>
        <v>510.78726396714592</v>
      </c>
      <c r="AS35" s="2">
        <f t="shared" si="5"/>
        <v>0</v>
      </c>
      <c r="AU35" s="2"/>
      <c r="AV35" s="2" t="str">
        <f t="shared" si="6"/>
        <v/>
      </c>
      <c r="AW35" s="12">
        <f t="shared" si="7"/>
        <v>4.6735112936344896</v>
      </c>
      <c r="AX35" s="2">
        <v>660</v>
      </c>
      <c r="AY35" s="3">
        <f t="shared" si="8"/>
        <v>0.96501749117043145</v>
      </c>
      <c r="AZ35" s="2">
        <f t="shared" si="9"/>
        <v>636.91154417248481</v>
      </c>
      <c r="BA35" s="2">
        <f t="shared" si="10"/>
        <v>0</v>
      </c>
      <c r="BC35" t="str">
        <f t="shared" si="11"/>
        <v/>
      </c>
      <c r="BE35">
        <f t="shared" si="12"/>
        <v>1.0708306796714582</v>
      </c>
      <c r="BF35">
        <f t="shared" si="13"/>
        <v>706.74824858316242</v>
      </c>
      <c r="BG35">
        <f t="shared" si="14"/>
        <v>0</v>
      </c>
    </row>
    <row r="36" spans="1:59" ht="15" customHeight="1" x14ac:dyDescent="0.2">
      <c r="A36" s="2" t="s">
        <v>28</v>
      </c>
      <c r="B36" s="2" t="str">
        <f>VLOOKUP($A36,'[1]daily coal, energy reqd'!$C$2:$T$599,17,FALSE)</f>
        <v>Uttar Pradesh</v>
      </c>
      <c r="C36" s="2" t="str">
        <f>VLOOKUP(B36,'Target PLF'!$I$2:$J$19,2,FALSE)</f>
        <v>NR</v>
      </c>
      <c r="D36" s="2" t="s">
        <v>572</v>
      </c>
      <c r="E36" s="2" t="s">
        <v>542</v>
      </c>
      <c r="F36" s="12">
        <v>3.0088980150581701</v>
      </c>
      <c r="G36" s="2">
        <v>660</v>
      </c>
      <c r="H36">
        <f>VLOOKUP(A36,'Coal savings'!$A$3:$AB$543,26,FALSE)</f>
        <v>2752175.7686297358</v>
      </c>
      <c r="O36" s="2" t="s">
        <v>28</v>
      </c>
      <c r="AH36" s="2" t="str">
        <f t="shared" si="16"/>
        <v/>
      </c>
      <c r="AI36" s="2"/>
      <c r="AJ36" s="2" t="str">
        <f t="shared" si="0"/>
        <v/>
      </c>
      <c r="AK36" s="12">
        <f t="shared" si="1"/>
        <v>1</v>
      </c>
      <c r="AL36" s="2" t="s">
        <v>572</v>
      </c>
      <c r="AM36" s="2" t="str">
        <f>VLOOKUP(A36,'[12]Power plant names'!$C$2:$F$545,4,FALSE)</f>
        <v>Super critical</v>
      </c>
      <c r="AN36" s="2">
        <v>660</v>
      </c>
      <c r="AO36" s="2">
        <f t="shared" si="2"/>
        <v>0.76939640000000009</v>
      </c>
      <c r="AP36" s="2">
        <v>660</v>
      </c>
      <c r="AQ36" s="2">
        <f t="shared" si="3"/>
        <v>0</v>
      </c>
      <c r="AR36" s="2">
        <f t="shared" si="4"/>
        <v>507.80162400000006</v>
      </c>
      <c r="AS36" s="2">
        <f t="shared" si="5"/>
        <v>0</v>
      </c>
      <c r="AU36" s="2"/>
      <c r="AV36" s="2" t="str">
        <f t="shared" si="6"/>
        <v/>
      </c>
      <c r="AW36" s="12">
        <f t="shared" si="7"/>
        <v>3.0088980150581701</v>
      </c>
      <c r="AX36" s="2">
        <v>660</v>
      </c>
      <c r="AY36" s="3">
        <f t="shared" si="8"/>
        <v>0.99520075852156076</v>
      </c>
      <c r="AZ36" s="2">
        <f t="shared" si="9"/>
        <v>656.83250062423008</v>
      </c>
      <c r="BA36" s="2">
        <f t="shared" si="10"/>
        <v>0</v>
      </c>
      <c r="BC36" t="str">
        <f t="shared" si="11"/>
        <v/>
      </c>
      <c r="BE36">
        <f t="shared" si="12"/>
        <v>1.1066589835728955</v>
      </c>
      <c r="BF36">
        <f t="shared" si="13"/>
        <v>730.39492915811104</v>
      </c>
      <c r="BG36">
        <f t="shared" si="14"/>
        <v>0</v>
      </c>
    </row>
    <row r="37" spans="1:59" ht="15" customHeight="1" x14ac:dyDescent="0.2">
      <c r="A37" s="2" t="s">
        <v>107</v>
      </c>
      <c r="B37" s="2" t="str">
        <f>VLOOKUP($A37,'[1]daily coal, energy reqd'!$C$2:$T$599,17,FALSE)</f>
        <v>Chhatisgarh</v>
      </c>
      <c r="C37" s="2" t="str">
        <f>VLOOKUP(B37,'Target PLF'!$I$2:$J$19,2,FALSE)</f>
        <v>WR</v>
      </c>
      <c r="D37" s="2" t="s">
        <v>572</v>
      </c>
      <c r="E37" s="2" t="s">
        <v>543</v>
      </c>
      <c r="F37" s="12">
        <v>6.2532511978097096</v>
      </c>
      <c r="G37" s="2">
        <v>600</v>
      </c>
      <c r="H37">
        <f>VLOOKUP(A37,'Coal savings'!$A$3:$AB$543,26,FALSE)</f>
        <v>2880011.2017553719</v>
      </c>
      <c r="O37" s="2" t="s">
        <v>107</v>
      </c>
      <c r="AH37" s="2" t="str">
        <f t="shared" si="16"/>
        <v/>
      </c>
      <c r="AI37" s="2"/>
      <c r="AJ37" s="2" t="str">
        <f t="shared" si="0"/>
        <v/>
      </c>
      <c r="AK37" s="12">
        <f t="shared" si="1"/>
        <v>2.2532511978097096</v>
      </c>
      <c r="AL37" s="2" t="s">
        <v>572</v>
      </c>
      <c r="AM37" s="2" t="str">
        <f>VLOOKUP(A37,'[12]Power plant names'!$C$2:$F$545,4,FALSE)</f>
        <v>Sub critical</v>
      </c>
      <c r="AN37" s="2">
        <v>600</v>
      </c>
      <c r="AO37" s="2">
        <f t="shared" si="2"/>
        <v>0.77914585270362791</v>
      </c>
      <c r="AP37" s="2">
        <v>600</v>
      </c>
      <c r="AQ37" s="2">
        <f t="shared" si="3"/>
        <v>0</v>
      </c>
      <c r="AR37" s="2">
        <f t="shared" si="4"/>
        <v>467.48751162217673</v>
      </c>
      <c r="AS37" s="2">
        <f t="shared" si="5"/>
        <v>0</v>
      </c>
      <c r="AU37" s="2"/>
      <c r="AV37" s="2" t="str">
        <f t="shared" si="6"/>
        <v/>
      </c>
      <c r="AW37" s="12">
        <f t="shared" si="7"/>
        <v>6.2532511978097096</v>
      </c>
      <c r="AX37" s="2">
        <v>600</v>
      </c>
      <c r="AY37" s="3">
        <f t="shared" si="8"/>
        <v>0.96987717330595502</v>
      </c>
      <c r="AZ37" s="2">
        <f t="shared" si="9"/>
        <v>581.92630398357301</v>
      </c>
      <c r="BA37" s="2">
        <f t="shared" si="10"/>
        <v>0</v>
      </c>
      <c r="BC37" t="str">
        <f t="shared" si="11"/>
        <v/>
      </c>
      <c r="BE37">
        <f t="shared" si="12"/>
        <v>1.0789611478439427</v>
      </c>
      <c r="BF37">
        <f t="shared" si="13"/>
        <v>647.3766887063656</v>
      </c>
      <c r="BG37">
        <f t="shared" si="14"/>
        <v>0</v>
      </c>
    </row>
    <row r="38" spans="1:59" ht="15" customHeight="1" x14ac:dyDescent="0.2">
      <c r="A38" s="2" t="s">
        <v>86</v>
      </c>
      <c r="B38" s="2" t="str">
        <f>VLOOKUP($A38,'[1]daily coal, energy reqd'!$C$2:$T$599,17,FALSE)</f>
        <v>Chhatisgarh</v>
      </c>
      <c r="C38" s="2" t="str">
        <f>VLOOKUP(B38,'Target PLF'!$I$2:$J$19,2,FALSE)</f>
        <v>WR</v>
      </c>
      <c r="D38" s="2" t="s">
        <v>572</v>
      </c>
      <c r="E38" s="2" t="s">
        <v>543</v>
      </c>
      <c r="F38" s="12">
        <v>5.1772758384667998</v>
      </c>
      <c r="G38" s="2">
        <v>600</v>
      </c>
      <c r="H38">
        <f>VLOOKUP(A38,'Coal savings'!$A$3:$AB$543,26,FALSE)</f>
        <v>2871005.7918500854</v>
      </c>
      <c r="O38" s="2" t="s">
        <v>86</v>
      </c>
      <c r="AH38" s="2" t="str">
        <f t="shared" si="16"/>
        <v/>
      </c>
      <c r="AI38" s="2"/>
      <c r="AJ38" s="2" t="str">
        <f t="shared" si="0"/>
        <v/>
      </c>
      <c r="AK38" s="12">
        <f t="shared" si="1"/>
        <v>1.1772758384667998</v>
      </c>
      <c r="AL38" s="2" t="s">
        <v>572</v>
      </c>
      <c r="AM38" s="2" t="str">
        <f>VLOOKUP(A38,'[12]Power plant names'!$C$2:$F$545,4,FALSE)</f>
        <v>Sub critical</v>
      </c>
      <c r="AN38" s="2">
        <v>600</v>
      </c>
      <c r="AO38" s="2">
        <f t="shared" si="2"/>
        <v>0.79405413689253956</v>
      </c>
      <c r="AP38" s="2">
        <v>600</v>
      </c>
      <c r="AQ38" s="2">
        <f t="shared" si="3"/>
        <v>0</v>
      </c>
      <c r="AR38" s="2">
        <f t="shared" si="4"/>
        <v>476.43248213552374</v>
      </c>
      <c r="AS38" s="2">
        <f t="shared" si="5"/>
        <v>0</v>
      </c>
      <c r="AU38" s="2"/>
      <c r="AV38" s="2" t="str">
        <f t="shared" si="6"/>
        <v/>
      </c>
      <c r="AW38" s="12">
        <f t="shared" si="7"/>
        <v>5.1772758384667998</v>
      </c>
      <c r="AX38" s="2">
        <v>600</v>
      </c>
      <c r="AY38" s="3">
        <f t="shared" si="8"/>
        <v>0.98938708131416853</v>
      </c>
      <c r="AZ38" s="2">
        <f t="shared" si="9"/>
        <v>593.6322487885011</v>
      </c>
      <c r="BA38" s="2">
        <f t="shared" si="10"/>
        <v>0</v>
      </c>
      <c r="BC38" t="str">
        <f t="shared" si="11"/>
        <v/>
      </c>
      <c r="BE38">
        <f t="shared" si="12"/>
        <v>1.1021199034907598</v>
      </c>
      <c r="BF38">
        <f t="shared" si="13"/>
        <v>661.27194209445588</v>
      </c>
      <c r="BG38">
        <f t="shared" si="14"/>
        <v>0</v>
      </c>
    </row>
    <row r="39" spans="1:59" ht="15" hidden="1" customHeight="1" x14ac:dyDescent="0.2">
      <c r="A39" s="2" t="s">
        <v>265</v>
      </c>
      <c r="B39" s="2" t="str">
        <f>VLOOKUP($A39,'[1]daily coal, energy reqd'!$C$2:$T$599,17,FALSE)</f>
        <v>Bihar</v>
      </c>
      <c r="C39" s="2" t="str">
        <f>VLOOKUP(B39,'Target PLF'!$I$2:$J$19,2,FALSE)</f>
        <v>ER</v>
      </c>
      <c r="D39" s="2" t="s">
        <v>571</v>
      </c>
      <c r="E39" s="2" t="s">
        <v>542</v>
      </c>
      <c r="F39" s="12">
        <v>3.4962354551676902</v>
      </c>
      <c r="G39" s="2">
        <v>110</v>
      </c>
      <c r="H39">
        <f>VLOOKUP(A39,'Coal savings'!$A$3:$AB$543,26,FALSE)</f>
        <v>0</v>
      </c>
      <c r="I39" t="s">
        <v>694</v>
      </c>
      <c r="J39">
        <v>72.11</v>
      </c>
      <c r="O39" s="2" t="s">
        <v>265</v>
      </c>
      <c r="AH39" s="2" t="str">
        <f t="shared" si="16"/>
        <v>2019</v>
      </c>
      <c r="AI39" s="2">
        <f>(J39)/(1+0.115)^(AH39-2016)</f>
        <v>52.020065346104133</v>
      </c>
      <c r="AJ39" s="2">
        <f t="shared" si="0"/>
        <v>0.47290968496458302</v>
      </c>
      <c r="AK39" s="12">
        <f t="shared" si="1"/>
        <v>1</v>
      </c>
      <c r="AL39" s="2" t="s">
        <v>571</v>
      </c>
      <c r="AM39" s="2" t="str">
        <f>VLOOKUP(A39,'[12]Power plant names'!$C$2:$F$545,4,FALSE)</f>
        <v>Sub critical</v>
      </c>
      <c r="AN39" s="2">
        <v>110</v>
      </c>
      <c r="AO39" s="2">
        <f t="shared" si="2"/>
        <v>0.47290968496458302</v>
      </c>
      <c r="AP39" s="2"/>
      <c r="AQ39" s="2">
        <f t="shared" si="3"/>
        <v>110</v>
      </c>
      <c r="AR39" s="2">
        <f t="shared" si="4"/>
        <v>0</v>
      </c>
      <c r="AS39" s="2">
        <f t="shared" si="5"/>
        <v>52.020065346104133</v>
      </c>
      <c r="AU39" s="2">
        <f>AI39*(1.115)^(AH39-2016)</f>
        <v>72.11</v>
      </c>
      <c r="AV39" s="2">
        <f t="shared" si="6"/>
        <v>0.65554545454545454</v>
      </c>
      <c r="AW39" s="12">
        <f t="shared" si="7"/>
        <v>2.4962354551676902</v>
      </c>
      <c r="AX39" s="2">
        <v>110</v>
      </c>
      <c r="AY39" s="3">
        <f t="shared" si="8"/>
        <v>0.65554545454545454</v>
      </c>
      <c r="AZ39" s="2">
        <f t="shared" si="9"/>
        <v>0</v>
      </c>
      <c r="BA39" s="2">
        <f t="shared" si="10"/>
        <v>72.11</v>
      </c>
      <c r="BC39">
        <f t="shared" si="11"/>
        <v>80.402649999999994</v>
      </c>
      <c r="BD39">
        <f>BC39/AN39</f>
        <v>0.73093318181818179</v>
      </c>
      <c r="BE39">
        <f t="shared" si="12"/>
        <v>0.73093318181818179</v>
      </c>
      <c r="BF39">
        <f t="shared" si="13"/>
        <v>0</v>
      </c>
      <c r="BG39">
        <f t="shared" si="14"/>
        <v>80.402649999999994</v>
      </c>
    </row>
    <row r="40" spans="1:59" ht="15" customHeight="1" x14ac:dyDescent="0.2">
      <c r="A40" s="2" t="s">
        <v>193</v>
      </c>
      <c r="B40" s="2" t="str">
        <f>VLOOKUP($A40,'[1]daily coal, energy reqd'!$C$2:$T$599,17,FALSE)</f>
        <v>Bihar</v>
      </c>
      <c r="C40" s="2" t="str">
        <f>VLOOKUP(B40,'Target PLF'!$I$2:$J$19,2,FALSE)</f>
        <v>ER</v>
      </c>
      <c r="D40" s="2" t="s">
        <v>571</v>
      </c>
      <c r="E40" s="2" t="s">
        <v>542</v>
      </c>
      <c r="F40" s="13">
        <v>2.3381245722108099</v>
      </c>
      <c r="G40" s="2">
        <v>250</v>
      </c>
      <c r="H40">
        <f>VLOOKUP(A40,'Coal savings'!$A$3:$AB$543,26,FALSE)</f>
        <v>569648.88056160312</v>
      </c>
      <c r="I40" t="s">
        <v>694</v>
      </c>
      <c r="J40">
        <f>1005.13/2</f>
        <v>502.565</v>
      </c>
      <c r="O40" s="2" t="s">
        <v>193</v>
      </c>
      <c r="AH40" s="2" t="str">
        <f t="shared" si="16"/>
        <v>2019</v>
      </c>
      <c r="AI40" s="2">
        <f>(J40)/(1+0.115)^(AH40-2016)</f>
        <v>362.54977313361286</v>
      </c>
      <c r="AJ40" s="2">
        <f t="shared" si="0"/>
        <v>1.4501990925344515</v>
      </c>
      <c r="AK40" s="12">
        <f t="shared" si="1"/>
        <v>1</v>
      </c>
      <c r="AL40" s="2" t="s">
        <v>571</v>
      </c>
      <c r="AM40" s="2" t="str">
        <f>VLOOKUP(A40,'[12]Power plant names'!$C$2:$F$545,4,FALSE)</f>
        <v>Sub critical</v>
      </c>
      <c r="AN40" s="2">
        <v>250</v>
      </c>
      <c r="AO40" s="2">
        <f t="shared" si="2"/>
        <v>1.4501990925344515</v>
      </c>
      <c r="AP40" s="2">
        <v>250</v>
      </c>
      <c r="AQ40" s="2">
        <f t="shared" si="3"/>
        <v>0</v>
      </c>
      <c r="AR40" s="2">
        <f t="shared" si="4"/>
        <v>362.54977313361286</v>
      </c>
      <c r="AS40" s="2">
        <f t="shared" si="5"/>
        <v>0</v>
      </c>
      <c r="AU40" s="2">
        <f>AI40*(1.115)^(AH40-2016)</f>
        <v>502.565</v>
      </c>
      <c r="AV40" s="2">
        <f t="shared" si="6"/>
        <v>2.0102600000000002</v>
      </c>
      <c r="AW40" s="12">
        <f t="shared" si="7"/>
        <v>1.3381245722108099</v>
      </c>
      <c r="AX40" s="2">
        <v>250</v>
      </c>
      <c r="AY40" s="3">
        <f t="shared" si="8"/>
        <v>2.0102600000000002</v>
      </c>
      <c r="AZ40" s="2">
        <f t="shared" si="9"/>
        <v>502.56500000000005</v>
      </c>
      <c r="BA40" s="2">
        <f t="shared" si="10"/>
        <v>0</v>
      </c>
      <c r="BC40">
        <f t="shared" si="11"/>
        <v>560.35997499999996</v>
      </c>
      <c r="BD40">
        <f>BC40/AN40</f>
        <v>2.2414399</v>
      </c>
      <c r="BE40">
        <f t="shared" si="12"/>
        <v>2.2414399</v>
      </c>
      <c r="BF40">
        <f t="shared" si="13"/>
        <v>560.35997499999996</v>
      </c>
      <c r="BG40">
        <f t="shared" si="14"/>
        <v>0</v>
      </c>
    </row>
    <row r="41" spans="1:59" ht="15" customHeight="1" x14ac:dyDescent="0.2">
      <c r="A41" s="2" t="s">
        <v>67</v>
      </c>
      <c r="B41" s="2" t="str">
        <f>VLOOKUP($A41,'[1]daily coal, energy reqd'!$C$2:$T$599,17,FALSE)</f>
        <v>Bihar</v>
      </c>
      <c r="C41" s="2" t="str">
        <f>VLOOKUP(B41,'Target PLF'!$I$2:$J$19,2,FALSE)</f>
        <v>ER</v>
      </c>
      <c r="D41" s="2" t="s">
        <v>571</v>
      </c>
      <c r="E41" s="2" t="s">
        <v>543</v>
      </c>
      <c r="F41" s="12">
        <v>6.5051334702258696</v>
      </c>
      <c r="G41" s="2">
        <v>660</v>
      </c>
      <c r="H41">
        <f>VLOOKUP(A41,'Coal savings'!$A$3:$AB$543,26,FALSE)</f>
        <v>2954361.6279886207</v>
      </c>
      <c r="O41" s="2" t="s">
        <v>67</v>
      </c>
      <c r="P41">
        <v>2019</v>
      </c>
      <c r="Q41" s="96">
        <v>745.2</v>
      </c>
      <c r="R41" s="96" t="s">
        <v>615</v>
      </c>
      <c r="S41" s="96">
        <v>646.77</v>
      </c>
      <c r="AH41" s="2"/>
      <c r="AI41" s="2"/>
      <c r="AJ41" s="2" t="str">
        <f t="shared" si="0"/>
        <v/>
      </c>
      <c r="AK41" s="12">
        <f t="shared" si="1"/>
        <v>2.5051334702258696</v>
      </c>
      <c r="AL41" s="2" t="s">
        <v>571</v>
      </c>
      <c r="AM41" s="2" t="str">
        <f>VLOOKUP(A41,'[12]Power plant names'!$C$2:$F$545,4,FALSE)</f>
        <v>Super critical</v>
      </c>
      <c r="AN41" s="2">
        <v>660</v>
      </c>
      <c r="AO41" s="2">
        <f t="shared" si="2"/>
        <v>0.74854187268993855</v>
      </c>
      <c r="AP41" s="2">
        <v>660</v>
      </c>
      <c r="AQ41" s="2">
        <f t="shared" si="3"/>
        <v>0</v>
      </c>
      <c r="AR41" s="2">
        <f t="shared" si="4"/>
        <v>494.03763597535942</v>
      </c>
      <c r="AS41" s="2">
        <f t="shared" si="5"/>
        <v>0</v>
      </c>
      <c r="AU41" s="2"/>
      <c r="AV41" s="2" t="str">
        <f t="shared" si="6"/>
        <v/>
      </c>
      <c r="AW41" s="12">
        <f t="shared" si="7"/>
        <v>6.5051334702258696</v>
      </c>
      <c r="AX41" s="2">
        <v>660</v>
      </c>
      <c r="AY41" s="3">
        <f t="shared" si="8"/>
        <v>0.93180596837782348</v>
      </c>
      <c r="AZ41" s="2">
        <f t="shared" si="9"/>
        <v>614.99193912936346</v>
      </c>
      <c r="BA41" s="2">
        <f t="shared" si="10"/>
        <v>0</v>
      </c>
      <c r="BC41" t="str">
        <f t="shared" si="11"/>
        <v/>
      </c>
      <c r="BE41">
        <f t="shared" si="12"/>
        <v>1.0314077597535936</v>
      </c>
      <c r="BF41">
        <f t="shared" si="13"/>
        <v>680.72912143737176</v>
      </c>
      <c r="BG41">
        <f t="shared" si="14"/>
        <v>0</v>
      </c>
    </row>
    <row r="42" spans="1:59" ht="15" customHeight="1" x14ac:dyDescent="0.2">
      <c r="A42" s="2" t="s">
        <v>53</v>
      </c>
      <c r="B42" s="2" t="str">
        <f>VLOOKUP($A42,'[1]daily coal, energy reqd'!$C$2:$T$599,17,FALSE)</f>
        <v>Bihar</v>
      </c>
      <c r="C42" s="2" t="str">
        <f>VLOOKUP(B42,'Target PLF'!$I$2:$J$19,2,FALSE)</f>
        <v>ER</v>
      </c>
      <c r="D42" s="2" t="s">
        <v>571</v>
      </c>
      <c r="E42" s="2" t="s">
        <v>543</v>
      </c>
      <c r="F42" s="12">
        <v>5.1772758384667998</v>
      </c>
      <c r="G42" s="2">
        <v>660</v>
      </c>
      <c r="H42">
        <f>VLOOKUP(A42,'Coal savings'!$A$3:$AB$543,26,FALSE)</f>
        <v>2942728.6689765402</v>
      </c>
      <c r="O42" s="2" t="s">
        <v>53</v>
      </c>
      <c r="P42">
        <v>2019</v>
      </c>
      <c r="Q42" s="96"/>
      <c r="R42" s="96"/>
      <c r="S42" s="96"/>
      <c r="AH42" s="2" t="str">
        <f t="shared" ref="AH42:AH73" si="17">RIGHT(I42,4)</f>
        <v/>
      </c>
      <c r="AI42" s="2"/>
      <c r="AJ42" s="2" t="str">
        <f t="shared" si="0"/>
        <v/>
      </c>
      <c r="AK42" s="12">
        <f t="shared" si="1"/>
        <v>1.1772758384667998</v>
      </c>
      <c r="AL42" s="2" t="s">
        <v>571</v>
      </c>
      <c r="AM42" s="2" t="str">
        <f>VLOOKUP(A42,'[12]Power plant names'!$C$2:$F$545,4,FALSE)</f>
        <v>Super critical</v>
      </c>
      <c r="AN42" s="2">
        <v>660</v>
      </c>
      <c r="AO42" s="2">
        <f t="shared" si="2"/>
        <v>0.76694013689253948</v>
      </c>
      <c r="AP42" s="2">
        <v>660</v>
      </c>
      <c r="AQ42" s="2">
        <f t="shared" si="3"/>
        <v>0</v>
      </c>
      <c r="AR42" s="2">
        <f t="shared" si="4"/>
        <v>506.18049034907608</v>
      </c>
      <c r="AS42" s="2">
        <f t="shared" si="5"/>
        <v>0</v>
      </c>
      <c r="AU42" s="2"/>
      <c r="AV42" s="2" t="str">
        <f t="shared" si="6"/>
        <v/>
      </c>
      <c r="AW42" s="12">
        <f t="shared" si="7"/>
        <v>5.1772758384667998</v>
      </c>
      <c r="AX42" s="2">
        <v>660</v>
      </c>
      <c r="AY42" s="3">
        <f t="shared" si="8"/>
        <v>0.95588308131416855</v>
      </c>
      <c r="AZ42" s="2">
        <f t="shared" si="9"/>
        <v>630.88283366735129</v>
      </c>
      <c r="BA42" s="2">
        <f t="shared" si="10"/>
        <v>0</v>
      </c>
      <c r="BC42" t="str">
        <f t="shared" si="11"/>
        <v/>
      </c>
      <c r="BE42">
        <f t="shared" si="12"/>
        <v>1.0599879034907598</v>
      </c>
      <c r="BF42">
        <f t="shared" si="13"/>
        <v>699.59201630390146</v>
      </c>
      <c r="BG42">
        <f t="shared" si="14"/>
        <v>0</v>
      </c>
    </row>
    <row r="43" spans="1:59" ht="15" hidden="1" customHeight="1" x14ac:dyDescent="0.2">
      <c r="A43" s="2" t="s">
        <v>341</v>
      </c>
      <c r="B43" s="2" t="str">
        <f>VLOOKUP($A43,'[1]daily coal, energy reqd'!$C$2:$T$599,17,FALSE)</f>
        <v>Uttar Pradesh</v>
      </c>
      <c r="C43" s="2" t="str">
        <f>VLOOKUP(B43,'Target PLF'!$I$2:$J$19,2,FALSE)</f>
        <v>NR</v>
      </c>
      <c r="D43" s="2" t="s">
        <v>572</v>
      </c>
      <c r="E43" s="2" t="s">
        <v>543</v>
      </c>
      <c r="F43" s="12">
        <v>8.5065023956194299</v>
      </c>
      <c r="G43" s="2">
        <v>45</v>
      </c>
      <c r="H43">
        <f>VLOOKUP(A43,'Coal savings'!$A$3:$AB$543,26,FALSE)</f>
        <v>0</v>
      </c>
      <c r="O43" s="2" t="s">
        <v>341</v>
      </c>
      <c r="AH43" s="2" t="str">
        <f t="shared" si="17"/>
        <v/>
      </c>
      <c r="AI43" s="2"/>
      <c r="AJ43" s="2" t="str">
        <f t="shared" si="0"/>
        <v/>
      </c>
      <c r="AK43" s="12">
        <f t="shared" si="1"/>
        <v>4.5065023956194299</v>
      </c>
      <c r="AL43" s="2" t="s">
        <v>572</v>
      </c>
      <c r="AM43" s="2" t="str">
        <f>VLOOKUP(A43,'[12]Power plant names'!$C$2:$F$545,4,FALSE)</f>
        <v>Sub critical</v>
      </c>
      <c r="AN43" s="2">
        <v>45</v>
      </c>
      <c r="AO43" s="2">
        <f t="shared" si="2"/>
        <v>0.99873020540725554</v>
      </c>
      <c r="AP43" s="2">
        <f>82/2</f>
        <v>41</v>
      </c>
      <c r="AQ43" s="2">
        <f t="shared" si="3"/>
        <v>4</v>
      </c>
      <c r="AR43" s="2">
        <f t="shared" si="4"/>
        <v>40.947938421697479</v>
      </c>
      <c r="AS43" s="2">
        <f t="shared" si="5"/>
        <v>3.9949208216290222</v>
      </c>
      <c r="AU43" s="2"/>
      <c r="AV43" s="2" t="str">
        <f t="shared" si="6"/>
        <v/>
      </c>
      <c r="AW43" s="12">
        <f t="shared" si="7"/>
        <v>8.5065023956194299</v>
      </c>
      <c r="AX43" s="2">
        <v>45</v>
      </c>
      <c r="AY43" s="3">
        <f t="shared" si="8"/>
        <v>1.2389325466119099</v>
      </c>
      <c r="AZ43" s="2">
        <f t="shared" si="9"/>
        <v>50.796234411088307</v>
      </c>
      <c r="BA43" s="2">
        <f t="shared" si="10"/>
        <v>4.9557301864476395</v>
      </c>
      <c r="BC43" t="str">
        <f t="shared" si="11"/>
        <v/>
      </c>
      <c r="BE43">
        <f t="shared" si="12"/>
        <v>1.4201842956878852</v>
      </c>
      <c r="BF43">
        <f t="shared" si="13"/>
        <v>58.227556123203293</v>
      </c>
      <c r="BG43">
        <f t="shared" si="14"/>
        <v>5.6807371827515407</v>
      </c>
    </row>
    <row r="44" spans="1:59" ht="15" hidden="1" customHeight="1" x14ac:dyDescent="0.2">
      <c r="A44" s="2" t="s">
        <v>339</v>
      </c>
      <c r="B44" s="2" t="str">
        <f>VLOOKUP($A44,'[1]daily coal, energy reqd'!$C$2:$T$599,17,FALSE)</f>
        <v>Uttar Pradesh</v>
      </c>
      <c r="C44" s="2" t="str">
        <f>VLOOKUP(B44,'Target PLF'!$I$2:$J$19,2,FALSE)</f>
        <v>NR</v>
      </c>
      <c r="D44" s="2" t="s">
        <v>572</v>
      </c>
      <c r="E44" s="2" t="s">
        <v>543</v>
      </c>
      <c r="F44" s="12">
        <v>8.33949349760438</v>
      </c>
      <c r="G44" s="2">
        <v>45</v>
      </c>
      <c r="H44">
        <f>VLOOKUP(A44,'Coal savings'!$A$3:$AB$543,26,FALSE)</f>
        <v>0</v>
      </c>
      <c r="O44" s="2" t="s">
        <v>339</v>
      </c>
      <c r="AH44" s="2" t="str">
        <f t="shared" si="17"/>
        <v/>
      </c>
      <c r="AI44" s="2"/>
      <c r="AJ44" s="2" t="str">
        <f t="shared" si="0"/>
        <v/>
      </c>
      <c r="AK44" s="12">
        <f t="shared" si="1"/>
        <v>4.33949349760438</v>
      </c>
      <c r="AL44" s="2" t="s">
        <v>572</v>
      </c>
      <c r="AM44" s="2" t="str">
        <f>VLOOKUP(A44,'[12]Power plant names'!$C$2:$F$545,4,FALSE)</f>
        <v>Sub critical</v>
      </c>
      <c r="AN44" s="2">
        <v>45</v>
      </c>
      <c r="AO44" s="2">
        <f t="shared" si="2"/>
        <v>1.0010442138945927</v>
      </c>
      <c r="AP44" s="2">
        <f>82/2</f>
        <v>41</v>
      </c>
      <c r="AQ44" s="2">
        <f t="shared" si="3"/>
        <v>4</v>
      </c>
      <c r="AR44" s="2">
        <f t="shared" si="4"/>
        <v>41.042812769678299</v>
      </c>
      <c r="AS44" s="2">
        <f t="shared" si="5"/>
        <v>4.004176855578371</v>
      </c>
      <c r="AU44" s="2"/>
      <c r="AV44" s="2" t="str">
        <f t="shared" si="6"/>
        <v/>
      </c>
      <c r="AW44" s="12">
        <f t="shared" si="7"/>
        <v>8.33949349760438</v>
      </c>
      <c r="AX44" s="2">
        <v>45</v>
      </c>
      <c r="AY44" s="3">
        <f t="shared" si="8"/>
        <v>1.2419608020533881</v>
      </c>
      <c r="AZ44" s="2">
        <f t="shared" si="9"/>
        <v>50.920392884188914</v>
      </c>
      <c r="BA44" s="2">
        <f t="shared" si="10"/>
        <v>4.9678432082135524</v>
      </c>
      <c r="BC44" t="str">
        <f t="shared" si="11"/>
        <v/>
      </c>
      <c r="BE44">
        <f t="shared" si="12"/>
        <v>1.423778911704312</v>
      </c>
      <c r="BF44">
        <f t="shared" si="13"/>
        <v>58.374935379876796</v>
      </c>
      <c r="BG44">
        <f t="shared" si="14"/>
        <v>5.6951156468172481</v>
      </c>
    </row>
    <row r="45" spans="1:59" ht="15" hidden="1" customHeight="1" x14ac:dyDescent="0.2">
      <c r="A45" s="2" t="s">
        <v>233</v>
      </c>
      <c r="B45" s="2" t="str">
        <f>VLOOKUP($A45,'[1]daily coal, energy reqd'!$C$2:$T$599,17,FALSE)</f>
        <v>Maharashtra</v>
      </c>
      <c r="C45" s="2" t="str">
        <f>VLOOKUP(B45,'Target PLF'!$I$2:$J$19,2,FALSE)</f>
        <v>WR</v>
      </c>
      <c r="D45" s="2" t="s">
        <v>572</v>
      </c>
      <c r="E45" s="2" t="s">
        <v>543</v>
      </c>
      <c r="F45" s="12">
        <v>7.1759069130732298</v>
      </c>
      <c r="G45" s="2">
        <v>270</v>
      </c>
      <c r="H45">
        <f>VLOOKUP(A45,'Coal savings'!$A$3:$AB$543,26,FALSE)</f>
        <v>0</v>
      </c>
      <c r="O45" s="2" t="s">
        <v>233</v>
      </c>
      <c r="AH45" s="2" t="str">
        <f t="shared" si="17"/>
        <v/>
      </c>
      <c r="AI45" s="2"/>
      <c r="AJ45" s="2" t="str">
        <f t="shared" si="0"/>
        <v/>
      </c>
      <c r="AK45" s="12">
        <f t="shared" si="1"/>
        <v>3.1759069130732298</v>
      </c>
      <c r="AL45" s="2" t="s">
        <v>572</v>
      </c>
      <c r="AM45" s="2" t="str">
        <f>VLOOKUP(A45,'[12]Power plant names'!$C$2:$F$545,4,FALSE)</f>
        <v>Sub critical</v>
      </c>
      <c r="AN45" s="2">
        <v>270</v>
      </c>
      <c r="AO45" s="2">
        <f t="shared" si="2"/>
        <v>0.91548890417522266</v>
      </c>
      <c r="AP45" s="2"/>
      <c r="AQ45" s="2">
        <f t="shared" si="3"/>
        <v>270</v>
      </c>
      <c r="AR45" s="2">
        <f t="shared" si="4"/>
        <v>0</v>
      </c>
      <c r="AS45" s="2">
        <f t="shared" si="5"/>
        <v>247.18200412731011</v>
      </c>
      <c r="AU45" s="2"/>
      <c r="AV45" s="2" t="str">
        <f t="shared" si="6"/>
        <v/>
      </c>
      <c r="AW45" s="12">
        <f t="shared" si="7"/>
        <v>7.1759069130732298</v>
      </c>
      <c r="AX45" s="2">
        <v>270</v>
      </c>
      <c r="AY45" s="3">
        <f t="shared" si="8"/>
        <v>1.1374193030800823</v>
      </c>
      <c r="AZ45" s="2">
        <f t="shared" si="9"/>
        <v>0</v>
      </c>
      <c r="BA45" s="2">
        <f t="shared" si="10"/>
        <v>307.10321183162222</v>
      </c>
      <c r="BC45" t="str">
        <f t="shared" si="11"/>
        <v/>
      </c>
      <c r="BE45">
        <f t="shared" si="12"/>
        <v>1.2908283675564682</v>
      </c>
      <c r="BF45">
        <f t="shared" si="13"/>
        <v>0</v>
      </c>
      <c r="BG45">
        <f t="shared" si="14"/>
        <v>348.52365924024645</v>
      </c>
    </row>
    <row r="46" spans="1:59" ht="15" customHeight="1" x14ac:dyDescent="0.2">
      <c r="A46" s="2" t="s">
        <v>185</v>
      </c>
      <c r="B46" s="2" t="str">
        <f>VLOOKUP($A46,'[1]daily coal, energy reqd'!$C$2:$T$599,17,FALSE)</f>
        <v>Karnataka</v>
      </c>
      <c r="C46" s="2" t="str">
        <f>VLOOKUP(B46,'Target PLF'!$I$2:$J$19,2,FALSE)</f>
        <v>SR</v>
      </c>
      <c r="D46" s="2" t="s">
        <v>570</v>
      </c>
      <c r="E46" s="2" t="s">
        <v>544</v>
      </c>
      <c r="F46" s="12">
        <v>12.4243668720054</v>
      </c>
      <c r="G46" s="2">
        <v>500</v>
      </c>
      <c r="H46">
        <f>VLOOKUP(A46,'Coal savings'!$A$3:$AB$543,26,FALSE)</f>
        <v>2833702.0723533807</v>
      </c>
      <c r="O46" s="2" t="s">
        <v>185</v>
      </c>
      <c r="AH46" s="2" t="str">
        <f t="shared" si="17"/>
        <v/>
      </c>
      <c r="AI46" s="2"/>
      <c r="AJ46" s="2" t="str">
        <f t="shared" si="0"/>
        <v/>
      </c>
      <c r="AK46" s="12">
        <f t="shared" si="1"/>
        <v>8.4243668720054004</v>
      </c>
      <c r="AL46" s="2" t="s">
        <v>570</v>
      </c>
      <c r="AM46" s="2" t="str">
        <f>VLOOKUP(A46,'[12]Power plant names'!$C$2:$F$545,4,FALSE)</f>
        <v>Sub critical</v>
      </c>
      <c r="AN46" s="2">
        <v>500</v>
      </c>
      <c r="AO46" s="2">
        <f t="shared" si="2"/>
        <v>0.73883134236824211</v>
      </c>
      <c r="AP46" s="2">
        <v>500</v>
      </c>
      <c r="AQ46" s="2">
        <f t="shared" si="3"/>
        <v>0</v>
      </c>
      <c r="AR46" s="2">
        <f t="shared" si="4"/>
        <v>369.41567118412104</v>
      </c>
      <c r="AS46" s="2">
        <f t="shared" si="5"/>
        <v>0</v>
      </c>
      <c r="AU46" s="2"/>
      <c r="AV46" s="2" t="str">
        <f t="shared" si="6"/>
        <v/>
      </c>
      <c r="AW46" s="12">
        <f t="shared" si="7"/>
        <v>12.4243668720054</v>
      </c>
      <c r="AX46" s="2">
        <v>500</v>
      </c>
      <c r="AY46" s="3">
        <f t="shared" si="8"/>
        <v>0.9138206525667365</v>
      </c>
      <c r="AZ46" s="2">
        <f t="shared" si="9"/>
        <v>456.91032628336825</v>
      </c>
      <c r="BA46" s="2">
        <f t="shared" si="10"/>
        <v>0</v>
      </c>
      <c r="BC46" t="str">
        <f t="shared" si="11"/>
        <v/>
      </c>
      <c r="BE46">
        <f t="shared" si="12"/>
        <v>1.0163571396303919</v>
      </c>
      <c r="BF46">
        <f t="shared" si="13"/>
        <v>508.17856981519594</v>
      </c>
      <c r="BG46">
        <f t="shared" si="14"/>
        <v>0</v>
      </c>
    </row>
    <row r="47" spans="1:59" ht="15" customHeight="1" x14ac:dyDescent="0.2">
      <c r="A47" s="2" t="s">
        <v>156</v>
      </c>
      <c r="B47" s="2" t="str">
        <f>VLOOKUP($A47,'[1]daily coal, energy reqd'!$C$2:$T$599,17,FALSE)</f>
        <v>Karnataka</v>
      </c>
      <c r="C47" s="2" t="str">
        <f>VLOOKUP(B47,'Target PLF'!$I$2:$J$19,2,FALSE)</f>
        <v>SR</v>
      </c>
      <c r="D47" s="2" t="s">
        <v>570</v>
      </c>
      <c r="E47" s="2" t="s">
        <v>543</v>
      </c>
      <c r="F47" s="12">
        <v>8.1752224503764506</v>
      </c>
      <c r="G47" s="2">
        <v>500</v>
      </c>
      <c r="H47">
        <f>VLOOKUP(A47,'Coal savings'!$A$3:$AB$543,26,FALSE)</f>
        <v>2957849.5252530957</v>
      </c>
      <c r="O47" s="2" t="s">
        <v>156</v>
      </c>
      <c r="AH47" s="2" t="str">
        <f t="shared" si="17"/>
        <v/>
      </c>
      <c r="AI47" s="2"/>
      <c r="AJ47" s="2" t="str">
        <f t="shared" si="0"/>
        <v/>
      </c>
      <c r="AK47" s="12">
        <f t="shared" si="1"/>
        <v>4.1752224503764506</v>
      </c>
      <c r="AL47" s="2" t="s">
        <v>570</v>
      </c>
      <c r="AM47" s="2" t="str">
        <f>VLOOKUP(A47,'[12]Power plant names'!$C$2:$F$545,4,FALSE)</f>
        <v>Sub critical</v>
      </c>
      <c r="AN47" s="2">
        <v>500</v>
      </c>
      <c r="AO47" s="2">
        <f t="shared" si="2"/>
        <v>0.79770578781656409</v>
      </c>
      <c r="AP47" s="2">
        <v>500</v>
      </c>
      <c r="AQ47" s="2">
        <f t="shared" si="3"/>
        <v>0</v>
      </c>
      <c r="AR47" s="2">
        <f t="shared" si="4"/>
        <v>398.85289390828206</v>
      </c>
      <c r="AS47" s="2">
        <f t="shared" si="5"/>
        <v>0</v>
      </c>
      <c r="AU47" s="2"/>
      <c r="AV47" s="2" t="str">
        <f t="shared" si="6"/>
        <v/>
      </c>
      <c r="AW47" s="12">
        <f t="shared" si="7"/>
        <v>8.1752224503764506</v>
      </c>
      <c r="AX47" s="2">
        <v>500</v>
      </c>
      <c r="AY47" s="3">
        <f t="shared" si="8"/>
        <v>0.99086741396303912</v>
      </c>
      <c r="AZ47" s="2">
        <f t="shared" si="9"/>
        <v>495.43370698151955</v>
      </c>
      <c r="BA47" s="2">
        <f t="shared" si="10"/>
        <v>0</v>
      </c>
      <c r="BC47" t="str">
        <f t="shared" si="11"/>
        <v/>
      </c>
      <c r="BE47">
        <f t="shared" si="12"/>
        <v>1.1078135995893224</v>
      </c>
      <c r="BF47">
        <f t="shared" si="13"/>
        <v>553.9067997946612</v>
      </c>
      <c r="BG47">
        <f t="shared" si="14"/>
        <v>0</v>
      </c>
    </row>
    <row r="48" spans="1:59" ht="15" customHeight="1" x14ac:dyDescent="0.2">
      <c r="A48" s="2" t="s">
        <v>27</v>
      </c>
      <c r="B48" s="2" t="str">
        <f>VLOOKUP($A48,'[1]daily coal, energy reqd'!$C$2:$T$599,17,FALSE)</f>
        <v>Karnataka</v>
      </c>
      <c r="C48" s="2" t="str">
        <f>VLOOKUP(B48,'Target PLF'!$I$2:$J$19,2,FALSE)</f>
        <v>SR</v>
      </c>
      <c r="D48" s="2" t="s">
        <v>570</v>
      </c>
      <c r="E48" s="2" t="s">
        <v>542</v>
      </c>
      <c r="F48" s="12">
        <v>4.1752224503764497</v>
      </c>
      <c r="G48" s="2">
        <v>700</v>
      </c>
      <c r="H48">
        <f>VLOOKUP(A48,'Coal savings'!$A$3:$AB$543,26,FALSE)</f>
        <v>3814557.0467658192</v>
      </c>
      <c r="O48" s="2" t="s">
        <v>27</v>
      </c>
      <c r="AH48" s="2" t="str">
        <f t="shared" si="17"/>
        <v/>
      </c>
      <c r="AI48" s="2"/>
      <c r="AJ48" s="2" t="str">
        <f t="shared" si="0"/>
        <v/>
      </c>
      <c r="AK48" s="12">
        <f t="shared" si="1"/>
        <v>0.17522245037644968</v>
      </c>
      <c r="AL48" s="2" t="s">
        <v>570</v>
      </c>
      <c r="AM48" s="2" t="str">
        <f>VLOOKUP(A48,'[12]Power plant names'!$C$2:$F$545,4,FALSE)</f>
        <v>Super critical</v>
      </c>
      <c r="AN48" s="2">
        <v>700</v>
      </c>
      <c r="AO48" s="2">
        <f t="shared" si="2"/>
        <v>0.76274818781656406</v>
      </c>
      <c r="AP48" s="2">
        <v>700</v>
      </c>
      <c r="AQ48" s="2">
        <f t="shared" si="3"/>
        <v>0</v>
      </c>
      <c r="AR48" s="2">
        <f t="shared" si="4"/>
        <v>533.92373147159481</v>
      </c>
      <c r="AS48" s="2">
        <f t="shared" si="5"/>
        <v>0</v>
      </c>
      <c r="AU48" s="2"/>
      <c r="AV48" s="2" t="str">
        <f t="shared" si="6"/>
        <v/>
      </c>
      <c r="AW48" s="12">
        <f t="shared" si="7"/>
        <v>4.1752224503764497</v>
      </c>
      <c r="AX48" s="2">
        <v>700</v>
      </c>
      <c r="AY48" s="3">
        <f t="shared" si="8"/>
        <v>0.95171661396303919</v>
      </c>
      <c r="AZ48" s="2">
        <f t="shared" si="9"/>
        <v>666.20162977412747</v>
      </c>
      <c r="BA48" s="2">
        <f t="shared" si="10"/>
        <v>0</v>
      </c>
      <c r="BC48" t="str">
        <f t="shared" si="11"/>
        <v/>
      </c>
      <c r="BE48">
        <f t="shared" si="12"/>
        <v>1.0534675995893226</v>
      </c>
      <c r="BF48">
        <f t="shared" si="13"/>
        <v>737.42731971252579</v>
      </c>
      <c r="BG48">
        <f t="shared" si="14"/>
        <v>0</v>
      </c>
    </row>
    <row r="49" spans="1:59" ht="15" hidden="1" customHeight="1" x14ac:dyDescent="0.2">
      <c r="A49" s="2" t="s">
        <v>290</v>
      </c>
      <c r="B49" s="2" t="str">
        <f>VLOOKUP($A49,'[1]daily coal, energy reqd'!$C$2:$T$599,17,FALSE)</f>
        <v>Chhatisgarh</v>
      </c>
      <c r="C49" s="2" t="str">
        <f>VLOOKUP(B49,'Target PLF'!$I$2:$J$19,2,FALSE)</f>
        <v>WR</v>
      </c>
      <c r="D49" s="2" t="s">
        <v>571</v>
      </c>
      <c r="E49" s="2" t="s">
        <v>544</v>
      </c>
      <c r="F49" s="12">
        <v>12.090349075975301</v>
      </c>
      <c r="G49" s="2">
        <v>250</v>
      </c>
      <c r="H49">
        <f>VLOOKUP(A49,'Coal savings'!$A$3:$AB$543,26,FALSE)</f>
        <v>0</v>
      </c>
      <c r="I49" t="s">
        <v>694</v>
      </c>
      <c r="J49">
        <v>291.64</v>
      </c>
      <c r="O49" s="2" t="s">
        <v>290</v>
      </c>
      <c r="P49">
        <v>2019</v>
      </c>
      <c r="Q49" s="96">
        <v>52.71</v>
      </c>
      <c r="R49" s="96" t="s">
        <v>611</v>
      </c>
      <c r="S49" s="96"/>
      <c r="AH49" s="2" t="str">
        <f t="shared" si="17"/>
        <v>2019</v>
      </c>
      <c r="AI49" s="2">
        <f t="shared" ref="AI49:AI55" si="18">(J49)/(1+0.115)^(AH49-2016)</f>
        <v>210.3887374502539</v>
      </c>
      <c r="AJ49" s="2">
        <f t="shared" si="0"/>
        <v>0.84155494980101564</v>
      </c>
      <c r="AK49" s="12">
        <f t="shared" si="1"/>
        <v>8.0903490759753005</v>
      </c>
      <c r="AL49" s="2" t="s">
        <v>571</v>
      </c>
      <c r="AM49" s="2" t="str">
        <f>VLOOKUP(A49,'[12]Power plant names'!$C$2:$F$545,4,FALSE)</f>
        <v>Sub critical</v>
      </c>
      <c r="AN49" s="2">
        <v>250</v>
      </c>
      <c r="AO49" s="2">
        <f t="shared" si="2"/>
        <v>0.84155494980101564</v>
      </c>
      <c r="AP49" s="2">
        <v>250</v>
      </c>
      <c r="AQ49" s="2">
        <f t="shared" si="3"/>
        <v>0</v>
      </c>
      <c r="AR49" s="2">
        <f t="shared" si="4"/>
        <v>210.3887374502539</v>
      </c>
      <c r="AS49" s="2">
        <f t="shared" si="5"/>
        <v>0</v>
      </c>
      <c r="AU49" s="2">
        <f t="shared" ref="AU49:AU55" si="19">AI49*(1.115)^(AH49-2016)</f>
        <v>291.64</v>
      </c>
      <c r="AV49" s="2">
        <f t="shared" si="6"/>
        <v>1.16656</v>
      </c>
      <c r="AW49" s="12">
        <f t="shared" si="7"/>
        <v>11.090349075975301</v>
      </c>
      <c r="AX49" s="2">
        <v>250</v>
      </c>
      <c r="AY49" s="3">
        <f t="shared" si="8"/>
        <v>1.16656</v>
      </c>
      <c r="AZ49" s="2">
        <f t="shared" si="9"/>
        <v>291.64</v>
      </c>
      <c r="BA49" s="2">
        <f t="shared" si="10"/>
        <v>0</v>
      </c>
      <c r="BC49">
        <f t="shared" si="11"/>
        <v>325.17859999999996</v>
      </c>
      <c r="BD49">
        <f t="shared" ref="BD49:BD55" si="20">BC49/AN49</f>
        <v>1.3007143999999999</v>
      </c>
      <c r="BE49">
        <f t="shared" si="12"/>
        <v>1.3007143999999999</v>
      </c>
      <c r="BF49">
        <f t="shared" si="13"/>
        <v>325.17859999999996</v>
      </c>
      <c r="BG49">
        <f t="shared" si="14"/>
        <v>0</v>
      </c>
    </row>
    <row r="50" spans="1:59" ht="15" hidden="1" customHeight="1" x14ac:dyDescent="0.2">
      <c r="A50" s="2" t="s">
        <v>282</v>
      </c>
      <c r="B50" s="2" t="str">
        <f>VLOOKUP($A50,'[1]daily coal, energy reqd'!$C$2:$T$599,17,FALSE)</f>
        <v>Chhatisgarh</v>
      </c>
      <c r="C50" s="2" t="str">
        <f>VLOOKUP(B50,'Target PLF'!$I$2:$J$19,2,FALSE)</f>
        <v>WR</v>
      </c>
      <c r="D50" s="2" t="s">
        <v>571</v>
      </c>
      <c r="E50" s="2" t="s">
        <v>544</v>
      </c>
      <c r="F50" s="12">
        <v>10.841889117043101</v>
      </c>
      <c r="G50" s="2">
        <v>250</v>
      </c>
      <c r="H50">
        <f>VLOOKUP(A50,'Coal savings'!$A$3:$AB$543,26,FALSE)</f>
        <v>0</v>
      </c>
      <c r="I50" t="s">
        <v>694</v>
      </c>
      <c r="J50">
        <v>291.64</v>
      </c>
      <c r="O50" s="2" t="s">
        <v>282</v>
      </c>
      <c r="P50">
        <v>2019</v>
      </c>
      <c r="Q50" s="96"/>
      <c r="R50" s="96"/>
      <c r="S50" s="96"/>
      <c r="AH50" s="2" t="str">
        <f t="shared" si="17"/>
        <v>2019</v>
      </c>
      <c r="AI50" s="2">
        <f t="shared" si="18"/>
        <v>210.3887374502539</v>
      </c>
      <c r="AJ50" s="2">
        <f t="shared" si="0"/>
        <v>0.84155494980101564</v>
      </c>
      <c r="AK50" s="12">
        <f t="shared" si="1"/>
        <v>6.8418891170431007</v>
      </c>
      <c r="AL50" s="2" t="s">
        <v>571</v>
      </c>
      <c r="AM50" s="2" t="str">
        <f>VLOOKUP(A50,'[12]Power plant names'!$C$2:$F$545,4,FALSE)</f>
        <v>Sub critical</v>
      </c>
      <c r="AN50" s="2">
        <v>250</v>
      </c>
      <c r="AO50" s="2">
        <f t="shared" si="2"/>
        <v>0.84155494980101564</v>
      </c>
      <c r="AP50" s="2">
        <v>250</v>
      </c>
      <c r="AQ50" s="2">
        <f t="shared" si="3"/>
        <v>0</v>
      </c>
      <c r="AR50" s="2">
        <f t="shared" si="4"/>
        <v>210.3887374502539</v>
      </c>
      <c r="AS50" s="2">
        <f t="shared" si="5"/>
        <v>0</v>
      </c>
      <c r="AU50" s="2">
        <f t="shared" si="19"/>
        <v>291.64</v>
      </c>
      <c r="AV50" s="2">
        <f t="shared" si="6"/>
        <v>1.16656</v>
      </c>
      <c r="AW50" s="12">
        <f t="shared" si="7"/>
        <v>9.8418891170431007</v>
      </c>
      <c r="AX50" s="2">
        <v>250</v>
      </c>
      <c r="AY50" s="3">
        <f t="shared" si="8"/>
        <v>1.16656</v>
      </c>
      <c r="AZ50" s="2">
        <f t="shared" si="9"/>
        <v>291.64</v>
      </c>
      <c r="BA50" s="2">
        <f t="shared" si="10"/>
        <v>0</v>
      </c>
      <c r="BC50">
        <f t="shared" si="11"/>
        <v>325.17859999999996</v>
      </c>
      <c r="BD50">
        <f t="shared" si="20"/>
        <v>1.3007143999999999</v>
      </c>
      <c r="BE50">
        <f t="shared" si="12"/>
        <v>1.3007143999999999</v>
      </c>
      <c r="BF50">
        <f t="shared" si="13"/>
        <v>325.17859999999996</v>
      </c>
      <c r="BG50">
        <f t="shared" si="14"/>
        <v>0</v>
      </c>
    </row>
    <row r="51" spans="1:59" ht="15" hidden="1" customHeight="1" x14ac:dyDescent="0.2">
      <c r="A51" s="2" t="s">
        <v>490</v>
      </c>
      <c r="B51" s="2" t="str">
        <f>VLOOKUP($A51,'[1]daily coal, energy reqd'!$C$2:$T$599,17,FALSE)</f>
        <v>Maharashtra</v>
      </c>
      <c r="C51" s="2" t="str">
        <f>VLOOKUP(B51,'Target PLF'!$I$2:$J$19,2,FALSE)</f>
        <v>WR</v>
      </c>
      <c r="D51" s="2" t="s">
        <v>570</v>
      </c>
      <c r="E51" s="2" t="s">
        <v>549</v>
      </c>
      <c r="F51" s="12">
        <v>37.672826830937701</v>
      </c>
      <c r="G51" s="2">
        <v>210</v>
      </c>
      <c r="H51">
        <f>VLOOKUP(A51,'Coal savings'!$A$3:$AB$543,26,FALSE)</f>
        <v>0</v>
      </c>
      <c r="I51" t="s">
        <v>695</v>
      </c>
      <c r="J51">
        <v>109.03</v>
      </c>
      <c r="O51" s="2" t="s">
        <v>490</v>
      </c>
      <c r="AH51" s="2" t="str">
        <f t="shared" si="17"/>
        <v>2018</v>
      </c>
      <c r="AI51" s="2">
        <f t="shared" si="18"/>
        <v>87.699330370608692</v>
      </c>
      <c r="AJ51" s="2">
        <f t="shared" si="0"/>
        <v>0.41761585890766045</v>
      </c>
      <c r="AK51" s="12">
        <f t="shared" si="1"/>
        <v>33.672826830937701</v>
      </c>
      <c r="AL51" s="2" t="s">
        <v>570</v>
      </c>
      <c r="AM51" s="2" t="str">
        <f>VLOOKUP(A51,'[12]Power plant names'!$C$2:$F$545,4,FALSE)</f>
        <v>Sub critical</v>
      </c>
      <c r="AN51" s="2">
        <v>210</v>
      </c>
      <c r="AO51" s="2">
        <f t="shared" si="2"/>
        <v>0.41761585890766045</v>
      </c>
      <c r="AP51" s="2">
        <v>210</v>
      </c>
      <c r="AQ51" s="2">
        <f t="shared" si="3"/>
        <v>0</v>
      </c>
      <c r="AR51" s="2">
        <f t="shared" si="4"/>
        <v>87.699330370608692</v>
      </c>
      <c r="AS51" s="2">
        <f t="shared" si="5"/>
        <v>0</v>
      </c>
      <c r="AU51" s="2">
        <f t="shared" si="19"/>
        <v>109.02999999999999</v>
      </c>
      <c r="AV51" s="2">
        <f t="shared" si="6"/>
        <v>0.51919047619047609</v>
      </c>
      <c r="AW51" s="12">
        <f t="shared" si="7"/>
        <v>35.672826830937701</v>
      </c>
      <c r="AX51" s="2">
        <v>210</v>
      </c>
      <c r="AY51" s="3">
        <f t="shared" si="8"/>
        <v>0.51919047619047609</v>
      </c>
      <c r="AZ51" s="2">
        <f t="shared" si="9"/>
        <v>109.02999999999997</v>
      </c>
      <c r="BA51" s="2">
        <f t="shared" si="10"/>
        <v>0</v>
      </c>
      <c r="BC51">
        <f t="shared" si="11"/>
        <v>135.54882174999997</v>
      </c>
      <c r="BD51">
        <f t="shared" si="20"/>
        <v>0.64547057976190458</v>
      </c>
      <c r="BE51">
        <f t="shared" si="12"/>
        <v>0.64547057976190458</v>
      </c>
      <c r="BF51">
        <f t="shared" si="13"/>
        <v>135.54882174999997</v>
      </c>
      <c r="BG51">
        <f t="shared" si="14"/>
        <v>0</v>
      </c>
    </row>
    <row r="52" spans="1:59" ht="15" customHeight="1" x14ac:dyDescent="0.2">
      <c r="A52" s="2" t="s">
        <v>155</v>
      </c>
      <c r="B52" s="2" t="str">
        <f>VLOOKUP($A52,'[1]daily coal, energy reqd'!$C$2:$T$599,17,FALSE)</f>
        <v>Maharashtra</v>
      </c>
      <c r="C52" s="2" t="str">
        <f>VLOOKUP(B52,'Target PLF'!$I$2:$J$19,2,FALSE)</f>
        <v>WR</v>
      </c>
      <c r="D52" s="2" t="s">
        <v>570</v>
      </c>
      <c r="E52" s="2" t="s">
        <v>543</v>
      </c>
      <c r="F52" s="12">
        <v>8.1752224503764506</v>
      </c>
      <c r="G52" s="2">
        <v>500</v>
      </c>
      <c r="H52">
        <f>VLOOKUP(A52,'Coal savings'!$A$3:$AB$543,26,FALSE)</f>
        <v>2364465.646443204</v>
      </c>
      <c r="I52" t="s">
        <v>695</v>
      </c>
      <c r="J52">
        <f>1010.24/2</f>
        <v>505.12</v>
      </c>
      <c r="O52" s="2" t="s">
        <v>155</v>
      </c>
      <c r="AH52" s="2" t="str">
        <f t="shared" si="17"/>
        <v>2018</v>
      </c>
      <c r="AI52" s="2">
        <f t="shared" si="18"/>
        <v>406.29813589655936</v>
      </c>
      <c r="AJ52" s="2">
        <f t="shared" si="0"/>
        <v>0.81259627179311866</v>
      </c>
      <c r="AK52" s="12">
        <f t="shared" si="1"/>
        <v>4.1752224503764506</v>
      </c>
      <c r="AL52" s="2" t="s">
        <v>570</v>
      </c>
      <c r="AM52" s="2" t="str">
        <f>VLOOKUP(A52,'[12]Power plant names'!$C$2:$F$545,4,FALSE)</f>
        <v>Sub critical</v>
      </c>
      <c r="AN52" s="2">
        <v>500</v>
      </c>
      <c r="AO52" s="2">
        <f t="shared" si="2"/>
        <v>0.81259627179311866</v>
      </c>
      <c r="AP52" s="2">
        <v>500</v>
      </c>
      <c r="AQ52" s="2">
        <f t="shared" si="3"/>
        <v>0</v>
      </c>
      <c r="AR52" s="2">
        <f t="shared" si="4"/>
        <v>406.29813589655936</v>
      </c>
      <c r="AS52" s="2">
        <f t="shared" si="5"/>
        <v>0</v>
      </c>
      <c r="AU52" s="2">
        <f t="shared" si="19"/>
        <v>505.12</v>
      </c>
      <c r="AV52" s="2">
        <f t="shared" si="6"/>
        <v>1.01024</v>
      </c>
      <c r="AW52" s="12">
        <f t="shared" si="7"/>
        <v>6.1752224503764506</v>
      </c>
      <c r="AX52" s="2">
        <v>500</v>
      </c>
      <c r="AY52" s="3">
        <f t="shared" si="8"/>
        <v>1.01024</v>
      </c>
      <c r="AZ52" s="2">
        <f t="shared" si="9"/>
        <v>505.12</v>
      </c>
      <c r="BA52" s="2">
        <f t="shared" si="10"/>
        <v>0</v>
      </c>
      <c r="BC52">
        <f t="shared" si="11"/>
        <v>627.97781199999997</v>
      </c>
      <c r="BD52">
        <f t="shared" si="20"/>
        <v>1.255955624</v>
      </c>
      <c r="BE52">
        <f t="shared" si="12"/>
        <v>1.255955624</v>
      </c>
      <c r="BF52">
        <f t="shared" si="13"/>
        <v>627.97781199999997</v>
      </c>
      <c r="BG52">
        <f t="shared" si="14"/>
        <v>0</v>
      </c>
    </row>
    <row r="53" spans="1:59" ht="15" customHeight="1" x14ac:dyDescent="0.2">
      <c r="A53" s="2" t="s">
        <v>154</v>
      </c>
      <c r="B53" s="2" t="str">
        <f>VLOOKUP($A53,'[1]daily coal, energy reqd'!$C$2:$T$599,17,FALSE)</f>
        <v>Maharashtra</v>
      </c>
      <c r="C53" s="2" t="str">
        <f>VLOOKUP(B53,'Target PLF'!$I$2:$J$19,2,FALSE)</f>
        <v>WR</v>
      </c>
      <c r="D53" s="2" t="s">
        <v>570</v>
      </c>
      <c r="E53" s="2" t="s">
        <v>543</v>
      </c>
      <c r="F53" s="12">
        <v>8.1752224503764506</v>
      </c>
      <c r="G53" s="2">
        <v>500</v>
      </c>
      <c r="H53">
        <f>VLOOKUP(A53,'Coal savings'!$A$3:$AB$543,26,FALSE)</f>
        <v>2364465.646443204</v>
      </c>
      <c r="I53" t="s">
        <v>695</v>
      </c>
      <c r="J53">
        <f>1010.24/2</f>
        <v>505.12</v>
      </c>
      <c r="O53" s="2" t="s">
        <v>154</v>
      </c>
      <c r="AH53" s="2" t="str">
        <f t="shared" si="17"/>
        <v>2018</v>
      </c>
      <c r="AI53" s="2">
        <f t="shared" si="18"/>
        <v>406.29813589655936</v>
      </c>
      <c r="AJ53" s="2">
        <f t="shared" si="0"/>
        <v>0.81259627179311866</v>
      </c>
      <c r="AK53" s="12">
        <f t="shared" si="1"/>
        <v>4.1752224503764506</v>
      </c>
      <c r="AL53" s="2" t="s">
        <v>570</v>
      </c>
      <c r="AM53" s="2" t="str">
        <f>VLOOKUP(A53,'[12]Power plant names'!$C$2:$F$545,4,FALSE)</f>
        <v>Sub critical</v>
      </c>
      <c r="AN53" s="2">
        <v>500</v>
      </c>
      <c r="AO53" s="2">
        <f t="shared" si="2"/>
        <v>0.81259627179311866</v>
      </c>
      <c r="AP53" s="2">
        <v>500</v>
      </c>
      <c r="AQ53" s="2">
        <f t="shared" si="3"/>
        <v>0</v>
      </c>
      <c r="AR53" s="2">
        <f t="shared" si="4"/>
        <v>406.29813589655936</v>
      </c>
      <c r="AS53" s="2">
        <f t="shared" si="5"/>
        <v>0</v>
      </c>
      <c r="AU53" s="2">
        <f t="shared" si="19"/>
        <v>505.12</v>
      </c>
      <c r="AV53" s="2">
        <f t="shared" si="6"/>
        <v>1.01024</v>
      </c>
      <c r="AW53" s="12">
        <f t="shared" si="7"/>
        <v>6.1752224503764506</v>
      </c>
      <c r="AX53" s="2">
        <v>500</v>
      </c>
      <c r="AY53" s="3">
        <f t="shared" si="8"/>
        <v>1.01024</v>
      </c>
      <c r="AZ53" s="2">
        <f t="shared" si="9"/>
        <v>505.12</v>
      </c>
      <c r="BA53" s="2">
        <f t="shared" si="10"/>
        <v>0</v>
      </c>
      <c r="BC53">
        <f t="shared" si="11"/>
        <v>627.97781199999997</v>
      </c>
      <c r="BD53">
        <f t="shared" si="20"/>
        <v>1.255955624</v>
      </c>
      <c r="BE53">
        <f t="shared" si="12"/>
        <v>1.255955624</v>
      </c>
      <c r="BF53">
        <f t="shared" si="13"/>
        <v>627.97781199999997</v>
      </c>
      <c r="BG53">
        <f t="shared" si="14"/>
        <v>0</v>
      </c>
    </row>
    <row r="54" spans="1:59" ht="15" customHeight="1" x14ac:dyDescent="0.2">
      <c r="A54" s="2" t="s">
        <v>253</v>
      </c>
      <c r="B54" s="2" t="str">
        <f>VLOOKUP($A54,'[1]daily coal, energy reqd'!$C$2:$T$599,17,FALSE)</f>
        <v>Madhya Pradesh</v>
      </c>
      <c r="C54" s="2" t="str">
        <f>VLOOKUP(B54,'Target PLF'!$I$2:$J$19,2,FALSE)</f>
        <v>WR</v>
      </c>
      <c r="D54" s="2" t="s">
        <v>572</v>
      </c>
      <c r="E54" s="2" t="s">
        <v>543</v>
      </c>
      <c r="F54" s="12">
        <v>7.7563312799452397</v>
      </c>
      <c r="G54" s="2">
        <v>250</v>
      </c>
      <c r="H54">
        <f>VLOOKUP(A54,'Coal savings'!$A$3:$AB$543,26,FALSE)</f>
        <v>777370.82214764913</v>
      </c>
      <c r="I54" t="s">
        <v>694</v>
      </c>
      <c r="J54">
        <f>721.06/2</f>
        <v>360.53</v>
      </c>
      <c r="O54" s="2" t="s">
        <v>253</v>
      </c>
      <c r="AH54" s="2" t="str">
        <f t="shared" si="17"/>
        <v>2019</v>
      </c>
      <c r="AI54" s="2">
        <f t="shared" si="18"/>
        <v>260.08589875510916</v>
      </c>
      <c r="AJ54" s="2">
        <f t="shared" si="0"/>
        <v>1.0403435950204367</v>
      </c>
      <c r="AK54" s="12">
        <f t="shared" si="1"/>
        <v>3.7563312799452397</v>
      </c>
      <c r="AL54" s="2" t="s">
        <v>572</v>
      </c>
      <c r="AM54" s="2" t="str">
        <f>VLOOKUP(A54,'[12]Power plant names'!$C$2:$F$545,4,FALSE)</f>
        <v>Sub critical</v>
      </c>
      <c r="AN54" s="2">
        <v>250</v>
      </c>
      <c r="AO54" s="2">
        <f t="shared" si="2"/>
        <v>1.0403435950204367</v>
      </c>
      <c r="AP54" s="2">
        <v>250</v>
      </c>
      <c r="AQ54" s="2">
        <f t="shared" si="3"/>
        <v>0</v>
      </c>
      <c r="AR54" s="2">
        <f t="shared" si="4"/>
        <v>260.08589875510916</v>
      </c>
      <c r="AS54" s="2">
        <f t="shared" si="5"/>
        <v>0</v>
      </c>
      <c r="AU54" s="2">
        <f t="shared" si="19"/>
        <v>360.53</v>
      </c>
      <c r="AV54" s="2">
        <f t="shared" si="6"/>
        <v>1.4421199999999998</v>
      </c>
      <c r="AW54" s="12">
        <f t="shared" si="7"/>
        <v>6.7563312799452397</v>
      </c>
      <c r="AX54" s="2">
        <v>250</v>
      </c>
      <c r="AY54" s="3">
        <f t="shared" si="8"/>
        <v>1.4421199999999998</v>
      </c>
      <c r="AZ54" s="2">
        <f t="shared" si="9"/>
        <v>360.53</v>
      </c>
      <c r="BA54" s="2">
        <f t="shared" si="10"/>
        <v>0</v>
      </c>
      <c r="BC54">
        <f t="shared" si="11"/>
        <v>401.99094999999994</v>
      </c>
      <c r="BD54">
        <f t="shared" si="20"/>
        <v>1.6079637999999998</v>
      </c>
      <c r="BE54">
        <f t="shared" si="12"/>
        <v>1.6079637999999998</v>
      </c>
      <c r="BF54">
        <f t="shared" si="13"/>
        <v>401.99094999999994</v>
      </c>
      <c r="BG54">
        <f t="shared" si="14"/>
        <v>0</v>
      </c>
    </row>
    <row r="55" spans="1:59" ht="15" customHeight="1" x14ac:dyDescent="0.2">
      <c r="A55" s="2" t="s">
        <v>246</v>
      </c>
      <c r="B55" s="2" t="str">
        <f>VLOOKUP($A55,'[1]daily coal, energy reqd'!$C$2:$T$599,17,FALSE)</f>
        <v>Madhya Pradesh</v>
      </c>
      <c r="C55" s="2" t="str">
        <f>VLOOKUP(B55,'Target PLF'!$I$2:$J$19,2,FALSE)</f>
        <v>WR</v>
      </c>
      <c r="D55" s="2" t="s">
        <v>572</v>
      </c>
      <c r="E55" s="2" t="s">
        <v>543</v>
      </c>
      <c r="F55" s="12">
        <v>7.1759069130732298</v>
      </c>
      <c r="G55" s="2">
        <v>250</v>
      </c>
      <c r="H55">
        <f>VLOOKUP(A55,'Coal savings'!$A$3:$AB$543,26,FALSE)</f>
        <v>776252.54923314101</v>
      </c>
      <c r="I55" t="s">
        <v>694</v>
      </c>
      <c r="J55">
        <f>721.06/2</f>
        <v>360.53</v>
      </c>
      <c r="O55" s="2" t="s">
        <v>246</v>
      </c>
      <c r="AH55" s="2" t="str">
        <f t="shared" si="17"/>
        <v>2019</v>
      </c>
      <c r="AI55" s="2">
        <f t="shared" si="18"/>
        <v>260.08589875510916</v>
      </c>
      <c r="AJ55" s="2">
        <f t="shared" si="0"/>
        <v>1.0403435950204367</v>
      </c>
      <c r="AK55" s="12">
        <f t="shared" si="1"/>
        <v>3.1759069130732298</v>
      </c>
      <c r="AL55" s="2" t="s">
        <v>572</v>
      </c>
      <c r="AM55" s="2" t="str">
        <f>VLOOKUP(A55,'[12]Power plant names'!$C$2:$F$545,4,FALSE)</f>
        <v>Sub critical</v>
      </c>
      <c r="AN55" s="2">
        <v>250</v>
      </c>
      <c r="AO55" s="2">
        <f t="shared" si="2"/>
        <v>1.0403435950204367</v>
      </c>
      <c r="AP55" s="2">
        <v>250</v>
      </c>
      <c r="AQ55" s="2">
        <f t="shared" si="3"/>
        <v>0</v>
      </c>
      <c r="AR55" s="2">
        <f t="shared" si="4"/>
        <v>260.08589875510916</v>
      </c>
      <c r="AS55" s="2">
        <f t="shared" si="5"/>
        <v>0</v>
      </c>
      <c r="AU55" s="2">
        <f t="shared" si="19"/>
        <v>360.53</v>
      </c>
      <c r="AV55" s="2">
        <f t="shared" si="6"/>
        <v>1.4421199999999998</v>
      </c>
      <c r="AW55" s="12">
        <f t="shared" si="7"/>
        <v>6.1759069130732298</v>
      </c>
      <c r="AX55" s="2">
        <v>250</v>
      </c>
      <c r="AY55" s="3">
        <f t="shared" si="8"/>
        <v>1.4421199999999998</v>
      </c>
      <c r="AZ55" s="2">
        <f t="shared" si="9"/>
        <v>360.53</v>
      </c>
      <c r="BA55" s="2">
        <f t="shared" si="10"/>
        <v>0</v>
      </c>
      <c r="BC55">
        <f t="shared" si="11"/>
        <v>401.99094999999994</v>
      </c>
      <c r="BD55">
        <f t="shared" si="20"/>
        <v>1.6079637999999998</v>
      </c>
      <c r="BE55">
        <f t="shared" si="12"/>
        <v>1.6079637999999998</v>
      </c>
      <c r="BF55">
        <f t="shared" si="13"/>
        <v>401.99094999999994</v>
      </c>
      <c r="BG55">
        <f t="shared" si="14"/>
        <v>0</v>
      </c>
    </row>
    <row r="56" spans="1:59" ht="15" customHeight="1" x14ac:dyDescent="0.2">
      <c r="A56" s="2" t="s">
        <v>179</v>
      </c>
      <c r="B56" s="2" t="str">
        <f>VLOOKUP($A56,'[1]daily coal, energy reqd'!$C$2:$T$599,17,FALSE)</f>
        <v>Chhatisgarh</v>
      </c>
      <c r="C56" s="2" t="str">
        <f>VLOOKUP(B56,'Target PLF'!$I$2:$J$19,2,FALSE)</f>
        <v>WR</v>
      </c>
      <c r="D56" s="2" t="s">
        <v>572</v>
      </c>
      <c r="E56" s="2" t="s">
        <v>542</v>
      </c>
      <c r="F56" s="12">
        <v>3.0910335386721401</v>
      </c>
      <c r="G56" s="2">
        <v>300</v>
      </c>
      <c r="H56">
        <f>VLOOKUP(A56,'Coal savings'!$A$3:$AB$543,26,FALSE)</f>
        <v>1583684.4062502158</v>
      </c>
      <c r="O56" s="2" t="s">
        <v>179</v>
      </c>
      <c r="AH56" s="2" t="str">
        <f t="shared" si="17"/>
        <v/>
      </c>
      <c r="AI56" s="2"/>
      <c r="AJ56" s="2" t="str">
        <f t="shared" si="0"/>
        <v/>
      </c>
      <c r="AK56" s="12">
        <f t="shared" si="1"/>
        <v>1</v>
      </c>
      <c r="AL56" s="2" t="s">
        <v>572</v>
      </c>
      <c r="AM56" s="2" t="str">
        <f>VLOOKUP(A56,'[12]Power plant names'!$C$2:$F$545,4,FALSE)</f>
        <v>Sub critical</v>
      </c>
      <c r="AN56" s="2">
        <v>300</v>
      </c>
      <c r="AO56" s="2">
        <f t="shared" si="2"/>
        <v>0.93208040000000003</v>
      </c>
      <c r="AP56" s="2"/>
      <c r="AQ56" s="2">
        <f t="shared" si="3"/>
        <v>300</v>
      </c>
      <c r="AR56" s="2">
        <f t="shared" si="4"/>
        <v>0</v>
      </c>
      <c r="AS56" s="2">
        <f t="shared" si="5"/>
        <v>279.62412</v>
      </c>
      <c r="AU56" s="2"/>
      <c r="AV56" s="2" t="str">
        <f t="shared" si="6"/>
        <v/>
      </c>
      <c r="AW56" s="12">
        <f t="shared" si="7"/>
        <v>3.0910335386721401</v>
      </c>
      <c r="AX56" s="2">
        <v>300</v>
      </c>
      <c r="AY56" s="3">
        <f t="shared" si="8"/>
        <v>1.1947354525667353</v>
      </c>
      <c r="AZ56" s="2">
        <f t="shared" si="9"/>
        <v>0</v>
      </c>
      <c r="BA56" s="2">
        <f t="shared" si="10"/>
        <v>358.42063577002057</v>
      </c>
      <c r="BC56" t="str">
        <f t="shared" si="11"/>
        <v/>
      </c>
      <c r="BE56">
        <f t="shared" si="12"/>
        <v>1.3576831396303901</v>
      </c>
      <c r="BF56">
        <f t="shared" si="13"/>
        <v>0</v>
      </c>
      <c r="BG56">
        <f t="shared" si="14"/>
        <v>407.30494188911706</v>
      </c>
    </row>
    <row r="57" spans="1:59" ht="15" customHeight="1" x14ac:dyDescent="0.2">
      <c r="A57" s="2" t="s">
        <v>176</v>
      </c>
      <c r="B57" s="2" t="str">
        <f>VLOOKUP($A57,'[1]daily coal, energy reqd'!$C$2:$T$599,17,FALSE)</f>
        <v>Chhatisgarh</v>
      </c>
      <c r="C57" s="2" t="str">
        <f>VLOOKUP(B57,'Target PLF'!$I$2:$J$19,2,FALSE)</f>
        <v>WR</v>
      </c>
      <c r="D57" s="2" t="s">
        <v>572</v>
      </c>
      <c r="E57" s="2" t="s">
        <v>542</v>
      </c>
      <c r="F57" s="13">
        <v>2.0917180013689198</v>
      </c>
      <c r="G57" s="2">
        <v>300</v>
      </c>
      <c r="H57">
        <f>VLOOKUP(A57,'Coal savings'!$A$3:$AB$543,26,FALSE)</f>
        <v>1579489.78686345</v>
      </c>
      <c r="O57" s="2" t="s">
        <v>176</v>
      </c>
      <c r="AH57" s="2" t="str">
        <f t="shared" si="17"/>
        <v/>
      </c>
      <c r="AI57" s="2"/>
      <c r="AJ57" s="2" t="str">
        <f t="shared" si="0"/>
        <v/>
      </c>
      <c r="AK57" s="12">
        <f t="shared" si="1"/>
        <v>1</v>
      </c>
      <c r="AL57" s="2" t="s">
        <v>572</v>
      </c>
      <c r="AM57" s="2" t="str">
        <f>VLOOKUP(A57,'[12]Power plant names'!$C$2:$F$545,4,FALSE)</f>
        <v>Sub critical</v>
      </c>
      <c r="AN57" s="2">
        <v>300</v>
      </c>
      <c r="AO57" s="2">
        <f t="shared" si="2"/>
        <v>0.93208040000000003</v>
      </c>
      <c r="AP57" s="2"/>
      <c r="AQ57" s="2">
        <f t="shared" si="3"/>
        <v>300</v>
      </c>
      <c r="AR57" s="2">
        <f t="shared" si="4"/>
        <v>0</v>
      </c>
      <c r="AS57" s="2">
        <f t="shared" si="5"/>
        <v>279.62412</v>
      </c>
      <c r="AU57" s="2"/>
      <c r="AV57" s="2" t="str">
        <f t="shared" si="6"/>
        <v/>
      </c>
      <c r="AW57" s="12">
        <f t="shared" si="7"/>
        <v>2.0917180013689198</v>
      </c>
      <c r="AX57" s="2">
        <v>300</v>
      </c>
      <c r="AY57" s="3">
        <f t="shared" si="8"/>
        <v>1.2128553416837784</v>
      </c>
      <c r="AZ57" s="2">
        <f t="shared" si="9"/>
        <v>0</v>
      </c>
      <c r="BA57" s="2">
        <f t="shared" si="10"/>
        <v>363.85660250513354</v>
      </c>
      <c r="BC57" t="str">
        <f t="shared" si="11"/>
        <v/>
      </c>
      <c r="BE57">
        <f t="shared" si="12"/>
        <v>1.3791919075975361</v>
      </c>
      <c r="BF57">
        <f t="shared" si="13"/>
        <v>0</v>
      </c>
      <c r="BG57">
        <f t="shared" si="14"/>
        <v>413.75757227926084</v>
      </c>
    </row>
    <row r="58" spans="1:59" ht="15" customHeight="1" x14ac:dyDescent="0.2">
      <c r="A58" s="2" t="s">
        <v>126</v>
      </c>
      <c r="B58" s="2" t="str">
        <f>VLOOKUP($A58,'[1]daily coal, energy reqd'!$C$2:$T$599,17,FALSE)</f>
        <v>Jharkhand</v>
      </c>
      <c r="C58" s="2" t="str">
        <f>VLOOKUP(B58,'Target PLF'!$I$2:$J$19,2,FALSE)</f>
        <v>ER</v>
      </c>
      <c r="D58" s="2" t="s">
        <v>571</v>
      </c>
      <c r="E58" s="2" t="s">
        <v>542</v>
      </c>
      <c r="F58" s="12">
        <v>4.1752224503764497</v>
      </c>
      <c r="G58" s="2">
        <v>500</v>
      </c>
      <c r="H58">
        <f>VLOOKUP(A58,'Coal savings'!$A$3:$AB$543,26,FALSE)</f>
        <v>2350420.6484423429</v>
      </c>
      <c r="I58" t="s">
        <v>694</v>
      </c>
      <c r="J58">
        <v>771.86999999999989</v>
      </c>
      <c r="O58" s="2" t="s">
        <v>126</v>
      </c>
      <c r="AH58" s="2" t="str">
        <f t="shared" si="17"/>
        <v>2019</v>
      </c>
      <c r="AI58" s="2">
        <f>(J58)/(1+0.115)^(AH58-2016)</f>
        <v>556.82606904309239</v>
      </c>
      <c r="AJ58" s="2">
        <f t="shared" si="0"/>
        <v>1.1136521380861848</v>
      </c>
      <c r="AK58" s="12">
        <f t="shared" si="1"/>
        <v>0.17522245037644968</v>
      </c>
      <c r="AL58" s="2" t="s">
        <v>571</v>
      </c>
      <c r="AM58" s="2" t="str">
        <f>VLOOKUP(A58,'[12]Power plant names'!$C$2:$F$545,4,FALSE)</f>
        <v>Sub critical</v>
      </c>
      <c r="AN58" s="2">
        <v>500</v>
      </c>
      <c r="AO58" s="2">
        <f t="shared" si="2"/>
        <v>1.1136521380861848</v>
      </c>
      <c r="AP58" s="2"/>
      <c r="AQ58" s="2">
        <f t="shared" si="3"/>
        <v>500</v>
      </c>
      <c r="AR58" s="2">
        <f t="shared" si="4"/>
        <v>0</v>
      </c>
      <c r="AS58" s="2">
        <f t="shared" si="5"/>
        <v>556.82606904309239</v>
      </c>
      <c r="AU58" s="2">
        <f>AI58*(1.115)^(AH58-2016)</f>
        <v>771.86999999999989</v>
      </c>
      <c r="AV58" s="2">
        <f t="shared" si="6"/>
        <v>1.5437399999999999</v>
      </c>
      <c r="AW58" s="12">
        <f t="shared" si="7"/>
        <v>3.1752224503764497</v>
      </c>
      <c r="AX58" s="2">
        <v>500</v>
      </c>
      <c r="AY58" s="3">
        <f t="shared" si="8"/>
        <v>1.5437399999999999</v>
      </c>
      <c r="AZ58" s="2">
        <f t="shared" si="9"/>
        <v>0</v>
      </c>
      <c r="BA58" s="2">
        <f t="shared" si="10"/>
        <v>771.86999999999989</v>
      </c>
      <c r="BC58">
        <f t="shared" si="11"/>
        <v>860.63504999999986</v>
      </c>
      <c r="BD58">
        <f>BC58/AN58</f>
        <v>1.7212700999999997</v>
      </c>
      <c r="BE58">
        <f t="shared" si="12"/>
        <v>1.7212700999999997</v>
      </c>
      <c r="BF58">
        <f t="shared" si="13"/>
        <v>0</v>
      </c>
      <c r="BG58">
        <f t="shared" si="14"/>
        <v>860.63504999999986</v>
      </c>
    </row>
    <row r="59" spans="1:59" ht="15" hidden="1" customHeight="1" x14ac:dyDescent="0.2">
      <c r="A59" s="2" t="s">
        <v>411</v>
      </c>
      <c r="B59" s="2" t="str">
        <f>VLOOKUP($A59,'[1]daily coal, energy reqd'!$C$2:$T$599,17,FALSE)</f>
        <v>Jharkhand</v>
      </c>
      <c r="C59" s="2" t="str">
        <f>VLOOKUP(B59,'Target PLF'!$I$2:$J$19,2,FALSE)</f>
        <v>ER</v>
      </c>
      <c r="D59" s="2" t="s">
        <v>571</v>
      </c>
      <c r="E59" s="2" t="s">
        <v>547</v>
      </c>
      <c r="F59" s="12">
        <v>26.757015742642</v>
      </c>
      <c r="G59" s="2">
        <v>210</v>
      </c>
      <c r="H59">
        <f>VLOOKUP(A59,'Coal savings'!$A$3:$AB$543,26,FALSE)</f>
        <v>0</v>
      </c>
      <c r="I59" t="s">
        <v>694</v>
      </c>
      <c r="J59">
        <v>94.64</v>
      </c>
      <c r="O59" s="2" t="s">
        <v>411</v>
      </c>
      <c r="AH59" s="2" t="str">
        <f t="shared" si="17"/>
        <v>2019</v>
      </c>
      <c r="AI59" s="2">
        <f>(J59)/(1+0.115)^(AH59-2016)</f>
        <v>68.27317964714041</v>
      </c>
      <c r="AJ59" s="2">
        <f t="shared" si="0"/>
        <v>0.32511037927209718</v>
      </c>
      <c r="AK59" s="12">
        <f t="shared" si="1"/>
        <v>22.757015742642</v>
      </c>
      <c r="AL59" s="2" t="s">
        <v>571</v>
      </c>
      <c r="AM59" s="2" t="str">
        <f>VLOOKUP(A59,'[12]Power plant names'!$C$2:$F$545,4,FALSE)</f>
        <v>Sub critical</v>
      </c>
      <c r="AN59" s="2">
        <v>210</v>
      </c>
      <c r="AO59" s="2">
        <f t="shared" si="2"/>
        <v>0.32511037927209718</v>
      </c>
      <c r="AP59" s="2"/>
      <c r="AQ59" s="2">
        <f t="shared" si="3"/>
        <v>210</v>
      </c>
      <c r="AR59" s="2">
        <f t="shared" si="4"/>
        <v>0</v>
      </c>
      <c r="AS59" s="2">
        <f t="shared" si="5"/>
        <v>68.27317964714041</v>
      </c>
      <c r="AU59" s="2">
        <f>AI59*(1.115)^(AH59-2016)</f>
        <v>94.64</v>
      </c>
      <c r="AV59" s="2">
        <f t="shared" si="6"/>
        <v>0.45066666666666666</v>
      </c>
      <c r="AW59" s="12">
        <f t="shared" si="7"/>
        <v>25.757015742642</v>
      </c>
      <c r="AX59" s="2">
        <v>210</v>
      </c>
      <c r="AY59" s="3">
        <f t="shared" si="8"/>
        <v>0.45066666666666666</v>
      </c>
      <c r="AZ59" s="2">
        <f t="shared" si="9"/>
        <v>0</v>
      </c>
      <c r="BA59" s="2">
        <f t="shared" si="10"/>
        <v>94.64</v>
      </c>
      <c r="BC59">
        <f t="shared" si="11"/>
        <v>105.5236</v>
      </c>
      <c r="BD59">
        <f>BC59/AN59</f>
        <v>0.50249333333333335</v>
      </c>
      <c r="BE59">
        <f t="shared" si="12"/>
        <v>0.50249333333333335</v>
      </c>
      <c r="BF59">
        <f t="shared" si="13"/>
        <v>0</v>
      </c>
      <c r="BG59">
        <f t="shared" si="14"/>
        <v>105.5236</v>
      </c>
    </row>
    <row r="60" spans="1:59" ht="15" customHeight="1" x14ac:dyDescent="0.2">
      <c r="A60" s="2" t="s">
        <v>217</v>
      </c>
      <c r="B60" s="2" t="str">
        <f>VLOOKUP($A60,'[1]daily coal, energy reqd'!$C$2:$T$599,17,FALSE)</f>
        <v>Assam</v>
      </c>
      <c r="C60" s="2" t="str">
        <f>VLOOKUP(B60,'Target PLF'!$I$2:$J$19,2,FALSE)</f>
        <v>NER</v>
      </c>
      <c r="D60" s="2" t="s">
        <v>571</v>
      </c>
      <c r="E60" s="2" t="s">
        <v>542</v>
      </c>
      <c r="F60" s="12">
        <v>4.9253935660506496</v>
      </c>
      <c r="G60" s="2">
        <v>250</v>
      </c>
      <c r="H60">
        <f>VLOOKUP(A60,'Coal savings'!$A$3:$AB$543,26,FALSE)</f>
        <v>549873.48083123192</v>
      </c>
      <c r="I60" t="s">
        <v>694</v>
      </c>
      <c r="J60">
        <v>467.02</v>
      </c>
      <c r="O60" s="2" t="s">
        <v>217</v>
      </c>
      <c r="AH60" s="2" t="str">
        <f t="shared" si="17"/>
        <v>2019</v>
      </c>
      <c r="AI60" s="2">
        <f>(J60)/(1+0.115)^(AH60-2016)</f>
        <v>336.90765383355364</v>
      </c>
      <c r="AJ60" s="2">
        <f t="shared" si="0"/>
        <v>1.3476306153342146</v>
      </c>
      <c r="AK60" s="12">
        <f t="shared" si="1"/>
        <v>0.9253935660506496</v>
      </c>
      <c r="AL60" s="2" t="s">
        <v>571</v>
      </c>
      <c r="AM60" s="2" t="str">
        <f>VLOOKUP(A60,'[12]Power plant names'!$C$2:$F$545,4,FALSE)</f>
        <v>Sub critical</v>
      </c>
      <c r="AN60" s="2">
        <v>250</v>
      </c>
      <c r="AO60" s="2">
        <f t="shared" si="2"/>
        <v>1.3476306153342146</v>
      </c>
      <c r="AP60" s="2">
        <v>250</v>
      </c>
      <c r="AQ60" s="2">
        <f t="shared" si="3"/>
        <v>0</v>
      </c>
      <c r="AR60" s="2">
        <f t="shared" si="4"/>
        <v>336.90765383355364</v>
      </c>
      <c r="AS60" s="2">
        <f t="shared" si="5"/>
        <v>0</v>
      </c>
      <c r="AU60" s="2">
        <f>AI60*(1.115)^(AH60-2016)</f>
        <v>467.02000000000004</v>
      </c>
      <c r="AV60" s="2">
        <f t="shared" si="6"/>
        <v>1.8680800000000002</v>
      </c>
      <c r="AW60" s="12">
        <f t="shared" si="7"/>
        <v>3.9253935660506496</v>
      </c>
      <c r="AX60" s="2">
        <v>250</v>
      </c>
      <c r="AY60" s="3">
        <f t="shared" si="8"/>
        <v>1.8680800000000002</v>
      </c>
      <c r="AZ60" s="2">
        <f t="shared" si="9"/>
        <v>467.02000000000004</v>
      </c>
      <c r="BA60" s="2">
        <f t="shared" si="10"/>
        <v>0</v>
      </c>
      <c r="BC60">
        <f t="shared" si="11"/>
        <v>520.72730000000001</v>
      </c>
      <c r="BD60">
        <f>BC60/AN60</f>
        <v>2.0829092</v>
      </c>
      <c r="BE60">
        <f t="shared" si="12"/>
        <v>2.0829092</v>
      </c>
      <c r="BF60">
        <f t="shared" si="13"/>
        <v>520.72730000000001</v>
      </c>
      <c r="BG60">
        <f t="shared" si="14"/>
        <v>0</v>
      </c>
    </row>
    <row r="61" spans="1:59" ht="15" customHeight="1" x14ac:dyDescent="0.2">
      <c r="A61" s="2" t="s">
        <v>200</v>
      </c>
      <c r="B61" s="2" t="str">
        <f>VLOOKUP($A61,'[1]daily coal, energy reqd'!$C$2:$T$599,17,FALSE)</f>
        <v>Assam</v>
      </c>
      <c r="C61" s="2" t="str">
        <f>VLOOKUP(B61,'Target PLF'!$I$2:$J$19,2,FALSE)</f>
        <v>NER</v>
      </c>
      <c r="D61" s="2" t="s">
        <v>571</v>
      </c>
      <c r="E61" s="2" t="s">
        <v>542</v>
      </c>
      <c r="F61" s="12">
        <v>3.1074606433949299</v>
      </c>
      <c r="G61" s="2">
        <v>250</v>
      </c>
      <c r="H61">
        <f>VLOOKUP(A61,'Coal savings'!$A$3:$AB$543,26,FALSE)</f>
        <v>547379.93551812228</v>
      </c>
      <c r="O61" s="2" t="s">
        <v>200</v>
      </c>
      <c r="AH61" s="2" t="str">
        <f t="shared" si="17"/>
        <v/>
      </c>
      <c r="AI61" s="2"/>
      <c r="AJ61" s="2" t="str">
        <f t="shared" si="0"/>
        <v/>
      </c>
      <c r="AK61" s="12">
        <f t="shared" si="1"/>
        <v>1</v>
      </c>
      <c r="AL61" s="2" t="s">
        <v>571</v>
      </c>
      <c r="AM61" s="2" t="str">
        <f>VLOOKUP(A61,'[12]Power plant names'!$C$2:$F$545,4,FALSE)</f>
        <v>Sub critical</v>
      </c>
      <c r="AN61" s="2">
        <v>250</v>
      </c>
      <c r="AO61" s="2">
        <f t="shared" si="2"/>
        <v>0.95467540000000006</v>
      </c>
      <c r="AP61" s="2"/>
      <c r="AQ61" s="2">
        <f t="shared" si="3"/>
        <v>250</v>
      </c>
      <c r="AR61" s="2">
        <f t="shared" si="4"/>
        <v>0</v>
      </c>
      <c r="AS61" s="2">
        <f t="shared" si="5"/>
        <v>238.66885000000002</v>
      </c>
      <c r="AU61" s="2"/>
      <c r="AV61" s="2" t="str">
        <f t="shared" si="6"/>
        <v/>
      </c>
      <c r="AW61" s="12">
        <f t="shared" si="7"/>
        <v>3.1074606433949299</v>
      </c>
      <c r="AX61" s="2">
        <v>250</v>
      </c>
      <c r="AY61" s="3">
        <f t="shared" si="8"/>
        <v>1.2223575913757703</v>
      </c>
      <c r="AZ61" s="2">
        <f t="shared" si="9"/>
        <v>0</v>
      </c>
      <c r="BA61" s="2">
        <f t="shared" si="10"/>
        <v>305.58939784394255</v>
      </c>
      <c r="BC61" t="str">
        <f t="shared" si="11"/>
        <v/>
      </c>
      <c r="BE61">
        <f t="shared" si="12"/>
        <v>1.3924395708418893</v>
      </c>
      <c r="BF61">
        <f t="shared" si="13"/>
        <v>0</v>
      </c>
      <c r="BG61">
        <f t="shared" si="14"/>
        <v>348.10989271047231</v>
      </c>
    </row>
    <row r="62" spans="1:59" ht="15" customHeight="1" x14ac:dyDescent="0.2">
      <c r="A62" s="2" t="s">
        <v>184</v>
      </c>
      <c r="B62" s="2" t="str">
        <f>VLOOKUP($A62,'[1]daily coal, energy reqd'!$C$2:$T$599,17,FALSE)</f>
        <v>Assam</v>
      </c>
      <c r="C62" s="2" t="str">
        <f>VLOOKUP(B62,'Target PLF'!$I$2:$J$19,2,FALSE)</f>
        <v>NER</v>
      </c>
      <c r="D62" s="2" t="s">
        <v>571</v>
      </c>
      <c r="E62" s="2" t="s">
        <v>542</v>
      </c>
      <c r="F62" s="13">
        <v>1.3388090349075901</v>
      </c>
      <c r="G62" s="2">
        <v>250</v>
      </c>
      <c r="H62">
        <f>VLOOKUP(A62,'Coal savings'!$A$3:$AB$543,26,FALSE)</f>
        <v>544953.98631289799</v>
      </c>
      <c r="O62" s="2" t="s">
        <v>184</v>
      </c>
      <c r="AH62" s="2" t="str">
        <f t="shared" si="17"/>
        <v/>
      </c>
      <c r="AI62" s="2"/>
      <c r="AJ62" s="2" t="str">
        <f t="shared" si="0"/>
        <v/>
      </c>
      <c r="AK62" s="12">
        <f t="shared" si="1"/>
        <v>1</v>
      </c>
      <c r="AL62" s="2" t="s">
        <v>571</v>
      </c>
      <c r="AM62" s="2" t="str">
        <f>VLOOKUP(A62,'[12]Power plant names'!$C$2:$F$545,4,FALSE)</f>
        <v>Sub critical</v>
      </c>
      <c r="AN62" s="2">
        <v>250</v>
      </c>
      <c r="AO62" s="2">
        <f t="shared" si="2"/>
        <v>0.95467540000000006</v>
      </c>
      <c r="AP62" s="2"/>
      <c r="AQ62" s="2">
        <f t="shared" si="3"/>
        <v>250</v>
      </c>
      <c r="AR62" s="2">
        <f t="shared" si="4"/>
        <v>0</v>
      </c>
      <c r="AS62" s="2">
        <f t="shared" si="5"/>
        <v>238.66885000000002</v>
      </c>
      <c r="AU62" s="2"/>
      <c r="AV62" s="2" t="str">
        <f t="shared" si="6"/>
        <v/>
      </c>
      <c r="AW62" s="12">
        <f t="shared" si="7"/>
        <v>1.3388090349075901</v>
      </c>
      <c r="AX62" s="2">
        <v>250</v>
      </c>
      <c r="AY62" s="3">
        <f t="shared" si="8"/>
        <v>1.2544273129363452</v>
      </c>
      <c r="AZ62" s="2">
        <f t="shared" si="9"/>
        <v>0</v>
      </c>
      <c r="BA62" s="2">
        <f t="shared" si="10"/>
        <v>313.60682823408632</v>
      </c>
      <c r="BC62" t="str">
        <f t="shared" si="11"/>
        <v/>
      </c>
      <c r="BE62">
        <f t="shared" si="12"/>
        <v>1.4305071437371666</v>
      </c>
      <c r="BF62">
        <f t="shared" si="13"/>
        <v>0</v>
      </c>
      <c r="BG62">
        <f t="shared" si="14"/>
        <v>357.62678593429166</v>
      </c>
    </row>
    <row r="63" spans="1:59" ht="15" hidden="1" customHeight="1" x14ac:dyDescent="0.2">
      <c r="A63" s="2" t="s">
        <v>375</v>
      </c>
      <c r="B63" s="2" t="str">
        <f>VLOOKUP($A63,'[1]daily coal, energy reqd'!$C$2:$T$599,17,FALSE)</f>
        <v>West Bengal</v>
      </c>
      <c r="C63" s="2" t="str">
        <f>VLOOKUP(B63,'Target PLF'!$I$2:$J$19,2,FALSE)</f>
        <v>ER</v>
      </c>
      <c r="D63" s="2" t="s">
        <v>572</v>
      </c>
      <c r="E63" s="2" t="s">
        <v>546</v>
      </c>
      <c r="F63" s="12">
        <v>22.672142368240898</v>
      </c>
      <c r="G63" s="2">
        <v>250</v>
      </c>
      <c r="H63">
        <f>VLOOKUP(A63,'Coal savings'!$A$3:$AB$543,26,FALSE)</f>
        <v>0</v>
      </c>
      <c r="I63" t="s">
        <v>695</v>
      </c>
      <c r="J63">
        <f>382.52/3</f>
        <v>127.50666666666666</v>
      </c>
      <c r="O63" s="2" t="s">
        <v>375</v>
      </c>
      <c r="AH63" s="2" t="str">
        <f t="shared" si="17"/>
        <v>2018</v>
      </c>
      <c r="AI63" s="2">
        <f>(J63)/(1+0.115)^(AH63-2016)</f>
        <v>102.56121511927982</v>
      </c>
      <c r="AJ63" s="2">
        <f t="shared" si="0"/>
        <v>0.41024486047711928</v>
      </c>
      <c r="AK63" s="12">
        <f t="shared" si="1"/>
        <v>18.672142368240898</v>
      </c>
      <c r="AL63" s="2" t="s">
        <v>572</v>
      </c>
      <c r="AM63" s="2" t="str">
        <f>VLOOKUP(A63,'[12]Power plant names'!$C$2:$F$545,4,FALSE)</f>
        <v>Sub critical</v>
      </c>
      <c r="AN63" s="2">
        <v>250</v>
      </c>
      <c r="AO63" s="2">
        <f t="shared" si="2"/>
        <v>0.41024486047711928</v>
      </c>
      <c r="AP63" s="2">
        <v>250</v>
      </c>
      <c r="AQ63" s="2">
        <f t="shared" si="3"/>
        <v>0</v>
      </c>
      <c r="AR63" s="2">
        <f t="shared" si="4"/>
        <v>102.56121511927982</v>
      </c>
      <c r="AS63" s="2">
        <f t="shared" si="5"/>
        <v>0</v>
      </c>
      <c r="AU63" s="2">
        <f>AI63*(1.115)^(AH63-2016)</f>
        <v>127.50666666666666</v>
      </c>
      <c r="AV63" s="2">
        <f t="shared" si="6"/>
        <v>0.51002666666666663</v>
      </c>
      <c r="AW63" s="12">
        <f t="shared" si="7"/>
        <v>20.672142368240898</v>
      </c>
      <c r="AX63" s="2">
        <v>250</v>
      </c>
      <c r="AY63" s="3">
        <f t="shared" si="8"/>
        <v>0.51002666666666663</v>
      </c>
      <c r="AZ63" s="2">
        <f t="shared" si="9"/>
        <v>127.50666666666666</v>
      </c>
      <c r="BA63" s="2">
        <f t="shared" si="10"/>
        <v>0</v>
      </c>
      <c r="BC63">
        <f t="shared" si="11"/>
        <v>158.51947566666666</v>
      </c>
      <c r="BD63">
        <f>BC63/AN63</f>
        <v>0.63407790266666664</v>
      </c>
      <c r="BE63">
        <f t="shared" si="12"/>
        <v>0.63407790266666664</v>
      </c>
      <c r="BF63">
        <f t="shared" si="13"/>
        <v>158.51947566666666</v>
      </c>
      <c r="BG63">
        <f t="shared" si="14"/>
        <v>0</v>
      </c>
    </row>
    <row r="64" spans="1:59" ht="15" hidden="1" customHeight="1" x14ac:dyDescent="0.2">
      <c r="A64" s="2" t="s">
        <v>361</v>
      </c>
      <c r="B64" s="2" t="str">
        <f>VLOOKUP($A64,'[1]daily coal, energy reqd'!$C$2:$T$599,17,FALSE)</f>
        <v>West Bengal</v>
      </c>
      <c r="C64" s="2" t="str">
        <f>VLOOKUP(B64,'Target PLF'!$I$2:$J$19,2,FALSE)</f>
        <v>ER</v>
      </c>
      <c r="D64" s="2" t="s">
        <v>572</v>
      </c>
      <c r="E64" s="2" t="s">
        <v>546</v>
      </c>
      <c r="F64" s="12">
        <v>21.177275838466802</v>
      </c>
      <c r="G64" s="2">
        <v>250</v>
      </c>
      <c r="H64">
        <f>VLOOKUP(A64,'Coal savings'!$A$3:$AB$543,26,FALSE)</f>
        <v>0</v>
      </c>
      <c r="I64" t="s">
        <v>695</v>
      </c>
      <c r="J64">
        <f>382.52/3</f>
        <v>127.50666666666666</v>
      </c>
      <c r="O64" s="2" t="s">
        <v>361</v>
      </c>
      <c r="AH64" s="2" t="str">
        <f t="shared" si="17"/>
        <v>2018</v>
      </c>
      <c r="AI64" s="2">
        <f>(J64)/(1+0.115)^(AH64-2016)</f>
        <v>102.56121511927982</v>
      </c>
      <c r="AJ64" s="2">
        <f t="shared" si="0"/>
        <v>0.41024486047711928</v>
      </c>
      <c r="AK64" s="12">
        <f t="shared" si="1"/>
        <v>17.177275838466802</v>
      </c>
      <c r="AL64" s="2" t="s">
        <v>572</v>
      </c>
      <c r="AM64" s="2" t="str">
        <f>VLOOKUP(A64,'[12]Power plant names'!$C$2:$F$545,4,FALSE)</f>
        <v>Sub critical</v>
      </c>
      <c r="AN64" s="2">
        <v>250</v>
      </c>
      <c r="AO64" s="2">
        <f t="shared" si="2"/>
        <v>0.41024486047711928</v>
      </c>
      <c r="AP64" s="2">
        <v>250</v>
      </c>
      <c r="AQ64" s="2">
        <f t="shared" si="3"/>
        <v>0</v>
      </c>
      <c r="AR64" s="2">
        <f t="shared" si="4"/>
        <v>102.56121511927982</v>
      </c>
      <c r="AS64" s="2">
        <f t="shared" si="5"/>
        <v>0</v>
      </c>
      <c r="AU64" s="2">
        <f>AI64*(1.115)^(AH64-2016)</f>
        <v>127.50666666666666</v>
      </c>
      <c r="AV64" s="2">
        <f t="shared" si="6"/>
        <v>0.51002666666666663</v>
      </c>
      <c r="AW64" s="12">
        <f t="shared" si="7"/>
        <v>19.177275838466802</v>
      </c>
      <c r="AX64" s="2">
        <v>250</v>
      </c>
      <c r="AY64" s="3">
        <f t="shared" si="8"/>
        <v>0.51002666666666663</v>
      </c>
      <c r="AZ64" s="2">
        <f t="shared" si="9"/>
        <v>127.50666666666666</v>
      </c>
      <c r="BA64" s="2">
        <f t="shared" si="10"/>
        <v>0</v>
      </c>
      <c r="BC64">
        <f t="shared" si="11"/>
        <v>158.51947566666666</v>
      </c>
      <c r="BD64">
        <f>BC64/AN64</f>
        <v>0.63407790266666664</v>
      </c>
      <c r="BE64">
        <f t="shared" si="12"/>
        <v>0.63407790266666664</v>
      </c>
      <c r="BF64">
        <f t="shared" si="13"/>
        <v>158.51947566666666</v>
      </c>
      <c r="BG64">
        <f t="shared" si="14"/>
        <v>0</v>
      </c>
    </row>
    <row r="65" spans="1:59" ht="15" hidden="1" customHeight="1" x14ac:dyDescent="0.2">
      <c r="A65" s="2" t="s">
        <v>280</v>
      </c>
      <c r="B65" s="2" t="str">
        <f>VLOOKUP($A65,'[1]daily coal, energy reqd'!$C$2:$T$599,17,FALSE)</f>
        <v>West Bengal</v>
      </c>
      <c r="C65" s="2" t="str">
        <f>VLOOKUP(B65,'Target PLF'!$I$2:$J$19,2,FALSE)</f>
        <v>ER</v>
      </c>
      <c r="D65" s="2" t="s">
        <v>572</v>
      </c>
      <c r="E65" s="2" t="s">
        <v>544</v>
      </c>
      <c r="F65" s="12">
        <v>10.6721423682409</v>
      </c>
      <c r="G65" s="2">
        <v>250</v>
      </c>
      <c r="H65">
        <f>VLOOKUP(A65,'Coal savings'!$A$3:$AB$543,26,FALSE)</f>
        <v>0</v>
      </c>
      <c r="I65" t="s">
        <v>695</v>
      </c>
      <c r="J65">
        <f>382.52/3</f>
        <v>127.50666666666666</v>
      </c>
      <c r="O65" s="2" t="s">
        <v>280</v>
      </c>
      <c r="AH65" s="2" t="str">
        <f t="shared" si="17"/>
        <v>2018</v>
      </c>
      <c r="AI65" s="2">
        <f>(J65)/(1+0.115)^(AH65-2016)</f>
        <v>102.56121511927982</v>
      </c>
      <c r="AJ65" s="2">
        <f t="shared" si="0"/>
        <v>0.41024486047711928</v>
      </c>
      <c r="AK65" s="12">
        <f t="shared" si="1"/>
        <v>6.6721423682409</v>
      </c>
      <c r="AL65" s="2" t="s">
        <v>572</v>
      </c>
      <c r="AM65" s="2" t="str">
        <f>VLOOKUP(A65,'[12]Power plant names'!$C$2:$F$545,4,FALSE)</f>
        <v>Sub critical</v>
      </c>
      <c r="AN65" s="2">
        <v>250</v>
      </c>
      <c r="AO65" s="2">
        <f t="shared" si="2"/>
        <v>0.41024486047711928</v>
      </c>
      <c r="AP65" s="2">
        <v>250</v>
      </c>
      <c r="AQ65" s="2">
        <f t="shared" si="3"/>
        <v>0</v>
      </c>
      <c r="AR65" s="2">
        <f t="shared" si="4"/>
        <v>102.56121511927982</v>
      </c>
      <c r="AS65" s="2">
        <f t="shared" si="5"/>
        <v>0</v>
      </c>
      <c r="AU65" s="2">
        <f>AI65*(1.115)^(AH65-2016)</f>
        <v>127.50666666666666</v>
      </c>
      <c r="AV65" s="2">
        <f t="shared" si="6"/>
        <v>0.51002666666666663</v>
      </c>
      <c r="AW65" s="12">
        <f t="shared" si="7"/>
        <v>8.6721423682409</v>
      </c>
      <c r="AX65" s="2">
        <v>250</v>
      </c>
      <c r="AY65" s="3">
        <f t="shared" si="8"/>
        <v>0.51002666666666663</v>
      </c>
      <c r="AZ65" s="2">
        <f t="shared" si="9"/>
        <v>127.50666666666666</v>
      </c>
      <c r="BA65" s="2">
        <f t="shared" si="10"/>
        <v>0</v>
      </c>
      <c r="BC65">
        <f t="shared" si="11"/>
        <v>158.51947566666666</v>
      </c>
      <c r="BD65">
        <f>BC65/AN65</f>
        <v>0.63407790266666664</v>
      </c>
      <c r="BE65">
        <f t="shared" si="12"/>
        <v>0.63407790266666664</v>
      </c>
      <c r="BF65">
        <f t="shared" si="13"/>
        <v>158.51947566666666</v>
      </c>
      <c r="BG65">
        <f t="shared" si="14"/>
        <v>0</v>
      </c>
    </row>
    <row r="66" spans="1:59" ht="15" customHeight="1" x14ac:dyDescent="0.2">
      <c r="A66" s="2" t="s">
        <v>223</v>
      </c>
      <c r="B66" s="2" t="str">
        <f>VLOOKUP($A66,'[1]daily coal, energy reqd'!$C$2:$T$599,17,FALSE)</f>
        <v>Maharashtra</v>
      </c>
      <c r="C66" s="2" t="str">
        <f>VLOOKUP(B66,'Target PLF'!$I$2:$J$19,2,FALSE)</f>
        <v>WR</v>
      </c>
      <c r="D66" s="2" t="s">
        <v>572</v>
      </c>
      <c r="E66" s="2" t="s">
        <v>543</v>
      </c>
      <c r="F66" s="12">
        <v>7.7563312799452397</v>
      </c>
      <c r="G66" s="2">
        <v>300</v>
      </c>
      <c r="H66">
        <f>VLOOKUP(A66,'Coal savings'!$A$3:$AB$543,26,FALSE)</f>
        <v>942199.80204397335</v>
      </c>
      <c r="I66" t="s">
        <v>694</v>
      </c>
      <c r="J66">
        <f>891.89/2</f>
        <v>445.94499999999999</v>
      </c>
      <c r="O66" s="2" t="s">
        <v>223</v>
      </c>
      <c r="AH66" s="2" t="str">
        <f t="shared" si="17"/>
        <v>2019</v>
      </c>
      <c r="AI66" s="2">
        <f>(J66)/(1+0.115)^(AH66-2016)</f>
        <v>321.70417474370277</v>
      </c>
      <c r="AJ66" s="2">
        <f t="shared" ref="AJ66:AJ129" si="21">IF(AI66/G66=0,"",AI66/G66)</f>
        <v>1.0723472491456758</v>
      </c>
      <c r="AK66" s="12">
        <f t="shared" ref="AK66:AK129" si="22">IF(F66-4&lt;0,1,F66-4)</f>
        <v>3.7563312799452397</v>
      </c>
      <c r="AL66" s="2" t="s">
        <v>572</v>
      </c>
      <c r="AM66" s="2" t="str">
        <f>VLOOKUP(A66,'[12]Power plant names'!$C$2:$F$545,4,FALSE)</f>
        <v>Sub critical</v>
      </c>
      <c r="AN66" s="2">
        <v>300</v>
      </c>
      <c r="AO66" s="2">
        <f t="shared" si="2"/>
        <v>1.0723472491456758</v>
      </c>
      <c r="AP66" s="2">
        <v>300</v>
      </c>
      <c r="AQ66" s="2">
        <f t="shared" si="3"/>
        <v>0</v>
      </c>
      <c r="AR66" s="2">
        <f t="shared" si="4"/>
        <v>321.70417474370277</v>
      </c>
      <c r="AS66" s="2">
        <f t="shared" si="5"/>
        <v>0</v>
      </c>
      <c r="AU66" s="2">
        <f>AI66*(1.115)^(AH66-2016)</f>
        <v>445.94499999999999</v>
      </c>
      <c r="AV66" s="2">
        <f t="shared" si="6"/>
        <v>1.4864833333333334</v>
      </c>
      <c r="AW66" s="12">
        <f t="shared" si="7"/>
        <v>6.7563312799452397</v>
      </c>
      <c r="AX66" s="2">
        <v>300</v>
      </c>
      <c r="AY66" s="3">
        <f t="shared" si="8"/>
        <v>1.4864833333333334</v>
      </c>
      <c r="AZ66" s="2">
        <f t="shared" si="9"/>
        <v>445.94499999999999</v>
      </c>
      <c r="BA66" s="2">
        <f t="shared" si="10"/>
        <v>0</v>
      </c>
      <c r="BC66">
        <f t="shared" si="11"/>
        <v>497.22867500000001</v>
      </c>
      <c r="BD66">
        <f>BC66/AN66</f>
        <v>1.6574289166666667</v>
      </c>
      <c r="BE66">
        <f t="shared" si="12"/>
        <v>1.6574289166666667</v>
      </c>
      <c r="BF66">
        <f t="shared" si="13"/>
        <v>497.22867500000001</v>
      </c>
      <c r="BG66">
        <f t="shared" si="14"/>
        <v>0</v>
      </c>
    </row>
    <row r="67" spans="1:59" ht="15" customHeight="1" x14ac:dyDescent="0.2">
      <c r="A67" s="2" t="s">
        <v>218</v>
      </c>
      <c r="B67" s="2" t="str">
        <f>VLOOKUP($A67,'[1]daily coal, energy reqd'!$C$2:$T$599,17,FALSE)</f>
        <v>Maharashtra</v>
      </c>
      <c r="C67" s="2" t="str">
        <f>VLOOKUP(B67,'Target PLF'!$I$2:$J$19,2,FALSE)</f>
        <v>WR</v>
      </c>
      <c r="D67" s="2" t="s">
        <v>572</v>
      </c>
      <c r="E67" s="2" t="s">
        <v>543</v>
      </c>
      <c r="F67" s="12">
        <v>7.1759069130732298</v>
      </c>
      <c r="G67" s="2">
        <v>300</v>
      </c>
      <c r="H67">
        <f>VLOOKUP(A67,'Coal savings'!$A$3:$AB$543,26,FALSE)</f>
        <v>940827.06237663375</v>
      </c>
      <c r="I67" t="s">
        <v>694</v>
      </c>
      <c r="J67">
        <f>891.89/2</f>
        <v>445.94499999999999</v>
      </c>
      <c r="O67" s="2" t="s">
        <v>218</v>
      </c>
      <c r="AH67" s="2" t="str">
        <f t="shared" si="17"/>
        <v>2019</v>
      </c>
      <c r="AI67" s="2">
        <f>(J67)/(1+0.115)^(AH67-2016)</f>
        <v>321.70417474370277</v>
      </c>
      <c r="AJ67" s="2">
        <f t="shared" si="21"/>
        <v>1.0723472491456758</v>
      </c>
      <c r="AK67" s="12">
        <f t="shared" si="22"/>
        <v>3.1759069130732298</v>
      </c>
      <c r="AL67" s="2" t="s">
        <v>572</v>
      </c>
      <c r="AM67" s="2" t="str">
        <f>VLOOKUP(A67,'[12]Power plant names'!$C$2:$F$545,4,FALSE)</f>
        <v>Sub critical</v>
      </c>
      <c r="AN67" s="2">
        <v>300</v>
      </c>
      <c r="AO67" s="2">
        <f t="shared" ref="AO67:AO130" si="23">IF(AJ67="",((-0.0138556*AK67)+(-0.0004519*AN67)+1.081506),AJ67)</f>
        <v>1.0723472491456758</v>
      </c>
      <c r="AP67" s="2">
        <v>300</v>
      </c>
      <c r="AQ67" s="2">
        <f t="shared" ref="AQ67:AQ130" si="24">G67-AP67</f>
        <v>0</v>
      </c>
      <c r="AR67" s="2">
        <f t="shared" ref="AR67:AR130" si="25">AP67*AO67</f>
        <v>321.70417474370277</v>
      </c>
      <c r="AS67" s="2">
        <f t="shared" ref="AS67:AS130" si="26">AQ67*AO67</f>
        <v>0</v>
      </c>
      <c r="AU67" s="2">
        <f t="shared" ref="AU67:AU126" si="27">AI67*(1.115)^(AH67-2016)</f>
        <v>445.94499999999999</v>
      </c>
      <c r="AV67" s="2">
        <f t="shared" ref="AV67:AV130" si="28">IF(AU67/AN67=0,"",AU67/AN67)</f>
        <v>1.4864833333333334</v>
      </c>
      <c r="AW67" s="12">
        <f t="shared" ref="AW67:AW130" si="29">(F67-IF(AH67="",0,(2020-AH67)))</f>
        <v>6.1759069130732298</v>
      </c>
      <c r="AX67" s="2">
        <v>300</v>
      </c>
      <c r="AY67" s="3">
        <f t="shared" ref="AY67:AY130" si="30">IF(AV67="",(( -0.0181323 *AW67)+(-0.0005584 *AN67)+  1.418303),AV67)</f>
        <v>1.4864833333333334</v>
      </c>
      <c r="AZ67" s="2">
        <f t="shared" ref="AZ67:AZ130" si="31">AY67*AP67</f>
        <v>445.94499999999999</v>
      </c>
      <c r="BA67" s="2">
        <f t="shared" ref="BA67:BA130" si="32">AY67*AQ67</f>
        <v>0</v>
      </c>
      <c r="BC67">
        <f t="shared" ref="BC67:BC130" si="33">IF(AU67="","",(AU67)*(1+0.115)^(2020-AH67))</f>
        <v>497.22867500000001</v>
      </c>
      <c r="BD67">
        <f t="shared" ref="BD67:BD126" si="34">BC67/AN67</f>
        <v>1.6574289166666667</v>
      </c>
      <c r="BE67">
        <f t="shared" ref="BE67:BE130" si="35">IF(BD67="",(-0.0215235 *AW67)+(-0.0007022*AX67)+1.634873,BD67)</f>
        <v>1.6574289166666667</v>
      </c>
      <c r="BF67">
        <f t="shared" ref="BF67:BF130" si="36">BE67*AP67</f>
        <v>497.22867500000001</v>
      </c>
      <c r="BG67">
        <f t="shared" ref="BG67:BG130" si="37">BE67*AQ67</f>
        <v>0</v>
      </c>
    </row>
    <row r="68" spans="1:59" ht="15" hidden="1" customHeight="1" x14ac:dyDescent="0.2">
      <c r="A68" s="2" t="s">
        <v>327</v>
      </c>
      <c r="B68" s="2" t="str">
        <f>VLOOKUP($A68,'[1]daily coal, energy reqd'!$C$2:$T$599,17,FALSE)</f>
        <v>Chhatisgarh</v>
      </c>
      <c r="C68" s="2" t="str">
        <f>VLOOKUP(B68,'Target PLF'!$I$2:$J$19,2,FALSE)</f>
        <v>WR</v>
      </c>
      <c r="D68" s="2" t="s">
        <v>572</v>
      </c>
      <c r="E68" s="2" t="s">
        <v>543</v>
      </c>
      <c r="F68" s="12">
        <v>6.1765913757700197</v>
      </c>
      <c r="G68" s="2">
        <v>30</v>
      </c>
      <c r="H68">
        <f>VLOOKUP(A68,'Coal savings'!$A$3:$AB$543,26,FALSE)</f>
        <v>0</v>
      </c>
      <c r="O68" s="2" t="s">
        <v>327</v>
      </c>
      <c r="AH68" s="2" t="str">
        <f t="shared" si="17"/>
        <v/>
      </c>
      <c r="AI68" s="2"/>
      <c r="AJ68" s="2" t="str">
        <f t="shared" si="21"/>
        <v/>
      </c>
      <c r="AK68" s="12">
        <f t="shared" si="22"/>
        <v>2.1765913757700197</v>
      </c>
      <c r="AL68" s="2" t="s">
        <v>572</v>
      </c>
      <c r="AM68" s="2" t="str">
        <f>VLOOKUP(A68,'[12]Power plant names'!$C$2:$F$545,4,FALSE)</f>
        <v>Sub critical</v>
      </c>
      <c r="AN68" s="2">
        <v>30</v>
      </c>
      <c r="AO68" s="2">
        <f t="shared" si="23"/>
        <v>1.0377910205338809</v>
      </c>
      <c r="AP68" s="2"/>
      <c r="AQ68" s="2">
        <f t="shared" si="24"/>
        <v>30</v>
      </c>
      <c r="AR68" s="2">
        <f t="shared" si="25"/>
        <v>0</v>
      </c>
      <c r="AS68" s="2">
        <f t="shared" si="26"/>
        <v>31.133730616016429</v>
      </c>
      <c r="AU68" s="2"/>
      <c r="AV68" s="2" t="str">
        <f t="shared" si="28"/>
        <v/>
      </c>
      <c r="AW68" s="12">
        <f t="shared" si="29"/>
        <v>6.1765913757700197</v>
      </c>
      <c r="AX68" s="2">
        <v>30</v>
      </c>
      <c r="AY68" s="3">
        <f t="shared" si="30"/>
        <v>1.2895551921971253</v>
      </c>
      <c r="AZ68" s="2">
        <f t="shared" si="31"/>
        <v>0</v>
      </c>
      <c r="BA68" s="2">
        <f t="shared" si="32"/>
        <v>38.686655765913763</v>
      </c>
      <c r="BC68" t="str">
        <f t="shared" si="33"/>
        <v/>
      </c>
      <c r="BE68">
        <f t="shared" si="35"/>
        <v>1.480865135523614</v>
      </c>
      <c r="BF68">
        <f t="shared" si="36"/>
        <v>0</v>
      </c>
      <c r="BG68">
        <f t="shared" si="37"/>
        <v>44.425954065708417</v>
      </c>
    </row>
    <row r="69" spans="1:59" ht="15" hidden="1" customHeight="1" x14ac:dyDescent="0.2">
      <c r="A69" s="2" t="s">
        <v>463</v>
      </c>
      <c r="B69" s="2" t="str">
        <f>VLOOKUP($A69,'[1]daily coal, energy reqd'!$C$2:$T$599,17,FALSE)</f>
        <v>Maharashtra</v>
      </c>
      <c r="C69" s="2" t="str">
        <f>VLOOKUP(B69,'Target PLF'!$I$2:$J$19,2,FALSE)</f>
        <v>WR</v>
      </c>
      <c r="D69" s="2" t="s">
        <v>570</v>
      </c>
      <c r="E69" s="2" t="s">
        <v>548</v>
      </c>
      <c r="F69" s="12">
        <v>35.008898015058101</v>
      </c>
      <c r="G69" s="2">
        <v>210</v>
      </c>
      <c r="H69">
        <f>VLOOKUP(A69,'Coal savings'!$A$3:$AB$543,26,FALSE)</f>
        <v>0</v>
      </c>
      <c r="I69" t="s">
        <v>695</v>
      </c>
      <c r="J69">
        <v>71.56</v>
      </c>
      <c r="O69" s="2" t="s">
        <v>463</v>
      </c>
      <c r="AH69" s="2" t="str">
        <f t="shared" si="17"/>
        <v>2018</v>
      </c>
      <c r="AI69" s="2">
        <f t="shared" ref="AI69:AI77" si="38">(J69)/(1+0.115)^(AH69-2016)</f>
        <v>57.559975064851493</v>
      </c>
      <c r="AJ69" s="2">
        <f t="shared" si="21"/>
        <v>0.27409511935643566</v>
      </c>
      <c r="AK69" s="12">
        <f t="shared" si="22"/>
        <v>31.008898015058101</v>
      </c>
      <c r="AL69" s="2" t="s">
        <v>570</v>
      </c>
      <c r="AM69" s="2" t="str">
        <f>VLOOKUP(A69,'[12]Power plant names'!$C$2:$F$545,4,FALSE)</f>
        <v>Sub critical</v>
      </c>
      <c r="AN69" s="2">
        <v>210</v>
      </c>
      <c r="AO69" s="2">
        <f t="shared" si="23"/>
        <v>0.27409511935643566</v>
      </c>
      <c r="AP69" s="2">
        <v>210</v>
      </c>
      <c r="AQ69" s="2">
        <f t="shared" si="24"/>
        <v>0</v>
      </c>
      <c r="AR69" s="2">
        <f t="shared" si="25"/>
        <v>57.559975064851486</v>
      </c>
      <c r="AS69" s="2">
        <f t="shared" si="26"/>
        <v>0</v>
      </c>
      <c r="AU69" s="2">
        <f t="shared" si="27"/>
        <v>71.56</v>
      </c>
      <c r="AV69" s="2">
        <f t="shared" si="28"/>
        <v>0.34076190476190477</v>
      </c>
      <c r="AW69" s="12">
        <f t="shared" si="29"/>
        <v>33.008898015058101</v>
      </c>
      <c r="AX69" s="2">
        <v>210</v>
      </c>
      <c r="AY69" s="3">
        <f t="shared" si="30"/>
        <v>0.34076190476190477</v>
      </c>
      <c r="AZ69" s="2">
        <f t="shared" si="31"/>
        <v>71.56</v>
      </c>
      <c r="BA69" s="2">
        <f t="shared" si="32"/>
        <v>0</v>
      </c>
      <c r="BC69">
        <f t="shared" si="33"/>
        <v>88.965181000000001</v>
      </c>
      <c r="BD69">
        <f t="shared" si="34"/>
        <v>0.42364371904761905</v>
      </c>
      <c r="BE69">
        <f t="shared" si="35"/>
        <v>0.42364371904761905</v>
      </c>
      <c r="BF69">
        <f t="shared" si="36"/>
        <v>88.965181000000001</v>
      </c>
      <c r="BG69">
        <f t="shared" si="37"/>
        <v>0</v>
      </c>
    </row>
    <row r="70" spans="1:59" ht="15" hidden="1" customHeight="1" x14ac:dyDescent="0.2">
      <c r="A70" s="2" t="s">
        <v>459</v>
      </c>
      <c r="B70" s="2" t="str">
        <f>VLOOKUP($A70,'[1]daily coal, energy reqd'!$C$2:$T$599,17,FALSE)</f>
        <v>Maharashtra</v>
      </c>
      <c r="C70" s="2" t="str">
        <f>VLOOKUP(B70,'Target PLF'!$I$2:$J$19,2,FALSE)</f>
        <v>WR</v>
      </c>
      <c r="D70" s="2" t="s">
        <v>570</v>
      </c>
      <c r="E70" s="2" t="s">
        <v>548</v>
      </c>
      <c r="F70" s="12">
        <v>34.176591375770002</v>
      </c>
      <c r="G70" s="2">
        <v>210</v>
      </c>
      <c r="H70">
        <f>VLOOKUP(A70,'Coal savings'!$A$3:$AB$543,26,FALSE)</f>
        <v>0</v>
      </c>
      <c r="I70" t="s">
        <v>695</v>
      </c>
      <c r="J70">
        <v>71.56</v>
      </c>
      <c r="O70" s="2" t="s">
        <v>459</v>
      </c>
      <c r="AH70" s="2" t="str">
        <f t="shared" si="17"/>
        <v>2018</v>
      </c>
      <c r="AI70" s="2">
        <f t="shared" si="38"/>
        <v>57.559975064851493</v>
      </c>
      <c r="AJ70" s="2">
        <f t="shared" si="21"/>
        <v>0.27409511935643566</v>
      </c>
      <c r="AK70" s="12">
        <f t="shared" si="22"/>
        <v>30.176591375770002</v>
      </c>
      <c r="AL70" s="2" t="s">
        <v>570</v>
      </c>
      <c r="AM70" s="2" t="str">
        <f>VLOOKUP(A70,'[12]Power plant names'!$C$2:$F$545,4,FALSE)</f>
        <v>Sub critical</v>
      </c>
      <c r="AN70" s="2">
        <v>210</v>
      </c>
      <c r="AO70" s="2">
        <f t="shared" si="23"/>
        <v>0.27409511935643566</v>
      </c>
      <c r="AP70" s="2">
        <v>210</v>
      </c>
      <c r="AQ70" s="2">
        <f t="shared" si="24"/>
        <v>0</v>
      </c>
      <c r="AR70" s="2">
        <f t="shared" si="25"/>
        <v>57.559975064851486</v>
      </c>
      <c r="AS70" s="2">
        <f t="shared" si="26"/>
        <v>0</v>
      </c>
      <c r="AU70" s="2">
        <f t="shared" si="27"/>
        <v>71.56</v>
      </c>
      <c r="AV70" s="2">
        <f t="shared" si="28"/>
        <v>0.34076190476190477</v>
      </c>
      <c r="AW70" s="12">
        <f t="shared" si="29"/>
        <v>32.176591375770002</v>
      </c>
      <c r="AX70" s="2">
        <v>210</v>
      </c>
      <c r="AY70" s="3">
        <f t="shared" si="30"/>
        <v>0.34076190476190477</v>
      </c>
      <c r="AZ70" s="2">
        <f t="shared" si="31"/>
        <v>71.56</v>
      </c>
      <c r="BA70" s="2">
        <f t="shared" si="32"/>
        <v>0</v>
      </c>
      <c r="BC70">
        <f t="shared" si="33"/>
        <v>88.965181000000001</v>
      </c>
      <c r="BD70">
        <f t="shared" si="34"/>
        <v>0.42364371904761905</v>
      </c>
      <c r="BE70">
        <f t="shared" si="35"/>
        <v>0.42364371904761905</v>
      </c>
      <c r="BF70">
        <f t="shared" si="36"/>
        <v>88.965181000000001</v>
      </c>
      <c r="BG70">
        <f t="shared" si="37"/>
        <v>0</v>
      </c>
    </row>
    <row r="71" spans="1:59" ht="15" customHeight="1" x14ac:dyDescent="0.2">
      <c r="A71" s="2" t="s">
        <v>348</v>
      </c>
      <c r="B71" s="2" t="str">
        <f>VLOOKUP($A71,'[1]daily coal, energy reqd'!$C$2:$T$599,17,FALSE)</f>
        <v>Maharashtra</v>
      </c>
      <c r="C71" s="2" t="str">
        <f>VLOOKUP(B71,'Target PLF'!$I$2:$J$19,2,FALSE)</f>
        <v>WR</v>
      </c>
      <c r="D71" s="2" t="s">
        <v>570</v>
      </c>
      <c r="E71" s="2" t="s">
        <v>547</v>
      </c>
      <c r="F71" s="12">
        <v>29.177275838466802</v>
      </c>
      <c r="G71" s="2">
        <v>500</v>
      </c>
      <c r="H71">
        <f>VLOOKUP(A71,'Coal savings'!$A$3:$AB$543,26,FALSE)</f>
        <v>1559177.0105171858</v>
      </c>
      <c r="I71" t="s">
        <v>695</v>
      </c>
      <c r="J71">
        <v>170.39</v>
      </c>
      <c r="O71" s="2" t="s">
        <v>348</v>
      </c>
      <c r="P71">
        <v>2019</v>
      </c>
      <c r="Q71">
        <v>204</v>
      </c>
      <c r="R71" t="s">
        <v>617</v>
      </c>
      <c r="S71">
        <v>500</v>
      </c>
      <c r="AH71" s="2" t="str">
        <f t="shared" si="17"/>
        <v>2018</v>
      </c>
      <c r="AI71" s="2">
        <f t="shared" si="38"/>
        <v>137.05483721772003</v>
      </c>
      <c r="AJ71" s="2">
        <f t="shared" si="21"/>
        <v>0.27410967443544004</v>
      </c>
      <c r="AK71" s="12">
        <f t="shared" si="22"/>
        <v>25.177275838466802</v>
      </c>
      <c r="AL71" s="2" t="s">
        <v>570</v>
      </c>
      <c r="AM71" s="2" t="str">
        <f>VLOOKUP(A71,'[12]Power plant names'!$C$2:$F$545,4,FALSE)</f>
        <v>Sub critical</v>
      </c>
      <c r="AN71" s="2">
        <v>500</v>
      </c>
      <c r="AO71" s="2">
        <f t="shared" si="23"/>
        <v>0.27410967443544004</v>
      </c>
      <c r="AP71" s="2">
        <v>500</v>
      </c>
      <c r="AQ71" s="2">
        <f t="shared" si="24"/>
        <v>0</v>
      </c>
      <c r="AR71" s="2">
        <f t="shared" si="25"/>
        <v>137.05483721772003</v>
      </c>
      <c r="AS71" s="2">
        <f t="shared" si="26"/>
        <v>0</v>
      </c>
      <c r="AU71" s="2">
        <f t="shared" si="27"/>
        <v>170.39</v>
      </c>
      <c r="AV71" s="2">
        <f t="shared" si="28"/>
        <v>0.34077999999999997</v>
      </c>
      <c r="AW71" s="12">
        <f t="shared" si="29"/>
        <v>27.177275838466802</v>
      </c>
      <c r="AX71" s="2">
        <v>500</v>
      </c>
      <c r="AY71" s="3">
        <f t="shared" si="30"/>
        <v>0.34077999999999997</v>
      </c>
      <c r="AZ71" s="2">
        <f t="shared" si="31"/>
        <v>170.39</v>
      </c>
      <c r="BA71" s="2">
        <f t="shared" si="32"/>
        <v>0</v>
      </c>
      <c r="BC71">
        <f t="shared" si="33"/>
        <v>211.83310774999998</v>
      </c>
      <c r="BD71">
        <f t="shared" si="34"/>
        <v>0.42366621549999994</v>
      </c>
      <c r="BE71">
        <f t="shared" si="35"/>
        <v>0.42366621549999994</v>
      </c>
      <c r="BF71">
        <f t="shared" si="36"/>
        <v>211.83310774999998</v>
      </c>
      <c r="BG71">
        <f t="shared" si="37"/>
        <v>0</v>
      </c>
    </row>
    <row r="72" spans="1:59" ht="15" customHeight="1" x14ac:dyDescent="0.2">
      <c r="A72" s="2" t="s">
        <v>333</v>
      </c>
      <c r="B72" s="2" t="str">
        <f>VLOOKUP($A72,'[1]daily coal, energy reqd'!$C$2:$T$599,17,FALSE)</f>
        <v>Maharashtra</v>
      </c>
      <c r="C72" s="2" t="str">
        <f>VLOOKUP(B72,'Target PLF'!$I$2:$J$19,2,FALSE)</f>
        <v>WR</v>
      </c>
      <c r="D72" s="2" t="s">
        <v>570</v>
      </c>
      <c r="E72" s="2" t="s">
        <v>547</v>
      </c>
      <c r="F72" s="12">
        <v>28.175222450376399</v>
      </c>
      <c r="G72" s="2">
        <v>500</v>
      </c>
      <c r="H72">
        <f>VLOOKUP(A72,'Coal savings'!$A$3:$AB$543,26,FALSE)</f>
        <v>1555227.5828936917</v>
      </c>
      <c r="I72" t="s">
        <v>695</v>
      </c>
      <c r="J72">
        <v>170.39</v>
      </c>
      <c r="O72" s="2" t="s">
        <v>333</v>
      </c>
      <c r="P72">
        <v>2019</v>
      </c>
      <c r="Q72">
        <v>204</v>
      </c>
      <c r="R72" t="s">
        <v>617</v>
      </c>
      <c r="S72">
        <v>500</v>
      </c>
      <c r="AH72" s="2" t="str">
        <f t="shared" si="17"/>
        <v>2018</v>
      </c>
      <c r="AI72" s="2">
        <f t="shared" si="38"/>
        <v>137.05483721772003</v>
      </c>
      <c r="AJ72" s="2">
        <f t="shared" si="21"/>
        <v>0.27410967443544004</v>
      </c>
      <c r="AK72" s="12">
        <f t="shared" si="22"/>
        <v>24.175222450376399</v>
      </c>
      <c r="AL72" s="2" t="s">
        <v>570</v>
      </c>
      <c r="AM72" s="2" t="str">
        <f>VLOOKUP(A72,'[12]Power plant names'!$C$2:$F$545,4,FALSE)</f>
        <v>Sub critical</v>
      </c>
      <c r="AN72" s="2">
        <v>500</v>
      </c>
      <c r="AO72" s="2">
        <f t="shared" si="23"/>
        <v>0.27410967443544004</v>
      </c>
      <c r="AP72" s="2">
        <v>500</v>
      </c>
      <c r="AQ72" s="2">
        <f t="shared" si="24"/>
        <v>0</v>
      </c>
      <c r="AR72" s="2">
        <f t="shared" si="25"/>
        <v>137.05483721772003</v>
      </c>
      <c r="AS72" s="2">
        <f t="shared" si="26"/>
        <v>0</v>
      </c>
      <c r="AU72" s="2">
        <f t="shared" si="27"/>
        <v>170.39</v>
      </c>
      <c r="AV72" s="2">
        <f t="shared" si="28"/>
        <v>0.34077999999999997</v>
      </c>
      <c r="AW72" s="12">
        <f t="shared" si="29"/>
        <v>26.175222450376399</v>
      </c>
      <c r="AX72" s="2">
        <v>500</v>
      </c>
      <c r="AY72" s="3">
        <f t="shared" si="30"/>
        <v>0.34077999999999997</v>
      </c>
      <c r="AZ72" s="2">
        <f t="shared" si="31"/>
        <v>170.39</v>
      </c>
      <c r="BA72" s="2">
        <f t="shared" si="32"/>
        <v>0</v>
      </c>
      <c r="BC72">
        <f t="shared" si="33"/>
        <v>211.83310774999998</v>
      </c>
      <c r="BD72">
        <f t="shared" si="34"/>
        <v>0.42366621549999994</v>
      </c>
      <c r="BE72">
        <f t="shared" si="35"/>
        <v>0.42366621549999994</v>
      </c>
      <c r="BF72">
        <f t="shared" si="36"/>
        <v>211.83310774999998</v>
      </c>
      <c r="BG72">
        <f t="shared" si="37"/>
        <v>0</v>
      </c>
    </row>
    <row r="73" spans="1:59" ht="15" customHeight="1" x14ac:dyDescent="0.2">
      <c r="A73" s="2" t="s">
        <v>286</v>
      </c>
      <c r="B73" s="2" t="str">
        <f>VLOOKUP($A73,'[1]daily coal, energy reqd'!$C$2:$T$599,17,FALSE)</f>
        <v>Maharashtra</v>
      </c>
      <c r="C73" s="2" t="str">
        <f>VLOOKUP(B73,'Target PLF'!$I$2:$J$19,2,FALSE)</f>
        <v>WR</v>
      </c>
      <c r="D73" s="2" t="s">
        <v>570</v>
      </c>
      <c r="E73" s="2" t="s">
        <v>546</v>
      </c>
      <c r="F73" s="12">
        <v>22.590006844626899</v>
      </c>
      <c r="G73" s="2">
        <v>500</v>
      </c>
      <c r="H73">
        <f>VLOOKUP(A73,'Coal savings'!$A$3:$AB$543,26,FALSE)</f>
        <v>2128896.4802202205</v>
      </c>
      <c r="I73" t="s">
        <v>695</v>
      </c>
      <c r="J73">
        <v>170.39</v>
      </c>
      <c r="O73" s="2" t="s">
        <v>286</v>
      </c>
      <c r="P73">
        <v>2019</v>
      </c>
      <c r="Q73">
        <v>204</v>
      </c>
      <c r="R73" t="s">
        <v>617</v>
      </c>
      <c r="S73">
        <v>500</v>
      </c>
      <c r="AH73" s="2" t="str">
        <f t="shared" si="17"/>
        <v>2018</v>
      </c>
      <c r="AI73" s="2">
        <f t="shared" si="38"/>
        <v>137.05483721772003</v>
      </c>
      <c r="AJ73" s="2">
        <f t="shared" si="21"/>
        <v>0.27410967443544004</v>
      </c>
      <c r="AK73" s="12">
        <f t="shared" si="22"/>
        <v>18.590006844626899</v>
      </c>
      <c r="AL73" s="2" t="s">
        <v>570</v>
      </c>
      <c r="AM73" s="2" t="str">
        <f>VLOOKUP(A73,'[12]Power plant names'!$C$2:$F$545,4,FALSE)</f>
        <v>Sub critical</v>
      </c>
      <c r="AN73" s="2">
        <v>500</v>
      </c>
      <c r="AO73" s="2">
        <f t="shared" si="23"/>
        <v>0.27410967443544004</v>
      </c>
      <c r="AP73" s="2">
        <v>500</v>
      </c>
      <c r="AQ73" s="2">
        <f t="shared" si="24"/>
        <v>0</v>
      </c>
      <c r="AR73" s="2">
        <f t="shared" si="25"/>
        <v>137.05483721772003</v>
      </c>
      <c r="AS73" s="2">
        <f t="shared" si="26"/>
        <v>0</v>
      </c>
      <c r="AU73" s="2">
        <f t="shared" si="27"/>
        <v>170.39</v>
      </c>
      <c r="AV73" s="2">
        <f t="shared" si="28"/>
        <v>0.34077999999999997</v>
      </c>
      <c r="AW73" s="12">
        <f t="shared" si="29"/>
        <v>20.590006844626899</v>
      </c>
      <c r="AX73" s="2">
        <v>500</v>
      </c>
      <c r="AY73" s="3">
        <f t="shared" si="30"/>
        <v>0.34077999999999997</v>
      </c>
      <c r="AZ73" s="2">
        <f t="shared" si="31"/>
        <v>170.39</v>
      </c>
      <c r="BA73" s="2">
        <f t="shared" si="32"/>
        <v>0</v>
      </c>
      <c r="BC73">
        <f t="shared" si="33"/>
        <v>211.83310774999998</v>
      </c>
      <c r="BD73">
        <f t="shared" si="34"/>
        <v>0.42366621549999994</v>
      </c>
      <c r="BE73">
        <f t="shared" si="35"/>
        <v>0.42366621549999994</v>
      </c>
      <c r="BF73">
        <f t="shared" si="36"/>
        <v>211.83310774999998</v>
      </c>
      <c r="BG73">
        <f t="shared" si="37"/>
        <v>0</v>
      </c>
    </row>
    <row r="74" spans="1:59" ht="15" customHeight="1" x14ac:dyDescent="0.2">
      <c r="A74" s="2" t="s">
        <v>133</v>
      </c>
      <c r="B74" s="2" t="str">
        <f>VLOOKUP($A74,'[1]daily coal, energy reqd'!$C$2:$T$599,17,FALSE)</f>
        <v>Maharashtra</v>
      </c>
      <c r="C74" s="2" t="str">
        <f>VLOOKUP(B74,'Target PLF'!$I$2:$J$19,2,FALSE)</f>
        <v>WR</v>
      </c>
      <c r="D74" s="2" t="s">
        <v>570</v>
      </c>
      <c r="E74" s="2" t="s">
        <v>543</v>
      </c>
      <c r="F74" s="12">
        <v>5.1772758384667998</v>
      </c>
      <c r="G74" s="2">
        <v>500</v>
      </c>
      <c r="H74">
        <f>VLOOKUP(A74,'Coal savings'!$A$3:$AB$543,26,FALSE)</f>
        <v>2422496.2091292948</v>
      </c>
      <c r="I74" t="s">
        <v>695</v>
      </c>
      <c r="J74" s="40">
        <f>1113.93/2</f>
        <v>556.96500000000003</v>
      </c>
      <c r="O74" s="2" t="s">
        <v>133</v>
      </c>
      <c r="P74">
        <v>2019</v>
      </c>
      <c r="Q74">
        <v>665</v>
      </c>
      <c r="R74" t="s">
        <v>617</v>
      </c>
      <c r="S74">
        <v>500</v>
      </c>
      <c r="AH74" s="2" t="str">
        <f t="shared" ref="AH74:AH105" si="39">RIGHT(I74,4)</f>
        <v>2018</v>
      </c>
      <c r="AI74" s="2">
        <f t="shared" si="38"/>
        <v>448.00016087192586</v>
      </c>
      <c r="AJ74" s="2">
        <f t="shared" si="21"/>
        <v>0.89600032174385169</v>
      </c>
      <c r="AK74" s="12">
        <f t="shared" si="22"/>
        <v>1.1772758384667998</v>
      </c>
      <c r="AL74" s="2" t="s">
        <v>570</v>
      </c>
      <c r="AM74" s="2" t="str">
        <f>VLOOKUP(A74,'[12]Power plant names'!$C$2:$F$545,4,FALSE)</f>
        <v>Sub critical</v>
      </c>
      <c r="AN74" s="2">
        <v>500</v>
      </c>
      <c r="AO74" s="2">
        <f t="shared" si="23"/>
        <v>0.89600032174385169</v>
      </c>
      <c r="AP74" s="2">
        <v>500</v>
      </c>
      <c r="AQ74" s="2">
        <f t="shared" si="24"/>
        <v>0</v>
      </c>
      <c r="AR74" s="2">
        <f t="shared" si="25"/>
        <v>448.00016087192586</v>
      </c>
      <c r="AS74" s="2">
        <f t="shared" si="26"/>
        <v>0</v>
      </c>
      <c r="AU74" s="2">
        <f t="shared" si="27"/>
        <v>556.96500000000003</v>
      </c>
      <c r="AV74" s="2">
        <f t="shared" si="28"/>
        <v>1.1139300000000001</v>
      </c>
      <c r="AW74" s="12">
        <f t="shared" si="29"/>
        <v>3.1772758384667998</v>
      </c>
      <c r="AX74" s="2">
        <v>500</v>
      </c>
      <c r="AY74" s="3">
        <f t="shared" si="30"/>
        <v>1.1139300000000001</v>
      </c>
      <c r="AZ74" s="2">
        <f t="shared" si="31"/>
        <v>556.96500000000003</v>
      </c>
      <c r="BA74" s="2">
        <f t="shared" si="32"/>
        <v>0</v>
      </c>
      <c r="BC74">
        <f t="shared" si="33"/>
        <v>692.43281212500005</v>
      </c>
      <c r="BD74">
        <f t="shared" si="34"/>
        <v>1.3848656242500001</v>
      </c>
      <c r="BE74">
        <f t="shared" si="35"/>
        <v>1.3848656242500001</v>
      </c>
      <c r="BF74">
        <f t="shared" si="36"/>
        <v>692.43281212500005</v>
      </c>
      <c r="BG74">
        <f t="shared" si="37"/>
        <v>0</v>
      </c>
    </row>
    <row r="75" spans="1:59" ht="15" customHeight="1" x14ac:dyDescent="0.2">
      <c r="A75" s="2" t="s">
        <v>125</v>
      </c>
      <c r="B75" s="2" t="str">
        <f>VLOOKUP($A75,'[1]daily coal, energy reqd'!$C$2:$T$599,17,FALSE)</f>
        <v>Maharashtra</v>
      </c>
      <c r="C75" s="2" t="str">
        <f>VLOOKUP(B75,'Target PLF'!$I$2:$J$19,2,FALSE)</f>
        <v>WR</v>
      </c>
      <c r="D75" s="2" t="s">
        <v>570</v>
      </c>
      <c r="E75" s="2" t="s">
        <v>542</v>
      </c>
      <c r="F75" s="12">
        <v>4.1752224503764497</v>
      </c>
      <c r="G75" s="2">
        <v>500</v>
      </c>
      <c r="H75">
        <f>VLOOKUP(A75,'Coal savings'!$A$3:$AB$543,26,FALSE)</f>
        <v>2415679.9381039753</v>
      </c>
      <c r="I75" t="s">
        <v>695</v>
      </c>
      <c r="J75" s="40">
        <f>1113.93/2</f>
        <v>556.96500000000003</v>
      </c>
      <c r="O75" s="2" t="s">
        <v>125</v>
      </c>
      <c r="P75">
        <v>2019</v>
      </c>
      <c r="Q75">
        <v>665</v>
      </c>
      <c r="R75" t="s">
        <v>617</v>
      </c>
      <c r="S75">
        <v>500</v>
      </c>
      <c r="AH75" s="2" t="str">
        <f t="shared" si="39"/>
        <v>2018</v>
      </c>
      <c r="AI75" s="2">
        <f t="shared" si="38"/>
        <v>448.00016087192586</v>
      </c>
      <c r="AJ75" s="2">
        <f t="shared" si="21"/>
        <v>0.89600032174385169</v>
      </c>
      <c r="AK75" s="12">
        <f t="shared" si="22"/>
        <v>0.17522245037644968</v>
      </c>
      <c r="AL75" s="2" t="s">
        <v>570</v>
      </c>
      <c r="AM75" s="2" t="str">
        <f>VLOOKUP(A75,'[12]Power plant names'!$C$2:$F$545,4,FALSE)</f>
        <v>Sub critical</v>
      </c>
      <c r="AN75" s="2">
        <v>500</v>
      </c>
      <c r="AO75" s="2">
        <f t="shared" si="23"/>
        <v>0.89600032174385169</v>
      </c>
      <c r="AP75" s="2">
        <v>500</v>
      </c>
      <c r="AQ75" s="2">
        <f t="shared" si="24"/>
        <v>0</v>
      </c>
      <c r="AR75" s="2">
        <f t="shared" si="25"/>
        <v>448.00016087192586</v>
      </c>
      <c r="AS75" s="2">
        <f t="shared" si="26"/>
        <v>0</v>
      </c>
      <c r="AU75" s="2">
        <f t="shared" si="27"/>
        <v>556.96500000000003</v>
      </c>
      <c r="AV75" s="2">
        <f t="shared" si="28"/>
        <v>1.1139300000000001</v>
      </c>
      <c r="AW75" s="12">
        <f t="shared" si="29"/>
        <v>2.1752224503764497</v>
      </c>
      <c r="AX75" s="2">
        <v>500</v>
      </c>
      <c r="AY75" s="3">
        <f t="shared" si="30"/>
        <v>1.1139300000000001</v>
      </c>
      <c r="AZ75" s="2">
        <f t="shared" si="31"/>
        <v>556.96500000000003</v>
      </c>
      <c r="BA75" s="2">
        <f t="shared" si="32"/>
        <v>0</v>
      </c>
      <c r="BC75">
        <f t="shared" si="33"/>
        <v>692.43281212500005</v>
      </c>
      <c r="BD75">
        <f t="shared" si="34"/>
        <v>1.3848656242500001</v>
      </c>
      <c r="BE75">
        <f t="shared" si="35"/>
        <v>1.3848656242500001</v>
      </c>
      <c r="BF75">
        <f t="shared" si="36"/>
        <v>692.43281212500005</v>
      </c>
      <c r="BG75">
        <f t="shared" si="37"/>
        <v>0</v>
      </c>
    </row>
    <row r="76" spans="1:59" ht="15" hidden="1" customHeight="1" x14ac:dyDescent="0.2">
      <c r="A76" s="2" t="s">
        <v>277</v>
      </c>
      <c r="B76" s="2" t="str">
        <f>VLOOKUP($A76,'[1]daily coal, energy reqd'!$C$2:$T$599,17,FALSE)</f>
        <v>Jharkhand</v>
      </c>
      <c r="C76" s="2" t="str">
        <f>VLOOKUP(B76,'Target PLF'!$I$2:$J$19,2,FALSE)</f>
        <v>ER</v>
      </c>
      <c r="D76" s="2" t="s">
        <v>571</v>
      </c>
      <c r="E76" s="2" t="s">
        <v>544</v>
      </c>
      <c r="F76" s="12">
        <v>10.5051334702258</v>
      </c>
      <c r="G76" s="2">
        <v>250</v>
      </c>
      <c r="H76">
        <f>VLOOKUP(A76,'Coal savings'!$A$3:$AB$543,26,FALSE)</f>
        <v>0</v>
      </c>
      <c r="I76" t="s">
        <v>694</v>
      </c>
      <c r="J76">
        <v>264.95999999999998</v>
      </c>
      <c r="O76" s="2" t="s">
        <v>277</v>
      </c>
      <c r="AH76" s="2" t="str">
        <f t="shared" si="39"/>
        <v>2019</v>
      </c>
      <c r="AI76" s="2">
        <f t="shared" si="38"/>
        <v>191.14181825133477</v>
      </c>
      <c r="AJ76" s="2">
        <f t="shared" si="21"/>
        <v>0.76456727300533911</v>
      </c>
      <c r="AK76" s="12">
        <f t="shared" si="22"/>
        <v>6.5051334702258004</v>
      </c>
      <c r="AL76" s="2" t="s">
        <v>571</v>
      </c>
      <c r="AM76" s="2" t="str">
        <f>VLOOKUP(A76,'[12]Power plant names'!$C$2:$F$545,4,FALSE)</f>
        <v>Sub critical</v>
      </c>
      <c r="AN76" s="2">
        <v>250</v>
      </c>
      <c r="AO76" s="2">
        <f t="shared" si="23"/>
        <v>0.76456727300533911</v>
      </c>
      <c r="AP76" s="2">
        <v>250</v>
      </c>
      <c r="AQ76" s="2">
        <f t="shared" si="24"/>
        <v>0</v>
      </c>
      <c r="AR76" s="2">
        <f t="shared" si="25"/>
        <v>191.14181825133477</v>
      </c>
      <c r="AS76" s="2">
        <f t="shared" si="26"/>
        <v>0</v>
      </c>
      <c r="AU76" s="2">
        <f t="shared" si="27"/>
        <v>264.95999999999998</v>
      </c>
      <c r="AV76" s="2">
        <f t="shared" si="28"/>
        <v>1.0598399999999999</v>
      </c>
      <c r="AW76" s="12">
        <f t="shared" si="29"/>
        <v>9.5051334702258004</v>
      </c>
      <c r="AX76" s="2">
        <v>250</v>
      </c>
      <c r="AY76" s="3">
        <f t="shared" si="30"/>
        <v>1.0598399999999999</v>
      </c>
      <c r="AZ76" s="2">
        <f t="shared" si="31"/>
        <v>264.95999999999998</v>
      </c>
      <c r="BA76" s="2">
        <f t="shared" si="32"/>
        <v>0</v>
      </c>
      <c r="BC76">
        <f t="shared" si="33"/>
        <v>295.43039999999996</v>
      </c>
      <c r="BD76">
        <f t="shared" si="34"/>
        <v>1.1817215999999999</v>
      </c>
      <c r="BE76">
        <f t="shared" si="35"/>
        <v>1.1817215999999999</v>
      </c>
      <c r="BF76">
        <f t="shared" si="36"/>
        <v>295.43039999999996</v>
      </c>
      <c r="BG76">
        <f t="shared" si="37"/>
        <v>0</v>
      </c>
    </row>
    <row r="77" spans="1:59" ht="15" hidden="1" customHeight="1" x14ac:dyDescent="0.2">
      <c r="A77" s="2" t="s">
        <v>270</v>
      </c>
      <c r="B77" s="2" t="str">
        <f>VLOOKUP($A77,'[1]daily coal, energy reqd'!$C$2:$T$599,17,FALSE)</f>
        <v>Jharkhand</v>
      </c>
      <c r="C77" s="2" t="str">
        <f>VLOOKUP(B77,'Target PLF'!$I$2:$J$19,2,FALSE)</f>
        <v>ER</v>
      </c>
      <c r="D77" s="2" t="s">
        <v>571</v>
      </c>
      <c r="E77" s="2" t="s">
        <v>544</v>
      </c>
      <c r="F77" s="12">
        <v>10.17659137577</v>
      </c>
      <c r="G77" s="2">
        <v>250</v>
      </c>
      <c r="H77">
        <f>VLOOKUP(A77,'Coal savings'!$A$3:$AB$543,26,FALSE)</f>
        <v>0</v>
      </c>
      <c r="I77" t="s">
        <v>694</v>
      </c>
      <c r="J77">
        <v>264.95999999999998</v>
      </c>
      <c r="O77" s="2" t="s">
        <v>270</v>
      </c>
      <c r="AH77" s="2" t="str">
        <f t="shared" si="39"/>
        <v>2019</v>
      </c>
      <c r="AI77" s="2">
        <f t="shared" si="38"/>
        <v>191.14181825133477</v>
      </c>
      <c r="AJ77" s="2">
        <f t="shared" si="21"/>
        <v>0.76456727300533911</v>
      </c>
      <c r="AK77" s="12">
        <f t="shared" si="22"/>
        <v>6.1765913757700002</v>
      </c>
      <c r="AL77" s="2" t="s">
        <v>571</v>
      </c>
      <c r="AM77" s="2" t="str">
        <f>VLOOKUP(A77,'[12]Power plant names'!$C$2:$F$545,4,FALSE)</f>
        <v>Sub critical</v>
      </c>
      <c r="AN77" s="2">
        <v>250</v>
      </c>
      <c r="AO77" s="2">
        <f t="shared" si="23"/>
        <v>0.76456727300533911</v>
      </c>
      <c r="AP77" s="2">
        <v>250</v>
      </c>
      <c r="AQ77" s="2">
        <f t="shared" si="24"/>
        <v>0</v>
      </c>
      <c r="AR77" s="2">
        <f t="shared" si="25"/>
        <v>191.14181825133477</v>
      </c>
      <c r="AS77" s="2">
        <f t="shared" si="26"/>
        <v>0</v>
      </c>
      <c r="AU77" s="2">
        <f t="shared" si="27"/>
        <v>264.95999999999998</v>
      </c>
      <c r="AV77" s="2">
        <f t="shared" si="28"/>
        <v>1.0598399999999999</v>
      </c>
      <c r="AW77" s="12">
        <f t="shared" si="29"/>
        <v>9.1765913757700002</v>
      </c>
      <c r="AX77" s="2">
        <v>250</v>
      </c>
      <c r="AY77" s="3">
        <f t="shared" si="30"/>
        <v>1.0598399999999999</v>
      </c>
      <c r="AZ77" s="2">
        <f t="shared" si="31"/>
        <v>264.95999999999998</v>
      </c>
      <c r="BA77" s="2">
        <f t="shared" si="32"/>
        <v>0</v>
      </c>
      <c r="BC77">
        <f t="shared" si="33"/>
        <v>295.43039999999996</v>
      </c>
      <c r="BD77">
        <f t="shared" si="34"/>
        <v>1.1817215999999999</v>
      </c>
      <c r="BE77">
        <f t="shared" si="35"/>
        <v>1.1817215999999999</v>
      </c>
      <c r="BF77">
        <f t="shared" si="36"/>
        <v>295.43039999999996</v>
      </c>
      <c r="BG77">
        <f t="shared" si="37"/>
        <v>0</v>
      </c>
    </row>
    <row r="78" spans="1:59" ht="15" hidden="1" customHeight="1" x14ac:dyDescent="0.2">
      <c r="A78" s="2" t="s">
        <v>278</v>
      </c>
      <c r="B78" s="2" t="str">
        <f>VLOOKUP($A78,'[1]daily coal, energy reqd'!$C$2:$T$599,17,FALSE)</f>
        <v>Rajasthan</v>
      </c>
      <c r="C78" s="2" t="str">
        <f>VLOOKUP(B78,'Target PLF'!$I$2:$J$19,2,FALSE)</f>
        <v>NR</v>
      </c>
      <c r="D78" s="2" t="s">
        <v>570</v>
      </c>
      <c r="E78" s="2" t="s">
        <v>544</v>
      </c>
      <c r="F78" s="12">
        <v>10.590006844626901</v>
      </c>
      <c r="G78" s="2">
        <v>250</v>
      </c>
      <c r="H78">
        <f>VLOOKUP(A78,'Coal savings'!$A$3:$AB$543,26,FALSE)</f>
        <v>0</v>
      </c>
      <c r="O78" s="2" t="s">
        <v>278</v>
      </c>
      <c r="Q78" s="96"/>
      <c r="AH78" s="2" t="str">
        <f t="shared" si="39"/>
        <v/>
      </c>
      <c r="AI78" s="2"/>
      <c r="AJ78" s="2" t="str">
        <f t="shared" si="21"/>
        <v/>
      </c>
      <c r="AK78" s="12">
        <f t="shared" si="22"/>
        <v>6.5900068446269007</v>
      </c>
      <c r="AL78" s="2" t="s">
        <v>570</v>
      </c>
      <c r="AM78" s="2" t="str">
        <f>VLOOKUP(A78,'[12]Power plant names'!$C$2:$F$545,4,FALSE)</f>
        <v>Sub critical</v>
      </c>
      <c r="AN78" s="2">
        <v>250</v>
      </c>
      <c r="AO78" s="2">
        <f t="shared" si="23"/>
        <v>0.87722250116358758</v>
      </c>
      <c r="AP78" s="2">
        <v>250</v>
      </c>
      <c r="AQ78" s="2">
        <f t="shared" si="24"/>
        <v>0</v>
      </c>
      <c r="AR78" s="2">
        <f t="shared" si="25"/>
        <v>219.3056252908969</v>
      </c>
      <c r="AS78" s="2">
        <f t="shared" si="26"/>
        <v>0</v>
      </c>
      <c r="AU78" s="2"/>
      <c r="AV78" s="2" t="str">
        <f t="shared" si="28"/>
        <v/>
      </c>
      <c r="AW78" s="12">
        <f t="shared" si="29"/>
        <v>10.590006844626901</v>
      </c>
      <c r="AX78" s="2">
        <v>250</v>
      </c>
      <c r="AY78" s="3">
        <f t="shared" si="30"/>
        <v>1.0866818188911718</v>
      </c>
      <c r="AZ78" s="2">
        <f t="shared" si="31"/>
        <v>271.67045472279295</v>
      </c>
      <c r="BA78" s="2">
        <f t="shared" si="32"/>
        <v>0</v>
      </c>
      <c r="BC78" t="str">
        <f t="shared" si="33"/>
        <v/>
      </c>
      <c r="BE78">
        <f t="shared" si="35"/>
        <v>1.2313889876796729</v>
      </c>
      <c r="BF78">
        <f t="shared" si="36"/>
        <v>307.84724691991823</v>
      </c>
      <c r="BG78">
        <f t="shared" si="37"/>
        <v>0</v>
      </c>
    </row>
    <row r="79" spans="1:59" ht="15" hidden="1" customHeight="1" x14ac:dyDescent="0.2">
      <c r="A79" s="2" t="s">
        <v>269</v>
      </c>
      <c r="B79" s="2" t="str">
        <f>VLOOKUP($A79,'[1]daily coal, energy reqd'!$C$2:$T$599,17,FALSE)</f>
        <v>Rajasthan</v>
      </c>
      <c r="C79" s="2" t="str">
        <f>VLOOKUP(B79,'Target PLF'!$I$2:$J$19,2,FALSE)</f>
        <v>NR</v>
      </c>
      <c r="D79" s="2" t="s">
        <v>570</v>
      </c>
      <c r="E79" s="2" t="s">
        <v>543</v>
      </c>
      <c r="F79" s="12">
        <v>10.009582477754901</v>
      </c>
      <c r="G79" s="2">
        <v>250</v>
      </c>
      <c r="H79">
        <f>VLOOKUP(A79,'Coal savings'!$A$3:$AB$543,26,FALSE)</f>
        <v>0</v>
      </c>
      <c r="O79" s="2" t="s">
        <v>269</v>
      </c>
      <c r="Q79" s="96"/>
      <c r="AH79" s="2" t="str">
        <f t="shared" si="39"/>
        <v/>
      </c>
      <c r="AI79" s="2"/>
      <c r="AJ79" s="2" t="str">
        <f t="shared" si="21"/>
        <v/>
      </c>
      <c r="AK79" s="12">
        <f t="shared" si="22"/>
        <v>6.0095824777549005</v>
      </c>
      <c r="AL79" s="2" t="s">
        <v>570</v>
      </c>
      <c r="AM79" s="2" t="str">
        <f>VLOOKUP(A79,'[12]Power plant names'!$C$2:$F$545,4,FALSE)</f>
        <v>Sub critical</v>
      </c>
      <c r="AN79" s="2">
        <v>250</v>
      </c>
      <c r="AO79" s="2">
        <f t="shared" si="23"/>
        <v>0.88526462902121927</v>
      </c>
      <c r="AP79" s="2">
        <v>250</v>
      </c>
      <c r="AQ79" s="2">
        <f t="shared" si="24"/>
        <v>0</v>
      </c>
      <c r="AR79" s="2">
        <f t="shared" si="25"/>
        <v>221.31615725530483</v>
      </c>
      <c r="AS79" s="2">
        <f t="shared" si="26"/>
        <v>0</v>
      </c>
      <c r="AU79" s="2"/>
      <c r="AV79" s="2" t="str">
        <f t="shared" si="28"/>
        <v/>
      </c>
      <c r="AW79" s="12">
        <f t="shared" si="29"/>
        <v>10.009582477754901</v>
      </c>
      <c r="AX79" s="2">
        <v>250</v>
      </c>
      <c r="AY79" s="3">
        <f t="shared" si="30"/>
        <v>1.0972062476386049</v>
      </c>
      <c r="AZ79" s="2">
        <f t="shared" si="31"/>
        <v>274.30156190965124</v>
      </c>
      <c r="BA79" s="2">
        <f t="shared" si="32"/>
        <v>0</v>
      </c>
      <c r="BC79" t="str">
        <f t="shared" si="33"/>
        <v/>
      </c>
      <c r="BE79">
        <f t="shared" si="35"/>
        <v>1.2438817515400424</v>
      </c>
      <c r="BF79">
        <f t="shared" si="36"/>
        <v>310.9704378850106</v>
      </c>
      <c r="BG79">
        <f t="shared" si="37"/>
        <v>0</v>
      </c>
    </row>
    <row r="80" spans="1:59" ht="15" customHeight="1" x14ac:dyDescent="0.2">
      <c r="A80" s="2" t="s">
        <v>240</v>
      </c>
      <c r="B80" s="2" t="str">
        <f>VLOOKUP($A80,'[1]daily coal, energy reqd'!$C$2:$T$599,17,FALSE)</f>
        <v>Rajasthan</v>
      </c>
      <c r="C80" s="2" t="str">
        <f>VLOOKUP(B80,'Target PLF'!$I$2:$J$19,2,FALSE)</f>
        <v>NR</v>
      </c>
      <c r="D80" s="2" t="s">
        <v>570</v>
      </c>
      <c r="E80" s="2" t="s">
        <v>543</v>
      </c>
      <c r="F80" s="12">
        <v>6.6721423682409302</v>
      </c>
      <c r="G80" s="2">
        <v>250</v>
      </c>
      <c r="H80">
        <f>VLOOKUP(A80,'Coal savings'!$A$3:$AB$543,26,FALSE)</f>
        <v>748238.20325795922</v>
      </c>
      <c r="O80" s="2" t="s">
        <v>240</v>
      </c>
      <c r="AH80" s="2" t="str">
        <f t="shared" si="39"/>
        <v/>
      </c>
      <c r="AI80" s="2"/>
      <c r="AJ80" s="2" t="str">
        <f t="shared" si="21"/>
        <v/>
      </c>
      <c r="AK80" s="12">
        <f t="shared" si="22"/>
        <v>2.6721423682409302</v>
      </c>
      <c r="AL80" s="2" t="s">
        <v>570</v>
      </c>
      <c r="AM80" s="2" t="str">
        <f>VLOOKUP(A80,'[12]Power plant names'!$C$2:$F$545,4,FALSE)</f>
        <v>Sub critical</v>
      </c>
      <c r="AN80" s="2">
        <v>250</v>
      </c>
      <c r="AO80" s="2">
        <f t="shared" si="23"/>
        <v>0.93150686420260109</v>
      </c>
      <c r="AP80" s="2">
        <v>250</v>
      </c>
      <c r="AQ80" s="2">
        <f t="shared" si="24"/>
        <v>0</v>
      </c>
      <c r="AR80" s="2">
        <f t="shared" si="25"/>
        <v>232.87671605065026</v>
      </c>
      <c r="AS80" s="2">
        <f t="shared" si="26"/>
        <v>0</v>
      </c>
      <c r="AU80" s="2"/>
      <c r="AV80" s="2" t="str">
        <f t="shared" si="28"/>
        <v/>
      </c>
      <c r="AW80" s="12">
        <f t="shared" si="29"/>
        <v>6.6721423682409302</v>
      </c>
      <c r="AX80" s="2">
        <v>250</v>
      </c>
      <c r="AY80" s="3">
        <f t="shared" si="30"/>
        <v>1.1577217129363451</v>
      </c>
      <c r="AZ80" s="2">
        <f t="shared" si="31"/>
        <v>289.43042823408626</v>
      </c>
      <c r="BA80" s="2">
        <f t="shared" si="32"/>
        <v>0</v>
      </c>
      <c r="BC80" t="str">
        <f t="shared" si="33"/>
        <v/>
      </c>
      <c r="BE80">
        <f t="shared" si="35"/>
        <v>1.3157151437371664</v>
      </c>
      <c r="BF80">
        <f t="shared" si="36"/>
        <v>328.92878593429157</v>
      </c>
      <c r="BG80">
        <f t="shared" si="37"/>
        <v>0</v>
      </c>
    </row>
    <row r="81" spans="1:59" ht="15" customHeight="1" x14ac:dyDescent="0.2">
      <c r="A81" s="2" t="s">
        <v>227</v>
      </c>
      <c r="B81" s="2" t="str">
        <f>VLOOKUP($A81,'[1]daily coal, energy reqd'!$C$2:$T$599,17,FALSE)</f>
        <v>Rajasthan</v>
      </c>
      <c r="C81" s="2" t="str">
        <f>VLOOKUP(B81,'Target PLF'!$I$2:$J$19,2,FALSE)</f>
        <v>NR</v>
      </c>
      <c r="D81" s="2" t="s">
        <v>570</v>
      </c>
      <c r="E81" s="2" t="s">
        <v>543</v>
      </c>
      <c r="F81" s="12">
        <v>5.9247091033538597</v>
      </c>
      <c r="G81" s="2">
        <v>250</v>
      </c>
      <c r="H81">
        <f>VLOOKUP(A81,'Coal savings'!$A$3:$AB$543,26,FALSE)</f>
        <v>746848.39532913908</v>
      </c>
      <c r="O81" s="2" t="s">
        <v>227</v>
      </c>
      <c r="AH81" s="2" t="str">
        <f t="shared" si="39"/>
        <v/>
      </c>
      <c r="AI81" s="2"/>
      <c r="AJ81" s="2" t="str">
        <f t="shared" si="21"/>
        <v/>
      </c>
      <c r="AK81" s="12">
        <f t="shared" si="22"/>
        <v>1.9247091033538597</v>
      </c>
      <c r="AL81" s="2" t="s">
        <v>570</v>
      </c>
      <c r="AM81" s="2" t="str">
        <f>VLOOKUP(A81,'[12]Power plant names'!$C$2:$F$545,4,FALSE)</f>
        <v>Sub critical</v>
      </c>
      <c r="AN81" s="2">
        <v>250</v>
      </c>
      <c r="AO81" s="2">
        <f t="shared" si="23"/>
        <v>0.94186300054757033</v>
      </c>
      <c r="AP81" s="2">
        <v>250</v>
      </c>
      <c r="AQ81" s="2">
        <f t="shared" si="24"/>
        <v>0</v>
      </c>
      <c r="AR81" s="2">
        <f t="shared" si="25"/>
        <v>235.46575013689258</v>
      </c>
      <c r="AS81" s="2">
        <f t="shared" si="26"/>
        <v>0</v>
      </c>
      <c r="AU81" s="2"/>
      <c r="AV81" s="2" t="str">
        <f t="shared" si="28"/>
        <v/>
      </c>
      <c r="AW81" s="12">
        <f t="shared" si="29"/>
        <v>5.9247091033538597</v>
      </c>
      <c r="AX81" s="2">
        <v>250</v>
      </c>
      <c r="AY81" s="3">
        <f t="shared" si="30"/>
        <v>1.1712743971252568</v>
      </c>
      <c r="AZ81" s="2">
        <f t="shared" si="31"/>
        <v>292.81859928131422</v>
      </c>
      <c r="BA81" s="2">
        <f t="shared" si="32"/>
        <v>0</v>
      </c>
      <c r="BC81" t="str">
        <f t="shared" si="33"/>
        <v/>
      </c>
      <c r="BE81">
        <f t="shared" si="35"/>
        <v>1.3318025236139632</v>
      </c>
      <c r="BF81">
        <f t="shared" si="36"/>
        <v>332.95063090349083</v>
      </c>
      <c r="BG81">
        <f t="shared" si="37"/>
        <v>0</v>
      </c>
    </row>
    <row r="82" spans="1:59" ht="15" customHeight="1" x14ac:dyDescent="0.2">
      <c r="A82" s="2" t="s">
        <v>30</v>
      </c>
      <c r="B82" s="2" t="str">
        <f>VLOOKUP($A82,'[1]daily coal, energy reqd'!$C$2:$T$599,17,FALSE)</f>
        <v>Rajasthan</v>
      </c>
      <c r="C82" s="2" t="str">
        <f>VLOOKUP(B82,'Target PLF'!$I$2:$J$19,2,FALSE)</f>
        <v>NR</v>
      </c>
      <c r="D82" s="2" t="s">
        <v>570</v>
      </c>
      <c r="E82" s="2" t="s">
        <v>542</v>
      </c>
      <c r="F82" s="12">
        <v>3.0910335386721401</v>
      </c>
      <c r="G82" s="2">
        <v>660</v>
      </c>
      <c r="H82">
        <f>VLOOKUP(A82,'Coal savings'!$A$3:$AB$543,26,FALSE)</f>
        <v>2826976.7028465467</v>
      </c>
      <c r="O82" s="2" t="s">
        <v>30</v>
      </c>
      <c r="AH82" s="2" t="str">
        <f t="shared" si="39"/>
        <v/>
      </c>
      <c r="AI82" s="2"/>
      <c r="AJ82" s="2" t="str">
        <f t="shared" si="21"/>
        <v/>
      </c>
      <c r="AK82" s="12">
        <f t="shared" si="22"/>
        <v>1</v>
      </c>
      <c r="AL82" s="2" t="s">
        <v>570</v>
      </c>
      <c r="AM82" s="2" t="str">
        <f>VLOOKUP(A82,'[12]Power plant names'!$C$2:$F$545,4,FALSE)</f>
        <v>Super critical</v>
      </c>
      <c r="AN82" s="2">
        <v>660</v>
      </c>
      <c r="AO82" s="2">
        <f t="shared" si="23"/>
        <v>0.76939640000000009</v>
      </c>
      <c r="AP82" s="2">
        <v>660</v>
      </c>
      <c r="AQ82" s="2">
        <f t="shared" si="24"/>
        <v>0</v>
      </c>
      <c r="AR82" s="2">
        <f t="shared" si="25"/>
        <v>507.80162400000006</v>
      </c>
      <c r="AS82" s="2">
        <f t="shared" si="26"/>
        <v>0</v>
      </c>
      <c r="AU82" s="2"/>
      <c r="AV82" s="2" t="str">
        <f t="shared" si="28"/>
        <v/>
      </c>
      <c r="AW82" s="12">
        <f t="shared" si="29"/>
        <v>3.0910335386721401</v>
      </c>
      <c r="AX82" s="2">
        <v>660</v>
      </c>
      <c r="AY82" s="3">
        <f t="shared" si="30"/>
        <v>0.99371145256673521</v>
      </c>
      <c r="AZ82" s="2">
        <f t="shared" si="31"/>
        <v>655.84955869404519</v>
      </c>
      <c r="BA82" s="2">
        <f t="shared" si="32"/>
        <v>0</v>
      </c>
      <c r="BC82" t="str">
        <f t="shared" si="33"/>
        <v/>
      </c>
      <c r="BE82">
        <f t="shared" si="35"/>
        <v>1.1048911396303902</v>
      </c>
      <c r="BF82">
        <f t="shared" si="36"/>
        <v>729.22815215605749</v>
      </c>
      <c r="BG82">
        <f t="shared" si="37"/>
        <v>0</v>
      </c>
    </row>
    <row r="83" spans="1:59" ht="15" customHeight="1" x14ac:dyDescent="0.2">
      <c r="A83" s="2" t="s">
        <v>18</v>
      </c>
      <c r="B83" s="2" t="str">
        <f>VLOOKUP($A83,'[1]daily coal, energy reqd'!$C$2:$T$599,17,FALSE)</f>
        <v>Rajasthan</v>
      </c>
      <c r="C83" s="2" t="str">
        <f>VLOOKUP(B83,'Target PLF'!$I$2:$J$19,2,FALSE)</f>
        <v>NR</v>
      </c>
      <c r="D83" s="2" t="s">
        <v>570</v>
      </c>
      <c r="E83" s="2" t="s">
        <v>542</v>
      </c>
      <c r="F83" s="13">
        <v>1.06776180698151</v>
      </c>
      <c r="G83" s="2">
        <v>660</v>
      </c>
      <c r="H83">
        <f>VLOOKUP(A83,'Coal savings'!$A$3:$AB$543,26,FALSE)</f>
        <v>2809835.0303206411</v>
      </c>
      <c r="O83" s="2" t="s">
        <v>18</v>
      </c>
      <c r="AH83" s="2" t="str">
        <f t="shared" si="39"/>
        <v/>
      </c>
      <c r="AI83" s="2"/>
      <c r="AJ83" s="2" t="str">
        <f t="shared" si="21"/>
        <v/>
      </c>
      <c r="AK83" s="12">
        <f t="shared" si="22"/>
        <v>1</v>
      </c>
      <c r="AL83" s="2" t="s">
        <v>570</v>
      </c>
      <c r="AM83" s="2" t="str">
        <f>VLOOKUP(A83,'[12]Power plant names'!$C$2:$F$545,4,FALSE)</f>
        <v>Super critical</v>
      </c>
      <c r="AN83" s="2">
        <v>660</v>
      </c>
      <c r="AO83" s="2">
        <f t="shared" si="23"/>
        <v>0.76939640000000009</v>
      </c>
      <c r="AP83" s="2">
        <v>660</v>
      </c>
      <c r="AQ83" s="2">
        <f t="shared" si="24"/>
        <v>0</v>
      </c>
      <c r="AR83" s="2">
        <f t="shared" si="25"/>
        <v>507.80162400000006</v>
      </c>
      <c r="AS83" s="2">
        <f t="shared" si="26"/>
        <v>0</v>
      </c>
      <c r="AU83" s="2"/>
      <c r="AV83" s="2" t="str">
        <f t="shared" si="28"/>
        <v/>
      </c>
      <c r="AW83" s="12">
        <f t="shared" si="29"/>
        <v>1.06776180698151</v>
      </c>
      <c r="AX83" s="2">
        <v>660</v>
      </c>
      <c r="AY83" s="3">
        <f t="shared" si="30"/>
        <v>1.0303980225872693</v>
      </c>
      <c r="AZ83" s="2">
        <f t="shared" si="31"/>
        <v>680.0626949075978</v>
      </c>
      <c r="BA83" s="2">
        <f t="shared" si="32"/>
        <v>0</v>
      </c>
      <c r="BC83" t="str">
        <f t="shared" si="33"/>
        <v/>
      </c>
      <c r="BE83">
        <f t="shared" si="35"/>
        <v>1.1484390287474335</v>
      </c>
      <c r="BF83">
        <f t="shared" si="36"/>
        <v>757.96975897330617</v>
      </c>
      <c r="BG83">
        <f t="shared" si="37"/>
        <v>0</v>
      </c>
    </row>
    <row r="84" spans="1:59" ht="15" customHeight="1" x14ac:dyDescent="0.2">
      <c r="A84" s="2" t="s">
        <v>274</v>
      </c>
      <c r="B84" s="2" t="str">
        <f>VLOOKUP($A84,'[1]daily coal, energy reqd'!$C$2:$T$599,17,FALSE)</f>
        <v>West Bengal</v>
      </c>
      <c r="C84" s="2" t="str">
        <f>VLOOKUP(B84,'Target PLF'!$I$2:$J$19,2,FALSE)</f>
        <v>ER</v>
      </c>
      <c r="D84" s="2" t="s">
        <v>570</v>
      </c>
      <c r="E84" s="2" t="s">
        <v>544</v>
      </c>
      <c r="F84" s="12">
        <v>12.4435318275154</v>
      </c>
      <c r="G84" s="2">
        <v>300</v>
      </c>
      <c r="H84">
        <f>VLOOKUP(A84,'Coal savings'!$A$3:$AB$543,26,FALSE)</f>
        <v>837398.72721160133</v>
      </c>
      <c r="O84" s="2" t="s">
        <v>274</v>
      </c>
      <c r="AH84" s="2" t="str">
        <f t="shared" si="39"/>
        <v/>
      </c>
      <c r="AI84" s="2"/>
      <c r="AJ84" s="2" t="str">
        <f t="shared" si="21"/>
        <v/>
      </c>
      <c r="AK84" s="12">
        <f t="shared" si="22"/>
        <v>8.4435318275154003</v>
      </c>
      <c r="AL84" s="2" t="s">
        <v>570</v>
      </c>
      <c r="AM84" s="2" t="str">
        <f>VLOOKUP(A84,'[12]Power plant names'!$C$2:$F$545,4,FALSE)</f>
        <v>Sub critical</v>
      </c>
      <c r="AN84" s="2">
        <v>300</v>
      </c>
      <c r="AO84" s="2">
        <f t="shared" si="23"/>
        <v>0.82894580041067778</v>
      </c>
      <c r="AP84" s="2"/>
      <c r="AQ84" s="2">
        <f t="shared" si="24"/>
        <v>300</v>
      </c>
      <c r="AR84" s="2">
        <f t="shared" si="25"/>
        <v>0</v>
      </c>
      <c r="AS84" s="2">
        <f t="shared" si="26"/>
        <v>248.68374012320334</v>
      </c>
      <c r="AU84" s="2"/>
      <c r="AV84" s="2" t="str">
        <f t="shared" si="28"/>
        <v/>
      </c>
      <c r="AW84" s="12">
        <f t="shared" si="29"/>
        <v>12.4435318275154</v>
      </c>
      <c r="AX84" s="2">
        <v>300</v>
      </c>
      <c r="AY84" s="3">
        <f t="shared" si="30"/>
        <v>1.0251531478439426</v>
      </c>
      <c r="AZ84" s="2">
        <f t="shared" si="31"/>
        <v>0</v>
      </c>
      <c r="BA84" s="2">
        <f t="shared" si="32"/>
        <v>307.54594435318279</v>
      </c>
      <c r="BC84" t="str">
        <f t="shared" si="33"/>
        <v/>
      </c>
      <c r="BE84">
        <f t="shared" si="35"/>
        <v>1.1563846427104723</v>
      </c>
      <c r="BF84">
        <f t="shared" si="36"/>
        <v>0</v>
      </c>
      <c r="BG84">
        <f t="shared" si="37"/>
        <v>346.91539281314169</v>
      </c>
    </row>
    <row r="85" spans="1:59" ht="15" customHeight="1" x14ac:dyDescent="0.2">
      <c r="A85" s="2" t="s">
        <v>229</v>
      </c>
      <c r="B85" s="2" t="str">
        <f>VLOOKUP($A85,'[1]daily coal, energy reqd'!$C$2:$T$599,17,FALSE)</f>
        <v>West Bengal</v>
      </c>
      <c r="C85" s="2" t="str">
        <f>VLOOKUP(B85,'Target PLF'!$I$2:$J$19,2,FALSE)</f>
        <v>ER</v>
      </c>
      <c r="D85" s="2" t="s">
        <v>570</v>
      </c>
      <c r="E85" s="2" t="s">
        <v>543</v>
      </c>
      <c r="F85" s="12">
        <v>6.1765913757700197</v>
      </c>
      <c r="G85" s="2">
        <v>250</v>
      </c>
      <c r="H85">
        <f>VLOOKUP(A85,'Coal savings'!$A$3:$AB$543,26,FALSE)</f>
        <v>697469.84300645313</v>
      </c>
      <c r="O85" s="2" t="s">
        <v>229</v>
      </c>
      <c r="AH85" s="2" t="str">
        <f t="shared" si="39"/>
        <v/>
      </c>
      <c r="AI85" s="2"/>
      <c r="AJ85" s="2" t="str">
        <f t="shared" si="21"/>
        <v/>
      </c>
      <c r="AK85" s="12">
        <f t="shared" si="22"/>
        <v>2.1765913757700197</v>
      </c>
      <c r="AL85" s="2" t="s">
        <v>570</v>
      </c>
      <c r="AM85" s="2" t="str">
        <f>VLOOKUP(A85,'[12]Power plant names'!$C$2:$F$545,4,FALSE)</f>
        <v>Sub critical</v>
      </c>
      <c r="AN85" s="2">
        <v>250</v>
      </c>
      <c r="AO85" s="2">
        <f t="shared" si="23"/>
        <v>0.93837302053388094</v>
      </c>
      <c r="AP85" s="2"/>
      <c r="AQ85" s="2">
        <f t="shared" si="24"/>
        <v>250</v>
      </c>
      <c r="AR85" s="2">
        <f t="shared" si="25"/>
        <v>0</v>
      </c>
      <c r="AS85" s="2">
        <f t="shared" si="26"/>
        <v>234.59325513347022</v>
      </c>
      <c r="AU85" s="2"/>
      <c r="AV85" s="2" t="str">
        <f t="shared" si="28"/>
        <v/>
      </c>
      <c r="AW85" s="12">
        <f t="shared" si="29"/>
        <v>6.1765913757700197</v>
      </c>
      <c r="AX85" s="2">
        <v>250</v>
      </c>
      <c r="AY85" s="3">
        <f t="shared" si="30"/>
        <v>1.1667071921971255</v>
      </c>
      <c r="AZ85" s="2">
        <f t="shared" si="31"/>
        <v>0</v>
      </c>
      <c r="BA85" s="2">
        <f t="shared" si="32"/>
        <v>291.67679804928139</v>
      </c>
      <c r="BC85" t="str">
        <f t="shared" si="33"/>
        <v/>
      </c>
      <c r="BE85">
        <f t="shared" si="35"/>
        <v>1.3263811355236139</v>
      </c>
      <c r="BF85">
        <f t="shared" si="36"/>
        <v>0</v>
      </c>
      <c r="BG85">
        <f t="shared" si="37"/>
        <v>331.59528388090348</v>
      </c>
    </row>
    <row r="86" spans="1:59" ht="15" hidden="1" customHeight="1" x14ac:dyDescent="0.2">
      <c r="A86" s="2" t="s">
        <v>421</v>
      </c>
      <c r="B86" s="2" t="str">
        <f>VLOOKUP($A86,'[1]daily coal, energy reqd'!$C$2:$T$599,17,FALSE)</f>
        <v>Uttar Pradesh</v>
      </c>
      <c r="C86" s="2" t="str">
        <f>VLOOKUP(B86,'Target PLF'!$I$2:$J$19,2,FALSE)</f>
        <v>NR</v>
      </c>
      <c r="D86" s="2" t="s">
        <v>571</v>
      </c>
      <c r="E86" s="2" t="s">
        <v>547</v>
      </c>
      <c r="F86" s="12">
        <v>28.4243668720054</v>
      </c>
      <c r="G86" s="2">
        <v>210</v>
      </c>
      <c r="H86">
        <f>VLOOKUP(A86,'Coal savings'!$A$3:$AB$543,26,FALSE)</f>
        <v>0</v>
      </c>
      <c r="I86" t="s">
        <v>694</v>
      </c>
      <c r="J86">
        <v>124.005</v>
      </c>
      <c r="O86" s="2" t="s">
        <v>421</v>
      </c>
      <c r="Q86" s="96"/>
      <c r="R86" s="96"/>
      <c r="S86" s="96"/>
      <c r="AH86" s="2" t="str">
        <f t="shared" si="39"/>
        <v>2019</v>
      </c>
      <c r="AI86" s="2">
        <f t="shared" ref="AI86:AI93" si="40">(J86)/(1+0.115)^(AH86-2016)</f>
        <v>89.457054545051207</v>
      </c>
      <c r="AJ86" s="2">
        <f t="shared" si="21"/>
        <v>0.42598597402405336</v>
      </c>
      <c r="AK86" s="12">
        <f t="shared" si="22"/>
        <v>24.4243668720054</v>
      </c>
      <c r="AL86" s="2" t="s">
        <v>571</v>
      </c>
      <c r="AM86" s="2" t="str">
        <f>VLOOKUP(A86,'[12]Power plant names'!$C$2:$F$545,4,FALSE)</f>
        <v>Sub critical</v>
      </c>
      <c r="AN86" s="2">
        <v>210</v>
      </c>
      <c r="AO86" s="2">
        <f t="shared" si="23"/>
        <v>0.42598597402405336</v>
      </c>
      <c r="AP86" s="2">
        <v>210</v>
      </c>
      <c r="AQ86" s="2">
        <f t="shared" si="24"/>
        <v>0</v>
      </c>
      <c r="AR86" s="2">
        <f t="shared" si="25"/>
        <v>89.457054545051207</v>
      </c>
      <c r="AS86" s="2">
        <f t="shared" si="26"/>
        <v>0</v>
      </c>
      <c r="AU86" s="2">
        <f t="shared" si="27"/>
        <v>124.005</v>
      </c>
      <c r="AV86" s="2">
        <f t="shared" si="28"/>
        <v>0.59050000000000002</v>
      </c>
      <c r="AW86" s="12">
        <f t="shared" si="29"/>
        <v>27.4243668720054</v>
      </c>
      <c r="AX86" s="2">
        <v>210</v>
      </c>
      <c r="AY86" s="3">
        <f t="shared" si="30"/>
        <v>0.59050000000000002</v>
      </c>
      <c r="AZ86" s="2">
        <f t="shared" si="31"/>
        <v>124.00500000000001</v>
      </c>
      <c r="BA86" s="2">
        <f t="shared" si="32"/>
        <v>0</v>
      </c>
      <c r="BC86">
        <f t="shared" si="33"/>
        <v>138.26557499999998</v>
      </c>
      <c r="BD86">
        <f t="shared" si="34"/>
        <v>0.65840749999999992</v>
      </c>
      <c r="BE86">
        <f t="shared" si="35"/>
        <v>0.65840749999999992</v>
      </c>
      <c r="BF86">
        <f t="shared" si="36"/>
        <v>138.26557499999998</v>
      </c>
      <c r="BG86">
        <f t="shared" si="37"/>
        <v>0</v>
      </c>
    </row>
    <row r="87" spans="1:59" ht="15" hidden="1" customHeight="1" x14ac:dyDescent="0.2">
      <c r="A87" s="2" t="s">
        <v>417</v>
      </c>
      <c r="B87" s="2" t="str">
        <f>VLOOKUP($A87,'[1]daily coal, energy reqd'!$C$2:$T$599,17,FALSE)</f>
        <v>Uttar Pradesh</v>
      </c>
      <c r="C87" s="2" t="str">
        <f>VLOOKUP(B87,'Target PLF'!$I$2:$J$19,2,FALSE)</f>
        <v>NR</v>
      </c>
      <c r="D87" s="2" t="s">
        <v>571</v>
      </c>
      <c r="E87" s="2" t="s">
        <v>547</v>
      </c>
      <c r="F87" s="12">
        <v>27.422313483915101</v>
      </c>
      <c r="G87" s="2">
        <v>210</v>
      </c>
      <c r="H87">
        <f>VLOOKUP(A87,'Coal savings'!$A$3:$AB$543,26,FALSE)</f>
        <v>0</v>
      </c>
      <c r="I87" t="s">
        <v>694</v>
      </c>
      <c r="J87">
        <v>124.005</v>
      </c>
      <c r="O87" s="2" t="s">
        <v>417</v>
      </c>
      <c r="Q87" s="96"/>
      <c r="R87" s="96"/>
      <c r="S87" s="96"/>
      <c r="AH87" s="2" t="str">
        <f t="shared" si="39"/>
        <v>2019</v>
      </c>
      <c r="AI87" s="2">
        <f t="shared" si="40"/>
        <v>89.457054545051207</v>
      </c>
      <c r="AJ87" s="2">
        <f t="shared" si="21"/>
        <v>0.42598597402405336</v>
      </c>
      <c r="AK87" s="12">
        <f t="shared" si="22"/>
        <v>23.422313483915101</v>
      </c>
      <c r="AL87" s="2" t="s">
        <v>571</v>
      </c>
      <c r="AM87" s="2" t="str">
        <f>VLOOKUP(A87,'[12]Power plant names'!$C$2:$F$545,4,FALSE)</f>
        <v>Sub critical</v>
      </c>
      <c r="AN87" s="2">
        <v>210</v>
      </c>
      <c r="AO87" s="2">
        <f t="shared" si="23"/>
        <v>0.42598597402405336</v>
      </c>
      <c r="AP87" s="2">
        <v>210</v>
      </c>
      <c r="AQ87" s="2">
        <f t="shared" si="24"/>
        <v>0</v>
      </c>
      <c r="AR87" s="2">
        <f t="shared" si="25"/>
        <v>89.457054545051207</v>
      </c>
      <c r="AS87" s="2">
        <f t="shared" si="26"/>
        <v>0</v>
      </c>
      <c r="AU87" s="2">
        <f t="shared" si="27"/>
        <v>124.005</v>
      </c>
      <c r="AV87" s="2">
        <f t="shared" si="28"/>
        <v>0.59050000000000002</v>
      </c>
      <c r="AW87" s="12">
        <f t="shared" si="29"/>
        <v>26.422313483915101</v>
      </c>
      <c r="AX87" s="2">
        <v>210</v>
      </c>
      <c r="AY87" s="3">
        <f t="shared" si="30"/>
        <v>0.59050000000000002</v>
      </c>
      <c r="AZ87" s="2">
        <f t="shared" si="31"/>
        <v>124.00500000000001</v>
      </c>
      <c r="BA87" s="2">
        <f t="shared" si="32"/>
        <v>0</v>
      </c>
      <c r="BC87">
        <f t="shared" si="33"/>
        <v>138.26557499999998</v>
      </c>
      <c r="BD87">
        <f t="shared" si="34"/>
        <v>0.65840749999999992</v>
      </c>
      <c r="BE87">
        <f t="shared" si="35"/>
        <v>0.65840749999999992</v>
      </c>
      <c r="BF87">
        <f t="shared" si="36"/>
        <v>138.26557499999998</v>
      </c>
      <c r="BG87">
        <f t="shared" si="37"/>
        <v>0</v>
      </c>
    </row>
    <row r="88" spans="1:59" ht="15" hidden="1" customHeight="1" x14ac:dyDescent="0.2">
      <c r="A88" s="2" t="s">
        <v>412</v>
      </c>
      <c r="B88" s="2" t="str">
        <f>VLOOKUP($A88,'[1]daily coal, energy reqd'!$C$2:$T$599,17,FALSE)</f>
        <v>Uttar Pradesh</v>
      </c>
      <c r="C88" s="2" t="str">
        <f>VLOOKUP(B88,'Target PLF'!$I$2:$J$19,2,FALSE)</f>
        <v>NR</v>
      </c>
      <c r="D88" s="2" t="s">
        <v>571</v>
      </c>
      <c r="E88" s="2" t="s">
        <v>547</v>
      </c>
      <c r="F88" s="12">
        <v>27.175906913073199</v>
      </c>
      <c r="G88" s="2">
        <v>210</v>
      </c>
      <c r="H88">
        <f>VLOOKUP(A88,'Coal savings'!$A$3:$AB$543,26,FALSE)</f>
        <v>0</v>
      </c>
      <c r="I88" t="s">
        <v>694</v>
      </c>
      <c r="J88">
        <v>124.005</v>
      </c>
      <c r="O88" s="2" t="s">
        <v>412</v>
      </c>
      <c r="Q88" s="96"/>
      <c r="R88" s="96"/>
      <c r="S88" s="96"/>
      <c r="AH88" s="2" t="str">
        <f t="shared" si="39"/>
        <v>2019</v>
      </c>
      <c r="AI88" s="2">
        <f t="shared" si="40"/>
        <v>89.457054545051207</v>
      </c>
      <c r="AJ88" s="2">
        <f t="shared" si="21"/>
        <v>0.42598597402405336</v>
      </c>
      <c r="AK88" s="12">
        <f t="shared" si="22"/>
        <v>23.175906913073199</v>
      </c>
      <c r="AL88" s="2" t="s">
        <v>571</v>
      </c>
      <c r="AM88" s="2" t="str">
        <f>VLOOKUP(A88,'[12]Power plant names'!$C$2:$F$545,4,FALSE)</f>
        <v>Sub critical</v>
      </c>
      <c r="AN88" s="2">
        <v>210</v>
      </c>
      <c r="AO88" s="2">
        <f t="shared" si="23"/>
        <v>0.42598597402405336</v>
      </c>
      <c r="AP88" s="2">
        <v>210</v>
      </c>
      <c r="AQ88" s="2">
        <f t="shared" si="24"/>
        <v>0</v>
      </c>
      <c r="AR88" s="2">
        <f t="shared" si="25"/>
        <v>89.457054545051207</v>
      </c>
      <c r="AS88" s="2">
        <f t="shared" si="26"/>
        <v>0</v>
      </c>
      <c r="AU88" s="2">
        <f t="shared" si="27"/>
        <v>124.005</v>
      </c>
      <c r="AV88" s="2">
        <f t="shared" si="28"/>
        <v>0.59050000000000002</v>
      </c>
      <c r="AW88" s="12">
        <f t="shared" si="29"/>
        <v>26.175906913073199</v>
      </c>
      <c r="AX88" s="2">
        <v>210</v>
      </c>
      <c r="AY88" s="3">
        <f t="shared" si="30"/>
        <v>0.59050000000000002</v>
      </c>
      <c r="AZ88" s="2">
        <f t="shared" si="31"/>
        <v>124.00500000000001</v>
      </c>
      <c r="BA88" s="2">
        <f t="shared" si="32"/>
        <v>0</v>
      </c>
      <c r="BC88">
        <f t="shared" si="33"/>
        <v>138.26557499999998</v>
      </c>
      <c r="BD88">
        <f t="shared" si="34"/>
        <v>0.65840749999999992</v>
      </c>
      <c r="BE88">
        <f t="shared" si="35"/>
        <v>0.65840749999999992</v>
      </c>
      <c r="BF88">
        <f t="shared" si="36"/>
        <v>138.26557499999998</v>
      </c>
      <c r="BG88">
        <f t="shared" si="37"/>
        <v>0</v>
      </c>
    </row>
    <row r="89" spans="1:59" ht="15" hidden="1" customHeight="1" x14ac:dyDescent="0.2">
      <c r="A89" s="2" t="s">
        <v>405</v>
      </c>
      <c r="B89" s="2" t="str">
        <f>VLOOKUP($A89,'[1]daily coal, energy reqd'!$C$2:$T$599,17,FALSE)</f>
        <v>Uttar Pradesh</v>
      </c>
      <c r="C89" s="2" t="str">
        <f>VLOOKUP(B89,'Target PLF'!$I$2:$J$19,2,FALSE)</f>
        <v>NR</v>
      </c>
      <c r="D89" s="2" t="s">
        <v>571</v>
      </c>
      <c r="E89" s="2" t="s">
        <v>547</v>
      </c>
      <c r="F89" s="12">
        <v>26.176591375769998</v>
      </c>
      <c r="G89" s="2">
        <v>210</v>
      </c>
      <c r="H89">
        <f>VLOOKUP(A89,'Coal savings'!$A$3:$AB$543,26,FALSE)</f>
        <v>0</v>
      </c>
      <c r="I89" t="s">
        <v>694</v>
      </c>
      <c r="J89">
        <v>124.005</v>
      </c>
      <c r="O89" s="2" t="s">
        <v>405</v>
      </c>
      <c r="Q89" s="96"/>
      <c r="R89" s="96"/>
      <c r="S89" s="96"/>
      <c r="AH89" s="2" t="str">
        <f t="shared" si="39"/>
        <v>2019</v>
      </c>
      <c r="AI89" s="2">
        <f t="shared" si="40"/>
        <v>89.457054545051207</v>
      </c>
      <c r="AJ89" s="2">
        <f t="shared" si="21"/>
        <v>0.42598597402405336</v>
      </c>
      <c r="AK89" s="12">
        <f t="shared" si="22"/>
        <v>22.176591375769998</v>
      </c>
      <c r="AL89" s="2" t="s">
        <v>571</v>
      </c>
      <c r="AM89" s="2" t="str">
        <f>VLOOKUP(A89,'[12]Power plant names'!$C$2:$F$545,4,FALSE)</f>
        <v>Sub critical</v>
      </c>
      <c r="AN89" s="2">
        <v>210</v>
      </c>
      <c r="AO89" s="2">
        <f t="shared" si="23"/>
        <v>0.42598597402405336</v>
      </c>
      <c r="AP89" s="2">
        <v>210</v>
      </c>
      <c r="AQ89" s="2">
        <f t="shared" si="24"/>
        <v>0</v>
      </c>
      <c r="AR89" s="2">
        <f t="shared" si="25"/>
        <v>89.457054545051207</v>
      </c>
      <c r="AS89" s="2">
        <f t="shared" si="26"/>
        <v>0</v>
      </c>
      <c r="AU89" s="2">
        <f t="shared" si="27"/>
        <v>124.005</v>
      </c>
      <c r="AV89" s="2">
        <f t="shared" si="28"/>
        <v>0.59050000000000002</v>
      </c>
      <c r="AW89" s="12">
        <f t="shared" si="29"/>
        <v>25.176591375769998</v>
      </c>
      <c r="AX89" s="2">
        <v>210</v>
      </c>
      <c r="AY89" s="3">
        <f t="shared" si="30"/>
        <v>0.59050000000000002</v>
      </c>
      <c r="AZ89" s="2">
        <f t="shared" si="31"/>
        <v>124.00500000000001</v>
      </c>
      <c r="BA89" s="2">
        <f t="shared" si="32"/>
        <v>0</v>
      </c>
      <c r="BC89">
        <f t="shared" si="33"/>
        <v>138.26557499999998</v>
      </c>
      <c r="BD89">
        <f t="shared" si="34"/>
        <v>0.65840749999999992</v>
      </c>
      <c r="BE89">
        <f t="shared" si="35"/>
        <v>0.65840749999999992</v>
      </c>
      <c r="BF89">
        <f t="shared" si="36"/>
        <v>138.26557499999998</v>
      </c>
      <c r="BG89">
        <f t="shared" si="37"/>
        <v>0</v>
      </c>
    </row>
    <row r="90" spans="1:59" ht="15" customHeight="1" x14ac:dyDescent="0.2">
      <c r="A90" s="2" t="s">
        <v>174</v>
      </c>
      <c r="B90" s="2" t="str">
        <f>VLOOKUP($A90,'[1]daily coal, energy reqd'!$C$2:$T$599,17,FALSE)</f>
        <v>Uttar Pradesh</v>
      </c>
      <c r="C90" s="2" t="str">
        <f>VLOOKUP(B90,'Target PLF'!$I$2:$J$19,2,FALSE)</f>
        <v>NR</v>
      </c>
      <c r="D90" s="2" t="s">
        <v>571</v>
      </c>
      <c r="E90" s="2" t="s">
        <v>544</v>
      </c>
      <c r="F90" s="12">
        <v>10.3381245722108</v>
      </c>
      <c r="G90" s="2">
        <v>490</v>
      </c>
      <c r="H90">
        <f>VLOOKUP(A90,'Coal savings'!$A$3:$AB$543,26,FALSE)</f>
        <v>2025234.4855037401</v>
      </c>
      <c r="I90" t="s">
        <v>694</v>
      </c>
      <c r="J90">
        <f>924.6/2</f>
        <v>462.3</v>
      </c>
      <c r="O90" s="2" t="s">
        <v>174</v>
      </c>
      <c r="Q90" s="96"/>
      <c r="R90" s="96"/>
      <c r="S90" s="96"/>
      <c r="AH90" s="2" t="str">
        <f t="shared" si="39"/>
        <v>2019</v>
      </c>
      <c r="AI90" s="2">
        <f t="shared" si="40"/>
        <v>333.50265163644349</v>
      </c>
      <c r="AJ90" s="2">
        <f t="shared" si="21"/>
        <v>0.6806176564009051</v>
      </c>
      <c r="AK90" s="12">
        <f t="shared" si="22"/>
        <v>6.3381245722108002</v>
      </c>
      <c r="AL90" s="2" t="s">
        <v>571</v>
      </c>
      <c r="AM90" s="2" t="str">
        <f>VLOOKUP(A90,'[12]Power plant names'!$C$2:$F$545,4,FALSE)</f>
        <v>Sub critical</v>
      </c>
      <c r="AN90" s="2">
        <v>490</v>
      </c>
      <c r="AO90" s="2">
        <f t="shared" si="23"/>
        <v>0.6806176564009051</v>
      </c>
      <c r="AP90" s="2">
        <v>490</v>
      </c>
      <c r="AQ90" s="2">
        <f t="shared" si="24"/>
        <v>0</v>
      </c>
      <c r="AR90" s="2">
        <f t="shared" si="25"/>
        <v>333.50265163644349</v>
      </c>
      <c r="AS90" s="2">
        <f t="shared" si="26"/>
        <v>0</v>
      </c>
      <c r="AU90" s="2">
        <f t="shared" si="27"/>
        <v>462.3</v>
      </c>
      <c r="AV90" s="2">
        <f t="shared" si="28"/>
        <v>0.94346938775510203</v>
      </c>
      <c r="AW90" s="12">
        <f t="shared" si="29"/>
        <v>9.3381245722108002</v>
      </c>
      <c r="AX90" s="2">
        <v>490</v>
      </c>
      <c r="AY90" s="3">
        <f t="shared" si="30"/>
        <v>0.94346938775510203</v>
      </c>
      <c r="AZ90" s="2">
        <f t="shared" si="31"/>
        <v>462.3</v>
      </c>
      <c r="BA90" s="2">
        <f t="shared" si="32"/>
        <v>0</v>
      </c>
      <c r="BC90">
        <f t="shared" si="33"/>
        <v>515.46450000000004</v>
      </c>
      <c r="BD90">
        <f t="shared" si="34"/>
        <v>1.0519683673469389</v>
      </c>
      <c r="BE90">
        <f t="shared" si="35"/>
        <v>1.0519683673469389</v>
      </c>
      <c r="BF90">
        <f t="shared" si="36"/>
        <v>515.46450000000004</v>
      </c>
      <c r="BG90">
        <f t="shared" si="37"/>
        <v>0</v>
      </c>
    </row>
    <row r="91" spans="1:59" ht="15" customHeight="1" x14ac:dyDescent="0.2">
      <c r="A91" s="2" t="s">
        <v>170</v>
      </c>
      <c r="B91" s="2" t="str">
        <f>VLOOKUP($A91,'[1]daily coal, energy reqd'!$C$2:$T$599,17,FALSE)</f>
        <v>Uttar Pradesh</v>
      </c>
      <c r="C91" s="2" t="str">
        <f>VLOOKUP(B91,'Target PLF'!$I$2:$J$19,2,FALSE)</f>
        <v>NR</v>
      </c>
      <c r="D91" s="2" t="s">
        <v>571</v>
      </c>
      <c r="E91" s="2" t="s">
        <v>543</v>
      </c>
      <c r="F91" s="12">
        <v>9.8425735797399003</v>
      </c>
      <c r="G91" s="2">
        <v>490</v>
      </c>
      <c r="H91">
        <f>VLOOKUP(A91,'Coal savings'!$A$3:$AB$543,26,FALSE)</f>
        <v>2136108.938932525</v>
      </c>
      <c r="I91" t="s">
        <v>694</v>
      </c>
      <c r="J91">
        <f>924.6/2</f>
        <v>462.3</v>
      </c>
      <c r="O91" s="2" t="s">
        <v>170</v>
      </c>
      <c r="Q91" s="96"/>
      <c r="R91" s="96"/>
      <c r="S91" s="96"/>
      <c r="AH91" s="2" t="str">
        <f t="shared" si="39"/>
        <v>2019</v>
      </c>
      <c r="AI91" s="2">
        <f t="shared" si="40"/>
        <v>333.50265163644349</v>
      </c>
      <c r="AJ91" s="2">
        <f t="shared" si="21"/>
        <v>0.6806176564009051</v>
      </c>
      <c r="AK91" s="12">
        <f t="shared" si="22"/>
        <v>5.8425735797399003</v>
      </c>
      <c r="AL91" s="2" t="s">
        <v>571</v>
      </c>
      <c r="AM91" s="2" t="str">
        <f>VLOOKUP(A91,'[12]Power plant names'!$C$2:$F$545,4,FALSE)</f>
        <v>Sub critical</v>
      </c>
      <c r="AN91" s="2">
        <v>490</v>
      </c>
      <c r="AO91" s="2">
        <f t="shared" si="23"/>
        <v>0.6806176564009051</v>
      </c>
      <c r="AP91" s="2">
        <v>490</v>
      </c>
      <c r="AQ91" s="2">
        <f t="shared" si="24"/>
        <v>0</v>
      </c>
      <c r="AR91" s="2">
        <f t="shared" si="25"/>
        <v>333.50265163644349</v>
      </c>
      <c r="AS91" s="2">
        <f t="shared" si="26"/>
        <v>0</v>
      </c>
      <c r="AU91" s="2">
        <f t="shared" si="27"/>
        <v>462.3</v>
      </c>
      <c r="AV91" s="2">
        <f t="shared" si="28"/>
        <v>0.94346938775510203</v>
      </c>
      <c r="AW91" s="12">
        <f t="shared" si="29"/>
        <v>8.8425735797399003</v>
      </c>
      <c r="AX91" s="2">
        <v>490</v>
      </c>
      <c r="AY91" s="3">
        <f t="shared" si="30"/>
        <v>0.94346938775510203</v>
      </c>
      <c r="AZ91" s="2">
        <f t="shared" si="31"/>
        <v>462.3</v>
      </c>
      <c r="BA91" s="2">
        <f t="shared" si="32"/>
        <v>0</v>
      </c>
      <c r="BC91">
        <f t="shared" si="33"/>
        <v>515.46450000000004</v>
      </c>
      <c r="BD91">
        <f t="shared" si="34"/>
        <v>1.0519683673469389</v>
      </c>
      <c r="BE91">
        <f t="shared" si="35"/>
        <v>1.0519683673469389</v>
      </c>
      <c r="BF91">
        <f t="shared" si="36"/>
        <v>515.46450000000004</v>
      </c>
      <c r="BG91">
        <f t="shared" si="37"/>
        <v>0</v>
      </c>
    </row>
    <row r="92" spans="1:59" ht="15" hidden="1" customHeight="1" x14ac:dyDescent="0.2">
      <c r="A92" s="2" t="s">
        <v>390</v>
      </c>
      <c r="B92" s="2" t="str">
        <f>VLOOKUP($A92,'[1]daily coal, energy reqd'!$C$2:$T$599,17,FALSE)</f>
        <v>Maharashtra</v>
      </c>
      <c r="C92" s="2" t="str">
        <f>VLOOKUP(B92,'Target PLF'!$I$2:$J$19,2,FALSE)</f>
        <v>WR</v>
      </c>
      <c r="D92" s="2" t="s">
        <v>572</v>
      </c>
      <c r="E92" s="2" t="s">
        <v>547</v>
      </c>
      <c r="F92" s="12">
        <v>25.338809034907499</v>
      </c>
      <c r="G92" s="2">
        <v>250</v>
      </c>
      <c r="H92">
        <f>VLOOKUP(A92,'Coal savings'!$A$3:$AB$543,26,FALSE)</f>
        <v>0</v>
      </c>
      <c r="I92" t="s">
        <v>695</v>
      </c>
      <c r="J92">
        <v>162.91</v>
      </c>
      <c r="O92" s="2" t="s">
        <v>390</v>
      </c>
      <c r="AH92" s="2" t="str">
        <f t="shared" si="39"/>
        <v>2018</v>
      </c>
      <c r="AI92" s="2">
        <f t="shared" si="40"/>
        <v>131.03822719137725</v>
      </c>
      <c r="AJ92" s="2">
        <f t="shared" si="21"/>
        <v>0.52415290876550902</v>
      </c>
      <c r="AK92" s="12">
        <f t="shared" si="22"/>
        <v>21.338809034907499</v>
      </c>
      <c r="AL92" s="2" t="s">
        <v>572</v>
      </c>
      <c r="AM92" s="2" t="str">
        <f>VLOOKUP(A92,'[12]Power plant names'!$C$2:$F$545,4,FALSE)</f>
        <v>Sub critical</v>
      </c>
      <c r="AN92" s="2">
        <v>250</v>
      </c>
      <c r="AO92" s="2">
        <f t="shared" si="23"/>
        <v>0.52415290876550902</v>
      </c>
      <c r="AP92" s="2">
        <v>250</v>
      </c>
      <c r="AQ92" s="2">
        <f t="shared" si="24"/>
        <v>0</v>
      </c>
      <c r="AR92" s="2">
        <f t="shared" si="25"/>
        <v>131.03822719137725</v>
      </c>
      <c r="AS92" s="2">
        <f t="shared" si="26"/>
        <v>0</v>
      </c>
      <c r="AU92" s="2">
        <f t="shared" si="27"/>
        <v>162.90999999999997</v>
      </c>
      <c r="AV92" s="2">
        <f t="shared" si="28"/>
        <v>0.65163999999999989</v>
      </c>
      <c r="AW92" s="12">
        <f t="shared" si="29"/>
        <v>23.338809034907499</v>
      </c>
      <c r="AX92" s="2">
        <v>250</v>
      </c>
      <c r="AY92" s="3">
        <f t="shared" si="30"/>
        <v>0.65163999999999989</v>
      </c>
      <c r="AZ92" s="2">
        <f t="shared" si="31"/>
        <v>162.90999999999997</v>
      </c>
      <c r="BA92" s="2">
        <f t="shared" si="32"/>
        <v>0</v>
      </c>
      <c r="BC92">
        <f t="shared" si="33"/>
        <v>202.53378474999997</v>
      </c>
      <c r="BD92">
        <f t="shared" si="34"/>
        <v>0.81013513899999989</v>
      </c>
      <c r="BE92">
        <f t="shared" si="35"/>
        <v>0.81013513899999989</v>
      </c>
      <c r="BF92">
        <f t="shared" si="36"/>
        <v>202.53378474999997</v>
      </c>
      <c r="BG92">
        <f t="shared" si="37"/>
        <v>0</v>
      </c>
    </row>
    <row r="93" spans="1:59" ht="15" hidden="1" customHeight="1" x14ac:dyDescent="0.2">
      <c r="A93" s="2" t="s">
        <v>389</v>
      </c>
      <c r="B93" s="2" t="str">
        <f>VLOOKUP($A93,'[1]daily coal, energy reqd'!$C$2:$T$599,17,FALSE)</f>
        <v>Maharashtra</v>
      </c>
      <c r="C93" s="2" t="str">
        <f>VLOOKUP(B93,'Target PLF'!$I$2:$J$19,2,FALSE)</f>
        <v>WR</v>
      </c>
      <c r="D93" s="2" t="s">
        <v>572</v>
      </c>
      <c r="E93" s="2" t="s">
        <v>547</v>
      </c>
      <c r="F93" s="12">
        <v>25.177275838466802</v>
      </c>
      <c r="G93" s="2">
        <v>250</v>
      </c>
      <c r="H93">
        <f>VLOOKUP(A93,'Coal savings'!$A$3:$AB$543,26,FALSE)</f>
        <v>0</v>
      </c>
      <c r="I93" t="s">
        <v>695</v>
      </c>
      <c r="J93">
        <v>162.91</v>
      </c>
      <c r="O93" s="2" t="s">
        <v>389</v>
      </c>
      <c r="AH93" s="2" t="str">
        <f t="shared" si="39"/>
        <v>2018</v>
      </c>
      <c r="AI93" s="2">
        <f t="shared" si="40"/>
        <v>131.03822719137725</v>
      </c>
      <c r="AJ93" s="2">
        <f t="shared" si="21"/>
        <v>0.52415290876550902</v>
      </c>
      <c r="AK93" s="12">
        <f t="shared" si="22"/>
        <v>21.177275838466802</v>
      </c>
      <c r="AL93" s="2" t="s">
        <v>572</v>
      </c>
      <c r="AM93" s="2" t="str">
        <f>VLOOKUP(A93,'[12]Power plant names'!$C$2:$F$545,4,FALSE)</f>
        <v>Sub critical</v>
      </c>
      <c r="AN93" s="2">
        <v>250</v>
      </c>
      <c r="AO93" s="2">
        <f t="shared" si="23"/>
        <v>0.52415290876550902</v>
      </c>
      <c r="AP93" s="2">
        <v>250</v>
      </c>
      <c r="AQ93" s="2">
        <f t="shared" si="24"/>
        <v>0</v>
      </c>
      <c r="AR93" s="2">
        <f t="shared" si="25"/>
        <v>131.03822719137725</v>
      </c>
      <c r="AS93" s="2">
        <f t="shared" si="26"/>
        <v>0</v>
      </c>
      <c r="AU93" s="2">
        <f t="shared" si="27"/>
        <v>162.90999999999997</v>
      </c>
      <c r="AV93" s="2">
        <f t="shared" si="28"/>
        <v>0.65163999999999989</v>
      </c>
      <c r="AW93" s="12">
        <f t="shared" si="29"/>
        <v>23.177275838466802</v>
      </c>
      <c r="AX93" s="2">
        <v>250</v>
      </c>
      <c r="AY93" s="3">
        <f t="shared" si="30"/>
        <v>0.65163999999999989</v>
      </c>
      <c r="AZ93" s="2">
        <f t="shared" si="31"/>
        <v>162.90999999999997</v>
      </c>
      <c r="BA93" s="2">
        <f t="shared" si="32"/>
        <v>0</v>
      </c>
      <c r="BC93">
        <f t="shared" si="33"/>
        <v>202.53378474999997</v>
      </c>
      <c r="BD93">
        <f t="shared" si="34"/>
        <v>0.81013513899999989</v>
      </c>
      <c r="BE93">
        <f t="shared" si="35"/>
        <v>0.81013513899999989</v>
      </c>
      <c r="BF93">
        <f t="shared" si="36"/>
        <v>202.53378474999997</v>
      </c>
      <c r="BG93">
        <f t="shared" si="37"/>
        <v>0</v>
      </c>
    </row>
    <row r="94" spans="1:59" ht="15" customHeight="1" x14ac:dyDescent="0.2">
      <c r="A94" s="2" t="s">
        <v>11</v>
      </c>
      <c r="B94" s="2" t="str">
        <f>VLOOKUP($A94,'[1]daily coal, energy reqd'!$C$2:$T$599,17,FALSE)</f>
        <v>Andhra Pradesh</v>
      </c>
      <c r="C94" s="2" t="str">
        <f>VLOOKUP(B94,'Target PLF'!$I$2:$J$19,2,FALSE)</f>
        <v>SR</v>
      </c>
      <c r="D94" s="2" t="s">
        <v>570</v>
      </c>
      <c r="E94" s="2" t="s">
        <v>543</v>
      </c>
      <c r="F94" s="12">
        <v>5.7577002053388</v>
      </c>
      <c r="G94" s="2">
        <v>800</v>
      </c>
      <c r="H94">
        <f>VLOOKUP(A94,'Coal savings'!$A$3:$AB$543,26,FALSE)</f>
        <v>3910615.7252594265</v>
      </c>
      <c r="O94" s="2" t="s">
        <v>11</v>
      </c>
      <c r="AH94" s="2" t="str">
        <f t="shared" si="39"/>
        <v/>
      </c>
      <c r="AI94" s="2"/>
      <c r="AJ94" s="2" t="str">
        <f t="shared" si="21"/>
        <v/>
      </c>
      <c r="AK94" s="12">
        <f t="shared" si="22"/>
        <v>1.7577002053388</v>
      </c>
      <c r="AL94" s="2" t="s">
        <v>570</v>
      </c>
      <c r="AM94" s="2" t="str">
        <f>VLOOKUP(A94,'[12]Power plant names'!$C$2:$F$545,4,FALSE)</f>
        <v>Super critical</v>
      </c>
      <c r="AN94" s="2">
        <v>800</v>
      </c>
      <c r="AO94" s="2">
        <f t="shared" si="23"/>
        <v>0.69563200903490774</v>
      </c>
      <c r="AP94" s="2">
        <v>800</v>
      </c>
      <c r="AQ94" s="2">
        <f t="shared" si="24"/>
        <v>0</v>
      </c>
      <c r="AR94" s="2">
        <f t="shared" si="25"/>
        <v>556.50560722792625</v>
      </c>
      <c r="AS94" s="2">
        <f t="shared" si="26"/>
        <v>0</v>
      </c>
      <c r="AU94" s="2"/>
      <c r="AV94" s="2" t="str">
        <f t="shared" si="28"/>
        <v/>
      </c>
      <c r="AW94" s="12">
        <f t="shared" si="29"/>
        <v>5.7577002053388</v>
      </c>
      <c r="AX94" s="2">
        <v>800</v>
      </c>
      <c r="AY94" s="3">
        <f t="shared" si="30"/>
        <v>0.86718265256673532</v>
      </c>
      <c r="AZ94" s="2">
        <f t="shared" si="31"/>
        <v>693.74612205338826</v>
      </c>
      <c r="BA94" s="2">
        <f t="shared" si="32"/>
        <v>0</v>
      </c>
      <c r="BC94" t="str">
        <f t="shared" si="33"/>
        <v/>
      </c>
      <c r="BE94">
        <f t="shared" si="35"/>
        <v>0.94918713963039036</v>
      </c>
      <c r="BF94">
        <f t="shared" si="36"/>
        <v>759.34971170431231</v>
      </c>
      <c r="BG94">
        <f t="shared" si="37"/>
        <v>0</v>
      </c>
    </row>
    <row r="95" spans="1:59" ht="15" customHeight="1" x14ac:dyDescent="0.2">
      <c r="A95" s="2" t="s">
        <v>10</v>
      </c>
      <c r="B95" s="2" t="str">
        <f>VLOOKUP($A95,'[1]daily coal, energy reqd'!$C$2:$T$599,17,FALSE)</f>
        <v>Andhra Pradesh</v>
      </c>
      <c r="C95" s="2" t="str">
        <f>VLOOKUP(B95,'Target PLF'!$I$2:$J$19,2,FALSE)</f>
        <v>SR</v>
      </c>
      <c r="D95" s="2" t="s">
        <v>570</v>
      </c>
      <c r="E95" s="2" t="s">
        <v>543</v>
      </c>
      <c r="F95" s="12">
        <v>5.1772758384667998</v>
      </c>
      <c r="G95" s="2">
        <v>800</v>
      </c>
      <c r="H95">
        <f>VLOOKUP(A95,'Coal savings'!$A$3:$AB$543,26,FALSE)</f>
        <v>3903586.9922350878</v>
      </c>
      <c r="O95" s="2" t="s">
        <v>10</v>
      </c>
      <c r="AH95" s="2" t="str">
        <f t="shared" si="39"/>
        <v/>
      </c>
      <c r="AI95" s="2"/>
      <c r="AJ95" s="2" t="str">
        <f t="shared" si="21"/>
        <v/>
      </c>
      <c r="AK95" s="12">
        <f t="shared" si="22"/>
        <v>1.1772758384667998</v>
      </c>
      <c r="AL95" s="2" t="s">
        <v>570</v>
      </c>
      <c r="AM95" s="2" t="str">
        <f>VLOOKUP(A95,'[12]Power plant names'!$C$2:$F$545,4,FALSE)</f>
        <v>Super critical</v>
      </c>
      <c r="AN95" s="2">
        <v>800</v>
      </c>
      <c r="AO95" s="2">
        <f t="shared" si="23"/>
        <v>0.70367413689253944</v>
      </c>
      <c r="AP95" s="2">
        <v>800</v>
      </c>
      <c r="AQ95" s="2">
        <f t="shared" si="24"/>
        <v>0</v>
      </c>
      <c r="AR95" s="2">
        <f t="shared" si="25"/>
        <v>562.93930951403149</v>
      </c>
      <c r="AS95" s="2">
        <f t="shared" si="26"/>
        <v>0</v>
      </c>
      <c r="AU95" s="2"/>
      <c r="AV95" s="2" t="str">
        <f t="shared" si="28"/>
        <v/>
      </c>
      <c r="AW95" s="12">
        <f t="shared" si="29"/>
        <v>5.1772758384667998</v>
      </c>
      <c r="AX95" s="2">
        <v>800</v>
      </c>
      <c r="AY95" s="3">
        <f t="shared" si="30"/>
        <v>0.87770708131416852</v>
      </c>
      <c r="AZ95" s="2">
        <f t="shared" si="31"/>
        <v>702.16566505133483</v>
      </c>
      <c r="BA95" s="2">
        <f t="shared" si="32"/>
        <v>0</v>
      </c>
      <c r="BC95" t="str">
        <f t="shared" si="33"/>
        <v/>
      </c>
      <c r="BE95">
        <f t="shared" si="35"/>
        <v>0.96167990349075982</v>
      </c>
      <c r="BF95">
        <f t="shared" si="36"/>
        <v>769.34392279260783</v>
      </c>
      <c r="BG95">
        <f t="shared" si="37"/>
        <v>0</v>
      </c>
    </row>
    <row r="96" spans="1:59" ht="15" customHeight="1" x14ac:dyDescent="0.2">
      <c r="A96" s="2" t="s">
        <v>0</v>
      </c>
      <c r="B96" s="2" t="str">
        <f>VLOOKUP($A96,'[1]daily coal, energy reqd'!$C$2:$T$599,17,FALSE)</f>
        <v>Odisha</v>
      </c>
      <c r="C96" s="2" t="str">
        <f>VLOOKUP(B96,'Target PLF'!$I$2:$J$19,2,FALSE)</f>
        <v>ER</v>
      </c>
      <c r="D96" s="2" t="s">
        <v>571</v>
      </c>
      <c r="E96" s="2" t="s">
        <v>542</v>
      </c>
      <c r="F96" s="10">
        <v>0.34223134839151198</v>
      </c>
      <c r="G96" s="2">
        <v>800</v>
      </c>
      <c r="H96">
        <f>VLOOKUP(A96,'Coal savings'!$A$3:$AB$543,26,FALSE)</f>
        <v>3333983.8116939757</v>
      </c>
      <c r="O96" s="2" t="s">
        <v>0</v>
      </c>
      <c r="AH96" s="2" t="str">
        <f t="shared" si="39"/>
        <v/>
      </c>
      <c r="AI96" s="2"/>
      <c r="AJ96" s="2" t="str">
        <f t="shared" si="21"/>
        <v/>
      </c>
      <c r="AK96" s="12">
        <f t="shared" si="22"/>
        <v>1</v>
      </c>
      <c r="AL96" s="2" t="s">
        <v>571</v>
      </c>
      <c r="AM96" s="2" t="str">
        <f>VLOOKUP(A96,'[12]Power plant names'!$C$2:$F$545,4,FALSE)</f>
        <v>Super critical</v>
      </c>
      <c r="AN96" s="2">
        <v>800</v>
      </c>
      <c r="AO96" s="2">
        <f t="shared" si="23"/>
        <v>0.70613040000000005</v>
      </c>
      <c r="AP96" s="2">
        <v>800</v>
      </c>
      <c r="AQ96" s="2">
        <f t="shared" si="24"/>
        <v>0</v>
      </c>
      <c r="AR96" s="2">
        <f t="shared" si="25"/>
        <v>564.90431999999998</v>
      </c>
      <c r="AS96" s="2">
        <f t="shared" si="26"/>
        <v>0</v>
      </c>
      <c r="AU96" s="2"/>
      <c r="AV96" s="2" t="str">
        <f t="shared" si="28"/>
        <v/>
      </c>
      <c r="AW96" s="12">
        <f t="shared" si="29"/>
        <v>0.34223134839151198</v>
      </c>
      <c r="AX96" s="2">
        <v>800</v>
      </c>
      <c r="AY96" s="3">
        <f t="shared" si="30"/>
        <v>0.96537755852156071</v>
      </c>
      <c r="AZ96" s="2">
        <f t="shared" si="31"/>
        <v>772.30204681724854</v>
      </c>
      <c r="BA96" s="2">
        <f t="shared" si="32"/>
        <v>0</v>
      </c>
      <c r="BC96" t="str">
        <f t="shared" si="33"/>
        <v/>
      </c>
      <c r="BE96">
        <f t="shared" si="35"/>
        <v>1.0657469835728954</v>
      </c>
      <c r="BF96">
        <f t="shared" si="36"/>
        <v>852.59758685831639</v>
      </c>
      <c r="BG96">
        <f t="shared" si="37"/>
        <v>0</v>
      </c>
    </row>
    <row r="97" spans="1:59" ht="15" customHeight="1" x14ac:dyDescent="0.2">
      <c r="A97" s="2" t="s">
        <v>102</v>
      </c>
      <c r="B97" s="2" t="str">
        <f>VLOOKUP($A97,'[1]daily coal, energy reqd'!$C$2:$T$599,17,FALSE)</f>
        <v>Odisha</v>
      </c>
      <c r="C97" s="2" t="str">
        <f>VLOOKUP(B97,'Target PLF'!$I$2:$J$19,2,FALSE)</f>
        <v>ER</v>
      </c>
      <c r="D97" s="2" t="s">
        <v>572</v>
      </c>
      <c r="E97" s="2" t="s">
        <v>543</v>
      </c>
      <c r="F97" s="12">
        <v>6.0917180013689203</v>
      </c>
      <c r="G97" s="2">
        <v>600</v>
      </c>
      <c r="H97">
        <f>VLOOKUP(A97,'Coal savings'!$A$3:$AB$543,26,FALSE)</f>
        <v>3328293.4616405293</v>
      </c>
      <c r="O97" s="2" t="s">
        <v>102</v>
      </c>
      <c r="AH97" s="2" t="str">
        <f t="shared" si="39"/>
        <v/>
      </c>
      <c r="AI97" s="2"/>
      <c r="AJ97" s="2" t="str">
        <f t="shared" si="21"/>
        <v/>
      </c>
      <c r="AK97" s="12">
        <f t="shared" si="22"/>
        <v>2.0917180013689203</v>
      </c>
      <c r="AL97" s="2" t="s">
        <v>572</v>
      </c>
      <c r="AM97" s="2" t="str">
        <f>VLOOKUP(A97,'[12]Power plant names'!$C$2:$F$545,4,FALSE)</f>
        <v>Sub critical</v>
      </c>
      <c r="AN97" s="2">
        <v>600</v>
      </c>
      <c r="AO97" s="2">
        <f t="shared" si="23"/>
        <v>0.7813839920602329</v>
      </c>
      <c r="AP97" s="2">
        <v>600</v>
      </c>
      <c r="AQ97" s="2">
        <f t="shared" si="24"/>
        <v>0</v>
      </c>
      <c r="AR97" s="2">
        <f t="shared" si="25"/>
        <v>468.83039523613974</v>
      </c>
      <c r="AS97" s="2">
        <f t="shared" si="26"/>
        <v>0</v>
      </c>
      <c r="AU97" s="2"/>
      <c r="AV97" s="2" t="str">
        <f t="shared" si="28"/>
        <v/>
      </c>
      <c r="AW97" s="12">
        <f t="shared" si="29"/>
        <v>6.0917180013689203</v>
      </c>
      <c r="AX97" s="2">
        <v>600</v>
      </c>
      <c r="AY97" s="3">
        <f t="shared" si="30"/>
        <v>0.97280614168377844</v>
      </c>
      <c r="AZ97" s="2">
        <f t="shared" si="31"/>
        <v>583.68368501026703</v>
      </c>
      <c r="BA97" s="2">
        <f t="shared" si="32"/>
        <v>0</v>
      </c>
      <c r="BC97" t="str">
        <f t="shared" si="33"/>
        <v/>
      </c>
      <c r="BE97">
        <f t="shared" si="35"/>
        <v>1.0824379075975359</v>
      </c>
      <c r="BF97">
        <f t="shared" si="36"/>
        <v>649.46274455852154</v>
      </c>
      <c r="BG97">
        <f t="shared" si="37"/>
        <v>0</v>
      </c>
    </row>
    <row r="98" spans="1:59" ht="15" customHeight="1" x14ac:dyDescent="0.2">
      <c r="A98" s="2" t="s">
        <v>89</v>
      </c>
      <c r="B98" s="2" t="str">
        <f>VLOOKUP($A98,'[1]daily coal, energy reqd'!$C$2:$T$599,17,FALSE)</f>
        <v>Odisha</v>
      </c>
      <c r="C98" s="2" t="str">
        <f>VLOOKUP(B98,'Target PLF'!$I$2:$J$19,2,FALSE)</f>
        <v>ER</v>
      </c>
      <c r="D98" s="2" t="s">
        <v>572</v>
      </c>
      <c r="E98" s="2" t="s">
        <v>543</v>
      </c>
      <c r="F98" s="12">
        <v>5.3388090349075901</v>
      </c>
      <c r="G98" s="2">
        <v>600</v>
      </c>
      <c r="H98">
        <f>VLOOKUP(A98,'Coal savings'!$A$3:$AB$543,26,FALSE)</f>
        <v>3321008.3511168407</v>
      </c>
      <c r="O98" s="2" t="s">
        <v>89</v>
      </c>
      <c r="AH98" s="2" t="str">
        <f t="shared" si="39"/>
        <v/>
      </c>
      <c r="AI98" s="2"/>
      <c r="AJ98" s="2" t="str">
        <f t="shared" si="21"/>
        <v/>
      </c>
      <c r="AK98" s="12">
        <f t="shared" si="22"/>
        <v>1.3388090349075901</v>
      </c>
      <c r="AL98" s="2" t="s">
        <v>572</v>
      </c>
      <c r="AM98" s="2" t="str">
        <f>VLOOKUP(A98,'[12]Power plant names'!$C$2:$F$545,4,FALSE)</f>
        <v>Sub critical</v>
      </c>
      <c r="AN98" s="2">
        <v>600</v>
      </c>
      <c r="AO98" s="2">
        <f t="shared" si="23"/>
        <v>0.79181599753593446</v>
      </c>
      <c r="AP98" s="2">
        <v>600</v>
      </c>
      <c r="AQ98" s="2">
        <f t="shared" si="24"/>
        <v>0</v>
      </c>
      <c r="AR98" s="2">
        <f t="shared" si="25"/>
        <v>475.08959852156067</v>
      </c>
      <c r="AS98" s="2">
        <f t="shared" si="26"/>
        <v>0</v>
      </c>
      <c r="AU98" s="2"/>
      <c r="AV98" s="2" t="str">
        <f t="shared" si="28"/>
        <v/>
      </c>
      <c r="AW98" s="12">
        <f t="shared" si="29"/>
        <v>5.3388090349075901</v>
      </c>
      <c r="AX98" s="2">
        <v>600</v>
      </c>
      <c r="AY98" s="3">
        <f t="shared" si="30"/>
        <v>0.98645811293634522</v>
      </c>
      <c r="AZ98" s="2">
        <f t="shared" si="31"/>
        <v>591.87486776180708</v>
      </c>
      <c r="BA98" s="2">
        <f t="shared" si="32"/>
        <v>0</v>
      </c>
      <c r="BC98" t="str">
        <f t="shared" si="33"/>
        <v/>
      </c>
      <c r="BE98">
        <f t="shared" si="35"/>
        <v>1.0986431437371664</v>
      </c>
      <c r="BF98">
        <f t="shared" si="36"/>
        <v>659.18588624229983</v>
      </c>
      <c r="BG98">
        <f t="shared" si="37"/>
        <v>0</v>
      </c>
    </row>
    <row r="99" spans="1:59" ht="15" customHeight="1" x14ac:dyDescent="0.2">
      <c r="A99" s="2" t="s">
        <v>211</v>
      </c>
      <c r="B99" s="2" t="str">
        <f>VLOOKUP($A99,'[1]daily coal, energy reqd'!$C$2:$T$599,17,FALSE)</f>
        <v>Maharashtra</v>
      </c>
      <c r="C99" s="2" t="str">
        <f>VLOOKUP(B99,'Target PLF'!$I$2:$J$19,2,FALSE)</f>
        <v>WR</v>
      </c>
      <c r="D99" s="2" t="s">
        <v>572</v>
      </c>
      <c r="E99" s="2" t="s">
        <v>543</v>
      </c>
      <c r="F99" s="12">
        <v>6.5051334702258696</v>
      </c>
      <c r="G99" s="2">
        <v>300</v>
      </c>
      <c r="H99">
        <f>VLOOKUP(A99,'Coal savings'!$A$3:$AB$543,26,FALSE)</f>
        <v>931118.22816593165</v>
      </c>
      <c r="O99" s="2" t="s">
        <v>211</v>
      </c>
      <c r="AH99" s="2" t="str">
        <f t="shared" si="39"/>
        <v/>
      </c>
      <c r="AI99" s="2"/>
      <c r="AJ99" s="2" t="str">
        <f t="shared" si="21"/>
        <v/>
      </c>
      <c r="AK99" s="12">
        <f t="shared" si="22"/>
        <v>2.5051334702258696</v>
      </c>
      <c r="AL99" s="2" t="s">
        <v>572</v>
      </c>
      <c r="AM99" s="2" t="str">
        <f>VLOOKUP(A99,'[12]Power plant names'!$C$2:$F$545,4,FALSE)</f>
        <v>Sub critical</v>
      </c>
      <c r="AN99" s="2">
        <v>300</v>
      </c>
      <c r="AO99" s="2">
        <f t="shared" si="23"/>
        <v>0.91122587268993849</v>
      </c>
      <c r="AP99" s="2">
        <v>300</v>
      </c>
      <c r="AQ99" s="2">
        <f t="shared" si="24"/>
        <v>0</v>
      </c>
      <c r="AR99" s="2">
        <f t="shared" si="25"/>
        <v>273.36776180698155</v>
      </c>
      <c r="AS99" s="2">
        <f t="shared" si="26"/>
        <v>0</v>
      </c>
      <c r="AU99" s="2"/>
      <c r="AV99" s="2" t="str">
        <f t="shared" si="28"/>
        <v/>
      </c>
      <c r="AW99" s="12">
        <f t="shared" si="29"/>
        <v>6.5051334702258696</v>
      </c>
      <c r="AX99" s="2">
        <v>300</v>
      </c>
      <c r="AY99" s="3">
        <f t="shared" si="30"/>
        <v>1.1328299683778236</v>
      </c>
      <c r="AZ99" s="2">
        <f t="shared" si="31"/>
        <v>339.84899051334708</v>
      </c>
      <c r="BA99" s="2">
        <f t="shared" si="32"/>
        <v>0</v>
      </c>
      <c r="BC99" t="str">
        <f t="shared" si="33"/>
        <v/>
      </c>
      <c r="BE99">
        <f t="shared" si="35"/>
        <v>1.2841997597535935</v>
      </c>
      <c r="BF99">
        <f t="shared" si="36"/>
        <v>385.25992792607803</v>
      </c>
      <c r="BG99">
        <f t="shared" si="37"/>
        <v>0</v>
      </c>
    </row>
    <row r="100" spans="1:59" ht="15" customHeight="1" x14ac:dyDescent="0.2">
      <c r="A100" s="2" t="s">
        <v>205</v>
      </c>
      <c r="B100" s="2" t="str">
        <f>VLOOKUP($A100,'[1]daily coal, energy reqd'!$C$2:$T$599,17,FALSE)</f>
        <v>Maharashtra</v>
      </c>
      <c r="C100" s="2" t="str">
        <f>VLOOKUP(B100,'Target PLF'!$I$2:$J$19,2,FALSE)</f>
        <v>WR</v>
      </c>
      <c r="D100" s="2" t="s">
        <v>572</v>
      </c>
      <c r="E100" s="2" t="s">
        <v>543</v>
      </c>
      <c r="F100" s="12">
        <v>6.00958247775496</v>
      </c>
      <c r="G100" s="2">
        <v>300</v>
      </c>
      <c r="H100">
        <f>VLOOKUP(A100,'Coal savings'!$A$3:$AB$543,26,FALSE)</f>
        <v>1542398.2304122944</v>
      </c>
      <c r="O100" s="2" t="s">
        <v>205</v>
      </c>
      <c r="AH100" s="2" t="str">
        <f t="shared" si="39"/>
        <v/>
      </c>
      <c r="AI100" s="2"/>
      <c r="AJ100" s="2" t="str">
        <f t="shared" si="21"/>
        <v/>
      </c>
      <c r="AK100" s="12">
        <f t="shared" si="22"/>
        <v>2.00958247775496</v>
      </c>
      <c r="AL100" s="2" t="s">
        <v>572</v>
      </c>
      <c r="AM100" s="2" t="str">
        <f>VLOOKUP(A100,'[12]Power plant names'!$C$2:$F$545,4,FALSE)</f>
        <v>Sub critical</v>
      </c>
      <c r="AN100" s="2">
        <v>300</v>
      </c>
      <c r="AO100" s="2">
        <f t="shared" si="23"/>
        <v>0.91809202902121845</v>
      </c>
      <c r="AP100" s="2"/>
      <c r="AQ100" s="2">
        <f t="shared" si="24"/>
        <v>300</v>
      </c>
      <c r="AR100" s="2">
        <f t="shared" si="25"/>
        <v>0</v>
      </c>
      <c r="AS100" s="2">
        <f t="shared" si="26"/>
        <v>275.42760870636556</v>
      </c>
      <c r="AU100" s="2"/>
      <c r="AV100" s="2" t="str">
        <f t="shared" si="28"/>
        <v/>
      </c>
      <c r="AW100" s="12">
        <f t="shared" si="29"/>
        <v>6.00958247775496</v>
      </c>
      <c r="AX100" s="2">
        <v>300</v>
      </c>
      <c r="AY100" s="3">
        <f t="shared" si="30"/>
        <v>1.1418154476386038</v>
      </c>
      <c r="AZ100" s="2">
        <f t="shared" si="31"/>
        <v>0</v>
      </c>
      <c r="BA100" s="2">
        <f t="shared" si="32"/>
        <v>342.54463429158113</v>
      </c>
      <c r="BC100" t="str">
        <f t="shared" si="33"/>
        <v/>
      </c>
      <c r="BE100">
        <f t="shared" si="35"/>
        <v>1.294865751540041</v>
      </c>
      <c r="BF100">
        <f t="shared" si="36"/>
        <v>0</v>
      </c>
      <c r="BG100">
        <f t="shared" si="37"/>
        <v>388.45972546201233</v>
      </c>
    </row>
    <row r="101" spans="1:59" ht="15" hidden="1" customHeight="1" x14ac:dyDescent="0.2">
      <c r="A101" s="2" t="s">
        <v>507</v>
      </c>
      <c r="B101" s="2" t="str">
        <f>VLOOKUP($A101,'[1]daily coal, energy reqd'!$C$2:$T$599,17,FALSE)</f>
        <v>Andhra Pradesh</v>
      </c>
      <c r="C101" s="2" t="str">
        <f>VLOOKUP(B101,'Target PLF'!$I$2:$J$19,2,FALSE)</f>
        <v>SR</v>
      </c>
      <c r="D101" s="2" t="s">
        <v>570</v>
      </c>
      <c r="E101" s="2" t="s">
        <v>550</v>
      </c>
      <c r="F101" s="12">
        <v>40.5065023956194</v>
      </c>
      <c r="G101" s="2">
        <v>210</v>
      </c>
      <c r="H101">
        <f>VLOOKUP(A101,'Coal savings'!$A$3:$AB$543,26,FALSE)</f>
        <v>0</v>
      </c>
      <c r="I101" t="s">
        <v>697</v>
      </c>
      <c r="J101">
        <v>110.55500000000001</v>
      </c>
      <c r="O101" s="2" t="s">
        <v>507</v>
      </c>
      <c r="AH101" s="2" t="str">
        <f t="shared" si="39"/>
        <v>2020</v>
      </c>
      <c r="AI101" s="2">
        <f t="shared" ref="AI101:AI117" si="41">(J101)/(1+0.115)^(AH101-2016)</f>
        <v>71.528467337065905</v>
      </c>
      <c r="AJ101" s="2">
        <f t="shared" si="21"/>
        <v>0.34061174922412335</v>
      </c>
      <c r="AK101" s="12">
        <f t="shared" si="22"/>
        <v>36.5065023956194</v>
      </c>
      <c r="AL101" s="2" t="s">
        <v>570</v>
      </c>
      <c r="AM101" s="2" t="str">
        <f>VLOOKUP(A101,'[12]Power plant names'!$C$2:$F$545,4,FALSE)</f>
        <v>Sub critical</v>
      </c>
      <c r="AN101" s="2">
        <v>210</v>
      </c>
      <c r="AO101" s="2">
        <f t="shared" si="23"/>
        <v>0.34061174922412335</v>
      </c>
      <c r="AP101" s="2">
        <v>210</v>
      </c>
      <c r="AQ101" s="2">
        <f t="shared" si="24"/>
        <v>0</v>
      </c>
      <c r="AR101" s="2">
        <f t="shared" si="25"/>
        <v>71.528467337065905</v>
      </c>
      <c r="AS101" s="2">
        <f t="shared" si="26"/>
        <v>0</v>
      </c>
      <c r="AU101" s="2">
        <f t="shared" si="27"/>
        <v>110.55499999999999</v>
      </c>
      <c r="AV101" s="2">
        <f t="shared" si="28"/>
        <v>0.52645238095238089</v>
      </c>
      <c r="AW101" s="12">
        <f t="shared" si="29"/>
        <v>40.5065023956194</v>
      </c>
      <c r="AX101" s="2">
        <v>210</v>
      </c>
      <c r="AY101" s="3">
        <f t="shared" si="30"/>
        <v>0.52645238095238089</v>
      </c>
      <c r="AZ101" s="2">
        <f t="shared" si="31"/>
        <v>110.55499999999999</v>
      </c>
      <c r="BA101" s="2">
        <f t="shared" si="32"/>
        <v>0</v>
      </c>
      <c r="BC101">
        <f t="shared" si="33"/>
        <v>110.55499999999999</v>
      </c>
      <c r="BD101">
        <f t="shared" si="34"/>
        <v>0.52645238095238089</v>
      </c>
      <c r="BE101">
        <f t="shared" si="35"/>
        <v>0.52645238095238089</v>
      </c>
      <c r="BF101">
        <f t="shared" si="36"/>
        <v>110.55499999999999</v>
      </c>
      <c r="BG101">
        <f t="shared" si="37"/>
        <v>0</v>
      </c>
    </row>
    <row r="102" spans="1:59" ht="15" hidden="1" customHeight="1" x14ac:dyDescent="0.2">
      <c r="A102" s="2" t="s">
        <v>501</v>
      </c>
      <c r="B102" s="2" t="str">
        <f>VLOOKUP($A102,'[1]daily coal, energy reqd'!$C$2:$T$599,17,FALSE)</f>
        <v>Andhra Pradesh</v>
      </c>
      <c r="C102" s="2" t="str">
        <f>VLOOKUP(B102,'Target PLF'!$I$2:$J$19,2,FALSE)</f>
        <v>SR</v>
      </c>
      <c r="D102" s="2" t="s">
        <v>570</v>
      </c>
      <c r="E102" s="2" t="s">
        <v>549</v>
      </c>
      <c r="F102" s="12">
        <v>39.564681724845997</v>
      </c>
      <c r="G102" s="2">
        <v>210</v>
      </c>
      <c r="H102">
        <f>VLOOKUP(A102,'Coal savings'!$A$3:$AB$543,26,FALSE)</f>
        <v>0</v>
      </c>
      <c r="I102" t="s">
        <v>697</v>
      </c>
      <c r="J102">
        <v>110.55500000000001</v>
      </c>
      <c r="O102" s="2" t="s">
        <v>501</v>
      </c>
      <c r="AH102" s="2" t="str">
        <f t="shared" si="39"/>
        <v>2020</v>
      </c>
      <c r="AI102" s="2">
        <f t="shared" si="41"/>
        <v>71.528467337065905</v>
      </c>
      <c r="AJ102" s="2">
        <f t="shared" si="21"/>
        <v>0.34061174922412335</v>
      </c>
      <c r="AK102" s="12">
        <f t="shared" si="22"/>
        <v>35.564681724845997</v>
      </c>
      <c r="AL102" s="2" t="s">
        <v>570</v>
      </c>
      <c r="AM102" s="2" t="str">
        <f>VLOOKUP(A102,'[12]Power plant names'!$C$2:$F$545,4,FALSE)</f>
        <v>Sub critical</v>
      </c>
      <c r="AN102" s="2">
        <v>210</v>
      </c>
      <c r="AO102" s="2">
        <f t="shared" si="23"/>
        <v>0.34061174922412335</v>
      </c>
      <c r="AP102" s="2">
        <v>210</v>
      </c>
      <c r="AQ102" s="2">
        <f t="shared" si="24"/>
        <v>0</v>
      </c>
      <c r="AR102" s="2">
        <f t="shared" si="25"/>
        <v>71.528467337065905</v>
      </c>
      <c r="AS102" s="2">
        <f t="shared" si="26"/>
        <v>0</v>
      </c>
      <c r="AU102" s="2">
        <f t="shared" si="27"/>
        <v>110.55499999999999</v>
      </c>
      <c r="AV102" s="2">
        <f t="shared" si="28"/>
        <v>0.52645238095238089</v>
      </c>
      <c r="AW102" s="12">
        <f t="shared" si="29"/>
        <v>39.564681724845997</v>
      </c>
      <c r="AX102" s="2">
        <v>210</v>
      </c>
      <c r="AY102" s="3">
        <f t="shared" si="30"/>
        <v>0.52645238095238089</v>
      </c>
      <c r="AZ102" s="2">
        <f t="shared" si="31"/>
        <v>110.55499999999999</v>
      </c>
      <c r="BA102" s="2">
        <f t="shared" si="32"/>
        <v>0</v>
      </c>
      <c r="BC102">
        <f t="shared" si="33"/>
        <v>110.55499999999999</v>
      </c>
      <c r="BD102">
        <f t="shared" si="34"/>
        <v>0.52645238095238089</v>
      </c>
      <c r="BE102">
        <f t="shared" si="35"/>
        <v>0.52645238095238089</v>
      </c>
      <c r="BF102">
        <f t="shared" si="36"/>
        <v>110.55499999999999</v>
      </c>
      <c r="BG102">
        <f t="shared" si="37"/>
        <v>0</v>
      </c>
    </row>
    <row r="103" spans="1:59" ht="15" hidden="1" customHeight="1" x14ac:dyDescent="0.2">
      <c r="A103" s="2" t="s">
        <v>434</v>
      </c>
      <c r="B103" s="2" t="str">
        <f>VLOOKUP($A103,'[1]daily coal, energy reqd'!$C$2:$T$599,17,FALSE)</f>
        <v>Andhra Pradesh</v>
      </c>
      <c r="C103" s="2" t="str">
        <f>VLOOKUP(B103,'Target PLF'!$I$2:$J$19,2,FALSE)</f>
        <v>SR</v>
      </c>
      <c r="D103" s="2" t="s">
        <v>570</v>
      </c>
      <c r="E103" s="2" t="s">
        <v>548</v>
      </c>
      <c r="F103" s="12">
        <v>30.579055441478399</v>
      </c>
      <c r="G103" s="2">
        <v>210</v>
      </c>
      <c r="H103">
        <f>VLOOKUP(A103,'Coal savings'!$A$3:$AB$543,26,FALSE)</f>
        <v>0</v>
      </c>
      <c r="I103" t="s">
        <v>697</v>
      </c>
      <c r="J103">
        <v>110.55500000000001</v>
      </c>
      <c r="O103" s="2" t="s">
        <v>434</v>
      </c>
      <c r="AH103" s="2" t="str">
        <f t="shared" si="39"/>
        <v>2020</v>
      </c>
      <c r="AI103" s="2">
        <f t="shared" si="41"/>
        <v>71.528467337065905</v>
      </c>
      <c r="AJ103" s="2">
        <f t="shared" si="21"/>
        <v>0.34061174922412335</v>
      </c>
      <c r="AK103" s="12">
        <f t="shared" si="22"/>
        <v>26.579055441478399</v>
      </c>
      <c r="AL103" s="2" t="s">
        <v>570</v>
      </c>
      <c r="AM103" s="2" t="str">
        <f>VLOOKUP(A103,'[12]Power plant names'!$C$2:$F$545,4,FALSE)</f>
        <v>Sub critical</v>
      </c>
      <c r="AN103" s="2">
        <v>210</v>
      </c>
      <c r="AO103" s="2">
        <f t="shared" si="23"/>
        <v>0.34061174922412335</v>
      </c>
      <c r="AP103" s="2">
        <v>210</v>
      </c>
      <c r="AQ103" s="2">
        <f t="shared" si="24"/>
        <v>0</v>
      </c>
      <c r="AR103" s="2">
        <f t="shared" si="25"/>
        <v>71.528467337065905</v>
      </c>
      <c r="AS103" s="2">
        <f t="shared" si="26"/>
        <v>0</v>
      </c>
      <c r="AU103" s="2">
        <f t="shared" si="27"/>
        <v>110.55499999999999</v>
      </c>
      <c r="AV103" s="2">
        <f t="shared" si="28"/>
        <v>0.52645238095238089</v>
      </c>
      <c r="AW103" s="12">
        <f t="shared" si="29"/>
        <v>30.579055441478399</v>
      </c>
      <c r="AX103" s="2">
        <v>210</v>
      </c>
      <c r="AY103" s="3">
        <f t="shared" si="30"/>
        <v>0.52645238095238089</v>
      </c>
      <c r="AZ103" s="2">
        <f t="shared" si="31"/>
        <v>110.55499999999999</v>
      </c>
      <c r="BA103" s="2">
        <f t="shared" si="32"/>
        <v>0</v>
      </c>
      <c r="BC103">
        <f t="shared" si="33"/>
        <v>110.55499999999999</v>
      </c>
      <c r="BD103">
        <f t="shared" si="34"/>
        <v>0.52645238095238089</v>
      </c>
      <c r="BE103">
        <f t="shared" si="35"/>
        <v>0.52645238095238089</v>
      </c>
      <c r="BF103">
        <f t="shared" si="36"/>
        <v>110.55499999999999</v>
      </c>
      <c r="BG103">
        <f t="shared" si="37"/>
        <v>0</v>
      </c>
    </row>
    <row r="104" spans="1:59" ht="15" hidden="1" customHeight="1" x14ac:dyDescent="0.2">
      <c r="A104" s="2" t="s">
        <v>427</v>
      </c>
      <c r="B104" s="2" t="str">
        <f>VLOOKUP($A104,'[1]daily coal, energy reqd'!$C$2:$T$599,17,FALSE)</f>
        <v>Andhra Pradesh</v>
      </c>
      <c r="C104" s="2" t="str">
        <f>VLOOKUP(B104,'Target PLF'!$I$2:$J$19,2,FALSE)</f>
        <v>SR</v>
      </c>
      <c r="D104" s="2" t="s">
        <v>570</v>
      </c>
      <c r="E104" s="2" t="s">
        <v>547</v>
      </c>
      <c r="F104" s="12">
        <v>29.6974674880219</v>
      </c>
      <c r="G104" s="2">
        <v>210</v>
      </c>
      <c r="H104">
        <f>VLOOKUP(A104,'Coal savings'!$A$3:$AB$543,26,FALSE)</f>
        <v>0</v>
      </c>
      <c r="I104" t="s">
        <v>697</v>
      </c>
      <c r="J104">
        <v>110.55500000000001</v>
      </c>
      <c r="O104" s="2" t="s">
        <v>427</v>
      </c>
      <c r="AH104" s="2" t="str">
        <f t="shared" si="39"/>
        <v>2020</v>
      </c>
      <c r="AI104" s="2">
        <f t="shared" si="41"/>
        <v>71.528467337065905</v>
      </c>
      <c r="AJ104" s="2">
        <f t="shared" si="21"/>
        <v>0.34061174922412335</v>
      </c>
      <c r="AK104" s="12">
        <f t="shared" si="22"/>
        <v>25.6974674880219</v>
      </c>
      <c r="AL104" s="2" t="s">
        <v>570</v>
      </c>
      <c r="AM104" s="2" t="str">
        <f>VLOOKUP(A104,'[12]Power plant names'!$C$2:$F$545,4,FALSE)</f>
        <v>Sub critical</v>
      </c>
      <c r="AN104" s="2">
        <v>210</v>
      </c>
      <c r="AO104" s="2">
        <f t="shared" si="23"/>
        <v>0.34061174922412335</v>
      </c>
      <c r="AP104" s="2">
        <v>210</v>
      </c>
      <c r="AQ104" s="2">
        <f t="shared" si="24"/>
        <v>0</v>
      </c>
      <c r="AR104" s="2">
        <f t="shared" si="25"/>
        <v>71.528467337065905</v>
      </c>
      <c r="AS104" s="2">
        <f t="shared" si="26"/>
        <v>0</v>
      </c>
      <c r="AU104" s="2">
        <f t="shared" si="27"/>
        <v>110.55499999999999</v>
      </c>
      <c r="AV104" s="2">
        <f t="shared" si="28"/>
        <v>0.52645238095238089</v>
      </c>
      <c r="AW104" s="12">
        <f t="shared" si="29"/>
        <v>29.6974674880219</v>
      </c>
      <c r="AX104" s="2">
        <v>210</v>
      </c>
      <c r="AY104" s="3">
        <f t="shared" si="30"/>
        <v>0.52645238095238089</v>
      </c>
      <c r="AZ104" s="2">
        <f t="shared" si="31"/>
        <v>110.55499999999999</v>
      </c>
      <c r="BA104" s="2">
        <f t="shared" si="32"/>
        <v>0</v>
      </c>
      <c r="BC104">
        <f t="shared" si="33"/>
        <v>110.55499999999999</v>
      </c>
      <c r="BD104">
        <f t="shared" si="34"/>
        <v>0.52645238095238089</v>
      </c>
      <c r="BE104">
        <f t="shared" si="35"/>
        <v>0.52645238095238089</v>
      </c>
      <c r="BF104">
        <f t="shared" si="36"/>
        <v>110.55499999999999</v>
      </c>
      <c r="BG104">
        <f t="shared" si="37"/>
        <v>0</v>
      </c>
    </row>
    <row r="105" spans="1:59" ht="15" hidden="1" customHeight="1" x14ac:dyDescent="0.2">
      <c r="A105" s="2" t="s">
        <v>404</v>
      </c>
      <c r="B105" s="2" t="str">
        <f>VLOOKUP($A105,'[1]daily coal, energy reqd'!$C$2:$T$599,17,FALSE)</f>
        <v>Andhra Pradesh</v>
      </c>
      <c r="C105" s="2" t="str">
        <f>VLOOKUP(B105,'Target PLF'!$I$2:$J$19,2,FALSE)</f>
        <v>SR</v>
      </c>
      <c r="D105" s="2" t="s">
        <v>570</v>
      </c>
      <c r="E105" s="2" t="s">
        <v>547</v>
      </c>
      <c r="F105" s="12">
        <v>26.094455852155999</v>
      </c>
      <c r="G105" s="2">
        <v>210</v>
      </c>
      <c r="H105">
        <f>VLOOKUP(A105,'Coal savings'!$A$3:$AB$543,26,FALSE)</f>
        <v>0</v>
      </c>
      <c r="I105" t="s">
        <v>697</v>
      </c>
      <c r="J105">
        <v>110.55500000000001</v>
      </c>
      <c r="O105" s="2" t="s">
        <v>404</v>
      </c>
      <c r="AH105" s="2" t="str">
        <f t="shared" si="39"/>
        <v>2020</v>
      </c>
      <c r="AI105" s="2">
        <f t="shared" si="41"/>
        <v>71.528467337065905</v>
      </c>
      <c r="AJ105" s="2">
        <f t="shared" si="21"/>
        <v>0.34061174922412335</v>
      </c>
      <c r="AK105" s="12">
        <f t="shared" si="22"/>
        <v>22.094455852155999</v>
      </c>
      <c r="AL105" s="2" t="s">
        <v>570</v>
      </c>
      <c r="AM105" s="2" t="str">
        <f>VLOOKUP(A105,'[12]Power plant names'!$C$2:$F$545,4,FALSE)</f>
        <v>Sub critical</v>
      </c>
      <c r="AN105" s="2">
        <v>210</v>
      </c>
      <c r="AO105" s="2">
        <f t="shared" si="23"/>
        <v>0.34061174922412335</v>
      </c>
      <c r="AP105" s="2">
        <v>210</v>
      </c>
      <c r="AQ105" s="2">
        <f t="shared" si="24"/>
        <v>0</v>
      </c>
      <c r="AR105" s="2">
        <f t="shared" si="25"/>
        <v>71.528467337065905</v>
      </c>
      <c r="AS105" s="2">
        <f t="shared" si="26"/>
        <v>0</v>
      </c>
      <c r="AU105" s="2">
        <f t="shared" si="27"/>
        <v>110.55499999999999</v>
      </c>
      <c r="AV105" s="2">
        <f t="shared" si="28"/>
        <v>0.52645238095238089</v>
      </c>
      <c r="AW105" s="12">
        <f t="shared" si="29"/>
        <v>26.094455852155999</v>
      </c>
      <c r="AX105" s="2">
        <v>210</v>
      </c>
      <c r="AY105" s="3">
        <f t="shared" si="30"/>
        <v>0.52645238095238089</v>
      </c>
      <c r="AZ105" s="2">
        <f t="shared" si="31"/>
        <v>110.55499999999999</v>
      </c>
      <c r="BA105" s="2">
        <f t="shared" si="32"/>
        <v>0</v>
      </c>
      <c r="BC105">
        <f t="shared" si="33"/>
        <v>110.55499999999999</v>
      </c>
      <c r="BD105">
        <f t="shared" si="34"/>
        <v>0.52645238095238089</v>
      </c>
      <c r="BE105">
        <f t="shared" si="35"/>
        <v>0.52645238095238089</v>
      </c>
      <c r="BF105">
        <f t="shared" si="36"/>
        <v>110.55499999999999</v>
      </c>
      <c r="BG105">
        <f t="shared" si="37"/>
        <v>0</v>
      </c>
    </row>
    <row r="106" spans="1:59" ht="15" hidden="1" customHeight="1" x14ac:dyDescent="0.2">
      <c r="A106" s="2" t="s">
        <v>400</v>
      </c>
      <c r="B106" s="2" t="str">
        <f>VLOOKUP($A106,'[1]daily coal, energy reqd'!$C$2:$T$599,17,FALSE)</f>
        <v>Andhra Pradesh</v>
      </c>
      <c r="C106" s="2" t="str">
        <f>VLOOKUP(B106,'Target PLF'!$I$2:$J$19,2,FALSE)</f>
        <v>SR</v>
      </c>
      <c r="D106" s="2" t="s">
        <v>570</v>
      </c>
      <c r="E106" s="2" t="s">
        <v>547</v>
      </c>
      <c r="F106" s="12">
        <v>25.190965092402401</v>
      </c>
      <c r="G106" s="2">
        <v>210</v>
      </c>
      <c r="H106">
        <f>VLOOKUP(A106,'Coal savings'!$A$3:$AB$543,26,FALSE)</f>
        <v>0</v>
      </c>
      <c r="I106" t="s">
        <v>697</v>
      </c>
      <c r="J106">
        <v>110.55500000000001</v>
      </c>
      <c r="O106" s="2" t="s">
        <v>400</v>
      </c>
      <c r="AH106" s="2" t="str">
        <f t="shared" ref="AH106:AH118" si="42">RIGHT(I106,4)</f>
        <v>2020</v>
      </c>
      <c r="AI106" s="2">
        <f t="shared" si="41"/>
        <v>71.528467337065905</v>
      </c>
      <c r="AJ106" s="2">
        <f t="shared" si="21"/>
        <v>0.34061174922412335</v>
      </c>
      <c r="AK106" s="12">
        <f t="shared" si="22"/>
        <v>21.190965092402401</v>
      </c>
      <c r="AL106" s="2" t="s">
        <v>570</v>
      </c>
      <c r="AM106" s="2" t="str">
        <f>VLOOKUP(A106,'[12]Power plant names'!$C$2:$F$545,4,FALSE)</f>
        <v>Sub critical</v>
      </c>
      <c r="AN106" s="2">
        <v>210</v>
      </c>
      <c r="AO106" s="2">
        <f t="shared" si="23"/>
        <v>0.34061174922412335</v>
      </c>
      <c r="AP106" s="2">
        <v>210</v>
      </c>
      <c r="AQ106" s="2">
        <f t="shared" si="24"/>
        <v>0</v>
      </c>
      <c r="AR106" s="2">
        <f t="shared" si="25"/>
        <v>71.528467337065905</v>
      </c>
      <c r="AS106" s="2">
        <f t="shared" si="26"/>
        <v>0</v>
      </c>
      <c r="AU106" s="2">
        <f t="shared" si="27"/>
        <v>110.55499999999999</v>
      </c>
      <c r="AV106" s="2">
        <f t="shared" si="28"/>
        <v>0.52645238095238089</v>
      </c>
      <c r="AW106" s="12">
        <f t="shared" si="29"/>
        <v>25.190965092402401</v>
      </c>
      <c r="AX106" s="2">
        <v>210</v>
      </c>
      <c r="AY106" s="3">
        <f t="shared" si="30"/>
        <v>0.52645238095238089</v>
      </c>
      <c r="AZ106" s="2">
        <f t="shared" si="31"/>
        <v>110.55499999999999</v>
      </c>
      <c r="BA106" s="2">
        <f t="shared" si="32"/>
        <v>0</v>
      </c>
      <c r="BC106">
        <f t="shared" si="33"/>
        <v>110.55499999999999</v>
      </c>
      <c r="BD106">
        <f t="shared" si="34"/>
        <v>0.52645238095238089</v>
      </c>
      <c r="BE106">
        <f t="shared" si="35"/>
        <v>0.52645238095238089</v>
      </c>
      <c r="BF106">
        <f t="shared" si="36"/>
        <v>110.55499999999999</v>
      </c>
      <c r="BG106">
        <f t="shared" si="37"/>
        <v>0</v>
      </c>
    </row>
    <row r="107" spans="1:59" ht="15" customHeight="1" x14ac:dyDescent="0.2">
      <c r="A107" s="2" t="s">
        <v>172</v>
      </c>
      <c r="B107" s="2" t="str">
        <f>VLOOKUP($A107,'[1]daily coal, energy reqd'!$C$2:$T$599,17,FALSE)</f>
        <v>Andhra Pradesh</v>
      </c>
      <c r="C107" s="2" t="str">
        <f>VLOOKUP(B107,'Target PLF'!$I$2:$J$19,2,FALSE)</f>
        <v>SR</v>
      </c>
      <c r="D107" s="2" t="s">
        <v>570</v>
      </c>
      <c r="E107" s="2" t="s">
        <v>544</v>
      </c>
      <c r="F107" s="12">
        <v>10.590006844626901</v>
      </c>
      <c r="G107" s="2">
        <v>500</v>
      </c>
      <c r="H107">
        <f>VLOOKUP(A107,'Coal savings'!$A$3:$AB$543,26,FALSE)</f>
        <v>2719537.1619049003</v>
      </c>
      <c r="I107" t="s">
        <v>697</v>
      </c>
      <c r="J107">
        <v>328.86</v>
      </c>
      <c r="O107" s="2" t="s">
        <v>172</v>
      </c>
      <c r="AH107" s="2" t="str">
        <f t="shared" si="42"/>
        <v>2020</v>
      </c>
      <c r="AI107" s="2">
        <f t="shared" si="41"/>
        <v>212.77058268253353</v>
      </c>
      <c r="AJ107" s="2">
        <f t="shared" si="21"/>
        <v>0.42554116536506703</v>
      </c>
      <c r="AK107" s="12">
        <f t="shared" si="22"/>
        <v>6.5900068446269007</v>
      </c>
      <c r="AL107" s="2" t="s">
        <v>570</v>
      </c>
      <c r="AM107" s="2" t="str">
        <f>VLOOKUP(A107,'[12]Power plant names'!$C$2:$F$545,4,FALSE)</f>
        <v>Sub critical</v>
      </c>
      <c r="AN107" s="2">
        <v>500</v>
      </c>
      <c r="AO107" s="2">
        <f t="shared" si="23"/>
        <v>0.42554116536506703</v>
      </c>
      <c r="AP107" s="2">
        <v>500</v>
      </c>
      <c r="AQ107" s="2">
        <f t="shared" si="24"/>
        <v>0</v>
      </c>
      <c r="AR107" s="2">
        <f t="shared" si="25"/>
        <v>212.77058268253353</v>
      </c>
      <c r="AS107" s="2">
        <f t="shared" si="26"/>
        <v>0</v>
      </c>
      <c r="AU107" s="2">
        <f t="shared" si="27"/>
        <v>328.86</v>
      </c>
      <c r="AV107" s="2">
        <f t="shared" si="28"/>
        <v>0.65772000000000008</v>
      </c>
      <c r="AW107" s="12">
        <f t="shared" si="29"/>
        <v>10.590006844626901</v>
      </c>
      <c r="AX107" s="2">
        <v>500</v>
      </c>
      <c r="AY107" s="3">
        <f t="shared" si="30"/>
        <v>0.65772000000000008</v>
      </c>
      <c r="AZ107" s="2">
        <f t="shared" si="31"/>
        <v>328.86</v>
      </c>
      <c r="BA107" s="2">
        <f t="shared" si="32"/>
        <v>0</v>
      </c>
      <c r="BC107">
        <f t="shared" si="33"/>
        <v>328.86</v>
      </c>
      <c r="BD107">
        <f t="shared" si="34"/>
        <v>0.65772000000000008</v>
      </c>
      <c r="BE107">
        <f t="shared" si="35"/>
        <v>0.65772000000000008</v>
      </c>
      <c r="BF107">
        <f t="shared" si="36"/>
        <v>328.86</v>
      </c>
      <c r="BG107">
        <f t="shared" si="37"/>
        <v>0</v>
      </c>
    </row>
    <row r="108" spans="1:59" ht="15" hidden="1" customHeight="1" x14ac:dyDescent="0.2">
      <c r="A108" s="2" t="s">
        <v>306</v>
      </c>
      <c r="B108" s="2" t="str">
        <f>VLOOKUP($A108,'[1]daily coal, energy reqd'!$C$2:$T$599,17,FALSE)</f>
        <v>Chhatisgarh</v>
      </c>
      <c r="C108" s="2" t="str">
        <f>VLOOKUP(B108,'Target PLF'!$I$2:$J$19,2,FALSE)</f>
        <v>WR</v>
      </c>
      <c r="D108" s="2" t="s">
        <v>570</v>
      </c>
      <c r="E108" s="2" t="s">
        <v>544</v>
      </c>
      <c r="F108" s="12">
        <v>13.1772758384668</v>
      </c>
      <c r="G108" s="2">
        <v>250</v>
      </c>
      <c r="H108">
        <f>VLOOKUP(A108,'Coal savings'!$A$3:$AB$543,26,FALSE)</f>
        <v>0</v>
      </c>
      <c r="I108" t="s">
        <v>695</v>
      </c>
      <c r="J108">
        <v>235.53</v>
      </c>
      <c r="O108" s="2" t="s">
        <v>306</v>
      </c>
      <c r="Q108" s="96"/>
      <c r="R108" s="96"/>
      <c r="S108" s="96"/>
      <c r="AH108" s="2" t="str">
        <f t="shared" si="42"/>
        <v>2018</v>
      </c>
      <c r="AI108" s="2">
        <f t="shared" si="41"/>
        <v>189.45082346317039</v>
      </c>
      <c r="AJ108" s="2">
        <f t="shared" si="21"/>
        <v>0.75780329385268153</v>
      </c>
      <c r="AK108" s="12">
        <f t="shared" si="22"/>
        <v>9.1772758384667998</v>
      </c>
      <c r="AL108" s="2" t="s">
        <v>570</v>
      </c>
      <c r="AM108" s="2" t="str">
        <f>VLOOKUP(A108,'[12]Power plant names'!$C$2:$F$545,4,FALSE)</f>
        <v>Sub critical</v>
      </c>
      <c r="AN108" s="2">
        <v>250</v>
      </c>
      <c r="AO108" s="2">
        <f t="shared" si="23"/>
        <v>0.75780329385268153</v>
      </c>
      <c r="AP108" s="2">
        <v>250</v>
      </c>
      <c r="AQ108" s="2">
        <f t="shared" si="24"/>
        <v>0</v>
      </c>
      <c r="AR108" s="2">
        <f t="shared" si="25"/>
        <v>189.45082346317039</v>
      </c>
      <c r="AS108" s="2">
        <f t="shared" si="26"/>
        <v>0</v>
      </c>
      <c r="AU108" s="2">
        <f t="shared" si="27"/>
        <v>235.53000000000003</v>
      </c>
      <c r="AV108" s="2">
        <f t="shared" si="28"/>
        <v>0.94212000000000007</v>
      </c>
      <c r="AW108" s="12">
        <f t="shared" si="29"/>
        <v>11.1772758384668</v>
      </c>
      <c r="AX108" s="2">
        <v>250</v>
      </c>
      <c r="AY108" s="3">
        <f t="shared" si="30"/>
        <v>0.94212000000000007</v>
      </c>
      <c r="AZ108" s="2">
        <f t="shared" si="31"/>
        <v>235.53000000000003</v>
      </c>
      <c r="BA108" s="2">
        <f t="shared" si="32"/>
        <v>0</v>
      </c>
      <c r="BC108">
        <f t="shared" si="33"/>
        <v>292.81678425000007</v>
      </c>
      <c r="BD108">
        <f t="shared" si="34"/>
        <v>1.1712671370000003</v>
      </c>
      <c r="BE108">
        <f t="shared" si="35"/>
        <v>1.1712671370000003</v>
      </c>
      <c r="BF108">
        <f t="shared" si="36"/>
        <v>292.81678425000007</v>
      </c>
      <c r="BG108">
        <f t="shared" si="37"/>
        <v>0</v>
      </c>
    </row>
    <row r="109" spans="1:59" ht="15" hidden="1" customHeight="1" x14ac:dyDescent="0.2">
      <c r="A109" s="2" t="s">
        <v>297</v>
      </c>
      <c r="B109" s="2" t="str">
        <f>VLOOKUP($A109,'[1]daily coal, energy reqd'!$C$2:$T$599,17,FALSE)</f>
        <v>Chhatisgarh</v>
      </c>
      <c r="C109" s="2" t="str">
        <f>VLOOKUP(B109,'Target PLF'!$I$2:$J$19,2,FALSE)</f>
        <v>WR</v>
      </c>
      <c r="D109" s="2" t="s">
        <v>570</v>
      </c>
      <c r="E109" s="2" t="s">
        <v>544</v>
      </c>
      <c r="F109" s="12">
        <v>12.4243668720054</v>
      </c>
      <c r="G109" s="2">
        <v>250</v>
      </c>
      <c r="H109">
        <f>VLOOKUP(A109,'Coal savings'!$A$3:$AB$543,26,FALSE)</f>
        <v>0</v>
      </c>
      <c r="I109" t="s">
        <v>695</v>
      </c>
      <c r="J109">
        <v>235.53</v>
      </c>
      <c r="O109" s="2" t="s">
        <v>297</v>
      </c>
      <c r="Q109" s="96"/>
      <c r="R109" s="96"/>
      <c r="S109" s="96"/>
      <c r="AH109" s="2" t="str">
        <f t="shared" si="42"/>
        <v>2018</v>
      </c>
      <c r="AI109" s="2">
        <f t="shared" si="41"/>
        <v>189.45082346317039</v>
      </c>
      <c r="AJ109" s="2">
        <f t="shared" si="21"/>
        <v>0.75780329385268153</v>
      </c>
      <c r="AK109" s="12">
        <f t="shared" si="22"/>
        <v>8.4243668720054004</v>
      </c>
      <c r="AL109" s="2" t="s">
        <v>570</v>
      </c>
      <c r="AM109" s="2" t="str">
        <f>VLOOKUP(A109,'[12]Power plant names'!$C$2:$F$545,4,FALSE)</f>
        <v>Sub critical</v>
      </c>
      <c r="AN109" s="2">
        <v>250</v>
      </c>
      <c r="AO109" s="2">
        <f t="shared" si="23"/>
        <v>0.75780329385268153</v>
      </c>
      <c r="AP109" s="2">
        <v>250</v>
      </c>
      <c r="AQ109" s="2">
        <f t="shared" si="24"/>
        <v>0</v>
      </c>
      <c r="AR109" s="2">
        <f t="shared" si="25"/>
        <v>189.45082346317039</v>
      </c>
      <c r="AS109" s="2">
        <f t="shared" si="26"/>
        <v>0</v>
      </c>
      <c r="AU109" s="2">
        <f t="shared" si="27"/>
        <v>235.53000000000003</v>
      </c>
      <c r="AV109" s="2">
        <f t="shared" si="28"/>
        <v>0.94212000000000007</v>
      </c>
      <c r="AW109" s="12">
        <f t="shared" si="29"/>
        <v>10.4243668720054</v>
      </c>
      <c r="AX109" s="2">
        <v>250</v>
      </c>
      <c r="AY109" s="3">
        <f t="shared" si="30"/>
        <v>0.94212000000000007</v>
      </c>
      <c r="AZ109" s="2">
        <f t="shared" si="31"/>
        <v>235.53000000000003</v>
      </c>
      <c r="BA109" s="2">
        <f t="shared" si="32"/>
        <v>0</v>
      </c>
      <c r="BC109">
        <f t="shared" si="33"/>
        <v>292.81678425000007</v>
      </c>
      <c r="BD109">
        <f t="shared" si="34"/>
        <v>1.1712671370000003</v>
      </c>
      <c r="BE109">
        <f t="shared" si="35"/>
        <v>1.1712671370000003</v>
      </c>
      <c r="BF109">
        <f t="shared" si="36"/>
        <v>292.81678425000007</v>
      </c>
      <c r="BG109">
        <f t="shared" si="37"/>
        <v>0</v>
      </c>
    </row>
    <row r="110" spans="1:59" ht="15" customHeight="1" x14ac:dyDescent="0.2">
      <c r="A110" s="2" t="s">
        <v>161</v>
      </c>
      <c r="B110" s="2" t="str">
        <f>VLOOKUP($A110,'[1]daily coal, energy reqd'!$C$2:$T$599,17,FALSE)</f>
        <v>West Bengal</v>
      </c>
      <c r="C110" s="2" t="str">
        <f>VLOOKUP(B110,'Target PLF'!$I$2:$J$19,2,FALSE)</f>
        <v>ER</v>
      </c>
      <c r="D110" s="2" t="s">
        <v>571</v>
      </c>
      <c r="E110" s="2" t="s">
        <v>543</v>
      </c>
      <c r="F110" s="12">
        <v>8.8432580424366805</v>
      </c>
      <c r="G110" s="2">
        <v>500</v>
      </c>
      <c r="H110">
        <f>VLOOKUP(A110,'Coal savings'!$A$3:$AB$543,26,FALSE)</f>
        <v>1937900.6443177089</v>
      </c>
      <c r="I110" t="s">
        <v>694</v>
      </c>
      <c r="J110">
        <f>1104.147/2</f>
        <v>552.07349999999997</v>
      </c>
      <c r="O110" s="2" t="s">
        <v>161</v>
      </c>
      <c r="S110" s="96"/>
      <c r="AH110" s="2" t="str">
        <f t="shared" si="42"/>
        <v>2019</v>
      </c>
      <c r="AI110" s="2">
        <f t="shared" si="41"/>
        <v>398.26514416658466</v>
      </c>
      <c r="AJ110" s="2">
        <f t="shared" si="21"/>
        <v>0.7965302883331693</v>
      </c>
      <c r="AK110" s="12">
        <f t="shared" si="22"/>
        <v>4.8432580424366805</v>
      </c>
      <c r="AL110" s="2" t="s">
        <v>571</v>
      </c>
      <c r="AM110" s="2" t="str">
        <f>VLOOKUP(A110,'[12]Power plant names'!$C$2:$F$545,4,FALSE)</f>
        <v>Sub critical</v>
      </c>
      <c r="AN110" s="2">
        <v>500</v>
      </c>
      <c r="AO110" s="2">
        <f t="shared" si="23"/>
        <v>0.7965302883331693</v>
      </c>
      <c r="AP110" s="2">
        <v>500</v>
      </c>
      <c r="AQ110" s="2">
        <f t="shared" si="24"/>
        <v>0</v>
      </c>
      <c r="AR110" s="2">
        <f t="shared" si="25"/>
        <v>398.26514416658466</v>
      </c>
      <c r="AS110" s="2">
        <f t="shared" si="26"/>
        <v>0</v>
      </c>
      <c r="AU110" s="2">
        <f t="shared" si="27"/>
        <v>552.07349999999997</v>
      </c>
      <c r="AV110" s="2">
        <f t="shared" si="28"/>
        <v>1.104147</v>
      </c>
      <c r="AW110" s="12">
        <f t="shared" si="29"/>
        <v>7.8432580424366805</v>
      </c>
      <c r="AX110" s="2">
        <v>500</v>
      </c>
      <c r="AY110" s="3">
        <f t="shared" si="30"/>
        <v>1.104147</v>
      </c>
      <c r="AZ110" s="2">
        <f t="shared" si="31"/>
        <v>552.07349999999997</v>
      </c>
      <c r="BA110" s="2">
        <f t="shared" si="32"/>
        <v>0</v>
      </c>
      <c r="BC110">
        <f t="shared" si="33"/>
        <v>615.56195249999996</v>
      </c>
      <c r="BD110">
        <f t="shared" si="34"/>
        <v>1.231123905</v>
      </c>
      <c r="BE110">
        <f t="shared" si="35"/>
        <v>1.231123905</v>
      </c>
      <c r="BF110">
        <f t="shared" si="36"/>
        <v>615.56195249999996</v>
      </c>
      <c r="BG110">
        <f t="shared" si="37"/>
        <v>0</v>
      </c>
    </row>
    <row r="111" spans="1:59" ht="15" customHeight="1" x14ac:dyDescent="0.2">
      <c r="A111" s="2" t="s">
        <v>152</v>
      </c>
      <c r="B111" s="2" t="str">
        <f>VLOOKUP($A111,'[1]daily coal, energy reqd'!$C$2:$T$599,17,FALSE)</f>
        <v>West Bengal</v>
      </c>
      <c r="C111" s="2" t="str">
        <f>VLOOKUP(B111,'Target PLF'!$I$2:$J$19,2,FALSE)</f>
        <v>ER</v>
      </c>
      <c r="D111" s="2" t="s">
        <v>571</v>
      </c>
      <c r="E111" s="2" t="s">
        <v>543</v>
      </c>
      <c r="F111" s="12">
        <v>8.1752224503764506</v>
      </c>
      <c r="G111" s="2">
        <v>500</v>
      </c>
      <c r="H111">
        <f>VLOOKUP(A111,'Coal savings'!$A$3:$AB$543,26,FALSE)</f>
        <v>1934292.6722524913</v>
      </c>
      <c r="I111" t="s">
        <v>694</v>
      </c>
      <c r="J111">
        <f>1104.147/2</f>
        <v>552.07349999999997</v>
      </c>
      <c r="O111" s="2" t="s">
        <v>152</v>
      </c>
      <c r="S111" s="96"/>
      <c r="AH111" s="2" t="str">
        <f t="shared" si="42"/>
        <v>2019</v>
      </c>
      <c r="AI111" s="2">
        <f t="shared" si="41"/>
        <v>398.26514416658466</v>
      </c>
      <c r="AJ111" s="2">
        <f t="shared" si="21"/>
        <v>0.7965302883331693</v>
      </c>
      <c r="AK111" s="12">
        <f t="shared" si="22"/>
        <v>4.1752224503764506</v>
      </c>
      <c r="AL111" s="2" t="s">
        <v>571</v>
      </c>
      <c r="AM111" s="2" t="str">
        <f>VLOOKUP(A111,'[12]Power plant names'!$C$2:$F$545,4,FALSE)</f>
        <v>Sub critical</v>
      </c>
      <c r="AN111" s="2">
        <v>500</v>
      </c>
      <c r="AO111" s="2">
        <f t="shared" si="23"/>
        <v>0.7965302883331693</v>
      </c>
      <c r="AP111" s="2">
        <v>500</v>
      </c>
      <c r="AQ111" s="2">
        <f t="shared" si="24"/>
        <v>0</v>
      </c>
      <c r="AR111" s="2">
        <f t="shared" si="25"/>
        <v>398.26514416658466</v>
      </c>
      <c r="AS111" s="2">
        <f t="shared" si="26"/>
        <v>0</v>
      </c>
      <c r="AU111" s="2">
        <f t="shared" si="27"/>
        <v>552.07349999999997</v>
      </c>
      <c r="AV111" s="2">
        <f t="shared" si="28"/>
        <v>1.104147</v>
      </c>
      <c r="AW111" s="12">
        <f t="shared" si="29"/>
        <v>7.1752224503764506</v>
      </c>
      <c r="AX111" s="2">
        <v>500</v>
      </c>
      <c r="AY111" s="3">
        <f t="shared" si="30"/>
        <v>1.104147</v>
      </c>
      <c r="AZ111" s="2">
        <f t="shared" si="31"/>
        <v>552.07349999999997</v>
      </c>
      <c r="BA111" s="2">
        <f t="shared" si="32"/>
        <v>0</v>
      </c>
      <c r="BC111">
        <f t="shared" si="33"/>
        <v>615.56195249999996</v>
      </c>
      <c r="BD111">
        <f t="shared" si="34"/>
        <v>1.231123905</v>
      </c>
      <c r="BE111">
        <f t="shared" si="35"/>
        <v>1.231123905</v>
      </c>
      <c r="BF111">
        <f t="shared" si="36"/>
        <v>615.56195249999996</v>
      </c>
      <c r="BG111">
        <f t="shared" si="37"/>
        <v>0</v>
      </c>
    </row>
    <row r="112" spans="1:59" ht="15" hidden="1" customHeight="1" x14ac:dyDescent="0.2">
      <c r="A112" s="2" t="s">
        <v>484</v>
      </c>
      <c r="B112" s="2" t="str">
        <f>VLOOKUP($A112,'[1]daily coal, energy reqd'!$C$2:$T$599,17,FALSE)</f>
        <v>West Bengal</v>
      </c>
      <c r="C112" s="2" t="str">
        <f>VLOOKUP(B112,'Target PLF'!$I$2:$J$19,2,FALSE)</f>
        <v>ER</v>
      </c>
      <c r="D112" s="2" t="s">
        <v>571</v>
      </c>
      <c r="E112" s="2" t="s">
        <v>549</v>
      </c>
      <c r="F112" s="12">
        <v>37.672826830937701</v>
      </c>
      <c r="G112" s="2">
        <v>220</v>
      </c>
      <c r="H112">
        <f>VLOOKUP(A112,'Coal savings'!$A$3:$AB$543,26,FALSE)</f>
        <v>0</v>
      </c>
      <c r="I112" t="s">
        <v>694</v>
      </c>
      <c r="J112" s="38">
        <f>1104.147*0.22</f>
        <v>242.91234</v>
      </c>
      <c r="O112" s="2" t="s">
        <v>484</v>
      </c>
      <c r="AH112" s="2" t="str">
        <f t="shared" si="42"/>
        <v>2019</v>
      </c>
      <c r="AI112" s="2">
        <f t="shared" si="41"/>
        <v>175.23666343329725</v>
      </c>
      <c r="AJ112" s="2">
        <f t="shared" si="21"/>
        <v>0.7965302883331693</v>
      </c>
      <c r="AK112" s="12">
        <f t="shared" si="22"/>
        <v>33.672826830937701</v>
      </c>
      <c r="AL112" s="2" t="s">
        <v>571</v>
      </c>
      <c r="AM112" s="2" t="str">
        <f>VLOOKUP(A112,'[12]Power plant names'!$C$2:$F$545,4,FALSE)</f>
        <v>Sub critical</v>
      </c>
      <c r="AN112" s="2">
        <v>220</v>
      </c>
      <c r="AO112" s="2">
        <f t="shared" si="23"/>
        <v>0.7965302883331693</v>
      </c>
      <c r="AP112" s="2">
        <v>220</v>
      </c>
      <c r="AQ112" s="2">
        <f t="shared" si="24"/>
        <v>0</v>
      </c>
      <c r="AR112" s="2">
        <f t="shared" si="25"/>
        <v>175.23666343329725</v>
      </c>
      <c r="AS112" s="2">
        <f t="shared" si="26"/>
        <v>0</v>
      </c>
      <c r="AU112" s="2">
        <f t="shared" si="27"/>
        <v>242.91234</v>
      </c>
      <c r="AV112" s="2">
        <f t="shared" si="28"/>
        <v>1.104147</v>
      </c>
      <c r="AW112" s="12">
        <f t="shared" si="29"/>
        <v>36.672826830937701</v>
      </c>
      <c r="AX112" s="2">
        <v>220</v>
      </c>
      <c r="AY112" s="3">
        <f t="shared" si="30"/>
        <v>1.104147</v>
      </c>
      <c r="AZ112" s="2">
        <f t="shared" si="31"/>
        <v>242.91234</v>
      </c>
      <c r="BA112" s="2">
        <f t="shared" si="32"/>
        <v>0</v>
      </c>
      <c r="BC112">
        <f t="shared" si="33"/>
        <v>270.84725909999997</v>
      </c>
      <c r="BD112">
        <f t="shared" si="34"/>
        <v>1.2311239049999998</v>
      </c>
      <c r="BE112">
        <f t="shared" si="35"/>
        <v>1.2311239049999998</v>
      </c>
      <c r="BF112">
        <f t="shared" si="36"/>
        <v>270.84725909999997</v>
      </c>
      <c r="BG112">
        <f t="shared" si="37"/>
        <v>0</v>
      </c>
    </row>
    <row r="113" spans="1:59" ht="15" hidden="1" customHeight="1" x14ac:dyDescent="0.2">
      <c r="A113" s="2" t="s">
        <v>462</v>
      </c>
      <c r="B113" s="2" t="str">
        <f>VLOOKUP($A113,'[1]daily coal, energy reqd'!$C$2:$T$599,17,FALSE)</f>
        <v>West Bengal</v>
      </c>
      <c r="C113" s="2" t="str">
        <f>VLOOKUP(B113,'Target PLF'!$I$2:$J$19,2,FALSE)</f>
        <v>ER</v>
      </c>
      <c r="D113" s="2" t="s">
        <v>571</v>
      </c>
      <c r="E113" s="2" t="s">
        <v>548</v>
      </c>
      <c r="F113" s="12">
        <v>34.338124572210802</v>
      </c>
      <c r="G113" s="2">
        <v>200</v>
      </c>
      <c r="H113">
        <f>VLOOKUP(A113,'Coal savings'!$A$3:$AB$543,26,FALSE)</f>
        <v>0</v>
      </c>
      <c r="I113" t="s">
        <v>694</v>
      </c>
      <c r="J113">
        <v>115.42</v>
      </c>
      <c r="O113" s="2" t="s">
        <v>462</v>
      </c>
      <c r="Q113" s="96"/>
      <c r="R113" s="96"/>
      <c r="S113" s="96"/>
      <c r="T113" s="96">
        <f>3.94+3.26+5.63</f>
        <v>12.829999999999998</v>
      </c>
      <c r="U113" s="96" t="s">
        <v>678</v>
      </c>
      <c r="V113" s="96">
        <v>22</v>
      </c>
      <c r="W113" s="96">
        <v>7.98</v>
      </c>
      <c r="X113" s="96" t="s">
        <v>619</v>
      </c>
      <c r="Y113" s="96"/>
      <c r="Z113">
        <v>15.19</v>
      </c>
      <c r="AA113" t="s">
        <v>687</v>
      </c>
      <c r="AC113" s="96">
        <v>287.77</v>
      </c>
      <c r="AD113" t="s">
        <v>621</v>
      </c>
      <c r="AH113" s="2" t="str">
        <f t="shared" si="42"/>
        <v>2019</v>
      </c>
      <c r="AI113" s="2">
        <f t="shared" si="41"/>
        <v>83.263846099671881</v>
      </c>
      <c r="AJ113" s="2">
        <f t="shared" si="21"/>
        <v>0.41631923049835939</v>
      </c>
      <c r="AK113" s="12">
        <f t="shared" si="22"/>
        <v>30.338124572210802</v>
      </c>
      <c r="AL113" s="2" t="s">
        <v>571</v>
      </c>
      <c r="AM113" s="2" t="str">
        <f>VLOOKUP(A113,'[12]Power plant names'!$C$2:$F$545,4,FALSE)</f>
        <v>Sub critical</v>
      </c>
      <c r="AN113" s="2">
        <v>200</v>
      </c>
      <c r="AO113" s="2">
        <f t="shared" si="23"/>
        <v>0.41631923049835939</v>
      </c>
      <c r="AP113" s="2">
        <v>200</v>
      </c>
      <c r="AQ113" s="2">
        <f t="shared" si="24"/>
        <v>0</v>
      </c>
      <c r="AR113" s="2">
        <f t="shared" si="25"/>
        <v>83.263846099671881</v>
      </c>
      <c r="AS113" s="2">
        <f t="shared" si="26"/>
        <v>0</v>
      </c>
      <c r="AU113" s="2">
        <f t="shared" si="27"/>
        <v>115.42</v>
      </c>
      <c r="AV113" s="2">
        <f t="shared" si="28"/>
        <v>0.57710000000000006</v>
      </c>
      <c r="AW113" s="12">
        <f t="shared" si="29"/>
        <v>33.338124572210802</v>
      </c>
      <c r="AX113" s="2">
        <v>200</v>
      </c>
      <c r="AY113" s="3">
        <f t="shared" si="30"/>
        <v>0.57710000000000006</v>
      </c>
      <c r="AZ113" s="2">
        <f t="shared" si="31"/>
        <v>115.42000000000002</v>
      </c>
      <c r="BA113" s="2">
        <f t="shared" si="32"/>
        <v>0</v>
      </c>
      <c r="BC113">
        <f t="shared" si="33"/>
        <v>128.69329999999999</v>
      </c>
      <c r="BD113">
        <f t="shared" si="34"/>
        <v>0.64346649999999994</v>
      </c>
      <c r="BE113">
        <f t="shared" si="35"/>
        <v>0.64346649999999994</v>
      </c>
      <c r="BF113">
        <f t="shared" si="36"/>
        <v>128.69329999999999</v>
      </c>
      <c r="BG113">
        <f t="shared" si="37"/>
        <v>0</v>
      </c>
    </row>
    <row r="114" spans="1:59" ht="15" hidden="1" customHeight="1" x14ac:dyDescent="0.2">
      <c r="A114" s="2" t="s">
        <v>454</v>
      </c>
      <c r="B114" s="2" t="str">
        <f>VLOOKUP($A114,'[1]daily coal, energy reqd'!$C$2:$T$599,17,FALSE)</f>
        <v>West Bengal</v>
      </c>
      <c r="C114" s="2" t="str">
        <f>VLOOKUP(B114,'Target PLF'!$I$2:$J$19,2,FALSE)</f>
        <v>ER</v>
      </c>
      <c r="D114" s="2" t="s">
        <v>571</v>
      </c>
      <c r="E114" s="2" t="s">
        <v>548</v>
      </c>
      <c r="F114" s="12">
        <v>33.423682409308597</v>
      </c>
      <c r="G114" s="2">
        <v>200</v>
      </c>
      <c r="H114">
        <f>VLOOKUP(A114,'Coal savings'!$A$3:$AB$543,26,FALSE)</f>
        <v>0</v>
      </c>
      <c r="I114" t="s">
        <v>694</v>
      </c>
      <c r="J114">
        <v>115.42</v>
      </c>
      <c r="O114" s="2" t="s">
        <v>454</v>
      </c>
      <c r="Q114" s="96"/>
      <c r="R114" s="96"/>
      <c r="S114" s="96"/>
      <c r="T114" s="96"/>
      <c r="U114" s="96"/>
      <c r="V114" s="96"/>
      <c r="W114" s="96"/>
      <c r="X114" s="96"/>
      <c r="Y114" s="96"/>
      <c r="AC114" s="96"/>
      <c r="AD114" t="s">
        <v>621</v>
      </c>
      <c r="AH114" s="2" t="str">
        <f t="shared" si="42"/>
        <v>2019</v>
      </c>
      <c r="AI114" s="2">
        <f t="shared" si="41"/>
        <v>83.263846099671881</v>
      </c>
      <c r="AJ114" s="2">
        <f t="shared" si="21"/>
        <v>0.41631923049835939</v>
      </c>
      <c r="AK114" s="12">
        <f t="shared" si="22"/>
        <v>29.423682409308597</v>
      </c>
      <c r="AL114" s="2" t="s">
        <v>571</v>
      </c>
      <c r="AM114" s="2" t="str">
        <f>VLOOKUP(A114,'[12]Power plant names'!$C$2:$F$545,4,FALSE)</f>
        <v>Sub critical</v>
      </c>
      <c r="AN114" s="2">
        <v>200</v>
      </c>
      <c r="AO114" s="2">
        <f t="shared" si="23"/>
        <v>0.41631923049835939</v>
      </c>
      <c r="AP114" s="2">
        <v>200</v>
      </c>
      <c r="AQ114" s="2">
        <f t="shared" si="24"/>
        <v>0</v>
      </c>
      <c r="AR114" s="2">
        <f t="shared" si="25"/>
        <v>83.263846099671881</v>
      </c>
      <c r="AS114" s="2">
        <f t="shared" si="26"/>
        <v>0</v>
      </c>
      <c r="AU114" s="2">
        <f t="shared" si="27"/>
        <v>115.42</v>
      </c>
      <c r="AV114" s="2">
        <f t="shared" si="28"/>
        <v>0.57710000000000006</v>
      </c>
      <c r="AW114" s="12">
        <f t="shared" si="29"/>
        <v>32.423682409308597</v>
      </c>
      <c r="AX114" s="2">
        <v>200</v>
      </c>
      <c r="AY114" s="3">
        <f t="shared" si="30"/>
        <v>0.57710000000000006</v>
      </c>
      <c r="AZ114" s="2">
        <f t="shared" si="31"/>
        <v>115.42000000000002</v>
      </c>
      <c r="BA114" s="2">
        <f t="shared" si="32"/>
        <v>0</v>
      </c>
      <c r="BC114">
        <f t="shared" si="33"/>
        <v>128.69329999999999</v>
      </c>
      <c r="BD114">
        <f t="shared" si="34"/>
        <v>0.64346649999999994</v>
      </c>
      <c r="BE114">
        <f t="shared" si="35"/>
        <v>0.64346649999999994</v>
      </c>
      <c r="BF114">
        <f t="shared" si="36"/>
        <v>128.69329999999999</v>
      </c>
      <c r="BG114">
        <f t="shared" si="37"/>
        <v>0</v>
      </c>
    </row>
    <row r="115" spans="1:59" ht="15" hidden="1" customHeight="1" x14ac:dyDescent="0.2">
      <c r="A115" s="2" t="s">
        <v>450</v>
      </c>
      <c r="B115" s="2" t="str">
        <f>VLOOKUP($A115,'[1]daily coal, energy reqd'!$C$2:$T$599,17,FALSE)</f>
        <v>West Bengal</v>
      </c>
      <c r="C115" s="2" t="str">
        <f>VLOOKUP(B115,'Target PLF'!$I$2:$J$19,2,FALSE)</f>
        <v>ER</v>
      </c>
      <c r="D115" s="2" t="s">
        <v>571</v>
      </c>
      <c r="E115" s="2" t="s">
        <v>548</v>
      </c>
      <c r="F115" s="12">
        <v>32.758384668035497</v>
      </c>
      <c r="G115" s="2">
        <v>200</v>
      </c>
      <c r="H115">
        <f>VLOOKUP(A115,'Coal savings'!$A$3:$AB$543,26,FALSE)</f>
        <v>0</v>
      </c>
      <c r="I115" t="s">
        <v>694</v>
      </c>
      <c r="J115">
        <v>115.42</v>
      </c>
      <c r="O115" s="2" t="s">
        <v>450</v>
      </c>
      <c r="Q115" s="96"/>
      <c r="R115" s="96"/>
      <c r="S115" s="96"/>
      <c r="T115" s="96"/>
      <c r="U115" s="96"/>
      <c r="V115" s="96"/>
      <c r="W115" s="96"/>
      <c r="X115" s="96"/>
      <c r="Y115" s="96"/>
      <c r="AC115" s="96"/>
      <c r="AD115" t="s">
        <v>621</v>
      </c>
      <c r="AH115" s="2" t="str">
        <f t="shared" si="42"/>
        <v>2019</v>
      </c>
      <c r="AI115" s="2">
        <f t="shared" si="41"/>
        <v>83.263846099671881</v>
      </c>
      <c r="AJ115" s="2">
        <f t="shared" si="21"/>
        <v>0.41631923049835939</v>
      </c>
      <c r="AK115" s="12">
        <f t="shared" si="22"/>
        <v>28.758384668035497</v>
      </c>
      <c r="AL115" s="2" t="s">
        <v>571</v>
      </c>
      <c r="AM115" s="2" t="str">
        <f>VLOOKUP(A115,'[12]Power plant names'!$C$2:$F$545,4,FALSE)</f>
        <v>Sub critical</v>
      </c>
      <c r="AN115" s="2">
        <v>200</v>
      </c>
      <c r="AO115" s="2">
        <f t="shared" si="23"/>
        <v>0.41631923049835939</v>
      </c>
      <c r="AP115" s="2">
        <v>200</v>
      </c>
      <c r="AQ115" s="2">
        <f t="shared" si="24"/>
        <v>0</v>
      </c>
      <c r="AR115" s="2">
        <f t="shared" si="25"/>
        <v>83.263846099671881</v>
      </c>
      <c r="AS115" s="2">
        <f t="shared" si="26"/>
        <v>0</v>
      </c>
      <c r="AU115" s="2">
        <f t="shared" si="27"/>
        <v>115.42</v>
      </c>
      <c r="AV115" s="2">
        <f t="shared" si="28"/>
        <v>0.57710000000000006</v>
      </c>
      <c r="AW115" s="12">
        <f t="shared" si="29"/>
        <v>31.758384668035497</v>
      </c>
      <c r="AX115" s="2">
        <v>200</v>
      </c>
      <c r="AY115" s="3">
        <f t="shared" si="30"/>
        <v>0.57710000000000006</v>
      </c>
      <c r="AZ115" s="2">
        <f t="shared" si="31"/>
        <v>115.42000000000002</v>
      </c>
      <c r="BA115" s="2">
        <f t="shared" si="32"/>
        <v>0</v>
      </c>
      <c r="BC115">
        <f t="shared" si="33"/>
        <v>128.69329999999999</v>
      </c>
      <c r="BD115">
        <f t="shared" si="34"/>
        <v>0.64346649999999994</v>
      </c>
      <c r="BE115">
        <f t="shared" si="35"/>
        <v>0.64346649999999994</v>
      </c>
      <c r="BF115">
        <f t="shared" si="36"/>
        <v>128.69329999999999</v>
      </c>
      <c r="BG115">
        <f t="shared" si="37"/>
        <v>0</v>
      </c>
    </row>
    <row r="116" spans="1:59" ht="15" customHeight="1" x14ac:dyDescent="0.2">
      <c r="A116" s="2" t="s">
        <v>331</v>
      </c>
      <c r="B116" s="2" t="str">
        <f>VLOOKUP($A116,'[1]daily coal, energy reqd'!$C$2:$T$599,17,FALSE)</f>
        <v>West Bengal</v>
      </c>
      <c r="C116" s="2" t="str">
        <f>VLOOKUP(B116,'Target PLF'!$I$2:$J$19,2,FALSE)</f>
        <v>ER</v>
      </c>
      <c r="D116" s="2" t="s">
        <v>571</v>
      </c>
      <c r="E116" s="2" t="s">
        <v>547</v>
      </c>
      <c r="F116" s="12">
        <v>27.671457905544099</v>
      </c>
      <c r="G116" s="2">
        <v>500</v>
      </c>
      <c r="H116">
        <f>VLOOKUP(A116,'Coal savings'!$A$3:$AB$543,26,FALSE)</f>
        <v>1336713.1397517803</v>
      </c>
      <c r="I116" t="s">
        <v>694</v>
      </c>
      <c r="J116">
        <v>288.57</v>
      </c>
      <c r="O116" s="2" t="s">
        <v>331</v>
      </c>
      <c r="Q116" s="96"/>
      <c r="R116" s="96"/>
      <c r="S116" s="96"/>
      <c r="T116" s="96"/>
      <c r="U116" s="96"/>
      <c r="V116" s="96"/>
      <c r="W116" s="96"/>
      <c r="X116" s="96"/>
      <c r="Y116" s="96"/>
      <c r="AC116" s="96"/>
      <c r="AD116" t="s">
        <v>621</v>
      </c>
      <c r="AH116" s="2" t="str">
        <f t="shared" si="42"/>
        <v>2019</v>
      </c>
      <c r="AI116" s="2">
        <f t="shared" si="41"/>
        <v>208.17404322459117</v>
      </c>
      <c r="AJ116" s="2">
        <f t="shared" si="21"/>
        <v>0.41634808644918236</v>
      </c>
      <c r="AK116" s="12">
        <f t="shared" si="22"/>
        <v>23.671457905544099</v>
      </c>
      <c r="AL116" s="2" t="s">
        <v>571</v>
      </c>
      <c r="AM116" s="2" t="str">
        <f>VLOOKUP(A116,'[12]Power plant names'!$C$2:$F$545,4,FALSE)</f>
        <v>Sub critical</v>
      </c>
      <c r="AN116" s="2">
        <v>500</v>
      </c>
      <c r="AO116" s="2">
        <f t="shared" si="23"/>
        <v>0.41634808644918236</v>
      </c>
      <c r="AP116" s="2">
        <v>500</v>
      </c>
      <c r="AQ116" s="2">
        <f t="shared" si="24"/>
        <v>0</v>
      </c>
      <c r="AR116" s="2">
        <f t="shared" si="25"/>
        <v>208.17404322459117</v>
      </c>
      <c r="AS116" s="2">
        <f t="shared" si="26"/>
        <v>0</v>
      </c>
      <c r="AU116" s="2">
        <f t="shared" si="27"/>
        <v>288.57</v>
      </c>
      <c r="AV116" s="2">
        <f t="shared" si="28"/>
        <v>0.57713999999999999</v>
      </c>
      <c r="AW116" s="12">
        <f t="shared" si="29"/>
        <v>26.671457905544099</v>
      </c>
      <c r="AX116" s="2">
        <v>500</v>
      </c>
      <c r="AY116" s="3">
        <f t="shared" si="30"/>
        <v>0.57713999999999999</v>
      </c>
      <c r="AZ116" s="2">
        <f t="shared" si="31"/>
        <v>288.57</v>
      </c>
      <c r="BA116" s="2">
        <f t="shared" si="32"/>
        <v>0</v>
      </c>
      <c r="BC116">
        <f t="shared" si="33"/>
        <v>321.75554999999997</v>
      </c>
      <c r="BD116">
        <f t="shared" si="34"/>
        <v>0.64351109999999989</v>
      </c>
      <c r="BE116">
        <f t="shared" si="35"/>
        <v>0.64351109999999989</v>
      </c>
      <c r="BF116">
        <f t="shared" si="36"/>
        <v>321.75554999999997</v>
      </c>
      <c r="BG116">
        <f t="shared" si="37"/>
        <v>0</v>
      </c>
    </row>
    <row r="117" spans="1:59" ht="15" customHeight="1" x14ac:dyDescent="0.2">
      <c r="A117" s="2" t="s">
        <v>321</v>
      </c>
      <c r="B117" s="2" t="str">
        <f>VLOOKUP($A117,'[1]daily coal, energy reqd'!$C$2:$T$599,17,FALSE)</f>
        <v>West Bengal</v>
      </c>
      <c r="C117" s="2" t="str">
        <f>VLOOKUP(B117,'Target PLF'!$I$2:$J$19,2,FALSE)</f>
        <v>ER</v>
      </c>
      <c r="D117" s="2" t="s">
        <v>571</v>
      </c>
      <c r="E117" s="2" t="s">
        <v>547</v>
      </c>
      <c r="F117" s="12">
        <v>26.2532511978097</v>
      </c>
      <c r="G117" s="2">
        <v>500</v>
      </c>
      <c r="H117">
        <f>VLOOKUP(A117,'Coal savings'!$A$3:$AB$543,26,FALSE)</f>
        <v>1331894.6985403425</v>
      </c>
      <c r="I117" t="s">
        <v>694</v>
      </c>
      <c r="J117">
        <v>288.57</v>
      </c>
      <c r="O117" s="2" t="s">
        <v>321</v>
      </c>
      <c r="Q117" s="96"/>
      <c r="R117" s="96"/>
      <c r="S117" s="96"/>
      <c r="T117" s="96"/>
      <c r="U117" s="96"/>
      <c r="V117" s="96"/>
      <c r="W117" s="96"/>
      <c r="X117" s="96"/>
      <c r="Y117" s="96"/>
      <c r="AC117" s="96">
        <v>196.09</v>
      </c>
      <c r="AD117" t="s">
        <v>621</v>
      </c>
      <c r="AH117" s="2" t="str">
        <f t="shared" si="42"/>
        <v>2019</v>
      </c>
      <c r="AI117" s="2">
        <f t="shared" si="41"/>
        <v>208.17404322459117</v>
      </c>
      <c r="AJ117" s="2">
        <f t="shared" si="21"/>
        <v>0.41634808644918236</v>
      </c>
      <c r="AK117" s="12">
        <f t="shared" si="22"/>
        <v>22.2532511978097</v>
      </c>
      <c r="AL117" s="2" t="s">
        <v>571</v>
      </c>
      <c r="AM117" s="2" t="str">
        <f>VLOOKUP(A117,'[12]Power plant names'!$C$2:$F$545,4,FALSE)</f>
        <v>Sub critical</v>
      </c>
      <c r="AN117" s="2">
        <v>500</v>
      </c>
      <c r="AO117" s="2">
        <f t="shared" si="23"/>
        <v>0.41634808644918236</v>
      </c>
      <c r="AP117" s="2">
        <v>500</v>
      </c>
      <c r="AQ117" s="2">
        <f t="shared" si="24"/>
        <v>0</v>
      </c>
      <c r="AR117" s="2">
        <f t="shared" si="25"/>
        <v>208.17404322459117</v>
      </c>
      <c r="AS117" s="2">
        <f t="shared" si="26"/>
        <v>0</v>
      </c>
      <c r="AU117" s="2">
        <f t="shared" si="27"/>
        <v>288.57</v>
      </c>
      <c r="AV117" s="2">
        <f t="shared" si="28"/>
        <v>0.57713999999999999</v>
      </c>
      <c r="AW117" s="12">
        <f t="shared" si="29"/>
        <v>25.2532511978097</v>
      </c>
      <c r="AX117" s="2">
        <v>500</v>
      </c>
      <c r="AY117" s="3">
        <f t="shared" si="30"/>
        <v>0.57713999999999999</v>
      </c>
      <c r="AZ117" s="2">
        <f t="shared" si="31"/>
        <v>288.57</v>
      </c>
      <c r="BA117" s="2">
        <f t="shared" si="32"/>
        <v>0</v>
      </c>
      <c r="BC117">
        <f t="shared" si="33"/>
        <v>321.75554999999997</v>
      </c>
      <c r="BD117">
        <f t="shared" si="34"/>
        <v>0.64351109999999989</v>
      </c>
      <c r="BE117">
        <f t="shared" si="35"/>
        <v>0.64351109999999989</v>
      </c>
      <c r="BF117">
        <f t="shared" si="36"/>
        <v>321.75554999999997</v>
      </c>
      <c r="BG117">
        <f t="shared" si="37"/>
        <v>0</v>
      </c>
    </row>
    <row r="118" spans="1:59" ht="15" customHeight="1" x14ac:dyDescent="0.2">
      <c r="A118" s="2" t="s">
        <v>165</v>
      </c>
      <c r="B118" s="2" t="str">
        <f>VLOOKUP($A118,'[1]daily coal, energy reqd'!$C$2:$T$599,17,FALSE)</f>
        <v>West Bengal</v>
      </c>
      <c r="C118" s="2" t="str">
        <f>VLOOKUP(B118,'Target PLF'!$I$2:$J$19,2,FALSE)</f>
        <v>ER</v>
      </c>
      <c r="D118" s="2" t="s">
        <v>571</v>
      </c>
      <c r="E118" s="2" t="s">
        <v>543</v>
      </c>
      <c r="F118" s="12">
        <v>9.1772758384667998</v>
      </c>
      <c r="G118" s="2">
        <v>500</v>
      </c>
      <c r="H118">
        <f>VLOOKUP(A118,'Coal savings'!$A$3:$AB$543,26,FALSE)</f>
        <v>2107873.4439029596</v>
      </c>
      <c r="O118" s="2" t="s">
        <v>165</v>
      </c>
      <c r="W118" s="96"/>
      <c r="X118" s="96"/>
      <c r="Y118" s="96"/>
      <c r="AC118" s="96"/>
      <c r="AD118" t="s">
        <v>621</v>
      </c>
      <c r="AH118" s="2" t="str">
        <f t="shared" si="42"/>
        <v/>
      </c>
      <c r="AI118" s="2"/>
      <c r="AJ118" s="2" t="str">
        <f t="shared" si="21"/>
        <v/>
      </c>
      <c r="AK118" s="12">
        <f t="shared" si="22"/>
        <v>5.1772758384667998</v>
      </c>
      <c r="AL118" s="2" t="s">
        <v>571</v>
      </c>
      <c r="AM118" s="2" t="str">
        <f>VLOOKUP(A118,'[12]Power plant names'!$C$2:$F$545,4,FALSE)</f>
        <v>Sub critical</v>
      </c>
      <c r="AN118" s="2">
        <v>500</v>
      </c>
      <c r="AO118" s="2">
        <f t="shared" si="23"/>
        <v>0.78382173689253953</v>
      </c>
      <c r="AP118" s="2">
        <v>500</v>
      </c>
      <c r="AQ118" s="2">
        <f t="shared" si="24"/>
        <v>0</v>
      </c>
      <c r="AR118" s="2">
        <f t="shared" si="25"/>
        <v>391.91086844626977</v>
      </c>
      <c r="AS118" s="2">
        <f t="shared" si="26"/>
        <v>0</v>
      </c>
      <c r="AU118" s="2"/>
      <c r="AV118" s="2" t="str">
        <f t="shared" si="28"/>
        <v/>
      </c>
      <c r="AW118" s="12">
        <f t="shared" si="29"/>
        <v>9.1772758384667998</v>
      </c>
      <c r="AX118" s="2">
        <v>500</v>
      </c>
      <c r="AY118" s="3">
        <f t="shared" si="30"/>
        <v>0.97269788131416857</v>
      </c>
      <c r="AZ118" s="2">
        <f t="shared" si="31"/>
        <v>486.34894065708426</v>
      </c>
      <c r="BA118" s="2">
        <f t="shared" si="32"/>
        <v>0</v>
      </c>
      <c r="BC118" t="str">
        <f t="shared" si="33"/>
        <v/>
      </c>
      <c r="BE118">
        <f t="shared" si="35"/>
        <v>1.0862459034907599</v>
      </c>
      <c r="BF118">
        <f t="shared" si="36"/>
        <v>543.12295174537996</v>
      </c>
      <c r="BG118">
        <f t="shared" si="37"/>
        <v>0</v>
      </c>
    </row>
    <row r="119" spans="1:59" ht="15" customHeight="1" x14ac:dyDescent="0.2">
      <c r="A119" s="2" t="s">
        <v>2</v>
      </c>
      <c r="B119" s="2" t="str">
        <f>VLOOKUP($A119,'[1]daily coal, energy reqd'!$C$2:$T$599,17,FALSE)</f>
        <v>Madhya Pradesh</v>
      </c>
      <c r="C119" s="2" t="str">
        <f>VLOOKUP(B119,'Target PLF'!$I$2:$J$19,2,FALSE)</f>
        <v>WR</v>
      </c>
      <c r="D119" s="2" t="s">
        <v>571</v>
      </c>
      <c r="E119" s="2" t="s">
        <v>542</v>
      </c>
      <c r="F119" s="10">
        <v>1.06776180698151</v>
      </c>
      <c r="G119" s="2">
        <v>800</v>
      </c>
      <c r="H119">
        <f>VLOOKUP(A119,'Coal savings'!$A$3:$AB$543,26,FALSE)</f>
        <v>3451198.9865285149</v>
      </c>
      <c r="O119" s="2" t="s">
        <v>2</v>
      </c>
      <c r="P119">
        <v>2019</v>
      </c>
      <c r="Q119">
        <v>205.12</v>
      </c>
      <c r="R119" t="s">
        <v>609</v>
      </c>
      <c r="S119">
        <v>400</v>
      </c>
      <c r="AH119" s="2">
        <v>2019</v>
      </c>
      <c r="AI119" s="2">
        <f>(Q119)/(1+0.115)^(AH119-2016)</f>
        <v>147.97331582017583</v>
      </c>
      <c r="AJ119" s="2">
        <f t="shared" si="21"/>
        <v>0.18496664477521979</v>
      </c>
      <c r="AK119" s="12">
        <f t="shared" si="22"/>
        <v>1</v>
      </c>
      <c r="AL119" s="2" t="s">
        <v>571</v>
      </c>
      <c r="AM119" s="2" t="str">
        <f>VLOOKUP(A119,'[12]Power plant names'!$C$2:$F$545,4,FALSE)</f>
        <v>Super critical</v>
      </c>
      <c r="AN119" s="2">
        <v>800</v>
      </c>
      <c r="AO119" s="2">
        <f t="shared" si="23"/>
        <v>0.18496664477521979</v>
      </c>
      <c r="AP119" s="2">
        <v>800</v>
      </c>
      <c r="AQ119" s="2">
        <f t="shared" si="24"/>
        <v>0</v>
      </c>
      <c r="AR119" s="2">
        <f t="shared" si="25"/>
        <v>147.97331582017583</v>
      </c>
      <c r="AS119" s="2">
        <f t="shared" si="26"/>
        <v>0</v>
      </c>
      <c r="AU119" s="2">
        <f t="shared" si="27"/>
        <v>205.11999999999998</v>
      </c>
      <c r="AV119" s="2">
        <f t="shared" si="28"/>
        <v>0.25639999999999996</v>
      </c>
      <c r="AW119" s="12">
        <f t="shared" si="29"/>
        <v>6.776180698151002E-2</v>
      </c>
      <c r="AX119" s="2">
        <v>800</v>
      </c>
      <c r="AY119" s="3">
        <f t="shared" si="30"/>
        <v>0.25639999999999996</v>
      </c>
      <c r="AZ119" s="2">
        <f t="shared" si="31"/>
        <v>205.11999999999998</v>
      </c>
      <c r="BA119" s="2">
        <f t="shared" si="32"/>
        <v>0</v>
      </c>
      <c r="BC119">
        <f t="shared" si="33"/>
        <v>228.70879999999997</v>
      </c>
      <c r="BD119">
        <f t="shared" si="34"/>
        <v>0.28588599999999997</v>
      </c>
      <c r="BE119">
        <f t="shared" si="35"/>
        <v>0.28588599999999997</v>
      </c>
      <c r="BF119">
        <f t="shared" si="36"/>
        <v>228.70879999999997</v>
      </c>
      <c r="BG119">
        <f t="shared" si="37"/>
        <v>0</v>
      </c>
    </row>
    <row r="120" spans="1:59" ht="15" hidden="1" customHeight="1" x14ac:dyDescent="0.2">
      <c r="A120" s="2" t="s">
        <v>430</v>
      </c>
      <c r="B120" s="2" t="str">
        <f>VLOOKUP($A120,'[1]daily coal, energy reqd'!$C$2:$T$599,17,FALSE)</f>
        <v>Gujarat</v>
      </c>
      <c r="C120" s="2" t="str">
        <f>VLOOKUP(B120,'Target PLF'!$I$2:$J$19,2,FALSE)</f>
        <v>WR</v>
      </c>
      <c r="D120" s="2" t="s">
        <v>570</v>
      </c>
      <c r="E120" s="2" t="s">
        <v>548</v>
      </c>
      <c r="F120" s="12">
        <v>30.176591375769998</v>
      </c>
      <c r="G120" s="2">
        <v>210</v>
      </c>
      <c r="H120">
        <f>VLOOKUP(A120,'Coal savings'!$A$3:$AB$543,26,FALSE)</f>
        <v>0</v>
      </c>
      <c r="I120" t="s">
        <v>694</v>
      </c>
      <c r="J120">
        <v>112.47</v>
      </c>
      <c r="O120" s="2" t="s">
        <v>430</v>
      </c>
      <c r="AH120" s="2" t="str">
        <f t="shared" ref="AH120:AH146" si="43">RIGHT(I120,4)</f>
        <v>2019</v>
      </c>
      <c r="AI120" s="2">
        <f t="shared" ref="AI120:AI126" si="44">(J120)/(1+0.115)^(AH120-2016)</f>
        <v>81.135719726478044</v>
      </c>
      <c r="AJ120" s="2">
        <f t="shared" si="21"/>
        <v>0.38636057012608593</v>
      </c>
      <c r="AK120" s="12">
        <f t="shared" si="22"/>
        <v>26.176591375769998</v>
      </c>
      <c r="AL120" s="2" t="s">
        <v>570</v>
      </c>
      <c r="AM120" s="2" t="str">
        <f>VLOOKUP(A120,'[12]Power plant names'!$C$2:$F$545,4,FALSE)</f>
        <v>Sub critical</v>
      </c>
      <c r="AN120" s="2">
        <v>210</v>
      </c>
      <c r="AO120" s="2">
        <f t="shared" si="23"/>
        <v>0.38636057012608593</v>
      </c>
      <c r="AP120" s="2">
        <v>210</v>
      </c>
      <c r="AQ120" s="2">
        <f t="shared" si="24"/>
        <v>0</v>
      </c>
      <c r="AR120" s="2">
        <f t="shared" si="25"/>
        <v>81.135719726478044</v>
      </c>
      <c r="AS120" s="2">
        <f t="shared" si="26"/>
        <v>0</v>
      </c>
      <c r="AU120" s="2">
        <f t="shared" si="27"/>
        <v>112.47</v>
      </c>
      <c r="AV120" s="2">
        <f t="shared" si="28"/>
        <v>0.53557142857142859</v>
      </c>
      <c r="AW120" s="12">
        <f t="shared" si="29"/>
        <v>29.176591375769998</v>
      </c>
      <c r="AX120" s="2">
        <v>210</v>
      </c>
      <c r="AY120" s="3">
        <f t="shared" si="30"/>
        <v>0.53557142857142859</v>
      </c>
      <c r="AZ120" s="2">
        <f t="shared" si="31"/>
        <v>112.47</v>
      </c>
      <c r="BA120" s="2">
        <f t="shared" si="32"/>
        <v>0</v>
      </c>
      <c r="BC120">
        <f t="shared" si="33"/>
        <v>125.40405</v>
      </c>
      <c r="BD120">
        <f t="shared" si="34"/>
        <v>0.59716214285714286</v>
      </c>
      <c r="BE120">
        <f t="shared" si="35"/>
        <v>0.59716214285714286</v>
      </c>
      <c r="BF120">
        <f t="shared" si="36"/>
        <v>125.40405</v>
      </c>
      <c r="BG120">
        <f t="shared" si="37"/>
        <v>0</v>
      </c>
    </row>
    <row r="121" spans="1:59" ht="15" hidden="1" customHeight="1" x14ac:dyDescent="0.2">
      <c r="A121" s="2" t="s">
        <v>422</v>
      </c>
      <c r="B121" s="2" t="str">
        <f>VLOOKUP($A121,'[1]daily coal, energy reqd'!$C$2:$T$599,17,FALSE)</f>
        <v>Gujarat</v>
      </c>
      <c r="C121" s="2" t="str">
        <f>VLOOKUP(B121,'Target PLF'!$I$2:$J$19,2,FALSE)</f>
        <v>WR</v>
      </c>
      <c r="D121" s="2" t="s">
        <v>570</v>
      </c>
      <c r="E121" s="2" t="s">
        <v>547</v>
      </c>
      <c r="F121" s="12">
        <v>28.843258042436599</v>
      </c>
      <c r="G121" s="2">
        <v>210</v>
      </c>
      <c r="H121">
        <f>VLOOKUP(A121,'Coal savings'!$A$3:$AB$543,26,FALSE)</f>
        <v>0</v>
      </c>
      <c r="I121" t="s">
        <v>694</v>
      </c>
      <c r="J121">
        <v>112.47</v>
      </c>
      <c r="O121" s="2" t="s">
        <v>422</v>
      </c>
      <c r="AH121" s="2" t="str">
        <f t="shared" si="43"/>
        <v>2019</v>
      </c>
      <c r="AI121" s="2">
        <f t="shared" si="44"/>
        <v>81.135719726478044</v>
      </c>
      <c r="AJ121" s="2">
        <f t="shared" si="21"/>
        <v>0.38636057012608593</v>
      </c>
      <c r="AK121" s="12">
        <f t="shared" si="22"/>
        <v>24.843258042436599</v>
      </c>
      <c r="AL121" s="2" t="s">
        <v>570</v>
      </c>
      <c r="AM121" s="2" t="str">
        <f>VLOOKUP(A121,'[12]Power plant names'!$C$2:$F$545,4,FALSE)</f>
        <v>Sub critical</v>
      </c>
      <c r="AN121" s="2">
        <v>210</v>
      </c>
      <c r="AO121" s="2">
        <f t="shared" si="23"/>
        <v>0.38636057012608593</v>
      </c>
      <c r="AP121" s="2">
        <v>210</v>
      </c>
      <c r="AQ121" s="2">
        <f t="shared" si="24"/>
        <v>0</v>
      </c>
      <c r="AR121" s="2">
        <f t="shared" si="25"/>
        <v>81.135719726478044</v>
      </c>
      <c r="AS121" s="2">
        <f t="shared" si="26"/>
        <v>0</v>
      </c>
      <c r="AU121" s="2">
        <f t="shared" si="27"/>
        <v>112.47</v>
      </c>
      <c r="AV121" s="2">
        <f t="shared" si="28"/>
        <v>0.53557142857142859</v>
      </c>
      <c r="AW121" s="12">
        <f t="shared" si="29"/>
        <v>27.843258042436599</v>
      </c>
      <c r="AX121" s="2">
        <v>210</v>
      </c>
      <c r="AY121" s="3">
        <f t="shared" si="30"/>
        <v>0.53557142857142859</v>
      </c>
      <c r="AZ121" s="2">
        <f t="shared" si="31"/>
        <v>112.47</v>
      </c>
      <c r="BA121" s="2">
        <f t="shared" si="32"/>
        <v>0</v>
      </c>
      <c r="BC121">
        <f t="shared" si="33"/>
        <v>125.40405</v>
      </c>
      <c r="BD121">
        <f t="shared" si="34"/>
        <v>0.59716214285714286</v>
      </c>
      <c r="BE121">
        <f t="shared" si="35"/>
        <v>0.59716214285714286</v>
      </c>
      <c r="BF121">
        <f t="shared" si="36"/>
        <v>125.40405</v>
      </c>
      <c r="BG121">
        <f t="shared" si="37"/>
        <v>0</v>
      </c>
    </row>
    <row r="122" spans="1:59" ht="15" hidden="1" customHeight="1" x14ac:dyDescent="0.2">
      <c r="A122" s="2" t="s">
        <v>383</v>
      </c>
      <c r="B122" s="2" t="str">
        <f>VLOOKUP($A122,'[1]daily coal, energy reqd'!$C$2:$T$599,17,FALSE)</f>
        <v>Gujarat</v>
      </c>
      <c r="C122" s="2" t="str">
        <f>VLOOKUP(B122,'Target PLF'!$I$2:$J$19,2,FALSE)</f>
        <v>WR</v>
      </c>
      <c r="D122" s="2" t="s">
        <v>570</v>
      </c>
      <c r="E122" s="2" t="s">
        <v>546</v>
      </c>
      <c r="F122" s="12">
        <v>22.176591375769998</v>
      </c>
      <c r="G122" s="2">
        <v>210</v>
      </c>
      <c r="H122">
        <f>VLOOKUP(A122,'Coal savings'!$A$3:$AB$543,26,FALSE)</f>
        <v>0</v>
      </c>
      <c r="I122" t="s">
        <v>694</v>
      </c>
      <c r="J122">
        <v>117.02</v>
      </c>
      <c r="O122" s="2" t="s">
        <v>383</v>
      </c>
      <c r="AH122" s="2" t="str">
        <f t="shared" si="43"/>
        <v>2019</v>
      </c>
      <c r="AI122" s="2">
        <f t="shared" si="44"/>
        <v>84.418084132590565</v>
      </c>
      <c r="AJ122" s="2">
        <f t="shared" si="21"/>
        <v>0.40199087682185985</v>
      </c>
      <c r="AK122" s="12">
        <f t="shared" si="22"/>
        <v>18.176591375769998</v>
      </c>
      <c r="AL122" s="2" t="s">
        <v>570</v>
      </c>
      <c r="AM122" s="2" t="str">
        <f>VLOOKUP(A122,'[12]Power plant names'!$C$2:$F$545,4,FALSE)</f>
        <v>Sub critical</v>
      </c>
      <c r="AN122" s="2">
        <v>210</v>
      </c>
      <c r="AO122" s="2">
        <f t="shared" si="23"/>
        <v>0.40199087682185985</v>
      </c>
      <c r="AP122" s="2">
        <v>210</v>
      </c>
      <c r="AQ122" s="2">
        <f t="shared" si="24"/>
        <v>0</v>
      </c>
      <c r="AR122" s="2">
        <f t="shared" si="25"/>
        <v>84.418084132590565</v>
      </c>
      <c r="AS122" s="2">
        <f t="shared" si="26"/>
        <v>0</v>
      </c>
      <c r="AU122" s="2">
        <f t="shared" si="27"/>
        <v>117.02</v>
      </c>
      <c r="AV122" s="2">
        <f t="shared" si="28"/>
        <v>0.5572380952380952</v>
      </c>
      <c r="AW122" s="12">
        <f t="shared" si="29"/>
        <v>21.176591375769998</v>
      </c>
      <c r="AX122" s="2">
        <v>210</v>
      </c>
      <c r="AY122" s="3">
        <f t="shared" si="30"/>
        <v>0.5572380952380952</v>
      </c>
      <c r="AZ122" s="2">
        <f t="shared" si="31"/>
        <v>117.02</v>
      </c>
      <c r="BA122" s="2">
        <f t="shared" si="32"/>
        <v>0</v>
      </c>
      <c r="BC122">
        <f t="shared" si="33"/>
        <v>130.47729999999999</v>
      </c>
      <c r="BD122">
        <f t="shared" si="34"/>
        <v>0.62132047619047615</v>
      </c>
      <c r="BE122">
        <f t="shared" si="35"/>
        <v>0.62132047619047615</v>
      </c>
      <c r="BF122">
        <f t="shared" si="36"/>
        <v>130.47729999999999</v>
      </c>
      <c r="BG122">
        <f t="shared" si="37"/>
        <v>0</v>
      </c>
    </row>
    <row r="123" spans="1:59" ht="15" hidden="1" customHeight="1" x14ac:dyDescent="0.2">
      <c r="A123" s="2" t="s">
        <v>385</v>
      </c>
      <c r="B123" s="2" t="str">
        <f>VLOOKUP($A123,'[1]daily coal, energy reqd'!$C$2:$T$599,17,FALSE)</f>
        <v>Punjab</v>
      </c>
      <c r="C123" s="2" t="str">
        <f>VLOOKUP(B123,'Target PLF'!$I$2:$J$19,2,FALSE)</f>
        <v>NR</v>
      </c>
      <c r="D123" s="2" t="s">
        <v>570</v>
      </c>
      <c r="E123" s="2" t="s">
        <v>546</v>
      </c>
      <c r="F123" s="12">
        <v>22.4229979466119</v>
      </c>
      <c r="G123" s="2">
        <v>210</v>
      </c>
      <c r="H123">
        <f>VLOOKUP(A123,'Coal savings'!$A$3:$AB$543,26,FALSE)</f>
        <v>0</v>
      </c>
      <c r="I123" t="s">
        <v>694</v>
      </c>
      <c r="J123">
        <v>109.78</v>
      </c>
      <c r="O123" s="2" t="s">
        <v>385</v>
      </c>
      <c r="S123" s="96"/>
      <c r="AH123" s="2" t="str">
        <f t="shared" si="43"/>
        <v>2019</v>
      </c>
      <c r="AI123" s="2">
        <f t="shared" si="44"/>
        <v>79.195157033633507</v>
      </c>
      <c r="AJ123" s="2">
        <f t="shared" si="21"/>
        <v>0.3771197953982548</v>
      </c>
      <c r="AK123" s="12">
        <f t="shared" si="22"/>
        <v>18.4229979466119</v>
      </c>
      <c r="AL123" s="2" t="s">
        <v>570</v>
      </c>
      <c r="AM123" s="2" t="str">
        <f>VLOOKUP(A123,'[12]Power plant names'!$C$2:$F$545,4,FALSE)</f>
        <v>Sub critical</v>
      </c>
      <c r="AN123" s="2">
        <v>210</v>
      </c>
      <c r="AO123" s="2">
        <f t="shared" si="23"/>
        <v>0.3771197953982548</v>
      </c>
      <c r="AP123" s="2">
        <v>210</v>
      </c>
      <c r="AQ123" s="2">
        <f t="shared" si="24"/>
        <v>0</v>
      </c>
      <c r="AR123" s="2">
        <f t="shared" si="25"/>
        <v>79.195157033633507</v>
      </c>
      <c r="AS123" s="2">
        <f t="shared" si="26"/>
        <v>0</v>
      </c>
      <c r="AU123" s="2">
        <f t="shared" si="27"/>
        <v>109.78000000000002</v>
      </c>
      <c r="AV123" s="2">
        <f t="shared" si="28"/>
        <v>0.52276190476190487</v>
      </c>
      <c r="AW123" s="12">
        <f t="shared" si="29"/>
        <v>21.4229979466119</v>
      </c>
      <c r="AX123" s="2">
        <v>210</v>
      </c>
      <c r="AY123" s="3">
        <f t="shared" si="30"/>
        <v>0.52276190476190487</v>
      </c>
      <c r="AZ123" s="2">
        <f t="shared" si="31"/>
        <v>109.78000000000003</v>
      </c>
      <c r="BA123" s="2">
        <f t="shared" si="32"/>
        <v>0</v>
      </c>
      <c r="BC123">
        <f t="shared" si="33"/>
        <v>122.40470000000002</v>
      </c>
      <c r="BD123">
        <f t="shared" si="34"/>
        <v>0.5828795238095239</v>
      </c>
      <c r="BE123">
        <f t="shared" si="35"/>
        <v>0.5828795238095239</v>
      </c>
      <c r="BF123">
        <f t="shared" si="36"/>
        <v>122.40470000000002</v>
      </c>
      <c r="BG123">
        <f t="shared" si="37"/>
        <v>0</v>
      </c>
    </row>
    <row r="124" spans="1:59" ht="15" hidden="1" customHeight="1" x14ac:dyDescent="0.2">
      <c r="A124" s="2" t="s">
        <v>381</v>
      </c>
      <c r="B124" s="2" t="str">
        <f>VLOOKUP($A124,'[1]daily coal, energy reqd'!$C$2:$T$599,17,FALSE)</f>
        <v>Punjab</v>
      </c>
      <c r="C124" s="2" t="str">
        <f>VLOOKUP(B124,'Target PLF'!$I$2:$J$19,2,FALSE)</f>
        <v>NR</v>
      </c>
      <c r="D124" s="2" t="s">
        <v>570</v>
      </c>
      <c r="E124" s="2" t="s">
        <v>546</v>
      </c>
      <c r="F124" s="12">
        <v>21.590691307323699</v>
      </c>
      <c r="G124" s="2">
        <v>210</v>
      </c>
      <c r="H124">
        <f>VLOOKUP(A124,'Coal savings'!$A$3:$AB$543,26,FALSE)</f>
        <v>0</v>
      </c>
      <c r="I124" t="s">
        <v>694</v>
      </c>
      <c r="J124">
        <v>109.78</v>
      </c>
      <c r="O124" s="2" t="s">
        <v>381</v>
      </c>
      <c r="S124" s="96"/>
      <c r="AH124" s="2" t="str">
        <f t="shared" si="43"/>
        <v>2019</v>
      </c>
      <c r="AI124" s="2">
        <f t="shared" si="44"/>
        <v>79.195157033633507</v>
      </c>
      <c r="AJ124" s="2">
        <f t="shared" si="21"/>
        <v>0.3771197953982548</v>
      </c>
      <c r="AK124" s="12">
        <f t="shared" si="22"/>
        <v>17.590691307323699</v>
      </c>
      <c r="AL124" s="2" t="s">
        <v>570</v>
      </c>
      <c r="AM124" s="2" t="str">
        <f>VLOOKUP(A124,'[12]Power plant names'!$C$2:$F$545,4,FALSE)</f>
        <v>Sub critical</v>
      </c>
      <c r="AN124" s="2">
        <v>210</v>
      </c>
      <c r="AO124" s="2">
        <f t="shared" si="23"/>
        <v>0.3771197953982548</v>
      </c>
      <c r="AP124" s="2">
        <v>210</v>
      </c>
      <c r="AQ124" s="2">
        <f t="shared" si="24"/>
        <v>0</v>
      </c>
      <c r="AR124" s="2">
        <f t="shared" si="25"/>
        <v>79.195157033633507</v>
      </c>
      <c r="AS124" s="2">
        <f t="shared" si="26"/>
        <v>0</v>
      </c>
      <c r="AU124" s="2">
        <f t="shared" si="27"/>
        <v>109.78000000000002</v>
      </c>
      <c r="AV124" s="2">
        <f t="shared" si="28"/>
        <v>0.52276190476190487</v>
      </c>
      <c r="AW124" s="12">
        <f t="shared" si="29"/>
        <v>20.590691307323699</v>
      </c>
      <c r="AX124" s="2">
        <v>210</v>
      </c>
      <c r="AY124" s="3">
        <f t="shared" si="30"/>
        <v>0.52276190476190487</v>
      </c>
      <c r="AZ124" s="2">
        <f t="shared" si="31"/>
        <v>109.78000000000003</v>
      </c>
      <c r="BA124" s="2">
        <f t="shared" si="32"/>
        <v>0</v>
      </c>
      <c r="BC124">
        <f t="shared" si="33"/>
        <v>122.40470000000002</v>
      </c>
      <c r="BD124">
        <f t="shared" si="34"/>
        <v>0.5828795238095239</v>
      </c>
      <c r="BE124">
        <f t="shared" si="35"/>
        <v>0.5828795238095239</v>
      </c>
      <c r="BF124">
        <f t="shared" si="36"/>
        <v>122.40470000000002</v>
      </c>
      <c r="BG124">
        <f t="shared" si="37"/>
        <v>0</v>
      </c>
    </row>
    <row r="125" spans="1:59" ht="15" hidden="1" customHeight="1" x14ac:dyDescent="0.2">
      <c r="A125" s="2" t="s">
        <v>296</v>
      </c>
      <c r="B125" s="2" t="str">
        <f>VLOOKUP($A125,'[1]daily coal, energy reqd'!$C$2:$T$599,17,FALSE)</f>
        <v>Punjab</v>
      </c>
      <c r="C125" s="2" t="str">
        <f>VLOOKUP(B125,'Target PLF'!$I$2:$J$19,2,FALSE)</f>
        <v>NR</v>
      </c>
      <c r="D125" s="2" t="s">
        <v>570</v>
      </c>
      <c r="E125" s="2" t="s">
        <v>544</v>
      </c>
      <c r="F125" s="12">
        <v>12.3394934976043</v>
      </c>
      <c r="G125" s="2">
        <v>250</v>
      </c>
      <c r="H125">
        <f>VLOOKUP(A125,'Coal savings'!$A$3:$AB$543,26,FALSE)</f>
        <v>0</v>
      </c>
      <c r="I125" t="s">
        <v>694</v>
      </c>
      <c r="J125">
        <v>130.69</v>
      </c>
      <c r="O125" s="2" t="s">
        <v>296</v>
      </c>
      <c r="S125" s="96"/>
      <c r="AH125" s="2" t="str">
        <f t="shared" si="43"/>
        <v>2019</v>
      </c>
      <c r="AI125" s="2">
        <f t="shared" si="44"/>
        <v>94.279605326339606</v>
      </c>
      <c r="AJ125" s="2">
        <f t="shared" si="21"/>
        <v>0.37711842130535844</v>
      </c>
      <c r="AK125" s="12">
        <f t="shared" si="22"/>
        <v>8.3394934976043</v>
      </c>
      <c r="AL125" s="2" t="s">
        <v>570</v>
      </c>
      <c r="AM125" s="2" t="str">
        <f>VLOOKUP(A125,'[12]Power plant names'!$C$2:$F$545,4,FALSE)</f>
        <v>Sub critical</v>
      </c>
      <c r="AN125" s="2">
        <v>250</v>
      </c>
      <c r="AO125" s="2">
        <f t="shared" si="23"/>
        <v>0.37711842130535844</v>
      </c>
      <c r="AP125" s="2">
        <v>250</v>
      </c>
      <c r="AQ125" s="2">
        <f t="shared" si="24"/>
        <v>0</v>
      </c>
      <c r="AR125" s="2">
        <f t="shared" si="25"/>
        <v>94.279605326339606</v>
      </c>
      <c r="AS125" s="2">
        <f t="shared" si="26"/>
        <v>0</v>
      </c>
      <c r="AU125" s="2">
        <f t="shared" si="27"/>
        <v>130.69</v>
      </c>
      <c r="AV125" s="2">
        <f t="shared" si="28"/>
        <v>0.52276</v>
      </c>
      <c r="AW125" s="12">
        <f t="shared" si="29"/>
        <v>11.3394934976043</v>
      </c>
      <c r="AX125" s="2">
        <v>250</v>
      </c>
      <c r="AY125" s="3">
        <f t="shared" si="30"/>
        <v>0.52276</v>
      </c>
      <c r="AZ125" s="2">
        <f t="shared" si="31"/>
        <v>130.69</v>
      </c>
      <c r="BA125" s="2">
        <f t="shared" si="32"/>
        <v>0</v>
      </c>
      <c r="BC125">
        <f t="shared" si="33"/>
        <v>145.71934999999999</v>
      </c>
      <c r="BD125">
        <f t="shared" si="34"/>
        <v>0.58287739999999999</v>
      </c>
      <c r="BE125">
        <f t="shared" si="35"/>
        <v>0.58287739999999999</v>
      </c>
      <c r="BF125">
        <f t="shared" si="36"/>
        <v>145.71934999999999</v>
      </c>
      <c r="BG125">
        <f t="shared" si="37"/>
        <v>0</v>
      </c>
    </row>
    <row r="126" spans="1:59" ht="15" hidden="1" customHeight="1" x14ac:dyDescent="0.2">
      <c r="A126" s="2" t="s">
        <v>288</v>
      </c>
      <c r="B126" s="2" t="str">
        <f>VLOOKUP($A126,'[1]daily coal, energy reqd'!$C$2:$T$599,17,FALSE)</f>
        <v>Punjab</v>
      </c>
      <c r="C126" s="2" t="str">
        <f>VLOOKUP(B126,'Target PLF'!$I$2:$J$19,2,FALSE)</f>
        <v>NR</v>
      </c>
      <c r="D126" s="2" t="s">
        <v>570</v>
      </c>
      <c r="E126" s="2" t="s">
        <v>544</v>
      </c>
      <c r="F126" s="12">
        <v>11.841204654346299</v>
      </c>
      <c r="G126" s="2">
        <v>250</v>
      </c>
      <c r="H126">
        <f>VLOOKUP(A126,'Coal savings'!$A$3:$AB$543,26,FALSE)</f>
        <v>0</v>
      </c>
      <c r="I126" t="s">
        <v>694</v>
      </c>
      <c r="J126">
        <v>130.69</v>
      </c>
      <c r="O126" s="2" t="s">
        <v>288</v>
      </c>
      <c r="S126" s="96"/>
      <c r="AH126" s="2" t="str">
        <f t="shared" si="43"/>
        <v>2019</v>
      </c>
      <c r="AI126" s="2">
        <f t="shared" si="44"/>
        <v>94.279605326339606</v>
      </c>
      <c r="AJ126" s="2">
        <f t="shared" si="21"/>
        <v>0.37711842130535844</v>
      </c>
      <c r="AK126" s="12">
        <f t="shared" si="22"/>
        <v>7.8412046543462992</v>
      </c>
      <c r="AL126" s="2" t="s">
        <v>570</v>
      </c>
      <c r="AM126" s="2" t="str">
        <f>VLOOKUP(A126,'[12]Power plant names'!$C$2:$F$545,4,FALSE)</f>
        <v>Sub critical</v>
      </c>
      <c r="AN126" s="2">
        <v>250</v>
      </c>
      <c r="AO126" s="2">
        <f t="shared" si="23"/>
        <v>0.37711842130535844</v>
      </c>
      <c r="AP126" s="2">
        <v>250</v>
      </c>
      <c r="AQ126" s="2">
        <f t="shared" si="24"/>
        <v>0</v>
      </c>
      <c r="AR126" s="2">
        <f t="shared" si="25"/>
        <v>94.279605326339606</v>
      </c>
      <c r="AS126" s="2">
        <f t="shared" si="26"/>
        <v>0</v>
      </c>
      <c r="AU126" s="2">
        <f t="shared" si="27"/>
        <v>130.69</v>
      </c>
      <c r="AV126" s="2">
        <f t="shared" si="28"/>
        <v>0.52276</v>
      </c>
      <c r="AW126" s="12">
        <f t="shared" si="29"/>
        <v>10.841204654346299</v>
      </c>
      <c r="AX126" s="2">
        <v>250</v>
      </c>
      <c r="AY126" s="3">
        <f t="shared" si="30"/>
        <v>0.52276</v>
      </c>
      <c r="AZ126" s="2">
        <f t="shared" si="31"/>
        <v>130.69</v>
      </c>
      <c r="BA126" s="2">
        <f t="shared" si="32"/>
        <v>0</v>
      </c>
      <c r="BC126">
        <f t="shared" si="33"/>
        <v>145.71934999999999</v>
      </c>
      <c r="BD126">
        <f t="shared" si="34"/>
        <v>0.58287739999999999</v>
      </c>
      <c r="BE126">
        <f t="shared" si="35"/>
        <v>0.58287739999999999</v>
      </c>
      <c r="BF126">
        <f t="shared" si="36"/>
        <v>145.71934999999999</v>
      </c>
      <c r="BG126">
        <f t="shared" si="37"/>
        <v>0</v>
      </c>
    </row>
    <row r="127" spans="1:59" ht="15" customHeight="1" x14ac:dyDescent="0.2">
      <c r="A127" s="2" t="s">
        <v>220</v>
      </c>
      <c r="B127" s="2" t="str">
        <f>VLOOKUP($A127,'[1]daily coal, energy reqd'!$C$2:$T$599,17,FALSE)</f>
        <v>Maharashtra</v>
      </c>
      <c r="C127" s="2" t="str">
        <f>VLOOKUP(B127,'Target PLF'!$I$2:$J$19,2,FALSE)</f>
        <v>WR</v>
      </c>
      <c r="D127" s="2" t="s">
        <v>572</v>
      </c>
      <c r="E127" s="2" t="s">
        <v>543</v>
      </c>
      <c r="F127" s="12">
        <v>7.2525667351129304</v>
      </c>
      <c r="G127" s="2">
        <v>300</v>
      </c>
      <c r="H127">
        <f>VLOOKUP(A127,'Coal savings'!$A$3:$AB$543,26,FALSE)</f>
        <v>948937.19088857027</v>
      </c>
      <c r="O127" s="2" t="s">
        <v>220</v>
      </c>
      <c r="AH127" s="2" t="str">
        <f t="shared" si="43"/>
        <v/>
      </c>
      <c r="AI127" s="2"/>
      <c r="AJ127" s="2" t="str">
        <f t="shared" si="21"/>
        <v/>
      </c>
      <c r="AK127" s="12">
        <f t="shared" si="22"/>
        <v>3.2525667351129304</v>
      </c>
      <c r="AL127" s="2" t="s">
        <v>572</v>
      </c>
      <c r="AM127" s="2" t="str">
        <f>VLOOKUP(A127,'[12]Power plant names'!$C$2:$F$545,4,FALSE)</f>
        <v>Sub critical</v>
      </c>
      <c r="AN127" s="2">
        <v>300</v>
      </c>
      <c r="AO127" s="2">
        <f t="shared" si="23"/>
        <v>0.90086973634496936</v>
      </c>
      <c r="AP127" s="2">
        <v>300</v>
      </c>
      <c r="AQ127" s="2">
        <f t="shared" si="24"/>
        <v>0</v>
      </c>
      <c r="AR127" s="2">
        <f t="shared" si="25"/>
        <v>270.26092090349078</v>
      </c>
      <c r="AS127" s="2">
        <f t="shared" si="26"/>
        <v>0</v>
      </c>
      <c r="AU127" s="2"/>
      <c r="AV127" s="2" t="str">
        <f t="shared" si="28"/>
        <v/>
      </c>
      <c r="AW127" s="12">
        <f t="shared" si="29"/>
        <v>7.2525667351129304</v>
      </c>
      <c r="AX127" s="2">
        <v>300</v>
      </c>
      <c r="AY127" s="3">
        <f t="shared" si="30"/>
        <v>1.1192772841889118</v>
      </c>
      <c r="AZ127" s="2">
        <f t="shared" si="31"/>
        <v>335.78318525667356</v>
      </c>
      <c r="BA127" s="2">
        <f t="shared" si="32"/>
        <v>0</v>
      </c>
      <c r="BC127" t="str">
        <f t="shared" si="33"/>
        <v/>
      </c>
      <c r="BE127">
        <f t="shared" si="35"/>
        <v>1.2681123798767968</v>
      </c>
      <c r="BF127">
        <f t="shared" si="36"/>
        <v>380.43371396303905</v>
      </c>
      <c r="BG127">
        <f t="shared" si="37"/>
        <v>0</v>
      </c>
    </row>
    <row r="128" spans="1:59" ht="15" customHeight="1" x14ac:dyDescent="0.2">
      <c r="A128" s="2" t="s">
        <v>214</v>
      </c>
      <c r="B128" s="2" t="str">
        <f>VLOOKUP($A128,'[1]daily coal, energy reqd'!$C$2:$T$599,17,FALSE)</f>
        <v>Maharashtra</v>
      </c>
      <c r="C128" s="2" t="str">
        <f>VLOOKUP(B128,'Target PLF'!$I$2:$J$19,2,FALSE)</f>
        <v>WR</v>
      </c>
      <c r="D128" s="2" t="s">
        <v>572</v>
      </c>
      <c r="E128" s="2" t="s">
        <v>543</v>
      </c>
      <c r="F128" s="12">
        <v>6.7570157426420199</v>
      </c>
      <c r="G128" s="2">
        <v>300</v>
      </c>
      <c r="H128">
        <f>VLOOKUP(A128,'Coal savings'!$A$3:$AB$543,26,FALSE)</f>
        <v>1571936.2035403124</v>
      </c>
      <c r="O128" s="2" t="s">
        <v>214</v>
      </c>
      <c r="Q128" t="s">
        <v>690</v>
      </c>
      <c r="AH128" s="2" t="str">
        <f t="shared" si="43"/>
        <v/>
      </c>
      <c r="AI128" s="2"/>
      <c r="AJ128" s="2" t="str">
        <f t="shared" si="21"/>
        <v/>
      </c>
      <c r="AK128" s="12">
        <f t="shared" si="22"/>
        <v>2.7570157426420199</v>
      </c>
      <c r="AL128" s="2" t="s">
        <v>572</v>
      </c>
      <c r="AM128" s="2" t="str">
        <f>VLOOKUP(A128,'[12]Power plant names'!$C$2:$F$545,4,FALSE)</f>
        <v>Sub critical</v>
      </c>
      <c r="AN128" s="2">
        <v>300</v>
      </c>
      <c r="AO128" s="2">
        <f t="shared" si="23"/>
        <v>0.90773589267624932</v>
      </c>
      <c r="AP128" s="2">
        <v>300</v>
      </c>
      <c r="AQ128" s="2">
        <f t="shared" si="24"/>
        <v>0</v>
      </c>
      <c r="AR128" s="2">
        <f t="shared" si="25"/>
        <v>272.3207678028748</v>
      </c>
      <c r="AS128" s="2">
        <f t="shared" si="26"/>
        <v>0</v>
      </c>
      <c r="AU128" s="2"/>
      <c r="AV128" s="2" t="str">
        <f t="shared" si="28"/>
        <v/>
      </c>
      <c r="AW128" s="12">
        <f t="shared" si="29"/>
        <v>6.7570157426420199</v>
      </c>
      <c r="AX128" s="2">
        <v>300</v>
      </c>
      <c r="AY128" s="3">
        <f t="shared" si="30"/>
        <v>1.1282627634496922</v>
      </c>
      <c r="AZ128" s="2">
        <f t="shared" si="31"/>
        <v>338.47882903490768</v>
      </c>
      <c r="BA128" s="2">
        <f t="shared" si="32"/>
        <v>0</v>
      </c>
      <c r="BC128" t="str">
        <f t="shared" si="33"/>
        <v/>
      </c>
      <c r="BE128">
        <f t="shared" si="35"/>
        <v>1.2787783716632446</v>
      </c>
      <c r="BF128">
        <f t="shared" si="36"/>
        <v>383.63351149897341</v>
      </c>
      <c r="BG128">
        <f t="shared" si="37"/>
        <v>0</v>
      </c>
    </row>
    <row r="129" spans="1:59" ht="15" customHeight="1" x14ac:dyDescent="0.2">
      <c r="A129" s="2" t="s">
        <v>203</v>
      </c>
      <c r="B129" s="2" t="str">
        <f>VLOOKUP($A129,'[1]daily coal, energy reqd'!$C$2:$T$599,17,FALSE)</f>
        <v>Punjab</v>
      </c>
      <c r="C129" s="2" t="str">
        <f>VLOOKUP(B129,'Target PLF'!$I$2:$J$19,2,FALSE)</f>
        <v>NR</v>
      </c>
      <c r="D129" s="2" t="s">
        <v>572</v>
      </c>
      <c r="E129" s="2" t="s">
        <v>542</v>
      </c>
      <c r="F129" s="12">
        <v>4.2546201232032796</v>
      </c>
      <c r="G129" s="2">
        <v>270</v>
      </c>
      <c r="H129">
        <f>VLOOKUP(A129,'Coal savings'!$A$3:$AB$543,26,FALSE)</f>
        <v>848953.72925199429</v>
      </c>
      <c r="O129" s="2" t="s">
        <v>203</v>
      </c>
      <c r="AH129" s="2" t="str">
        <f t="shared" si="43"/>
        <v/>
      </c>
      <c r="AI129" s="2"/>
      <c r="AJ129" s="2" t="str">
        <f t="shared" si="21"/>
        <v/>
      </c>
      <c r="AK129" s="12">
        <f t="shared" si="22"/>
        <v>0.25462012320327965</v>
      </c>
      <c r="AL129" s="2" t="s">
        <v>572</v>
      </c>
      <c r="AM129" s="2" t="str">
        <f>VLOOKUP(A129,'[12]Power plant names'!$C$2:$F$545,4,FALSE)</f>
        <v>Sub critical</v>
      </c>
      <c r="AN129" s="2">
        <v>270</v>
      </c>
      <c r="AO129" s="2">
        <f t="shared" si="23"/>
        <v>0.95596508542094472</v>
      </c>
      <c r="AP129" s="2">
        <v>270</v>
      </c>
      <c r="AQ129" s="2">
        <f t="shared" si="24"/>
        <v>0</v>
      </c>
      <c r="AR129" s="2">
        <f t="shared" si="25"/>
        <v>258.11057306365507</v>
      </c>
      <c r="AS129" s="2">
        <f t="shared" si="26"/>
        <v>0</v>
      </c>
      <c r="AU129" s="2"/>
      <c r="AV129" s="2" t="str">
        <f t="shared" si="28"/>
        <v/>
      </c>
      <c r="AW129" s="12">
        <f t="shared" si="29"/>
        <v>4.2546201232032796</v>
      </c>
      <c r="AX129" s="2">
        <v>270</v>
      </c>
      <c r="AY129" s="3">
        <f t="shared" si="30"/>
        <v>1.1903889515400412</v>
      </c>
      <c r="AZ129" s="2">
        <f t="shared" si="31"/>
        <v>321.40501691581113</v>
      </c>
      <c r="BA129" s="2">
        <f t="shared" si="32"/>
        <v>0</v>
      </c>
      <c r="BC129" t="str">
        <f t="shared" si="33"/>
        <v/>
      </c>
      <c r="BE129">
        <f t="shared" si="35"/>
        <v>1.3537046837782343</v>
      </c>
      <c r="BF129">
        <f t="shared" si="36"/>
        <v>365.50026462012323</v>
      </c>
      <c r="BG129">
        <f t="shared" si="37"/>
        <v>0</v>
      </c>
    </row>
    <row r="130" spans="1:59" ht="15" customHeight="1" x14ac:dyDescent="0.2">
      <c r="A130" s="2" t="s">
        <v>202</v>
      </c>
      <c r="B130" s="2" t="str">
        <f>VLOOKUP($A130,'[1]daily coal, energy reqd'!$C$2:$T$599,17,FALSE)</f>
        <v>Punjab</v>
      </c>
      <c r="C130" s="2" t="str">
        <f>VLOOKUP(B130,'Target PLF'!$I$2:$J$19,2,FALSE)</f>
        <v>NR</v>
      </c>
      <c r="D130" s="2" t="s">
        <v>572</v>
      </c>
      <c r="E130" s="2" t="s">
        <v>542</v>
      </c>
      <c r="F130" s="12">
        <v>4.1752224503764497</v>
      </c>
      <c r="G130" s="2">
        <v>270</v>
      </c>
      <c r="H130">
        <f>VLOOKUP(A130,'Coal savings'!$A$3:$AB$543,26,FALSE)</f>
        <v>848784.54499481805</v>
      </c>
      <c r="O130" s="2" t="s">
        <v>202</v>
      </c>
      <c r="AH130" s="2" t="str">
        <f t="shared" si="43"/>
        <v/>
      </c>
      <c r="AI130" s="2"/>
      <c r="AJ130" s="2" t="str">
        <f t="shared" ref="AJ130:AJ193" si="45">IF(AI130/G130=0,"",AI130/G130)</f>
        <v/>
      </c>
      <c r="AK130" s="12">
        <f t="shared" ref="AK130:AK193" si="46">IF(F130-4&lt;0,1,F130-4)</f>
        <v>0.17522245037644968</v>
      </c>
      <c r="AL130" s="2" t="s">
        <v>572</v>
      </c>
      <c r="AM130" s="2" t="str">
        <f>VLOOKUP(A130,'[12]Power plant names'!$C$2:$F$545,4,FALSE)</f>
        <v>Sub critical</v>
      </c>
      <c r="AN130" s="2">
        <v>270</v>
      </c>
      <c r="AO130" s="2">
        <f t="shared" si="23"/>
        <v>0.95706518781656413</v>
      </c>
      <c r="AP130" s="2">
        <v>270</v>
      </c>
      <c r="AQ130" s="2">
        <f t="shared" si="24"/>
        <v>0</v>
      </c>
      <c r="AR130" s="2">
        <f t="shared" si="25"/>
        <v>258.40760071047231</v>
      </c>
      <c r="AS130" s="2">
        <f t="shared" si="26"/>
        <v>0</v>
      </c>
      <c r="AU130" s="2"/>
      <c r="AV130" s="2" t="str">
        <f t="shared" si="28"/>
        <v/>
      </c>
      <c r="AW130" s="12">
        <f t="shared" si="29"/>
        <v>4.1752224503764497</v>
      </c>
      <c r="AX130" s="2">
        <v>270</v>
      </c>
      <c r="AY130" s="3">
        <f t="shared" si="30"/>
        <v>1.1918286139630392</v>
      </c>
      <c r="AZ130" s="2">
        <f t="shared" si="31"/>
        <v>321.79372577002056</v>
      </c>
      <c r="BA130" s="2">
        <f t="shared" si="32"/>
        <v>0</v>
      </c>
      <c r="BC130" t="str">
        <f t="shared" si="33"/>
        <v/>
      </c>
      <c r="BE130">
        <f t="shared" si="35"/>
        <v>1.3554135995893226</v>
      </c>
      <c r="BF130">
        <f t="shared" si="36"/>
        <v>365.9616718891171</v>
      </c>
      <c r="BG130">
        <f t="shared" si="37"/>
        <v>0</v>
      </c>
    </row>
    <row r="131" spans="1:59" ht="15" customHeight="1" x14ac:dyDescent="0.2">
      <c r="A131" s="2" t="s">
        <v>201</v>
      </c>
      <c r="B131" s="2" t="str">
        <f>VLOOKUP($A131,'[1]daily coal, energy reqd'!$C$2:$T$599,17,FALSE)</f>
        <v>West Bengal</v>
      </c>
      <c r="C131" s="2" t="str">
        <f>VLOOKUP(B131,'Target PLF'!$I$2:$J$19,2,FALSE)</f>
        <v>ER</v>
      </c>
      <c r="D131" s="2" t="s">
        <v>572</v>
      </c>
      <c r="E131" s="2" t="s">
        <v>543</v>
      </c>
      <c r="F131" s="12">
        <v>5.3388090349075901</v>
      </c>
      <c r="G131" s="2">
        <v>300</v>
      </c>
      <c r="H131">
        <f>VLOOKUP(A131,'Coal savings'!$A$3:$AB$543,26,FALSE)</f>
        <v>1684757.818905822</v>
      </c>
      <c r="I131" t="s">
        <v>698</v>
      </c>
      <c r="J131">
        <f>885.86/2</f>
        <v>442.93</v>
      </c>
      <c r="O131" s="2" t="s">
        <v>201</v>
      </c>
      <c r="AH131" s="2" t="str">
        <f t="shared" si="43"/>
        <v>2017</v>
      </c>
      <c r="AI131" s="2">
        <f t="shared" ref="AI131:AI137" si="47">(J131)/(1+0.115)^(AH131-2016)</f>
        <v>397.24663677130047</v>
      </c>
      <c r="AJ131" s="2">
        <f t="shared" si="45"/>
        <v>1.3241554559043349</v>
      </c>
      <c r="AK131" s="12">
        <f t="shared" si="46"/>
        <v>1.3388090349075901</v>
      </c>
      <c r="AL131" s="2" t="s">
        <v>572</v>
      </c>
      <c r="AM131" s="2" t="str">
        <f>VLOOKUP(A131,'[12]Power plant names'!$C$2:$F$545,4,FALSE)</f>
        <v>Sub critical</v>
      </c>
      <c r="AN131" s="2">
        <v>300</v>
      </c>
      <c r="AO131" s="2">
        <f t="shared" ref="AO131:AO194" si="48">IF(AJ131="",((-0.0138556*AK131)+(-0.0004519*AN131)+1.081506),AJ131)</f>
        <v>1.3241554559043349</v>
      </c>
      <c r="AP131" s="2"/>
      <c r="AQ131" s="2">
        <f t="shared" ref="AQ131:AQ194" si="49">G131-AP131</f>
        <v>300</v>
      </c>
      <c r="AR131" s="2">
        <f t="shared" ref="AR131:AR194" si="50">AP131*AO131</f>
        <v>0</v>
      </c>
      <c r="AS131" s="2">
        <f t="shared" ref="AS131:AS194" si="51">AQ131*AO131</f>
        <v>397.24663677130047</v>
      </c>
      <c r="AU131" s="2">
        <f t="shared" ref="AU131:AU194" si="52">AI131*(1.115)^(AH131-2016)</f>
        <v>442.93</v>
      </c>
      <c r="AV131" s="2">
        <f t="shared" ref="AV131:AV194" si="53">IF(AU131/AN131=0,"",AU131/AN131)</f>
        <v>1.4764333333333333</v>
      </c>
      <c r="AW131" s="12">
        <f t="shared" ref="AW131:AW194" si="54">(F131-IF(AH131="",0,(2020-AH131)))</f>
        <v>2.3388090349075901</v>
      </c>
      <c r="AX131" s="2">
        <v>300</v>
      </c>
      <c r="AY131" s="3">
        <f t="shared" ref="AY131:AY194" si="55">IF(AV131="",(( -0.0181323 *AW131)+(-0.0005584 *AN131)+  1.418303),AV131)</f>
        <v>1.4764333333333333</v>
      </c>
      <c r="AZ131" s="2">
        <f t="shared" ref="AZ131:AZ194" si="56">AY131*AP131</f>
        <v>0</v>
      </c>
      <c r="BA131" s="2">
        <f t="shared" ref="BA131:BA194" si="57">AY131*AQ131</f>
        <v>442.93</v>
      </c>
      <c r="BC131">
        <f t="shared" ref="BC131:BC194" si="58">IF(AU131="","",(AU131)*(1+0.115)^(2020-AH131))</f>
        <v>613.98773891375004</v>
      </c>
      <c r="BD131">
        <f t="shared" ref="BD131:BD194" si="59">BC131/AN131</f>
        <v>2.0466257963791668</v>
      </c>
      <c r="BE131">
        <f t="shared" ref="BE131:BE194" si="60">IF(BD131="",(-0.0215235 *AW131)+(-0.0007022*AX131)+1.634873,BD131)</f>
        <v>2.0466257963791668</v>
      </c>
      <c r="BF131">
        <f t="shared" ref="BF131:BF194" si="61">BE131*AP131</f>
        <v>0</v>
      </c>
      <c r="BG131">
        <f t="shared" ref="BG131:BG194" si="62">BE131*AQ131</f>
        <v>613.98773891375004</v>
      </c>
    </row>
    <row r="132" spans="1:59" ht="15" customHeight="1" x14ac:dyDescent="0.2">
      <c r="A132" s="2" t="s">
        <v>198</v>
      </c>
      <c r="B132" s="2" t="str">
        <f>VLOOKUP($A132,'[1]daily coal, energy reqd'!$C$2:$T$599,17,FALSE)</f>
        <v>West Bengal</v>
      </c>
      <c r="C132" s="2" t="str">
        <f>VLOOKUP(B132,'Target PLF'!$I$2:$J$19,2,FALSE)</f>
        <v>ER</v>
      </c>
      <c r="D132" s="2" t="s">
        <v>572</v>
      </c>
      <c r="E132" s="2" t="s">
        <v>543</v>
      </c>
      <c r="F132" s="12">
        <v>5.2539356605065004</v>
      </c>
      <c r="G132" s="2">
        <v>300</v>
      </c>
      <c r="H132">
        <f>VLOOKUP(A132,'Coal savings'!$A$3:$AB$543,26,FALSE)</f>
        <v>1684381.7388873352</v>
      </c>
      <c r="I132" t="s">
        <v>698</v>
      </c>
      <c r="J132">
        <f>885.86/2</f>
        <v>442.93</v>
      </c>
      <c r="O132" s="2" t="s">
        <v>198</v>
      </c>
      <c r="AH132" s="2" t="str">
        <f t="shared" si="43"/>
        <v>2017</v>
      </c>
      <c r="AI132" s="2">
        <f t="shared" si="47"/>
        <v>397.24663677130047</v>
      </c>
      <c r="AJ132" s="2">
        <f t="shared" si="45"/>
        <v>1.3241554559043349</v>
      </c>
      <c r="AK132" s="12">
        <f t="shared" si="46"/>
        <v>1.2539356605065004</v>
      </c>
      <c r="AL132" s="2" t="s">
        <v>572</v>
      </c>
      <c r="AM132" s="2" t="str">
        <f>VLOOKUP(A132,'[12]Power plant names'!$C$2:$F$545,4,FALSE)</f>
        <v>Sub critical</v>
      </c>
      <c r="AN132" s="2">
        <v>300</v>
      </c>
      <c r="AO132" s="2">
        <f t="shared" si="48"/>
        <v>1.3241554559043349</v>
      </c>
      <c r="AP132" s="2"/>
      <c r="AQ132" s="2">
        <f t="shared" si="49"/>
        <v>300</v>
      </c>
      <c r="AR132" s="2">
        <f t="shared" si="50"/>
        <v>0</v>
      </c>
      <c r="AS132" s="2">
        <f t="shared" si="51"/>
        <v>397.24663677130047</v>
      </c>
      <c r="AU132" s="2">
        <f t="shared" si="52"/>
        <v>442.93</v>
      </c>
      <c r="AV132" s="2">
        <f t="shared" si="53"/>
        <v>1.4764333333333333</v>
      </c>
      <c r="AW132" s="12">
        <f t="shared" si="54"/>
        <v>2.2539356605065004</v>
      </c>
      <c r="AX132" s="2">
        <v>300</v>
      </c>
      <c r="AY132" s="3">
        <f t="shared" si="55"/>
        <v>1.4764333333333333</v>
      </c>
      <c r="AZ132" s="2">
        <f t="shared" si="56"/>
        <v>0</v>
      </c>
      <c r="BA132" s="2">
        <f t="shared" si="57"/>
        <v>442.93</v>
      </c>
      <c r="BC132">
        <f t="shared" si="58"/>
        <v>613.98773891375004</v>
      </c>
      <c r="BD132">
        <f t="shared" si="59"/>
        <v>2.0466257963791668</v>
      </c>
      <c r="BE132">
        <f t="shared" si="60"/>
        <v>2.0466257963791668</v>
      </c>
      <c r="BF132">
        <f t="shared" si="61"/>
        <v>0</v>
      </c>
      <c r="BG132">
        <f t="shared" si="62"/>
        <v>613.98773891375004</v>
      </c>
    </row>
    <row r="133" spans="1:59" ht="15" hidden="1" customHeight="1" x14ac:dyDescent="0.2">
      <c r="A133" s="2" t="s">
        <v>520</v>
      </c>
      <c r="B133" s="2" t="str">
        <f>VLOOKUP($A133,'[1]daily coal, energy reqd'!$C$2:$T$599,17,FALSE)</f>
        <v>Uttar Pradesh</v>
      </c>
      <c r="C133" s="2" t="str">
        <f>VLOOKUP(B133,'Target PLF'!$I$2:$J$19,2,FALSE)</f>
        <v>NR</v>
      </c>
      <c r="D133" s="2" t="s">
        <v>570</v>
      </c>
      <c r="E133" s="2" t="s">
        <v>550</v>
      </c>
      <c r="F133" s="12">
        <v>42.176591375770002</v>
      </c>
      <c r="G133" s="2">
        <v>105</v>
      </c>
      <c r="H133">
        <f>VLOOKUP(A133,'Coal savings'!$A$3:$AB$543,26,FALSE)</f>
        <v>0</v>
      </c>
      <c r="I133" t="s">
        <v>694</v>
      </c>
      <c r="J133">
        <v>83.89</v>
      </c>
      <c r="O133" s="2" t="s">
        <v>520</v>
      </c>
      <c r="Q133" s="96"/>
      <c r="AH133" s="2" t="str">
        <f t="shared" si="43"/>
        <v>2019</v>
      </c>
      <c r="AI133" s="2">
        <f t="shared" si="47"/>
        <v>60.518142863467979</v>
      </c>
      <c r="AJ133" s="2">
        <f t="shared" si="45"/>
        <v>0.57636326536636173</v>
      </c>
      <c r="AK133" s="12">
        <f t="shared" si="46"/>
        <v>38.176591375770002</v>
      </c>
      <c r="AL133" s="2" t="s">
        <v>570</v>
      </c>
      <c r="AM133" s="2" t="str">
        <f>VLOOKUP(A133,'[12]Power plant names'!$C$2:$F$545,4,FALSE)</f>
        <v>Sub critical</v>
      </c>
      <c r="AN133" s="2">
        <v>105</v>
      </c>
      <c r="AO133" s="2">
        <f t="shared" si="48"/>
        <v>0.57636326536636173</v>
      </c>
      <c r="AP133" s="2">
        <v>94</v>
      </c>
      <c r="AQ133" s="2">
        <f t="shared" si="49"/>
        <v>11</v>
      </c>
      <c r="AR133" s="2">
        <f t="shared" si="50"/>
        <v>54.178146944438005</v>
      </c>
      <c r="AS133" s="2">
        <f t="shared" si="51"/>
        <v>6.3399959190299793</v>
      </c>
      <c r="AU133" s="2">
        <f t="shared" si="52"/>
        <v>83.89</v>
      </c>
      <c r="AV133" s="2">
        <f t="shared" si="53"/>
        <v>0.79895238095238097</v>
      </c>
      <c r="AW133" s="12">
        <f t="shared" si="54"/>
        <v>41.176591375770002</v>
      </c>
      <c r="AX133" s="2">
        <v>105</v>
      </c>
      <c r="AY133" s="3">
        <f t="shared" si="55"/>
        <v>0.79895238095238097</v>
      </c>
      <c r="AZ133" s="2">
        <f t="shared" si="56"/>
        <v>75.101523809523812</v>
      </c>
      <c r="BA133" s="2">
        <f t="shared" si="57"/>
        <v>8.7884761904761906</v>
      </c>
      <c r="BC133">
        <f t="shared" si="58"/>
        <v>93.537350000000004</v>
      </c>
      <c r="BD133">
        <f t="shared" si="59"/>
        <v>0.89083190476190477</v>
      </c>
      <c r="BE133">
        <f t="shared" si="60"/>
        <v>0.89083190476190477</v>
      </c>
      <c r="BF133">
        <f t="shared" si="61"/>
        <v>83.738199047619048</v>
      </c>
      <c r="BG133">
        <f t="shared" si="62"/>
        <v>9.7991509523809519</v>
      </c>
    </row>
    <row r="134" spans="1:59" ht="15" customHeight="1" x14ac:dyDescent="0.2">
      <c r="A134" s="2" t="s">
        <v>260</v>
      </c>
      <c r="B134" s="2" t="str">
        <f>VLOOKUP($A134,'[1]daily coal, energy reqd'!$C$2:$T$599,17,FALSE)</f>
        <v>Uttar Pradesh</v>
      </c>
      <c r="C134" s="2" t="str">
        <f>VLOOKUP(B134,'Target PLF'!$I$2:$J$19,2,FALSE)</f>
        <v>NR</v>
      </c>
      <c r="D134" s="2" t="s">
        <v>570</v>
      </c>
      <c r="E134" s="2" t="s">
        <v>543</v>
      </c>
      <c r="F134" s="12">
        <v>8.6735112936344905</v>
      </c>
      <c r="G134" s="2">
        <v>250</v>
      </c>
      <c r="H134">
        <f>VLOOKUP(A134,'Coal savings'!$A$3:$AB$543,26,FALSE)</f>
        <v>758740.01767473342</v>
      </c>
      <c r="I134" t="s">
        <v>694</v>
      </c>
      <c r="J134">
        <f>656.51/2</f>
        <v>328.255</v>
      </c>
      <c r="O134" s="2" t="s">
        <v>260</v>
      </c>
      <c r="Q134" s="96"/>
      <c r="AH134" s="2" t="str">
        <f t="shared" si="43"/>
        <v>2019</v>
      </c>
      <c r="AI134" s="2">
        <f t="shared" si="47"/>
        <v>236.80275343482751</v>
      </c>
      <c r="AJ134" s="2">
        <f t="shared" si="45"/>
        <v>0.94721101373931005</v>
      </c>
      <c r="AK134" s="12">
        <f t="shared" si="46"/>
        <v>4.6735112936344905</v>
      </c>
      <c r="AL134" s="2" t="s">
        <v>570</v>
      </c>
      <c r="AM134" s="2" t="str">
        <f>VLOOKUP(A134,'[12]Power plant names'!$C$2:$F$545,4,FALSE)</f>
        <v>Sub critical</v>
      </c>
      <c r="AN134" s="2">
        <v>250</v>
      </c>
      <c r="AO134" s="2">
        <f t="shared" si="48"/>
        <v>0.94721101373931005</v>
      </c>
      <c r="AP134" s="2">
        <f>405/2</f>
        <v>202.5</v>
      </c>
      <c r="AQ134" s="2">
        <f t="shared" si="49"/>
        <v>47.5</v>
      </c>
      <c r="AR134" s="2">
        <f t="shared" si="50"/>
        <v>191.81023028221028</v>
      </c>
      <c r="AS134" s="2">
        <f t="shared" si="51"/>
        <v>44.992523152617224</v>
      </c>
      <c r="AU134" s="2">
        <f t="shared" si="52"/>
        <v>328.255</v>
      </c>
      <c r="AV134" s="2">
        <f t="shared" si="53"/>
        <v>1.3130200000000001</v>
      </c>
      <c r="AW134" s="12">
        <f t="shared" si="54"/>
        <v>7.6735112936344905</v>
      </c>
      <c r="AX134" s="2">
        <v>250</v>
      </c>
      <c r="AY134" s="3">
        <f t="shared" si="55"/>
        <v>1.3130200000000001</v>
      </c>
      <c r="AZ134" s="2">
        <f t="shared" si="56"/>
        <v>265.88655</v>
      </c>
      <c r="BA134" s="2">
        <f t="shared" si="57"/>
        <v>62.368450000000003</v>
      </c>
      <c r="BC134">
        <f t="shared" si="58"/>
        <v>366.00432499999999</v>
      </c>
      <c r="BD134">
        <f t="shared" si="59"/>
        <v>1.4640173000000001</v>
      </c>
      <c r="BE134">
        <f t="shared" si="60"/>
        <v>1.4640173000000001</v>
      </c>
      <c r="BF134">
        <f t="shared" si="61"/>
        <v>296.46350325000003</v>
      </c>
      <c r="BG134">
        <f t="shared" si="62"/>
        <v>69.540821750000006</v>
      </c>
    </row>
    <row r="135" spans="1:59" ht="15" customHeight="1" x14ac:dyDescent="0.2">
      <c r="A135" s="2" t="s">
        <v>255</v>
      </c>
      <c r="B135" s="2" t="str">
        <f>VLOOKUP($A135,'[1]daily coal, energy reqd'!$C$2:$T$599,17,FALSE)</f>
        <v>Uttar Pradesh</v>
      </c>
      <c r="C135" s="2" t="str">
        <f>VLOOKUP(B135,'Target PLF'!$I$2:$J$19,2,FALSE)</f>
        <v>NR</v>
      </c>
      <c r="D135" s="2" t="s">
        <v>570</v>
      </c>
      <c r="E135" s="2" t="s">
        <v>543</v>
      </c>
      <c r="F135" s="12">
        <v>8.00821355236139</v>
      </c>
      <c r="G135" s="2">
        <v>250</v>
      </c>
      <c r="H135">
        <f>VLOOKUP(A135,'Coal savings'!$A$3:$AB$543,26,FALSE)</f>
        <v>757491.78117923485</v>
      </c>
      <c r="I135" t="s">
        <v>694</v>
      </c>
      <c r="J135">
        <f>656.51/2</f>
        <v>328.255</v>
      </c>
      <c r="O135" s="2" t="s">
        <v>255</v>
      </c>
      <c r="Q135" s="96"/>
      <c r="AH135" s="2" t="str">
        <f t="shared" si="43"/>
        <v>2019</v>
      </c>
      <c r="AI135" s="2">
        <f t="shared" si="47"/>
        <v>236.80275343482751</v>
      </c>
      <c r="AJ135" s="2">
        <f t="shared" si="45"/>
        <v>0.94721101373931005</v>
      </c>
      <c r="AK135" s="12">
        <f t="shared" si="46"/>
        <v>4.00821355236139</v>
      </c>
      <c r="AL135" s="2" t="s">
        <v>570</v>
      </c>
      <c r="AM135" s="2" t="str">
        <f>VLOOKUP(A135,'[12]Power plant names'!$C$2:$F$545,4,FALSE)</f>
        <v>Sub critical</v>
      </c>
      <c r="AN135" s="2">
        <v>250</v>
      </c>
      <c r="AO135" s="2">
        <f t="shared" si="48"/>
        <v>0.94721101373931005</v>
      </c>
      <c r="AP135" s="2">
        <f>405/2</f>
        <v>202.5</v>
      </c>
      <c r="AQ135" s="2">
        <f t="shared" si="49"/>
        <v>47.5</v>
      </c>
      <c r="AR135" s="2">
        <f t="shared" si="50"/>
        <v>191.81023028221028</v>
      </c>
      <c r="AS135" s="2">
        <f t="shared" si="51"/>
        <v>44.992523152617224</v>
      </c>
      <c r="AU135" s="2">
        <f t="shared" si="52"/>
        <v>328.255</v>
      </c>
      <c r="AV135" s="2">
        <f t="shared" si="53"/>
        <v>1.3130200000000001</v>
      </c>
      <c r="AW135" s="12">
        <f t="shared" si="54"/>
        <v>7.00821355236139</v>
      </c>
      <c r="AX135" s="2">
        <v>250</v>
      </c>
      <c r="AY135" s="3">
        <f t="shared" si="55"/>
        <v>1.3130200000000001</v>
      </c>
      <c r="AZ135" s="2">
        <f t="shared" si="56"/>
        <v>265.88655</v>
      </c>
      <c r="BA135" s="2">
        <f t="shared" si="57"/>
        <v>62.368450000000003</v>
      </c>
      <c r="BC135">
        <f t="shared" si="58"/>
        <v>366.00432499999999</v>
      </c>
      <c r="BD135">
        <f t="shared" si="59"/>
        <v>1.4640173000000001</v>
      </c>
      <c r="BE135">
        <f t="shared" si="60"/>
        <v>1.4640173000000001</v>
      </c>
      <c r="BF135">
        <f t="shared" si="61"/>
        <v>296.46350325000003</v>
      </c>
      <c r="BG135">
        <f t="shared" si="62"/>
        <v>69.540821750000006</v>
      </c>
    </row>
    <row r="136" spans="1:59" ht="15" hidden="1" customHeight="1" x14ac:dyDescent="0.2">
      <c r="A136" s="2" t="s">
        <v>403</v>
      </c>
      <c r="B136" s="2" t="str">
        <f>VLOOKUP($A136,'[1]daily coal, energy reqd'!$C$2:$T$599,17,FALSE)</f>
        <v>Odisha</v>
      </c>
      <c r="C136" s="2" t="str">
        <f>VLOOKUP(B136,'Target PLF'!$I$2:$J$19,2,FALSE)</f>
        <v>ER</v>
      </c>
      <c r="D136" s="2" t="s">
        <v>570</v>
      </c>
      <c r="E136" s="2" t="s">
        <v>547</v>
      </c>
      <c r="F136" s="12">
        <v>25.924709103353798</v>
      </c>
      <c r="G136" s="2">
        <v>210</v>
      </c>
      <c r="H136">
        <f>VLOOKUP(A136,'Coal savings'!$A$3:$AB$543,26,FALSE)</f>
        <v>0</v>
      </c>
      <c r="I136" t="s">
        <v>694</v>
      </c>
      <c r="J136">
        <f>243.73/2</f>
        <v>121.86499999999999</v>
      </c>
      <c r="O136" s="2" t="s">
        <v>403</v>
      </c>
      <c r="AH136" s="2" t="str">
        <f t="shared" si="43"/>
        <v>2019</v>
      </c>
      <c r="AI136" s="2">
        <f t="shared" si="47"/>
        <v>87.913261176022459</v>
      </c>
      <c r="AJ136" s="2">
        <f t="shared" si="45"/>
        <v>0.4186345770286784</v>
      </c>
      <c r="AK136" s="12">
        <f t="shared" si="46"/>
        <v>21.924709103353798</v>
      </c>
      <c r="AL136" s="2" t="s">
        <v>570</v>
      </c>
      <c r="AM136" s="2" t="str">
        <f>VLOOKUP(A136,'[12]Power plant names'!$C$2:$F$545,4,FALSE)</f>
        <v>Sub critical</v>
      </c>
      <c r="AN136" s="2">
        <v>210</v>
      </c>
      <c r="AO136" s="2">
        <f t="shared" si="48"/>
        <v>0.4186345770286784</v>
      </c>
      <c r="AP136" s="2">
        <v>210</v>
      </c>
      <c r="AQ136" s="2">
        <f t="shared" si="49"/>
        <v>0</v>
      </c>
      <c r="AR136" s="2">
        <f t="shared" si="50"/>
        <v>87.913261176022459</v>
      </c>
      <c r="AS136" s="2">
        <f t="shared" si="51"/>
        <v>0</v>
      </c>
      <c r="AU136" s="2">
        <f t="shared" si="52"/>
        <v>121.86499999999999</v>
      </c>
      <c r="AV136" s="2">
        <f t="shared" si="53"/>
        <v>0.58030952380952383</v>
      </c>
      <c r="AW136" s="12">
        <f t="shared" si="54"/>
        <v>24.924709103353798</v>
      </c>
      <c r="AX136" s="2">
        <v>210</v>
      </c>
      <c r="AY136" s="3">
        <f t="shared" si="55"/>
        <v>0.58030952380952383</v>
      </c>
      <c r="AZ136" s="2">
        <f t="shared" si="56"/>
        <v>121.86500000000001</v>
      </c>
      <c r="BA136" s="2">
        <f t="shared" si="57"/>
        <v>0</v>
      </c>
      <c r="BC136">
        <f t="shared" si="58"/>
        <v>135.87947499999999</v>
      </c>
      <c r="BD136">
        <f t="shared" si="59"/>
        <v>0.64704511904761897</v>
      </c>
      <c r="BE136">
        <f t="shared" si="60"/>
        <v>0.64704511904761897</v>
      </c>
      <c r="BF136">
        <f t="shared" si="61"/>
        <v>135.87947499999999</v>
      </c>
      <c r="BG136">
        <f t="shared" si="62"/>
        <v>0</v>
      </c>
    </row>
    <row r="137" spans="1:59" ht="15" hidden="1" customHeight="1" x14ac:dyDescent="0.2">
      <c r="A137" s="2" t="s">
        <v>397</v>
      </c>
      <c r="B137" s="2" t="str">
        <f>VLOOKUP($A137,'[1]daily coal, energy reqd'!$C$2:$T$599,17,FALSE)</f>
        <v>Odisha</v>
      </c>
      <c r="C137" s="2" t="str">
        <f>VLOOKUP(B137,'Target PLF'!$I$2:$J$19,2,FALSE)</f>
        <v>ER</v>
      </c>
      <c r="D137" s="2" t="s">
        <v>570</v>
      </c>
      <c r="E137" s="2" t="s">
        <v>546</v>
      </c>
      <c r="F137" s="12">
        <v>24.591375770020498</v>
      </c>
      <c r="G137" s="2">
        <v>210</v>
      </c>
      <c r="H137">
        <f>VLOOKUP(A137,'Coal savings'!$A$3:$AB$543,26,FALSE)</f>
        <v>0</v>
      </c>
      <c r="I137" t="s">
        <v>694</v>
      </c>
      <c r="J137">
        <f>243.73/2</f>
        <v>121.86499999999999</v>
      </c>
      <c r="O137" s="2" t="s">
        <v>397</v>
      </c>
      <c r="AH137" s="2" t="str">
        <f t="shared" si="43"/>
        <v>2019</v>
      </c>
      <c r="AI137" s="2">
        <f t="shared" si="47"/>
        <v>87.913261176022459</v>
      </c>
      <c r="AJ137" s="2">
        <f t="shared" si="45"/>
        <v>0.4186345770286784</v>
      </c>
      <c r="AK137" s="12">
        <f t="shared" si="46"/>
        <v>20.591375770020498</v>
      </c>
      <c r="AL137" s="2" t="s">
        <v>570</v>
      </c>
      <c r="AM137" s="2" t="str">
        <f>VLOOKUP(A137,'[12]Power plant names'!$C$2:$F$545,4,FALSE)</f>
        <v>Sub critical</v>
      </c>
      <c r="AN137" s="2">
        <v>210</v>
      </c>
      <c r="AO137" s="2">
        <f t="shared" si="48"/>
        <v>0.4186345770286784</v>
      </c>
      <c r="AP137" s="2">
        <v>210</v>
      </c>
      <c r="AQ137" s="2">
        <f t="shared" si="49"/>
        <v>0</v>
      </c>
      <c r="AR137" s="2">
        <f t="shared" si="50"/>
        <v>87.913261176022459</v>
      </c>
      <c r="AS137" s="2">
        <f t="shared" si="51"/>
        <v>0</v>
      </c>
      <c r="AU137" s="2">
        <f t="shared" si="52"/>
        <v>121.86499999999999</v>
      </c>
      <c r="AV137" s="2">
        <f t="shared" si="53"/>
        <v>0.58030952380952383</v>
      </c>
      <c r="AW137" s="12">
        <f t="shared" si="54"/>
        <v>23.591375770020498</v>
      </c>
      <c r="AX137" s="2">
        <v>210</v>
      </c>
      <c r="AY137" s="3">
        <f t="shared" si="55"/>
        <v>0.58030952380952383</v>
      </c>
      <c r="AZ137" s="2">
        <f t="shared" si="56"/>
        <v>121.86500000000001</v>
      </c>
      <c r="BA137" s="2">
        <f t="shared" si="57"/>
        <v>0</v>
      </c>
      <c r="BC137">
        <f t="shared" si="58"/>
        <v>135.87947499999999</v>
      </c>
      <c r="BD137">
        <f t="shared" si="59"/>
        <v>0.64704511904761897</v>
      </c>
      <c r="BE137">
        <f t="shared" si="60"/>
        <v>0.64704511904761897</v>
      </c>
      <c r="BF137">
        <f t="shared" si="61"/>
        <v>135.87947499999999</v>
      </c>
      <c r="BG137">
        <f t="shared" si="62"/>
        <v>0</v>
      </c>
    </row>
    <row r="138" spans="1:59" ht="15" customHeight="1" x14ac:dyDescent="0.2">
      <c r="A138" s="2" t="s">
        <v>16</v>
      </c>
      <c r="B138" s="2" t="str">
        <f>VLOOKUP($A138,'[1]daily coal, energy reqd'!$C$2:$T$599,17,FALSE)</f>
        <v>Odisha</v>
      </c>
      <c r="C138" s="2" t="str">
        <f>VLOOKUP(B138,'Target PLF'!$I$2:$J$19,2,FALSE)</f>
        <v>ER</v>
      </c>
      <c r="D138" s="2" t="s">
        <v>570</v>
      </c>
      <c r="E138" s="2" t="s">
        <v>542</v>
      </c>
      <c r="F138" s="13">
        <v>0.84052019164955505</v>
      </c>
      <c r="G138" s="2">
        <v>660</v>
      </c>
      <c r="H138">
        <f>VLOOKUP(A138,'Coal savings'!$A$3:$AB$543,26,FALSE)</f>
        <v>3829055.480822661</v>
      </c>
      <c r="O138" s="2" t="s">
        <v>16</v>
      </c>
      <c r="AH138" s="2" t="str">
        <f t="shared" si="43"/>
        <v/>
      </c>
      <c r="AI138" s="2"/>
      <c r="AJ138" s="2" t="str">
        <f t="shared" si="45"/>
        <v/>
      </c>
      <c r="AK138" s="12">
        <f t="shared" si="46"/>
        <v>1</v>
      </c>
      <c r="AL138" s="2" t="s">
        <v>570</v>
      </c>
      <c r="AM138" s="2" t="str">
        <f>VLOOKUP(A138,'[12]Power plant names'!$C$2:$F$545,4,FALSE)</f>
        <v>Super critical</v>
      </c>
      <c r="AN138" s="2">
        <v>660</v>
      </c>
      <c r="AO138" s="2">
        <f t="shared" si="48"/>
        <v>0.76939640000000009</v>
      </c>
      <c r="AP138" s="2">
        <v>660</v>
      </c>
      <c r="AQ138" s="2">
        <f t="shared" si="49"/>
        <v>0</v>
      </c>
      <c r="AR138" s="2">
        <f t="shared" si="50"/>
        <v>507.80162400000006</v>
      </c>
      <c r="AS138" s="2">
        <f t="shared" si="51"/>
        <v>0</v>
      </c>
      <c r="AU138" s="2"/>
      <c r="AV138" s="2" t="str">
        <f t="shared" si="53"/>
        <v/>
      </c>
      <c r="AW138" s="12">
        <f t="shared" si="54"/>
        <v>0.84052019164955505</v>
      </c>
      <c r="AX138" s="2">
        <v>660</v>
      </c>
      <c r="AY138" s="3">
        <f t="shared" si="55"/>
        <v>1.0345184357289527</v>
      </c>
      <c r="AZ138" s="2">
        <f t="shared" si="56"/>
        <v>682.78216758110887</v>
      </c>
      <c r="BA138" s="2">
        <f t="shared" si="57"/>
        <v>0</v>
      </c>
      <c r="BC138" t="str">
        <f t="shared" si="58"/>
        <v/>
      </c>
      <c r="BE138">
        <f t="shared" si="60"/>
        <v>1.1533300636550308</v>
      </c>
      <c r="BF138">
        <f t="shared" si="61"/>
        <v>761.19784201232028</v>
      </c>
      <c r="BG138">
        <f t="shared" si="62"/>
        <v>0</v>
      </c>
    </row>
    <row r="139" spans="1:59" ht="15" customHeight="1" x14ac:dyDescent="0.2">
      <c r="A139" s="2" t="s">
        <v>14</v>
      </c>
      <c r="B139" s="2" t="str">
        <f>VLOOKUP($A139,'[1]daily coal, energy reqd'!$C$2:$T$599,17,FALSE)</f>
        <v>Odisha</v>
      </c>
      <c r="C139" s="2" t="str">
        <f>VLOOKUP(B139,'Target PLF'!$I$2:$J$19,2,FALSE)</f>
        <v>ER</v>
      </c>
      <c r="D139" s="2" t="s">
        <v>570</v>
      </c>
      <c r="E139" s="2" t="s">
        <v>542</v>
      </c>
      <c r="F139" s="13">
        <v>0.67898699520876105</v>
      </c>
      <c r="G139" s="2">
        <v>660</v>
      </c>
      <c r="H139">
        <f>VLOOKUP(A139,'Coal savings'!$A$3:$AB$543,26,FALSE)</f>
        <v>3827189.2331606657</v>
      </c>
      <c r="O139" s="2" t="s">
        <v>14</v>
      </c>
      <c r="AH139" s="2" t="str">
        <f t="shared" si="43"/>
        <v/>
      </c>
      <c r="AI139" s="2"/>
      <c r="AJ139" s="2" t="str">
        <f t="shared" si="45"/>
        <v/>
      </c>
      <c r="AK139" s="12">
        <f t="shared" si="46"/>
        <v>1</v>
      </c>
      <c r="AL139" s="2" t="s">
        <v>570</v>
      </c>
      <c r="AM139" s="2" t="str">
        <f>VLOOKUP(A139,'[12]Power plant names'!$C$2:$F$545,4,FALSE)</f>
        <v>Super critical</v>
      </c>
      <c r="AN139" s="2">
        <v>660</v>
      </c>
      <c r="AO139" s="2">
        <f t="shared" si="48"/>
        <v>0.76939640000000009</v>
      </c>
      <c r="AP139" s="2">
        <v>660</v>
      </c>
      <c r="AQ139" s="2">
        <f t="shared" si="49"/>
        <v>0</v>
      </c>
      <c r="AR139" s="2">
        <f t="shared" si="50"/>
        <v>507.80162400000006</v>
      </c>
      <c r="AS139" s="2">
        <f t="shared" si="51"/>
        <v>0</v>
      </c>
      <c r="AU139" s="2"/>
      <c r="AV139" s="2" t="str">
        <f t="shared" si="53"/>
        <v/>
      </c>
      <c r="AW139" s="12">
        <f t="shared" si="54"/>
        <v>0.67898699520876105</v>
      </c>
      <c r="AX139" s="2">
        <v>660</v>
      </c>
      <c r="AY139" s="3">
        <f t="shared" si="55"/>
        <v>1.0374474041067763</v>
      </c>
      <c r="AZ139" s="2">
        <f t="shared" si="56"/>
        <v>684.71528671047236</v>
      </c>
      <c r="BA139" s="2">
        <f t="shared" si="57"/>
        <v>0</v>
      </c>
      <c r="BC139" t="str">
        <f t="shared" si="58"/>
        <v/>
      </c>
      <c r="BE139">
        <f t="shared" si="60"/>
        <v>1.1568068234086242</v>
      </c>
      <c r="BF139">
        <f t="shared" si="61"/>
        <v>763.49250344969198</v>
      </c>
      <c r="BG139">
        <f t="shared" si="62"/>
        <v>0</v>
      </c>
    </row>
    <row r="140" spans="1:59" ht="15" customHeight="1" x14ac:dyDescent="0.2">
      <c r="A140" s="2" t="s">
        <v>167</v>
      </c>
      <c r="B140" s="2" t="str">
        <f>VLOOKUP($A140,'[1]daily coal, energy reqd'!$C$2:$T$599,17,FALSE)</f>
        <v>Haryana</v>
      </c>
      <c r="C140" s="2" t="str">
        <f>VLOOKUP(B140,'Target PLF'!$I$2:$J$19,2,FALSE)</f>
        <v>NR</v>
      </c>
      <c r="D140" s="2" t="s">
        <v>571</v>
      </c>
      <c r="E140" s="2" t="s">
        <v>543</v>
      </c>
      <c r="F140" s="12">
        <v>9.5906913073237501</v>
      </c>
      <c r="G140" s="2">
        <v>500</v>
      </c>
      <c r="H140">
        <f>VLOOKUP(A140,'Coal savings'!$A$3:$AB$543,26,FALSE)</f>
        <v>2175440.1478425805</v>
      </c>
      <c r="I140" t="s">
        <v>694</v>
      </c>
      <c r="J140">
        <f>1709.39/3</f>
        <v>569.79666666666674</v>
      </c>
      <c r="O140" s="2" t="s">
        <v>167</v>
      </c>
      <c r="Q140" s="96"/>
      <c r="R140" s="96"/>
      <c r="S140" s="96"/>
      <c r="T140" s="96">
        <v>751.66</v>
      </c>
      <c r="U140" s="96" t="s">
        <v>619</v>
      </c>
      <c r="V140" s="96"/>
      <c r="AH140" s="2" t="str">
        <f t="shared" si="43"/>
        <v>2019</v>
      </c>
      <c r="AI140" s="2">
        <f>(J140)/(1+0.115)^(AH140-2016)</f>
        <v>411.05061481059931</v>
      </c>
      <c r="AJ140" s="2">
        <f t="shared" si="45"/>
        <v>0.82210122962119858</v>
      </c>
      <c r="AK140" s="12">
        <f t="shared" si="46"/>
        <v>5.5906913073237501</v>
      </c>
      <c r="AL140" s="2" t="s">
        <v>571</v>
      </c>
      <c r="AM140" s="2" t="str">
        <f>VLOOKUP(A140,'[12]Power plant names'!$C$2:$F$545,4,FALSE)</f>
        <v>Sub critical</v>
      </c>
      <c r="AN140" s="2">
        <v>500</v>
      </c>
      <c r="AO140" s="2">
        <f t="shared" si="48"/>
        <v>0.82210122962119858</v>
      </c>
      <c r="AP140" s="2">
        <v>500</v>
      </c>
      <c r="AQ140" s="2">
        <f t="shared" si="49"/>
        <v>0</v>
      </c>
      <c r="AR140" s="2">
        <f t="shared" si="50"/>
        <v>411.05061481059931</v>
      </c>
      <c r="AS140" s="2">
        <f t="shared" si="51"/>
        <v>0</v>
      </c>
      <c r="AU140" s="2">
        <f t="shared" si="52"/>
        <v>569.79666666666674</v>
      </c>
      <c r="AV140" s="2">
        <f t="shared" si="53"/>
        <v>1.1395933333333335</v>
      </c>
      <c r="AW140" s="12">
        <f t="shared" si="54"/>
        <v>8.5906913073237501</v>
      </c>
      <c r="AX140" s="2">
        <v>500</v>
      </c>
      <c r="AY140" s="3">
        <f t="shared" si="55"/>
        <v>1.1395933333333335</v>
      </c>
      <c r="AZ140" s="2">
        <f t="shared" si="56"/>
        <v>569.79666666666674</v>
      </c>
      <c r="BA140" s="2">
        <f t="shared" si="57"/>
        <v>0</v>
      </c>
      <c r="BC140">
        <f t="shared" si="58"/>
        <v>635.32328333333339</v>
      </c>
      <c r="BD140">
        <f t="shared" si="59"/>
        <v>1.2706465666666669</v>
      </c>
      <c r="BE140">
        <f t="shared" si="60"/>
        <v>1.2706465666666669</v>
      </c>
      <c r="BF140">
        <f t="shared" si="61"/>
        <v>635.32328333333339</v>
      </c>
      <c r="BG140">
        <f t="shared" si="62"/>
        <v>0</v>
      </c>
    </row>
    <row r="141" spans="1:59" ht="15" customHeight="1" x14ac:dyDescent="0.2">
      <c r="A141" s="2" t="s">
        <v>158</v>
      </c>
      <c r="B141" s="2" t="str">
        <f>VLOOKUP($A141,'[1]daily coal, energy reqd'!$C$2:$T$599,17,FALSE)</f>
        <v>Haryana</v>
      </c>
      <c r="C141" s="2" t="str">
        <f>VLOOKUP(B141,'Target PLF'!$I$2:$J$19,2,FALSE)</f>
        <v>NR</v>
      </c>
      <c r="D141" s="2" t="s">
        <v>571</v>
      </c>
      <c r="E141" s="2" t="s">
        <v>543</v>
      </c>
      <c r="F141" s="12">
        <v>8.5065023956194299</v>
      </c>
      <c r="G141" s="2">
        <v>500</v>
      </c>
      <c r="H141">
        <f>VLOOKUP(A141,'Coal savings'!$A$3:$AB$543,26,FALSE)</f>
        <v>2168905.3876068951</v>
      </c>
      <c r="I141" t="s">
        <v>694</v>
      </c>
      <c r="J141">
        <f>1709.39/3</f>
        <v>569.79666666666674</v>
      </c>
      <c r="O141" s="2" t="s">
        <v>158</v>
      </c>
      <c r="Q141" s="96"/>
      <c r="R141" s="96"/>
      <c r="S141" s="96"/>
      <c r="T141" s="96"/>
      <c r="U141" s="96"/>
      <c r="V141" s="96"/>
      <c r="AH141" s="2" t="str">
        <f t="shared" si="43"/>
        <v>2019</v>
      </c>
      <c r="AI141" s="2">
        <f>(J141)/(1+0.115)^(AH141-2016)</f>
        <v>411.05061481059931</v>
      </c>
      <c r="AJ141" s="2">
        <f t="shared" si="45"/>
        <v>0.82210122962119858</v>
      </c>
      <c r="AK141" s="12">
        <f t="shared" si="46"/>
        <v>4.5065023956194299</v>
      </c>
      <c r="AL141" s="2" t="s">
        <v>571</v>
      </c>
      <c r="AM141" s="2" t="str">
        <f>VLOOKUP(A141,'[12]Power plant names'!$C$2:$F$545,4,FALSE)</f>
        <v>Sub critical</v>
      </c>
      <c r="AN141" s="2">
        <v>500</v>
      </c>
      <c r="AO141" s="2">
        <f t="shared" si="48"/>
        <v>0.82210122962119858</v>
      </c>
      <c r="AP141" s="2">
        <v>500</v>
      </c>
      <c r="AQ141" s="2">
        <f t="shared" si="49"/>
        <v>0</v>
      </c>
      <c r="AR141" s="2">
        <f t="shared" si="50"/>
        <v>411.05061481059931</v>
      </c>
      <c r="AS141" s="2">
        <f t="shared" si="51"/>
        <v>0</v>
      </c>
      <c r="AU141" s="2">
        <f t="shared" si="52"/>
        <v>569.79666666666674</v>
      </c>
      <c r="AV141" s="2">
        <f t="shared" si="53"/>
        <v>1.1395933333333335</v>
      </c>
      <c r="AW141" s="12">
        <f t="shared" si="54"/>
        <v>7.5065023956194299</v>
      </c>
      <c r="AX141" s="2">
        <v>500</v>
      </c>
      <c r="AY141" s="3">
        <f t="shared" si="55"/>
        <v>1.1395933333333335</v>
      </c>
      <c r="AZ141" s="2">
        <f t="shared" si="56"/>
        <v>569.79666666666674</v>
      </c>
      <c r="BA141" s="2">
        <f t="shared" si="57"/>
        <v>0</v>
      </c>
      <c r="BC141">
        <f t="shared" si="58"/>
        <v>635.32328333333339</v>
      </c>
      <c r="BD141">
        <f t="shared" si="59"/>
        <v>1.2706465666666669</v>
      </c>
      <c r="BE141">
        <f t="shared" si="60"/>
        <v>1.2706465666666669</v>
      </c>
      <c r="BF141">
        <f t="shared" si="61"/>
        <v>635.32328333333339</v>
      </c>
      <c r="BG141">
        <f t="shared" si="62"/>
        <v>0</v>
      </c>
    </row>
    <row r="142" spans="1:59" ht="15" customHeight="1" x14ac:dyDescent="0.2">
      <c r="A142" s="2" t="s">
        <v>147</v>
      </c>
      <c r="B142" s="2" t="str">
        <f>VLOOKUP($A142,'[1]daily coal, energy reqd'!$C$2:$T$599,17,FALSE)</f>
        <v>Haryana</v>
      </c>
      <c r="C142" s="2" t="str">
        <f>VLOOKUP(B142,'Target PLF'!$I$2:$J$19,2,FALSE)</f>
        <v>NR</v>
      </c>
      <c r="D142" s="2" t="s">
        <v>571</v>
      </c>
      <c r="E142" s="2" t="s">
        <v>543</v>
      </c>
      <c r="F142" s="12">
        <v>7.5044490075290797</v>
      </c>
      <c r="G142" s="2">
        <v>500</v>
      </c>
      <c r="H142">
        <f>VLOOKUP(A142,'Coal savings'!$A$3:$AB$543,26,FALSE)</f>
        <v>2162865.6849648221</v>
      </c>
      <c r="I142" t="s">
        <v>694</v>
      </c>
      <c r="J142">
        <f>1709.39/3</f>
        <v>569.79666666666674</v>
      </c>
      <c r="O142" s="2" t="s">
        <v>147</v>
      </c>
      <c r="Q142" s="96"/>
      <c r="R142" s="96"/>
      <c r="S142" s="96"/>
      <c r="T142" s="96"/>
      <c r="U142" s="96"/>
      <c r="V142" s="96"/>
      <c r="AH142" s="2" t="str">
        <f t="shared" si="43"/>
        <v>2019</v>
      </c>
      <c r="AI142" s="2">
        <f>(J142)/(1+0.115)^(AH142-2016)</f>
        <v>411.05061481059931</v>
      </c>
      <c r="AJ142" s="2">
        <f t="shared" si="45"/>
        <v>0.82210122962119858</v>
      </c>
      <c r="AK142" s="12">
        <f t="shared" si="46"/>
        <v>3.5044490075290797</v>
      </c>
      <c r="AL142" s="2" t="s">
        <v>571</v>
      </c>
      <c r="AM142" s="2" t="str">
        <f>VLOOKUP(A142,'[12]Power plant names'!$C$2:$F$545,4,FALSE)</f>
        <v>Sub critical</v>
      </c>
      <c r="AN142" s="2">
        <v>500</v>
      </c>
      <c r="AO142" s="2">
        <f t="shared" si="48"/>
        <v>0.82210122962119858</v>
      </c>
      <c r="AP142" s="2">
        <v>500</v>
      </c>
      <c r="AQ142" s="2">
        <f t="shared" si="49"/>
        <v>0</v>
      </c>
      <c r="AR142" s="2">
        <f t="shared" si="50"/>
        <v>411.05061481059931</v>
      </c>
      <c r="AS142" s="2">
        <f t="shared" si="51"/>
        <v>0</v>
      </c>
      <c r="AU142" s="2">
        <f t="shared" si="52"/>
        <v>569.79666666666674</v>
      </c>
      <c r="AV142" s="2">
        <f t="shared" si="53"/>
        <v>1.1395933333333335</v>
      </c>
      <c r="AW142" s="12">
        <f t="shared" si="54"/>
        <v>6.5044490075290797</v>
      </c>
      <c r="AX142" s="2">
        <v>500</v>
      </c>
      <c r="AY142" s="3">
        <f t="shared" si="55"/>
        <v>1.1395933333333335</v>
      </c>
      <c r="AZ142" s="2">
        <f t="shared" si="56"/>
        <v>569.79666666666674</v>
      </c>
      <c r="BA142" s="2">
        <f t="shared" si="57"/>
        <v>0</v>
      </c>
      <c r="BC142">
        <f t="shared" si="58"/>
        <v>635.32328333333339</v>
      </c>
      <c r="BD142">
        <f t="shared" si="59"/>
        <v>1.2706465666666669</v>
      </c>
      <c r="BE142">
        <f t="shared" si="60"/>
        <v>1.2706465666666669</v>
      </c>
      <c r="BF142">
        <f t="shared" si="61"/>
        <v>635.32328333333339</v>
      </c>
      <c r="BG142">
        <f t="shared" si="62"/>
        <v>0</v>
      </c>
    </row>
    <row r="143" spans="1:59" ht="15" customHeight="1" x14ac:dyDescent="0.2">
      <c r="A143" s="2" t="s">
        <v>80</v>
      </c>
      <c r="B143" s="2" t="str">
        <f>VLOOKUP($A143,'[1]daily coal, energy reqd'!$C$2:$T$599,17,FALSE)</f>
        <v>Tamil Nadu</v>
      </c>
      <c r="C143" s="2" t="str">
        <f>VLOOKUP(B143,'Target PLF'!$I$2:$J$19,2,FALSE)</f>
        <v>SR</v>
      </c>
      <c r="D143" s="2" t="s">
        <v>572</v>
      </c>
      <c r="E143" s="2" t="s">
        <v>542</v>
      </c>
      <c r="F143" s="12">
        <v>4.6735112936344896</v>
      </c>
      <c r="G143" s="2">
        <v>600</v>
      </c>
      <c r="H143">
        <f>VLOOKUP(A143,'Coal savings'!$A$3:$AB$543,26,FALSE)</f>
        <v>2962984.9064699309</v>
      </c>
      <c r="O143" s="2" t="s">
        <v>80</v>
      </c>
      <c r="AH143" s="2" t="str">
        <f t="shared" si="43"/>
        <v/>
      </c>
      <c r="AI143" s="2"/>
      <c r="AJ143" s="2" t="str">
        <f t="shared" si="45"/>
        <v/>
      </c>
      <c r="AK143" s="12">
        <f t="shared" si="46"/>
        <v>0.67351129363448958</v>
      </c>
      <c r="AL143" s="2" t="s">
        <v>572</v>
      </c>
      <c r="AM143" s="2" t="str">
        <f>VLOOKUP(A143,'[12]Power plant names'!$C$2:$F$545,4,FALSE)</f>
        <v>Sub critical</v>
      </c>
      <c r="AN143" s="2">
        <v>600</v>
      </c>
      <c r="AO143" s="2">
        <f t="shared" si="48"/>
        <v>0.80103409691991811</v>
      </c>
      <c r="AP143" s="2">
        <v>540</v>
      </c>
      <c r="AQ143" s="2">
        <f t="shared" si="49"/>
        <v>60</v>
      </c>
      <c r="AR143" s="2">
        <f t="shared" si="50"/>
        <v>432.55841233675579</v>
      </c>
      <c r="AS143" s="2">
        <f t="shared" si="51"/>
        <v>48.062045815195084</v>
      </c>
      <c r="AU143" s="2"/>
      <c r="AV143" s="2" t="str">
        <f t="shared" si="53"/>
        <v/>
      </c>
      <c r="AW143" s="12">
        <f t="shared" si="54"/>
        <v>4.6735112936344896</v>
      </c>
      <c r="AX143" s="2">
        <v>600</v>
      </c>
      <c r="AY143" s="3">
        <f t="shared" si="55"/>
        <v>0.99852149117043143</v>
      </c>
      <c r="AZ143" s="2">
        <f t="shared" si="56"/>
        <v>539.20160523203299</v>
      </c>
      <c r="BA143" s="2">
        <f t="shared" si="57"/>
        <v>59.911289470225888</v>
      </c>
      <c r="BC143" t="str">
        <f t="shared" si="58"/>
        <v/>
      </c>
      <c r="BE143">
        <f t="shared" si="60"/>
        <v>1.112962679671458</v>
      </c>
      <c r="BF143">
        <f t="shared" si="61"/>
        <v>600.99984702258735</v>
      </c>
      <c r="BG143">
        <f t="shared" si="62"/>
        <v>66.77776078028748</v>
      </c>
    </row>
    <row r="144" spans="1:59" ht="15" customHeight="1" x14ac:dyDescent="0.2">
      <c r="A144" s="2" t="s">
        <v>68</v>
      </c>
      <c r="B144" s="2" t="str">
        <f>VLOOKUP($A144,'[1]daily coal, energy reqd'!$C$2:$T$599,17,FALSE)</f>
        <v>Tamil Nadu</v>
      </c>
      <c r="C144" s="2" t="str">
        <f>VLOOKUP(B144,'Target PLF'!$I$2:$J$19,2,FALSE)</f>
        <v>SR</v>
      </c>
      <c r="D144" s="2" t="s">
        <v>572</v>
      </c>
      <c r="E144" s="2" t="s">
        <v>542</v>
      </c>
      <c r="F144" s="12">
        <v>4.0903490759753502</v>
      </c>
      <c r="G144" s="2">
        <v>600</v>
      </c>
      <c r="H144">
        <f>VLOOKUP(A144,'Coal savings'!$A$3:$AB$543,26,FALSE)</f>
        <v>2958340.4448587354</v>
      </c>
      <c r="O144" s="2" t="s">
        <v>68</v>
      </c>
      <c r="AH144" s="2" t="str">
        <f t="shared" si="43"/>
        <v/>
      </c>
      <c r="AI144" s="2"/>
      <c r="AJ144" s="2" t="str">
        <f t="shared" si="45"/>
        <v/>
      </c>
      <c r="AK144" s="12">
        <f t="shared" si="46"/>
        <v>9.0349075975350246E-2</v>
      </c>
      <c r="AL144" s="2" t="s">
        <v>572</v>
      </c>
      <c r="AM144" s="2" t="str">
        <f>VLOOKUP(A144,'[12]Power plant names'!$C$2:$F$545,4,FALSE)</f>
        <v>Sub critical</v>
      </c>
      <c r="AN144" s="2">
        <v>600</v>
      </c>
      <c r="AO144" s="2">
        <f t="shared" si="48"/>
        <v>0.80911415934291608</v>
      </c>
      <c r="AP144" s="2">
        <v>558</v>
      </c>
      <c r="AQ144" s="2">
        <f t="shared" si="49"/>
        <v>42</v>
      </c>
      <c r="AR144" s="2">
        <f t="shared" si="50"/>
        <v>451.48570091334716</v>
      </c>
      <c r="AS144" s="2">
        <f t="shared" si="51"/>
        <v>33.982794692402479</v>
      </c>
      <c r="AU144" s="2"/>
      <c r="AV144" s="2" t="str">
        <f t="shared" si="53"/>
        <v/>
      </c>
      <c r="AW144" s="12">
        <f t="shared" si="54"/>
        <v>4.0903490759753502</v>
      </c>
      <c r="AX144" s="2">
        <v>600</v>
      </c>
      <c r="AY144" s="3">
        <f t="shared" si="55"/>
        <v>1.0090955634496923</v>
      </c>
      <c r="AZ144" s="2">
        <f t="shared" si="56"/>
        <v>563.07532440492832</v>
      </c>
      <c r="BA144" s="2">
        <f t="shared" si="57"/>
        <v>42.382013664887076</v>
      </c>
      <c r="BC144" t="str">
        <f t="shared" si="58"/>
        <v/>
      </c>
      <c r="BE144">
        <f t="shared" si="60"/>
        <v>1.1255143716632445</v>
      </c>
      <c r="BF144">
        <f t="shared" si="61"/>
        <v>628.03701938809047</v>
      </c>
      <c r="BG144">
        <f t="shared" si="62"/>
        <v>47.271603609856271</v>
      </c>
    </row>
    <row r="145" spans="1:59" ht="15" hidden="1" customHeight="1" x14ac:dyDescent="0.2">
      <c r="A145" s="2" t="s">
        <v>388</v>
      </c>
      <c r="B145" s="2" t="str">
        <f>VLOOKUP($A145,'[1]daily coal, energy reqd'!$C$2:$T$599,17,FALSE)</f>
        <v>Jharkhand</v>
      </c>
      <c r="C145" s="2" t="str">
        <f>VLOOKUP(B145,'Target PLF'!$I$2:$J$19,2,FALSE)</f>
        <v>ER</v>
      </c>
      <c r="D145" s="2" t="s">
        <v>572</v>
      </c>
      <c r="E145" s="2" t="s">
        <v>545</v>
      </c>
      <c r="F145" s="12">
        <v>19.337440109513999</v>
      </c>
      <c r="G145" s="2">
        <v>120</v>
      </c>
      <c r="H145">
        <f>VLOOKUP(A145,'Coal savings'!$A$3:$AB$543,26,FALSE)</f>
        <v>0</v>
      </c>
      <c r="I145" t="s">
        <v>695</v>
      </c>
      <c r="J145" s="40">
        <v>95.990000000000009</v>
      </c>
      <c r="O145" s="2" t="s">
        <v>388</v>
      </c>
      <c r="AH145" s="2" t="str">
        <f t="shared" si="43"/>
        <v>2018</v>
      </c>
      <c r="AI145" s="2">
        <f>(J145)/(1+0.115)^(AH145-2016)</f>
        <v>77.210480805968359</v>
      </c>
      <c r="AJ145" s="2">
        <f t="shared" si="45"/>
        <v>0.64342067338306963</v>
      </c>
      <c r="AK145" s="12">
        <f t="shared" si="46"/>
        <v>15.337440109513999</v>
      </c>
      <c r="AL145" s="2" t="s">
        <v>572</v>
      </c>
      <c r="AM145" s="2" t="str">
        <f>VLOOKUP(A145,'[12]Power plant names'!$C$2:$F$545,4,FALSE)</f>
        <v>Sub critical</v>
      </c>
      <c r="AN145" s="2">
        <v>120</v>
      </c>
      <c r="AO145" s="2">
        <f t="shared" si="48"/>
        <v>0.64342067338306963</v>
      </c>
      <c r="AP145" s="2"/>
      <c r="AQ145" s="2">
        <f t="shared" si="49"/>
        <v>120</v>
      </c>
      <c r="AR145" s="2">
        <f t="shared" si="50"/>
        <v>0</v>
      </c>
      <c r="AS145" s="2">
        <f t="shared" si="51"/>
        <v>77.210480805968359</v>
      </c>
      <c r="AU145" s="2">
        <f t="shared" si="52"/>
        <v>95.990000000000009</v>
      </c>
      <c r="AV145" s="2">
        <f t="shared" si="53"/>
        <v>0.79991666666666672</v>
      </c>
      <c r="AW145" s="12">
        <f t="shared" si="54"/>
        <v>17.337440109513999</v>
      </c>
      <c r="AX145" s="2">
        <v>120</v>
      </c>
      <c r="AY145" s="3">
        <f t="shared" si="55"/>
        <v>0.79991666666666672</v>
      </c>
      <c r="AZ145" s="2">
        <f t="shared" si="56"/>
        <v>0</v>
      </c>
      <c r="BA145" s="2">
        <f t="shared" si="57"/>
        <v>95.990000000000009</v>
      </c>
      <c r="BC145">
        <f t="shared" si="58"/>
        <v>119.33716775000002</v>
      </c>
      <c r="BD145">
        <f t="shared" si="59"/>
        <v>0.99447639791666687</v>
      </c>
      <c r="BE145">
        <f t="shared" si="60"/>
        <v>0.99447639791666687</v>
      </c>
      <c r="BF145">
        <f t="shared" si="61"/>
        <v>0</v>
      </c>
      <c r="BG145">
        <f t="shared" si="62"/>
        <v>119.33716775000002</v>
      </c>
    </row>
    <row r="146" spans="1:59" ht="15" hidden="1" customHeight="1" x14ac:dyDescent="0.2">
      <c r="A146" s="2" t="s">
        <v>384</v>
      </c>
      <c r="B146" s="2" t="str">
        <f>VLOOKUP($A146,'[1]daily coal, energy reqd'!$C$2:$T$599,17,FALSE)</f>
        <v>Jharkhand</v>
      </c>
      <c r="C146" s="2" t="str">
        <f>VLOOKUP(B146,'Target PLF'!$I$2:$J$19,2,FALSE)</f>
        <v>ER</v>
      </c>
      <c r="D146" s="2" t="s">
        <v>572</v>
      </c>
      <c r="E146" s="2" t="s">
        <v>545</v>
      </c>
      <c r="F146" s="12">
        <v>18.338124572210798</v>
      </c>
      <c r="G146" s="2">
        <v>120</v>
      </c>
      <c r="H146">
        <f>VLOOKUP(A146,'Coal savings'!$A$3:$AB$543,26,FALSE)</f>
        <v>0</v>
      </c>
      <c r="I146" t="s">
        <v>695</v>
      </c>
      <c r="J146" s="40">
        <v>89.32</v>
      </c>
      <c r="O146" s="2" t="s">
        <v>384</v>
      </c>
      <c r="AH146" s="2" t="str">
        <f t="shared" si="43"/>
        <v>2018</v>
      </c>
      <c r="AI146" s="2">
        <f>(J146)/(1+0.115)^(AH146-2016)</f>
        <v>71.845402079269633</v>
      </c>
      <c r="AJ146" s="2">
        <f t="shared" si="45"/>
        <v>0.59871168399391361</v>
      </c>
      <c r="AK146" s="12">
        <f t="shared" si="46"/>
        <v>14.338124572210798</v>
      </c>
      <c r="AL146" s="2" t="s">
        <v>572</v>
      </c>
      <c r="AM146" s="2" t="str">
        <f>VLOOKUP(A146,'[12]Power plant names'!$C$2:$F$545,4,FALSE)</f>
        <v>Sub critical</v>
      </c>
      <c r="AN146" s="2">
        <v>120</v>
      </c>
      <c r="AO146" s="2">
        <f t="shared" si="48"/>
        <v>0.59871168399391361</v>
      </c>
      <c r="AP146" s="2"/>
      <c r="AQ146" s="2">
        <f t="shared" si="49"/>
        <v>120</v>
      </c>
      <c r="AR146" s="2">
        <f t="shared" si="50"/>
        <v>0</v>
      </c>
      <c r="AS146" s="2">
        <f t="shared" si="51"/>
        <v>71.845402079269633</v>
      </c>
      <c r="AU146" s="2">
        <f t="shared" si="52"/>
        <v>89.32</v>
      </c>
      <c r="AV146" s="2">
        <f t="shared" si="53"/>
        <v>0.74433333333333329</v>
      </c>
      <c r="AW146" s="12">
        <f t="shared" si="54"/>
        <v>16.338124572210798</v>
      </c>
      <c r="AX146" s="2">
        <v>120</v>
      </c>
      <c r="AY146" s="3">
        <f t="shared" si="55"/>
        <v>0.74433333333333329</v>
      </c>
      <c r="AZ146" s="2">
        <f t="shared" si="56"/>
        <v>0</v>
      </c>
      <c r="BA146" s="2">
        <f t="shared" si="57"/>
        <v>89.32</v>
      </c>
      <c r="BC146">
        <f t="shared" si="58"/>
        <v>111.04485699999999</v>
      </c>
      <c r="BD146">
        <f t="shared" si="59"/>
        <v>0.92537380833333327</v>
      </c>
      <c r="BE146">
        <f t="shared" si="60"/>
        <v>0.92537380833333327</v>
      </c>
      <c r="BF146">
        <f t="shared" si="61"/>
        <v>0</v>
      </c>
      <c r="BG146">
        <f t="shared" si="62"/>
        <v>111.04485699999999</v>
      </c>
    </row>
    <row r="147" spans="1:59" ht="15" hidden="1" customHeight="1" x14ac:dyDescent="0.2">
      <c r="A147" s="2" t="s">
        <v>250</v>
      </c>
      <c r="B147" s="2" t="str">
        <f>VLOOKUP($A147,'[1]daily coal, energy reqd'!$C$2:$T$599,17,FALSE)</f>
        <v>Maharashtra</v>
      </c>
      <c r="C147" s="2" t="str">
        <f>VLOOKUP(B147,'Target PLF'!$I$2:$J$19,2,FALSE)</f>
        <v>WR</v>
      </c>
      <c r="D147" s="2" t="s">
        <v>572</v>
      </c>
      <c r="E147" s="2" t="s">
        <v>543</v>
      </c>
      <c r="F147" s="12">
        <v>9.7577002053388</v>
      </c>
      <c r="G147" s="2">
        <v>300</v>
      </c>
      <c r="H147">
        <f>VLOOKUP(A147,'Coal savings'!$A$3:$AB$543,26,FALSE)</f>
        <v>0</v>
      </c>
      <c r="O147" s="2" t="s">
        <v>250</v>
      </c>
      <c r="P147">
        <v>2019</v>
      </c>
      <c r="Q147">
        <v>42.25</v>
      </c>
      <c r="R147" t="s">
        <v>617</v>
      </c>
      <c r="S147">
        <v>300</v>
      </c>
      <c r="AH147" s="2">
        <v>2019</v>
      </c>
      <c r="AI147" s="2">
        <f>(Q147)/(1+0.115)^(AH147-2016)</f>
        <v>30.479098056759113</v>
      </c>
      <c r="AJ147" s="2">
        <f t="shared" si="45"/>
        <v>0.10159699352253038</v>
      </c>
      <c r="AK147" s="12">
        <f t="shared" si="46"/>
        <v>5.7577002053388</v>
      </c>
      <c r="AL147" s="2" t="s">
        <v>572</v>
      </c>
      <c r="AM147" s="2" t="str">
        <f>VLOOKUP(A147,'[12]Power plant names'!$C$2:$F$545,4,FALSE)</f>
        <v>Sub critical</v>
      </c>
      <c r="AN147" s="2">
        <v>300</v>
      </c>
      <c r="AO147" s="2">
        <f t="shared" si="48"/>
        <v>0.10159699352253038</v>
      </c>
      <c r="AP147" s="2">
        <v>300</v>
      </c>
      <c r="AQ147" s="2">
        <f t="shared" si="49"/>
        <v>0</v>
      </c>
      <c r="AR147" s="2">
        <f t="shared" si="50"/>
        <v>30.479098056759113</v>
      </c>
      <c r="AS147" s="2">
        <f t="shared" si="51"/>
        <v>0</v>
      </c>
      <c r="AU147" s="2">
        <f t="shared" si="52"/>
        <v>42.25</v>
      </c>
      <c r="AV147" s="2">
        <f t="shared" si="53"/>
        <v>0.14083333333333334</v>
      </c>
      <c r="AW147" s="12">
        <f t="shared" si="54"/>
        <v>8.7577002053388</v>
      </c>
      <c r="AX147" s="2">
        <v>300</v>
      </c>
      <c r="AY147" s="3">
        <f t="shared" si="55"/>
        <v>0.14083333333333334</v>
      </c>
      <c r="AZ147" s="2">
        <f t="shared" si="56"/>
        <v>42.25</v>
      </c>
      <c r="BA147" s="2">
        <f t="shared" si="57"/>
        <v>0</v>
      </c>
      <c r="BC147">
        <f t="shared" si="58"/>
        <v>47.108750000000001</v>
      </c>
      <c r="BD147">
        <f t="shared" si="59"/>
        <v>0.15702916666666666</v>
      </c>
      <c r="BE147">
        <f t="shared" si="60"/>
        <v>0.15702916666666666</v>
      </c>
      <c r="BF147">
        <f t="shared" si="61"/>
        <v>47.108750000000001</v>
      </c>
      <c r="BG147">
        <f t="shared" si="62"/>
        <v>0</v>
      </c>
    </row>
    <row r="148" spans="1:59" ht="15" hidden="1" customHeight="1" x14ac:dyDescent="0.2">
      <c r="A148" s="2" t="s">
        <v>247</v>
      </c>
      <c r="B148" s="2" t="str">
        <f>VLOOKUP($A148,'[1]daily coal, energy reqd'!$C$2:$T$599,17,FALSE)</f>
        <v>Maharashtra</v>
      </c>
      <c r="C148" s="2" t="str">
        <f>VLOOKUP(B148,'Target PLF'!$I$2:$J$19,2,FALSE)</f>
        <v>WR</v>
      </c>
      <c r="D148" s="2" t="s">
        <v>572</v>
      </c>
      <c r="E148" s="2" t="s">
        <v>543</v>
      </c>
      <c r="F148" s="12">
        <v>9.4236824093086895</v>
      </c>
      <c r="G148" s="2">
        <v>300</v>
      </c>
      <c r="H148">
        <f>VLOOKUP(A148,'Coal savings'!$A$3:$AB$543,26,FALSE)</f>
        <v>0</v>
      </c>
      <c r="O148" s="2" t="s">
        <v>247</v>
      </c>
      <c r="P148">
        <v>2019</v>
      </c>
      <c r="Q148">
        <v>42.25</v>
      </c>
      <c r="R148" t="s">
        <v>617</v>
      </c>
      <c r="AH148" s="2">
        <v>2019</v>
      </c>
      <c r="AI148" s="2">
        <f>(Q148)/(1+0.115)^(AH148-2016)</f>
        <v>30.479098056759113</v>
      </c>
      <c r="AJ148" s="2">
        <f t="shared" si="45"/>
        <v>0.10159699352253038</v>
      </c>
      <c r="AK148" s="12">
        <f t="shared" si="46"/>
        <v>5.4236824093086895</v>
      </c>
      <c r="AL148" s="2" t="s">
        <v>572</v>
      </c>
      <c r="AM148" s="2" t="str">
        <f>VLOOKUP(A148,'[12]Power plant names'!$C$2:$F$545,4,FALSE)</f>
        <v>Sub critical</v>
      </c>
      <c r="AN148" s="2">
        <v>300</v>
      </c>
      <c r="AO148" s="2">
        <f t="shared" si="48"/>
        <v>0.10159699352253038</v>
      </c>
      <c r="AP148" s="2"/>
      <c r="AQ148" s="2">
        <f t="shared" si="49"/>
        <v>300</v>
      </c>
      <c r="AR148" s="2">
        <f t="shared" si="50"/>
        <v>0</v>
      </c>
      <c r="AS148" s="2">
        <f t="shared" si="51"/>
        <v>30.479098056759113</v>
      </c>
      <c r="AU148" s="2">
        <f t="shared" si="52"/>
        <v>42.25</v>
      </c>
      <c r="AV148" s="2">
        <f t="shared" si="53"/>
        <v>0.14083333333333334</v>
      </c>
      <c r="AW148" s="12">
        <f t="shared" si="54"/>
        <v>8.4236824093086895</v>
      </c>
      <c r="AX148" s="2">
        <v>300</v>
      </c>
      <c r="AY148" s="3">
        <f t="shared" si="55"/>
        <v>0.14083333333333334</v>
      </c>
      <c r="AZ148" s="2">
        <f t="shared" si="56"/>
        <v>0</v>
      </c>
      <c r="BA148" s="2">
        <f t="shared" si="57"/>
        <v>42.25</v>
      </c>
      <c r="BC148">
        <f t="shared" si="58"/>
        <v>47.108750000000001</v>
      </c>
      <c r="BD148">
        <f t="shared" si="59"/>
        <v>0.15702916666666666</v>
      </c>
      <c r="BE148">
        <f t="shared" si="60"/>
        <v>0.15702916666666666</v>
      </c>
      <c r="BF148">
        <f t="shared" si="61"/>
        <v>0</v>
      </c>
      <c r="BG148">
        <f t="shared" si="62"/>
        <v>47.108750000000001</v>
      </c>
    </row>
    <row r="149" spans="1:59" ht="15" hidden="1" customHeight="1" x14ac:dyDescent="0.2">
      <c r="A149" s="2" t="s">
        <v>242</v>
      </c>
      <c r="B149" s="2" t="str">
        <f>VLOOKUP($A149,'[1]daily coal, energy reqd'!$C$2:$T$599,17,FALSE)</f>
        <v>Maharashtra</v>
      </c>
      <c r="C149" s="2" t="str">
        <f>VLOOKUP(B149,'Target PLF'!$I$2:$J$19,2,FALSE)</f>
        <v>WR</v>
      </c>
      <c r="D149" s="2" t="s">
        <v>572</v>
      </c>
      <c r="E149" s="2" t="s">
        <v>543</v>
      </c>
      <c r="F149" s="12">
        <v>9.0102669404517393</v>
      </c>
      <c r="G149" s="2">
        <v>300</v>
      </c>
      <c r="H149">
        <f>VLOOKUP(A149,'Coal savings'!$A$3:$AB$543,26,FALSE)</f>
        <v>0</v>
      </c>
      <c r="O149" s="2" t="s">
        <v>242</v>
      </c>
      <c r="P149">
        <v>2019</v>
      </c>
      <c r="Q149">
        <v>42.25</v>
      </c>
      <c r="R149" t="s">
        <v>617</v>
      </c>
      <c r="AH149" s="2">
        <v>2019</v>
      </c>
      <c r="AI149" s="2">
        <f>(Q149)/(1+0.115)^(AH149-2016)</f>
        <v>30.479098056759113</v>
      </c>
      <c r="AJ149" s="2">
        <f t="shared" si="45"/>
        <v>0.10159699352253038</v>
      </c>
      <c r="AK149" s="12">
        <f t="shared" si="46"/>
        <v>5.0102669404517393</v>
      </c>
      <c r="AL149" s="2" t="s">
        <v>572</v>
      </c>
      <c r="AM149" s="2" t="str">
        <f>VLOOKUP(A149,'[12]Power plant names'!$C$2:$F$545,4,FALSE)</f>
        <v>Sub critical</v>
      </c>
      <c r="AN149" s="2">
        <v>300</v>
      </c>
      <c r="AO149" s="2">
        <f t="shared" si="48"/>
        <v>0.10159699352253038</v>
      </c>
      <c r="AP149" s="2"/>
      <c r="AQ149" s="2">
        <f t="shared" si="49"/>
        <v>300</v>
      </c>
      <c r="AR149" s="2">
        <f t="shared" si="50"/>
        <v>0</v>
      </c>
      <c r="AS149" s="2">
        <f t="shared" si="51"/>
        <v>30.479098056759113</v>
      </c>
      <c r="AU149" s="2">
        <f t="shared" si="52"/>
        <v>42.25</v>
      </c>
      <c r="AV149" s="2">
        <f t="shared" si="53"/>
        <v>0.14083333333333334</v>
      </c>
      <c r="AW149" s="12">
        <f t="shared" si="54"/>
        <v>8.0102669404517393</v>
      </c>
      <c r="AX149" s="2">
        <v>300</v>
      </c>
      <c r="AY149" s="3">
        <f t="shared" si="55"/>
        <v>0.14083333333333334</v>
      </c>
      <c r="AZ149" s="2">
        <f t="shared" si="56"/>
        <v>0</v>
      </c>
      <c r="BA149" s="2">
        <f t="shared" si="57"/>
        <v>42.25</v>
      </c>
      <c r="BC149">
        <f t="shared" si="58"/>
        <v>47.108750000000001</v>
      </c>
      <c r="BD149">
        <f t="shared" si="59"/>
        <v>0.15702916666666666</v>
      </c>
      <c r="BE149">
        <f t="shared" si="60"/>
        <v>0.15702916666666666</v>
      </c>
      <c r="BF149">
        <f t="shared" si="61"/>
        <v>0</v>
      </c>
      <c r="BG149">
        <f t="shared" si="62"/>
        <v>47.108750000000001</v>
      </c>
    </row>
    <row r="150" spans="1:59" ht="15" hidden="1" customHeight="1" x14ac:dyDescent="0.2">
      <c r="A150" s="2" t="s">
        <v>236</v>
      </c>
      <c r="B150" s="2" t="str">
        <f>VLOOKUP($A150,'[1]daily coal, energy reqd'!$C$2:$T$599,17,FALSE)</f>
        <v>Maharashtra</v>
      </c>
      <c r="C150" s="2" t="str">
        <f>VLOOKUP(B150,'Target PLF'!$I$2:$J$19,2,FALSE)</f>
        <v>WR</v>
      </c>
      <c r="D150" s="2" t="s">
        <v>572</v>
      </c>
      <c r="E150" s="2" t="s">
        <v>543</v>
      </c>
      <c r="F150" s="12">
        <v>8.5913757700205302</v>
      </c>
      <c r="G150" s="2">
        <v>300</v>
      </c>
      <c r="H150">
        <f>VLOOKUP(A150,'Coal savings'!$A$3:$AB$543,26,FALSE)</f>
        <v>0</v>
      </c>
      <c r="O150" s="2" t="s">
        <v>236</v>
      </c>
      <c r="P150">
        <v>2019</v>
      </c>
      <c r="Q150">
        <v>42.25</v>
      </c>
      <c r="R150" t="s">
        <v>617</v>
      </c>
      <c r="AH150" s="2">
        <v>2019</v>
      </c>
      <c r="AI150" s="2">
        <f>(Q150)/(1+0.115)^(AH150-2016)</f>
        <v>30.479098056759113</v>
      </c>
      <c r="AJ150" s="2">
        <f t="shared" si="45"/>
        <v>0.10159699352253038</v>
      </c>
      <c r="AK150" s="12">
        <f t="shared" si="46"/>
        <v>4.5913757700205302</v>
      </c>
      <c r="AL150" s="2" t="s">
        <v>572</v>
      </c>
      <c r="AM150" s="2" t="str">
        <f>VLOOKUP(A150,'[12]Power plant names'!$C$2:$F$545,4,FALSE)</f>
        <v>Sub critical</v>
      </c>
      <c r="AN150" s="2">
        <v>300</v>
      </c>
      <c r="AO150" s="2">
        <f t="shared" si="48"/>
        <v>0.10159699352253038</v>
      </c>
      <c r="AP150" s="2"/>
      <c r="AQ150" s="2">
        <f t="shared" si="49"/>
        <v>300</v>
      </c>
      <c r="AR150" s="2">
        <f t="shared" si="50"/>
        <v>0</v>
      </c>
      <c r="AS150" s="2">
        <f t="shared" si="51"/>
        <v>30.479098056759113</v>
      </c>
      <c r="AU150" s="2">
        <f t="shared" si="52"/>
        <v>42.25</v>
      </c>
      <c r="AV150" s="2">
        <f t="shared" si="53"/>
        <v>0.14083333333333334</v>
      </c>
      <c r="AW150" s="12">
        <f t="shared" si="54"/>
        <v>7.5913757700205302</v>
      </c>
      <c r="AX150" s="2">
        <v>300</v>
      </c>
      <c r="AY150" s="3">
        <f t="shared" si="55"/>
        <v>0.14083333333333334</v>
      </c>
      <c r="AZ150" s="2">
        <f t="shared" si="56"/>
        <v>0</v>
      </c>
      <c r="BA150" s="2">
        <f t="shared" si="57"/>
        <v>42.25</v>
      </c>
      <c r="BC150">
        <f t="shared" si="58"/>
        <v>47.108750000000001</v>
      </c>
      <c r="BD150">
        <f t="shared" si="59"/>
        <v>0.15702916666666666</v>
      </c>
      <c r="BE150">
        <f t="shared" si="60"/>
        <v>0.15702916666666666</v>
      </c>
      <c r="BF150">
        <f t="shared" si="61"/>
        <v>0</v>
      </c>
      <c r="BG150">
        <f t="shared" si="62"/>
        <v>47.108750000000001</v>
      </c>
    </row>
    <row r="151" spans="1:59" ht="15" hidden="1" customHeight="1" x14ac:dyDescent="0.2">
      <c r="A151" s="2" t="s">
        <v>419</v>
      </c>
      <c r="B151" s="2" t="str">
        <f>VLOOKUP($A151,'[1]daily coal, energy reqd'!$C$2:$T$599,17,FALSE)</f>
        <v>Bihar</v>
      </c>
      <c r="C151" s="2" t="str">
        <f>VLOOKUP(B151,'Target PLF'!$I$2:$J$19,2,FALSE)</f>
        <v>ER</v>
      </c>
      <c r="D151" s="2" t="s">
        <v>571</v>
      </c>
      <c r="E151" s="2" t="s">
        <v>547</v>
      </c>
      <c r="F151" s="12">
        <v>28.175222450376399</v>
      </c>
      <c r="G151" s="2">
        <v>210</v>
      </c>
      <c r="H151">
        <f>VLOOKUP(A151,'Coal savings'!$A$3:$AB$543,26,FALSE)</f>
        <v>0</v>
      </c>
      <c r="I151" t="s">
        <v>694</v>
      </c>
      <c r="J151">
        <v>150.9</v>
      </c>
      <c r="O151" s="2" t="s">
        <v>419</v>
      </c>
      <c r="Q151" s="96"/>
      <c r="R151" s="96"/>
      <c r="S151" s="96"/>
      <c r="T151" s="96">
        <v>22.99</v>
      </c>
      <c r="U151" s="96" t="s">
        <v>611</v>
      </c>
      <c r="V151" s="96"/>
      <c r="W151" s="96">
        <f>11.24+16.06+9.31</f>
        <v>36.61</v>
      </c>
      <c r="X151" s="96" t="s">
        <v>678</v>
      </c>
      <c r="Y151" s="96">
        <v>51</v>
      </c>
      <c r="Z151" s="96">
        <v>18.7</v>
      </c>
      <c r="AA151" s="96" t="s">
        <v>619</v>
      </c>
      <c r="AB151" s="96"/>
      <c r="AC151">
        <v>9.41</v>
      </c>
      <c r="AD151" t="s">
        <v>687</v>
      </c>
      <c r="AE151" s="96">
        <v>840</v>
      </c>
      <c r="AH151" s="2" t="str">
        <f t="shared" ref="AH151:AH178" si="63">RIGHT(I151,4)</f>
        <v>2019</v>
      </c>
      <c r="AI151" s="2">
        <f t="shared" ref="AI151:AI157" si="64">(J151)/(1+0.115)^(AH151-2016)</f>
        <v>108.85907447964379</v>
      </c>
      <c r="AJ151" s="2">
        <f t="shared" si="45"/>
        <v>0.51837654514116094</v>
      </c>
      <c r="AK151" s="12">
        <f t="shared" si="46"/>
        <v>24.175222450376399</v>
      </c>
      <c r="AL151" s="2" t="s">
        <v>571</v>
      </c>
      <c r="AM151" s="2" t="str">
        <f>VLOOKUP(A151,'[12]Power plant names'!$C$2:$F$545,4,FALSE)</f>
        <v>Sub critical</v>
      </c>
      <c r="AN151" s="2">
        <v>210</v>
      </c>
      <c r="AO151" s="2">
        <f t="shared" si="48"/>
        <v>0.51837654514116094</v>
      </c>
      <c r="AP151" s="2">
        <v>210</v>
      </c>
      <c r="AQ151" s="2">
        <f t="shared" si="49"/>
        <v>0</v>
      </c>
      <c r="AR151" s="2">
        <f t="shared" si="50"/>
        <v>108.85907447964379</v>
      </c>
      <c r="AS151" s="2">
        <f t="shared" si="51"/>
        <v>0</v>
      </c>
      <c r="AU151" s="2">
        <f t="shared" si="52"/>
        <v>150.9</v>
      </c>
      <c r="AV151" s="2">
        <f t="shared" si="53"/>
        <v>0.71857142857142864</v>
      </c>
      <c r="AW151" s="12">
        <f t="shared" si="54"/>
        <v>27.175222450376399</v>
      </c>
      <c r="AX151" s="2">
        <v>210</v>
      </c>
      <c r="AY151" s="3">
        <f t="shared" si="55"/>
        <v>0.71857142857142864</v>
      </c>
      <c r="AZ151" s="2">
        <f t="shared" si="56"/>
        <v>150.9</v>
      </c>
      <c r="BA151" s="2">
        <f t="shared" si="57"/>
        <v>0</v>
      </c>
      <c r="BC151">
        <f t="shared" si="58"/>
        <v>168.2535</v>
      </c>
      <c r="BD151">
        <f t="shared" si="59"/>
        <v>0.8012071428571429</v>
      </c>
      <c r="BE151">
        <f t="shared" si="60"/>
        <v>0.8012071428571429</v>
      </c>
      <c r="BF151">
        <f t="shared" si="61"/>
        <v>168.2535</v>
      </c>
      <c r="BG151">
        <f t="shared" si="62"/>
        <v>0</v>
      </c>
    </row>
    <row r="152" spans="1:59" ht="15" hidden="1" customHeight="1" x14ac:dyDescent="0.2">
      <c r="A152" s="2" t="s">
        <v>408</v>
      </c>
      <c r="B152" s="2" t="str">
        <f>VLOOKUP($A152,'[1]daily coal, energy reqd'!$C$2:$T$599,17,FALSE)</f>
        <v>Bihar</v>
      </c>
      <c r="C152" s="2" t="str">
        <f>VLOOKUP(B152,'Target PLF'!$I$2:$J$19,2,FALSE)</f>
        <v>ER</v>
      </c>
      <c r="D152" s="2" t="s">
        <v>571</v>
      </c>
      <c r="E152" s="2" t="s">
        <v>547</v>
      </c>
      <c r="F152" s="12">
        <v>26.176591375769998</v>
      </c>
      <c r="G152" s="2">
        <v>210</v>
      </c>
      <c r="H152">
        <f>VLOOKUP(A152,'Coal savings'!$A$3:$AB$543,26,FALSE)</f>
        <v>0</v>
      </c>
      <c r="I152" t="s">
        <v>694</v>
      </c>
      <c r="J152">
        <v>150.9</v>
      </c>
      <c r="O152" s="2" t="s">
        <v>408</v>
      </c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>
        <v>3.82</v>
      </c>
      <c r="AD152" t="s">
        <v>687</v>
      </c>
      <c r="AE152" s="96"/>
      <c r="AH152" s="2" t="str">
        <f t="shared" si="63"/>
        <v>2019</v>
      </c>
      <c r="AI152" s="2">
        <f t="shared" si="64"/>
        <v>108.85907447964379</v>
      </c>
      <c r="AJ152" s="2">
        <f t="shared" si="45"/>
        <v>0.51837654514116094</v>
      </c>
      <c r="AK152" s="12">
        <f t="shared" si="46"/>
        <v>22.176591375769998</v>
      </c>
      <c r="AL152" s="2" t="s">
        <v>571</v>
      </c>
      <c r="AM152" s="2" t="str">
        <f>VLOOKUP(A152,'[12]Power plant names'!$C$2:$F$545,4,FALSE)</f>
        <v>Sub critical</v>
      </c>
      <c r="AN152" s="2">
        <v>210</v>
      </c>
      <c r="AO152" s="2">
        <f t="shared" si="48"/>
        <v>0.51837654514116094</v>
      </c>
      <c r="AP152" s="2">
        <v>210</v>
      </c>
      <c r="AQ152" s="2">
        <f t="shared" si="49"/>
        <v>0</v>
      </c>
      <c r="AR152" s="2">
        <f t="shared" si="50"/>
        <v>108.85907447964379</v>
      </c>
      <c r="AS152" s="2">
        <f t="shared" si="51"/>
        <v>0</v>
      </c>
      <c r="AU152" s="2">
        <f t="shared" si="52"/>
        <v>150.9</v>
      </c>
      <c r="AV152" s="2">
        <f t="shared" si="53"/>
        <v>0.71857142857142864</v>
      </c>
      <c r="AW152" s="12">
        <f t="shared" si="54"/>
        <v>25.176591375769998</v>
      </c>
      <c r="AX152" s="2">
        <v>210</v>
      </c>
      <c r="AY152" s="3">
        <f t="shared" si="55"/>
        <v>0.71857142857142864</v>
      </c>
      <c r="AZ152" s="2">
        <f t="shared" si="56"/>
        <v>150.9</v>
      </c>
      <c r="BA152" s="2">
        <f t="shared" si="57"/>
        <v>0</v>
      </c>
      <c r="BC152">
        <f t="shared" si="58"/>
        <v>168.2535</v>
      </c>
      <c r="BD152">
        <f t="shared" si="59"/>
        <v>0.8012071428571429</v>
      </c>
      <c r="BE152">
        <f t="shared" si="60"/>
        <v>0.8012071428571429</v>
      </c>
      <c r="BF152">
        <f t="shared" si="61"/>
        <v>168.2535</v>
      </c>
      <c r="BG152">
        <f t="shared" si="62"/>
        <v>0</v>
      </c>
    </row>
    <row r="153" spans="1:59" ht="15" hidden="1" customHeight="1" x14ac:dyDescent="0.2">
      <c r="A153" s="2" t="s">
        <v>399</v>
      </c>
      <c r="B153" s="2" t="str">
        <f>VLOOKUP($A153,'[1]daily coal, energy reqd'!$C$2:$T$599,17,FALSE)</f>
        <v>Bihar</v>
      </c>
      <c r="C153" s="2" t="str">
        <f>VLOOKUP(B153,'Target PLF'!$I$2:$J$19,2,FALSE)</f>
        <v>ER</v>
      </c>
      <c r="D153" s="2" t="s">
        <v>571</v>
      </c>
      <c r="E153" s="2" t="s">
        <v>547</v>
      </c>
      <c r="F153" s="12">
        <v>25.177275838466802</v>
      </c>
      <c r="G153" s="2">
        <v>210</v>
      </c>
      <c r="H153">
        <f>VLOOKUP(A153,'Coal savings'!$A$3:$AB$543,26,FALSE)</f>
        <v>0</v>
      </c>
      <c r="I153" t="s">
        <v>694</v>
      </c>
      <c r="J153">
        <v>150.9</v>
      </c>
      <c r="O153" s="2" t="s">
        <v>399</v>
      </c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E153" s="96"/>
      <c r="AH153" s="2" t="str">
        <f t="shared" si="63"/>
        <v>2019</v>
      </c>
      <c r="AI153" s="2">
        <f t="shared" si="64"/>
        <v>108.85907447964379</v>
      </c>
      <c r="AJ153" s="2">
        <f t="shared" si="45"/>
        <v>0.51837654514116094</v>
      </c>
      <c r="AK153" s="12">
        <f t="shared" si="46"/>
        <v>21.177275838466802</v>
      </c>
      <c r="AL153" s="2" t="s">
        <v>571</v>
      </c>
      <c r="AM153" s="2" t="str">
        <f>VLOOKUP(A153,'[12]Power plant names'!$C$2:$F$545,4,FALSE)</f>
        <v>Sub critical</v>
      </c>
      <c r="AN153" s="2">
        <v>210</v>
      </c>
      <c r="AO153" s="2">
        <f t="shared" si="48"/>
        <v>0.51837654514116094</v>
      </c>
      <c r="AP153" s="2">
        <v>210</v>
      </c>
      <c r="AQ153" s="2">
        <f t="shared" si="49"/>
        <v>0</v>
      </c>
      <c r="AR153" s="2">
        <f t="shared" si="50"/>
        <v>108.85907447964379</v>
      </c>
      <c r="AS153" s="2">
        <f t="shared" si="51"/>
        <v>0</v>
      </c>
      <c r="AU153" s="2">
        <f t="shared" si="52"/>
        <v>150.9</v>
      </c>
      <c r="AV153" s="2">
        <f t="shared" si="53"/>
        <v>0.71857142857142864</v>
      </c>
      <c r="AW153" s="12">
        <f t="shared" si="54"/>
        <v>24.177275838466802</v>
      </c>
      <c r="AX153" s="2">
        <v>210</v>
      </c>
      <c r="AY153" s="3">
        <f t="shared" si="55"/>
        <v>0.71857142857142864</v>
      </c>
      <c r="AZ153" s="2">
        <f t="shared" si="56"/>
        <v>150.9</v>
      </c>
      <c r="BA153" s="2">
        <f t="shared" si="57"/>
        <v>0</v>
      </c>
      <c r="BC153">
        <f t="shared" si="58"/>
        <v>168.2535</v>
      </c>
      <c r="BD153">
        <f t="shared" si="59"/>
        <v>0.8012071428571429</v>
      </c>
      <c r="BE153">
        <f t="shared" si="60"/>
        <v>0.8012071428571429</v>
      </c>
      <c r="BF153">
        <f t="shared" si="61"/>
        <v>168.2535</v>
      </c>
      <c r="BG153">
        <f t="shared" si="62"/>
        <v>0</v>
      </c>
    </row>
    <row r="154" spans="1:59" ht="15" hidden="1" customHeight="1" x14ac:dyDescent="0.2">
      <c r="A154" s="2" t="s">
        <v>394</v>
      </c>
      <c r="B154" s="2" t="str">
        <f>VLOOKUP($A154,'[1]daily coal, energy reqd'!$C$2:$T$599,17,FALSE)</f>
        <v>Bihar</v>
      </c>
      <c r="C154" s="2" t="str">
        <f>VLOOKUP(B154,'Target PLF'!$I$2:$J$19,2,FALSE)</f>
        <v>ER</v>
      </c>
      <c r="D154" s="2" t="s">
        <v>571</v>
      </c>
      <c r="E154" s="2" t="s">
        <v>546</v>
      </c>
      <c r="F154" s="12">
        <v>24.175222450376399</v>
      </c>
      <c r="G154" s="2">
        <v>210</v>
      </c>
      <c r="H154">
        <f>VLOOKUP(A154,'Coal savings'!$A$3:$AB$543,26,FALSE)</f>
        <v>0</v>
      </c>
      <c r="I154" t="s">
        <v>694</v>
      </c>
      <c r="J154">
        <v>150.9</v>
      </c>
      <c r="O154" s="2" t="s">
        <v>394</v>
      </c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E154" s="96"/>
      <c r="AH154" s="2" t="str">
        <f t="shared" si="63"/>
        <v>2019</v>
      </c>
      <c r="AI154" s="2">
        <f t="shared" si="64"/>
        <v>108.85907447964379</v>
      </c>
      <c r="AJ154" s="2">
        <f t="shared" si="45"/>
        <v>0.51837654514116094</v>
      </c>
      <c r="AK154" s="12">
        <f t="shared" si="46"/>
        <v>20.175222450376399</v>
      </c>
      <c r="AL154" s="2" t="s">
        <v>571</v>
      </c>
      <c r="AM154" s="2" t="str">
        <f>VLOOKUP(A154,'[12]Power plant names'!$C$2:$F$545,4,FALSE)</f>
        <v>Sub critical</v>
      </c>
      <c r="AN154" s="2">
        <v>210</v>
      </c>
      <c r="AO154" s="2">
        <f t="shared" si="48"/>
        <v>0.51837654514116094</v>
      </c>
      <c r="AP154" s="2">
        <v>210</v>
      </c>
      <c r="AQ154" s="2">
        <f t="shared" si="49"/>
        <v>0</v>
      </c>
      <c r="AR154" s="2">
        <f t="shared" si="50"/>
        <v>108.85907447964379</v>
      </c>
      <c r="AS154" s="2">
        <f t="shared" si="51"/>
        <v>0</v>
      </c>
      <c r="AU154" s="2">
        <f t="shared" si="52"/>
        <v>150.9</v>
      </c>
      <c r="AV154" s="2">
        <f t="shared" si="53"/>
        <v>0.71857142857142864</v>
      </c>
      <c r="AW154" s="12">
        <f t="shared" si="54"/>
        <v>23.175222450376399</v>
      </c>
      <c r="AX154" s="2">
        <v>210</v>
      </c>
      <c r="AY154" s="3">
        <f t="shared" si="55"/>
        <v>0.71857142857142864</v>
      </c>
      <c r="AZ154" s="2">
        <f t="shared" si="56"/>
        <v>150.9</v>
      </c>
      <c r="BA154" s="2">
        <f t="shared" si="57"/>
        <v>0</v>
      </c>
      <c r="BC154">
        <f t="shared" si="58"/>
        <v>168.2535</v>
      </c>
      <c r="BD154">
        <f t="shared" si="59"/>
        <v>0.8012071428571429</v>
      </c>
      <c r="BE154">
        <f t="shared" si="60"/>
        <v>0.8012071428571429</v>
      </c>
      <c r="BF154">
        <f t="shared" si="61"/>
        <v>168.2535</v>
      </c>
      <c r="BG154">
        <f t="shared" si="62"/>
        <v>0</v>
      </c>
    </row>
    <row r="155" spans="1:59" ht="15" customHeight="1" x14ac:dyDescent="0.2">
      <c r="A155" s="2" t="s">
        <v>191</v>
      </c>
      <c r="B155" s="2" t="str">
        <f>VLOOKUP($A155,'[1]daily coal, energy reqd'!$C$2:$T$599,17,FALSE)</f>
        <v>Bihar</v>
      </c>
      <c r="C155" s="2" t="str">
        <f>VLOOKUP(B155,'Target PLF'!$I$2:$J$19,2,FALSE)</f>
        <v>ER</v>
      </c>
      <c r="D155" s="2" t="s">
        <v>571</v>
      </c>
      <c r="E155" s="2" t="s">
        <v>544</v>
      </c>
      <c r="F155" s="12">
        <v>13.1772758384668</v>
      </c>
      <c r="G155" s="2">
        <v>500</v>
      </c>
      <c r="H155">
        <f>VLOOKUP(A155,'Coal savings'!$A$3:$AB$543,26,FALSE)</f>
        <v>2597418.3089865795</v>
      </c>
      <c r="I155" t="s">
        <v>694</v>
      </c>
      <c r="J155">
        <f>1149.44/3</f>
        <v>383.1466666666667</v>
      </c>
      <c r="O155" s="2" t="s">
        <v>191</v>
      </c>
      <c r="Q155" s="96"/>
      <c r="R155" s="96"/>
      <c r="S155" s="96"/>
      <c r="T155" s="96"/>
      <c r="U155" s="96"/>
      <c r="V155" s="96"/>
      <c r="W155" s="96">
        <f>36.99+30.63+52.96</f>
        <v>120.58000000000001</v>
      </c>
      <c r="X155" s="96" t="s">
        <v>678</v>
      </c>
      <c r="Y155" s="96">
        <v>157</v>
      </c>
      <c r="Z155" s="96">
        <v>55.2</v>
      </c>
      <c r="AA155" s="96" t="s">
        <v>619</v>
      </c>
      <c r="AB155" s="96"/>
      <c r="AC155" s="96">
        <v>17.59</v>
      </c>
      <c r="AD155" s="96" t="s">
        <v>684</v>
      </c>
      <c r="AE155" s="96"/>
      <c r="AH155" s="2" t="str">
        <f t="shared" si="63"/>
        <v>2019</v>
      </c>
      <c r="AI155" s="2">
        <f t="shared" si="64"/>
        <v>276.40153428292859</v>
      </c>
      <c r="AJ155" s="2">
        <f t="shared" si="45"/>
        <v>0.55280306856585715</v>
      </c>
      <c r="AK155" s="12">
        <f t="shared" si="46"/>
        <v>9.1772758384667998</v>
      </c>
      <c r="AL155" s="2" t="s">
        <v>571</v>
      </c>
      <c r="AM155" s="2" t="str">
        <f>VLOOKUP(A155,'[12]Power plant names'!$C$2:$F$545,4,FALSE)</f>
        <v>Sub critical</v>
      </c>
      <c r="AN155" s="2">
        <v>500</v>
      </c>
      <c r="AO155" s="2">
        <f t="shared" si="48"/>
        <v>0.55280306856585715</v>
      </c>
      <c r="AP155" s="2">
        <v>500</v>
      </c>
      <c r="AQ155" s="2">
        <f t="shared" si="49"/>
        <v>0</v>
      </c>
      <c r="AR155" s="2">
        <f t="shared" si="50"/>
        <v>276.40153428292859</v>
      </c>
      <c r="AS155" s="2">
        <f t="shared" si="51"/>
        <v>0</v>
      </c>
      <c r="AU155" s="2">
        <f t="shared" si="52"/>
        <v>383.1466666666667</v>
      </c>
      <c r="AV155" s="2">
        <f t="shared" si="53"/>
        <v>0.76629333333333338</v>
      </c>
      <c r="AW155" s="12">
        <f t="shared" si="54"/>
        <v>12.1772758384668</v>
      </c>
      <c r="AX155" s="2">
        <v>500</v>
      </c>
      <c r="AY155" s="3">
        <f t="shared" si="55"/>
        <v>0.76629333333333338</v>
      </c>
      <c r="AZ155" s="2">
        <f t="shared" si="56"/>
        <v>383.1466666666667</v>
      </c>
      <c r="BA155" s="2">
        <f t="shared" si="57"/>
        <v>0</v>
      </c>
      <c r="BC155">
        <f t="shared" si="58"/>
        <v>427.20853333333338</v>
      </c>
      <c r="BD155">
        <f t="shared" si="59"/>
        <v>0.85441706666666672</v>
      </c>
      <c r="BE155">
        <f t="shared" si="60"/>
        <v>0.85441706666666672</v>
      </c>
      <c r="BF155">
        <f t="shared" si="61"/>
        <v>427.20853333333338</v>
      </c>
      <c r="BG155">
        <f t="shared" si="62"/>
        <v>0</v>
      </c>
    </row>
    <row r="156" spans="1:59" ht="15" customHeight="1" x14ac:dyDescent="0.2">
      <c r="A156" s="2" t="s">
        <v>182</v>
      </c>
      <c r="B156" s="2" t="str">
        <f>VLOOKUP($A156,'[1]daily coal, energy reqd'!$C$2:$T$599,17,FALSE)</f>
        <v>Bihar</v>
      </c>
      <c r="C156" s="2" t="str">
        <f>VLOOKUP(B156,'Target PLF'!$I$2:$J$19,2,FALSE)</f>
        <v>ER</v>
      </c>
      <c r="D156" s="2" t="s">
        <v>571</v>
      </c>
      <c r="E156" s="2" t="s">
        <v>544</v>
      </c>
      <c r="F156" s="12">
        <v>12.175222450376401</v>
      </c>
      <c r="G156" s="2">
        <v>500</v>
      </c>
      <c r="H156">
        <f>VLOOKUP(A156,'Coal savings'!$A$3:$AB$543,26,FALSE)</f>
        <v>2590293.5352670765</v>
      </c>
      <c r="I156" t="s">
        <v>694</v>
      </c>
      <c r="J156">
        <f>1149.44/3</f>
        <v>383.1466666666667</v>
      </c>
      <c r="O156" s="2" t="s">
        <v>182</v>
      </c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H156" s="2" t="str">
        <f t="shared" si="63"/>
        <v>2019</v>
      </c>
      <c r="AI156" s="2">
        <f t="shared" si="64"/>
        <v>276.40153428292859</v>
      </c>
      <c r="AJ156" s="2">
        <f t="shared" si="45"/>
        <v>0.55280306856585715</v>
      </c>
      <c r="AK156" s="12">
        <f t="shared" si="46"/>
        <v>8.1752224503764008</v>
      </c>
      <c r="AL156" s="2" t="s">
        <v>571</v>
      </c>
      <c r="AM156" s="2" t="str">
        <f>VLOOKUP(A156,'[12]Power plant names'!$C$2:$F$545,4,FALSE)</f>
        <v>Sub critical</v>
      </c>
      <c r="AN156" s="2">
        <v>500</v>
      </c>
      <c r="AO156" s="2">
        <f t="shared" si="48"/>
        <v>0.55280306856585715</v>
      </c>
      <c r="AP156" s="2">
        <v>500</v>
      </c>
      <c r="AQ156" s="2">
        <f t="shared" si="49"/>
        <v>0</v>
      </c>
      <c r="AR156" s="2">
        <f t="shared" si="50"/>
        <v>276.40153428292859</v>
      </c>
      <c r="AS156" s="2">
        <f t="shared" si="51"/>
        <v>0</v>
      </c>
      <c r="AU156" s="2">
        <f t="shared" si="52"/>
        <v>383.1466666666667</v>
      </c>
      <c r="AV156" s="2">
        <f t="shared" si="53"/>
        <v>0.76629333333333338</v>
      </c>
      <c r="AW156" s="12">
        <f t="shared" si="54"/>
        <v>11.175222450376401</v>
      </c>
      <c r="AX156" s="2">
        <v>500</v>
      </c>
      <c r="AY156" s="3">
        <f t="shared" si="55"/>
        <v>0.76629333333333338</v>
      </c>
      <c r="AZ156" s="2">
        <f t="shared" si="56"/>
        <v>383.1466666666667</v>
      </c>
      <c r="BA156" s="2">
        <f t="shared" si="57"/>
        <v>0</v>
      </c>
      <c r="BC156">
        <f t="shared" si="58"/>
        <v>427.20853333333338</v>
      </c>
      <c r="BD156">
        <f t="shared" si="59"/>
        <v>0.85441706666666672</v>
      </c>
      <c r="BE156">
        <f t="shared" si="60"/>
        <v>0.85441706666666672</v>
      </c>
      <c r="BF156">
        <f t="shared" si="61"/>
        <v>427.20853333333338</v>
      </c>
      <c r="BG156">
        <f t="shared" si="62"/>
        <v>0</v>
      </c>
    </row>
    <row r="157" spans="1:59" ht="15" customHeight="1" x14ac:dyDescent="0.2">
      <c r="A157" s="2" t="s">
        <v>175</v>
      </c>
      <c r="B157" s="2" t="str">
        <f>VLOOKUP($A157,'[1]daily coal, energy reqd'!$C$2:$T$599,17,FALSE)</f>
        <v>Bihar</v>
      </c>
      <c r="C157" s="2" t="str">
        <f>VLOOKUP(B157,'Target PLF'!$I$2:$J$19,2,FALSE)</f>
        <v>ER</v>
      </c>
      <c r="D157" s="2" t="s">
        <v>571</v>
      </c>
      <c r="E157" s="2" t="s">
        <v>544</v>
      </c>
      <c r="F157" s="12">
        <v>10.841889117043101</v>
      </c>
      <c r="G157" s="2">
        <v>500</v>
      </c>
      <c r="H157">
        <f>VLOOKUP(A157,'Coal savings'!$A$3:$AB$543,26,FALSE)</f>
        <v>2580813.3035692675</v>
      </c>
      <c r="I157" t="s">
        <v>694</v>
      </c>
      <c r="J157">
        <f>1149.44/3</f>
        <v>383.1466666666667</v>
      </c>
      <c r="O157" s="2" t="s">
        <v>175</v>
      </c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H157" s="2" t="str">
        <f t="shared" si="63"/>
        <v>2019</v>
      </c>
      <c r="AI157" s="2">
        <f t="shared" si="64"/>
        <v>276.40153428292859</v>
      </c>
      <c r="AJ157" s="2">
        <f t="shared" si="45"/>
        <v>0.55280306856585715</v>
      </c>
      <c r="AK157" s="12">
        <f t="shared" si="46"/>
        <v>6.8418891170431007</v>
      </c>
      <c r="AL157" s="2" t="s">
        <v>571</v>
      </c>
      <c r="AM157" s="2" t="str">
        <f>VLOOKUP(A157,'[12]Power plant names'!$C$2:$F$545,4,FALSE)</f>
        <v>Sub critical</v>
      </c>
      <c r="AN157" s="2">
        <v>500</v>
      </c>
      <c r="AO157" s="2">
        <f t="shared" si="48"/>
        <v>0.55280306856585715</v>
      </c>
      <c r="AP157" s="2">
        <v>500</v>
      </c>
      <c r="AQ157" s="2">
        <f t="shared" si="49"/>
        <v>0</v>
      </c>
      <c r="AR157" s="2">
        <f t="shared" si="50"/>
        <v>276.40153428292859</v>
      </c>
      <c r="AS157" s="2">
        <f t="shared" si="51"/>
        <v>0</v>
      </c>
      <c r="AU157" s="2">
        <f t="shared" si="52"/>
        <v>383.1466666666667</v>
      </c>
      <c r="AV157" s="2">
        <f t="shared" si="53"/>
        <v>0.76629333333333338</v>
      </c>
      <c r="AW157" s="12">
        <f t="shared" si="54"/>
        <v>9.8418891170431007</v>
      </c>
      <c r="AX157" s="2">
        <v>500</v>
      </c>
      <c r="AY157" s="3">
        <f t="shared" si="55"/>
        <v>0.76629333333333338</v>
      </c>
      <c r="AZ157" s="2">
        <f t="shared" si="56"/>
        <v>383.1466666666667</v>
      </c>
      <c r="BA157" s="2">
        <f t="shared" si="57"/>
        <v>0</v>
      </c>
      <c r="BC157">
        <f t="shared" si="58"/>
        <v>427.20853333333338</v>
      </c>
      <c r="BD157">
        <f t="shared" si="59"/>
        <v>0.85441706666666672</v>
      </c>
      <c r="BE157">
        <f t="shared" si="60"/>
        <v>0.85441706666666672</v>
      </c>
      <c r="BF157">
        <f t="shared" si="61"/>
        <v>427.20853333333338</v>
      </c>
      <c r="BG157">
        <f t="shared" si="62"/>
        <v>0</v>
      </c>
    </row>
    <row r="158" spans="1:59" ht="15" customHeight="1" x14ac:dyDescent="0.2">
      <c r="A158" s="2" t="s">
        <v>169</v>
      </c>
      <c r="B158" s="2" t="s">
        <v>610</v>
      </c>
      <c r="C158" s="2" t="str">
        <f>VLOOKUP(B158,'Target PLF'!$I$2:$J$19,2,FALSE)</f>
        <v>SR</v>
      </c>
      <c r="D158" s="2" t="s">
        <v>570</v>
      </c>
      <c r="E158" s="2" t="s">
        <v>543</v>
      </c>
      <c r="F158" s="12">
        <v>10.009582477754901</v>
      </c>
      <c r="G158" s="2">
        <v>500</v>
      </c>
      <c r="H158">
        <f>VLOOKUP(A158,'Coal savings'!$A$3:$AB$543,26,FALSE)</f>
        <v>2389142.6660223859</v>
      </c>
      <c r="O158" s="2" t="s">
        <v>169</v>
      </c>
      <c r="AH158" s="2" t="str">
        <f t="shared" si="63"/>
        <v/>
      </c>
      <c r="AI158" s="2"/>
      <c r="AJ158" s="2" t="str">
        <f t="shared" si="45"/>
        <v/>
      </c>
      <c r="AK158" s="12">
        <f t="shared" si="46"/>
        <v>6.0095824777549005</v>
      </c>
      <c r="AL158" s="2" t="s">
        <v>570</v>
      </c>
      <c r="AM158" s="2" t="str">
        <f>VLOOKUP(A158,'[12]Power plant names'!$C$2:$F$545,4,FALSE)</f>
        <v>Sub critical</v>
      </c>
      <c r="AN158" s="2">
        <v>500</v>
      </c>
      <c r="AO158" s="2">
        <f t="shared" si="48"/>
        <v>0.77228962902121934</v>
      </c>
      <c r="AP158" s="2">
        <v>500</v>
      </c>
      <c r="AQ158" s="2">
        <f t="shared" si="49"/>
        <v>0</v>
      </c>
      <c r="AR158" s="2">
        <f t="shared" si="50"/>
        <v>386.14481451060965</v>
      </c>
      <c r="AS158" s="2">
        <f t="shared" si="51"/>
        <v>0</v>
      </c>
      <c r="AU158" s="2"/>
      <c r="AV158" s="2" t="str">
        <f t="shared" si="53"/>
        <v/>
      </c>
      <c r="AW158" s="12">
        <f t="shared" si="54"/>
        <v>10.009582477754901</v>
      </c>
      <c r="AX158" s="2">
        <v>500</v>
      </c>
      <c r="AY158" s="3">
        <f t="shared" si="55"/>
        <v>0.95760624763860491</v>
      </c>
      <c r="AZ158" s="2">
        <f t="shared" si="56"/>
        <v>478.80312381930247</v>
      </c>
      <c r="BA158" s="2">
        <f t="shared" si="57"/>
        <v>0</v>
      </c>
      <c r="BC158" t="str">
        <f t="shared" si="58"/>
        <v/>
      </c>
      <c r="BE158">
        <f t="shared" si="60"/>
        <v>1.0683317515400423</v>
      </c>
      <c r="BF158">
        <f t="shared" si="61"/>
        <v>534.16587577002122</v>
      </c>
      <c r="BG158">
        <f t="shared" si="62"/>
        <v>0</v>
      </c>
    </row>
    <row r="159" spans="1:59" ht="15" customHeight="1" x14ac:dyDescent="0.2">
      <c r="A159" s="2" t="s">
        <v>78</v>
      </c>
      <c r="B159" s="2" t="s">
        <v>610</v>
      </c>
      <c r="C159" s="2" t="str">
        <f>VLOOKUP(B159,'Target PLF'!$I$2:$J$19,2,FALSE)</f>
        <v>SR</v>
      </c>
      <c r="D159" s="2" t="s">
        <v>570</v>
      </c>
      <c r="E159" s="2" t="s">
        <v>542</v>
      </c>
      <c r="F159" s="12">
        <v>4.4243668720054696</v>
      </c>
      <c r="G159" s="2">
        <v>600</v>
      </c>
      <c r="H159">
        <f>VLOOKUP(A159,'Coal savings'!$A$3:$AB$543,26,FALSE)</f>
        <v>2725992.384471627</v>
      </c>
      <c r="O159" s="2" t="s">
        <v>78</v>
      </c>
      <c r="AH159" s="2" t="str">
        <f t="shared" si="63"/>
        <v/>
      </c>
      <c r="AI159" s="2"/>
      <c r="AJ159" s="2" t="str">
        <f t="shared" si="45"/>
        <v/>
      </c>
      <c r="AK159" s="12">
        <f t="shared" si="46"/>
        <v>0.42436687200546963</v>
      </c>
      <c r="AL159" s="2" t="s">
        <v>570</v>
      </c>
      <c r="AM159" s="2" t="str">
        <f>VLOOKUP(A159,'[12]Power plant names'!$C$2:$F$545,4,FALSE)</f>
        <v>Sub critical</v>
      </c>
      <c r="AN159" s="2">
        <v>600</v>
      </c>
      <c r="AO159" s="2">
        <f t="shared" si="48"/>
        <v>0.80448614236824112</v>
      </c>
      <c r="AP159" s="2">
        <v>600</v>
      </c>
      <c r="AQ159" s="2">
        <f t="shared" si="49"/>
        <v>0</v>
      </c>
      <c r="AR159" s="2">
        <f t="shared" si="50"/>
        <v>482.69168542094468</v>
      </c>
      <c r="AS159" s="2">
        <f t="shared" si="51"/>
        <v>0</v>
      </c>
      <c r="AU159" s="2"/>
      <c r="AV159" s="2" t="str">
        <f t="shared" si="53"/>
        <v/>
      </c>
      <c r="AW159" s="12">
        <f t="shared" si="54"/>
        <v>4.4243668720054696</v>
      </c>
      <c r="AX159" s="2">
        <v>600</v>
      </c>
      <c r="AY159" s="3">
        <f t="shared" si="55"/>
        <v>1.0030390525667352</v>
      </c>
      <c r="AZ159" s="2">
        <f t="shared" si="56"/>
        <v>601.82343154004116</v>
      </c>
      <c r="BA159" s="2">
        <f t="shared" si="57"/>
        <v>0</v>
      </c>
      <c r="BC159" t="str">
        <f t="shared" si="58"/>
        <v/>
      </c>
      <c r="BE159">
        <f t="shared" si="60"/>
        <v>1.1183251396303904</v>
      </c>
      <c r="BF159">
        <f t="shared" si="61"/>
        <v>670.99508377823418</v>
      </c>
      <c r="BG159">
        <f t="shared" si="62"/>
        <v>0</v>
      </c>
    </row>
    <row r="160" spans="1:59" ht="15" customHeight="1" x14ac:dyDescent="0.2">
      <c r="A160" s="2" t="s">
        <v>101</v>
      </c>
      <c r="B160" s="2" t="str">
        <f>VLOOKUP($A160,'[1]daily coal, energy reqd'!$C$2:$T$599,17,FALSE)</f>
        <v>Rajasthan</v>
      </c>
      <c r="C160" s="2" t="str">
        <f>VLOOKUP(B160,'Target PLF'!$I$2:$J$19,2,FALSE)</f>
        <v>NR</v>
      </c>
      <c r="D160" s="2" t="s">
        <v>570</v>
      </c>
      <c r="E160" s="2" t="s">
        <v>543</v>
      </c>
      <c r="F160" s="12">
        <v>6.00958247775496</v>
      </c>
      <c r="G160" s="2">
        <v>600</v>
      </c>
      <c r="H160">
        <f>VLOOKUP(A160,'Coal savings'!$A$3:$AB$543,26,FALSE)</f>
        <v>2477239.1861947747</v>
      </c>
      <c r="O160" s="2" t="s">
        <v>101</v>
      </c>
      <c r="AH160" s="2" t="str">
        <f t="shared" si="63"/>
        <v/>
      </c>
      <c r="AI160" s="2"/>
      <c r="AJ160" s="2" t="str">
        <f t="shared" si="45"/>
        <v/>
      </c>
      <c r="AK160" s="12">
        <f t="shared" si="46"/>
        <v>2.00958247775496</v>
      </c>
      <c r="AL160" s="2" t="s">
        <v>570</v>
      </c>
      <c r="AM160" s="2" t="str">
        <f>VLOOKUP(A160,'[12]Power plant names'!$C$2:$F$545,4,FALSE)</f>
        <v>Sub critical</v>
      </c>
      <c r="AN160" s="2">
        <v>600</v>
      </c>
      <c r="AO160" s="2">
        <f t="shared" si="48"/>
        <v>0.78252202902121848</v>
      </c>
      <c r="AP160" s="2">
        <v>600</v>
      </c>
      <c r="AQ160" s="2">
        <f t="shared" si="49"/>
        <v>0</v>
      </c>
      <c r="AR160" s="2">
        <f t="shared" si="50"/>
        <v>469.51321741273108</v>
      </c>
      <c r="AS160" s="2">
        <f t="shared" si="51"/>
        <v>0</v>
      </c>
      <c r="AU160" s="2"/>
      <c r="AV160" s="2" t="str">
        <f t="shared" si="53"/>
        <v/>
      </c>
      <c r="AW160" s="12">
        <f t="shared" si="54"/>
        <v>6.00958247775496</v>
      </c>
      <c r="AX160" s="2">
        <v>600</v>
      </c>
      <c r="AY160" s="3">
        <f t="shared" si="55"/>
        <v>0.97429544763860387</v>
      </c>
      <c r="AZ160" s="2">
        <f t="shared" si="56"/>
        <v>584.57726858316232</v>
      </c>
      <c r="BA160" s="2">
        <f t="shared" si="57"/>
        <v>0</v>
      </c>
      <c r="BC160" t="str">
        <f t="shared" si="58"/>
        <v/>
      </c>
      <c r="BE160">
        <f t="shared" si="60"/>
        <v>1.0842057515400412</v>
      </c>
      <c r="BF160">
        <f t="shared" si="61"/>
        <v>650.5234509240247</v>
      </c>
      <c r="BG160">
        <f t="shared" si="62"/>
        <v>0</v>
      </c>
    </row>
    <row r="161" spans="1:59" ht="15" customHeight="1" x14ac:dyDescent="0.2">
      <c r="A161" s="2" t="s">
        <v>81</v>
      </c>
      <c r="B161" s="2" t="str">
        <f>VLOOKUP($A161,'[1]daily coal, energy reqd'!$C$2:$T$599,17,FALSE)</f>
        <v>Rajasthan</v>
      </c>
      <c r="C161" s="2" t="str">
        <f>VLOOKUP(B161,'Target PLF'!$I$2:$J$19,2,FALSE)</f>
        <v>NR</v>
      </c>
      <c r="D161" s="2" t="s">
        <v>570</v>
      </c>
      <c r="E161" s="2" t="s">
        <v>542</v>
      </c>
      <c r="F161" s="12">
        <v>4.9253935660506496</v>
      </c>
      <c r="G161" s="2">
        <v>600</v>
      </c>
      <c r="H161">
        <f>VLOOKUP(A161,'Coal savings'!$A$3:$AB$543,26,FALSE)</f>
        <v>2469428.5299037509</v>
      </c>
      <c r="O161" s="2" t="s">
        <v>81</v>
      </c>
      <c r="AH161" s="2" t="str">
        <f t="shared" si="63"/>
        <v/>
      </c>
      <c r="AI161" s="2"/>
      <c r="AJ161" s="2" t="str">
        <f t="shared" si="45"/>
        <v/>
      </c>
      <c r="AK161" s="12">
        <f t="shared" si="46"/>
        <v>0.9253935660506496</v>
      </c>
      <c r="AL161" s="2" t="s">
        <v>570</v>
      </c>
      <c r="AM161" s="2" t="str">
        <f>VLOOKUP(A161,'[12]Power plant names'!$C$2:$F$545,4,FALSE)</f>
        <v>Sub critical</v>
      </c>
      <c r="AN161" s="2">
        <v>600</v>
      </c>
      <c r="AO161" s="2">
        <f t="shared" si="48"/>
        <v>0.79754411690622873</v>
      </c>
      <c r="AP161" s="2">
        <v>600</v>
      </c>
      <c r="AQ161" s="2">
        <f t="shared" si="49"/>
        <v>0</v>
      </c>
      <c r="AR161" s="2">
        <f t="shared" si="50"/>
        <v>478.52647014373724</v>
      </c>
      <c r="AS161" s="2">
        <f t="shared" si="51"/>
        <v>0</v>
      </c>
      <c r="AU161" s="2"/>
      <c r="AV161" s="2" t="str">
        <f t="shared" si="53"/>
        <v/>
      </c>
      <c r="AW161" s="12">
        <f t="shared" si="54"/>
        <v>4.9253935660506496</v>
      </c>
      <c r="AX161" s="2">
        <v>600</v>
      </c>
      <c r="AY161" s="3">
        <f t="shared" si="55"/>
        <v>0.99395428624229987</v>
      </c>
      <c r="AZ161" s="2">
        <f t="shared" si="56"/>
        <v>596.3725717453799</v>
      </c>
      <c r="BA161" s="2">
        <f t="shared" si="57"/>
        <v>0</v>
      </c>
      <c r="BC161" t="str">
        <f t="shared" si="58"/>
        <v/>
      </c>
      <c r="BE161">
        <f t="shared" si="60"/>
        <v>1.1075412915811089</v>
      </c>
      <c r="BF161">
        <f t="shared" si="61"/>
        <v>664.52477494866537</v>
      </c>
      <c r="BG161">
        <f t="shared" si="62"/>
        <v>0</v>
      </c>
    </row>
    <row r="162" spans="1:59" ht="15" customHeight="1" x14ac:dyDescent="0.2">
      <c r="A162" s="2" t="s">
        <v>196</v>
      </c>
      <c r="B162" s="2" t="str">
        <f>VLOOKUP($A162,'[1]daily coal, energy reqd'!$C$2:$T$599,17,FALSE)</f>
        <v>Odisha</v>
      </c>
      <c r="C162" s="2" t="str">
        <f>VLOOKUP(B162,'Target PLF'!$I$2:$J$19,2,FALSE)</f>
        <v>ER</v>
      </c>
      <c r="D162" s="2" t="s">
        <v>572</v>
      </c>
      <c r="E162" s="2" t="s">
        <v>543</v>
      </c>
      <c r="F162" s="12">
        <v>7.1759069130732298</v>
      </c>
      <c r="G162" s="2">
        <v>350</v>
      </c>
      <c r="H162">
        <f>VLOOKUP(A162,'Coal savings'!$A$3:$AB$543,26,FALSE)</f>
        <v>2006073.8367510673</v>
      </c>
      <c r="I162" t="s">
        <v>694</v>
      </c>
      <c r="J162">
        <f>1258.94/3</f>
        <v>419.6466666666667</v>
      </c>
      <c r="O162" s="2" t="s">
        <v>196</v>
      </c>
      <c r="AH162" s="2" t="str">
        <f t="shared" si="63"/>
        <v>2019</v>
      </c>
      <c r="AI162" s="2">
        <f>(J162)/(1+0.115)^(AH162-2016)</f>
        <v>302.73258940888616</v>
      </c>
      <c r="AJ162" s="2">
        <f t="shared" si="45"/>
        <v>0.86495025545396043</v>
      </c>
      <c r="AK162" s="12">
        <f t="shared" si="46"/>
        <v>3.1759069130732298</v>
      </c>
      <c r="AL162" s="2" t="s">
        <v>572</v>
      </c>
      <c r="AM162" s="2" t="str">
        <f>VLOOKUP(A162,'[12]Power plant names'!$C$2:$F$545,4,FALSE)</f>
        <v>Sub critical</v>
      </c>
      <c r="AN162" s="2">
        <v>350</v>
      </c>
      <c r="AO162" s="2">
        <f t="shared" si="48"/>
        <v>0.86495025545396043</v>
      </c>
      <c r="AP162" s="2">
        <f>262/3</f>
        <v>87.333333333333329</v>
      </c>
      <c r="AQ162" s="2">
        <f t="shared" si="49"/>
        <v>262.66666666666669</v>
      </c>
      <c r="AR162" s="2">
        <f t="shared" si="50"/>
        <v>75.538988976312538</v>
      </c>
      <c r="AS162" s="2">
        <f t="shared" si="51"/>
        <v>227.19360043257362</v>
      </c>
      <c r="AU162" s="2">
        <f t="shared" si="52"/>
        <v>419.6466666666667</v>
      </c>
      <c r="AV162" s="2">
        <f t="shared" si="53"/>
        <v>1.1989904761904764</v>
      </c>
      <c r="AW162" s="12">
        <f t="shared" si="54"/>
        <v>6.1759069130732298</v>
      </c>
      <c r="AX162" s="2">
        <v>350</v>
      </c>
      <c r="AY162" s="3">
        <f t="shared" si="55"/>
        <v>1.1989904761904764</v>
      </c>
      <c r="AZ162" s="2">
        <f t="shared" si="56"/>
        <v>104.71183492063493</v>
      </c>
      <c r="BA162" s="2">
        <f t="shared" si="57"/>
        <v>314.93483174603182</v>
      </c>
      <c r="BC162">
        <f t="shared" si="58"/>
        <v>467.90603333333337</v>
      </c>
      <c r="BD162">
        <f t="shared" si="59"/>
        <v>1.3368743809523811</v>
      </c>
      <c r="BE162">
        <f t="shared" si="60"/>
        <v>1.3368743809523811</v>
      </c>
      <c r="BF162">
        <f t="shared" si="61"/>
        <v>116.75369593650794</v>
      </c>
      <c r="BG162">
        <f t="shared" si="62"/>
        <v>351.15233739682543</v>
      </c>
    </row>
    <row r="163" spans="1:59" ht="15" customHeight="1" x14ac:dyDescent="0.2">
      <c r="A163" s="2" t="s">
        <v>192</v>
      </c>
      <c r="B163" s="2" t="str">
        <f>VLOOKUP($A163,'[1]daily coal, energy reqd'!$C$2:$T$599,17,FALSE)</f>
        <v>Odisha</v>
      </c>
      <c r="C163" s="2" t="str">
        <f>VLOOKUP(B163,'Target PLF'!$I$2:$J$19,2,FALSE)</f>
        <v>ER</v>
      </c>
      <c r="D163" s="2" t="s">
        <v>572</v>
      </c>
      <c r="E163" s="2" t="s">
        <v>543</v>
      </c>
      <c r="F163" s="12">
        <v>6.6721423682409302</v>
      </c>
      <c r="G163" s="2">
        <v>350</v>
      </c>
      <c r="H163">
        <f>VLOOKUP(A163,'Coal savings'!$A$3:$AB$543,26,FALSE)</f>
        <v>2003390.9144720503</v>
      </c>
      <c r="I163" t="s">
        <v>694</v>
      </c>
      <c r="J163">
        <f>1258.94/3</f>
        <v>419.6466666666667</v>
      </c>
      <c r="O163" s="2" t="s">
        <v>192</v>
      </c>
      <c r="AH163" s="2" t="str">
        <f t="shared" si="63"/>
        <v>2019</v>
      </c>
      <c r="AI163" s="2">
        <f>(J163)/(1+0.115)^(AH163-2016)</f>
        <v>302.73258940888616</v>
      </c>
      <c r="AJ163" s="2">
        <f t="shared" si="45"/>
        <v>0.86495025545396043</v>
      </c>
      <c r="AK163" s="12">
        <f t="shared" si="46"/>
        <v>2.6721423682409302</v>
      </c>
      <c r="AL163" s="2" t="s">
        <v>572</v>
      </c>
      <c r="AM163" s="2" t="str">
        <f>VLOOKUP(A163,'[12]Power plant names'!$C$2:$F$545,4,FALSE)</f>
        <v>Sub critical</v>
      </c>
      <c r="AN163" s="2">
        <v>350</v>
      </c>
      <c r="AO163" s="2">
        <f t="shared" si="48"/>
        <v>0.86495025545396043</v>
      </c>
      <c r="AP163" s="2">
        <f>262/3</f>
        <v>87.333333333333329</v>
      </c>
      <c r="AQ163" s="2">
        <f t="shared" si="49"/>
        <v>262.66666666666669</v>
      </c>
      <c r="AR163" s="2">
        <f t="shared" si="50"/>
        <v>75.538988976312538</v>
      </c>
      <c r="AS163" s="2">
        <f t="shared" si="51"/>
        <v>227.19360043257362</v>
      </c>
      <c r="AU163" s="2">
        <f t="shared" si="52"/>
        <v>419.6466666666667</v>
      </c>
      <c r="AV163" s="2">
        <f t="shared" si="53"/>
        <v>1.1989904761904764</v>
      </c>
      <c r="AW163" s="12">
        <f t="shared" si="54"/>
        <v>5.6721423682409302</v>
      </c>
      <c r="AX163" s="2">
        <v>350</v>
      </c>
      <c r="AY163" s="3">
        <f t="shared" si="55"/>
        <v>1.1989904761904764</v>
      </c>
      <c r="AZ163" s="2">
        <f t="shared" si="56"/>
        <v>104.71183492063493</v>
      </c>
      <c r="BA163" s="2">
        <f t="shared" si="57"/>
        <v>314.93483174603182</v>
      </c>
      <c r="BC163">
        <f t="shared" si="58"/>
        <v>467.90603333333337</v>
      </c>
      <c r="BD163">
        <f t="shared" si="59"/>
        <v>1.3368743809523811</v>
      </c>
      <c r="BE163">
        <f t="shared" si="60"/>
        <v>1.3368743809523811</v>
      </c>
      <c r="BF163">
        <f t="shared" si="61"/>
        <v>116.75369593650794</v>
      </c>
      <c r="BG163">
        <f t="shared" si="62"/>
        <v>351.15233739682543</v>
      </c>
    </row>
    <row r="164" spans="1:59" ht="15" customHeight="1" x14ac:dyDescent="0.2">
      <c r="A164" s="2" t="s">
        <v>187</v>
      </c>
      <c r="B164" s="2" t="str">
        <f>VLOOKUP($A164,'[1]daily coal, energy reqd'!$C$2:$T$599,17,FALSE)</f>
        <v>Odisha</v>
      </c>
      <c r="C164" s="2" t="str">
        <f>VLOOKUP(B164,'Target PLF'!$I$2:$J$19,2,FALSE)</f>
        <v>ER</v>
      </c>
      <c r="D164" s="2" t="s">
        <v>572</v>
      </c>
      <c r="E164" s="2" t="s">
        <v>543</v>
      </c>
      <c r="F164" s="12">
        <v>6.1765913757700197</v>
      </c>
      <c r="G164" s="2">
        <v>350</v>
      </c>
      <c r="H164">
        <f>VLOOKUP(A164,'Coal savings'!$A$3:$AB$543,26,FALSE)</f>
        <v>2000751.73549106</v>
      </c>
      <c r="I164" t="s">
        <v>694</v>
      </c>
      <c r="J164">
        <f>1258.94/3</f>
        <v>419.6466666666667</v>
      </c>
      <c r="O164" s="2" t="s">
        <v>187</v>
      </c>
      <c r="AH164" s="2" t="str">
        <f t="shared" si="63"/>
        <v>2019</v>
      </c>
      <c r="AI164" s="2">
        <f>(J164)/(1+0.115)^(AH164-2016)</f>
        <v>302.73258940888616</v>
      </c>
      <c r="AJ164" s="2">
        <f t="shared" si="45"/>
        <v>0.86495025545396043</v>
      </c>
      <c r="AK164" s="12">
        <f t="shared" si="46"/>
        <v>2.1765913757700197</v>
      </c>
      <c r="AL164" s="2" t="s">
        <v>572</v>
      </c>
      <c r="AM164" s="2" t="str">
        <f>VLOOKUP(A164,'[12]Power plant names'!$C$2:$F$545,4,FALSE)</f>
        <v>Sub critical</v>
      </c>
      <c r="AN164" s="2">
        <v>350</v>
      </c>
      <c r="AO164" s="2">
        <f t="shared" si="48"/>
        <v>0.86495025545396043</v>
      </c>
      <c r="AP164" s="2">
        <f>262/3</f>
        <v>87.333333333333329</v>
      </c>
      <c r="AQ164" s="2">
        <f t="shared" si="49"/>
        <v>262.66666666666669</v>
      </c>
      <c r="AR164" s="2">
        <f t="shared" si="50"/>
        <v>75.538988976312538</v>
      </c>
      <c r="AS164" s="2">
        <f t="shared" si="51"/>
        <v>227.19360043257362</v>
      </c>
      <c r="AU164" s="2">
        <f t="shared" si="52"/>
        <v>419.6466666666667</v>
      </c>
      <c r="AV164" s="2">
        <f t="shared" si="53"/>
        <v>1.1989904761904764</v>
      </c>
      <c r="AW164" s="12">
        <f t="shared" si="54"/>
        <v>5.1765913757700197</v>
      </c>
      <c r="AX164" s="2">
        <v>350</v>
      </c>
      <c r="AY164" s="3">
        <f t="shared" si="55"/>
        <v>1.1989904761904764</v>
      </c>
      <c r="AZ164" s="2">
        <f t="shared" si="56"/>
        <v>104.71183492063493</v>
      </c>
      <c r="BA164" s="2">
        <f t="shared" si="57"/>
        <v>314.93483174603182</v>
      </c>
      <c r="BC164">
        <f t="shared" si="58"/>
        <v>467.90603333333337</v>
      </c>
      <c r="BD164">
        <f t="shared" si="59"/>
        <v>1.3368743809523811</v>
      </c>
      <c r="BE164">
        <f t="shared" si="60"/>
        <v>1.3368743809523811</v>
      </c>
      <c r="BF164">
        <f t="shared" si="61"/>
        <v>116.75369593650794</v>
      </c>
      <c r="BG164">
        <f t="shared" si="62"/>
        <v>351.15233739682543</v>
      </c>
    </row>
    <row r="165" spans="1:59" ht="15" hidden="1" customHeight="1" x14ac:dyDescent="0.2">
      <c r="A165" s="2" t="s">
        <v>310</v>
      </c>
      <c r="B165" s="2" t="str">
        <f>VLOOKUP($A165,'[1]daily coal, energy reqd'!$C$2:$T$599,17,FALSE)</f>
        <v>Chhatisgarh</v>
      </c>
      <c r="C165" s="2" t="str">
        <f>VLOOKUP(B165,'Target PLF'!$I$2:$J$19,2,FALSE)</f>
        <v>WR</v>
      </c>
      <c r="D165" s="2" t="s">
        <v>572</v>
      </c>
      <c r="E165" s="2" t="s">
        <v>543</v>
      </c>
      <c r="F165" s="12">
        <v>8.4243668720054696</v>
      </c>
      <c r="G165" s="2">
        <v>135</v>
      </c>
      <c r="H165">
        <f>VLOOKUP(A165,'Coal savings'!$A$3:$AB$543,26,FALSE)</f>
        <v>0</v>
      </c>
      <c r="O165" s="2" t="s">
        <v>310</v>
      </c>
      <c r="AH165" s="2" t="str">
        <f t="shared" si="63"/>
        <v/>
      </c>
      <c r="AI165" s="2"/>
      <c r="AJ165" s="2" t="str">
        <f t="shared" si="45"/>
        <v/>
      </c>
      <c r="AK165" s="12">
        <f t="shared" si="46"/>
        <v>4.4243668720054696</v>
      </c>
      <c r="AL165" s="2" t="s">
        <v>572</v>
      </c>
      <c r="AM165" s="2" t="str">
        <f>VLOOKUP(A165,'[12]Power plant names'!$C$2:$F$545,4,FALSE)</f>
        <v>Sub critical</v>
      </c>
      <c r="AN165" s="2">
        <v>135</v>
      </c>
      <c r="AO165" s="2">
        <f t="shared" si="48"/>
        <v>0.95919724236824111</v>
      </c>
      <c r="AP165" s="2">
        <v>135</v>
      </c>
      <c r="AQ165" s="2">
        <f t="shared" si="49"/>
        <v>0</v>
      </c>
      <c r="AR165" s="2">
        <f t="shared" si="50"/>
        <v>129.49162771971254</v>
      </c>
      <c r="AS165" s="2">
        <f t="shared" si="51"/>
        <v>0</v>
      </c>
      <c r="AU165" s="2"/>
      <c r="AV165" s="2" t="str">
        <f t="shared" si="53"/>
        <v/>
      </c>
      <c r="AW165" s="12">
        <f t="shared" si="54"/>
        <v>8.4243668720054696</v>
      </c>
      <c r="AX165" s="2">
        <v>135</v>
      </c>
      <c r="AY165" s="3">
        <f t="shared" si="55"/>
        <v>1.1901658525667353</v>
      </c>
      <c r="AZ165" s="2">
        <f t="shared" si="56"/>
        <v>160.67239009650928</v>
      </c>
      <c r="BA165" s="2">
        <f t="shared" si="57"/>
        <v>0</v>
      </c>
      <c r="BC165" t="str">
        <f t="shared" si="58"/>
        <v/>
      </c>
      <c r="BE165">
        <f t="shared" si="60"/>
        <v>1.3587541396303902</v>
      </c>
      <c r="BF165">
        <f t="shared" si="61"/>
        <v>183.43180885010267</v>
      </c>
      <c r="BG165">
        <f t="shared" si="62"/>
        <v>0</v>
      </c>
    </row>
    <row r="166" spans="1:59" ht="15" hidden="1" customHeight="1" x14ac:dyDescent="0.2">
      <c r="A166" s="2" t="s">
        <v>303</v>
      </c>
      <c r="B166" s="2" t="str">
        <f>VLOOKUP($A166,'[1]daily coal, energy reqd'!$C$2:$T$599,17,FALSE)</f>
        <v>Chhatisgarh</v>
      </c>
      <c r="C166" s="2" t="str">
        <f>VLOOKUP(B166,'Target PLF'!$I$2:$J$19,2,FALSE)</f>
        <v>WR</v>
      </c>
      <c r="D166" s="2" t="s">
        <v>572</v>
      </c>
      <c r="E166" s="2" t="s">
        <v>543</v>
      </c>
      <c r="F166" s="12">
        <v>7.9233401779603003</v>
      </c>
      <c r="G166" s="2">
        <v>135</v>
      </c>
      <c r="H166">
        <f>VLOOKUP(A166,'Coal savings'!$A$3:$AB$543,26,FALSE)</f>
        <v>0</v>
      </c>
      <c r="O166" s="2" t="s">
        <v>303</v>
      </c>
      <c r="AH166" s="2" t="str">
        <f t="shared" si="63"/>
        <v/>
      </c>
      <c r="AI166" s="2"/>
      <c r="AJ166" s="2" t="str">
        <f t="shared" si="45"/>
        <v/>
      </c>
      <c r="AK166" s="12">
        <f t="shared" si="46"/>
        <v>3.9233401779603003</v>
      </c>
      <c r="AL166" s="2" t="s">
        <v>572</v>
      </c>
      <c r="AM166" s="2" t="str">
        <f>VLOOKUP(A166,'[12]Power plant names'!$C$2:$F$545,4,FALSE)</f>
        <v>Sub critical</v>
      </c>
      <c r="AN166" s="2">
        <v>135</v>
      </c>
      <c r="AO166" s="2">
        <f t="shared" si="48"/>
        <v>0.96613926783025339</v>
      </c>
      <c r="AP166" s="2">
        <v>135</v>
      </c>
      <c r="AQ166" s="2">
        <f t="shared" si="49"/>
        <v>0</v>
      </c>
      <c r="AR166" s="2">
        <f t="shared" si="50"/>
        <v>130.42880115708419</v>
      </c>
      <c r="AS166" s="2">
        <f t="shared" si="51"/>
        <v>0</v>
      </c>
      <c r="AU166" s="2"/>
      <c r="AV166" s="2" t="str">
        <f t="shared" si="53"/>
        <v/>
      </c>
      <c r="AW166" s="12">
        <f t="shared" si="54"/>
        <v>7.9233401779603003</v>
      </c>
      <c r="AX166" s="2">
        <v>135</v>
      </c>
      <c r="AY166" s="3">
        <f t="shared" si="55"/>
        <v>1.1992506188911705</v>
      </c>
      <c r="AZ166" s="2">
        <f t="shared" si="56"/>
        <v>161.89883355030801</v>
      </c>
      <c r="BA166" s="2">
        <f t="shared" si="57"/>
        <v>0</v>
      </c>
      <c r="BC166" t="str">
        <f t="shared" si="58"/>
        <v/>
      </c>
      <c r="BE166">
        <f t="shared" si="60"/>
        <v>1.3695379876796716</v>
      </c>
      <c r="BF166">
        <f t="shared" si="61"/>
        <v>184.88762833675565</v>
      </c>
      <c r="BG166">
        <f t="shared" si="62"/>
        <v>0</v>
      </c>
    </row>
    <row r="167" spans="1:59" ht="15" customHeight="1" x14ac:dyDescent="0.2">
      <c r="A167" s="2" t="s">
        <v>77</v>
      </c>
      <c r="B167" s="2" t="str">
        <f>VLOOKUP($A167,'[1]daily coal, energy reqd'!$C$2:$T$599,17,FALSE)</f>
        <v>Rajasthan</v>
      </c>
      <c r="C167" s="2" t="str">
        <f>VLOOKUP(B167,'Target PLF'!$I$2:$J$19,2,FALSE)</f>
        <v>NR</v>
      </c>
      <c r="D167" s="2" t="s">
        <v>572</v>
      </c>
      <c r="E167" s="2" t="s">
        <v>543</v>
      </c>
      <c r="F167" s="12">
        <v>7.0088980150581701</v>
      </c>
      <c r="G167" s="2">
        <v>660</v>
      </c>
      <c r="H167">
        <f>VLOOKUP(A167,'Coal savings'!$A$3:$AB$543,26,FALSE)</f>
        <v>2875200.228258227</v>
      </c>
      <c r="O167" s="2" t="s">
        <v>77</v>
      </c>
      <c r="R167" s="96"/>
      <c r="S167" s="96"/>
      <c r="AH167" s="2" t="str">
        <f t="shared" si="63"/>
        <v/>
      </c>
      <c r="AI167" s="2"/>
      <c r="AJ167" s="2" t="str">
        <f t="shared" si="45"/>
        <v/>
      </c>
      <c r="AK167" s="12">
        <f t="shared" si="46"/>
        <v>3.0088980150581701</v>
      </c>
      <c r="AL167" s="2" t="s">
        <v>572</v>
      </c>
      <c r="AM167" s="2" t="str">
        <f>VLOOKUP(A167,'[12]Power plant names'!$C$2:$F$545,4,FALSE)</f>
        <v>Super critical</v>
      </c>
      <c r="AN167" s="2">
        <v>660</v>
      </c>
      <c r="AO167" s="2">
        <f t="shared" si="48"/>
        <v>0.74156191266256011</v>
      </c>
      <c r="AP167" s="2">
        <v>660</v>
      </c>
      <c r="AQ167" s="2">
        <f t="shared" si="49"/>
        <v>0</v>
      </c>
      <c r="AR167" s="2">
        <f t="shared" si="50"/>
        <v>489.4308623572897</v>
      </c>
      <c r="AS167" s="2">
        <f t="shared" si="51"/>
        <v>0</v>
      </c>
      <c r="AU167" s="2"/>
      <c r="AV167" s="2" t="str">
        <f t="shared" si="53"/>
        <v/>
      </c>
      <c r="AW167" s="12">
        <f t="shared" si="54"/>
        <v>7.0088980150581701</v>
      </c>
      <c r="AX167" s="2">
        <v>660</v>
      </c>
      <c r="AY167" s="3">
        <f t="shared" si="55"/>
        <v>0.9226715585215608</v>
      </c>
      <c r="AZ167" s="2">
        <f t="shared" si="56"/>
        <v>608.96322862423017</v>
      </c>
      <c r="BA167" s="2">
        <f t="shared" si="57"/>
        <v>0</v>
      </c>
      <c r="BC167" t="str">
        <f t="shared" si="58"/>
        <v/>
      </c>
      <c r="BE167">
        <f t="shared" si="60"/>
        <v>1.0205649835728954</v>
      </c>
      <c r="BF167">
        <f t="shared" si="61"/>
        <v>673.57288915811091</v>
      </c>
      <c r="BG167">
        <f t="shared" si="62"/>
        <v>0</v>
      </c>
    </row>
    <row r="168" spans="1:59" ht="15" customHeight="1" x14ac:dyDescent="0.2">
      <c r="A168" s="2" t="s">
        <v>66</v>
      </c>
      <c r="B168" s="2" t="str">
        <f>VLOOKUP($A168,'[1]daily coal, energy reqd'!$C$2:$T$599,17,FALSE)</f>
        <v>Rajasthan</v>
      </c>
      <c r="C168" s="2" t="str">
        <f>VLOOKUP(B168,'Target PLF'!$I$2:$J$19,2,FALSE)</f>
        <v>NR</v>
      </c>
      <c r="D168" s="2" t="s">
        <v>572</v>
      </c>
      <c r="E168" s="2" t="s">
        <v>543</v>
      </c>
      <c r="F168" s="12">
        <v>6.4229979466118996</v>
      </c>
      <c r="G168" s="2">
        <v>660</v>
      </c>
      <c r="H168">
        <f>VLOOKUP(A168,'Coal savings'!$A$3:$AB$543,26,FALSE)</f>
        <v>2870272.8909108532</v>
      </c>
      <c r="O168" s="2" t="s">
        <v>66</v>
      </c>
      <c r="R168" s="96"/>
      <c r="S168" s="96"/>
      <c r="AH168" s="2" t="str">
        <f t="shared" si="63"/>
        <v/>
      </c>
      <c r="AI168" s="2"/>
      <c r="AJ168" s="2" t="str">
        <f t="shared" si="45"/>
        <v/>
      </c>
      <c r="AK168" s="12">
        <f t="shared" si="46"/>
        <v>2.4229979466118996</v>
      </c>
      <c r="AL168" s="2" t="s">
        <v>572</v>
      </c>
      <c r="AM168" s="2" t="str">
        <f>VLOOKUP(A168,'[12]Power plant names'!$C$2:$F$545,4,FALSE)</f>
        <v>Super critical</v>
      </c>
      <c r="AN168" s="2">
        <v>660</v>
      </c>
      <c r="AO168" s="2">
        <f t="shared" si="48"/>
        <v>0.74967990965092435</v>
      </c>
      <c r="AP168" s="2">
        <v>660</v>
      </c>
      <c r="AQ168" s="2">
        <f t="shared" si="49"/>
        <v>0</v>
      </c>
      <c r="AR168" s="2">
        <f t="shared" si="50"/>
        <v>494.78874036961008</v>
      </c>
      <c r="AS168" s="2">
        <f t="shared" si="51"/>
        <v>0</v>
      </c>
      <c r="AU168" s="2"/>
      <c r="AV168" s="2" t="str">
        <f t="shared" si="53"/>
        <v/>
      </c>
      <c r="AW168" s="12">
        <f t="shared" si="54"/>
        <v>6.4229979466118996</v>
      </c>
      <c r="AX168" s="2">
        <v>660</v>
      </c>
      <c r="AY168" s="3">
        <f t="shared" si="55"/>
        <v>0.93329527433264903</v>
      </c>
      <c r="AZ168" s="2">
        <f t="shared" si="56"/>
        <v>615.97488105954835</v>
      </c>
      <c r="BA168" s="2">
        <f t="shared" si="57"/>
        <v>0</v>
      </c>
      <c r="BC168" t="str">
        <f t="shared" si="58"/>
        <v/>
      </c>
      <c r="BE168">
        <f t="shared" si="60"/>
        <v>1.0331756036960988</v>
      </c>
      <c r="BF168">
        <f t="shared" si="61"/>
        <v>681.8958984394252</v>
      </c>
      <c r="BG168">
        <f t="shared" si="62"/>
        <v>0</v>
      </c>
    </row>
    <row r="169" spans="1:59" ht="15" hidden="1" customHeight="1" x14ac:dyDescent="0.2">
      <c r="A169" s="2" t="s">
        <v>344</v>
      </c>
      <c r="B169" s="2" t="str">
        <f>VLOOKUP($A169,'[1]daily coal, energy reqd'!$C$2:$T$599,17,FALSE)</f>
        <v>Uttar Pradesh</v>
      </c>
      <c r="C169" s="2" t="str">
        <f>VLOOKUP(B169,'Target PLF'!$I$2:$J$19,2,FALSE)</f>
        <v>NR</v>
      </c>
      <c r="D169" s="2" t="s">
        <v>572</v>
      </c>
      <c r="E169" s="2" t="s">
        <v>543</v>
      </c>
      <c r="F169" s="12">
        <v>8.5913757700205302</v>
      </c>
      <c r="G169" s="2">
        <v>45</v>
      </c>
      <c r="H169">
        <f>VLOOKUP(A169,'Coal savings'!$A$3:$AB$543,26,FALSE)</f>
        <v>0</v>
      </c>
      <c r="O169" s="2" t="s">
        <v>344</v>
      </c>
      <c r="AH169" s="2" t="str">
        <f t="shared" si="63"/>
        <v/>
      </c>
      <c r="AI169" s="2"/>
      <c r="AJ169" s="2" t="str">
        <f t="shared" si="45"/>
        <v/>
      </c>
      <c r="AK169" s="12">
        <f t="shared" si="46"/>
        <v>4.5913757700205302</v>
      </c>
      <c r="AL169" s="2" t="s">
        <v>572</v>
      </c>
      <c r="AM169" s="2" t="str">
        <f>VLOOKUP(A169,'[12]Power plant names'!$C$2:$F$545,4,FALSE)</f>
        <v>Sub critical</v>
      </c>
      <c r="AN169" s="2">
        <v>45</v>
      </c>
      <c r="AO169" s="2">
        <f t="shared" si="48"/>
        <v>0.99755423388090358</v>
      </c>
      <c r="AP169" s="2">
        <v>40</v>
      </c>
      <c r="AQ169" s="2">
        <f t="shared" si="49"/>
        <v>5</v>
      </c>
      <c r="AR169" s="2">
        <f t="shared" si="50"/>
        <v>39.90216935523614</v>
      </c>
      <c r="AS169" s="2">
        <f t="shared" si="51"/>
        <v>4.9877711694045175</v>
      </c>
      <c r="AU169" s="2"/>
      <c r="AV169" s="2" t="str">
        <f t="shared" si="53"/>
        <v/>
      </c>
      <c r="AW169" s="12">
        <f t="shared" si="54"/>
        <v>8.5913757700205302</v>
      </c>
      <c r="AX169" s="2">
        <v>45</v>
      </c>
      <c r="AY169" s="3">
        <f t="shared" si="55"/>
        <v>1.2373935971252568</v>
      </c>
      <c r="AZ169" s="2">
        <f t="shared" si="56"/>
        <v>49.49574388501027</v>
      </c>
      <c r="BA169" s="2">
        <f t="shared" si="57"/>
        <v>6.1869679856262838</v>
      </c>
      <c r="BC169" t="str">
        <f t="shared" si="58"/>
        <v/>
      </c>
      <c r="BE169">
        <f t="shared" si="60"/>
        <v>1.4183575236139632</v>
      </c>
      <c r="BF169">
        <f t="shared" si="61"/>
        <v>56.734300944558527</v>
      </c>
      <c r="BG169">
        <f t="shared" si="62"/>
        <v>7.0917876180698158</v>
      </c>
    </row>
    <row r="170" spans="1:59" ht="15" hidden="1" customHeight="1" x14ac:dyDescent="0.2">
      <c r="A170" s="2" t="s">
        <v>342</v>
      </c>
      <c r="B170" s="2" t="str">
        <f>VLOOKUP($A170,'[1]daily coal, energy reqd'!$C$2:$T$599,17,FALSE)</f>
        <v>Uttar Pradesh</v>
      </c>
      <c r="C170" s="2" t="str">
        <f>VLOOKUP(B170,'Target PLF'!$I$2:$J$19,2,FALSE)</f>
        <v>NR</v>
      </c>
      <c r="D170" s="2" t="s">
        <v>572</v>
      </c>
      <c r="E170" s="2" t="s">
        <v>543</v>
      </c>
      <c r="F170" s="12">
        <v>8.5065023956194299</v>
      </c>
      <c r="G170" s="2">
        <v>45</v>
      </c>
      <c r="H170">
        <f>VLOOKUP(A170,'Coal savings'!$A$3:$AB$543,26,FALSE)</f>
        <v>0</v>
      </c>
      <c r="O170" s="2" t="s">
        <v>342</v>
      </c>
      <c r="AH170" s="2" t="str">
        <f t="shared" si="63"/>
        <v/>
      </c>
      <c r="AI170" s="2"/>
      <c r="AJ170" s="2" t="str">
        <f t="shared" si="45"/>
        <v/>
      </c>
      <c r="AK170" s="12">
        <f t="shared" si="46"/>
        <v>4.5065023956194299</v>
      </c>
      <c r="AL170" s="2" t="s">
        <v>572</v>
      </c>
      <c r="AM170" s="2" t="str">
        <f>VLOOKUP(A170,'[12]Power plant names'!$C$2:$F$545,4,FALSE)</f>
        <v>Sub critical</v>
      </c>
      <c r="AN170" s="2">
        <v>45</v>
      </c>
      <c r="AO170" s="2">
        <f t="shared" si="48"/>
        <v>0.99873020540725554</v>
      </c>
      <c r="AP170" s="2">
        <v>40</v>
      </c>
      <c r="AQ170" s="2">
        <f t="shared" si="49"/>
        <v>5</v>
      </c>
      <c r="AR170" s="2">
        <f t="shared" si="50"/>
        <v>39.949208216290224</v>
      </c>
      <c r="AS170" s="2">
        <f t="shared" si="51"/>
        <v>4.9936510270362779</v>
      </c>
      <c r="AU170" s="2"/>
      <c r="AV170" s="2" t="str">
        <f t="shared" si="53"/>
        <v/>
      </c>
      <c r="AW170" s="12">
        <f t="shared" si="54"/>
        <v>8.5065023956194299</v>
      </c>
      <c r="AX170" s="2">
        <v>45</v>
      </c>
      <c r="AY170" s="3">
        <f t="shared" si="55"/>
        <v>1.2389325466119099</v>
      </c>
      <c r="AZ170" s="2">
        <f t="shared" si="56"/>
        <v>49.557301864476393</v>
      </c>
      <c r="BA170" s="2">
        <f t="shared" si="57"/>
        <v>6.1946627330595492</v>
      </c>
      <c r="BC170" t="str">
        <f t="shared" si="58"/>
        <v/>
      </c>
      <c r="BE170">
        <f t="shared" si="60"/>
        <v>1.4201842956878852</v>
      </c>
      <c r="BF170">
        <f t="shared" si="61"/>
        <v>56.807371827515411</v>
      </c>
      <c r="BG170">
        <f t="shared" si="62"/>
        <v>7.1009214784394263</v>
      </c>
    </row>
    <row r="171" spans="1:59" ht="15" hidden="1" customHeight="1" x14ac:dyDescent="0.2">
      <c r="A171" s="2" t="s">
        <v>439</v>
      </c>
      <c r="B171" s="2" t="str">
        <f>VLOOKUP($A171,'[1]daily coal, energy reqd'!$C$2:$T$599,17,FALSE)</f>
        <v>Maharashtra</v>
      </c>
      <c r="C171" s="2" t="str">
        <f>VLOOKUP(B171,'Target PLF'!$I$2:$J$19,2,FALSE)</f>
        <v>WR</v>
      </c>
      <c r="D171" s="2" t="s">
        <v>570</v>
      </c>
      <c r="E171" s="2" t="s">
        <v>548</v>
      </c>
      <c r="F171" s="12">
        <v>31.175906913073199</v>
      </c>
      <c r="G171" s="2">
        <v>210</v>
      </c>
      <c r="H171">
        <f>VLOOKUP(A171,'Coal savings'!$A$3:$AB$543,26,FALSE)</f>
        <v>0</v>
      </c>
      <c r="I171" t="s">
        <v>695</v>
      </c>
      <c r="J171">
        <v>90.91</v>
      </c>
      <c r="O171" s="2" t="s">
        <v>439</v>
      </c>
      <c r="AH171" s="2" t="str">
        <f t="shared" si="63"/>
        <v>2018</v>
      </c>
      <c r="AI171" s="2">
        <f>(J171)/(1+0.115)^(AH171-2016)</f>
        <v>73.124333889682077</v>
      </c>
      <c r="AJ171" s="2">
        <f t="shared" si="45"/>
        <v>0.34821111376039082</v>
      </c>
      <c r="AK171" s="12">
        <f t="shared" si="46"/>
        <v>27.175906913073199</v>
      </c>
      <c r="AL171" s="2" t="s">
        <v>570</v>
      </c>
      <c r="AM171" s="2" t="str">
        <f>VLOOKUP(A171,'[12]Power plant names'!$C$2:$F$545,4,FALSE)</f>
        <v>Sub critical</v>
      </c>
      <c r="AN171" s="2">
        <v>210</v>
      </c>
      <c r="AO171" s="2">
        <f t="shared" si="48"/>
        <v>0.34821111376039082</v>
      </c>
      <c r="AP171" s="2">
        <v>210</v>
      </c>
      <c r="AQ171" s="2">
        <f t="shared" si="49"/>
        <v>0</v>
      </c>
      <c r="AR171" s="2">
        <f t="shared" si="50"/>
        <v>73.124333889682077</v>
      </c>
      <c r="AS171" s="2">
        <f t="shared" si="51"/>
        <v>0</v>
      </c>
      <c r="AU171" s="2">
        <f t="shared" si="52"/>
        <v>90.91</v>
      </c>
      <c r="AV171" s="2">
        <f t="shared" si="53"/>
        <v>0.4329047619047619</v>
      </c>
      <c r="AW171" s="12">
        <f t="shared" si="54"/>
        <v>29.175906913073199</v>
      </c>
      <c r="AX171" s="2">
        <v>210</v>
      </c>
      <c r="AY171" s="3">
        <f t="shared" si="55"/>
        <v>0.4329047619047619</v>
      </c>
      <c r="AZ171" s="2">
        <f t="shared" si="56"/>
        <v>90.91</v>
      </c>
      <c r="BA171" s="2">
        <f t="shared" si="57"/>
        <v>0</v>
      </c>
      <c r="BC171">
        <f t="shared" si="58"/>
        <v>113.02158475</v>
      </c>
      <c r="BD171">
        <f t="shared" si="59"/>
        <v>0.53819802261904759</v>
      </c>
      <c r="BE171">
        <f t="shared" si="60"/>
        <v>0.53819802261904759</v>
      </c>
      <c r="BF171">
        <f t="shared" si="61"/>
        <v>113.02158474999999</v>
      </c>
      <c r="BG171">
        <f t="shared" si="62"/>
        <v>0</v>
      </c>
    </row>
    <row r="172" spans="1:59" ht="15" hidden="1" customHeight="1" x14ac:dyDescent="0.2">
      <c r="A172" s="2" t="s">
        <v>432</v>
      </c>
      <c r="B172" s="2" t="str">
        <f>VLOOKUP($A172,'[1]daily coal, energy reqd'!$C$2:$T$599,17,FALSE)</f>
        <v>Maharashtra</v>
      </c>
      <c r="C172" s="2" t="str">
        <f>VLOOKUP(B172,'Target PLF'!$I$2:$J$19,2,FALSE)</f>
        <v>WR</v>
      </c>
      <c r="D172" s="2" t="s">
        <v>570</v>
      </c>
      <c r="E172" s="2" t="s">
        <v>548</v>
      </c>
      <c r="F172" s="12">
        <v>30.338124572210798</v>
      </c>
      <c r="G172" s="2">
        <v>210</v>
      </c>
      <c r="H172">
        <f>VLOOKUP(A172,'Coal savings'!$A$3:$AB$543,26,FALSE)</f>
        <v>0</v>
      </c>
      <c r="I172" t="s">
        <v>695</v>
      </c>
      <c r="J172">
        <v>90.91</v>
      </c>
      <c r="O172" s="2" t="s">
        <v>432</v>
      </c>
      <c r="AH172" s="2" t="str">
        <f t="shared" si="63"/>
        <v>2018</v>
      </c>
      <c r="AI172" s="2">
        <f>(J172)/(1+0.115)^(AH172-2016)</f>
        <v>73.124333889682077</v>
      </c>
      <c r="AJ172" s="2">
        <f t="shared" si="45"/>
        <v>0.34821111376039082</v>
      </c>
      <c r="AK172" s="12">
        <f t="shared" si="46"/>
        <v>26.338124572210798</v>
      </c>
      <c r="AL172" s="2" t="s">
        <v>570</v>
      </c>
      <c r="AM172" s="2" t="str">
        <f>VLOOKUP(A172,'[12]Power plant names'!$C$2:$F$545,4,FALSE)</f>
        <v>Sub critical</v>
      </c>
      <c r="AN172" s="2">
        <v>210</v>
      </c>
      <c r="AO172" s="2">
        <f t="shared" si="48"/>
        <v>0.34821111376039082</v>
      </c>
      <c r="AP172" s="2">
        <v>210</v>
      </c>
      <c r="AQ172" s="2">
        <f t="shared" si="49"/>
        <v>0</v>
      </c>
      <c r="AR172" s="2">
        <f t="shared" si="50"/>
        <v>73.124333889682077</v>
      </c>
      <c r="AS172" s="2">
        <f t="shared" si="51"/>
        <v>0</v>
      </c>
      <c r="AU172" s="2">
        <f t="shared" si="52"/>
        <v>90.91</v>
      </c>
      <c r="AV172" s="2">
        <f t="shared" si="53"/>
        <v>0.4329047619047619</v>
      </c>
      <c r="AW172" s="12">
        <f t="shared" si="54"/>
        <v>28.338124572210798</v>
      </c>
      <c r="AX172" s="2">
        <v>210</v>
      </c>
      <c r="AY172" s="3">
        <f t="shared" si="55"/>
        <v>0.4329047619047619</v>
      </c>
      <c r="AZ172" s="2">
        <f t="shared" si="56"/>
        <v>90.91</v>
      </c>
      <c r="BA172" s="2">
        <f t="shared" si="57"/>
        <v>0</v>
      </c>
      <c r="BC172">
        <f t="shared" si="58"/>
        <v>113.02158475</v>
      </c>
      <c r="BD172">
        <f t="shared" si="59"/>
        <v>0.53819802261904759</v>
      </c>
      <c r="BE172">
        <f t="shared" si="60"/>
        <v>0.53819802261904759</v>
      </c>
      <c r="BF172">
        <f t="shared" si="61"/>
        <v>113.02158474999999</v>
      </c>
      <c r="BG172">
        <f t="shared" si="62"/>
        <v>0</v>
      </c>
    </row>
    <row r="173" spans="1:59" ht="15" hidden="1" customHeight="1" x14ac:dyDescent="0.2">
      <c r="A173" s="2" t="s">
        <v>366</v>
      </c>
      <c r="B173" s="2" t="str">
        <f>VLOOKUP($A173,'[1]daily coal, energy reqd'!$C$2:$T$599,17,FALSE)</f>
        <v>Maharashtra</v>
      </c>
      <c r="C173" s="2" t="str">
        <f>VLOOKUP(B173,'Target PLF'!$I$2:$J$19,2,FALSE)</f>
        <v>WR</v>
      </c>
      <c r="D173" s="2" t="s">
        <v>570</v>
      </c>
      <c r="E173" s="2" t="s">
        <v>545</v>
      </c>
      <c r="F173" s="12">
        <v>20.008213552361301</v>
      </c>
      <c r="G173" s="2">
        <v>210</v>
      </c>
      <c r="H173">
        <f>VLOOKUP(A173,'Coal savings'!$A$3:$AB$543,26,FALSE)</f>
        <v>0</v>
      </c>
      <c r="I173" t="s">
        <v>695</v>
      </c>
      <c r="J173">
        <v>90.91</v>
      </c>
      <c r="O173" s="2" t="s">
        <v>366</v>
      </c>
      <c r="AH173" s="2" t="str">
        <f t="shared" si="63"/>
        <v>2018</v>
      </c>
      <c r="AI173" s="2">
        <f>(J173)/(1+0.115)^(AH173-2016)</f>
        <v>73.124333889682077</v>
      </c>
      <c r="AJ173" s="2">
        <f t="shared" si="45"/>
        <v>0.34821111376039082</v>
      </c>
      <c r="AK173" s="12">
        <f t="shared" si="46"/>
        <v>16.008213552361301</v>
      </c>
      <c r="AL173" s="2" t="s">
        <v>570</v>
      </c>
      <c r="AM173" s="2" t="str">
        <f>VLOOKUP(A173,'[12]Power plant names'!$C$2:$F$545,4,FALSE)</f>
        <v>Sub critical</v>
      </c>
      <c r="AN173" s="2">
        <v>210</v>
      </c>
      <c r="AO173" s="2">
        <f t="shared" si="48"/>
        <v>0.34821111376039082</v>
      </c>
      <c r="AP173" s="2">
        <v>210</v>
      </c>
      <c r="AQ173" s="2">
        <f t="shared" si="49"/>
        <v>0</v>
      </c>
      <c r="AR173" s="2">
        <f t="shared" si="50"/>
        <v>73.124333889682077</v>
      </c>
      <c r="AS173" s="2">
        <f t="shared" si="51"/>
        <v>0</v>
      </c>
      <c r="AU173" s="2">
        <f t="shared" si="52"/>
        <v>90.91</v>
      </c>
      <c r="AV173" s="2">
        <f t="shared" si="53"/>
        <v>0.4329047619047619</v>
      </c>
      <c r="AW173" s="12">
        <f t="shared" si="54"/>
        <v>18.008213552361301</v>
      </c>
      <c r="AX173" s="2">
        <v>210</v>
      </c>
      <c r="AY173" s="3">
        <f t="shared" si="55"/>
        <v>0.4329047619047619</v>
      </c>
      <c r="AZ173" s="2">
        <f t="shared" si="56"/>
        <v>90.91</v>
      </c>
      <c r="BA173" s="2">
        <f t="shared" si="57"/>
        <v>0</v>
      </c>
      <c r="BC173">
        <f t="shared" si="58"/>
        <v>113.02158475</v>
      </c>
      <c r="BD173">
        <f t="shared" si="59"/>
        <v>0.53819802261904759</v>
      </c>
      <c r="BE173">
        <f t="shared" si="60"/>
        <v>0.53819802261904759</v>
      </c>
      <c r="BF173">
        <f t="shared" si="61"/>
        <v>113.02158474999999</v>
      </c>
      <c r="BG173">
        <f t="shared" si="62"/>
        <v>0</v>
      </c>
    </row>
    <row r="174" spans="1:59" ht="15" hidden="1" customHeight="1" x14ac:dyDescent="0.2">
      <c r="A174" s="2" t="s">
        <v>360</v>
      </c>
      <c r="B174" s="2" t="str">
        <f>VLOOKUP($A174,'[1]daily coal, energy reqd'!$C$2:$T$599,17,FALSE)</f>
        <v>Maharashtra</v>
      </c>
      <c r="C174" s="2" t="str">
        <f>VLOOKUP(B174,'Target PLF'!$I$2:$J$19,2,FALSE)</f>
        <v>WR</v>
      </c>
      <c r="D174" s="2" t="s">
        <v>570</v>
      </c>
      <c r="E174" s="2" t="s">
        <v>545</v>
      </c>
      <c r="F174" s="12">
        <v>19.337440109513999</v>
      </c>
      <c r="G174" s="2">
        <v>210</v>
      </c>
      <c r="H174">
        <f>VLOOKUP(A174,'Coal savings'!$A$3:$AB$543,26,FALSE)</f>
        <v>0</v>
      </c>
      <c r="I174" t="s">
        <v>695</v>
      </c>
      <c r="J174">
        <v>90.91</v>
      </c>
      <c r="O174" s="2" t="s">
        <v>360</v>
      </c>
      <c r="AH174" s="2" t="str">
        <f t="shared" si="63"/>
        <v>2018</v>
      </c>
      <c r="AI174" s="2">
        <f>(J174)/(1+0.115)^(AH174-2016)</f>
        <v>73.124333889682077</v>
      </c>
      <c r="AJ174" s="2">
        <f t="shared" si="45"/>
        <v>0.34821111376039082</v>
      </c>
      <c r="AK174" s="12">
        <f t="shared" si="46"/>
        <v>15.337440109513999</v>
      </c>
      <c r="AL174" s="2" t="s">
        <v>570</v>
      </c>
      <c r="AM174" s="2" t="str">
        <f>VLOOKUP(A174,'[12]Power plant names'!$C$2:$F$545,4,FALSE)</f>
        <v>Sub critical</v>
      </c>
      <c r="AN174" s="2">
        <v>210</v>
      </c>
      <c r="AO174" s="2">
        <f t="shared" si="48"/>
        <v>0.34821111376039082</v>
      </c>
      <c r="AP174" s="2">
        <v>210</v>
      </c>
      <c r="AQ174" s="2">
        <f t="shared" si="49"/>
        <v>0</v>
      </c>
      <c r="AR174" s="2">
        <f t="shared" si="50"/>
        <v>73.124333889682077</v>
      </c>
      <c r="AS174" s="2">
        <f t="shared" si="51"/>
        <v>0</v>
      </c>
      <c r="AU174" s="2">
        <f t="shared" si="52"/>
        <v>90.91</v>
      </c>
      <c r="AV174" s="2">
        <f t="shared" si="53"/>
        <v>0.4329047619047619</v>
      </c>
      <c r="AW174" s="12">
        <f t="shared" si="54"/>
        <v>17.337440109513999</v>
      </c>
      <c r="AX174" s="2">
        <v>210</v>
      </c>
      <c r="AY174" s="3">
        <f t="shared" si="55"/>
        <v>0.4329047619047619</v>
      </c>
      <c r="AZ174" s="2">
        <f t="shared" si="56"/>
        <v>90.91</v>
      </c>
      <c r="BA174" s="2">
        <f t="shared" si="57"/>
        <v>0</v>
      </c>
      <c r="BC174">
        <f t="shared" si="58"/>
        <v>113.02158475</v>
      </c>
      <c r="BD174">
        <f t="shared" si="59"/>
        <v>0.53819802261904759</v>
      </c>
      <c r="BE174">
        <f t="shared" si="60"/>
        <v>0.53819802261904759</v>
      </c>
      <c r="BF174">
        <f t="shared" si="61"/>
        <v>113.02158474999999</v>
      </c>
      <c r="BG174">
        <f t="shared" si="62"/>
        <v>0</v>
      </c>
    </row>
    <row r="175" spans="1:59" ht="15" customHeight="1" x14ac:dyDescent="0.2">
      <c r="A175" s="2" t="s">
        <v>159</v>
      </c>
      <c r="B175" s="2" t="str">
        <f>VLOOKUP($A175,'[1]daily coal, energy reqd'!$C$2:$T$599,17,FALSE)</f>
        <v>Maharashtra</v>
      </c>
      <c r="C175" s="2" t="str">
        <f>VLOOKUP(B175,'Target PLF'!$I$2:$J$19,2,FALSE)</f>
        <v>WR</v>
      </c>
      <c r="D175" s="2" t="s">
        <v>570</v>
      </c>
      <c r="E175" s="2" t="s">
        <v>543</v>
      </c>
      <c r="F175" s="12">
        <v>8.7583846680355908</v>
      </c>
      <c r="G175" s="2">
        <v>500</v>
      </c>
      <c r="H175">
        <f>VLOOKUP(A175,'Coal savings'!$A$3:$AB$543,26,FALSE)</f>
        <v>2650427.1180610876</v>
      </c>
      <c r="I175" t="s">
        <v>695</v>
      </c>
      <c r="J175" s="40">
        <v>471.58000000000004</v>
      </c>
      <c r="O175" s="2" t="s">
        <v>159</v>
      </c>
      <c r="AH175" s="2" t="str">
        <f t="shared" si="63"/>
        <v>2018</v>
      </c>
      <c r="AI175" s="2">
        <f>(J175)/(1+0.115)^(AH175-2016)</f>
        <v>379.31991393351973</v>
      </c>
      <c r="AJ175" s="2">
        <f t="shared" si="45"/>
        <v>0.75863982786703943</v>
      </c>
      <c r="AK175" s="12">
        <f t="shared" si="46"/>
        <v>4.7583846680355908</v>
      </c>
      <c r="AL175" s="2" t="s">
        <v>570</v>
      </c>
      <c r="AM175" s="2" t="str">
        <f>VLOOKUP(A175,'[12]Power plant names'!$C$2:$F$545,4,FALSE)</f>
        <v>Sub critical</v>
      </c>
      <c r="AN175" s="2">
        <v>500</v>
      </c>
      <c r="AO175" s="2">
        <f t="shared" si="48"/>
        <v>0.75863982786703943</v>
      </c>
      <c r="AP175" s="2">
        <v>500</v>
      </c>
      <c r="AQ175" s="2">
        <f t="shared" si="49"/>
        <v>0</v>
      </c>
      <c r="AR175" s="2">
        <f t="shared" si="50"/>
        <v>379.31991393351973</v>
      </c>
      <c r="AS175" s="2">
        <f t="shared" si="51"/>
        <v>0</v>
      </c>
      <c r="AU175" s="2">
        <f t="shared" si="52"/>
        <v>471.5800000000001</v>
      </c>
      <c r="AV175" s="2">
        <f t="shared" si="53"/>
        <v>0.94316000000000022</v>
      </c>
      <c r="AW175" s="12">
        <f t="shared" si="54"/>
        <v>6.7583846680355908</v>
      </c>
      <c r="AX175" s="2">
        <v>500</v>
      </c>
      <c r="AY175" s="3">
        <f t="shared" si="55"/>
        <v>0.94316000000000022</v>
      </c>
      <c r="AZ175" s="2">
        <f t="shared" si="56"/>
        <v>471.5800000000001</v>
      </c>
      <c r="BA175" s="2">
        <f t="shared" si="57"/>
        <v>0</v>
      </c>
      <c r="BC175">
        <f t="shared" si="58"/>
        <v>586.28004550000014</v>
      </c>
      <c r="BD175">
        <f t="shared" si="59"/>
        <v>1.1725600910000002</v>
      </c>
      <c r="BE175">
        <f t="shared" si="60"/>
        <v>1.1725600910000002</v>
      </c>
      <c r="BF175">
        <f t="shared" si="61"/>
        <v>586.28004550000014</v>
      </c>
      <c r="BG175">
        <f t="shared" si="62"/>
        <v>0</v>
      </c>
    </row>
    <row r="176" spans="1:59" ht="15" customHeight="1" x14ac:dyDescent="0.2">
      <c r="A176" s="2" t="s">
        <v>13</v>
      </c>
      <c r="B176" s="2" t="str">
        <f>VLOOKUP($A176,'[1]daily coal, energy reqd'!$C$2:$T$599,17,FALSE)</f>
        <v>Madhya Pradesh</v>
      </c>
      <c r="C176" s="2" t="str">
        <f>VLOOKUP(B176,'Target PLF'!$I$2:$J$19,2,FALSE)</f>
        <v>WR</v>
      </c>
      <c r="D176" s="2" t="s">
        <v>571</v>
      </c>
      <c r="E176" s="2" t="s">
        <v>542</v>
      </c>
      <c r="F176" s="13">
        <v>0.60232717316906204</v>
      </c>
      <c r="G176" s="2">
        <v>660</v>
      </c>
      <c r="H176">
        <f>VLOOKUP(A176,'Coal savings'!$A$3:$AB$543,26,FALSE)</f>
        <v>2901420.102190481</v>
      </c>
      <c r="O176" s="2" t="s">
        <v>13</v>
      </c>
      <c r="AH176" s="2" t="str">
        <f t="shared" si="63"/>
        <v/>
      </c>
      <c r="AI176" s="2"/>
      <c r="AJ176" s="2" t="str">
        <f t="shared" si="45"/>
        <v/>
      </c>
      <c r="AK176" s="12">
        <f t="shared" si="46"/>
        <v>1</v>
      </c>
      <c r="AL176" s="2" t="s">
        <v>571</v>
      </c>
      <c r="AM176" s="2" t="str">
        <f>VLOOKUP(A176,'[12]Power plant names'!$C$2:$F$545,4,FALSE)</f>
        <v>Ultra Super critical</v>
      </c>
      <c r="AN176" s="2">
        <v>660</v>
      </c>
      <c r="AO176" s="2">
        <f t="shared" si="48"/>
        <v>0.76939640000000009</v>
      </c>
      <c r="AP176" s="2">
        <v>660</v>
      </c>
      <c r="AQ176" s="2">
        <f t="shared" si="49"/>
        <v>0</v>
      </c>
      <c r="AR176" s="2">
        <f t="shared" si="50"/>
        <v>507.80162400000006</v>
      </c>
      <c r="AS176" s="2">
        <f t="shared" si="51"/>
        <v>0</v>
      </c>
      <c r="AU176" s="2"/>
      <c r="AV176" s="2" t="str">
        <f t="shared" si="53"/>
        <v/>
      </c>
      <c r="AW176" s="12">
        <f t="shared" si="54"/>
        <v>0.60232717316906204</v>
      </c>
      <c r="AX176" s="2">
        <v>660</v>
      </c>
      <c r="AY176" s="3">
        <f t="shared" si="55"/>
        <v>1.0388374229979467</v>
      </c>
      <c r="AZ176" s="2">
        <f t="shared" si="56"/>
        <v>685.63269917864477</v>
      </c>
      <c r="BA176" s="2">
        <f t="shared" si="57"/>
        <v>0</v>
      </c>
      <c r="BC176" t="str">
        <f t="shared" si="58"/>
        <v/>
      </c>
      <c r="BE176">
        <f t="shared" si="60"/>
        <v>1.1584568110882958</v>
      </c>
      <c r="BF176">
        <f t="shared" si="61"/>
        <v>764.58149531827519</v>
      </c>
      <c r="BG176">
        <f t="shared" si="62"/>
        <v>0</v>
      </c>
    </row>
    <row r="177" spans="1:59" ht="15" customHeight="1" x14ac:dyDescent="0.2">
      <c r="A177" s="2" t="s">
        <v>160</v>
      </c>
      <c r="B177" s="2" t="str">
        <f>VLOOKUP($A177,'[1]daily coal, energy reqd'!$C$2:$T$599,17,FALSE)</f>
        <v>Jharkhand</v>
      </c>
      <c r="C177" s="2" t="str">
        <f>VLOOKUP(B177,'Target PLF'!$I$2:$J$19,2,FALSE)</f>
        <v>ER</v>
      </c>
      <c r="D177" s="2" t="s">
        <v>571</v>
      </c>
      <c r="E177" s="2" t="s">
        <v>543</v>
      </c>
      <c r="F177" s="12">
        <v>8.8432580424366805</v>
      </c>
      <c r="G177" s="2">
        <v>500</v>
      </c>
      <c r="H177">
        <f>VLOOKUP(A177,'Coal savings'!$A$3:$AB$543,26,FALSE)</f>
        <v>2373750.1392153222</v>
      </c>
      <c r="I177" t="s">
        <v>694</v>
      </c>
      <c r="J177">
        <f>1175.7/2</f>
        <v>587.85</v>
      </c>
      <c r="O177" s="2" t="s">
        <v>160</v>
      </c>
      <c r="P177">
        <v>2019</v>
      </c>
      <c r="Q177" s="96">
        <v>109.06</v>
      </c>
      <c r="R177" s="96" t="s">
        <v>619</v>
      </c>
      <c r="S177" s="96">
        <v>100</v>
      </c>
      <c r="AH177" s="2" t="str">
        <f t="shared" si="63"/>
        <v>2019</v>
      </c>
      <c r="AI177" s="2">
        <f>(J177)/(1+0.115)^(AH177-2016)</f>
        <v>424.07426728203183</v>
      </c>
      <c r="AJ177" s="2">
        <f t="shared" si="45"/>
        <v>0.84814853456406369</v>
      </c>
      <c r="AK177" s="12">
        <f t="shared" si="46"/>
        <v>4.8432580424366805</v>
      </c>
      <c r="AL177" s="2" t="s">
        <v>571</v>
      </c>
      <c r="AM177" s="2" t="str">
        <f>VLOOKUP(A177,'[12]Power plant names'!$C$2:$F$545,4,FALSE)</f>
        <v>Sub critical</v>
      </c>
      <c r="AN177" s="2">
        <v>500</v>
      </c>
      <c r="AO177" s="2">
        <f t="shared" si="48"/>
        <v>0.84814853456406369</v>
      </c>
      <c r="AP177" s="2">
        <v>500</v>
      </c>
      <c r="AQ177" s="2">
        <f t="shared" si="49"/>
        <v>0</v>
      </c>
      <c r="AR177" s="2">
        <f t="shared" si="50"/>
        <v>424.07426728203183</v>
      </c>
      <c r="AS177" s="2">
        <f t="shared" si="51"/>
        <v>0</v>
      </c>
      <c r="AU177" s="2">
        <f t="shared" si="52"/>
        <v>587.85</v>
      </c>
      <c r="AV177" s="2">
        <f t="shared" si="53"/>
        <v>1.1757</v>
      </c>
      <c r="AW177" s="12">
        <f t="shared" si="54"/>
        <v>7.8432580424366805</v>
      </c>
      <c r="AX177" s="2">
        <v>500</v>
      </c>
      <c r="AY177" s="3">
        <f t="shared" si="55"/>
        <v>1.1757</v>
      </c>
      <c r="AZ177" s="2">
        <f t="shared" si="56"/>
        <v>587.85</v>
      </c>
      <c r="BA177" s="2">
        <f t="shared" si="57"/>
        <v>0</v>
      </c>
      <c r="BC177">
        <f t="shared" si="58"/>
        <v>655.45275000000004</v>
      </c>
      <c r="BD177">
        <f t="shared" si="59"/>
        <v>1.3109055000000001</v>
      </c>
      <c r="BE177">
        <f t="shared" si="60"/>
        <v>1.3109055000000001</v>
      </c>
      <c r="BF177">
        <f t="shared" si="61"/>
        <v>655.45275000000004</v>
      </c>
      <c r="BG177">
        <f t="shared" si="62"/>
        <v>0</v>
      </c>
    </row>
    <row r="178" spans="1:59" ht="15" customHeight="1" x14ac:dyDescent="0.2">
      <c r="A178" s="2" t="s">
        <v>145</v>
      </c>
      <c r="B178" s="2" t="str">
        <f>VLOOKUP($A178,'[1]daily coal, energy reqd'!$C$2:$T$599,17,FALSE)</f>
        <v>Jharkhand</v>
      </c>
      <c r="C178" s="2" t="str">
        <f>VLOOKUP(B178,'Target PLF'!$I$2:$J$19,2,FALSE)</f>
        <v>ER</v>
      </c>
      <c r="D178" s="2" t="s">
        <v>571</v>
      </c>
      <c r="E178" s="2" t="s">
        <v>543</v>
      </c>
      <c r="F178" s="12">
        <v>7.2525667351129304</v>
      </c>
      <c r="G178" s="2">
        <v>500</v>
      </c>
      <c r="H178">
        <f>VLOOKUP(A178,'Coal savings'!$A$3:$AB$543,26,FALSE)</f>
        <v>2363226.8145728828</v>
      </c>
      <c r="I178" t="s">
        <v>694</v>
      </c>
      <c r="J178">
        <f>1175.7/2</f>
        <v>587.85</v>
      </c>
      <c r="O178" s="2" t="s">
        <v>145</v>
      </c>
      <c r="Q178" s="96"/>
      <c r="R178" s="96"/>
      <c r="S178" s="96"/>
      <c r="AH178" s="2" t="str">
        <f t="shared" si="63"/>
        <v>2019</v>
      </c>
      <c r="AI178" s="2">
        <f>(J178)/(1+0.115)^(AH178-2016)</f>
        <v>424.07426728203183</v>
      </c>
      <c r="AJ178" s="2">
        <f t="shared" si="45"/>
        <v>0.84814853456406369</v>
      </c>
      <c r="AK178" s="12">
        <f t="shared" si="46"/>
        <v>3.2525667351129304</v>
      </c>
      <c r="AL178" s="2" t="s">
        <v>571</v>
      </c>
      <c r="AM178" s="2" t="str">
        <f>VLOOKUP(A178,'[12]Power plant names'!$C$2:$F$545,4,FALSE)</f>
        <v>Sub critical</v>
      </c>
      <c r="AN178" s="2">
        <v>500</v>
      </c>
      <c r="AO178" s="2">
        <f t="shared" si="48"/>
        <v>0.84814853456406369</v>
      </c>
      <c r="AP178" s="2">
        <v>500</v>
      </c>
      <c r="AQ178" s="2">
        <f t="shared" si="49"/>
        <v>0</v>
      </c>
      <c r="AR178" s="2">
        <f t="shared" si="50"/>
        <v>424.07426728203183</v>
      </c>
      <c r="AS178" s="2">
        <f t="shared" si="51"/>
        <v>0</v>
      </c>
      <c r="AU178" s="2">
        <f t="shared" si="52"/>
        <v>587.85</v>
      </c>
      <c r="AV178" s="2">
        <f t="shared" si="53"/>
        <v>1.1757</v>
      </c>
      <c r="AW178" s="12">
        <f t="shared" si="54"/>
        <v>6.2525667351129304</v>
      </c>
      <c r="AX178" s="2">
        <v>500</v>
      </c>
      <c r="AY178" s="3">
        <f t="shared" si="55"/>
        <v>1.1757</v>
      </c>
      <c r="AZ178" s="2">
        <f t="shared" si="56"/>
        <v>587.85</v>
      </c>
      <c r="BA178" s="2">
        <f t="shared" si="57"/>
        <v>0</v>
      </c>
      <c r="BC178">
        <f t="shared" si="58"/>
        <v>655.45275000000004</v>
      </c>
      <c r="BD178">
        <f t="shared" si="59"/>
        <v>1.3109055000000001</v>
      </c>
      <c r="BE178">
        <f t="shared" si="60"/>
        <v>1.3109055000000001</v>
      </c>
      <c r="BF178">
        <f t="shared" si="61"/>
        <v>655.45275000000004</v>
      </c>
      <c r="BG178">
        <f t="shared" si="62"/>
        <v>0</v>
      </c>
    </row>
    <row r="179" spans="1:59" ht="15" hidden="1" customHeight="1" x14ac:dyDescent="0.2">
      <c r="A179" s="2" t="s">
        <v>416</v>
      </c>
      <c r="B179" s="2" t="str">
        <f>VLOOKUP($A179,'[1]daily coal, energy reqd'!$C$2:$T$599,17,FALSE)</f>
        <v>West Bengal</v>
      </c>
      <c r="C179" s="2" t="str">
        <f>VLOOKUP(B179,'Target PLF'!$I$2:$J$19,2,FALSE)</f>
        <v>ER</v>
      </c>
      <c r="D179" s="2" t="s">
        <v>570</v>
      </c>
      <c r="E179" s="2" t="s">
        <v>547</v>
      </c>
      <c r="F179" s="12">
        <v>27.337440109513999</v>
      </c>
      <c r="G179" s="2">
        <v>210</v>
      </c>
      <c r="H179">
        <f>VLOOKUP(A179,'Coal savings'!$A$3:$AB$543,26,FALSE)</f>
        <v>0</v>
      </c>
      <c r="O179" s="2" t="s">
        <v>416</v>
      </c>
      <c r="P179">
        <v>2019</v>
      </c>
      <c r="Q179" s="96">
        <v>354.07</v>
      </c>
      <c r="R179" t="s">
        <v>621</v>
      </c>
      <c r="S179" s="96">
        <v>1260</v>
      </c>
      <c r="AH179" s="2"/>
      <c r="AI179" s="2"/>
      <c r="AJ179" s="2" t="str">
        <f t="shared" si="45"/>
        <v/>
      </c>
      <c r="AK179" s="12">
        <f t="shared" si="46"/>
        <v>23.337440109513999</v>
      </c>
      <c r="AL179" s="2" t="s">
        <v>570</v>
      </c>
      <c r="AM179" s="2" t="str">
        <f>VLOOKUP(A179,'[12]Power plant names'!$C$2:$F$545,4,FALSE)</f>
        <v>Sub critical</v>
      </c>
      <c r="AN179" s="2">
        <v>210</v>
      </c>
      <c r="AO179" s="2">
        <f t="shared" si="48"/>
        <v>0.66325276481861795</v>
      </c>
      <c r="AP179" s="2">
        <v>210</v>
      </c>
      <c r="AQ179" s="2">
        <f t="shared" si="49"/>
        <v>0</v>
      </c>
      <c r="AR179" s="2">
        <f t="shared" si="50"/>
        <v>139.28308061190978</v>
      </c>
      <c r="AS179" s="2">
        <f t="shared" si="51"/>
        <v>0</v>
      </c>
      <c r="AU179" s="2"/>
      <c r="AV179" s="2" t="str">
        <f t="shared" si="53"/>
        <v/>
      </c>
      <c r="AW179" s="12">
        <f t="shared" si="54"/>
        <v>27.337440109513999</v>
      </c>
      <c r="AX179" s="2">
        <v>210</v>
      </c>
      <c r="AY179" s="3">
        <f t="shared" si="55"/>
        <v>0.80534833470225942</v>
      </c>
      <c r="AZ179" s="2">
        <f t="shared" si="56"/>
        <v>169.12315028747449</v>
      </c>
      <c r="BA179" s="2">
        <f t="shared" si="57"/>
        <v>0</v>
      </c>
      <c r="BC179" t="str">
        <f t="shared" si="58"/>
        <v/>
      </c>
      <c r="BE179">
        <f t="shared" si="60"/>
        <v>0.89901360780287543</v>
      </c>
      <c r="BF179">
        <f t="shared" si="61"/>
        <v>188.79285763860383</v>
      </c>
      <c r="BG179">
        <f t="shared" si="62"/>
        <v>0</v>
      </c>
    </row>
    <row r="180" spans="1:59" ht="15" hidden="1" customHeight="1" x14ac:dyDescent="0.2">
      <c r="A180" s="2" t="s">
        <v>428</v>
      </c>
      <c r="B180" s="2" t="str">
        <f>VLOOKUP($A180,'[1]daily coal, energy reqd'!$C$2:$T$599,17,FALSE)</f>
        <v>West Bengal</v>
      </c>
      <c r="C180" s="2" t="str">
        <f>VLOOKUP(B180,'Target PLF'!$I$2:$J$19,2,FALSE)</f>
        <v>ER</v>
      </c>
      <c r="D180" s="2" t="s">
        <v>570</v>
      </c>
      <c r="E180" s="2" t="s">
        <v>547</v>
      </c>
      <c r="F180" s="12">
        <v>29.7577002053388</v>
      </c>
      <c r="G180" s="2">
        <v>210</v>
      </c>
      <c r="H180">
        <f>VLOOKUP(A180,'Coal savings'!$A$3:$AB$543,26,FALSE)</f>
        <v>0</v>
      </c>
      <c r="O180" s="2" t="s">
        <v>428</v>
      </c>
      <c r="Q180" s="96"/>
      <c r="R180" t="s">
        <v>621</v>
      </c>
      <c r="S180" s="96"/>
      <c r="AH180" s="2" t="str">
        <f t="shared" ref="AH180:AH206" si="65">RIGHT(I180,4)</f>
        <v/>
      </c>
      <c r="AI180" s="2"/>
      <c r="AJ180" s="2" t="str">
        <f t="shared" si="45"/>
        <v/>
      </c>
      <c r="AK180" s="12">
        <f t="shared" si="46"/>
        <v>25.7577002053388</v>
      </c>
      <c r="AL180" s="2" t="s">
        <v>570</v>
      </c>
      <c r="AM180" s="2" t="str">
        <f>VLOOKUP(A180,'[12]Power plant names'!$C$2:$F$545,4,FALSE)</f>
        <v>Sub critical</v>
      </c>
      <c r="AN180" s="2">
        <v>210</v>
      </c>
      <c r="AO180" s="2">
        <f t="shared" si="48"/>
        <v>0.62971860903490784</v>
      </c>
      <c r="AP180" s="2">
        <v>210</v>
      </c>
      <c r="AQ180" s="2">
        <f t="shared" si="49"/>
        <v>0</v>
      </c>
      <c r="AR180" s="2">
        <f t="shared" si="50"/>
        <v>132.24090789733066</v>
      </c>
      <c r="AS180" s="2">
        <f t="shared" si="51"/>
        <v>0</v>
      </c>
      <c r="AU180" s="2"/>
      <c r="AV180" s="2" t="str">
        <f t="shared" si="53"/>
        <v/>
      </c>
      <c r="AW180" s="12">
        <f t="shared" si="54"/>
        <v>29.7577002053388</v>
      </c>
      <c r="AX180" s="2">
        <v>210</v>
      </c>
      <c r="AY180" s="3">
        <f t="shared" si="55"/>
        <v>0.76146345256673531</v>
      </c>
      <c r="AZ180" s="2">
        <f t="shared" si="56"/>
        <v>159.90732503901441</v>
      </c>
      <c r="BA180" s="2">
        <f t="shared" si="57"/>
        <v>0</v>
      </c>
      <c r="BC180" t="str">
        <f t="shared" si="58"/>
        <v/>
      </c>
      <c r="BE180">
        <f t="shared" si="60"/>
        <v>0.8469211396303904</v>
      </c>
      <c r="BF180">
        <f t="shared" si="61"/>
        <v>177.85343932238197</v>
      </c>
      <c r="BG180">
        <f t="shared" si="62"/>
        <v>0</v>
      </c>
    </row>
    <row r="181" spans="1:59" ht="15" hidden="1" customHeight="1" x14ac:dyDescent="0.2">
      <c r="A181" s="2" t="s">
        <v>460</v>
      </c>
      <c r="B181" s="2" t="str">
        <f>VLOOKUP($A181,'[1]daily coal, energy reqd'!$C$2:$T$599,17,FALSE)</f>
        <v>West Bengal</v>
      </c>
      <c r="C181" s="2" t="str">
        <f>VLOOKUP(B181,'Target PLF'!$I$2:$J$19,2,FALSE)</f>
        <v>ER</v>
      </c>
      <c r="D181" s="2" t="s">
        <v>570</v>
      </c>
      <c r="E181" s="2" t="s">
        <v>548</v>
      </c>
      <c r="F181" s="12">
        <v>34.4229979466119</v>
      </c>
      <c r="G181" s="2">
        <v>210</v>
      </c>
      <c r="H181">
        <f>VLOOKUP(A181,'Coal savings'!$A$3:$AB$543,26,FALSE)</f>
        <v>0</v>
      </c>
      <c r="O181" s="2" t="s">
        <v>460</v>
      </c>
      <c r="Q181" s="96"/>
      <c r="R181" t="s">
        <v>621</v>
      </c>
      <c r="S181" s="96"/>
      <c r="AH181" s="2" t="str">
        <f t="shared" si="65"/>
        <v/>
      </c>
      <c r="AI181" s="2"/>
      <c r="AJ181" s="2" t="str">
        <f t="shared" si="45"/>
        <v/>
      </c>
      <c r="AK181" s="12">
        <f t="shared" si="46"/>
        <v>30.4229979466119</v>
      </c>
      <c r="AL181" s="2" t="s">
        <v>570</v>
      </c>
      <c r="AM181" s="2" t="str">
        <f>VLOOKUP(A181,'[12]Power plant names'!$C$2:$F$545,4,FALSE)</f>
        <v>Sub critical</v>
      </c>
      <c r="AN181" s="2">
        <v>210</v>
      </c>
      <c r="AO181" s="2">
        <f t="shared" si="48"/>
        <v>0.56507810965092431</v>
      </c>
      <c r="AP181" s="2">
        <v>210</v>
      </c>
      <c r="AQ181" s="2">
        <f t="shared" si="49"/>
        <v>0</v>
      </c>
      <c r="AR181" s="2">
        <f t="shared" si="50"/>
        <v>118.6664030266941</v>
      </c>
      <c r="AS181" s="2">
        <f t="shared" si="51"/>
        <v>0</v>
      </c>
      <c r="AU181" s="2"/>
      <c r="AV181" s="2" t="str">
        <f t="shared" si="53"/>
        <v/>
      </c>
      <c r="AW181" s="12">
        <f t="shared" si="54"/>
        <v>34.4229979466119</v>
      </c>
      <c r="AX181" s="2">
        <v>210</v>
      </c>
      <c r="AY181" s="3">
        <f t="shared" si="55"/>
        <v>0.67687087433264903</v>
      </c>
      <c r="AZ181" s="2">
        <f t="shared" si="56"/>
        <v>142.14288360985628</v>
      </c>
      <c r="BA181" s="2">
        <f t="shared" si="57"/>
        <v>0</v>
      </c>
      <c r="BC181" t="str">
        <f t="shared" si="58"/>
        <v/>
      </c>
      <c r="BE181">
        <f t="shared" si="60"/>
        <v>0.74650760369609881</v>
      </c>
      <c r="BF181">
        <f t="shared" si="61"/>
        <v>156.76659677618076</v>
      </c>
      <c r="BG181">
        <f t="shared" si="62"/>
        <v>0</v>
      </c>
    </row>
    <row r="182" spans="1:59" ht="15" hidden="1" customHeight="1" x14ac:dyDescent="0.2">
      <c r="A182" s="2" t="s">
        <v>475</v>
      </c>
      <c r="B182" s="2" t="str">
        <f>VLOOKUP($A182,'[1]daily coal, energy reqd'!$C$2:$T$599,17,FALSE)</f>
        <v>West Bengal</v>
      </c>
      <c r="C182" s="2" t="str">
        <f>VLOOKUP(B182,'Target PLF'!$I$2:$J$19,2,FALSE)</f>
        <v>ER</v>
      </c>
      <c r="D182" s="2" t="s">
        <v>570</v>
      </c>
      <c r="E182" s="2" t="s">
        <v>549</v>
      </c>
      <c r="F182" s="12">
        <v>36.339493497604302</v>
      </c>
      <c r="G182" s="2">
        <v>210</v>
      </c>
      <c r="H182">
        <f>VLOOKUP(A182,'Coal savings'!$A$3:$AB$543,26,FALSE)</f>
        <v>0</v>
      </c>
      <c r="O182" s="2" t="s">
        <v>475</v>
      </c>
      <c r="Q182" s="96"/>
      <c r="R182" t="s">
        <v>621</v>
      </c>
      <c r="S182" s="96"/>
      <c r="AH182" s="2" t="str">
        <f t="shared" si="65"/>
        <v/>
      </c>
      <c r="AI182" s="2"/>
      <c r="AJ182" s="2" t="str">
        <f t="shared" si="45"/>
        <v/>
      </c>
      <c r="AK182" s="12">
        <f t="shared" si="46"/>
        <v>32.339493497604302</v>
      </c>
      <c r="AL182" s="2" t="s">
        <v>570</v>
      </c>
      <c r="AM182" s="2" t="str">
        <f>VLOOKUP(A182,'[12]Power plant names'!$C$2:$F$545,4,FALSE)</f>
        <v>Sub critical</v>
      </c>
      <c r="AN182" s="2">
        <v>210</v>
      </c>
      <c r="AO182" s="2">
        <f t="shared" si="48"/>
        <v>0.53852391389459398</v>
      </c>
      <c r="AP182" s="2">
        <v>210</v>
      </c>
      <c r="AQ182" s="2">
        <f t="shared" si="49"/>
        <v>0</v>
      </c>
      <c r="AR182" s="2">
        <f t="shared" si="50"/>
        <v>113.09002191786473</v>
      </c>
      <c r="AS182" s="2">
        <f t="shared" si="51"/>
        <v>0</v>
      </c>
      <c r="AU182" s="2"/>
      <c r="AV182" s="2" t="str">
        <f t="shared" si="53"/>
        <v/>
      </c>
      <c r="AW182" s="12">
        <f t="shared" si="54"/>
        <v>36.339493497604302</v>
      </c>
      <c r="AX182" s="2">
        <v>210</v>
      </c>
      <c r="AY182" s="3">
        <f t="shared" si="55"/>
        <v>0.64212040205338961</v>
      </c>
      <c r="AZ182" s="2">
        <f t="shared" si="56"/>
        <v>134.84528443121181</v>
      </c>
      <c r="BA182" s="2">
        <f t="shared" si="57"/>
        <v>0</v>
      </c>
      <c r="BC182" t="str">
        <f t="shared" si="58"/>
        <v/>
      </c>
      <c r="BE182">
        <f t="shared" si="60"/>
        <v>0.70525791170431384</v>
      </c>
      <c r="BF182">
        <f t="shared" si="61"/>
        <v>148.10416145790592</v>
      </c>
      <c r="BG182">
        <f t="shared" si="62"/>
        <v>0</v>
      </c>
    </row>
    <row r="183" spans="1:59" ht="15" hidden="1" customHeight="1" x14ac:dyDescent="0.2">
      <c r="A183" s="2" t="s">
        <v>409</v>
      </c>
      <c r="B183" s="2" t="str">
        <f>VLOOKUP($A183,'[1]daily coal, energy reqd'!$C$2:$T$599,17,FALSE)</f>
        <v>West Bengal</v>
      </c>
      <c r="C183" s="2" t="str">
        <f>VLOOKUP(B183,'Target PLF'!$I$2:$J$19,2,FALSE)</f>
        <v>ER</v>
      </c>
      <c r="D183" s="2" t="s">
        <v>570</v>
      </c>
      <c r="E183" s="2" t="s">
        <v>547</v>
      </c>
      <c r="F183" s="12">
        <v>26.4229979466119</v>
      </c>
      <c r="G183" s="2">
        <v>210</v>
      </c>
      <c r="H183">
        <f>VLOOKUP(A183,'Coal savings'!$A$3:$AB$543,26,FALSE)</f>
        <v>0</v>
      </c>
      <c r="O183" s="2" t="s">
        <v>409</v>
      </c>
      <c r="Q183" s="96"/>
      <c r="R183" t="s">
        <v>621</v>
      </c>
      <c r="S183" s="96"/>
      <c r="AH183" s="2" t="str">
        <f t="shared" si="65"/>
        <v/>
      </c>
      <c r="AI183" s="2"/>
      <c r="AJ183" s="2" t="str">
        <f t="shared" si="45"/>
        <v/>
      </c>
      <c r="AK183" s="12">
        <f t="shared" si="46"/>
        <v>22.4229979466119</v>
      </c>
      <c r="AL183" s="2" t="s">
        <v>570</v>
      </c>
      <c r="AM183" s="2" t="str">
        <f>VLOOKUP(A183,'[12]Power plant names'!$C$2:$F$545,4,FALSE)</f>
        <v>Sub critical</v>
      </c>
      <c r="AN183" s="2">
        <v>210</v>
      </c>
      <c r="AO183" s="2">
        <f t="shared" si="48"/>
        <v>0.67592290965092428</v>
      </c>
      <c r="AP183" s="2">
        <v>210</v>
      </c>
      <c r="AQ183" s="2">
        <f t="shared" si="49"/>
        <v>0</v>
      </c>
      <c r="AR183" s="2">
        <f t="shared" si="50"/>
        <v>141.94381102669411</v>
      </c>
      <c r="AS183" s="2">
        <f t="shared" si="51"/>
        <v>0</v>
      </c>
      <c r="AU183" s="2"/>
      <c r="AV183" s="2" t="str">
        <f t="shared" si="53"/>
        <v/>
      </c>
      <c r="AW183" s="12">
        <f t="shared" si="54"/>
        <v>26.4229979466119</v>
      </c>
      <c r="AX183" s="2">
        <v>210</v>
      </c>
      <c r="AY183" s="3">
        <f t="shared" si="55"/>
        <v>0.82192927433264906</v>
      </c>
      <c r="AZ183" s="2">
        <f t="shared" si="56"/>
        <v>172.60514760985632</v>
      </c>
      <c r="BA183" s="2">
        <f t="shared" si="57"/>
        <v>0</v>
      </c>
      <c r="BC183" t="str">
        <f t="shared" si="58"/>
        <v/>
      </c>
      <c r="BE183">
        <f t="shared" si="60"/>
        <v>0.91869560369609882</v>
      </c>
      <c r="BF183">
        <f t="shared" si="61"/>
        <v>192.92607677618076</v>
      </c>
      <c r="BG183">
        <f t="shared" si="62"/>
        <v>0</v>
      </c>
    </row>
    <row r="184" spans="1:59" ht="15" hidden="1" customHeight="1" x14ac:dyDescent="0.2">
      <c r="A184" s="2" t="s">
        <v>425</v>
      </c>
      <c r="B184" s="2" t="str">
        <f>VLOOKUP($A184,'[1]daily coal, energy reqd'!$C$2:$T$599,17,FALSE)</f>
        <v>West Bengal</v>
      </c>
      <c r="C184" s="2" t="str">
        <f>VLOOKUP(B184,'Target PLF'!$I$2:$J$19,2,FALSE)</f>
        <v>ER</v>
      </c>
      <c r="D184" s="2" t="s">
        <v>570</v>
      </c>
      <c r="E184" s="2" t="s">
        <v>547</v>
      </c>
      <c r="F184" s="12">
        <v>29.177275838466802</v>
      </c>
      <c r="G184" s="2">
        <v>210</v>
      </c>
      <c r="H184">
        <f>VLOOKUP(A184,'Coal savings'!$A$3:$AB$543,26,FALSE)</f>
        <v>0</v>
      </c>
      <c r="O184" s="2" t="s">
        <v>425</v>
      </c>
      <c r="Q184" s="96"/>
      <c r="R184" t="s">
        <v>621</v>
      </c>
      <c r="S184" s="96"/>
      <c r="AH184" s="2" t="str">
        <f t="shared" si="65"/>
        <v/>
      </c>
      <c r="AI184" s="2"/>
      <c r="AJ184" s="2" t="str">
        <f t="shared" si="45"/>
        <v/>
      </c>
      <c r="AK184" s="12">
        <f t="shared" si="46"/>
        <v>25.177275838466802</v>
      </c>
      <c r="AL184" s="2" t="s">
        <v>570</v>
      </c>
      <c r="AM184" s="2" t="str">
        <f>VLOOKUP(A184,'[12]Power plant names'!$C$2:$F$545,4,FALSE)</f>
        <v>Sub critical</v>
      </c>
      <c r="AN184" s="2">
        <v>210</v>
      </c>
      <c r="AO184" s="2">
        <f t="shared" si="48"/>
        <v>0.63776073689253954</v>
      </c>
      <c r="AP184" s="2">
        <v>210</v>
      </c>
      <c r="AQ184" s="2">
        <f t="shared" si="49"/>
        <v>0</v>
      </c>
      <c r="AR184" s="2">
        <f t="shared" si="50"/>
        <v>133.92975474743329</v>
      </c>
      <c r="AS184" s="2">
        <f t="shared" si="51"/>
        <v>0</v>
      </c>
      <c r="AU184" s="2"/>
      <c r="AV184" s="2" t="str">
        <f t="shared" si="53"/>
        <v/>
      </c>
      <c r="AW184" s="12">
        <f t="shared" si="54"/>
        <v>29.177275838466802</v>
      </c>
      <c r="AX184" s="2">
        <v>210</v>
      </c>
      <c r="AY184" s="3">
        <f t="shared" si="55"/>
        <v>0.7719878813141684</v>
      </c>
      <c r="AZ184" s="2">
        <f t="shared" si="56"/>
        <v>162.11745507597536</v>
      </c>
      <c r="BA184" s="2">
        <f t="shared" si="57"/>
        <v>0</v>
      </c>
      <c r="BC184" t="str">
        <f t="shared" si="58"/>
        <v/>
      </c>
      <c r="BE184">
        <f t="shared" si="60"/>
        <v>0.85941390349075986</v>
      </c>
      <c r="BF184">
        <f t="shared" si="61"/>
        <v>180.47691973305956</v>
      </c>
      <c r="BG184">
        <f t="shared" si="62"/>
        <v>0</v>
      </c>
    </row>
    <row r="185" spans="1:59" ht="15" customHeight="1" x14ac:dyDescent="0.2">
      <c r="A185" s="2" t="s">
        <v>34</v>
      </c>
      <c r="B185" s="2" t="str">
        <f>VLOOKUP($A185,'[1]daily coal, energy reqd'!$C$2:$T$599,17,FALSE)</f>
        <v>Maharashtra</v>
      </c>
      <c r="C185" s="2" t="str">
        <f>VLOOKUP(B185,'Target PLF'!$I$2:$J$19,2,FALSE)</f>
        <v>WR</v>
      </c>
      <c r="D185" s="2" t="s">
        <v>570</v>
      </c>
      <c r="E185" s="2" t="s">
        <v>542</v>
      </c>
      <c r="F185" s="12">
        <v>3.4223134839151199</v>
      </c>
      <c r="G185" s="2">
        <v>660</v>
      </c>
      <c r="H185">
        <f>VLOOKUP(A185,'Coal savings'!$A$3:$AB$543,26,FALSE)</f>
        <v>3097344.8707390283</v>
      </c>
      <c r="I185" t="s">
        <v>695</v>
      </c>
      <c r="J185">
        <f>2110.81/3</f>
        <v>703.60333333333335</v>
      </c>
      <c r="O185" s="2" t="s">
        <v>34</v>
      </c>
      <c r="AH185" s="2" t="str">
        <f t="shared" si="65"/>
        <v>2018</v>
      </c>
      <c r="AI185" s="2">
        <f t="shared" ref="AI185:AI206" si="66">(J185)/(1+0.115)^(AH185-2016)</f>
        <v>565.95011629699638</v>
      </c>
      <c r="AJ185" s="2">
        <f t="shared" si="45"/>
        <v>0.85750017620757024</v>
      </c>
      <c r="AK185" s="12">
        <f t="shared" si="46"/>
        <v>1</v>
      </c>
      <c r="AL185" s="2" t="s">
        <v>570</v>
      </c>
      <c r="AM185" s="2" t="str">
        <f>VLOOKUP(A185,'[12]Power plant names'!$C$2:$F$545,4,FALSE)</f>
        <v>Super critical</v>
      </c>
      <c r="AN185" s="2">
        <v>660</v>
      </c>
      <c r="AO185" s="2">
        <f t="shared" si="48"/>
        <v>0.85750017620757024</v>
      </c>
      <c r="AP185" s="2">
        <v>660</v>
      </c>
      <c r="AQ185" s="2">
        <f t="shared" si="49"/>
        <v>0</v>
      </c>
      <c r="AR185" s="2">
        <f t="shared" si="50"/>
        <v>565.95011629699638</v>
      </c>
      <c r="AS185" s="2">
        <f t="shared" si="51"/>
        <v>0</v>
      </c>
      <c r="AU185" s="2">
        <f t="shared" si="52"/>
        <v>703.60333333333335</v>
      </c>
      <c r="AV185" s="2">
        <f t="shared" si="53"/>
        <v>1.0660656565656565</v>
      </c>
      <c r="AW185" s="12">
        <f t="shared" si="54"/>
        <v>1.4223134839151199</v>
      </c>
      <c r="AX185" s="2">
        <v>660</v>
      </c>
      <c r="AY185" s="3">
        <f t="shared" si="55"/>
        <v>1.0660656565656565</v>
      </c>
      <c r="AZ185" s="2">
        <f t="shared" si="56"/>
        <v>703.60333333333335</v>
      </c>
      <c r="BA185" s="2">
        <f t="shared" si="57"/>
        <v>0</v>
      </c>
      <c r="BC185">
        <f t="shared" si="58"/>
        <v>874.73725408333337</v>
      </c>
      <c r="BD185">
        <f t="shared" si="59"/>
        <v>1.3253594758838385</v>
      </c>
      <c r="BE185">
        <f t="shared" si="60"/>
        <v>1.3253594758838385</v>
      </c>
      <c r="BF185">
        <f t="shared" si="61"/>
        <v>874.73725408333337</v>
      </c>
      <c r="BG185">
        <f t="shared" si="62"/>
        <v>0</v>
      </c>
    </row>
    <row r="186" spans="1:59" ht="15" hidden="1" customHeight="1" x14ac:dyDescent="0.2">
      <c r="A186" s="2" t="s">
        <v>495</v>
      </c>
      <c r="B186" s="2" t="str">
        <f>VLOOKUP($A186,'[1]daily coal, energy reqd'!$C$2:$T$599,17,FALSE)</f>
        <v>Maharashtra</v>
      </c>
      <c r="C186" s="2" t="str">
        <f>VLOOKUP(B186,'Target PLF'!$I$2:$J$19,2,FALSE)</f>
        <v>WR</v>
      </c>
      <c r="D186" s="2" t="s">
        <v>570</v>
      </c>
      <c r="E186" s="2" t="s">
        <v>549</v>
      </c>
      <c r="F186" s="12">
        <v>38.176591375770002</v>
      </c>
      <c r="G186" s="2">
        <v>210</v>
      </c>
      <c r="H186">
        <f>VLOOKUP(A186,'Coal savings'!$A$3:$AB$543,26,FALSE)</f>
        <v>0</v>
      </c>
      <c r="I186" t="s">
        <v>695</v>
      </c>
      <c r="J186">
        <v>91.26</v>
      </c>
      <c r="O186" s="2" t="s">
        <v>495</v>
      </c>
      <c r="AH186" s="2" t="str">
        <f t="shared" si="65"/>
        <v>2018</v>
      </c>
      <c r="AI186" s="2">
        <f t="shared" si="66"/>
        <v>73.405859759898647</v>
      </c>
      <c r="AJ186" s="2">
        <f t="shared" si="45"/>
        <v>0.34955171314237449</v>
      </c>
      <c r="AK186" s="12">
        <f t="shared" si="46"/>
        <v>34.176591375770002</v>
      </c>
      <c r="AL186" s="2" t="s">
        <v>570</v>
      </c>
      <c r="AM186" s="2" t="str">
        <f>VLOOKUP(A186,'[12]Power plant names'!$C$2:$F$545,4,FALSE)</f>
        <v>Sub critical</v>
      </c>
      <c r="AN186" s="2">
        <v>210</v>
      </c>
      <c r="AO186" s="2">
        <f t="shared" si="48"/>
        <v>0.34955171314237449</v>
      </c>
      <c r="AP186" s="2">
        <v>210</v>
      </c>
      <c r="AQ186" s="2">
        <f t="shared" si="49"/>
        <v>0</v>
      </c>
      <c r="AR186" s="2">
        <f t="shared" si="50"/>
        <v>73.405859759898647</v>
      </c>
      <c r="AS186" s="2">
        <f t="shared" si="51"/>
        <v>0</v>
      </c>
      <c r="AU186" s="2">
        <f t="shared" si="52"/>
        <v>91.259999999999991</v>
      </c>
      <c r="AV186" s="2">
        <f t="shared" si="53"/>
        <v>0.43457142857142855</v>
      </c>
      <c r="AW186" s="12">
        <f t="shared" si="54"/>
        <v>36.176591375770002</v>
      </c>
      <c r="AX186" s="2">
        <v>210</v>
      </c>
      <c r="AY186" s="3">
        <f t="shared" si="55"/>
        <v>0.43457142857142855</v>
      </c>
      <c r="AZ186" s="2">
        <f t="shared" si="56"/>
        <v>91.259999999999991</v>
      </c>
      <c r="BA186" s="2">
        <f t="shared" si="57"/>
        <v>0</v>
      </c>
      <c r="BC186">
        <f t="shared" si="58"/>
        <v>113.45671349999999</v>
      </c>
      <c r="BD186">
        <f t="shared" si="59"/>
        <v>0.54027006428571422</v>
      </c>
      <c r="BE186">
        <f t="shared" si="60"/>
        <v>0.54027006428571422</v>
      </c>
      <c r="BF186">
        <f t="shared" si="61"/>
        <v>113.45671349999999</v>
      </c>
      <c r="BG186">
        <f t="shared" si="62"/>
        <v>0</v>
      </c>
    </row>
    <row r="187" spans="1:59" ht="15" hidden="1" customHeight="1" x14ac:dyDescent="0.2">
      <c r="A187" s="2" t="s">
        <v>487</v>
      </c>
      <c r="B187" s="2" t="str">
        <f>VLOOKUP($A187,'[1]daily coal, energy reqd'!$C$2:$T$599,17,FALSE)</f>
        <v>Maharashtra</v>
      </c>
      <c r="C187" s="2" t="str">
        <f>VLOOKUP(B187,'Target PLF'!$I$2:$J$19,2,FALSE)</f>
        <v>WR</v>
      </c>
      <c r="D187" s="2" t="s">
        <v>570</v>
      </c>
      <c r="E187" s="2" t="s">
        <v>549</v>
      </c>
      <c r="F187" s="12">
        <v>37.338809034907598</v>
      </c>
      <c r="G187" s="2">
        <v>210</v>
      </c>
      <c r="H187">
        <f>VLOOKUP(A187,'Coal savings'!$A$3:$AB$543,26,FALSE)</f>
        <v>0</v>
      </c>
      <c r="I187" t="s">
        <v>695</v>
      </c>
      <c r="J187">
        <v>91.26</v>
      </c>
      <c r="O187" s="2" t="s">
        <v>487</v>
      </c>
      <c r="AH187" s="2" t="str">
        <f t="shared" si="65"/>
        <v>2018</v>
      </c>
      <c r="AI187" s="2">
        <f t="shared" si="66"/>
        <v>73.405859759898647</v>
      </c>
      <c r="AJ187" s="2">
        <f t="shared" si="45"/>
        <v>0.34955171314237449</v>
      </c>
      <c r="AK187" s="12">
        <f t="shared" si="46"/>
        <v>33.338809034907598</v>
      </c>
      <c r="AL187" s="2" t="s">
        <v>570</v>
      </c>
      <c r="AM187" s="2" t="str">
        <f>VLOOKUP(A187,'[12]Power plant names'!$C$2:$F$545,4,FALSE)</f>
        <v>Sub critical</v>
      </c>
      <c r="AN187" s="2">
        <v>210</v>
      </c>
      <c r="AO187" s="2">
        <f t="shared" si="48"/>
        <v>0.34955171314237449</v>
      </c>
      <c r="AP187" s="2">
        <v>210</v>
      </c>
      <c r="AQ187" s="2">
        <f t="shared" si="49"/>
        <v>0</v>
      </c>
      <c r="AR187" s="2">
        <f t="shared" si="50"/>
        <v>73.405859759898647</v>
      </c>
      <c r="AS187" s="2">
        <f t="shared" si="51"/>
        <v>0</v>
      </c>
      <c r="AU187" s="2">
        <f t="shared" si="52"/>
        <v>91.259999999999991</v>
      </c>
      <c r="AV187" s="2">
        <f t="shared" si="53"/>
        <v>0.43457142857142855</v>
      </c>
      <c r="AW187" s="12">
        <f t="shared" si="54"/>
        <v>35.338809034907598</v>
      </c>
      <c r="AX187" s="2">
        <v>210</v>
      </c>
      <c r="AY187" s="3">
        <f t="shared" si="55"/>
        <v>0.43457142857142855</v>
      </c>
      <c r="AZ187" s="2">
        <f t="shared" si="56"/>
        <v>91.259999999999991</v>
      </c>
      <c r="BA187" s="2">
        <f t="shared" si="57"/>
        <v>0</v>
      </c>
      <c r="BC187">
        <f t="shared" si="58"/>
        <v>113.45671349999999</v>
      </c>
      <c r="BD187">
        <f t="shared" si="59"/>
        <v>0.54027006428571422</v>
      </c>
      <c r="BE187">
        <f t="shared" si="60"/>
        <v>0.54027006428571422</v>
      </c>
      <c r="BF187">
        <f t="shared" si="61"/>
        <v>113.45671349999999</v>
      </c>
      <c r="BG187">
        <f t="shared" si="62"/>
        <v>0</v>
      </c>
    </row>
    <row r="188" spans="1:59" ht="15" customHeight="1" x14ac:dyDescent="0.2">
      <c r="A188" s="2" t="s">
        <v>54</v>
      </c>
      <c r="B188" s="2" t="str">
        <f>VLOOKUP($A188,'[1]daily coal, energy reqd'!$C$2:$T$599,17,FALSE)</f>
        <v>Maharashtra</v>
      </c>
      <c r="C188" s="2" t="str">
        <f>VLOOKUP(B188,'Target PLF'!$I$2:$J$19,2,FALSE)</f>
        <v>WR</v>
      </c>
      <c r="D188" s="2" t="s">
        <v>570</v>
      </c>
      <c r="E188" s="2" t="s">
        <v>543</v>
      </c>
      <c r="F188" s="12">
        <v>5.1772758384667998</v>
      </c>
      <c r="G188" s="2">
        <v>660</v>
      </c>
      <c r="H188">
        <f>VLOOKUP(A188,'Coal savings'!$A$3:$AB$543,26,FALSE)</f>
        <v>3113517.1060416531</v>
      </c>
      <c r="I188" t="s">
        <v>695</v>
      </c>
      <c r="J188">
        <f>2110.81/3</f>
        <v>703.60333333333335</v>
      </c>
      <c r="O188" s="2" t="s">
        <v>54</v>
      </c>
      <c r="AH188" s="2" t="str">
        <f t="shared" si="65"/>
        <v>2018</v>
      </c>
      <c r="AI188" s="2">
        <f t="shared" si="66"/>
        <v>565.95011629699638</v>
      </c>
      <c r="AJ188" s="2">
        <f t="shared" si="45"/>
        <v>0.85750017620757024</v>
      </c>
      <c r="AK188" s="12">
        <f t="shared" si="46"/>
        <v>1.1772758384667998</v>
      </c>
      <c r="AL188" s="2" t="s">
        <v>570</v>
      </c>
      <c r="AM188" s="2" t="str">
        <f>VLOOKUP(A188,'[12]Power plant names'!$C$2:$F$545,4,FALSE)</f>
        <v>Super critical</v>
      </c>
      <c r="AN188" s="2">
        <v>660</v>
      </c>
      <c r="AO188" s="2">
        <f t="shared" si="48"/>
        <v>0.85750017620757024</v>
      </c>
      <c r="AP188" s="2">
        <v>660</v>
      </c>
      <c r="AQ188" s="2">
        <f t="shared" si="49"/>
        <v>0</v>
      </c>
      <c r="AR188" s="2">
        <f t="shared" si="50"/>
        <v>565.95011629699638</v>
      </c>
      <c r="AS188" s="2">
        <f t="shared" si="51"/>
        <v>0</v>
      </c>
      <c r="AU188" s="2">
        <f t="shared" si="52"/>
        <v>703.60333333333335</v>
      </c>
      <c r="AV188" s="2">
        <f t="shared" si="53"/>
        <v>1.0660656565656565</v>
      </c>
      <c r="AW188" s="12">
        <f t="shared" si="54"/>
        <v>3.1772758384667998</v>
      </c>
      <c r="AX188" s="2">
        <v>660</v>
      </c>
      <c r="AY188" s="3">
        <f t="shared" si="55"/>
        <v>1.0660656565656565</v>
      </c>
      <c r="AZ188" s="2">
        <f t="shared" si="56"/>
        <v>703.60333333333335</v>
      </c>
      <c r="BA188" s="2">
        <f t="shared" si="57"/>
        <v>0</v>
      </c>
      <c r="BC188">
        <f t="shared" si="58"/>
        <v>874.73725408333337</v>
      </c>
      <c r="BD188">
        <f t="shared" si="59"/>
        <v>1.3253594758838385</v>
      </c>
      <c r="BE188">
        <f t="shared" si="60"/>
        <v>1.3253594758838385</v>
      </c>
      <c r="BF188">
        <f t="shared" si="61"/>
        <v>874.73725408333337</v>
      </c>
      <c r="BG188">
        <f t="shared" si="62"/>
        <v>0</v>
      </c>
    </row>
    <row r="189" spans="1:59" ht="15" customHeight="1" x14ac:dyDescent="0.2">
      <c r="A189" s="2" t="s">
        <v>41</v>
      </c>
      <c r="B189" s="2" t="str">
        <f>VLOOKUP($A189,'[1]daily coal, energy reqd'!$C$2:$T$599,17,FALSE)</f>
        <v>Maharashtra</v>
      </c>
      <c r="C189" s="2" t="str">
        <f>VLOOKUP(B189,'Target PLF'!$I$2:$J$19,2,FALSE)</f>
        <v>WR</v>
      </c>
      <c r="D189" s="2" t="s">
        <v>570</v>
      </c>
      <c r="E189" s="2" t="s">
        <v>542</v>
      </c>
      <c r="F189" s="12">
        <v>4.1752224503764497</v>
      </c>
      <c r="G189" s="2">
        <v>660</v>
      </c>
      <c r="H189">
        <f>VLOOKUP(A189,'Coal savings'!$A$3:$AB$543,26,FALSE)</f>
        <v>3104283.0372105134</v>
      </c>
      <c r="I189" t="s">
        <v>695</v>
      </c>
      <c r="J189">
        <f>2110.81/3</f>
        <v>703.60333333333335</v>
      </c>
      <c r="O189" s="2" t="s">
        <v>41</v>
      </c>
      <c r="AH189" s="2" t="str">
        <f t="shared" si="65"/>
        <v>2018</v>
      </c>
      <c r="AI189" s="2">
        <f t="shared" si="66"/>
        <v>565.95011629699638</v>
      </c>
      <c r="AJ189" s="2">
        <f t="shared" si="45"/>
        <v>0.85750017620757024</v>
      </c>
      <c r="AK189" s="12">
        <f t="shared" si="46"/>
        <v>0.17522245037644968</v>
      </c>
      <c r="AL189" s="2" t="s">
        <v>570</v>
      </c>
      <c r="AM189" s="2" t="str">
        <f>VLOOKUP(A189,'[12]Power plant names'!$C$2:$F$545,4,FALSE)</f>
        <v>Super critical</v>
      </c>
      <c r="AN189" s="2">
        <v>660</v>
      </c>
      <c r="AO189" s="2">
        <f t="shared" si="48"/>
        <v>0.85750017620757024</v>
      </c>
      <c r="AP189" s="2">
        <v>660</v>
      </c>
      <c r="AQ189" s="2">
        <f t="shared" si="49"/>
        <v>0</v>
      </c>
      <c r="AR189" s="2">
        <f t="shared" si="50"/>
        <v>565.95011629699638</v>
      </c>
      <c r="AS189" s="2">
        <f t="shared" si="51"/>
        <v>0</v>
      </c>
      <c r="AU189" s="2">
        <f t="shared" si="52"/>
        <v>703.60333333333335</v>
      </c>
      <c r="AV189" s="2">
        <f t="shared" si="53"/>
        <v>1.0660656565656565</v>
      </c>
      <c r="AW189" s="12">
        <f t="shared" si="54"/>
        <v>2.1752224503764497</v>
      </c>
      <c r="AX189" s="2">
        <v>660</v>
      </c>
      <c r="AY189" s="3">
        <f t="shared" si="55"/>
        <v>1.0660656565656565</v>
      </c>
      <c r="AZ189" s="2">
        <f t="shared" si="56"/>
        <v>703.60333333333335</v>
      </c>
      <c r="BA189" s="2">
        <f t="shared" si="57"/>
        <v>0</v>
      </c>
      <c r="BC189">
        <f t="shared" si="58"/>
        <v>874.73725408333337</v>
      </c>
      <c r="BD189">
        <f t="shared" si="59"/>
        <v>1.3253594758838385</v>
      </c>
      <c r="BE189">
        <f t="shared" si="60"/>
        <v>1.3253594758838385</v>
      </c>
      <c r="BF189">
        <f t="shared" si="61"/>
        <v>874.73725408333337</v>
      </c>
      <c r="BG189">
        <f t="shared" si="62"/>
        <v>0</v>
      </c>
    </row>
    <row r="190" spans="1:59" ht="14.5" hidden="1" customHeight="1" x14ac:dyDescent="0.2">
      <c r="A190" s="2" t="s">
        <v>491</v>
      </c>
      <c r="B190" s="2" t="str">
        <f>VLOOKUP($A190,'[1]daily coal, energy reqd'!$C$2:$T$599,17,FALSE)</f>
        <v>Chhatisgarh</v>
      </c>
      <c r="C190" s="2" t="str">
        <f>VLOOKUP(B190,'Target PLF'!$I$2:$J$19,2,FALSE)</f>
        <v>WR</v>
      </c>
      <c r="D190" s="2" t="s">
        <v>571</v>
      </c>
      <c r="E190" s="2" t="s">
        <v>549</v>
      </c>
      <c r="F190" s="12">
        <v>37.2539356605065</v>
      </c>
      <c r="G190" s="2">
        <v>200</v>
      </c>
      <c r="H190">
        <f>VLOOKUP(A190,'Coal savings'!$A$3:$AB$543,26,FALSE)</f>
        <v>0</v>
      </c>
      <c r="I190" t="s">
        <v>694</v>
      </c>
      <c r="J190">
        <v>77.38</v>
      </c>
      <c r="O190" s="2" t="s">
        <v>491</v>
      </c>
      <c r="P190">
        <v>2019</v>
      </c>
      <c r="Q190" s="96">
        <v>12.78</v>
      </c>
      <c r="R190" s="96" t="s">
        <v>615</v>
      </c>
      <c r="S190" s="96">
        <v>13.5</v>
      </c>
      <c r="T190" s="96">
        <v>79.31</v>
      </c>
      <c r="U190" s="96" t="s">
        <v>611</v>
      </c>
      <c r="V190" s="96"/>
      <c r="W190" s="96">
        <v>101.5</v>
      </c>
      <c r="X190" s="96" t="s">
        <v>681</v>
      </c>
      <c r="Y190" s="96"/>
      <c r="AH190" s="2" t="str">
        <f t="shared" si="65"/>
        <v>2019</v>
      </c>
      <c r="AI190" s="2">
        <f t="shared" si="66"/>
        <v>55.821836867030058</v>
      </c>
      <c r="AJ190" s="2">
        <f t="shared" si="45"/>
        <v>0.27910918433515031</v>
      </c>
      <c r="AK190" s="12">
        <f t="shared" si="46"/>
        <v>33.2539356605065</v>
      </c>
      <c r="AL190" s="2" t="s">
        <v>571</v>
      </c>
      <c r="AM190" s="2" t="str">
        <f>VLOOKUP(A190,'[12]Power plant names'!$C$2:$F$545,4,FALSE)</f>
        <v>Sub critical</v>
      </c>
      <c r="AN190" s="2">
        <v>200</v>
      </c>
      <c r="AO190" s="2">
        <f t="shared" si="48"/>
        <v>0.27910918433515031</v>
      </c>
      <c r="AP190" s="2">
        <v>200</v>
      </c>
      <c r="AQ190" s="2">
        <f t="shared" si="49"/>
        <v>0</v>
      </c>
      <c r="AR190" s="2">
        <f t="shared" si="50"/>
        <v>55.821836867030058</v>
      </c>
      <c r="AS190" s="2">
        <f t="shared" si="51"/>
        <v>0</v>
      </c>
      <c r="AU190" s="2">
        <f t="shared" si="52"/>
        <v>77.38</v>
      </c>
      <c r="AV190" s="2">
        <f t="shared" si="53"/>
        <v>0.38689999999999997</v>
      </c>
      <c r="AW190" s="12">
        <f t="shared" si="54"/>
        <v>36.2539356605065</v>
      </c>
      <c r="AX190" s="2">
        <v>200</v>
      </c>
      <c r="AY190" s="3">
        <f t="shared" si="55"/>
        <v>0.38689999999999997</v>
      </c>
      <c r="AZ190" s="2">
        <f t="shared" si="56"/>
        <v>77.38</v>
      </c>
      <c r="BA190" s="2">
        <f t="shared" si="57"/>
        <v>0</v>
      </c>
      <c r="BC190">
        <f t="shared" si="58"/>
        <v>86.278700000000001</v>
      </c>
      <c r="BD190">
        <f t="shared" si="59"/>
        <v>0.43139349999999999</v>
      </c>
      <c r="BE190">
        <f t="shared" si="60"/>
        <v>0.43139349999999999</v>
      </c>
      <c r="BF190">
        <f t="shared" si="61"/>
        <v>86.278700000000001</v>
      </c>
      <c r="BG190">
        <f t="shared" si="62"/>
        <v>0</v>
      </c>
    </row>
    <row r="191" spans="1:59" ht="14.5" hidden="1" customHeight="1" x14ac:dyDescent="0.2">
      <c r="A191" s="2" t="s">
        <v>483</v>
      </c>
      <c r="B191" s="2" t="str">
        <f>VLOOKUP($A191,'[1]daily coal, energy reqd'!$C$2:$T$599,17,FALSE)</f>
        <v>Chhatisgarh</v>
      </c>
      <c r="C191" s="2" t="str">
        <f>VLOOKUP(B191,'Target PLF'!$I$2:$J$19,2,FALSE)</f>
        <v>WR</v>
      </c>
      <c r="D191" s="2" t="s">
        <v>571</v>
      </c>
      <c r="E191" s="2" t="s">
        <v>549</v>
      </c>
      <c r="F191" s="12">
        <v>36.591375770020498</v>
      </c>
      <c r="G191" s="2">
        <v>200</v>
      </c>
      <c r="H191">
        <f>VLOOKUP(A191,'Coal savings'!$A$3:$AB$543,26,FALSE)</f>
        <v>0</v>
      </c>
      <c r="I191" t="s">
        <v>694</v>
      </c>
      <c r="J191">
        <v>77.38</v>
      </c>
      <c r="O191" s="2" t="s">
        <v>483</v>
      </c>
      <c r="Q191" s="96"/>
      <c r="R191" s="96"/>
      <c r="S191" s="96"/>
      <c r="T191" s="96"/>
      <c r="U191" s="96"/>
      <c r="V191" s="96"/>
      <c r="W191" s="96"/>
      <c r="X191" s="96"/>
      <c r="Y191" s="96"/>
      <c r="AH191" s="2" t="str">
        <f t="shared" si="65"/>
        <v>2019</v>
      </c>
      <c r="AI191" s="2">
        <f t="shared" si="66"/>
        <v>55.821836867030058</v>
      </c>
      <c r="AJ191" s="2">
        <f t="shared" si="45"/>
        <v>0.27910918433515031</v>
      </c>
      <c r="AK191" s="12">
        <f t="shared" si="46"/>
        <v>32.591375770020498</v>
      </c>
      <c r="AL191" s="2" t="s">
        <v>571</v>
      </c>
      <c r="AM191" s="2" t="str">
        <f>VLOOKUP(A191,'[12]Power plant names'!$C$2:$F$545,4,FALSE)</f>
        <v>Sub critical</v>
      </c>
      <c r="AN191" s="2">
        <v>200</v>
      </c>
      <c r="AO191" s="2">
        <f t="shared" si="48"/>
        <v>0.27910918433515031</v>
      </c>
      <c r="AP191" s="2">
        <v>200</v>
      </c>
      <c r="AQ191" s="2">
        <f t="shared" si="49"/>
        <v>0</v>
      </c>
      <c r="AR191" s="2">
        <f t="shared" si="50"/>
        <v>55.821836867030058</v>
      </c>
      <c r="AS191" s="2">
        <f t="shared" si="51"/>
        <v>0</v>
      </c>
      <c r="AU191" s="2">
        <f t="shared" si="52"/>
        <v>77.38</v>
      </c>
      <c r="AV191" s="2">
        <f t="shared" si="53"/>
        <v>0.38689999999999997</v>
      </c>
      <c r="AW191" s="12">
        <f t="shared" si="54"/>
        <v>35.591375770020498</v>
      </c>
      <c r="AX191" s="2">
        <v>200</v>
      </c>
      <c r="AY191" s="3">
        <f t="shared" si="55"/>
        <v>0.38689999999999997</v>
      </c>
      <c r="AZ191" s="2">
        <f t="shared" si="56"/>
        <v>77.38</v>
      </c>
      <c r="BA191" s="2">
        <f t="shared" si="57"/>
        <v>0</v>
      </c>
      <c r="BC191">
        <f t="shared" si="58"/>
        <v>86.278700000000001</v>
      </c>
      <c r="BD191">
        <f t="shared" si="59"/>
        <v>0.43139349999999999</v>
      </c>
      <c r="BE191">
        <f t="shared" si="60"/>
        <v>0.43139349999999999</v>
      </c>
      <c r="BF191">
        <f t="shared" si="61"/>
        <v>86.278700000000001</v>
      </c>
      <c r="BG191">
        <f t="shared" si="62"/>
        <v>0</v>
      </c>
    </row>
    <row r="192" spans="1:59" ht="14.5" hidden="1" customHeight="1" x14ac:dyDescent="0.2">
      <c r="A192" s="2" t="s">
        <v>479</v>
      </c>
      <c r="B192" s="2" t="str">
        <f>VLOOKUP($A192,'[1]daily coal, energy reqd'!$C$2:$T$599,17,FALSE)</f>
        <v>Chhatisgarh</v>
      </c>
      <c r="C192" s="2" t="str">
        <f>VLOOKUP(B192,'Target PLF'!$I$2:$J$19,2,FALSE)</f>
        <v>WR</v>
      </c>
      <c r="D192" s="2" t="s">
        <v>571</v>
      </c>
      <c r="E192" s="2" t="s">
        <v>549</v>
      </c>
      <c r="F192" s="12">
        <v>36.175222450376403</v>
      </c>
      <c r="G192" s="2">
        <v>200</v>
      </c>
      <c r="H192">
        <f>VLOOKUP(A192,'Coal savings'!$A$3:$AB$543,26,FALSE)</f>
        <v>0</v>
      </c>
      <c r="I192" t="s">
        <v>694</v>
      </c>
      <c r="J192">
        <v>77.38</v>
      </c>
      <c r="O192" s="2" t="s">
        <v>479</v>
      </c>
      <c r="Q192" s="96"/>
      <c r="R192" s="96"/>
      <c r="S192" s="96"/>
      <c r="T192" s="96"/>
      <c r="U192" s="96"/>
      <c r="V192" s="96"/>
      <c r="W192" s="96"/>
      <c r="X192" s="96"/>
      <c r="Y192" s="96"/>
      <c r="AH192" s="2" t="str">
        <f t="shared" si="65"/>
        <v>2019</v>
      </c>
      <c r="AI192" s="2">
        <f t="shared" si="66"/>
        <v>55.821836867030058</v>
      </c>
      <c r="AJ192" s="2">
        <f t="shared" si="45"/>
        <v>0.27910918433515031</v>
      </c>
      <c r="AK192" s="12">
        <f t="shared" si="46"/>
        <v>32.175222450376403</v>
      </c>
      <c r="AL192" s="2" t="s">
        <v>571</v>
      </c>
      <c r="AM192" s="2" t="str">
        <f>VLOOKUP(A192,'[12]Power plant names'!$C$2:$F$545,4,FALSE)</f>
        <v>Sub critical</v>
      </c>
      <c r="AN192" s="2">
        <v>200</v>
      </c>
      <c r="AO192" s="2">
        <f t="shared" si="48"/>
        <v>0.27910918433515031</v>
      </c>
      <c r="AP192" s="2">
        <v>200</v>
      </c>
      <c r="AQ192" s="2">
        <f t="shared" si="49"/>
        <v>0</v>
      </c>
      <c r="AR192" s="2">
        <f t="shared" si="50"/>
        <v>55.821836867030058</v>
      </c>
      <c r="AS192" s="2">
        <f t="shared" si="51"/>
        <v>0</v>
      </c>
      <c r="AU192" s="2">
        <f t="shared" si="52"/>
        <v>77.38</v>
      </c>
      <c r="AV192" s="2">
        <f t="shared" si="53"/>
        <v>0.38689999999999997</v>
      </c>
      <c r="AW192" s="12">
        <f t="shared" si="54"/>
        <v>35.175222450376403</v>
      </c>
      <c r="AX192" s="2">
        <v>200</v>
      </c>
      <c r="AY192" s="3">
        <f t="shared" si="55"/>
        <v>0.38689999999999997</v>
      </c>
      <c r="AZ192" s="2">
        <f t="shared" si="56"/>
        <v>77.38</v>
      </c>
      <c r="BA192" s="2">
        <f t="shared" si="57"/>
        <v>0</v>
      </c>
      <c r="BC192">
        <f t="shared" si="58"/>
        <v>86.278700000000001</v>
      </c>
      <c r="BD192">
        <f t="shared" si="59"/>
        <v>0.43139349999999999</v>
      </c>
      <c r="BE192">
        <f t="shared" si="60"/>
        <v>0.43139349999999999</v>
      </c>
      <c r="BF192">
        <f t="shared" si="61"/>
        <v>86.278700000000001</v>
      </c>
      <c r="BG192">
        <f t="shared" si="62"/>
        <v>0</v>
      </c>
    </row>
    <row r="193" spans="1:59" ht="14.5" customHeight="1" x14ac:dyDescent="0.2">
      <c r="A193" s="2" t="s">
        <v>368</v>
      </c>
      <c r="B193" s="2" t="str">
        <f>VLOOKUP($A193,'[1]daily coal, energy reqd'!$C$2:$T$599,17,FALSE)</f>
        <v>Chhatisgarh</v>
      </c>
      <c r="C193" s="2" t="str">
        <f>VLOOKUP(B193,'Target PLF'!$I$2:$J$19,2,FALSE)</f>
        <v>WR</v>
      </c>
      <c r="D193" s="2" t="s">
        <v>571</v>
      </c>
      <c r="E193" s="2" t="s">
        <v>548</v>
      </c>
      <c r="F193" s="12">
        <v>33.0102669404517</v>
      </c>
      <c r="G193" s="2">
        <v>500</v>
      </c>
      <c r="H193">
        <f>VLOOKUP(A193,'Coal savings'!$A$3:$AB$543,26,FALSE)</f>
        <v>1580155.731283929</v>
      </c>
      <c r="I193" t="s">
        <v>694</v>
      </c>
      <c r="J193">
        <v>193.45</v>
      </c>
      <c r="O193" s="2" t="s">
        <v>368</v>
      </c>
      <c r="Q193" s="96"/>
      <c r="R193" s="96"/>
      <c r="S193" s="96"/>
      <c r="T193" s="96"/>
      <c r="U193" s="96"/>
      <c r="V193" s="96"/>
      <c r="W193" s="96"/>
      <c r="X193" s="96"/>
      <c r="Y193" s="96"/>
      <c r="AH193" s="2" t="str">
        <f t="shared" si="65"/>
        <v>2019</v>
      </c>
      <c r="AI193" s="2">
        <f t="shared" si="66"/>
        <v>139.55459216757515</v>
      </c>
      <c r="AJ193" s="2">
        <f t="shared" si="45"/>
        <v>0.27910918433515031</v>
      </c>
      <c r="AK193" s="12">
        <f t="shared" si="46"/>
        <v>29.0102669404517</v>
      </c>
      <c r="AL193" s="2" t="s">
        <v>571</v>
      </c>
      <c r="AM193" s="2" t="str">
        <f>VLOOKUP(A193,'[12]Power plant names'!$C$2:$F$545,4,FALSE)</f>
        <v>Sub critical</v>
      </c>
      <c r="AN193" s="2">
        <v>500</v>
      </c>
      <c r="AO193" s="2">
        <f t="shared" si="48"/>
        <v>0.27910918433515031</v>
      </c>
      <c r="AP193" s="2">
        <v>500</v>
      </c>
      <c r="AQ193" s="2">
        <f t="shared" si="49"/>
        <v>0</v>
      </c>
      <c r="AR193" s="2">
        <f t="shared" si="50"/>
        <v>139.55459216757515</v>
      </c>
      <c r="AS193" s="2">
        <f t="shared" si="51"/>
        <v>0</v>
      </c>
      <c r="AU193" s="2">
        <f t="shared" si="52"/>
        <v>193.45</v>
      </c>
      <c r="AV193" s="2">
        <f t="shared" si="53"/>
        <v>0.38689999999999997</v>
      </c>
      <c r="AW193" s="12">
        <f t="shared" si="54"/>
        <v>32.0102669404517</v>
      </c>
      <c r="AX193" s="2">
        <v>500</v>
      </c>
      <c r="AY193" s="3">
        <f t="shared" si="55"/>
        <v>0.38689999999999997</v>
      </c>
      <c r="AZ193" s="2">
        <f t="shared" si="56"/>
        <v>193.45</v>
      </c>
      <c r="BA193" s="2">
        <f t="shared" si="57"/>
        <v>0</v>
      </c>
      <c r="BC193">
        <f t="shared" si="58"/>
        <v>215.69674999999998</v>
      </c>
      <c r="BD193">
        <f t="shared" si="59"/>
        <v>0.43139349999999999</v>
      </c>
      <c r="BE193">
        <f t="shared" si="60"/>
        <v>0.43139349999999999</v>
      </c>
      <c r="BF193">
        <f t="shared" si="61"/>
        <v>215.69674999999998</v>
      </c>
      <c r="BG193">
        <f t="shared" si="62"/>
        <v>0</v>
      </c>
    </row>
    <row r="194" spans="1:59" ht="14.5" customHeight="1" x14ac:dyDescent="0.2">
      <c r="A194" s="2" t="s">
        <v>363</v>
      </c>
      <c r="B194" s="2" t="str">
        <f>VLOOKUP($A194,'[1]daily coal, energy reqd'!$C$2:$T$599,17,FALSE)</f>
        <v>Chhatisgarh</v>
      </c>
      <c r="C194" s="2" t="str">
        <f>VLOOKUP(B194,'Target PLF'!$I$2:$J$19,2,FALSE)</f>
        <v>WR</v>
      </c>
      <c r="D194" s="2" t="s">
        <v>571</v>
      </c>
      <c r="E194" s="2" t="s">
        <v>548</v>
      </c>
      <c r="F194" s="12">
        <v>32.175222450376403</v>
      </c>
      <c r="G194" s="2">
        <v>500</v>
      </c>
      <c r="H194">
        <f>VLOOKUP(A194,'Coal savings'!$A$3:$AB$543,26,FALSE)</f>
        <v>1576844.1249221626</v>
      </c>
      <c r="I194" t="s">
        <v>694</v>
      </c>
      <c r="J194">
        <v>193.45</v>
      </c>
      <c r="O194" s="2" t="s">
        <v>363</v>
      </c>
      <c r="Q194" s="96"/>
      <c r="R194" s="96"/>
      <c r="S194" s="96"/>
      <c r="T194" s="96"/>
      <c r="U194" s="96"/>
      <c r="V194" s="96"/>
      <c r="W194" s="96"/>
      <c r="X194" s="96"/>
      <c r="Y194" s="96"/>
      <c r="AH194" s="2" t="str">
        <f t="shared" si="65"/>
        <v>2019</v>
      </c>
      <c r="AI194" s="2">
        <f t="shared" si="66"/>
        <v>139.55459216757515</v>
      </c>
      <c r="AJ194" s="2">
        <f t="shared" ref="AJ194:AJ257" si="67">IF(AI194/G194=0,"",AI194/G194)</f>
        <v>0.27910918433515031</v>
      </c>
      <c r="AK194" s="12">
        <f t="shared" ref="AK194:AK257" si="68">IF(F194-4&lt;0,1,F194-4)</f>
        <v>28.175222450376403</v>
      </c>
      <c r="AL194" s="2" t="s">
        <v>571</v>
      </c>
      <c r="AM194" s="2" t="str">
        <f>VLOOKUP(A194,'[12]Power plant names'!$C$2:$F$545,4,FALSE)</f>
        <v>Sub critical</v>
      </c>
      <c r="AN194" s="2">
        <v>500</v>
      </c>
      <c r="AO194" s="2">
        <f t="shared" si="48"/>
        <v>0.27910918433515031</v>
      </c>
      <c r="AP194" s="2">
        <v>500</v>
      </c>
      <c r="AQ194" s="2">
        <f t="shared" si="49"/>
        <v>0</v>
      </c>
      <c r="AR194" s="2">
        <f t="shared" si="50"/>
        <v>139.55459216757515</v>
      </c>
      <c r="AS194" s="2">
        <f t="shared" si="51"/>
        <v>0</v>
      </c>
      <c r="AU194" s="2">
        <f t="shared" si="52"/>
        <v>193.45</v>
      </c>
      <c r="AV194" s="2">
        <f t="shared" si="53"/>
        <v>0.38689999999999997</v>
      </c>
      <c r="AW194" s="12">
        <f t="shared" si="54"/>
        <v>31.175222450376403</v>
      </c>
      <c r="AX194" s="2">
        <v>500</v>
      </c>
      <c r="AY194" s="3">
        <f t="shared" si="55"/>
        <v>0.38689999999999997</v>
      </c>
      <c r="AZ194" s="2">
        <f t="shared" si="56"/>
        <v>193.45</v>
      </c>
      <c r="BA194" s="2">
        <f t="shared" si="57"/>
        <v>0</v>
      </c>
      <c r="BC194">
        <f t="shared" si="58"/>
        <v>215.69674999999998</v>
      </c>
      <c r="BD194">
        <f t="shared" si="59"/>
        <v>0.43139349999999999</v>
      </c>
      <c r="BE194">
        <f t="shared" si="60"/>
        <v>0.43139349999999999</v>
      </c>
      <c r="BF194">
        <f t="shared" si="61"/>
        <v>215.69674999999998</v>
      </c>
      <c r="BG194">
        <f t="shared" si="62"/>
        <v>0</v>
      </c>
    </row>
    <row r="195" spans="1:59" ht="14.5" customHeight="1" x14ac:dyDescent="0.2">
      <c r="A195" s="2" t="s">
        <v>356</v>
      </c>
      <c r="B195" s="2" t="str">
        <f>VLOOKUP($A195,'[1]daily coal, energy reqd'!$C$2:$T$599,17,FALSE)</f>
        <v>Chhatisgarh</v>
      </c>
      <c r="C195" s="2" t="str">
        <f>VLOOKUP(B195,'Target PLF'!$I$2:$J$19,2,FALSE)</f>
        <v>WR</v>
      </c>
      <c r="D195" s="2" t="s">
        <v>571</v>
      </c>
      <c r="E195" s="2" t="s">
        <v>548</v>
      </c>
      <c r="F195" s="12">
        <v>31.2525667351129</v>
      </c>
      <c r="G195" s="2">
        <v>500</v>
      </c>
      <c r="H195">
        <f>VLOOKUP(A195,'Coal savings'!$A$3:$AB$543,26,FALSE)</f>
        <v>1573185.0713355551</v>
      </c>
      <c r="I195" t="s">
        <v>694</v>
      </c>
      <c r="J195">
        <v>193.45</v>
      </c>
      <c r="O195" s="2" t="s">
        <v>356</v>
      </c>
      <c r="Q195" s="96"/>
      <c r="R195" s="96"/>
      <c r="S195" s="96"/>
      <c r="T195" s="96"/>
      <c r="U195" s="96"/>
      <c r="V195" s="96"/>
      <c r="W195" s="96"/>
      <c r="X195" s="96"/>
      <c r="Y195" s="96"/>
      <c r="AH195" s="2" t="str">
        <f t="shared" si="65"/>
        <v>2019</v>
      </c>
      <c r="AI195" s="2">
        <f t="shared" si="66"/>
        <v>139.55459216757515</v>
      </c>
      <c r="AJ195" s="2">
        <f t="shared" si="67"/>
        <v>0.27910918433515031</v>
      </c>
      <c r="AK195" s="12">
        <f t="shared" si="68"/>
        <v>27.2525667351129</v>
      </c>
      <c r="AL195" s="2" t="s">
        <v>571</v>
      </c>
      <c r="AM195" s="2" t="str">
        <f>VLOOKUP(A195,'[12]Power plant names'!$C$2:$F$545,4,FALSE)</f>
        <v>Sub critical</v>
      </c>
      <c r="AN195" s="2">
        <v>500</v>
      </c>
      <c r="AO195" s="2">
        <f t="shared" ref="AO195:AO258" si="69">IF(AJ195="",((-0.0138556*AK195)+(-0.0004519*AN195)+1.081506),AJ195)</f>
        <v>0.27910918433515031</v>
      </c>
      <c r="AP195" s="2">
        <v>500</v>
      </c>
      <c r="AQ195" s="2">
        <f t="shared" ref="AQ195:AQ258" si="70">G195-AP195</f>
        <v>0</v>
      </c>
      <c r="AR195" s="2">
        <f t="shared" ref="AR195:AR258" si="71">AP195*AO195</f>
        <v>139.55459216757515</v>
      </c>
      <c r="AS195" s="2">
        <f t="shared" ref="AS195:AS258" si="72">AQ195*AO195</f>
        <v>0</v>
      </c>
      <c r="AU195" s="2">
        <f t="shared" ref="AU195:AU258" si="73">AI195*(1.115)^(AH195-2016)</f>
        <v>193.45</v>
      </c>
      <c r="AV195" s="2">
        <f t="shared" ref="AV195:AV258" si="74">IF(AU195/AN195=0,"",AU195/AN195)</f>
        <v>0.38689999999999997</v>
      </c>
      <c r="AW195" s="12">
        <f t="shared" ref="AW195:AW258" si="75">(F195-IF(AH195="",0,(2020-AH195)))</f>
        <v>30.2525667351129</v>
      </c>
      <c r="AX195" s="2">
        <v>500</v>
      </c>
      <c r="AY195" s="3">
        <f t="shared" ref="AY195:AY258" si="76">IF(AV195="",(( -0.0181323 *AW195)+(-0.0005584 *AN195)+  1.418303),AV195)</f>
        <v>0.38689999999999997</v>
      </c>
      <c r="AZ195" s="2">
        <f t="shared" ref="AZ195:AZ258" si="77">AY195*AP195</f>
        <v>193.45</v>
      </c>
      <c r="BA195" s="2">
        <f t="shared" ref="BA195:BA258" si="78">AY195*AQ195</f>
        <v>0</v>
      </c>
      <c r="BC195">
        <f t="shared" ref="BC195:BC258" si="79">IF(AU195="","",(AU195)*(1+0.115)^(2020-AH195))</f>
        <v>215.69674999999998</v>
      </c>
      <c r="BD195">
        <f t="shared" ref="BD195:BD258" si="80">BC195/AN195</f>
        <v>0.43139349999999999</v>
      </c>
      <c r="BE195">
        <f t="shared" ref="BE195:BE258" si="81">IF(BD195="",(-0.0215235 *AW195)+(-0.0007022*AX195)+1.634873,BD195)</f>
        <v>0.43139349999999999</v>
      </c>
      <c r="BF195">
        <f t="shared" ref="BF195:BF258" si="82">BE195*AP195</f>
        <v>215.69674999999998</v>
      </c>
      <c r="BG195">
        <f t="shared" ref="BG195:BG258" si="83">BE195*AQ195</f>
        <v>0</v>
      </c>
    </row>
    <row r="196" spans="1:59" ht="14.5" customHeight="1" x14ac:dyDescent="0.2">
      <c r="A196" s="2" t="s">
        <v>166</v>
      </c>
      <c r="B196" s="2" t="str">
        <f>VLOOKUP($A196,'[1]daily coal, energy reqd'!$C$2:$T$599,17,FALSE)</f>
        <v>Chhatisgarh</v>
      </c>
      <c r="C196" s="2" t="str">
        <f>VLOOKUP(B196,'Target PLF'!$I$2:$J$19,2,FALSE)</f>
        <v>WR</v>
      </c>
      <c r="D196" s="2" t="s">
        <v>571</v>
      </c>
      <c r="E196" s="2" t="s">
        <v>543</v>
      </c>
      <c r="F196" s="12">
        <v>9.5058179329226498</v>
      </c>
      <c r="G196" s="2">
        <v>500</v>
      </c>
      <c r="H196">
        <f>VLOOKUP(A196,'Coal savings'!$A$3:$AB$543,26,FALSE)</f>
        <v>2460429.5068835248</v>
      </c>
      <c r="I196" t="s">
        <v>694</v>
      </c>
      <c r="J196">
        <v>489.14</v>
      </c>
      <c r="O196" s="2" t="s">
        <v>166</v>
      </c>
      <c r="Q196" s="96"/>
      <c r="R196" s="96"/>
      <c r="S196" s="96"/>
      <c r="T196">
        <v>73.38</v>
      </c>
      <c r="U196" t="s">
        <v>611</v>
      </c>
      <c r="W196">
        <v>6.11</v>
      </c>
      <c r="X196" t="s">
        <v>681</v>
      </c>
      <c r="AH196" s="2" t="str">
        <f t="shared" si="65"/>
        <v>2019</v>
      </c>
      <c r="AI196" s="2">
        <f t="shared" si="66"/>
        <v>352.86499463865448</v>
      </c>
      <c r="AJ196" s="2">
        <f t="shared" si="67"/>
        <v>0.70572998927730901</v>
      </c>
      <c r="AK196" s="12">
        <f t="shared" si="68"/>
        <v>5.5058179329226498</v>
      </c>
      <c r="AL196" s="2" t="s">
        <v>571</v>
      </c>
      <c r="AM196" s="2" t="str">
        <f>VLOOKUP(A196,'[12]Power plant names'!$C$2:$F$545,4,FALSE)</f>
        <v>Sub critical</v>
      </c>
      <c r="AN196" s="2">
        <v>500</v>
      </c>
      <c r="AO196" s="2">
        <f t="shared" si="69"/>
        <v>0.70572998927730901</v>
      </c>
      <c r="AP196" s="2">
        <v>475</v>
      </c>
      <c r="AQ196" s="2">
        <f t="shared" si="70"/>
        <v>25</v>
      </c>
      <c r="AR196" s="2">
        <f t="shared" si="71"/>
        <v>335.22174490672177</v>
      </c>
      <c r="AS196" s="2">
        <f t="shared" si="72"/>
        <v>17.643249731932727</v>
      </c>
      <c r="AU196" s="2">
        <f t="shared" si="73"/>
        <v>489.14</v>
      </c>
      <c r="AV196" s="2">
        <f t="shared" si="74"/>
        <v>0.97827999999999993</v>
      </c>
      <c r="AW196" s="12">
        <f t="shared" si="75"/>
        <v>8.5058179329226498</v>
      </c>
      <c r="AX196" s="2">
        <v>500</v>
      </c>
      <c r="AY196" s="3">
        <f t="shared" si="76"/>
        <v>0.97827999999999993</v>
      </c>
      <c r="AZ196" s="2">
        <f t="shared" si="77"/>
        <v>464.68299999999999</v>
      </c>
      <c r="BA196" s="2">
        <f t="shared" si="78"/>
        <v>24.456999999999997</v>
      </c>
      <c r="BC196">
        <f t="shared" si="79"/>
        <v>545.39109999999994</v>
      </c>
      <c r="BD196">
        <f t="shared" si="80"/>
        <v>1.0907821999999998</v>
      </c>
      <c r="BE196">
        <f t="shared" si="81"/>
        <v>1.0907821999999998</v>
      </c>
      <c r="BF196">
        <f t="shared" si="82"/>
        <v>518.12154499999986</v>
      </c>
      <c r="BG196">
        <f t="shared" si="83"/>
        <v>27.269554999999997</v>
      </c>
    </row>
    <row r="197" spans="1:59" ht="14.5" hidden="1" customHeight="1" x14ac:dyDescent="0.2">
      <c r="A197" s="2" t="s">
        <v>537</v>
      </c>
      <c r="B197" s="2" t="str">
        <f>VLOOKUP($A197,'[1]daily coal, energy reqd'!$C$2:$T$599,17,FALSE)</f>
        <v>Chhatisgarh</v>
      </c>
      <c r="C197" s="2" t="str">
        <f>VLOOKUP(B197,'Target PLF'!$I$2:$J$19,2,FALSE)</f>
        <v>WR</v>
      </c>
      <c r="D197" s="2" t="s">
        <v>570</v>
      </c>
      <c r="E197" s="2" t="s">
        <v>551</v>
      </c>
      <c r="F197" s="12">
        <v>53.0102669404517</v>
      </c>
      <c r="G197" s="2">
        <v>50</v>
      </c>
      <c r="H197">
        <f>VLOOKUP(A197,'Coal savings'!$A$3:$AB$543,26,FALSE)</f>
        <v>0</v>
      </c>
      <c r="I197" t="s">
        <v>695</v>
      </c>
      <c r="J197">
        <v>35.909999999999997</v>
      </c>
      <c r="O197" s="2" t="s">
        <v>537</v>
      </c>
      <c r="P197">
        <v>2019</v>
      </c>
      <c r="Q197" s="96">
        <v>352.29</v>
      </c>
      <c r="R197" s="96" t="s">
        <v>611</v>
      </c>
      <c r="S197" s="96"/>
      <c r="AH197" s="2" t="str">
        <f t="shared" si="65"/>
        <v>2018</v>
      </c>
      <c r="AI197" s="2">
        <f t="shared" si="66"/>
        <v>28.884554284220471</v>
      </c>
      <c r="AJ197" s="2">
        <f t="shared" si="67"/>
        <v>0.57769108568440941</v>
      </c>
      <c r="AK197" s="12">
        <f t="shared" si="68"/>
        <v>49.0102669404517</v>
      </c>
      <c r="AL197" s="2" t="s">
        <v>570</v>
      </c>
      <c r="AM197" s="2" t="str">
        <f>VLOOKUP(A197,'[12]Power plant names'!$C$2:$F$545,4,FALSE)</f>
        <v>Sub critical</v>
      </c>
      <c r="AN197" s="2">
        <v>50</v>
      </c>
      <c r="AO197" s="2">
        <f t="shared" si="69"/>
        <v>0.57769108568440941</v>
      </c>
      <c r="AP197" s="2"/>
      <c r="AQ197" s="2">
        <f t="shared" si="70"/>
        <v>50</v>
      </c>
      <c r="AR197" s="2">
        <f t="shared" si="71"/>
        <v>0</v>
      </c>
      <c r="AS197" s="2">
        <f t="shared" si="72"/>
        <v>28.884554284220471</v>
      </c>
      <c r="AU197" s="2">
        <f t="shared" si="73"/>
        <v>35.909999999999997</v>
      </c>
      <c r="AV197" s="2">
        <f t="shared" si="74"/>
        <v>0.71819999999999995</v>
      </c>
      <c r="AW197" s="12">
        <f t="shared" si="75"/>
        <v>51.0102669404517</v>
      </c>
      <c r="AX197" s="2">
        <v>50</v>
      </c>
      <c r="AY197" s="3">
        <f t="shared" si="76"/>
        <v>0.71819999999999995</v>
      </c>
      <c r="AZ197" s="2">
        <f t="shared" si="77"/>
        <v>0</v>
      </c>
      <c r="BA197" s="2">
        <f t="shared" si="78"/>
        <v>35.909999999999997</v>
      </c>
      <c r="BC197">
        <f t="shared" si="79"/>
        <v>44.644209749999995</v>
      </c>
      <c r="BD197">
        <f t="shared" si="80"/>
        <v>0.89288419499999994</v>
      </c>
      <c r="BE197">
        <f t="shared" si="81"/>
        <v>0.89288419499999994</v>
      </c>
      <c r="BF197">
        <f t="shared" si="82"/>
        <v>0</v>
      </c>
      <c r="BG197">
        <f t="shared" si="83"/>
        <v>44.644209749999995</v>
      </c>
    </row>
    <row r="198" spans="1:59" ht="14.5" hidden="1" customHeight="1" x14ac:dyDescent="0.2">
      <c r="A198" s="2" t="s">
        <v>533</v>
      </c>
      <c r="B198" s="2" t="str">
        <f>VLOOKUP($A198,'[1]daily coal, energy reqd'!$C$2:$T$599,17,FALSE)</f>
        <v>Chhatisgarh</v>
      </c>
      <c r="C198" s="2" t="str">
        <f>VLOOKUP(B198,'Target PLF'!$I$2:$J$19,2,FALSE)</f>
        <v>WR</v>
      </c>
      <c r="D198" s="2" t="s">
        <v>570</v>
      </c>
      <c r="E198" s="2" t="s">
        <v>551</v>
      </c>
      <c r="F198" s="12">
        <v>52.175222450376403</v>
      </c>
      <c r="G198" s="2">
        <v>50</v>
      </c>
      <c r="H198">
        <f>VLOOKUP(A198,'Coal savings'!$A$3:$AB$543,26,FALSE)</f>
        <v>0</v>
      </c>
      <c r="I198" t="s">
        <v>695</v>
      </c>
      <c r="J198">
        <v>35.909999999999997</v>
      </c>
      <c r="O198" s="2" t="s">
        <v>533</v>
      </c>
      <c r="Q198" s="96"/>
      <c r="R198" s="96"/>
      <c r="S198" s="96"/>
      <c r="AH198" s="2" t="str">
        <f t="shared" si="65"/>
        <v>2018</v>
      </c>
      <c r="AI198" s="2">
        <f t="shared" si="66"/>
        <v>28.884554284220471</v>
      </c>
      <c r="AJ198" s="2">
        <f t="shared" si="67"/>
        <v>0.57769108568440941</v>
      </c>
      <c r="AK198" s="12">
        <f t="shared" si="68"/>
        <v>48.175222450376403</v>
      </c>
      <c r="AL198" s="2" t="s">
        <v>570</v>
      </c>
      <c r="AM198" s="2" t="str">
        <f>VLOOKUP(A198,'[12]Power plant names'!$C$2:$F$545,4,FALSE)</f>
        <v>Sub critical</v>
      </c>
      <c r="AN198" s="2">
        <v>50</v>
      </c>
      <c r="AO198" s="2">
        <f t="shared" si="69"/>
        <v>0.57769108568440941</v>
      </c>
      <c r="AP198" s="2"/>
      <c r="AQ198" s="2">
        <f t="shared" si="70"/>
        <v>50</v>
      </c>
      <c r="AR198" s="2">
        <f t="shared" si="71"/>
        <v>0</v>
      </c>
      <c r="AS198" s="2">
        <f t="shared" si="72"/>
        <v>28.884554284220471</v>
      </c>
      <c r="AU198" s="2">
        <f t="shared" si="73"/>
        <v>35.909999999999997</v>
      </c>
      <c r="AV198" s="2">
        <f t="shared" si="74"/>
        <v>0.71819999999999995</v>
      </c>
      <c r="AW198" s="12">
        <f t="shared" si="75"/>
        <v>50.175222450376403</v>
      </c>
      <c r="AX198" s="2">
        <v>50</v>
      </c>
      <c r="AY198" s="3">
        <f t="shared" si="76"/>
        <v>0.71819999999999995</v>
      </c>
      <c r="AZ198" s="2">
        <f t="shared" si="77"/>
        <v>0</v>
      </c>
      <c r="BA198" s="2">
        <f t="shared" si="78"/>
        <v>35.909999999999997</v>
      </c>
      <c r="BC198">
        <f t="shared" si="79"/>
        <v>44.644209749999995</v>
      </c>
      <c r="BD198">
        <f t="shared" si="80"/>
        <v>0.89288419499999994</v>
      </c>
      <c r="BE198">
        <f t="shared" si="81"/>
        <v>0.89288419499999994</v>
      </c>
      <c r="BF198">
        <f t="shared" si="82"/>
        <v>0</v>
      </c>
      <c r="BG198">
        <f t="shared" si="83"/>
        <v>44.644209749999995</v>
      </c>
    </row>
    <row r="199" spans="1:59" ht="14.5" hidden="1" customHeight="1" x14ac:dyDescent="0.2">
      <c r="A199" s="2" t="s">
        <v>532</v>
      </c>
      <c r="B199" s="2" t="str">
        <f>VLOOKUP($A199,'[1]daily coal, energy reqd'!$C$2:$T$599,17,FALSE)</f>
        <v>Chhatisgarh</v>
      </c>
      <c r="C199" s="2" t="str">
        <f>VLOOKUP(B199,'Target PLF'!$I$2:$J$19,2,FALSE)</f>
        <v>WR</v>
      </c>
      <c r="D199" s="2" t="s">
        <v>570</v>
      </c>
      <c r="E199" s="2" t="s">
        <v>551</v>
      </c>
      <c r="F199" s="12">
        <v>51.589322381930103</v>
      </c>
      <c r="G199" s="2">
        <v>50</v>
      </c>
      <c r="H199">
        <f>VLOOKUP(A199,'Coal savings'!$A$3:$AB$543,26,FALSE)</f>
        <v>0</v>
      </c>
      <c r="I199" t="s">
        <v>695</v>
      </c>
      <c r="J199">
        <v>35.909999999999997</v>
      </c>
      <c r="O199" s="2" t="s">
        <v>532</v>
      </c>
      <c r="Q199" s="96"/>
      <c r="R199" s="96"/>
      <c r="S199" s="96"/>
      <c r="AH199" s="2" t="str">
        <f t="shared" si="65"/>
        <v>2018</v>
      </c>
      <c r="AI199" s="2">
        <f t="shared" si="66"/>
        <v>28.884554284220471</v>
      </c>
      <c r="AJ199" s="2">
        <f t="shared" si="67"/>
        <v>0.57769108568440941</v>
      </c>
      <c r="AK199" s="12">
        <f t="shared" si="68"/>
        <v>47.589322381930103</v>
      </c>
      <c r="AL199" s="2" t="s">
        <v>570</v>
      </c>
      <c r="AM199" s="2" t="str">
        <f>VLOOKUP(A199,'[12]Power plant names'!$C$2:$F$545,4,FALSE)</f>
        <v>Sub critical</v>
      </c>
      <c r="AN199" s="2">
        <v>50</v>
      </c>
      <c r="AO199" s="2">
        <f t="shared" si="69"/>
        <v>0.57769108568440941</v>
      </c>
      <c r="AP199" s="2"/>
      <c r="AQ199" s="2">
        <f t="shared" si="70"/>
        <v>50</v>
      </c>
      <c r="AR199" s="2">
        <f t="shared" si="71"/>
        <v>0</v>
      </c>
      <c r="AS199" s="2">
        <f t="shared" si="72"/>
        <v>28.884554284220471</v>
      </c>
      <c r="AU199" s="2">
        <f t="shared" si="73"/>
        <v>35.909999999999997</v>
      </c>
      <c r="AV199" s="2">
        <f t="shared" si="74"/>
        <v>0.71819999999999995</v>
      </c>
      <c r="AW199" s="12">
        <f t="shared" si="75"/>
        <v>49.589322381930103</v>
      </c>
      <c r="AX199" s="2">
        <v>50</v>
      </c>
      <c r="AY199" s="3">
        <f t="shared" si="76"/>
        <v>0.71819999999999995</v>
      </c>
      <c r="AZ199" s="2">
        <f t="shared" si="77"/>
        <v>0</v>
      </c>
      <c r="BA199" s="2">
        <f t="shared" si="78"/>
        <v>35.909999999999997</v>
      </c>
      <c r="BC199">
        <f t="shared" si="79"/>
        <v>44.644209749999995</v>
      </c>
      <c r="BD199">
        <f t="shared" si="80"/>
        <v>0.89288419499999994</v>
      </c>
      <c r="BE199">
        <f t="shared" si="81"/>
        <v>0.89288419499999994</v>
      </c>
      <c r="BF199">
        <f t="shared" si="82"/>
        <v>0</v>
      </c>
      <c r="BG199">
        <f t="shared" si="83"/>
        <v>44.644209749999995</v>
      </c>
    </row>
    <row r="200" spans="1:59" ht="14.5" hidden="1" customHeight="1" x14ac:dyDescent="0.2">
      <c r="A200" s="2" t="s">
        <v>522</v>
      </c>
      <c r="B200" s="2" t="str">
        <f>VLOOKUP($A200,'[1]daily coal, energy reqd'!$C$2:$T$599,17,FALSE)</f>
        <v>Chhatisgarh</v>
      </c>
      <c r="C200" s="2" t="str">
        <f>VLOOKUP(B200,'Target PLF'!$I$2:$J$19,2,FALSE)</f>
        <v>WR</v>
      </c>
      <c r="D200" s="2" t="s">
        <v>570</v>
      </c>
      <c r="E200" s="2" t="s">
        <v>550</v>
      </c>
      <c r="F200" s="12">
        <v>44.090349075975297</v>
      </c>
      <c r="G200" s="2">
        <v>120</v>
      </c>
      <c r="H200">
        <f>VLOOKUP(A200,'Coal savings'!$A$3:$AB$543,26,FALSE)</f>
        <v>0</v>
      </c>
      <c r="I200" t="s">
        <v>695</v>
      </c>
      <c r="J200">
        <v>86.19</v>
      </c>
      <c r="O200" s="2" t="s">
        <v>522</v>
      </c>
      <c r="Q200" s="96"/>
      <c r="R200" s="96"/>
      <c r="S200" s="96"/>
      <c r="AH200" s="2" t="str">
        <f t="shared" si="65"/>
        <v>2018</v>
      </c>
      <c r="AI200" s="2">
        <f t="shared" si="66"/>
        <v>69.327756439904277</v>
      </c>
      <c r="AJ200" s="2">
        <f t="shared" si="67"/>
        <v>0.577731303665869</v>
      </c>
      <c r="AK200" s="12">
        <f t="shared" si="68"/>
        <v>40.090349075975297</v>
      </c>
      <c r="AL200" s="2" t="s">
        <v>570</v>
      </c>
      <c r="AM200" s="2" t="str">
        <f>VLOOKUP(A200,'[12]Power plant names'!$C$2:$F$545,4,FALSE)</f>
        <v>Sub critical</v>
      </c>
      <c r="AN200" s="2">
        <v>120</v>
      </c>
      <c r="AO200" s="2">
        <f t="shared" si="69"/>
        <v>0.577731303665869</v>
      </c>
      <c r="AP200" s="2"/>
      <c r="AQ200" s="2">
        <f t="shared" si="70"/>
        <v>120</v>
      </c>
      <c r="AR200" s="2">
        <f t="shared" si="71"/>
        <v>0</v>
      </c>
      <c r="AS200" s="2">
        <f t="shared" si="72"/>
        <v>69.327756439904277</v>
      </c>
      <c r="AU200" s="2">
        <f t="shared" si="73"/>
        <v>86.19</v>
      </c>
      <c r="AV200" s="2">
        <f t="shared" si="74"/>
        <v>0.71824999999999994</v>
      </c>
      <c r="AW200" s="12">
        <f t="shared" si="75"/>
        <v>42.090349075975297</v>
      </c>
      <c r="AX200" s="2">
        <v>120</v>
      </c>
      <c r="AY200" s="3">
        <f t="shared" si="76"/>
        <v>0.71824999999999994</v>
      </c>
      <c r="AZ200" s="2">
        <f t="shared" si="77"/>
        <v>0</v>
      </c>
      <c r="BA200" s="2">
        <f t="shared" si="78"/>
        <v>86.19</v>
      </c>
      <c r="BC200">
        <f t="shared" si="79"/>
        <v>107.15356275000001</v>
      </c>
      <c r="BD200">
        <f t="shared" si="80"/>
        <v>0.89294635625000007</v>
      </c>
      <c r="BE200">
        <f t="shared" si="81"/>
        <v>0.89294635625000007</v>
      </c>
      <c r="BF200">
        <f t="shared" si="82"/>
        <v>0</v>
      </c>
      <c r="BG200">
        <f t="shared" si="83"/>
        <v>107.15356275000001</v>
      </c>
    </row>
    <row r="201" spans="1:59" ht="14.5" hidden="1" customHeight="1" x14ac:dyDescent="0.2">
      <c r="A201" s="2" t="s">
        <v>517</v>
      </c>
      <c r="B201" s="2" t="str">
        <f>VLOOKUP($A201,'[1]daily coal, energy reqd'!$C$2:$T$599,17,FALSE)</f>
        <v>Chhatisgarh</v>
      </c>
      <c r="C201" s="2" t="str">
        <f>VLOOKUP(B201,'Target PLF'!$I$2:$J$19,2,FALSE)</f>
        <v>WR</v>
      </c>
      <c r="D201" s="2" t="s">
        <v>570</v>
      </c>
      <c r="E201" s="2" t="s">
        <v>549</v>
      </c>
      <c r="F201" s="12">
        <v>39.0910335386721</v>
      </c>
      <c r="G201" s="2">
        <v>120</v>
      </c>
      <c r="H201">
        <f>VLOOKUP(A201,'Coal savings'!$A$3:$AB$543,26,FALSE)</f>
        <v>0</v>
      </c>
      <c r="I201" t="s">
        <v>695</v>
      </c>
      <c r="J201">
        <v>86.19</v>
      </c>
      <c r="O201" s="2" t="s">
        <v>517</v>
      </c>
      <c r="Q201" s="96"/>
      <c r="R201" s="96"/>
      <c r="S201" s="96"/>
      <c r="AH201" s="2" t="str">
        <f t="shared" si="65"/>
        <v>2018</v>
      </c>
      <c r="AI201" s="2">
        <f t="shared" si="66"/>
        <v>69.327756439904277</v>
      </c>
      <c r="AJ201" s="2">
        <f t="shared" si="67"/>
        <v>0.577731303665869</v>
      </c>
      <c r="AK201" s="12">
        <f t="shared" si="68"/>
        <v>35.0910335386721</v>
      </c>
      <c r="AL201" s="2" t="s">
        <v>570</v>
      </c>
      <c r="AM201" s="2" t="str">
        <f>VLOOKUP(A201,'[12]Power plant names'!$C$2:$F$545,4,FALSE)</f>
        <v>Sub critical</v>
      </c>
      <c r="AN201" s="2">
        <v>120</v>
      </c>
      <c r="AO201" s="2">
        <f t="shared" si="69"/>
        <v>0.577731303665869</v>
      </c>
      <c r="AP201" s="2"/>
      <c r="AQ201" s="2">
        <f t="shared" si="70"/>
        <v>120</v>
      </c>
      <c r="AR201" s="2">
        <f t="shared" si="71"/>
        <v>0</v>
      </c>
      <c r="AS201" s="2">
        <f t="shared" si="72"/>
        <v>69.327756439904277</v>
      </c>
      <c r="AU201" s="2">
        <f t="shared" si="73"/>
        <v>86.19</v>
      </c>
      <c r="AV201" s="2">
        <f t="shared" si="74"/>
        <v>0.71824999999999994</v>
      </c>
      <c r="AW201" s="12">
        <f t="shared" si="75"/>
        <v>37.0910335386721</v>
      </c>
      <c r="AX201" s="2">
        <v>120</v>
      </c>
      <c r="AY201" s="3">
        <f t="shared" si="76"/>
        <v>0.71824999999999994</v>
      </c>
      <c r="AZ201" s="2">
        <f t="shared" si="77"/>
        <v>0</v>
      </c>
      <c r="BA201" s="2">
        <f t="shared" si="78"/>
        <v>86.19</v>
      </c>
      <c r="BC201">
        <f t="shared" si="79"/>
        <v>107.15356275000001</v>
      </c>
      <c r="BD201">
        <f t="shared" si="80"/>
        <v>0.89294635625000007</v>
      </c>
      <c r="BE201">
        <f t="shared" si="81"/>
        <v>0.89294635625000007</v>
      </c>
      <c r="BF201">
        <f t="shared" si="82"/>
        <v>0</v>
      </c>
      <c r="BG201">
        <f t="shared" si="83"/>
        <v>107.15356275000001</v>
      </c>
    </row>
    <row r="202" spans="1:59" ht="14.5" hidden="1" customHeight="1" x14ac:dyDescent="0.2">
      <c r="A202" s="2" t="s">
        <v>477</v>
      </c>
      <c r="B202" s="2" t="str">
        <f>VLOOKUP($A202,'[1]daily coal, energy reqd'!$C$2:$T$599,17,FALSE)</f>
        <v>Chhatisgarh</v>
      </c>
      <c r="C202" s="2" t="str">
        <f>VLOOKUP(B202,'Target PLF'!$I$2:$J$19,2,FALSE)</f>
        <v>WR</v>
      </c>
      <c r="D202" s="2" t="s">
        <v>570</v>
      </c>
      <c r="E202" s="2" t="s">
        <v>549</v>
      </c>
      <c r="F202" s="12">
        <v>36.925393566050602</v>
      </c>
      <c r="G202" s="2">
        <v>210</v>
      </c>
      <c r="H202">
        <f>VLOOKUP(A202,'Coal savings'!$A$3:$AB$543,26,FALSE)</f>
        <v>0</v>
      </c>
      <c r="I202" t="s">
        <v>695</v>
      </c>
      <c r="J202">
        <v>103.35</v>
      </c>
      <c r="O202" s="2" t="s">
        <v>477</v>
      </c>
      <c r="P202">
        <v>2019</v>
      </c>
      <c r="Q202" s="96">
        <v>711.18</v>
      </c>
      <c r="R202" s="96" t="s">
        <v>611</v>
      </c>
      <c r="AH202" s="2" t="str">
        <f t="shared" si="65"/>
        <v>2018</v>
      </c>
      <c r="AI202" s="2">
        <f t="shared" si="66"/>
        <v>83.130567676808298</v>
      </c>
      <c r="AJ202" s="2">
        <f t="shared" si="67"/>
        <v>0.39585984608003949</v>
      </c>
      <c r="AK202" s="12">
        <f t="shared" si="68"/>
        <v>32.925393566050602</v>
      </c>
      <c r="AL202" s="2" t="s">
        <v>570</v>
      </c>
      <c r="AM202" s="2" t="str">
        <f>VLOOKUP(A202,'[12]Power plant names'!$C$2:$F$545,4,FALSE)</f>
        <v>Sub critical</v>
      </c>
      <c r="AN202" s="2">
        <v>220</v>
      </c>
      <c r="AO202" s="2">
        <f t="shared" si="69"/>
        <v>0.39585984608003949</v>
      </c>
      <c r="AP202" s="2">
        <v>210</v>
      </c>
      <c r="AQ202" s="2">
        <f t="shared" si="70"/>
        <v>0</v>
      </c>
      <c r="AR202" s="2">
        <f t="shared" si="71"/>
        <v>83.130567676808298</v>
      </c>
      <c r="AS202" s="2">
        <f t="shared" si="72"/>
        <v>0</v>
      </c>
      <c r="AU202" s="2">
        <f t="shared" si="73"/>
        <v>103.35</v>
      </c>
      <c r="AV202" s="2">
        <f t="shared" si="74"/>
        <v>0.46977272727272723</v>
      </c>
      <c r="AW202" s="12">
        <f t="shared" si="75"/>
        <v>34.925393566050602</v>
      </c>
      <c r="AX202" s="2">
        <v>210</v>
      </c>
      <c r="AY202" s="3">
        <f t="shared" si="76"/>
        <v>0.46977272727272723</v>
      </c>
      <c r="AZ202" s="2">
        <f t="shared" si="77"/>
        <v>98.652272727272717</v>
      </c>
      <c r="BA202" s="2">
        <f t="shared" si="78"/>
        <v>0</v>
      </c>
      <c r="BC202">
        <f t="shared" si="79"/>
        <v>128.48730375</v>
      </c>
      <c r="BD202">
        <f t="shared" si="80"/>
        <v>0.58403319886363636</v>
      </c>
      <c r="BE202">
        <f t="shared" si="81"/>
        <v>0.58403319886363636</v>
      </c>
      <c r="BF202">
        <f t="shared" si="82"/>
        <v>122.64697176136363</v>
      </c>
      <c r="BG202">
        <f t="shared" si="83"/>
        <v>0</v>
      </c>
    </row>
    <row r="203" spans="1:59" ht="14.5" hidden="1" customHeight="1" x14ac:dyDescent="0.2">
      <c r="A203" s="2" t="s">
        <v>473</v>
      </c>
      <c r="B203" s="2" t="str">
        <f>VLOOKUP($A203,'[1]daily coal, energy reqd'!$C$2:$T$599,17,FALSE)</f>
        <v>Chhatisgarh</v>
      </c>
      <c r="C203" s="2" t="str">
        <f>VLOOKUP(B203,'Target PLF'!$I$2:$J$19,2,FALSE)</f>
        <v>WR</v>
      </c>
      <c r="D203" s="2" t="s">
        <v>570</v>
      </c>
      <c r="E203" s="2" t="s">
        <v>549</v>
      </c>
      <c r="F203" s="12">
        <v>36.175222450376403</v>
      </c>
      <c r="G203" s="2">
        <v>210</v>
      </c>
      <c r="H203">
        <f>VLOOKUP(A203,'Coal savings'!$A$3:$AB$543,26,FALSE)</f>
        <v>0</v>
      </c>
      <c r="I203" t="s">
        <v>695</v>
      </c>
      <c r="J203">
        <v>103.35</v>
      </c>
      <c r="O203" s="2" t="s">
        <v>473</v>
      </c>
      <c r="Q203" s="96"/>
      <c r="R203" s="96"/>
      <c r="AH203" s="2" t="str">
        <f t="shared" si="65"/>
        <v>2018</v>
      </c>
      <c r="AI203" s="2">
        <f t="shared" si="66"/>
        <v>83.130567676808298</v>
      </c>
      <c r="AJ203" s="2">
        <f t="shared" si="67"/>
        <v>0.39585984608003949</v>
      </c>
      <c r="AK203" s="12">
        <f t="shared" si="68"/>
        <v>32.175222450376403</v>
      </c>
      <c r="AL203" s="2" t="s">
        <v>570</v>
      </c>
      <c r="AM203" s="2" t="str">
        <f>VLOOKUP(A203,'[12]Power plant names'!$C$2:$F$545,4,FALSE)</f>
        <v>Sub critical</v>
      </c>
      <c r="AN203" s="2">
        <v>210</v>
      </c>
      <c r="AO203" s="2">
        <f t="shared" si="69"/>
        <v>0.39585984608003949</v>
      </c>
      <c r="AP203" s="2">
        <v>210</v>
      </c>
      <c r="AQ203" s="2">
        <f t="shared" si="70"/>
        <v>0</v>
      </c>
      <c r="AR203" s="2">
        <f t="shared" si="71"/>
        <v>83.130567676808298</v>
      </c>
      <c r="AS203" s="2">
        <f t="shared" si="72"/>
        <v>0</v>
      </c>
      <c r="AU203" s="2">
        <f t="shared" si="73"/>
        <v>103.35</v>
      </c>
      <c r="AV203" s="2">
        <f t="shared" si="74"/>
        <v>0.4921428571428571</v>
      </c>
      <c r="AW203" s="12">
        <f t="shared" si="75"/>
        <v>34.175222450376403</v>
      </c>
      <c r="AX203" s="2">
        <v>210</v>
      </c>
      <c r="AY203" s="3">
        <f t="shared" si="76"/>
        <v>0.4921428571428571</v>
      </c>
      <c r="AZ203" s="2">
        <f t="shared" si="77"/>
        <v>103.35</v>
      </c>
      <c r="BA203" s="2">
        <f t="shared" si="78"/>
        <v>0</v>
      </c>
      <c r="BC203">
        <f t="shared" si="79"/>
        <v>128.48730375</v>
      </c>
      <c r="BD203">
        <f t="shared" si="80"/>
        <v>0.61184430357142849</v>
      </c>
      <c r="BE203">
        <f t="shared" si="81"/>
        <v>0.61184430357142849</v>
      </c>
      <c r="BF203">
        <f t="shared" si="82"/>
        <v>128.48730375</v>
      </c>
      <c r="BG203">
        <f t="shared" si="83"/>
        <v>0</v>
      </c>
    </row>
    <row r="204" spans="1:59" ht="14.5" hidden="1" customHeight="1" x14ac:dyDescent="0.2">
      <c r="A204" s="2" t="s">
        <v>465</v>
      </c>
      <c r="B204" s="2" t="str">
        <f>VLOOKUP($A204,'[1]daily coal, energy reqd'!$C$2:$T$599,17,FALSE)</f>
        <v>Chhatisgarh</v>
      </c>
      <c r="C204" s="2" t="str">
        <f>VLOOKUP(B204,'Target PLF'!$I$2:$J$19,2,FALSE)</f>
        <v>WR</v>
      </c>
      <c r="D204" s="2" t="s">
        <v>570</v>
      </c>
      <c r="E204" s="2" t="s">
        <v>549</v>
      </c>
      <c r="F204" s="12">
        <v>35.175906913073199</v>
      </c>
      <c r="G204" s="2">
        <v>210</v>
      </c>
      <c r="H204">
        <f>VLOOKUP(A204,'Coal savings'!$A$3:$AB$543,26,FALSE)</f>
        <v>0</v>
      </c>
      <c r="I204" t="s">
        <v>695</v>
      </c>
      <c r="J204">
        <v>103.35</v>
      </c>
      <c r="O204" s="2" t="s">
        <v>465</v>
      </c>
      <c r="Q204" s="96"/>
      <c r="R204" s="96"/>
      <c r="AH204" s="2" t="str">
        <f t="shared" si="65"/>
        <v>2018</v>
      </c>
      <c r="AI204" s="2">
        <f t="shared" si="66"/>
        <v>83.130567676808298</v>
      </c>
      <c r="AJ204" s="2">
        <f t="shared" si="67"/>
        <v>0.39585984608003949</v>
      </c>
      <c r="AK204" s="12">
        <f t="shared" si="68"/>
        <v>31.175906913073199</v>
      </c>
      <c r="AL204" s="2" t="s">
        <v>570</v>
      </c>
      <c r="AM204" s="2" t="str">
        <f>VLOOKUP(A204,'[12]Power plant names'!$C$2:$F$545,4,FALSE)</f>
        <v>Sub critical</v>
      </c>
      <c r="AN204" s="2">
        <v>210</v>
      </c>
      <c r="AO204" s="2">
        <f t="shared" si="69"/>
        <v>0.39585984608003949</v>
      </c>
      <c r="AP204" s="2">
        <v>210</v>
      </c>
      <c r="AQ204" s="2">
        <f t="shared" si="70"/>
        <v>0</v>
      </c>
      <c r="AR204" s="2">
        <f t="shared" si="71"/>
        <v>83.130567676808298</v>
      </c>
      <c r="AS204" s="2">
        <f t="shared" si="72"/>
        <v>0</v>
      </c>
      <c r="AU204" s="2">
        <f t="shared" si="73"/>
        <v>103.35</v>
      </c>
      <c r="AV204" s="2">
        <f t="shared" si="74"/>
        <v>0.4921428571428571</v>
      </c>
      <c r="AW204" s="12">
        <f t="shared" si="75"/>
        <v>33.175906913073199</v>
      </c>
      <c r="AX204" s="2">
        <v>210</v>
      </c>
      <c r="AY204" s="3">
        <f t="shared" si="76"/>
        <v>0.4921428571428571</v>
      </c>
      <c r="AZ204" s="2">
        <f t="shared" si="77"/>
        <v>103.35</v>
      </c>
      <c r="BA204" s="2">
        <f t="shared" si="78"/>
        <v>0</v>
      </c>
      <c r="BC204">
        <f t="shared" si="79"/>
        <v>128.48730375</v>
      </c>
      <c r="BD204">
        <f t="shared" si="80"/>
        <v>0.61184430357142849</v>
      </c>
      <c r="BE204">
        <f t="shared" si="81"/>
        <v>0.61184430357142849</v>
      </c>
      <c r="BF204">
        <f t="shared" si="82"/>
        <v>128.48730375</v>
      </c>
      <c r="BG204">
        <f t="shared" si="83"/>
        <v>0</v>
      </c>
    </row>
    <row r="205" spans="1:59" ht="14.5" hidden="1" customHeight="1" x14ac:dyDescent="0.2">
      <c r="A205" s="2" t="s">
        <v>458</v>
      </c>
      <c r="B205" s="2" t="str">
        <f>VLOOKUP($A205,'[1]daily coal, energy reqd'!$C$2:$T$599,17,FALSE)</f>
        <v>Chhatisgarh</v>
      </c>
      <c r="C205" s="2" t="str">
        <f>VLOOKUP(B205,'Target PLF'!$I$2:$J$19,2,FALSE)</f>
        <v>WR</v>
      </c>
      <c r="D205" s="2" t="s">
        <v>570</v>
      </c>
      <c r="E205" s="2" t="s">
        <v>548</v>
      </c>
      <c r="F205" s="12">
        <v>34.176591375770002</v>
      </c>
      <c r="G205" s="2">
        <v>210</v>
      </c>
      <c r="H205">
        <f>VLOOKUP(A205,'Coal savings'!$A$3:$AB$543,26,FALSE)</f>
        <v>0</v>
      </c>
      <c r="I205" t="s">
        <v>695</v>
      </c>
      <c r="J205">
        <v>103.35</v>
      </c>
      <c r="O205" s="2" t="s">
        <v>458</v>
      </c>
      <c r="Q205" s="96"/>
      <c r="R205" s="96"/>
      <c r="AH205" s="2" t="str">
        <f t="shared" si="65"/>
        <v>2018</v>
      </c>
      <c r="AI205" s="2">
        <f t="shared" si="66"/>
        <v>83.130567676808298</v>
      </c>
      <c r="AJ205" s="2">
        <f t="shared" si="67"/>
        <v>0.39585984608003949</v>
      </c>
      <c r="AK205" s="12">
        <f t="shared" si="68"/>
        <v>30.176591375770002</v>
      </c>
      <c r="AL205" s="2" t="s">
        <v>570</v>
      </c>
      <c r="AM205" s="2" t="str">
        <f>VLOOKUP(A205,'[12]Power plant names'!$C$2:$F$545,4,FALSE)</f>
        <v>Sub critical</v>
      </c>
      <c r="AN205" s="2">
        <v>210</v>
      </c>
      <c r="AO205" s="2">
        <f t="shared" si="69"/>
        <v>0.39585984608003949</v>
      </c>
      <c r="AP205" s="2">
        <v>210</v>
      </c>
      <c r="AQ205" s="2">
        <f t="shared" si="70"/>
        <v>0</v>
      </c>
      <c r="AR205" s="2">
        <f t="shared" si="71"/>
        <v>83.130567676808298</v>
      </c>
      <c r="AS205" s="2">
        <f t="shared" si="72"/>
        <v>0</v>
      </c>
      <c r="AU205" s="2">
        <f t="shared" si="73"/>
        <v>103.35</v>
      </c>
      <c r="AV205" s="2">
        <f t="shared" si="74"/>
        <v>0.4921428571428571</v>
      </c>
      <c r="AW205" s="12">
        <f t="shared" si="75"/>
        <v>32.176591375770002</v>
      </c>
      <c r="AX205" s="2">
        <v>210</v>
      </c>
      <c r="AY205" s="3">
        <f t="shared" si="76"/>
        <v>0.4921428571428571</v>
      </c>
      <c r="AZ205" s="2">
        <f t="shared" si="77"/>
        <v>103.35</v>
      </c>
      <c r="BA205" s="2">
        <f t="shared" si="78"/>
        <v>0</v>
      </c>
      <c r="BC205">
        <f t="shared" si="79"/>
        <v>128.48730375</v>
      </c>
      <c r="BD205">
        <f t="shared" si="80"/>
        <v>0.61184430357142849</v>
      </c>
      <c r="BE205">
        <f t="shared" si="81"/>
        <v>0.61184430357142849</v>
      </c>
      <c r="BF205">
        <f t="shared" si="82"/>
        <v>128.48730375</v>
      </c>
      <c r="BG205">
        <f t="shared" si="83"/>
        <v>0</v>
      </c>
    </row>
    <row r="206" spans="1:59" ht="14.5" customHeight="1" x14ac:dyDescent="0.2">
      <c r="A206" s="2" t="s">
        <v>141</v>
      </c>
      <c r="B206" s="2" t="str">
        <f>VLOOKUP($A206,'[1]daily coal, energy reqd'!$C$2:$T$599,17,FALSE)</f>
        <v>Chhatisgarh</v>
      </c>
      <c r="C206" s="2" t="str">
        <f>VLOOKUP(B206,'Target PLF'!$I$2:$J$19,2,FALSE)</f>
        <v>WR</v>
      </c>
      <c r="D206" s="2" t="s">
        <v>570</v>
      </c>
      <c r="E206" s="2" t="s">
        <v>543</v>
      </c>
      <c r="F206" s="12">
        <v>6.8418891170431202</v>
      </c>
      <c r="G206" s="2">
        <v>500</v>
      </c>
      <c r="H206">
        <f>VLOOKUP(A206,'Coal savings'!$A$3:$AB$543,26,FALSE)</f>
        <v>2445080.5354060805</v>
      </c>
      <c r="I206" t="s">
        <v>695</v>
      </c>
      <c r="J206">
        <v>632.79999999999984</v>
      </c>
      <c r="O206" s="2" t="s">
        <v>141</v>
      </c>
      <c r="P206">
        <v>2019</v>
      </c>
      <c r="Q206">
        <v>591.84</v>
      </c>
      <c r="R206" t="s">
        <v>611</v>
      </c>
      <c r="AH206" s="2" t="str">
        <f t="shared" si="65"/>
        <v>2018</v>
      </c>
      <c r="AI206" s="2">
        <f t="shared" si="66"/>
        <v>508.99877335156532</v>
      </c>
      <c r="AJ206" s="2">
        <f t="shared" si="67"/>
        <v>1.0179975467031306</v>
      </c>
      <c r="AK206" s="12">
        <f t="shared" si="68"/>
        <v>2.8418891170431202</v>
      </c>
      <c r="AL206" s="2" t="s">
        <v>570</v>
      </c>
      <c r="AM206" s="2" t="str">
        <f>VLOOKUP(A206,'[12]Power plant names'!$C$2:$F$545,4,FALSE)</f>
        <v>Sub critical</v>
      </c>
      <c r="AN206" s="2">
        <v>500</v>
      </c>
      <c r="AO206" s="2">
        <f t="shared" si="69"/>
        <v>1.0179975467031306</v>
      </c>
      <c r="AP206" s="2">
        <v>500</v>
      </c>
      <c r="AQ206" s="2">
        <f t="shared" si="70"/>
        <v>0</v>
      </c>
      <c r="AR206" s="2">
        <f t="shared" si="71"/>
        <v>508.99877335156532</v>
      </c>
      <c r="AS206" s="2">
        <f t="shared" si="72"/>
        <v>0</v>
      </c>
      <c r="AU206" s="2">
        <f t="shared" si="73"/>
        <v>632.79999999999984</v>
      </c>
      <c r="AV206" s="2">
        <f t="shared" si="74"/>
        <v>1.2655999999999996</v>
      </c>
      <c r="AW206" s="12">
        <f t="shared" si="75"/>
        <v>4.8418891170431202</v>
      </c>
      <c r="AX206" s="2">
        <v>500</v>
      </c>
      <c r="AY206" s="3">
        <f t="shared" si="76"/>
        <v>1.2655999999999996</v>
      </c>
      <c r="AZ206" s="2">
        <f t="shared" si="77"/>
        <v>632.79999999999984</v>
      </c>
      <c r="BA206" s="2">
        <f t="shared" si="78"/>
        <v>0</v>
      </c>
      <c r="BC206">
        <f t="shared" si="79"/>
        <v>786.71277999999984</v>
      </c>
      <c r="BD206">
        <f t="shared" si="80"/>
        <v>1.5734255599999998</v>
      </c>
      <c r="BE206">
        <f t="shared" si="81"/>
        <v>1.5734255599999998</v>
      </c>
      <c r="BF206">
        <f t="shared" si="82"/>
        <v>786.71277999999984</v>
      </c>
      <c r="BG206">
        <f t="shared" si="83"/>
        <v>0</v>
      </c>
    </row>
    <row r="207" spans="1:59" ht="14.5" hidden="1" customHeight="1" x14ac:dyDescent="0.2">
      <c r="A207" s="2" t="s">
        <v>513</v>
      </c>
      <c r="B207" s="2" t="str">
        <f>VLOOKUP($A207,'[1]daily coal, energy reqd'!$C$2:$T$599,17,FALSE)</f>
        <v>Rajasthan</v>
      </c>
      <c r="C207" s="2" t="str">
        <f>VLOOKUP(B207,'Target PLF'!$I$2:$J$19,2,FALSE)</f>
        <v>NR</v>
      </c>
      <c r="D207" s="2" t="s">
        <v>570</v>
      </c>
      <c r="E207" s="2" t="s">
        <v>549</v>
      </c>
      <c r="F207" s="12">
        <v>37.338809034907598</v>
      </c>
      <c r="G207" s="2">
        <v>110</v>
      </c>
      <c r="H207">
        <f>VLOOKUP(A207,'Coal savings'!$A$3:$AB$543,26,FALSE)</f>
        <v>0</v>
      </c>
      <c r="O207" s="2" t="s">
        <v>513</v>
      </c>
      <c r="P207">
        <v>2019</v>
      </c>
      <c r="Q207" s="96">
        <v>363</v>
      </c>
      <c r="R207" s="96" t="s">
        <v>616</v>
      </c>
      <c r="S207" s="96">
        <v>1240</v>
      </c>
      <c r="AH207" s="2"/>
      <c r="AI207" s="2"/>
      <c r="AJ207" s="2" t="str">
        <f t="shared" si="67"/>
        <v/>
      </c>
      <c r="AK207" s="12">
        <f t="shared" si="68"/>
        <v>33.338809034907598</v>
      </c>
      <c r="AL207" s="2" t="s">
        <v>570</v>
      </c>
      <c r="AM207" s="2" t="str">
        <f>VLOOKUP(A207,'[12]Power plant names'!$C$2:$F$545,4,FALSE)</f>
        <v>Sub critical</v>
      </c>
      <c r="AN207" s="2">
        <v>110</v>
      </c>
      <c r="AO207" s="2">
        <f t="shared" si="69"/>
        <v>0.56986779753593442</v>
      </c>
      <c r="AP207" s="2">
        <v>110</v>
      </c>
      <c r="AQ207" s="2">
        <f t="shared" si="70"/>
        <v>0</v>
      </c>
      <c r="AR207" s="2">
        <f t="shared" si="71"/>
        <v>62.685457728952784</v>
      </c>
      <c r="AS207" s="2">
        <f t="shared" si="72"/>
        <v>0</v>
      </c>
      <c r="AU207" s="2"/>
      <c r="AV207" s="2" t="str">
        <f t="shared" si="74"/>
        <v/>
      </c>
      <c r="AW207" s="12">
        <f t="shared" si="75"/>
        <v>37.338809034907598</v>
      </c>
      <c r="AX207" s="2">
        <v>110</v>
      </c>
      <c r="AY207" s="3">
        <f t="shared" si="76"/>
        <v>0.67984051293634495</v>
      </c>
      <c r="AZ207" s="2">
        <f t="shared" si="77"/>
        <v>74.782456422997939</v>
      </c>
      <c r="BA207" s="2">
        <f t="shared" si="78"/>
        <v>0</v>
      </c>
      <c r="BC207" t="str">
        <f t="shared" si="79"/>
        <v/>
      </c>
      <c r="BE207">
        <f t="shared" si="81"/>
        <v>0.75396914373716628</v>
      </c>
      <c r="BF207">
        <f t="shared" si="82"/>
        <v>82.936605811088285</v>
      </c>
      <c r="BG207">
        <f t="shared" si="83"/>
        <v>0</v>
      </c>
    </row>
    <row r="208" spans="1:59" ht="14.5" hidden="1" customHeight="1" x14ac:dyDescent="0.2">
      <c r="A208" s="2" t="s">
        <v>510</v>
      </c>
      <c r="B208" s="2" t="str">
        <f>VLOOKUP($A208,'[1]daily coal, energy reqd'!$C$2:$T$599,17,FALSE)</f>
        <v>Rajasthan</v>
      </c>
      <c r="C208" s="2" t="str">
        <f>VLOOKUP(B208,'Target PLF'!$I$2:$J$19,2,FALSE)</f>
        <v>NR</v>
      </c>
      <c r="D208" s="2" t="s">
        <v>570</v>
      </c>
      <c r="E208" s="2" t="s">
        <v>549</v>
      </c>
      <c r="F208" s="12">
        <v>36.843258042436602</v>
      </c>
      <c r="G208" s="2">
        <v>110</v>
      </c>
      <c r="H208">
        <f>VLOOKUP(A208,'Coal savings'!$A$3:$AB$543,26,FALSE)</f>
        <v>0</v>
      </c>
      <c r="O208" s="2" t="s">
        <v>510</v>
      </c>
      <c r="Q208" s="96"/>
      <c r="R208" s="96"/>
      <c r="S208" s="96"/>
      <c r="AH208" s="2" t="str">
        <f t="shared" ref="AH208:AH217" si="84">RIGHT(I208,4)</f>
        <v/>
      </c>
      <c r="AI208" s="2"/>
      <c r="AJ208" s="2" t="str">
        <f t="shared" si="67"/>
        <v/>
      </c>
      <c r="AK208" s="12">
        <f t="shared" si="68"/>
        <v>32.843258042436602</v>
      </c>
      <c r="AL208" s="2" t="s">
        <v>570</v>
      </c>
      <c r="AM208" s="2" t="str">
        <f>VLOOKUP(A208,'[12]Power plant names'!$C$2:$F$545,4,FALSE)</f>
        <v>Sub critical</v>
      </c>
      <c r="AN208" s="2">
        <v>110</v>
      </c>
      <c r="AO208" s="2">
        <f t="shared" si="69"/>
        <v>0.5767339538672156</v>
      </c>
      <c r="AP208" s="2">
        <v>110</v>
      </c>
      <c r="AQ208" s="2">
        <f t="shared" si="70"/>
        <v>0</v>
      </c>
      <c r="AR208" s="2">
        <f t="shared" si="71"/>
        <v>63.440734925393713</v>
      </c>
      <c r="AS208" s="2">
        <f t="shared" si="72"/>
        <v>0</v>
      </c>
      <c r="AU208" s="2"/>
      <c r="AV208" s="2" t="str">
        <f t="shared" si="74"/>
        <v/>
      </c>
      <c r="AW208" s="12">
        <f t="shared" si="75"/>
        <v>36.843258042436602</v>
      </c>
      <c r="AX208" s="2">
        <v>110</v>
      </c>
      <c r="AY208" s="3">
        <f t="shared" si="76"/>
        <v>0.68882599219712681</v>
      </c>
      <c r="AZ208" s="2">
        <f t="shared" si="77"/>
        <v>75.770859141683943</v>
      </c>
      <c r="BA208" s="2">
        <f t="shared" si="78"/>
        <v>0</v>
      </c>
      <c r="BC208" t="str">
        <f t="shared" si="79"/>
        <v/>
      </c>
      <c r="BE208">
        <f t="shared" si="81"/>
        <v>0.76463513552361573</v>
      </c>
      <c r="BF208">
        <f t="shared" si="82"/>
        <v>84.109864907597725</v>
      </c>
      <c r="BG208">
        <f t="shared" si="83"/>
        <v>0</v>
      </c>
    </row>
    <row r="209" spans="1:59" ht="14.5" hidden="1" customHeight="1" x14ac:dyDescent="0.2">
      <c r="A209" s="2" t="s">
        <v>443</v>
      </c>
      <c r="B209" s="2" t="str">
        <f>VLOOKUP($A209,'[1]daily coal, energy reqd'!$C$2:$T$599,17,FALSE)</f>
        <v>Rajasthan</v>
      </c>
      <c r="C209" s="2" t="str">
        <f>VLOOKUP(B209,'Target PLF'!$I$2:$J$19,2,FALSE)</f>
        <v>NR</v>
      </c>
      <c r="D209" s="2" t="s">
        <v>570</v>
      </c>
      <c r="E209" s="2" t="s">
        <v>548</v>
      </c>
      <c r="F209" s="12">
        <v>31.671457905544099</v>
      </c>
      <c r="G209" s="2">
        <v>210</v>
      </c>
      <c r="H209">
        <f>VLOOKUP(A209,'Coal savings'!$A$3:$AB$543,26,FALSE)</f>
        <v>0</v>
      </c>
      <c r="O209" s="2" t="s">
        <v>443</v>
      </c>
      <c r="Q209" s="96"/>
      <c r="R209" s="96"/>
      <c r="S209" s="96"/>
      <c r="AH209" s="2" t="str">
        <f t="shared" si="84"/>
        <v/>
      </c>
      <c r="AI209" s="2"/>
      <c r="AJ209" s="2" t="str">
        <f t="shared" si="67"/>
        <v/>
      </c>
      <c r="AK209" s="12">
        <f t="shared" si="68"/>
        <v>27.671457905544099</v>
      </c>
      <c r="AL209" s="2" t="s">
        <v>570</v>
      </c>
      <c r="AM209" s="2" t="str">
        <f>VLOOKUP(A209,'[12]Power plant names'!$C$2:$F$545,4,FALSE)</f>
        <v>Sub critical</v>
      </c>
      <c r="AN209" s="2">
        <v>210</v>
      </c>
      <c r="AO209" s="2">
        <f t="shared" si="69"/>
        <v>0.60320234784394322</v>
      </c>
      <c r="AP209" s="2">
        <v>210</v>
      </c>
      <c r="AQ209" s="2">
        <f t="shared" si="70"/>
        <v>0</v>
      </c>
      <c r="AR209" s="2">
        <f t="shared" si="71"/>
        <v>126.67249304722807</v>
      </c>
      <c r="AS209" s="2">
        <f t="shared" si="72"/>
        <v>0</v>
      </c>
      <c r="AU209" s="2"/>
      <c r="AV209" s="2" t="str">
        <f t="shared" si="74"/>
        <v/>
      </c>
      <c r="AW209" s="12">
        <f t="shared" si="75"/>
        <v>31.671457905544099</v>
      </c>
      <c r="AX209" s="2">
        <v>210</v>
      </c>
      <c r="AY209" s="3">
        <f t="shared" si="76"/>
        <v>0.72676262381930279</v>
      </c>
      <c r="AZ209" s="2">
        <f t="shared" si="77"/>
        <v>152.62015100205357</v>
      </c>
      <c r="BA209" s="2">
        <f t="shared" si="78"/>
        <v>0</v>
      </c>
      <c r="BC209" t="str">
        <f t="shared" si="79"/>
        <v/>
      </c>
      <c r="BE209">
        <f t="shared" si="81"/>
        <v>0.8057303757700216</v>
      </c>
      <c r="BF209">
        <f t="shared" si="82"/>
        <v>169.20337891170453</v>
      </c>
      <c r="BG209">
        <f t="shared" si="83"/>
        <v>0</v>
      </c>
    </row>
    <row r="210" spans="1:59" ht="14.5" hidden="1" customHeight="1" x14ac:dyDescent="0.2">
      <c r="A210" s="2" t="s">
        <v>435</v>
      </c>
      <c r="B210" s="2" t="str">
        <f>VLOOKUP($A210,'[1]daily coal, energy reqd'!$C$2:$T$599,17,FALSE)</f>
        <v>Rajasthan</v>
      </c>
      <c r="C210" s="2" t="str">
        <f>VLOOKUP(B210,'Target PLF'!$I$2:$J$19,2,FALSE)</f>
        <v>NR</v>
      </c>
      <c r="D210" s="2" t="s">
        <v>570</v>
      </c>
      <c r="E210" s="2" t="s">
        <v>548</v>
      </c>
      <c r="F210" s="12">
        <v>31.008898015058101</v>
      </c>
      <c r="G210" s="2">
        <v>210</v>
      </c>
      <c r="H210">
        <f>VLOOKUP(A210,'Coal savings'!$A$3:$AB$543,26,FALSE)</f>
        <v>0</v>
      </c>
      <c r="O210" s="2" t="s">
        <v>435</v>
      </c>
      <c r="Q210" s="96"/>
      <c r="R210" s="96"/>
      <c r="S210" s="96"/>
      <c r="AH210" s="2" t="str">
        <f t="shared" si="84"/>
        <v/>
      </c>
      <c r="AI210" s="2"/>
      <c r="AJ210" s="2" t="str">
        <f t="shared" si="67"/>
        <v/>
      </c>
      <c r="AK210" s="12">
        <f t="shared" si="68"/>
        <v>27.008898015058101</v>
      </c>
      <c r="AL210" s="2" t="s">
        <v>570</v>
      </c>
      <c r="AM210" s="2" t="str">
        <f>VLOOKUP(A210,'[12]Power plant names'!$C$2:$F$545,4,FALSE)</f>
        <v>Sub critical</v>
      </c>
      <c r="AN210" s="2">
        <v>210</v>
      </c>
      <c r="AO210" s="2">
        <f t="shared" si="69"/>
        <v>0.61238251266256105</v>
      </c>
      <c r="AP210" s="2">
        <v>210</v>
      </c>
      <c r="AQ210" s="2">
        <f t="shared" si="70"/>
        <v>0</v>
      </c>
      <c r="AR210" s="2">
        <f t="shared" si="71"/>
        <v>128.60032765913783</v>
      </c>
      <c r="AS210" s="2">
        <f t="shared" si="72"/>
        <v>0</v>
      </c>
      <c r="AU210" s="2"/>
      <c r="AV210" s="2" t="str">
        <f t="shared" si="74"/>
        <v/>
      </c>
      <c r="AW210" s="12">
        <f t="shared" si="75"/>
        <v>31.008898015058101</v>
      </c>
      <c r="AX210" s="2">
        <v>210</v>
      </c>
      <c r="AY210" s="3">
        <f t="shared" si="76"/>
        <v>0.73877635852156209</v>
      </c>
      <c r="AZ210" s="2">
        <f t="shared" si="77"/>
        <v>155.14303528952803</v>
      </c>
      <c r="BA210" s="2">
        <f t="shared" si="78"/>
        <v>0</v>
      </c>
      <c r="BC210" t="str">
        <f t="shared" si="79"/>
        <v/>
      </c>
      <c r="BE210">
        <f t="shared" si="81"/>
        <v>0.81999098357289701</v>
      </c>
      <c r="BF210">
        <f t="shared" si="82"/>
        <v>172.19810655030838</v>
      </c>
      <c r="BG210">
        <f t="shared" si="83"/>
        <v>0</v>
      </c>
    </row>
    <row r="211" spans="1:59" ht="14.5" hidden="1" customHeight="1" x14ac:dyDescent="0.2">
      <c r="A211" s="2" t="s">
        <v>406</v>
      </c>
      <c r="B211" s="2" t="str">
        <f>VLOOKUP($A211,'[1]daily coal, energy reqd'!$C$2:$T$599,17,FALSE)</f>
        <v>Rajasthan</v>
      </c>
      <c r="C211" s="2" t="str">
        <f>VLOOKUP(B211,'Target PLF'!$I$2:$J$19,2,FALSE)</f>
        <v>NR</v>
      </c>
      <c r="D211" s="2" t="s">
        <v>570</v>
      </c>
      <c r="E211" s="2" t="s">
        <v>547</v>
      </c>
      <c r="F211" s="12">
        <v>26.176591375769998</v>
      </c>
      <c r="G211" s="2">
        <v>210</v>
      </c>
      <c r="H211">
        <f>VLOOKUP(A211,'Coal savings'!$A$3:$AB$543,26,FALSE)</f>
        <v>0</v>
      </c>
      <c r="O211" s="2" t="s">
        <v>406</v>
      </c>
      <c r="Q211" s="96"/>
      <c r="R211" s="96"/>
      <c r="S211" s="96"/>
      <c r="AH211" s="2" t="str">
        <f t="shared" si="84"/>
        <v/>
      </c>
      <c r="AI211" s="2"/>
      <c r="AJ211" s="2" t="str">
        <f t="shared" si="67"/>
        <v/>
      </c>
      <c r="AK211" s="12">
        <f t="shared" si="68"/>
        <v>22.176591375769998</v>
      </c>
      <c r="AL211" s="2" t="s">
        <v>570</v>
      </c>
      <c r="AM211" s="2" t="str">
        <f>VLOOKUP(A211,'[12]Power plant names'!$C$2:$F$545,4,FALSE)</f>
        <v>Sub critical</v>
      </c>
      <c r="AN211" s="2">
        <v>210</v>
      </c>
      <c r="AO211" s="2">
        <f t="shared" si="69"/>
        <v>0.67933702053388134</v>
      </c>
      <c r="AP211" s="2">
        <v>210</v>
      </c>
      <c r="AQ211" s="2">
        <f t="shared" si="70"/>
        <v>0</v>
      </c>
      <c r="AR211" s="2">
        <f t="shared" si="71"/>
        <v>142.66077431211508</v>
      </c>
      <c r="AS211" s="2">
        <f t="shared" si="72"/>
        <v>0</v>
      </c>
      <c r="AU211" s="2"/>
      <c r="AV211" s="2" t="str">
        <f t="shared" si="74"/>
        <v/>
      </c>
      <c r="AW211" s="12">
        <f t="shared" si="75"/>
        <v>26.176591375769998</v>
      </c>
      <c r="AX211" s="2">
        <v>210</v>
      </c>
      <c r="AY211" s="3">
        <f t="shared" si="76"/>
        <v>0.82639719219712571</v>
      </c>
      <c r="AZ211" s="2">
        <f t="shared" si="77"/>
        <v>173.54341036139641</v>
      </c>
      <c r="BA211" s="2">
        <f t="shared" si="78"/>
        <v>0</v>
      </c>
      <c r="BC211" t="str">
        <f t="shared" si="79"/>
        <v/>
      </c>
      <c r="BE211">
        <f t="shared" si="81"/>
        <v>0.92399913552361446</v>
      </c>
      <c r="BF211">
        <f t="shared" si="82"/>
        <v>194.03981845995904</v>
      </c>
      <c r="BG211">
        <f t="shared" si="83"/>
        <v>0</v>
      </c>
    </row>
    <row r="212" spans="1:59" ht="14.5" hidden="1" customHeight="1" x14ac:dyDescent="0.2">
      <c r="A212" s="2" t="s">
        <v>351</v>
      </c>
      <c r="B212" s="2" t="str">
        <f>VLOOKUP($A212,'[1]daily coal, energy reqd'!$C$2:$T$599,17,FALSE)</f>
        <v>Rajasthan</v>
      </c>
      <c r="C212" s="2" t="str">
        <f>VLOOKUP(B212,'Target PLF'!$I$2:$J$19,2,FALSE)</f>
        <v>NR</v>
      </c>
      <c r="D212" s="2" t="s">
        <v>570</v>
      </c>
      <c r="E212" s="2" t="s">
        <v>545</v>
      </c>
      <c r="F212" s="12">
        <v>16.843258042436599</v>
      </c>
      <c r="G212" s="2">
        <v>195</v>
      </c>
      <c r="H212">
        <f>VLOOKUP(A212,'Coal savings'!$A$3:$AB$543,26,FALSE)</f>
        <v>0</v>
      </c>
      <c r="O212" s="2" t="s">
        <v>351</v>
      </c>
      <c r="Q212" s="96"/>
      <c r="R212" s="96"/>
      <c r="S212" s="96"/>
      <c r="AH212" s="2" t="str">
        <f t="shared" si="84"/>
        <v/>
      </c>
      <c r="AI212" s="2"/>
      <c r="AJ212" s="2" t="str">
        <f t="shared" si="67"/>
        <v/>
      </c>
      <c r="AK212" s="12">
        <f t="shared" si="68"/>
        <v>12.843258042436599</v>
      </c>
      <c r="AL212" s="2" t="s">
        <v>570</v>
      </c>
      <c r="AM212" s="2" t="str">
        <f>VLOOKUP(A212,'[12]Power plant names'!$C$2:$F$545,4,FALSE)</f>
        <v>Sub critical</v>
      </c>
      <c r="AN212" s="2">
        <v>195</v>
      </c>
      <c r="AO212" s="2">
        <f t="shared" si="69"/>
        <v>0.81543445386721558</v>
      </c>
      <c r="AP212" s="2">
        <v>195</v>
      </c>
      <c r="AQ212" s="2">
        <f t="shared" si="70"/>
        <v>0</v>
      </c>
      <c r="AR212" s="2">
        <f t="shared" si="71"/>
        <v>159.00971850410704</v>
      </c>
      <c r="AS212" s="2">
        <f t="shared" si="72"/>
        <v>0</v>
      </c>
      <c r="AU212" s="2"/>
      <c r="AV212" s="2" t="str">
        <f t="shared" si="74"/>
        <v/>
      </c>
      <c r="AW212" s="12">
        <f t="shared" si="75"/>
        <v>16.843258042436599</v>
      </c>
      <c r="AX212" s="2">
        <v>195</v>
      </c>
      <c r="AY212" s="3">
        <f t="shared" si="76"/>
        <v>1.004007992197127</v>
      </c>
      <c r="AZ212" s="2">
        <f t="shared" si="77"/>
        <v>195.78155847843976</v>
      </c>
      <c r="BA212" s="2">
        <f t="shared" si="78"/>
        <v>0</v>
      </c>
      <c r="BC212" t="str">
        <f t="shared" si="79"/>
        <v/>
      </c>
      <c r="BE212">
        <f t="shared" si="81"/>
        <v>1.1354181355236159</v>
      </c>
      <c r="BF212">
        <f t="shared" si="82"/>
        <v>221.4065364271051</v>
      </c>
      <c r="BG212">
        <f t="shared" si="83"/>
        <v>0</v>
      </c>
    </row>
    <row r="213" spans="1:59" ht="14.5" hidden="1" customHeight="1" x14ac:dyDescent="0.2">
      <c r="A213" s="2" t="s">
        <v>305</v>
      </c>
      <c r="B213" s="2" t="str">
        <f>VLOOKUP($A213,'[1]daily coal, energy reqd'!$C$2:$T$599,17,FALSE)</f>
        <v>Rajasthan</v>
      </c>
      <c r="C213" s="2" t="str">
        <f>VLOOKUP(B213,'Target PLF'!$I$2:$J$19,2,FALSE)</f>
        <v>NR</v>
      </c>
      <c r="D213" s="2" t="s">
        <v>570</v>
      </c>
      <c r="E213" s="2" t="s">
        <v>544</v>
      </c>
      <c r="F213" s="12">
        <v>10.757015742642</v>
      </c>
      <c r="G213" s="2">
        <v>195</v>
      </c>
      <c r="H213">
        <f>VLOOKUP(A213,'Coal savings'!$A$3:$AB$543,26,FALSE)</f>
        <v>0</v>
      </c>
      <c r="O213" s="2" t="s">
        <v>305</v>
      </c>
      <c r="Q213" s="96"/>
      <c r="R213" s="96"/>
      <c r="S213" s="96"/>
      <c r="AH213" s="2" t="str">
        <f t="shared" si="84"/>
        <v/>
      </c>
      <c r="AI213" s="2"/>
      <c r="AJ213" s="2" t="str">
        <f t="shared" si="67"/>
        <v/>
      </c>
      <c r="AK213" s="12">
        <f t="shared" si="68"/>
        <v>6.7570157426420003</v>
      </c>
      <c r="AL213" s="2" t="s">
        <v>570</v>
      </c>
      <c r="AM213" s="2" t="str">
        <f>VLOOKUP(A213,'[12]Power plant names'!$C$2:$F$545,4,FALSE)</f>
        <v>Sub critical</v>
      </c>
      <c r="AN213" s="2">
        <v>195</v>
      </c>
      <c r="AO213" s="2">
        <f t="shared" si="69"/>
        <v>0.8997629926762496</v>
      </c>
      <c r="AP213" s="2">
        <v>195</v>
      </c>
      <c r="AQ213" s="2">
        <f t="shared" si="70"/>
        <v>0</v>
      </c>
      <c r="AR213" s="2">
        <f t="shared" si="71"/>
        <v>175.45378357186868</v>
      </c>
      <c r="AS213" s="2">
        <f t="shared" si="72"/>
        <v>0</v>
      </c>
      <c r="AU213" s="2"/>
      <c r="AV213" s="2" t="str">
        <f t="shared" si="74"/>
        <v/>
      </c>
      <c r="AW213" s="12">
        <f t="shared" si="75"/>
        <v>10.757015742642</v>
      </c>
      <c r="AX213" s="2">
        <v>195</v>
      </c>
      <c r="AY213" s="3">
        <f t="shared" si="76"/>
        <v>1.1143655634496925</v>
      </c>
      <c r="AZ213" s="2">
        <f t="shared" si="77"/>
        <v>217.30128487269005</v>
      </c>
      <c r="BA213" s="2">
        <f t="shared" si="78"/>
        <v>0</v>
      </c>
      <c r="BC213" t="str">
        <f t="shared" si="79"/>
        <v/>
      </c>
      <c r="BE213">
        <f t="shared" si="81"/>
        <v>1.2664153716632449</v>
      </c>
      <c r="BF213">
        <f t="shared" si="82"/>
        <v>246.95099747433275</v>
      </c>
      <c r="BG213">
        <f t="shared" si="83"/>
        <v>0</v>
      </c>
    </row>
    <row r="214" spans="1:59" ht="14.5" hidden="1" customHeight="1" x14ac:dyDescent="0.2">
      <c r="A214" s="2" t="s">
        <v>369</v>
      </c>
      <c r="B214" s="2" t="str">
        <f>VLOOKUP($A214,'[1]daily coal, energy reqd'!$C$2:$T$599,17,FALSE)</f>
        <v>Telangana</v>
      </c>
      <c r="C214" s="2" t="str">
        <f>VLOOKUP(B214,'Target PLF'!$I$2:$J$19,2,FALSE)</f>
        <v>SR</v>
      </c>
      <c r="D214" s="2" t="s">
        <v>570</v>
      </c>
      <c r="E214" s="2" t="s">
        <v>546</v>
      </c>
      <c r="F214" s="12">
        <v>22.179329226557101</v>
      </c>
      <c r="G214" s="2">
        <v>250</v>
      </c>
      <c r="H214">
        <f>VLOOKUP(A214,'Coal savings'!$A$3:$AB$543,26,FALSE)</f>
        <v>0</v>
      </c>
      <c r="O214" s="2" t="s">
        <v>369</v>
      </c>
      <c r="AH214" s="2" t="str">
        <f t="shared" si="84"/>
        <v/>
      </c>
      <c r="AI214" s="2"/>
      <c r="AJ214" s="2" t="str">
        <f t="shared" si="67"/>
        <v/>
      </c>
      <c r="AK214" s="12">
        <f t="shared" si="68"/>
        <v>18.179329226557101</v>
      </c>
      <c r="AL214" s="2" t="s">
        <v>570</v>
      </c>
      <c r="AM214" s="2" t="str">
        <f>VLOOKUP(A214,'[12]Power plant names'!$C$2:$F$545,4,FALSE)</f>
        <v>Sub critical</v>
      </c>
      <c r="AN214" s="2">
        <v>250</v>
      </c>
      <c r="AO214" s="2">
        <f t="shared" si="69"/>
        <v>0.71664548596851552</v>
      </c>
      <c r="AP214" s="2">
        <v>250</v>
      </c>
      <c r="AQ214" s="2">
        <f t="shared" si="70"/>
        <v>0</v>
      </c>
      <c r="AR214" s="2">
        <f t="shared" si="71"/>
        <v>179.16137149212889</v>
      </c>
      <c r="AS214" s="2">
        <f t="shared" si="72"/>
        <v>0</v>
      </c>
      <c r="AU214" s="2"/>
      <c r="AV214" s="2" t="str">
        <f t="shared" si="74"/>
        <v/>
      </c>
      <c r="AW214" s="12">
        <f t="shared" si="75"/>
        <v>22.179329226557101</v>
      </c>
      <c r="AX214" s="2">
        <v>250</v>
      </c>
      <c r="AY214" s="3">
        <f t="shared" si="76"/>
        <v>0.87654074866529874</v>
      </c>
      <c r="AZ214" s="2">
        <f t="shared" si="77"/>
        <v>219.1351871663247</v>
      </c>
      <c r="BA214" s="2">
        <f t="shared" si="78"/>
        <v>0</v>
      </c>
      <c r="BC214" t="str">
        <f t="shared" si="79"/>
        <v/>
      </c>
      <c r="BE214">
        <f t="shared" si="81"/>
        <v>0.98194620739219818</v>
      </c>
      <c r="BF214">
        <f t="shared" si="82"/>
        <v>245.48655184804954</v>
      </c>
      <c r="BG214">
        <f t="shared" si="83"/>
        <v>0</v>
      </c>
    </row>
    <row r="215" spans="1:59" ht="14.5" customHeight="1" x14ac:dyDescent="0.2">
      <c r="A215" s="2" t="s">
        <v>162</v>
      </c>
      <c r="B215" s="2" t="str">
        <f>VLOOKUP($A215,'[1]daily coal, energy reqd'!$C$2:$T$599,17,FALSE)</f>
        <v>Telangana</v>
      </c>
      <c r="C215" s="2" t="str">
        <f>VLOOKUP(B215,'Target PLF'!$I$2:$J$19,2,FALSE)</f>
        <v>SR</v>
      </c>
      <c r="D215" s="2" t="s">
        <v>570</v>
      </c>
      <c r="E215" s="2" t="s">
        <v>543</v>
      </c>
      <c r="F215" s="12">
        <v>8.9253935660506496</v>
      </c>
      <c r="G215" s="2">
        <v>500</v>
      </c>
      <c r="H215">
        <f>VLOOKUP(A215,'Coal savings'!$A$3:$AB$543,26,FALSE)</f>
        <v>2381947.0212726453</v>
      </c>
      <c r="O215" s="2" t="s">
        <v>162</v>
      </c>
      <c r="AH215" s="2" t="str">
        <f t="shared" si="84"/>
        <v/>
      </c>
      <c r="AI215" s="2"/>
      <c r="AJ215" s="2" t="str">
        <f t="shared" si="67"/>
        <v/>
      </c>
      <c r="AK215" s="12">
        <f t="shared" si="68"/>
        <v>4.9253935660506496</v>
      </c>
      <c r="AL215" s="2" t="s">
        <v>570</v>
      </c>
      <c r="AM215" s="2" t="str">
        <f>VLOOKUP(A215,'[12]Power plant names'!$C$2:$F$545,4,FALSE)</f>
        <v>Sub critical</v>
      </c>
      <c r="AN215" s="2">
        <v>500</v>
      </c>
      <c r="AO215" s="2">
        <f t="shared" si="69"/>
        <v>0.7873117169062287</v>
      </c>
      <c r="AP215" s="2">
        <v>500</v>
      </c>
      <c r="AQ215" s="2">
        <f t="shared" si="70"/>
        <v>0</v>
      </c>
      <c r="AR215" s="2">
        <f t="shared" si="71"/>
        <v>393.65585845311438</v>
      </c>
      <c r="AS215" s="2">
        <f t="shared" si="72"/>
        <v>0</v>
      </c>
      <c r="AU215" s="2"/>
      <c r="AV215" s="2" t="str">
        <f t="shared" si="74"/>
        <v/>
      </c>
      <c r="AW215" s="12">
        <f t="shared" si="75"/>
        <v>8.9253935660506496</v>
      </c>
      <c r="AX215" s="2">
        <v>500</v>
      </c>
      <c r="AY215" s="3">
        <f t="shared" si="76"/>
        <v>0.97726508624229991</v>
      </c>
      <c r="AZ215" s="2">
        <f t="shared" si="77"/>
        <v>488.63254312114998</v>
      </c>
      <c r="BA215" s="2">
        <f t="shared" si="78"/>
        <v>0</v>
      </c>
      <c r="BC215" t="str">
        <f t="shared" si="79"/>
        <v/>
      </c>
      <c r="BE215">
        <f t="shared" si="81"/>
        <v>1.0916672915811088</v>
      </c>
      <c r="BF215">
        <f t="shared" si="82"/>
        <v>545.83364579055433</v>
      </c>
      <c r="BG215">
        <f t="shared" si="83"/>
        <v>0</v>
      </c>
    </row>
    <row r="216" spans="1:59" ht="14.5" hidden="1" customHeight="1" x14ac:dyDescent="0.2">
      <c r="A216" s="2" t="s">
        <v>379</v>
      </c>
      <c r="B216" s="2" t="str">
        <f>VLOOKUP($A216,'[1]daily coal, energy reqd'!$C$2:$T$599,17,FALSE)</f>
        <v>Telangana</v>
      </c>
      <c r="C216" s="2" t="str">
        <f>VLOOKUP(B216,'Target PLF'!$I$2:$J$19,2,FALSE)</f>
        <v>SR</v>
      </c>
      <c r="D216" s="2" t="s">
        <v>570</v>
      </c>
      <c r="E216" s="2" t="s">
        <v>546</v>
      </c>
      <c r="F216" s="12">
        <v>23.104722792607799</v>
      </c>
      <c r="G216" s="2">
        <v>250</v>
      </c>
      <c r="H216">
        <f>VLOOKUP(A216,'Coal savings'!$A$3:$AB$543,26,FALSE)</f>
        <v>0</v>
      </c>
      <c r="O216" s="2" t="s">
        <v>379</v>
      </c>
      <c r="AH216" s="2" t="str">
        <f t="shared" si="84"/>
        <v/>
      </c>
      <c r="AI216" s="2"/>
      <c r="AJ216" s="2" t="str">
        <f t="shared" si="67"/>
        <v/>
      </c>
      <c r="AK216" s="12">
        <f t="shared" si="68"/>
        <v>19.104722792607799</v>
      </c>
      <c r="AL216" s="2" t="s">
        <v>570</v>
      </c>
      <c r="AM216" s="2" t="str">
        <f>VLOOKUP(A216,'[12]Power plant names'!$C$2:$F$545,4,FALSE)</f>
        <v>Sub critical</v>
      </c>
      <c r="AN216" s="2">
        <v>250</v>
      </c>
      <c r="AO216" s="2">
        <f t="shared" si="69"/>
        <v>0.70382360287474355</v>
      </c>
      <c r="AP216" s="2">
        <v>250</v>
      </c>
      <c r="AQ216" s="2">
        <f t="shared" si="70"/>
        <v>0</v>
      </c>
      <c r="AR216" s="2">
        <f t="shared" si="71"/>
        <v>175.95590071868588</v>
      </c>
      <c r="AS216" s="2">
        <f t="shared" si="72"/>
        <v>0</v>
      </c>
      <c r="AU216" s="2"/>
      <c r="AV216" s="2" t="str">
        <f t="shared" si="74"/>
        <v/>
      </c>
      <c r="AW216" s="12">
        <f t="shared" si="75"/>
        <v>23.104722792607799</v>
      </c>
      <c r="AX216" s="2">
        <v>250</v>
      </c>
      <c r="AY216" s="3">
        <f t="shared" si="76"/>
        <v>0.8597612349075977</v>
      </c>
      <c r="AZ216" s="2">
        <f t="shared" si="77"/>
        <v>214.94030872689942</v>
      </c>
      <c r="BA216" s="2">
        <f t="shared" si="78"/>
        <v>0</v>
      </c>
      <c r="BC216" t="str">
        <f t="shared" si="79"/>
        <v/>
      </c>
      <c r="BE216">
        <f t="shared" si="81"/>
        <v>0.962028498973306</v>
      </c>
      <c r="BF216">
        <f t="shared" si="82"/>
        <v>240.5071247433265</v>
      </c>
      <c r="BG216">
        <f t="shared" si="83"/>
        <v>0</v>
      </c>
    </row>
    <row r="217" spans="1:59" ht="14.5" customHeight="1" x14ac:dyDescent="0.2">
      <c r="A217" s="2" t="s">
        <v>3</v>
      </c>
      <c r="B217" s="2" t="str">
        <f>VLOOKUP($A217,'[1]daily coal, energy reqd'!$C$2:$T$599,17,FALSE)</f>
        <v>Telangana</v>
      </c>
      <c r="C217" s="2" t="str">
        <f>VLOOKUP(B217,'Target PLF'!$I$2:$J$19,2,FALSE)</f>
        <v>SR</v>
      </c>
      <c r="D217" s="2" t="s">
        <v>570</v>
      </c>
      <c r="E217" s="2" t="s">
        <v>542</v>
      </c>
      <c r="F217" s="10">
        <v>1.9603011635865799</v>
      </c>
      <c r="G217" s="2">
        <v>800</v>
      </c>
      <c r="H217">
        <f>VLOOKUP(A217,'Coal savings'!$A$3:$AB$543,26,FALSE)</f>
        <v>3351166.1391569921</v>
      </c>
      <c r="O217" s="2" t="s">
        <v>3</v>
      </c>
      <c r="AH217" s="2" t="str">
        <f t="shared" si="84"/>
        <v/>
      </c>
      <c r="AI217" s="2"/>
      <c r="AJ217" s="2" t="str">
        <f t="shared" si="67"/>
        <v/>
      </c>
      <c r="AK217" s="12">
        <f t="shared" si="68"/>
        <v>1</v>
      </c>
      <c r="AL217" s="2" t="s">
        <v>570</v>
      </c>
      <c r="AM217" s="2" t="str">
        <f>VLOOKUP(A217,'[12]Power plant names'!$C$2:$F$545,4,FALSE)</f>
        <v>Super critical</v>
      </c>
      <c r="AN217" s="2">
        <v>800</v>
      </c>
      <c r="AO217" s="2">
        <f t="shared" si="69"/>
        <v>0.70613040000000005</v>
      </c>
      <c r="AP217" s="2">
        <v>800</v>
      </c>
      <c r="AQ217" s="2">
        <f t="shared" si="70"/>
        <v>0</v>
      </c>
      <c r="AR217" s="2">
        <f t="shared" si="71"/>
        <v>564.90431999999998</v>
      </c>
      <c r="AS217" s="2">
        <f t="shared" si="72"/>
        <v>0</v>
      </c>
      <c r="AU217" s="2"/>
      <c r="AV217" s="2" t="str">
        <f t="shared" si="74"/>
        <v/>
      </c>
      <c r="AW217" s="12">
        <f t="shared" si="75"/>
        <v>1.9603011635865799</v>
      </c>
      <c r="AX217" s="2">
        <v>800</v>
      </c>
      <c r="AY217" s="3">
        <f t="shared" si="76"/>
        <v>0.93603823121149921</v>
      </c>
      <c r="AZ217" s="2">
        <f t="shared" si="77"/>
        <v>748.83058496919932</v>
      </c>
      <c r="BA217" s="2">
        <f t="shared" si="78"/>
        <v>0</v>
      </c>
      <c r="BC217" t="str">
        <f t="shared" si="79"/>
        <v/>
      </c>
      <c r="BE217">
        <f t="shared" si="81"/>
        <v>1.0309204579055442</v>
      </c>
      <c r="BF217">
        <f t="shared" si="82"/>
        <v>824.73636632443538</v>
      </c>
      <c r="BG217">
        <f t="shared" si="83"/>
        <v>0</v>
      </c>
    </row>
    <row r="218" spans="1:59" ht="14.5" hidden="1" customHeight="1" x14ac:dyDescent="0.2">
      <c r="A218" s="2" t="s">
        <v>538</v>
      </c>
      <c r="B218" s="2" t="s">
        <v>610</v>
      </c>
      <c r="C218" s="2" t="str">
        <f>VLOOKUP(B218,'Target PLF'!$I$2:$J$19,2,FALSE)</f>
        <v>SR</v>
      </c>
      <c r="D218" s="2" t="s">
        <v>570</v>
      </c>
      <c r="E218" s="2" t="s">
        <v>551</v>
      </c>
      <c r="F218" s="12">
        <v>53.834360027378501</v>
      </c>
      <c r="G218" s="2">
        <v>60</v>
      </c>
      <c r="H218">
        <f>VLOOKUP(A218,'Coal savings'!$A$3:$AB$543,26,FALSE)</f>
        <v>0</v>
      </c>
      <c r="O218" s="2" t="s">
        <v>538</v>
      </c>
      <c r="P218">
        <v>2019</v>
      </c>
      <c r="Q218" s="96">
        <v>543.59</v>
      </c>
      <c r="R218" t="s">
        <v>610</v>
      </c>
      <c r="S218" s="38"/>
      <c r="T218">
        <v>55.3</v>
      </c>
      <c r="U218" t="s">
        <v>689</v>
      </c>
      <c r="AH218" s="2"/>
      <c r="AI218" s="2"/>
      <c r="AJ218" s="2" t="str">
        <f t="shared" si="67"/>
        <v/>
      </c>
      <c r="AK218" s="12">
        <f t="shared" si="68"/>
        <v>49.834360027378501</v>
      </c>
      <c r="AL218" s="2" t="s">
        <v>570</v>
      </c>
      <c r="AM218" s="2" t="str">
        <f>VLOOKUP(A218,'[12]Power plant names'!$C$2:$F$545,4,FALSE)</f>
        <v>Sub critical</v>
      </c>
      <c r="AN218" s="2">
        <v>60</v>
      </c>
      <c r="AO218" s="2">
        <f t="shared" si="69"/>
        <v>0.36390704120465456</v>
      </c>
      <c r="AP218" s="2"/>
      <c r="AQ218" s="2">
        <f t="shared" si="70"/>
        <v>60</v>
      </c>
      <c r="AR218" s="2">
        <f t="shared" si="71"/>
        <v>0</v>
      </c>
      <c r="AS218" s="2">
        <f t="shared" si="72"/>
        <v>21.834422472279272</v>
      </c>
      <c r="AU218" s="2"/>
      <c r="AV218" s="2" t="str">
        <f t="shared" si="74"/>
        <v/>
      </c>
      <c r="AW218" s="12">
        <f t="shared" si="75"/>
        <v>53.834360027378501</v>
      </c>
      <c r="AX218" s="2">
        <v>60</v>
      </c>
      <c r="AY218" s="3">
        <f t="shared" si="76"/>
        <v>0.40865823367556486</v>
      </c>
      <c r="AZ218" s="2">
        <f t="shared" si="77"/>
        <v>0</v>
      </c>
      <c r="BA218" s="2">
        <f t="shared" si="78"/>
        <v>24.519494020533891</v>
      </c>
      <c r="BC218" t="str">
        <f t="shared" si="79"/>
        <v/>
      </c>
      <c r="BE218">
        <f t="shared" si="81"/>
        <v>0.43403715195071868</v>
      </c>
      <c r="BF218">
        <f t="shared" si="82"/>
        <v>0</v>
      </c>
      <c r="BG218">
        <f t="shared" si="83"/>
        <v>26.042229117043121</v>
      </c>
    </row>
    <row r="219" spans="1:59" ht="14.5" hidden="1" customHeight="1" x14ac:dyDescent="0.2">
      <c r="A219" s="2" t="s">
        <v>536</v>
      </c>
      <c r="B219" s="2" t="s">
        <v>610</v>
      </c>
      <c r="C219" s="2" t="str">
        <f>VLOOKUP(B219,'Target PLF'!$I$2:$J$19,2,FALSE)</f>
        <v>SR</v>
      </c>
      <c r="D219" s="2" t="s">
        <v>570</v>
      </c>
      <c r="E219" s="2" t="s">
        <v>551</v>
      </c>
      <c r="F219" s="12">
        <v>53.4346338124572</v>
      </c>
      <c r="G219" s="2">
        <v>60</v>
      </c>
      <c r="H219">
        <f>VLOOKUP(A219,'Coal savings'!$A$3:$AB$543,26,FALSE)</f>
        <v>0</v>
      </c>
      <c r="O219" s="2" t="s">
        <v>536</v>
      </c>
      <c r="Q219" s="96"/>
      <c r="R219" t="s">
        <v>610</v>
      </c>
      <c r="T219">
        <v>185.8</v>
      </c>
      <c r="U219" t="s">
        <v>689</v>
      </c>
      <c r="AH219" s="2" t="str">
        <f>RIGHT(I219,4)</f>
        <v/>
      </c>
      <c r="AI219" s="2"/>
      <c r="AJ219" s="2" t="str">
        <f t="shared" si="67"/>
        <v/>
      </c>
      <c r="AK219" s="12">
        <f t="shared" si="68"/>
        <v>49.4346338124572</v>
      </c>
      <c r="AL219" s="2" t="s">
        <v>570</v>
      </c>
      <c r="AM219" s="2" t="str">
        <f>VLOOKUP(A219,'[12]Power plant names'!$C$2:$F$545,4,FALSE)</f>
        <v>Sub critical</v>
      </c>
      <c r="AN219" s="2">
        <v>60</v>
      </c>
      <c r="AO219" s="2">
        <f t="shared" si="69"/>
        <v>0.36944548774811814</v>
      </c>
      <c r="AP219" s="2"/>
      <c r="AQ219" s="2">
        <f t="shared" si="70"/>
        <v>60</v>
      </c>
      <c r="AR219" s="2">
        <f t="shared" si="71"/>
        <v>0</v>
      </c>
      <c r="AS219" s="2">
        <f t="shared" si="72"/>
        <v>22.166729264887088</v>
      </c>
      <c r="AU219" s="2"/>
      <c r="AV219" s="2" t="str">
        <f t="shared" si="74"/>
        <v/>
      </c>
      <c r="AW219" s="12">
        <f t="shared" si="75"/>
        <v>53.4346338124572</v>
      </c>
      <c r="AX219" s="2">
        <v>60</v>
      </c>
      <c r="AY219" s="3">
        <f t="shared" si="76"/>
        <v>0.41590618932238232</v>
      </c>
      <c r="AZ219" s="2">
        <f t="shared" si="77"/>
        <v>0</v>
      </c>
      <c r="BA219" s="2">
        <f t="shared" si="78"/>
        <v>24.954371359342939</v>
      </c>
      <c r="BC219" t="str">
        <f t="shared" si="79"/>
        <v/>
      </c>
      <c r="BE219">
        <f t="shared" si="81"/>
        <v>0.44264065913757733</v>
      </c>
      <c r="BF219">
        <f t="shared" si="82"/>
        <v>0</v>
      </c>
      <c r="BG219">
        <f t="shared" si="83"/>
        <v>26.55843954825464</v>
      </c>
    </row>
    <row r="220" spans="1:59" ht="14.5" hidden="1" customHeight="1" x14ac:dyDescent="0.2">
      <c r="A220" s="2" t="s">
        <v>534</v>
      </c>
      <c r="B220" s="2" t="s">
        <v>610</v>
      </c>
      <c r="C220" s="2" t="str">
        <f>VLOOKUP(B220,'Target PLF'!$I$2:$J$19,2,FALSE)</f>
        <v>SR</v>
      </c>
      <c r="D220" s="2" t="s">
        <v>570</v>
      </c>
      <c r="E220" s="2" t="s">
        <v>551</v>
      </c>
      <c r="F220" s="12">
        <v>52.824093086926702</v>
      </c>
      <c r="G220" s="2">
        <v>60</v>
      </c>
      <c r="H220">
        <f>VLOOKUP(A220,'Coal savings'!$A$3:$AB$543,26,FALSE)</f>
        <v>0</v>
      </c>
      <c r="O220" s="2" t="s">
        <v>534</v>
      </c>
      <c r="Q220" s="96"/>
      <c r="R220" t="s">
        <v>610</v>
      </c>
      <c r="AH220" s="2" t="str">
        <f>RIGHT(I220,4)</f>
        <v/>
      </c>
      <c r="AI220" s="2"/>
      <c r="AJ220" s="2" t="str">
        <f t="shared" si="67"/>
        <v/>
      </c>
      <c r="AK220" s="12">
        <f t="shared" si="68"/>
        <v>48.824093086926702</v>
      </c>
      <c r="AL220" s="2" t="s">
        <v>570</v>
      </c>
      <c r="AM220" s="2" t="str">
        <f>VLOOKUP(A220,'[12]Power plant names'!$C$2:$F$545,4,FALSE)</f>
        <v>Sub critical</v>
      </c>
      <c r="AN220" s="2">
        <v>60</v>
      </c>
      <c r="AO220" s="2">
        <f t="shared" si="69"/>
        <v>0.37790489582477849</v>
      </c>
      <c r="AP220" s="2"/>
      <c r="AQ220" s="2">
        <f t="shared" si="70"/>
        <v>60</v>
      </c>
      <c r="AR220" s="2">
        <f t="shared" si="71"/>
        <v>0</v>
      </c>
      <c r="AS220" s="2">
        <f t="shared" si="72"/>
        <v>22.674293749486708</v>
      </c>
      <c r="AU220" s="2"/>
      <c r="AV220" s="2" t="str">
        <f t="shared" si="74"/>
        <v/>
      </c>
      <c r="AW220" s="12">
        <f t="shared" si="75"/>
        <v>52.824093086926702</v>
      </c>
      <c r="AX220" s="2">
        <v>60</v>
      </c>
      <c r="AY220" s="3">
        <f t="shared" si="76"/>
        <v>0.42697669691991902</v>
      </c>
      <c r="AZ220" s="2">
        <f t="shared" si="77"/>
        <v>0</v>
      </c>
      <c r="BA220" s="2">
        <f t="shared" si="78"/>
        <v>25.618601815195142</v>
      </c>
      <c r="BC220" t="str">
        <f t="shared" si="79"/>
        <v/>
      </c>
      <c r="BE220">
        <f t="shared" si="81"/>
        <v>0.45578163244353309</v>
      </c>
      <c r="BF220">
        <f t="shared" si="82"/>
        <v>0</v>
      </c>
      <c r="BG220">
        <f t="shared" si="83"/>
        <v>27.346897946611985</v>
      </c>
    </row>
    <row r="221" spans="1:59" ht="14.5" hidden="1" customHeight="1" x14ac:dyDescent="0.2">
      <c r="A221" s="2" t="s">
        <v>524</v>
      </c>
      <c r="B221" s="2" t="s">
        <v>610</v>
      </c>
      <c r="C221" s="2" t="str">
        <f>VLOOKUP(B221,'Target PLF'!$I$2:$J$19,2,FALSE)</f>
        <v>SR</v>
      </c>
      <c r="D221" s="2" t="s">
        <v>570</v>
      </c>
      <c r="E221" s="2" t="s">
        <v>551</v>
      </c>
      <c r="F221" s="12">
        <v>45.724845995893197</v>
      </c>
      <c r="G221" s="2">
        <v>120</v>
      </c>
      <c r="H221">
        <f>VLOOKUP(A221,'Coal savings'!$A$3:$AB$543,26,FALSE)</f>
        <v>0</v>
      </c>
      <c r="O221" s="2" t="s">
        <v>524</v>
      </c>
      <c r="P221">
        <v>2019</v>
      </c>
      <c r="Q221">
        <v>286.27</v>
      </c>
      <c r="R221" t="s">
        <v>610</v>
      </c>
      <c r="S221" s="38"/>
      <c r="AH221" s="2">
        <v>2019</v>
      </c>
      <c r="AI221" s="2">
        <f>(Q221)/(1+0.115)^(AH221-2016)</f>
        <v>206.51482605227054</v>
      </c>
      <c r="AJ221" s="2">
        <f t="shared" si="67"/>
        <v>1.7209568837689211</v>
      </c>
      <c r="AK221" s="12">
        <f t="shared" si="68"/>
        <v>41.724845995893197</v>
      </c>
      <c r="AL221" s="2" t="s">
        <v>570</v>
      </c>
      <c r="AM221" s="2" t="str">
        <f>VLOOKUP(A221,'[12]Power plant names'!$C$2:$F$545,4,FALSE)</f>
        <v>Sub critical</v>
      </c>
      <c r="AN221" s="2">
        <v>120</v>
      </c>
      <c r="AO221" s="2">
        <f t="shared" si="69"/>
        <v>1.7209568837689211</v>
      </c>
      <c r="AP221" s="2"/>
      <c r="AQ221" s="2">
        <f t="shared" si="70"/>
        <v>120</v>
      </c>
      <c r="AR221" s="2">
        <f t="shared" si="71"/>
        <v>0</v>
      </c>
      <c r="AS221" s="2">
        <f t="shared" si="72"/>
        <v>206.51482605227054</v>
      </c>
      <c r="AU221" s="2">
        <f t="shared" si="73"/>
        <v>286.27</v>
      </c>
      <c r="AV221" s="2">
        <f t="shared" si="74"/>
        <v>2.3855833333333334</v>
      </c>
      <c r="AW221" s="12">
        <f t="shared" si="75"/>
        <v>44.724845995893197</v>
      </c>
      <c r="AX221" s="2">
        <v>120</v>
      </c>
      <c r="AY221" s="3">
        <f t="shared" si="76"/>
        <v>2.3855833333333334</v>
      </c>
      <c r="AZ221" s="2">
        <f t="shared" si="77"/>
        <v>0</v>
      </c>
      <c r="BA221" s="2">
        <f t="shared" si="78"/>
        <v>286.27</v>
      </c>
      <c r="BC221">
        <f t="shared" si="79"/>
        <v>319.19104999999996</v>
      </c>
      <c r="BD221">
        <f t="shared" si="80"/>
        <v>2.6599254166666664</v>
      </c>
      <c r="BE221">
        <f t="shared" si="81"/>
        <v>2.6599254166666664</v>
      </c>
      <c r="BF221">
        <f t="shared" si="82"/>
        <v>0</v>
      </c>
      <c r="BG221">
        <f t="shared" si="83"/>
        <v>319.19104999999996</v>
      </c>
    </row>
    <row r="222" spans="1:59" ht="14.5" hidden="1" customHeight="1" x14ac:dyDescent="0.2">
      <c r="A222" s="2" t="s">
        <v>523</v>
      </c>
      <c r="B222" s="2" t="s">
        <v>610</v>
      </c>
      <c r="C222" s="2" t="str">
        <f>VLOOKUP(B222,'Target PLF'!$I$2:$J$19,2,FALSE)</f>
        <v>SR</v>
      </c>
      <c r="D222" s="2" t="s">
        <v>570</v>
      </c>
      <c r="E222" s="2" t="s">
        <v>550</v>
      </c>
      <c r="F222" s="12">
        <v>45.3744010951403</v>
      </c>
      <c r="G222" s="2">
        <v>120</v>
      </c>
      <c r="H222">
        <f>VLOOKUP(A222,'Coal savings'!$A$3:$AB$543,26,FALSE)</f>
        <v>0</v>
      </c>
      <c r="O222" s="2" t="s">
        <v>523</v>
      </c>
      <c r="P222">
        <v>2019</v>
      </c>
      <c r="Q222">
        <v>514.04</v>
      </c>
      <c r="R222" t="s">
        <v>610</v>
      </c>
      <c r="S222" s="38"/>
      <c r="AH222" s="2">
        <v>2019</v>
      </c>
      <c r="AI222" s="2">
        <f>(Q222)/(1+0.115)^(AH222-2016)</f>
        <v>370.82782402595154</v>
      </c>
      <c r="AJ222" s="2">
        <f t="shared" si="67"/>
        <v>3.0902318668829296</v>
      </c>
      <c r="AK222" s="12">
        <f t="shared" si="68"/>
        <v>41.3744010951403</v>
      </c>
      <c r="AL222" s="2" t="s">
        <v>570</v>
      </c>
      <c r="AM222" s="2" t="str">
        <f>VLOOKUP(A222,'[12]Power plant names'!$C$2:$F$545,4,FALSE)</f>
        <v>Sub critical</v>
      </c>
      <c r="AN222" s="2">
        <v>120</v>
      </c>
      <c r="AO222" s="2">
        <f t="shared" si="69"/>
        <v>3.0902318668829296</v>
      </c>
      <c r="AP222" s="2"/>
      <c r="AQ222" s="2">
        <f t="shared" si="70"/>
        <v>120</v>
      </c>
      <c r="AR222" s="2">
        <f t="shared" si="71"/>
        <v>0</v>
      </c>
      <c r="AS222" s="2">
        <f t="shared" si="72"/>
        <v>370.82782402595154</v>
      </c>
      <c r="AU222" s="2">
        <f t="shared" si="73"/>
        <v>514.04</v>
      </c>
      <c r="AV222" s="2">
        <f t="shared" si="74"/>
        <v>4.2836666666666661</v>
      </c>
      <c r="AW222" s="12">
        <f t="shared" si="75"/>
        <v>44.3744010951403</v>
      </c>
      <c r="AX222" s="2">
        <v>120</v>
      </c>
      <c r="AY222" s="3">
        <f t="shared" si="76"/>
        <v>4.2836666666666661</v>
      </c>
      <c r="AZ222" s="2">
        <f t="shared" si="77"/>
        <v>0</v>
      </c>
      <c r="BA222" s="2">
        <f t="shared" si="78"/>
        <v>514.04</v>
      </c>
      <c r="BC222">
        <f t="shared" si="79"/>
        <v>573.15459999999996</v>
      </c>
      <c r="BD222">
        <f t="shared" si="80"/>
        <v>4.7762883333333326</v>
      </c>
      <c r="BE222">
        <f t="shared" si="81"/>
        <v>4.7762883333333326</v>
      </c>
      <c r="BF222">
        <f t="shared" si="82"/>
        <v>0</v>
      </c>
      <c r="BG222">
        <f t="shared" si="83"/>
        <v>573.15459999999996</v>
      </c>
    </row>
    <row r="223" spans="1:59" ht="14.5" hidden="1" customHeight="1" x14ac:dyDescent="0.2">
      <c r="A223" s="2" t="s">
        <v>521</v>
      </c>
      <c r="B223" s="2" t="s">
        <v>610</v>
      </c>
      <c r="C223" s="2" t="str">
        <f>VLOOKUP(B223,'Target PLF'!$I$2:$J$19,2,FALSE)</f>
        <v>SR</v>
      </c>
      <c r="D223" s="2" t="s">
        <v>570</v>
      </c>
      <c r="E223" s="2" t="s">
        <v>550</v>
      </c>
      <c r="F223" s="12">
        <v>43.151266255989</v>
      </c>
      <c r="G223" s="2">
        <v>120</v>
      </c>
      <c r="H223">
        <f>VLOOKUP(A223,'Coal savings'!$A$3:$AB$543,26,FALSE)</f>
        <v>0</v>
      </c>
      <c r="O223" s="2" t="s">
        <v>521</v>
      </c>
      <c r="P223">
        <v>2019</v>
      </c>
      <c r="Q223">
        <v>311.11</v>
      </c>
      <c r="R223" t="s">
        <v>610</v>
      </c>
      <c r="S223" s="38"/>
      <c r="AH223" s="2">
        <v>2019</v>
      </c>
      <c r="AI223" s="2">
        <f>(Q223)/(1+0.115)^(AH223-2016)</f>
        <v>224.43437151333322</v>
      </c>
      <c r="AJ223" s="2">
        <f t="shared" si="67"/>
        <v>1.8702864292777768</v>
      </c>
      <c r="AK223" s="12">
        <f t="shared" si="68"/>
        <v>39.151266255989</v>
      </c>
      <c r="AL223" s="2" t="s">
        <v>570</v>
      </c>
      <c r="AM223" s="2" t="str">
        <f>VLOOKUP(A223,'[12]Power plant names'!$C$2:$F$545,4,FALSE)</f>
        <v>Sub critical</v>
      </c>
      <c r="AN223" s="2">
        <v>120</v>
      </c>
      <c r="AO223" s="2">
        <f t="shared" si="69"/>
        <v>1.8702864292777768</v>
      </c>
      <c r="AP223" s="2"/>
      <c r="AQ223" s="2">
        <f t="shared" si="70"/>
        <v>120</v>
      </c>
      <c r="AR223" s="2">
        <f t="shared" si="71"/>
        <v>0</v>
      </c>
      <c r="AS223" s="2">
        <f t="shared" si="72"/>
        <v>224.43437151333322</v>
      </c>
      <c r="AU223" s="2">
        <f t="shared" si="73"/>
        <v>311.11</v>
      </c>
      <c r="AV223" s="2">
        <f t="shared" si="74"/>
        <v>2.5925833333333332</v>
      </c>
      <c r="AW223" s="12">
        <f t="shared" si="75"/>
        <v>42.151266255989</v>
      </c>
      <c r="AX223" s="2">
        <v>120</v>
      </c>
      <c r="AY223" s="3">
        <f t="shared" si="76"/>
        <v>2.5925833333333332</v>
      </c>
      <c r="AZ223" s="2">
        <f t="shared" si="77"/>
        <v>0</v>
      </c>
      <c r="BA223" s="2">
        <f t="shared" si="78"/>
        <v>311.11</v>
      </c>
      <c r="BC223">
        <f t="shared" si="79"/>
        <v>346.88765000000001</v>
      </c>
      <c r="BD223">
        <f t="shared" si="80"/>
        <v>2.8907304166666665</v>
      </c>
      <c r="BE223">
        <f t="shared" si="81"/>
        <v>2.8907304166666665</v>
      </c>
      <c r="BF223">
        <f t="shared" si="82"/>
        <v>0</v>
      </c>
      <c r="BG223">
        <f t="shared" si="83"/>
        <v>346.88765000000001</v>
      </c>
    </row>
    <row r="224" spans="1:59" ht="14.5" hidden="1" customHeight="1" x14ac:dyDescent="0.2">
      <c r="A224" s="2" t="s">
        <v>519</v>
      </c>
      <c r="B224" s="2" t="s">
        <v>610</v>
      </c>
      <c r="C224" s="2" t="str">
        <f>VLOOKUP(B224,'Target PLF'!$I$2:$J$19,2,FALSE)</f>
        <v>SR</v>
      </c>
      <c r="D224" s="2" t="s">
        <v>570</v>
      </c>
      <c r="E224" s="2" t="s">
        <v>550</v>
      </c>
      <c r="F224" s="12">
        <v>42.313483915126596</v>
      </c>
      <c r="G224" s="2">
        <v>120</v>
      </c>
      <c r="H224">
        <f>VLOOKUP(A224,'Coal savings'!$A$3:$AB$543,26,FALSE)</f>
        <v>0</v>
      </c>
      <c r="O224" s="2" t="s">
        <v>519</v>
      </c>
      <c r="AH224" s="2" t="str">
        <f t="shared" ref="AH224:AH237" si="85">RIGHT(I224,4)</f>
        <v/>
      </c>
      <c r="AI224" s="2"/>
      <c r="AJ224" s="2" t="str">
        <f t="shared" si="67"/>
        <v/>
      </c>
      <c r="AK224" s="12">
        <f t="shared" si="68"/>
        <v>38.313483915126596</v>
      </c>
      <c r="AL224" s="2" t="s">
        <v>570</v>
      </c>
      <c r="AM224" s="2" t="str">
        <f>VLOOKUP(A224,'[12]Power plant names'!$C$2:$F$545,4,FALSE)</f>
        <v>Sub critical</v>
      </c>
      <c r="AN224" s="2">
        <v>120</v>
      </c>
      <c r="AO224" s="2">
        <f t="shared" si="69"/>
        <v>0.49642169226557198</v>
      </c>
      <c r="AP224" s="2"/>
      <c r="AQ224" s="2">
        <f t="shared" si="70"/>
        <v>120</v>
      </c>
      <c r="AR224" s="2">
        <f t="shared" si="71"/>
        <v>0</v>
      </c>
      <c r="AS224" s="2">
        <f t="shared" si="72"/>
        <v>59.570603071868639</v>
      </c>
      <c r="AU224" s="2"/>
      <c r="AV224" s="2" t="str">
        <f t="shared" si="74"/>
        <v/>
      </c>
      <c r="AW224" s="12">
        <f t="shared" si="75"/>
        <v>42.313483915126596</v>
      </c>
      <c r="AX224" s="2">
        <v>120</v>
      </c>
      <c r="AY224" s="3">
        <f t="shared" si="76"/>
        <v>0.5840542156057501</v>
      </c>
      <c r="AZ224" s="2">
        <f t="shared" si="77"/>
        <v>0</v>
      </c>
      <c r="BA224" s="2">
        <f t="shared" si="78"/>
        <v>70.086505872690012</v>
      </c>
      <c r="BC224" t="str">
        <f t="shared" si="79"/>
        <v/>
      </c>
      <c r="BE224">
        <f t="shared" si="81"/>
        <v>0.63987472895277264</v>
      </c>
      <c r="BF224">
        <f t="shared" si="82"/>
        <v>0</v>
      </c>
      <c r="BG224">
        <f t="shared" si="83"/>
        <v>76.784967474332717</v>
      </c>
    </row>
    <row r="225" spans="1:59" x14ac:dyDescent="0.2">
      <c r="A225" s="2" t="s">
        <v>8</v>
      </c>
      <c r="B225" s="2" t="str">
        <f>VLOOKUP($A225,'[1]daily coal, energy reqd'!$C$2:$T$599,17,FALSE)</f>
        <v>Karnataka</v>
      </c>
      <c r="C225" s="2" t="str">
        <f>VLOOKUP(B225,'Target PLF'!$I$2:$J$19,2,FALSE)</f>
        <v>SR</v>
      </c>
      <c r="D225" s="2" t="s">
        <v>571</v>
      </c>
      <c r="E225" s="2" t="s">
        <v>542</v>
      </c>
      <c r="F225" s="12">
        <v>3.3566050650239498</v>
      </c>
      <c r="G225" s="2">
        <v>800</v>
      </c>
      <c r="H225">
        <f>VLOOKUP(A225,'Coal savings'!$A$3:$AB$543,26,FALSE)</f>
        <v>2427065.2649907926</v>
      </c>
      <c r="I225" t="s">
        <v>694</v>
      </c>
      <c r="J225">
        <f>2834.53/3</f>
        <v>944.84333333333336</v>
      </c>
      <c r="O225" s="2" t="s">
        <v>8</v>
      </c>
      <c r="P225">
        <v>2019</v>
      </c>
      <c r="Q225" s="96">
        <v>106.36</v>
      </c>
      <c r="R225" s="96" t="s">
        <v>614</v>
      </c>
      <c r="S225" s="96">
        <v>211.2</v>
      </c>
      <c r="AH225" s="2" t="str">
        <f t="shared" si="85"/>
        <v>2019</v>
      </c>
      <c r="AI225" s="2">
        <f>(J225)/(1+0.115)^(AH225-2016)</f>
        <v>681.60881905187705</v>
      </c>
      <c r="AJ225" s="2">
        <f t="shared" si="67"/>
        <v>0.85201102381484628</v>
      </c>
      <c r="AK225" s="12">
        <f t="shared" si="68"/>
        <v>1</v>
      </c>
      <c r="AL225" s="2" t="s">
        <v>571</v>
      </c>
      <c r="AM225" s="2" t="str">
        <f>VLOOKUP(A225,'[12]Power plant names'!$C$2:$F$545,4,FALSE)</f>
        <v>Super critical</v>
      </c>
      <c r="AN225" s="2">
        <v>800</v>
      </c>
      <c r="AO225" s="2">
        <f t="shared" si="69"/>
        <v>0.85201102381484628</v>
      </c>
      <c r="AP225" s="2">
        <v>800</v>
      </c>
      <c r="AQ225" s="2">
        <f t="shared" si="70"/>
        <v>0</v>
      </c>
      <c r="AR225" s="2">
        <f t="shared" si="71"/>
        <v>681.60881905187705</v>
      </c>
      <c r="AS225" s="2">
        <f t="shared" si="72"/>
        <v>0</v>
      </c>
      <c r="AU225" s="2">
        <f t="shared" si="73"/>
        <v>944.84333333333348</v>
      </c>
      <c r="AV225" s="2">
        <f t="shared" si="74"/>
        <v>1.1810541666666667</v>
      </c>
      <c r="AW225" s="12">
        <f t="shared" si="75"/>
        <v>2.3566050650239498</v>
      </c>
      <c r="AX225" s="2">
        <v>800</v>
      </c>
      <c r="AY225" s="3">
        <f t="shared" si="76"/>
        <v>1.1810541666666667</v>
      </c>
      <c r="AZ225" s="2">
        <f t="shared" si="77"/>
        <v>944.84333333333336</v>
      </c>
      <c r="BA225" s="2">
        <f t="shared" si="78"/>
        <v>0</v>
      </c>
      <c r="BC225">
        <f t="shared" si="79"/>
        <v>1053.5003166666668</v>
      </c>
      <c r="BD225">
        <f t="shared" si="80"/>
        <v>1.3168753958333335</v>
      </c>
      <c r="BE225">
        <f t="shared" si="81"/>
        <v>1.3168753958333335</v>
      </c>
      <c r="BF225">
        <f t="shared" si="82"/>
        <v>1053.5003166666668</v>
      </c>
      <c r="BG225">
        <f t="shared" si="83"/>
        <v>0</v>
      </c>
    </row>
    <row r="226" spans="1:59" x14ac:dyDescent="0.2">
      <c r="A226" s="2" t="s">
        <v>7</v>
      </c>
      <c r="B226" s="2" t="str">
        <f>VLOOKUP($A226,'[1]daily coal, energy reqd'!$C$2:$T$599,17,FALSE)</f>
        <v>Karnataka</v>
      </c>
      <c r="C226" s="2" t="str">
        <f>VLOOKUP(B226,'Target PLF'!$I$2:$J$19,2,FALSE)</f>
        <v>SR</v>
      </c>
      <c r="D226" s="2" t="s">
        <v>571</v>
      </c>
      <c r="E226" s="2" t="s">
        <v>542</v>
      </c>
      <c r="F226" s="12">
        <v>3.1074606433949299</v>
      </c>
      <c r="G226" s="2">
        <v>800</v>
      </c>
      <c r="H226">
        <f>VLOOKUP(A226,'Coal savings'!$A$3:$AB$543,26,FALSE)</f>
        <v>2425166.2374399444</v>
      </c>
      <c r="I226" t="s">
        <v>694</v>
      </c>
      <c r="J226">
        <f>2834.53/3</f>
        <v>944.84333333333336</v>
      </c>
      <c r="O226" s="2" t="s">
        <v>7</v>
      </c>
      <c r="Q226" s="96"/>
      <c r="R226" s="96"/>
      <c r="S226" s="96"/>
      <c r="AH226" s="2" t="str">
        <f t="shared" si="85"/>
        <v>2019</v>
      </c>
      <c r="AI226" s="2">
        <f>(J226)/(1+0.115)^(AH226-2016)</f>
        <v>681.60881905187705</v>
      </c>
      <c r="AJ226" s="2">
        <f t="shared" si="67"/>
        <v>0.85201102381484628</v>
      </c>
      <c r="AK226" s="12">
        <f t="shared" si="68"/>
        <v>1</v>
      </c>
      <c r="AL226" s="2" t="s">
        <v>571</v>
      </c>
      <c r="AM226" s="2" t="str">
        <f>VLOOKUP(A226,'[12]Power plant names'!$C$2:$F$545,4,FALSE)</f>
        <v>Super critical</v>
      </c>
      <c r="AN226" s="2">
        <v>800</v>
      </c>
      <c r="AO226" s="2">
        <f t="shared" si="69"/>
        <v>0.85201102381484628</v>
      </c>
      <c r="AP226" s="2">
        <v>800</v>
      </c>
      <c r="AQ226" s="2">
        <f t="shared" si="70"/>
        <v>0</v>
      </c>
      <c r="AR226" s="2">
        <f t="shared" si="71"/>
        <v>681.60881905187705</v>
      </c>
      <c r="AS226" s="2">
        <f t="shared" si="72"/>
        <v>0</v>
      </c>
      <c r="AU226" s="2">
        <f t="shared" si="73"/>
        <v>944.84333333333348</v>
      </c>
      <c r="AV226" s="2">
        <f t="shared" si="74"/>
        <v>1.1810541666666667</v>
      </c>
      <c r="AW226" s="12">
        <f t="shared" si="75"/>
        <v>2.1074606433949299</v>
      </c>
      <c r="AX226" s="2">
        <v>800</v>
      </c>
      <c r="AY226" s="3">
        <f t="shared" si="76"/>
        <v>1.1810541666666667</v>
      </c>
      <c r="AZ226" s="2">
        <f t="shared" si="77"/>
        <v>944.84333333333336</v>
      </c>
      <c r="BA226" s="2">
        <f t="shared" si="78"/>
        <v>0</v>
      </c>
      <c r="BC226">
        <f t="shared" si="79"/>
        <v>1053.5003166666668</v>
      </c>
      <c r="BD226">
        <f t="shared" si="80"/>
        <v>1.3168753958333335</v>
      </c>
      <c r="BE226">
        <f t="shared" si="81"/>
        <v>1.3168753958333335</v>
      </c>
      <c r="BF226">
        <f t="shared" si="82"/>
        <v>1053.5003166666668</v>
      </c>
      <c r="BG226">
        <f t="shared" si="83"/>
        <v>0</v>
      </c>
    </row>
    <row r="227" spans="1:59" x14ac:dyDescent="0.2">
      <c r="A227" s="2" t="s">
        <v>5</v>
      </c>
      <c r="B227" s="2" t="str">
        <f>VLOOKUP($A227,'[1]daily coal, energy reqd'!$C$2:$T$599,17,FALSE)</f>
        <v>Karnataka</v>
      </c>
      <c r="C227" s="2" t="str">
        <f>VLOOKUP(B227,'Target PLF'!$I$2:$J$19,2,FALSE)</f>
        <v>SR</v>
      </c>
      <c r="D227" s="2" t="s">
        <v>571</v>
      </c>
      <c r="E227" s="2" t="s">
        <v>542</v>
      </c>
      <c r="F227" s="13">
        <v>2.1163586584531102</v>
      </c>
      <c r="G227" s="2">
        <v>800</v>
      </c>
      <c r="H227">
        <f>VLOOKUP(A227,'Coal savings'!$A$3:$AB$543,26,FALSE)</f>
        <v>2417611.864105802</v>
      </c>
      <c r="I227" t="s">
        <v>694</v>
      </c>
      <c r="J227">
        <f>2834.53/3</f>
        <v>944.84333333333336</v>
      </c>
      <c r="O227" s="2" t="s">
        <v>5</v>
      </c>
      <c r="Q227" s="96"/>
      <c r="R227" s="96"/>
      <c r="S227" s="96"/>
      <c r="AH227" s="2" t="str">
        <f t="shared" si="85"/>
        <v>2019</v>
      </c>
      <c r="AI227" s="2">
        <f>(J227)/(1+0.115)^(AH227-2016)</f>
        <v>681.60881905187705</v>
      </c>
      <c r="AJ227" s="2">
        <f t="shared" si="67"/>
        <v>0.85201102381484628</v>
      </c>
      <c r="AK227" s="12">
        <f t="shared" si="68"/>
        <v>1</v>
      </c>
      <c r="AL227" s="2" t="s">
        <v>571</v>
      </c>
      <c r="AM227" s="2" t="str">
        <f>VLOOKUP(A227,'[12]Power plant names'!$C$2:$F$545,4,FALSE)</f>
        <v>Super critical</v>
      </c>
      <c r="AN227" s="2">
        <v>800</v>
      </c>
      <c r="AO227" s="2">
        <f t="shared" si="69"/>
        <v>0.85201102381484628</v>
      </c>
      <c r="AP227" s="2">
        <v>800</v>
      </c>
      <c r="AQ227" s="2">
        <f t="shared" si="70"/>
        <v>0</v>
      </c>
      <c r="AR227" s="2">
        <f t="shared" si="71"/>
        <v>681.60881905187705</v>
      </c>
      <c r="AS227" s="2">
        <f t="shared" si="72"/>
        <v>0</v>
      </c>
      <c r="AU227" s="2">
        <f t="shared" si="73"/>
        <v>944.84333333333348</v>
      </c>
      <c r="AV227" s="2">
        <f t="shared" si="74"/>
        <v>1.1810541666666667</v>
      </c>
      <c r="AW227" s="12">
        <f t="shared" si="75"/>
        <v>1.1163586584531102</v>
      </c>
      <c r="AX227" s="2">
        <v>800</v>
      </c>
      <c r="AY227" s="3">
        <f t="shared" si="76"/>
        <v>1.1810541666666667</v>
      </c>
      <c r="AZ227" s="2">
        <f t="shared" si="77"/>
        <v>944.84333333333336</v>
      </c>
      <c r="BA227" s="2">
        <f t="shared" si="78"/>
        <v>0</v>
      </c>
      <c r="BC227">
        <f t="shared" si="79"/>
        <v>1053.5003166666668</v>
      </c>
      <c r="BD227">
        <f t="shared" si="80"/>
        <v>1.3168753958333335</v>
      </c>
      <c r="BE227">
        <f t="shared" si="81"/>
        <v>1.3168753958333335</v>
      </c>
      <c r="BF227">
        <f t="shared" si="82"/>
        <v>1053.5003166666668</v>
      </c>
      <c r="BG227">
        <f t="shared" si="83"/>
        <v>0</v>
      </c>
    </row>
    <row r="228" spans="1:59" ht="14.5" hidden="1" customHeight="1" x14ac:dyDescent="0.2">
      <c r="A228" s="2" t="s">
        <v>338</v>
      </c>
      <c r="B228" s="2" t="str">
        <f>VLOOKUP($A228,'[1]daily coal, energy reqd'!$C$2:$T$599,17,FALSE)</f>
        <v>Uttar Pradesh</v>
      </c>
      <c r="C228" s="2" t="str">
        <f>VLOOKUP(B228,'Target PLF'!$I$2:$J$19,2,FALSE)</f>
        <v>NR</v>
      </c>
      <c r="D228" s="2" t="s">
        <v>572</v>
      </c>
      <c r="E228" s="2" t="s">
        <v>543</v>
      </c>
      <c r="F228" s="12">
        <v>8.33949349760438</v>
      </c>
      <c r="G228" s="2">
        <v>45</v>
      </c>
      <c r="H228">
        <f>VLOOKUP(A228,'Coal savings'!$A$3:$AB$543,26,FALSE)</f>
        <v>0</v>
      </c>
      <c r="O228" s="2" t="s">
        <v>338</v>
      </c>
      <c r="AH228" s="2" t="str">
        <f t="shared" si="85"/>
        <v/>
      </c>
      <c r="AI228" s="2"/>
      <c r="AJ228" s="2" t="str">
        <f t="shared" si="67"/>
        <v/>
      </c>
      <c r="AK228" s="12">
        <f t="shared" si="68"/>
        <v>4.33949349760438</v>
      </c>
      <c r="AL228" s="2" t="s">
        <v>572</v>
      </c>
      <c r="AM228" s="2" t="str">
        <f>VLOOKUP(A228,'[12]Power plant names'!$C$2:$F$545,4,FALSE)</f>
        <v>Sub critical</v>
      </c>
      <c r="AN228" s="2">
        <v>45</v>
      </c>
      <c r="AO228" s="2">
        <f t="shared" si="69"/>
        <v>1.0010442138945927</v>
      </c>
      <c r="AP228" s="2">
        <v>41</v>
      </c>
      <c r="AQ228" s="2">
        <f t="shared" si="70"/>
        <v>4</v>
      </c>
      <c r="AR228" s="2">
        <f t="shared" si="71"/>
        <v>41.042812769678299</v>
      </c>
      <c r="AS228" s="2">
        <f t="shared" si="72"/>
        <v>4.004176855578371</v>
      </c>
      <c r="AU228" s="2"/>
      <c r="AV228" s="2" t="str">
        <f t="shared" si="74"/>
        <v/>
      </c>
      <c r="AW228" s="12">
        <f t="shared" si="75"/>
        <v>8.33949349760438</v>
      </c>
      <c r="AX228" s="2">
        <v>45</v>
      </c>
      <c r="AY228" s="3">
        <f t="shared" si="76"/>
        <v>1.2419608020533881</v>
      </c>
      <c r="AZ228" s="2">
        <f t="shared" si="77"/>
        <v>50.920392884188914</v>
      </c>
      <c r="BA228" s="2">
        <f t="shared" si="78"/>
        <v>4.9678432082135524</v>
      </c>
      <c r="BC228" t="str">
        <f t="shared" si="79"/>
        <v/>
      </c>
      <c r="BE228">
        <f t="shared" si="81"/>
        <v>1.423778911704312</v>
      </c>
      <c r="BF228">
        <f t="shared" si="82"/>
        <v>58.374935379876796</v>
      </c>
      <c r="BG228">
        <f t="shared" si="83"/>
        <v>5.6951156468172481</v>
      </c>
    </row>
    <row r="229" spans="1:59" ht="14.5" hidden="1" customHeight="1" x14ac:dyDescent="0.2">
      <c r="A229" s="2" t="s">
        <v>335</v>
      </c>
      <c r="B229" s="2" t="str">
        <f>VLOOKUP($A229,'[1]daily coal, energy reqd'!$C$2:$T$599,17,FALSE)</f>
        <v>Uttar Pradesh</v>
      </c>
      <c r="C229" s="2" t="str">
        <f>VLOOKUP(B229,'Target PLF'!$I$2:$J$19,2,FALSE)</f>
        <v>NR</v>
      </c>
      <c r="D229" s="2" t="s">
        <v>572</v>
      </c>
      <c r="E229" s="2" t="s">
        <v>543</v>
      </c>
      <c r="F229" s="12">
        <v>8.2546201232032796</v>
      </c>
      <c r="G229" s="2">
        <v>45</v>
      </c>
      <c r="H229">
        <f>VLOOKUP(A229,'Coal savings'!$A$3:$AB$543,26,FALSE)</f>
        <v>0</v>
      </c>
      <c r="O229" s="2" t="s">
        <v>335</v>
      </c>
      <c r="AH229" s="2" t="str">
        <f t="shared" si="85"/>
        <v/>
      </c>
      <c r="AI229" s="2"/>
      <c r="AJ229" s="2" t="str">
        <f t="shared" si="67"/>
        <v/>
      </c>
      <c r="AK229" s="12">
        <f t="shared" si="68"/>
        <v>4.2546201232032796</v>
      </c>
      <c r="AL229" s="2" t="s">
        <v>572</v>
      </c>
      <c r="AM229" s="2" t="str">
        <f>VLOOKUP(A229,'[12]Power plant names'!$C$2:$F$545,4,FALSE)</f>
        <v>Sub critical</v>
      </c>
      <c r="AN229" s="2">
        <v>45</v>
      </c>
      <c r="AO229" s="2">
        <f t="shared" si="69"/>
        <v>1.0022201854209447</v>
      </c>
      <c r="AP229" s="2">
        <v>41</v>
      </c>
      <c r="AQ229" s="2">
        <f t="shared" si="70"/>
        <v>4</v>
      </c>
      <c r="AR229" s="2">
        <f t="shared" si="71"/>
        <v>41.091027602258734</v>
      </c>
      <c r="AS229" s="2">
        <f t="shared" si="72"/>
        <v>4.0088807416837788</v>
      </c>
      <c r="AU229" s="2"/>
      <c r="AV229" s="2" t="str">
        <f t="shared" si="74"/>
        <v/>
      </c>
      <c r="AW229" s="12">
        <f t="shared" si="75"/>
        <v>8.2546201232032796</v>
      </c>
      <c r="AX229" s="2">
        <v>45</v>
      </c>
      <c r="AY229" s="3">
        <f t="shared" si="76"/>
        <v>1.2434997515400412</v>
      </c>
      <c r="AZ229" s="2">
        <f t="shared" si="77"/>
        <v>50.983489813141688</v>
      </c>
      <c r="BA229" s="2">
        <f t="shared" si="78"/>
        <v>4.9739990061601649</v>
      </c>
      <c r="BC229" t="str">
        <f t="shared" si="79"/>
        <v/>
      </c>
      <c r="BE229">
        <f t="shared" si="81"/>
        <v>1.4256056837782343</v>
      </c>
      <c r="BF229">
        <f t="shared" si="82"/>
        <v>58.449833034907606</v>
      </c>
      <c r="BG229">
        <f t="shared" si="83"/>
        <v>5.7024227351129371</v>
      </c>
    </row>
    <row r="230" spans="1:59" ht="14.5" customHeight="1" x14ac:dyDescent="0.2">
      <c r="A230" s="2" t="s">
        <v>40</v>
      </c>
      <c r="B230" s="2" t="str">
        <f>VLOOKUP($A230,'[1]daily coal, energy reqd'!$C$2:$T$599,17,FALSE)</f>
        <v>Uttar Pradesh</v>
      </c>
      <c r="C230" s="2" t="str">
        <f>VLOOKUP(B230,'Target PLF'!$I$2:$J$19,2,FALSE)</f>
        <v>NR</v>
      </c>
      <c r="D230" s="2" t="s">
        <v>572</v>
      </c>
      <c r="E230" s="2" t="s">
        <v>542</v>
      </c>
      <c r="F230" s="12">
        <v>4.1752224503764497</v>
      </c>
      <c r="G230" s="2">
        <v>660</v>
      </c>
      <c r="H230">
        <f>VLOOKUP(A230,'Coal savings'!$A$3:$AB$543,26,FALSE)</f>
        <v>2700691.9074235526</v>
      </c>
      <c r="O230" s="2" t="s">
        <v>40</v>
      </c>
      <c r="AH230" s="2" t="str">
        <f t="shared" si="85"/>
        <v/>
      </c>
      <c r="AI230" s="2"/>
      <c r="AJ230" s="2" t="str">
        <f t="shared" si="67"/>
        <v/>
      </c>
      <c r="AK230" s="12">
        <f t="shared" si="68"/>
        <v>0.17522245037644968</v>
      </c>
      <c r="AL230" s="2" t="s">
        <v>572</v>
      </c>
      <c r="AM230" s="2" t="str">
        <f>VLOOKUP(A230,'[12]Power plant names'!$C$2:$F$545,4,FALSE)</f>
        <v>Super critical</v>
      </c>
      <c r="AN230" s="2">
        <v>660</v>
      </c>
      <c r="AO230" s="2">
        <f t="shared" si="69"/>
        <v>0.78082418781656415</v>
      </c>
      <c r="AP230" s="2">
        <f>1875/3</f>
        <v>625</v>
      </c>
      <c r="AQ230" s="2">
        <f t="shared" si="70"/>
        <v>35</v>
      </c>
      <c r="AR230" s="2">
        <f t="shared" si="71"/>
        <v>488.0151173853526</v>
      </c>
      <c r="AS230" s="2">
        <f t="shared" si="72"/>
        <v>27.328846573579746</v>
      </c>
      <c r="AU230" s="2"/>
      <c r="AV230" s="2" t="str">
        <f t="shared" si="74"/>
        <v/>
      </c>
      <c r="AW230" s="12">
        <f t="shared" si="75"/>
        <v>4.1752224503764497</v>
      </c>
      <c r="AX230" s="2">
        <v>660</v>
      </c>
      <c r="AY230" s="3">
        <f t="shared" si="76"/>
        <v>0.97405261396303922</v>
      </c>
      <c r="AZ230" s="2">
        <f t="shared" si="77"/>
        <v>608.78288372689951</v>
      </c>
      <c r="BA230" s="2">
        <f t="shared" si="78"/>
        <v>34.091841488706372</v>
      </c>
      <c r="BC230" t="str">
        <f t="shared" si="79"/>
        <v/>
      </c>
      <c r="BE230">
        <f t="shared" si="81"/>
        <v>1.0815555995893225</v>
      </c>
      <c r="BF230">
        <f t="shared" si="82"/>
        <v>675.97224974332653</v>
      </c>
      <c r="BG230">
        <f t="shared" si="83"/>
        <v>37.854445985626285</v>
      </c>
    </row>
    <row r="231" spans="1:59" ht="14.5" customHeight="1" x14ac:dyDescent="0.2">
      <c r="A231" s="2" t="s">
        <v>45</v>
      </c>
      <c r="B231" s="2" t="str">
        <f>VLOOKUP($A231,'[1]daily coal, energy reqd'!$C$2:$T$599,17,FALSE)</f>
        <v>Uttar Pradesh</v>
      </c>
      <c r="C231" s="2" t="str">
        <f>VLOOKUP(B231,'Target PLF'!$I$2:$J$19,2,FALSE)</f>
        <v>NR</v>
      </c>
      <c r="D231" s="2" t="s">
        <v>572</v>
      </c>
      <c r="E231" s="2" t="s">
        <v>542</v>
      </c>
      <c r="F231" s="12">
        <v>4.33949349760438</v>
      </c>
      <c r="G231" s="2">
        <v>660</v>
      </c>
      <c r="H231">
        <f>VLOOKUP(A231,'Coal savings'!$A$3:$AB$543,26,FALSE)</f>
        <v>2702017.1762442128</v>
      </c>
      <c r="O231" s="2" t="s">
        <v>45</v>
      </c>
      <c r="AH231" s="2" t="str">
        <f t="shared" si="85"/>
        <v/>
      </c>
      <c r="AI231" s="2"/>
      <c r="AJ231" s="2" t="str">
        <f t="shared" si="67"/>
        <v/>
      </c>
      <c r="AK231" s="12">
        <f t="shared" si="68"/>
        <v>0.33949349760437997</v>
      </c>
      <c r="AL231" s="2" t="s">
        <v>572</v>
      </c>
      <c r="AM231" s="2" t="str">
        <f>VLOOKUP(A231,'[12]Power plant names'!$C$2:$F$545,4,FALSE)</f>
        <v>Super critical</v>
      </c>
      <c r="AN231" s="2">
        <v>660</v>
      </c>
      <c r="AO231" s="2">
        <f t="shared" si="69"/>
        <v>0.77854811389459289</v>
      </c>
      <c r="AP231" s="2">
        <f>1875/3</f>
        <v>625</v>
      </c>
      <c r="AQ231" s="2">
        <f t="shared" si="70"/>
        <v>35</v>
      </c>
      <c r="AR231" s="2">
        <f t="shared" si="71"/>
        <v>486.59257118412057</v>
      </c>
      <c r="AS231" s="2">
        <f t="shared" si="72"/>
        <v>27.249183986310751</v>
      </c>
      <c r="AU231" s="2"/>
      <c r="AV231" s="2" t="str">
        <f t="shared" si="74"/>
        <v/>
      </c>
      <c r="AW231" s="12">
        <f t="shared" si="75"/>
        <v>4.33949349760438</v>
      </c>
      <c r="AX231" s="2">
        <v>660</v>
      </c>
      <c r="AY231" s="3">
        <f t="shared" si="76"/>
        <v>0.97107400205338812</v>
      </c>
      <c r="AZ231" s="2">
        <f t="shared" si="77"/>
        <v>606.92125128336761</v>
      </c>
      <c r="BA231" s="2">
        <f t="shared" si="78"/>
        <v>33.987590071868581</v>
      </c>
      <c r="BC231" t="str">
        <f t="shared" si="79"/>
        <v/>
      </c>
      <c r="BE231">
        <f t="shared" si="81"/>
        <v>1.0780199117043121</v>
      </c>
      <c r="BF231">
        <f t="shared" si="82"/>
        <v>673.76244481519507</v>
      </c>
      <c r="BG231">
        <f t="shared" si="83"/>
        <v>37.730696909650923</v>
      </c>
    </row>
    <row r="232" spans="1:59" ht="14.5" customHeight="1" x14ac:dyDescent="0.2">
      <c r="A232" s="2" t="s">
        <v>38</v>
      </c>
      <c r="B232" s="2" t="str">
        <f>VLOOKUP($A232,'[1]daily coal, energy reqd'!$C$2:$T$599,17,FALSE)</f>
        <v>Uttar Pradesh</v>
      </c>
      <c r="C232" s="2" t="str">
        <f>VLOOKUP(B232,'Target PLF'!$I$2:$J$19,2,FALSE)</f>
        <v>NR</v>
      </c>
      <c r="D232" s="2" t="s">
        <v>572</v>
      </c>
      <c r="E232" s="2" t="s">
        <v>542</v>
      </c>
      <c r="F232" s="12">
        <v>4.0903490759753502</v>
      </c>
      <c r="G232" s="2">
        <v>660</v>
      </c>
      <c r="H232">
        <f>VLOOKUP(A232,'Coal savings'!$A$3:$AB$543,26,FALSE)</f>
        <v>2700007.1851995457</v>
      </c>
      <c r="O232" s="2" t="s">
        <v>38</v>
      </c>
      <c r="AH232" s="2" t="str">
        <f t="shared" si="85"/>
        <v/>
      </c>
      <c r="AI232" s="2"/>
      <c r="AJ232" s="2" t="str">
        <f t="shared" si="67"/>
        <v/>
      </c>
      <c r="AK232" s="12">
        <f t="shared" si="68"/>
        <v>9.0349075975350246E-2</v>
      </c>
      <c r="AL232" s="2" t="s">
        <v>572</v>
      </c>
      <c r="AM232" s="2" t="str">
        <f>VLOOKUP(A232,'[12]Power plant names'!$C$2:$F$545,4,FALSE)</f>
        <v>Super critical</v>
      </c>
      <c r="AN232" s="2">
        <v>660</v>
      </c>
      <c r="AO232" s="2">
        <f t="shared" si="69"/>
        <v>0.782000159342916</v>
      </c>
      <c r="AP232" s="2">
        <f>1875/3</f>
        <v>625</v>
      </c>
      <c r="AQ232" s="2">
        <f t="shared" si="70"/>
        <v>35</v>
      </c>
      <c r="AR232" s="2">
        <f t="shared" si="71"/>
        <v>488.75009958932247</v>
      </c>
      <c r="AS232" s="2">
        <f t="shared" si="72"/>
        <v>27.370005577002061</v>
      </c>
      <c r="AU232" s="2"/>
      <c r="AV232" s="2" t="str">
        <f t="shared" si="74"/>
        <v/>
      </c>
      <c r="AW232" s="12">
        <f t="shared" si="75"/>
        <v>4.0903490759753502</v>
      </c>
      <c r="AX232" s="2">
        <v>660</v>
      </c>
      <c r="AY232" s="3">
        <f t="shared" si="76"/>
        <v>0.97559156344969222</v>
      </c>
      <c r="AZ232" s="2">
        <f t="shared" si="77"/>
        <v>609.74472715605759</v>
      </c>
      <c r="BA232" s="2">
        <f t="shared" si="78"/>
        <v>34.145704720739225</v>
      </c>
      <c r="BC232" t="str">
        <f t="shared" si="79"/>
        <v/>
      </c>
      <c r="BE232">
        <f t="shared" si="81"/>
        <v>1.0833823716632445</v>
      </c>
      <c r="BF232">
        <f t="shared" si="82"/>
        <v>677.11398228952783</v>
      </c>
      <c r="BG232">
        <f t="shared" si="83"/>
        <v>37.918383008213553</v>
      </c>
    </row>
    <row r="233" spans="1:59" ht="14.5" customHeight="1" x14ac:dyDescent="0.2">
      <c r="A233" s="2" t="s">
        <v>4</v>
      </c>
      <c r="B233" s="2" t="str">
        <f>VLOOKUP($A233,'[1]daily coal, energy reqd'!$C$2:$T$599,17,FALSE)</f>
        <v>Chhatisgarh</v>
      </c>
      <c r="C233" s="2" t="str">
        <f>VLOOKUP(B233,'Target PLF'!$I$2:$J$19,2,FALSE)</f>
        <v>WR</v>
      </c>
      <c r="D233" s="2" t="s">
        <v>571</v>
      </c>
      <c r="E233" s="2" t="s">
        <v>542</v>
      </c>
      <c r="F233" s="13">
        <v>2.0917180013689198</v>
      </c>
      <c r="G233" s="2">
        <v>800</v>
      </c>
      <c r="H233">
        <f>VLOOKUP(A233,'Coal savings'!$A$3:$AB$543,26,FALSE)</f>
        <v>2193752.5598141565</v>
      </c>
      <c r="O233" s="2" t="s">
        <v>4</v>
      </c>
      <c r="R233" t="s">
        <v>611</v>
      </c>
      <c r="AH233" s="2" t="str">
        <f t="shared" si="85"/>
        <v/>
      </c>
      <c r="AI233" s="2"/>
      <c r="AJ233" s="2" t="str">
        <f t="shared" si="67"/>
        <v/>
      </c>
      <c r="AK233" s="12">
        <f t="shared" si="68"/>
        <v>1</v>
      </c>
      <c r="AL233" s="2" t="s">
        <v>571</v>
      </c>
      <c r="AM233" s="2" t="str">
        <f>VLOOKUP(A233,'[12]Power plant names'!$C$2:$F$545,4,FALSE)</f>
        <v>Super critical</v>
      </c>
      <c r="AN233" s="2">
        <v>800</v>
      </c>
      <c r="AO233" s="2">
        <f t="shared" si="69"/>
        <v>0.70613040000000005</v>
      </c>
      <c r="AP233" s="2">
        <v>800</v>
      </c>
      <c r="AQ233" s="2">
        <f t="shared" si="70"/>
        <v>0</v>
      </c>
      <c r="AR233" s="2">
        <f t="shared" si="71"/>
        <v>564.90431999999998</v>
      </c>
      <c r="AS233" s="2">
        <f t="shared" si="72"/>
        <v>0</v>
      </c>
      <c r="AU233" s="2"/>
      <c r="AV233" s="2" t="str">
        <f t="shared" si="74"/>
        <v/>
      </c>
      <c r="AW233" s="12">
        <f t="shared" si="75"/>
        <v>2.0917180013689198</v>
      </c>
      <c r="AX233" s="2">
        <v>800</v>
      </c>
      <c r="AY233" s="3">
        <f t="shared" si="76"/>
        <v>0.93365534168377839</v>
      </c>
      <c r="AZ233" s="2">
        <f t="shared" si="77"/>
        <v>746.92427334702268</v>
      </c>
      <c r="BA233" s="2">
        <f t="shared" si="78"/>
        <v>0</v>
      </c>
      <c r="BC233" t="str">
        <f t="shared" si="79"/>
        <v/>
      </c>
      <c r="BE233">
        <f t="shared" si="81"/>
        <v>1.0280919075975361</v>
      </c>
      <c r="BF233">
        <f t="shared" si="82"/>
        <v>822.47352607802884</v>
      </c>
      <c r="BG233">
        <f t="shared" si="83"/>
        <v>0</v>
      </c>
    </row>
    <row r="234" spans="1:59" x14ac:dyDescent="0.2">
      <c r="A234" s="2" t="s">
        <v>238</v>
      </c>
      <c r="B234" s="2" t="str">
        <f>VLOOKUP($A234,'[1]daily coal, energy reqd'!$C$2:$T$599,17,FALSE)</f>
        <v>Jharkhand</v>
      </c>
      <c r="C234" s="2" t="str">
        <f>VLOOKUP(B234,'Target PLF'!$I$2:$J$19,2,FALSE)</f>
        <v>ER</v>
      </c>
      <c r="D234" s="2" t="s">
        <v>572</v>
      </c>
      <c r="E234" s="2" t="s">
        <v>543</v>
      </c>
      <c r="F234" s="12">
        <v>7.5044490075290797</v>
      </c>
      <c r="G234" s="2">
        <v>270</v>
      </c>
      <c r="H234">
        <f>VLOOKUP(A234,'Coal savings'!$A$3:$AB$543,26,FALSE)</f>
        <v>842686.65990863834</v>
      </c>
      <c r="I234" t="s">
        <v>694</v>
      </c>
      <c r="J234" s="40">
        <v>358.29999999999995</v>
      </c>
      <c r="O234" s="2" t="s">
        <v>238</v>
      </c>
      <c r="AH234" s="2" t="str">
        <f t="shared" si="85"/>
        <v>2019</v>
      </c>
      <c r="AI234" s="2">
        <f>(J234)/(1+0.115)^(AH234-2016)</f>
        <v>258.47717949672875</v>
      </c>
      <c r="AJ234" s="2">
        <f t="shared" si="67"/>
        <v>0.9573228870249213</v>
      </c>
      <c r="AK234" s="12">
        <f t="shared" si="68"/>
        <v>3.5044490075290797</v>
      </c>
      <c r="AL234" s="2" t="s">
        <v>572</v>
      </c>
      <c r="AM234" s="2" t="str">
        <f>VLOOKUP(A234,'[12]Power plant names'!$C$2:$F$545,4,FALSE)</f>
        <v>Sub critical</v>
      </c>
      <c r="AN234" s="2">
        <v>270</v>
      </c>
      <c r="AO234" s="2">
        <f t="shared" si="69"/>
        <v>0.9573228870249213</v>
      </c>
      <c r="AP234" s="2">
        <v>270</v>
      </c>
      <c r="AQ234" s="2">
        <f t="shared" si="70"/>
        <v>0</v>
      </c>
      <c r="AR234" s="2">
        <f t="shared" si="71"/>
        <v>258.47717949672875</v>
      </c>
      <c r="AS234" s="2">
        <f t="shared" si="72"/>
        <v>0</v>
      </c>
      <c r="AU234" s="2">
        <f t="shared" si="73"/>
        <v>358.3</v>
      </c>
      <c r="AV234" s="2">
        <f t="shared" si="74"/>
        <v>1.327037037037037</v>
      </c>
      <c r="AW234" s="12">
        <f t="shared" si="75"/>
        <v>6.5044490075290797</v>
      </c>
      <c r="AX234" s="2">
        <v>270</v>
      </c>
      <c r="AY234" s="3">
        <f t="shared" si="76"/>
        <v>1.327037037037037</v>
      </c>
      <c r="AZ234" s="2">
        <f t="shared" si="77"/>
        <v>358.3</v>
      </c>
      <c r="BA234" s="2">
        <f t="shared" si="78"/>
        <v>0</v>
      </c>
      <c r="BC234">
        <f t="shared" si="79"/>
        <v>399.50450000000001</v>
      </c>
      <c r="BD234">
        <f t="shared" si="80"/>
        <v>1.4796462962962964</v>
      </c>
      <c r="BE234">
        <f t="shared" si="81"/>
        <v>1.4796462962962964</v>
      </c>
      <c r="BF234">
        <f t="shared" si="82"/>
        <v>399.50450000000001</v>
      </c>
      <c r="BG234">
        <f t="shared" si="83"/>
        <v>0</v>
      </c>
    </row>
    <row r="235" spans="1:59" x14ac:dyDescent="0.2">
      <c r="A235" s="2" t="s">
        <v>235</v>
      </c>
      <c r="B235" s="2" t="str">
        <f>VLOOKUP($A235,'[1]daily coal, energy reqd'!$C$2:$T$599,17,FALSE)</f>
        <v>Jharkhand</v>
      </c>
      <c r="C235" s="2" t="str">
        <f>VLOOKUP(B235,'Target PLF'!$I$2:$J$19,2,FALSE)</f>
        <v>ER</v>
      </c>
      <c r="D235" s="2" t="s">
        <v>572</v>
      </c>
      <c r="E235" s="2" t="s">
        <v>543</v>
      </c>
      <c r="F235" s="12">
        <v>7.1759069130732298</v>
      </c>
      <c r="G235" s="2">
        <v>270</v>
      </c>
      <c r="H235">
        <f>VLOOKUP(A235,'Coal savings'!$A$3:$AB$543,26,FALSE)</f>
        <v>841995.99473790196</v>
      </c>
      <c r="I235" t="s">
        <v>694</v>
      </c>
      <c r="J235" s="40">
        <v>363.69999999999993</v>
      </c>
      <c r="O235" s="2" t="s">
        <v>235</v>
      </c>
      <c r="AH235" s="2" t="str">
        <f t="shared" si="85"/>
        <v>2019</v>
      </c>
      <c r="AI235" s="2">
        <f>(J235)/(1+0.115)^(AH235-2016)</f>
        <v>262.37273285782931</v>
      </c>
      <c r="AJ235" s="2">
        <f t="shared" si="67"/>
        <v>0.97175086243640485</v>
      </c>
      <c r="AK235" s="12">
        <f t="shared" si="68"/>
        <v>3.1759069130732298</v>
      </c>
      <c r="AL235" s="2" t="s">
        <v>572</v>
      </c>
      <c r="AM235" s="2" t="str">
        <f>VLOOKUP(A235,'[12]Power plant names'!$C$2:$F$545,4,FALSE)</f>
        <v>Sub critical</v>
      </c>
      <c r="AN235" s="2">
        <v>270</v>
      </c>
      <c r="AO235" s="2">
        <f t="shared" si="69"/>
        <v>0.97175086243640485</v>
      </c>
      <c r="AP235" s="2">
        <v>270</v>
      </c>
      <c r="AQ235" s="2">
        <f t="shared" si="70"/>
        <v>0</v>
      </c>
      <c r="AR235" s="2">
        <f t="shared" si="71"/>
        <v>262.37273285782931</v>
      </c>
      <c r="AS235" s="2">
        <f t="shared" si="72"/>
        <v>0</v>
      </c>
      <c r="AU235" s="2">
        <f t="shared" si="73"/>
        <v>363.7</v>
      </c>
      <c r="AV235" s="2">
        <f t="shared" si="74"/>
        <v>1.347037037037037</v>
      </c>
      <c r="AW235" s="12">
        <f t="shared" si="75"/>
        <v>6.1759069130732298</v>
      </c>
      <c r="AX235" s="2">
        <v>270</v>
      </c>
      <c r="AY235" s="3">
        <f t="shared" si="76"/>
        <v>1.347037037037037</v>
      </c>
      <c r="AZ235" s="2">
        <f t="shared" si="77"/>
        <v>363.7</v>
      </c>
      <c r="BA235" s="2">
        <f t="shared" si="78"/>
        <v>0</v>
      </c>
      <c r="BC235">
        <f t="shared" si="79"/>
        <v>405.52549999999997</v>
      </c>
      <c r="BD235">
        <f t="shared" si="80"/>
        <v>1.5019462962962962</v>
      </c>
      <c r="BE235">
        <f t="shared" si="81"/>
        <v>1.5019462962962962</v>
      </c>
      <c r="BF235">
        <f t="shared" si="82"/>
        <v>405.52549999999997</v>
      </c>
      <c r="BG235">
        <f t="shared" si="83"/>
        <v>0</v>
      </c>
    </row>
    <row r="236" spans="1:59" x14ac:dyDescent="0.2">
      <c r="A236" s="2" t="s">
        <v>113</v>
      </c>
      <c r="B236" s="2" t="str">
        <f>VLOOKUP($A236,'[1]daily coal, energy reqd'!$C$2:$T$599,17,FALSE)</f>
        <v>Madhya Pradesh</v>
      </c>
      <c r="C236" s="2" t="str">
        <f>VLOOKUP(B236,'Target PLF'!$I$2:$J$19,2,FALSE)</f>
        <v>WR</v>
      </c>
      <c r="D236" s="2" t="s">
        <v>572</v>
      </c>
      <c r="E236" s="2" t="s">
        <v>543</v>
      </c>
      <c r="F236" s="12">
        <v>7.2525667351129304</v>
      </c>
      <c r="G236" s="2">
        <v>600</v>
      </c>
      <c r="H236">
        <f>VLOOKUP(A236,'Coal savings'!$A$3:$AB$543,26,FALSE)</f>
        <v>2344170.1691490631</v>
      </c>
      <c r="O236" s="2" t="s">
        <v>113</v>
      </c>
      <c r="AH236" s="2" t="str">
        <f t="shared" si="85"/>
        <v/>
      </c>
      <c r="AI236" s="2"/>
      <c r="AJ236" s="2" t="str">
        <f t="shared" si="67"/>
        <v/>
      </c>
      <c r="AK236" s="12">
        <f t="shared" si="68"/>
        <v>3.2525667351129304</v>
      </c>
      <c r="AL236" s="2" t="s">
        <v>572</v>
      </c>
      <c r="AM236" s="2" t="str">
        <f>VLOOKUP(A236,'[12]Power plant names'!$C$2:$F$545,4,FALSE)</f>
        <v>Sub critical</v>
      </c>
      <c r="AN236" s="2">
        <v>600</v>
      </c>
      <c r="AO236" s="2">
        <f t="shared" si="69"/>
        <v>0.76529973634496939</v>
      </c>
      <c r="AP236" s="2"/>
      <c r="AQ236" s="2">
        <f t="shared" si="70"/>
        <v>600</v>
      </c>
      <c r="AR236" s="2">
        <f t="shared" si="71"/>
        <v>0</v>
      </c>
      <c r="AS236" s="2">
        <f t="shared" si="72"/>
        <v>459.17984180698164</v>
      </c>
      <c r="AU236" s="2"/>
      <c r="AV236" s="2" t="str">
        <f t="shared" si="74"/>
        <v/>
      </c>
      <c r="AW236" s="12">
        <f t="shared" si="75"/>
        <v>7.2525667351129304</v>
      </c>
      <c r="AX236" s="2">
        <v>600</v>
      </c>
      <c r="AY236" s="3">
        <f t="shared" si="76"/>
        <v>0.95175728418891192</v>
      </c>
      <c r="AZ236" s="2">
        <f t="shared" si="77"/>
        <v>0</v>
      </c>
      <c r="BA236" s="2">
        <f t="shared" si="78"/>
        <v>571.05437051334718</v>
      </c>
      <c r="BC236" t="str">
        <f t="shared" si="79"/>
        <v/>
      </c>
      <c r="BE236">
        <f t="shared" si="81"/>
        <v>1.0574523798767967</v>
      </c>
      <c r="BF236">
        <f t="shared" si="82"/>
        <v>0</v>
      </c>
      <c r="BG236">
        <f t="shared" si="83"/>
        <v>634.47142792607804</v>
      </c>
    </row>
    <row r="237" spans="1:59" x14ac:dyDescent="0.2">
      <c r="A237" s="2" t="s">
        <v>44</v>
      </c>
      <c r="B237" s="2" t="str">
        <f>VLOOKUP($A237,'[1]daily coal, energy reqd'!$C$2:$T$599,17,FALSE)</f>
        <v>Madhya Pradesh</v>
      </c>
      <c r="C237" s="2" t="str">
        <f>VLOOKUP(B237,'Target PLF'!$I$2:$J$19,2,FALSE)</f>
        <v>WR</v>
      </c>
      <c r="D237" s="2" t="s">
        <v>572</v>
      </c>
      <c r="E237" s="2" t="s">
        <v>542</v>
      </c>
      <c r="F237" s="13">
        <v>1.67008898015058</v>
      </c>
      <c r="G237" s="2">
        <v>600</v>
      </c>
      <c r="H237">
        <f>VLOOKUP(A237,'Coal savings'!$A$3:$AB$543,26,FALSE)</f>
        <v>2306250.5717220278</v>
      </c>
      <c r="O237" s="2" t="s">
        <v>44</v>
      </c>
      <c r="AH237" s="2" t="str">
        <f t="shared" si="85"/>
        <v/>
      </c>
      <c r="AI237" s="2"/>
      <c r="AJ237" s="2" t="str">
        <f t="shared" si="67"/>
        <v/>
      </c>
      <c r="AK237" s="12">
        <f t="shared" si="68"/>
        <v>1</v>
      </c>
      <c r="AL237" s="2" t="s">
        <v>572</v>
      </c>
      <c r="AM237" s="2" t="str">
        <f>VLOOKUP(A237,'[12]Power plant names'!$C$2:$F$545,4,FALSE)</f>
        <v>Sub critical</v>
      </c>
      <c r="AN237" s="2">
        <v>600</v>
      </c>
      <c r="AO237" s="2">
        <f t="shared" si="69"/>
        <v>0.79651040000000006</v>
      </c>
      <c r="AP237" s="2"/>
      <c r="AQ237" s="2">
        <f t="shared" si="70"/>
        <v>600</v>
      </c>
      <c r="AR237" s="2">
        <f t="shared" si="71"/>
        <v>0</v>
      </c>
      <c r="AS237" s="2">
        <f t="shared" si="72"/>
        <v>477.90624000000003</v>
      </c>
      <c r="AU237" s="2"/>
      <c r="AV237" s="2" t="str">
        <f t="shared" si="74"/>
        <v/>
      </c>
      <c r="AW237" s="12">
        <f t="shared" si="75"/>
        <v>1.67008898015058</v>
      </c>
      <c r="AX237" s="2">
        <v>600</v>
      </c>
      <c r="AY237" s="3">
        <f t="shared" si="76"/>
        <v>1.0529804455852156</v>
      </c>
      <c r="AZ237" s="2">
        <f t="shared" si="77"/>
        <v>0</v>
      </c>
      <c r="BA237" s="2">
        <f t="shared" si="78"/>
        <v>631.78826735112943</v>
      </c>
      <c r="BC237" t="str">
        <f t="shared" si="79"/>
        <v/>
      </c>
      <c r="BE237">
        <f t="shared" si="81"/>
        <v>1.1776068398357289</v>
      </c>
      <c r="BF237">
        <f t="shared" si="82"/>
        <v>0</v>
      </c>
      <c r="BG237">
        <f t="shared" si="83"/>
        <v>706.56410390143731</v>
      </c>
    </row>
    <row r="238" spans="1:59" ht="14.5" customHeight="1" x14ac:dyDescent="0.2">
      <c r="A238" s="2" t="s">
        <v>96</v>
      </c>
      <c r="B238" s="2" t="str">
        <f>VLOOKUP($A238,'[1]daily coal, energy reqd'!$C$2:$T$599,17,FALSE)</f>
        <v>Haryana</v>
      </c>
      <c r="C238" s="2" t="str">
        <f>VLOOKUP(B238,'Target PLF'!$I$2:$J$19,2,FALSE)</f>
        <v>NR</v>
      </c>
      <c r="D238" s="2" t="s">
        <v>572</v>
      </c>
      <c r="E238" s="2" t="s">
        <v>543</v>
      </c>
      <c r="F238" s="12">
        <v>8.33949349760438</v>
      </c>
      <c r="G238" s="2">
        <v>660</v>
      </c>
      <c r="H238">
        <f>VLOOKUP(A238,'Coal savings'!$A$3:$AB$543,26,FALSE)</f>
        <v>2822964.6292179464</v>
      </c>
      <c r="O238" s="2" t="s">
        <v>96</v>
      </c>
      <c r="P238">
        <v>2019</v>
      </c>
      <c r="Q238" s="96">
        <v>74.819999999999993</v>
      </c>
      <c r="R238" s="96" t="s">
        <v>678</v>
      </c>
      <c r="S238" s="96">
        <v>124</v>
      </c>
      <c r="T238" s="96">
        <v>828.69</v>
      </c>
      <c r="U238" s="96" t="s">
        <v>619</v>
      </c>
      <c r="V238" s="96"/>
      <c r="AH238" s="2"/>
      <c r="AI238" s="2"/>
      <c r="AJ238" s="2" t="str">
        <f t="shared" si="67"/>
        <v/>
      </c>
      <c r="AK238" s="12">
        <f t="shared" si="68"/>
        <v>4.33949349760438</v>
      </c>
      <c r="AL238" s="2" t="s">
        <v>572</v>
      </c>
      <c r="AM238" s="2" t="str">
        <f>VLOOKUP(A238,'[12]Power plant names'!$C$2:$F$545,4,FALSE)</f>
        <v>Super critical</v>
      </c>
      <c r="AN238" s="2">
        <v>660</v>
      </c>
      <c r="AO238" s="2">
        <f t="shared" si="69"/>
        <v>0.72312571389459279</v>
      </c>
      <c r="AP238" s="2">
        <v>660</v>
      </c>
      <c r="AQ238" s="2">
        <f t="shared" si="70"/>
        <v>0</v>
      </c>
      <c r="AR238" s="2">
        <f t="shared" si="71"/>
        <v>477.26297117043123</v>
      </c>
      <c r="AS238" s="2">
        <f t="shared" si="72"/>
        <v>0</v>
      </c>
      <c r="AU238" s="2"/>
      <c r="AV238" s="2" t="str">
        <f t="shared" si="74"/>
        <v/>
      </c>
      <c r="AW238" s="12">
        <f t="shared" si="75"/>
        <v>8.33949349760438</v>
      </c>
      <c r="AX238" s="2">
        <v>660</v>
      </c>
      <c r="AY238" s="3">
        <f t="shared" si="76"/>
        <v>0.89854480205338816</v>
      </c>
      <c r="AZ238" s="2">
        <f t="shared" si="77"/>
        <v>593.03956935523615</v>
      </c>
      <c r="BA238" s="2">
        <f t="shared" si="78"/>
        <v>0</v>
      </c>
      <c r="BC238" t="str">
        <f t="shared" si="79"/>
        <v/>
      </c>
      <c r="BE238">
        <f t="shared" si="81"/>
        <v>0.9919259117043121</v>
      </c>
      <c r="BF238">
        <f t="shared" si="82"/>
        <v>654.67110172484604</v>
      </c>
      <c r="BG238">
        <f t="shared" si="83"/>
        <v>0</v>
      </c>
    </row>
    <row r="239" spans="1:59" ht="14.5" customHeight="1" x14ac:dyDescent="0.2">
      <c r="A239" s="2" t="s">
        <v>92</v>
      </c>
      <c r="B239" s="2" t="str">
        <f>VLOOKUP($A239,'[1]daily coal, energy reqd'!$C$2:$T$599,17,FALSE)</f>
        <v>Haryana</v>
      </c>
      <c r="C239" s="2" t="str">
        <f>VLOOKUP(B239,'Target PLF'!$I$2:$J$19,2,FALSE)</f>
        <v>NR</v>
      </c>
      <c r="D239" s="2" t="s">
        <v>572</v>
      </c>
      <c r="E239" s="2" t="s">
        <v>543</v>
      </c>
      <c r="F239" s="12">
        <v>8.0903490759753591</v>
      </c>
      <c r="G239" s="2">
        <v>660</v>
      </c>
      <c r="H239">
        <f>VLOOKUP(A239,'Coal savings'!$A$3:$AB$543,26,FALSE)</f>
        <v>2820889.4510656171</v>
      </c>
      <c r="O239" s="2" t="s">
        <v>92</v>
      </c>
      <c r="Q239" s="96"/>
      <c r="R239" s="96"/>
      <c r="S239" s="96"/>
      <c r="T239" s="96"/>
      <c r="U239" s="96"/>
      <c r="V239" s="96"/>
      <c r="AH239" s="2" t="str">
        <f t="shared" ref="AH239:AH269" si="86">RIGHT(I239,4)</f>
        <v/>
      </c>
      <c r="AI239" s="2"/>
      <c r="AJ239" s="2" t="str">
        <f t="shared" si="67"/>
        <v/>
      </c>
      <c r="AK239" s="12">
        <f t="shared" si="68"/>
        <v>4.0903490759753591</v>
      </c>
      <c r="AL239" s="2" t="s">
        <v>572</v>
      </c>
      <c r="AM239" s="2" t="str">
        <f>VLOOKUP(A239,'[12]Power plant names'!$C$2:$F$545,4,FALSE)</f>
        <v>Super critical</v>
      </c>
      <c r="AN239" s="2">
        <v>660</v>
      </c>
      <c r="AO239" s="2">
        <f t="shared" si="69"/>
        <v>0.72657775934291591</v>
      </c>
      <c r="AP239" s="2">
        <v>660</v>
      </c>
      <c r="AQ239" s="2">
        <f t="shared" si="70"/>
        <v>0</v>
      </c>
      <c r="AR239" s="2">
        <f t="shared" si="71"/>
        <v>479.54132116632451</v>
      </c>
      <c r="AS239" s="2">
        <f t="shared" si="72"/>
        <v>0</v>
      </c>
      <c r="AU239" s="2"/>
      <c r="AV239" s="2" t="str">
        <f t="shared" si="74"/>
        <v/>
      </c>
      <c r="AW239" s="12">
        <f t="shared" si="75"/>
        <v>8.0903490759753591</v>
      </c>
      <c r="AX239" s="2">
        <v>660</v>
      </c>
      <c r="AY239" s="3">
        <f t="shared" si="76"/>
        <v>0.90306236344969204</v>
      </c>
      <c r="AZ239" s="2">
        <f t="shared" si="77"/>
        <v>596.02115987679679</v>
      </c>
      <c r="BA239" s="2">
        <f t="shared" si="78"/>
        <v>0</v>
      </c>
      <c r="BC239" t="str">
        <f t="shared" si="79"/>
        <v/>
      </c>
      <c r="BE239">
        <f t="shared" si="81"/>
        <v>0.99728837166324436</v>
      </c>
      <c r="BF239">
        <f t="shared" si="82"/>
        <v>658.21032529774129</v>
      </c>
      <c r="BG239">
        <f t="shared" si="83"/>
        <v>0</v>
      </c>
    </row>
    <row r="240" spans="1:59" x14ac:dyDescent="0.2">
      <c r="A240" s="2" t="s">
        <v>148</v>
      </c>
      <c r="B240" s="2" t="str">
        <f>VLOOKUP($A240,'[1]daily coal, energy reqd'!$C$2:$T$599,17,FALSE)</f>
        <v>Jharkhand</v>
      </c>
      <c r="C240" s="2" t="str">
        <f>VLOOKUP(B240,'Target PLF'!$I$2:$J$19,2,FALSE)</f>
        <v>ER</v>
      </c>
      <c r="D240" s="2" t="s">
        <v>572</v>
      </c>
      <c r="E240" s="2" t="s">
        <v>543</v>
      </c>
      <c r="F240" s="12">
        <v>8.6735112936344905</v>
      </c>
      <c r="G240" s="2">
        <v>525</v>
      </c>
      <c r="H240">
        <f>VLOOKUP(A240,'Coal savings'!$A$3:$AB$543,26,FALSE)</f>
        <v>2398440.0502691874</v>
      </c>
      <c r="I240" t="s">
        <v>694</v>
      </c>
      <c r="J240">
        <f>1085.66/2</f>
        <v>542.83000000000004</v>
      </c>
      <c r="O240" s="2" t="s">
        <v>148</v>
      </c>
      <c r="P240">
        <v>2019</v>
      </c>
      <c r="Q240" s="96">
        <v>334.82</v>
      </c>
      <c r="R240" s="96" t="s">
        <v>678</v>
      </c>
      <c r="S240" s="96">
        <v>281</v>
      </c>
      <c r="AH240" s="2" t="str">
        <f t="shared" si="86"/>
        <v>2019</v>
      </c>
      <c r="AI240" s="2">
        <f>(J240)/(1+0.115)^(AH240-2016)</f>
        <v>391.59689463078223</v>
      </c>
      <c r="AJ240" s="2">
        <f t="shared" si="67"/>
        <v>0.74589884691577568</v>
      </c>
      <c r="AK240" s="12">
        <f t="shared" si="68"/>
        <v>4.6735112936344905</v>
      </c>
      <c r="AL240" s="2" t="s">
        <v>572</v>
      </c>
      <c r="AM240" s="2" t="str">
        <f>VLOOKUP(A240,'[12]Power plant names'!$C$2:$F$545,4,FALSE)</f>
        <v>Sub critical</v>
      </c>
      <c r="AN240" s="2">
        <v>525</v>
      </c>
      <c r="AO240" s="2">
        <f t="shared" si="69"/>
        <v>0.74589884691577568</v>
      </c>
      <c r="AP240" s="2">
        <v>525</v>
      </c>
      <c r="AQ240" s="2">
        <f t="shared" si="70"/>
        <v>0</v>
      </c>
      <c r="AR240" s="2">
        <f t="shared" si="71"/>
        <v>391.59689463078223</v>
      </c>
      <c r="AS240" s="2">
        <f t="shared" si="72"/>
        <v>0</v>
      </c>
      <c r="AU240" s="2">
        <f t="shared" si="73"/>
        <v>542.83000000000004</v>
      </c>
      <c r="AV240" s="2">
        <f t="shared" si="74"/>
        <v>1.0339619047619049</v>
      </c>
      <c r="AW240" s="12">
        <f t="shared" si="75"/>
        <v>7.6735112936344905</v>
      </c>
      <c r="AX240" s="2">
        <v>525</v>
      </c>
      <c r="AY240" s="3">
        <f t="shared" si="76"/>
        <v>1.0339619047619049</v>
      </c>
      <c r="AZ240" s="2">
        <f t="shared" si="77"/>
        <v>542.83000000000004</v>
      </c>
      <c r="BA240" s="2">
        <f t="shared" si="78"/>
        <v>0</v>
      </c>
      <c r="BC240">
        <f t="shared" si="79"/>
        <v>605.25545</v>
      </c>
      <c r="BD240">
        <f t="shared" si="80"/>
        <v>1.1528675238095238</v>
      </c>
      <c r="BE240">
        <f t="shared" si="81"/>
        <v>1.1528675238095238</v>
      </c>
      <c r="BF240">
        <f t="shared" si="82"/>
        <v>605.25545</v>
      </c>
      <c r="BG240">
        <f t="shared" si="83"/>
        <v>0</v>
      </c>
    </row>
    <row r="241" spans="1:59" x14ac:dyDescent="0.2">
      <c r="A241" s="2" t="s">
        <v>140</v>
      </c>
      <c r="B241" s="2" t="str">
        <f>VLOOKUP($A241,'[1]daily coal, energy reqd'!$C$2:$T$599,17,FALSE)</f>
        <v>Jharkhand</v>
      </c>
      <c r="C241" s="2" t="str">
        <f>VLOOKUP(B241,'Target PLF'!$I$2:$J$19,2,FALSE)</f>
        <v>ER</v>
      </c>
      <c r="D241" s="2" t="s">
        <v>572</v>
      </c>
      <c r="E241" s="2" t="s">
        <v>543</v>
      </c>
      <c r="F241" s="12">
        <v>7.8412046543463303</v>
      </c>
      <c r="G241" s="2">
        <v>525</v>
      </c>
      <c r="H241">
        <f>VLOOKUP(A241,'Coal savings'!$A$3:$AB$543,26,FALSE)</f>
        <v>2392834.9246695158</v>
      </c>
      <c r="I241" t="s">
        <v>694</v>
      </c>
      <c r="J241">
        <f>1085.66/2</f>
        <v>542.83000000000004</v>
      </c>
      <c r="O241" s="2" t="s">
        <v>140</v>
      </c>
      <c r="Q241" s="96"/>
      <c r="R241" s="96"/>
      <c r="S241" s="96"/>
      <c r="AH241" s="2" t="str">
        <f t="shared" si="86"/>
        <v>2019</v>
      </c>
      <c r="AI241" s="2">
        <f>(J241)/(1+0.115)^(AH241-2016)</f>
        <v>391.59689463078223</v>
      </c>
      <c r="AJ241" s="2">
        <f t="shared" si="67"/>
        <v>0.74589884691577568</v>
      </c>
      <c r="AK241" s="12">
        <f t="shared" si="68"/>
        <v>3.8412046543463303</v>
      </c>
      <c r="AL241" s="2" t="s">
        <v>572</v>
      </c>
      <c r="AM241" s="2" t="str">
        <f>VLOOKUP(A241,'[12]Power plant names'!$C$2:$F$545,4,FALSE)</f>
        <v>Sub critical</v>
      </c>
      <c r="AN241" s="2">
        <v>525</v>
      </c>
      <c r="AO241" s="2">
        <f t="shared" si="69"/>
        <v>0.74589884691577568</v>
      </c>
      <c r="AP241" s="2">
        <v>525</v>
      </c>
      <c r="AQ241" s="2">
        <f t="shared" si="70"/>
        <v>0</v>
      </c>
      <c r="AR241" s="2">
        <f t="shared" si="71"/>
        <v>391.59689463078223</v>
      </c>
      <c r="AS241" s="2">
        <f t="shared" si="72"/>
        <v>0</v>
      </c>
      <c r="AU241" s="2">
        <f t="shared" si="73"/>
        <v>542.83000000000004</v>
      </c>
      <c r="AV241" s="2">
        <f t="shared" si="74"/>
        <v>1.0339619047619049</v>
      </c>
      <c r="AW241" s="12">
        <f t="shared" si="75"/>
        <v>6.8412046543463303</v>
      </c>
      <c r="AX241" s="2">
        <v>525</v>
      </c>
      <c r="AY241" s="3">
        <f t="shared" si="76"/>
        <v>1.0339619047619049</v>
      </c>
      <c r="AZ241" s="2">
        <f t="shared" si="77"/>
        <v>542.83000000000004</v>
      </c>
      <c r="BA241" s="2">
        <f t="shared" si="78"/>
        <v>0</v>
      </c>
      <c r="BC241">
        <f t="shared" si="79"/>
        <v>605.25545</v>
      </c>
      <c r="BD241">
        <f t="shared" si="80"/>
        <v>1.1528675238095238</v>
      </c>
      <c r="BE241">
        <f t="shared" si="81"/>
        <v>1.1528675238095238</v>
      </c>
      <c r="BF241">
        <f t="shared" si="82"/>
        <v>605.25545</v>
      </c>
      <c r="BG241">
        <f t="shared" si="83"/>
        <v>0</v>
      </c>
    </row>
    <row r="242" spans="1:59" ht="14.5" hidden="1" customHeight="1" x14ac:dyDescent="0.2">
      <c r="A242" s="2" t="s">
        <v>343</v>
      </c>
      <c r="B242" s="2" t="str">
        <f>VLOOKUP($A242,'[1]daily coal, energy reqd'!$C$2:$T$599,17,FALSE)</f>
        <v>Uttar Pradesh</v>
      </c>
      <c r="C242" s="2" t="str">
        <f>VLOOKUP(B242,'Target PLF'!$I$2:$J$19,2,FALSE)</f>
        <v>NR</v>
      </c>
      <c r="D242" s="2" t="s">
        <v>572</v>
      </c>
      <c r="E242" s="2" t="s">
        <v>543</v>
      </c>
      <c r="F242" s="12">
        <v>8.5065023956194299</v>
      </c>
      <c r="G242" s="2">
        <v>45</v>
      </c>
      <c r="H242">
        <f>VLOOKUP(A242,'Coal savings'!$A$3:$AB$543,26,FALSE)</f>
        <v>0</v>
      </c>
      <c r="O242" s="2" t="s">
        <v>343</v>
      </c>
      <c r="AH242" s="2" t="str">
        <f t="shared" si="86"/>
        <v/>
      </c>
      <c r="AI242" s="2"/>
      <c r="AJ242" s="2" t="str">
        <f t="shared" si="67"/>
        <v/>
      </c>
      <c r="AK242" s="12">
        <f t="shared" si="68"/>
        <v>4.5065023956194299</v>
      </c>
      <c r="AL242" s="2" t="s">
        <v>572</v>
      </c>
      <c r="AM242" s="2" t="str">
        <f>VLOOKUP(A242,'[12]Power plant names'!$C$2:$F$545,4,FALSE)</f>
        <v>Sub critical</v>
      </c>
      <c r="AN242" s="2">
        <v>45</v>
      </c>
      <c r="AO242" s="2">
        <f t="shared" si="69"/>
        <v>0.99873020540725554</v>
      </c>
      <c r="AP242" s="2">
        <v>41</v>
      </c>
      <c r="AQ242" s="2">
        <f t="shared" si="70"/>
        <v>4</v>
      </c>
      <c r="AR242" s="2">
        <f t="shared" si="71"/>
        <v>40.947938421697479</v>
      </c>
      <c r="AS242" s="2">
        <f t="shared" si="72"/>
        <v>3.9949208216290222</v>
      </c>
      <c r="AU242" s="2"/>
      <c r="AV242" s="2" t="str">
        <f t="shared" si="74"/>
        <v/>
      </c>
      <c r="AW242" s="12">
        <f t="shared" si="75"/>
        <v>8.5065023956194299</v>
      </c>
      <c r="AX242" s="2">
        <v>45</v>
      </c>
      <c r="AY242" s="3">
        <f t="shared" si="76"/>
        <v>1.2389325466119099</v>
      </c>
      <c r="AZ242" s="2">
        <f t="shared" si="77"/>
        <v>50.796234411088307</v>
      </c>
      <c r="BA242" s="2">
        <f t="shared" si="78"/>
        <v>4.9557301864476395</v>
      </c>
      <c r="BC242" t="str">
        <f t="shared" si="79"/>
        <v/>
      </c>
      <c r="BE242">
        <f t="shared" si="81"/>
        <v>1.4201842956878852</v>
      </c>
      <c r="BF242">
        <f t="shared" si="82"/>
        <v>58.227556123203293</v>
      </c>
      <c r="BG242">
        <f t="shared" si="83"/>
        <v>5.6807371827515407</v>
      </c>
    </row>
    <row r="243" spans="1:59" ht="14.5" hidden="1" customHeight="1" x14ac:dyDescent="0.2">
      <c r="A243" s="2" t="s">
        <v>340</v>
      </c>
      <c r="B243" s="2" t="str">
        <f>VLOOKUP($A243,'[1]daily coal, energy reqd'!$C$2:$T$599,17,FALSE)</f>
        <v>Uttar Pradesh</v>
      </c>
      <c r="C243" s="2" t="str">
        <f>VLOOKUP(B243,'Target PLF'!$I$2:$J$19,2,FALSE)</f>
        <v>NR</v>
      </c>
      <c r="D243" s="2" t="s">
        <v>572</v>
      </c>
      <c r="E243" s="2" t="s">
        <v>543</v>
      </c>
      <c r="F243" s="12">
        <v>8.33949349760438</v>
      </c>
      <c r="G243" s="2">
        <v>45</v>
      </c>
      <c r="H243">
        <f>VLOOKUP(A243,'Coal savings'!$A$3:$AB$543,26,FALSE)</f>
        <v>0</v>
      </c>
      <c r="O243" s="2" t="s">
        <v>340</v>
      </c>
      <c r="AH243" s="2" t="str">
        <f t="shared" si="86"/>
        <v/>
      </c>
      <c r="AI243" s="2"/>
      <c r="AJ243" s="2" t="str">
        <f t="shared" si="67"/>
        <v/>
      </c>
      <c r="AK243" s="12">
        <f t="shared" si="68"/>
        <v>4.33949349760438</v>
      </c>
      <c r="AL243" s="2" t="s">
        <v>572</v>
      </c>
      <c r="AM243" s="2" t="str">
        <f>VLOOKUP(A243,'[12]Power plant names'!$C$2:$F$545,4,FALSE)</f>
        <v>Sub critical</v>
      </c>
      <c r="AN243" s="2">
        <v>45</v>
      </c>
      <c r="AO243" s="2">
        <f t="shared" si="69"/>
        <v>1.0010442138945927</v>
      </c>
      <c r="AP243" s="2">
        <v>41</v>
      </c>
      <c r="AQ243" s="2">
        <f t="shared" si="70"/>
        <v>4</v>
      </c>
      <c r="AR243" s="2">
        <f t="shared" si="71"/>
        <v>41.042812769678299</v>
      </c>
      <c r="AS243" s="2">
        <f t="shared" si="72"/>
        <v>4.004176855578371</v>
      </c>
      <c r="AU243" s="2"/>
      <c r="AV243" s="2" t="str">
        <f t="shared" si="74"/>
        <v/>
      </c>
      <c r="AW243" s="12">
        <f t="shared" si="75"/>
        <v>8.33949349760438</v>
      </c>
      <c r="AX243" s="2">
        <v>45</v>
      </c>
      <c r="AY243" s="3">
        <f t="shared" si="76"/>
        <v>1.2419608020533881</v>
      </c>
      <c r="AZ243" s="2">
        <f t="shared" si="77"/>
        <v>50.920392884188914</v>
      </c>
      <c r="BA243" s="2">
        <f t="shared" si="78"/>
        <v>4.9678432082135524</v>
      </c>
      <c r="BC243" t="str">
        <f t="shared" si="79"/>
        <v/>
      </c>
      <c r="BE243">
        <f t="shared" si="81"/>
        <v>1.423778911704312</v>
      </c>
      <c r="BF243">
        <f t="shared" si="82"/>
        <v>58.374935379876796</v>
      </c>
      <c r="BG243">
        <f t="shared" si="83"/>
        <v>5.6951156468172481</v>
      </c>
    </row>
    <row r="244" spans="1:59" ht="14.5" customHeight="1" x14ac:dyDescent="0.2">
      <c r="A244" s="2" t="s">
        <v>137</v>
      </c>
      <c r="B244" s="2" t="str">
        <f>VLOOKUP($A244,'[1]daily coal, energy reqd'!$C$2:$T$599,17,FALSE)</f>
        <v>Chhatisgarh</v>
      </c>
      <c r="C244" s="2" t="str">
        <f>VLOOKUP(B244,'Target PLF'!$I$2:$J$19,2,FALSE)</f>
        <v>WR</v>
      </c>
      <c r="D244" s="2" t="s">
        <v>570</v>
      </c>
      <c r="E244" s="2" t="s">
        <v>543</v>
      </c>
      <c r="F244" s="12">
        <v>6.1765913757700197</v>
      </c>
      <c r="G244" s="2">
        <v>500</v>
      </c>
      <c r="H244">
        <f>VLOOKUP(A244,'Coal savings'!$A$3:$AB$543,26,FALSE)</f>
        <v>2410935.206283953</v>
      </c>
      <c r="I244" t="s">
        <v>695</v>
      </c>
      <c r="J244">
        <f>1539.71/2</f>
        <v>769.85500000000002</v>
      </c>
      <c r="O244" s="2" t="s">
        <v>137</v>
      </c>
      <c r="P244">
        <v>2019</v>
      </c>
      <c r="Q244" s="96">
        <v>1871.72</v>
      </c>
      <c r="R244" s="96" t="s">
        <v>611</v>
      </c>
      <c r="AH244" s="2" t="str">
        <f t="shared" si="86"/>
        <v>2018</v>
      </c>
      <c r="AI244" s="2">
        <f>(J244)/(1+0.115)^(AH244-2016)</f>
        <v>619.24028233022989</v>
      </c>
      <c r="AJ244" s="2">
        <f t="shared" si="67"/>
        <v>1.2384805646604597</v>
      </c>
      <c r="AK244" s="12">
        <f t="shared" si="68"/>
        <v>2.1765913757700197</v>
      </c>
      <c r="AL244" s="2" t="s">
        <v>570</v>
      </c>
      <c r="AM244" s="2" t="str">
        <f>VLOOKUP(A244,'[12]Power plant names'!$C$2:$F$545,4,FALSE)</f>
        <v>Sub critical</v>
      </c>
      <c r="AN244" s="2">
        <v>500</v>
      </c>
      <c r="AO244" s="2">
        <f t="shared" si="69"/>
        <v>1.2384805646604597</v>
      </c>
      <c r="AP244" s="2">
        <v>500</v>
      </c>
      <c r="AQ244" s="2">
        <f t="shared" si="70"/>
        <v>0</v>
      </c>
      <c r="AR244" s="2">
        <f t="shared" si="71"/>
        <v>619.24028233022989</v>
      </c>
      <c r="AS244" s="2">
        <f t="shared" si="72"/>
        <v>0</v>
      </c>
      <c r="AU244" s="2">
        <f t="shared" si="73"/>
        <v>769.85500000000002</v>
      </c>
      <c r="AV244" s="2">
        <f t="shared" si="74"/>
        <v>1.5397100000000001</v>
      </c>
      <c r="AW244" s="12">
        <f t="shared" si="75"/>
        <v>4.1765913757700197</v>
      </c>
      <c r="AX244" s="2">
        <v>500</v>
      </c>
      <c r="AY244" s="3">
        <f t="shared" si="76"/>
        <v>1.5397100000000001</v>
      </c>
      <c r="AZ244" s="2">
        <f t="shared" si="77"/>
        <v>769.85500000000002</v>
      </c>
      <c r="BA244" s="2">
        <f t="shared" si="78"/>
        <v>0</v>
      </c>
      <c r="BC244">
        <f t="shared" si="79"/>
        <v>957.10298237500001</v>
      </c>
      <c r="BD244">
        <f t="shared" si="80"/>
        <v>1.91420596475</v>
      </c>
      <c r="BE244">
        <f t="shared" si="81"/>
        <v>1.91420596475</v>
      </c>
      <c r="BF244">
        <f t="shared" si="82"/>
        <v>957.10298237500001</v>
      </c>
      <c r="BG244">
        <f t="shared" si="83"/>
        <v>0</v>
      </c>
    </row>
    <row r="245" spans="1:59" ht="14.5" customHeight="1" x14ac:dyDescent="0.2">
      <c r="A245" s="2" t="s">
        <v>122</v>
      </c>
      <c r="B245" s="2" t="str">
        <f>VLOOKUP($A245,'[1]daily coal, energy reqd'!$C$2:$T$599,17,FALSE)</f>
        <v>Chhatisgarh</v>
      </c>
      <c r="C245" s="2" t="str">
        <f>VLOOKUP(B245,'Target PLF'!$I$2:$J$19,2,FALSE)</f>
        <v>WR</v>
      </c>
      <c r="D245" s="2" t="s">
        <v>570</v>
      </c>
      <c r="E245" s="2" t="s">
        <v>542</v>
      </c>
      <c r="F245" s="12">
        <v>3.8412046543463298</v>
      </c>
      <c r="G245" s="2">
        <v>500</v>
      </c>
      <c r="H245">
        <f>VLOOKUP(A245,'Coal savings'!$A$3:$AB$543,26,FALSE)</f>
        <v>2395125.7804843658</v>
      </c>
      <c r="I245" t="s">
        <v>695</v>
      </c>
      <c r="J245">
        <f>1539.71/2</f>
        <v>769.85500000000002</v>
      </c>
      <c r="O245" s="2" t="s">
        <v>122</v>
      </c>
      <c r="Q245" s="96"/>
      <c r="R245" s="96"/>
      <c r="AH245" s="2" t="str">
        <f t="shared" si="86"/>
        <v>2018</v>
      </c>
      <c r="AI245" s="2">
        <f>(J245)/(1+0.115)^(AH245-2016)</f>
        <v>619.24028233022989</v>
      </c>
      <c r="AJ245" s="2">
        <f t="shared" si="67"/>
        <v>1.2384805646604597</v>
      </c>
      <c r="AK245" s="12">
        <f t="shared" si="68"/>
        <v>1</v>
      </c>
      <c r="AL245" s="2" t="s">
        <v>570</v>
      </c>
      <c r="AM245" s="2" t="str">
        <f>VLOOKUP(A245,'[12]Power plant names'!$C$2:$F$545,4,FALSE)</f>
        <v>Sub critical</v>
      </c>
      <c r="AN245" s="2">
        <v>500</v>
      </c>
      <c r="AO245" s="2">
        <f t="shared" si="69"/>
        <v>1.2384805646604597</v>
      </c>
      <c r="AP245" s="2">
        <v>500</v>
      </c>
      <c r="AQ245" s="2">
        <f t="shared" si="70"/>
        <v>0</v>
      </c>
      <c r="AR245" s="2">
        <f t="shared" si="71"/>
        <v>619.24028233022989</v>
      </c>
      <c r="AS245" s="2">
        <f t="shared" si="72"/>
        <v>0</v>
      </c>
      <c r="AU245" s="2">
        <f t="shared" si="73"/>
        <v>769.85500000000002</v>
      </c>
      <c r="AV245" s="2">
        <f t="shared" si="74"/>
        <v>1.5397100000000001</v>
      </c>
      <c r="AW245" s="12">
        <f t="shared" si="75"/>
        <v>1.8412046543463298</v>
      </c>
      <c r="AX245" s="2">
        <v>500</v>
      </c>
      <c r="AY245" s="3">
        <f t="shared" si="76"/>
        <v>1.5397100000000001</v>
      </c>
      <c r="AZ245" s="2">
        <f t="shared" si="77"/>
        <v>769.85500000000002</v>
      </c>
      <c r="BA245" s="2">
        <f t="shared" si="78"/>
        <v>0</v>
      </c>
      <c r="BC245">
        <f t="shared" si="79"/>
        <v>957.10298237500001</v>
      </c>
      <c r="BD245">
        <f t="shared" si="80"/>
        <v>1.91420596475</v>
      </c>
      <c r="BE245">
        <f t="shared" si="81"/>
        <v>1.91420596475</v>
      </c>
      <c r="BF245">
        <f t="shared" si="82"/>
        <v>957.10298237500001</v>
      </c>
      <c r="BG245">
        <f t="shared" si="83"/>
        <v>0</v>
      </c>
    </row>
    <row r="246" spans="1:59" x14ac:dyDescent="0.2">
      <c r="A246" s="2" t="s">
        <v>151</v>
      </c>
      <c r="B246" s="2" t="str">
        <f>VLOOKUP($A246,'[1]daily coal, energy reqd'!$C$2:$T$599,17,FALSE)</f>
        <v>Maharashtra</v>
      </c>
      <c r="C246" s="2" t="str">
        <f>VLOOKUP(B246,'Target PLF'!$I$2:$J$19,2,FALSE)</f>
        <v>WR</v>
      </c>
      <c r="D246" s="2" t="s">
        <v>571</v>
      </c>
      <c r="E246" s="2" t="s">
        <v>543</v>
      </c>
      <c r="F246" s="12">
        <v>8.0903490759753591</v>
      </c>
      <c r="G246" s="2">
        <v>500</v>
      </c>
      <c r="H246">
        <f>VLOOKUP(A246,'Coal savings'!$A$3:$AB$543,26,FALSE)</f>
        <v>2439102.975587076</v>
      </c>
      <c r="I246" t="s">
        <v>694</v>
      </c>
      <c r="J246">
        <f>1314.75/2</f>
        <v>657.375</v>
      </c>
      <c r="O246" s="2" t="s">
        <v>151</v>
      </c>
      <c r="P246">
        <v>2019</v>
      </c>
      <c r="Q246" s="96">
        <v>140.4</v>
      </c>
      <c r="R246" s="96" t="s">
        <v>611</v>
      </c>
      <c r="S246" s="96"/>
      <c r="T246" s="96">
        <v>18.48</v>
      </c>
      <c r="U246" s="96" t="s">
        <v>681</v>
      </c>
      <c r="V246" s="96"/>
      <c r="AH246" s="2" t="str">
        <f t="shared" si="86"/>
        <v>2019</v>
      </c>
      <c r="AI246" s="2">
        <f>(J246)/(1+0.115)^(AH246-2016)</f>
        <v>474.22951680620167</v>
      </c>
      <c r="AJ246" s="2">
        <f t="shared" si="67"/>
        <v>0.94845903361240336</v>
      </c>
      <c r="AK246" s="12">
        <f t="shared" si="68"/>
        <v>4.0903490759753591</v>
      </c>
      <c r="AL246" s="2" t="s">
        <v>571</v>
      </c>
      <c r="AM246" s="2" t="str">
        <f>VLOOKUP(A246,'[12]Power plant names'!$C$2:$F$545,4,FALSE)</f>
        <v>Sub critical</v>
      </c>
      <c r="AN246" s="2">
        <v>500</v>
      </c>
      <c r="AO246" s="2">
        <f t="shared" si="69"/>
        <v>0.94845903361240336</v>
      </c>
      <c r="AP246" s="2">
        <v>500</v>
      </c>
      <c r="AQ246" s="2">
        <f t="shared" si="70"/>
        <v>0</v>
      </c>
      <c r="AR246" s="2">
        <f t="shared" si="71"/>
        <v>474.22951680620167</v>
      </c>
      <c r="AS246" s="2">
        <f t="shared" si="72"/>
        <v>0</v>
      </c>
      <c r="AU246" s="2">
        <f t="shared" si="73"/>
        <v>657.375</v>
      </c>
      <c r="AV246" s="2">
        <f t="shared" si="74"/>
        <v>1.3147500000000001</v>
      </c>
      <c r="AW246" s="12">
        <f t="shared" si="75"/>
        <v>7.0903490759753591</v>
      </c>
      <c r="AX246" s="2">
        <v>500</v>
      </c>
      <c r="AY246" s="3">
        <f t="shared" si="76"/>
        <v>1.3147500000000001</v>
      </c>
      <c r="AZ246" s="2">
        <f t="shared" si="77"/>
        <v>657.375</v>
      </c>
      <c r="BA246" s="2">
        <f t="shared" si="78"/>
        <v>0</v>
      </c>
      <c r="BC246">
        <f t="shared" si="79"/>
        <v>732.97312499999998</v>
      </c>
      <c r="BD246">
        <f t="shared" si="80"/>
        <v>1.46594625</v>
      </c>
      <c r="BE246">
        <f t="shared" si="81"/>
        <v>1.46594625</v>
      </c>
      <c r="BF246">
        <f t="shared" si="82"/>
        <v>732.97312499999998</v>
      </c>
      <c r="BG246">
        <f t="shared" si="83"/>
        <v>0</v>
      </c>
    </row>
    <row r="247" spans="1:59" x14ac:dyDescent="0.2">
      <c r="A247" s="2" t="s">
        <v>144</v>
      </c>
      <c r="B247" s="2" t="str">
        <f>VLOOKUP($A247,'[1]daily coal, energy reqd'!$C$2:$T$599,17,FALSE)</f>
        <v>Maharashtra</v>
      </c>
      <c r="C247" s="2" t="str">
        <f>VLOOKUP(B247,'Target PLF'!$I$2:$J$19,2,FALSE)</f>
        <v>WR</v>
      </c>
      <c r="D247" s="2" t="s">
        <v>571</v>
      </c>
      <c r="E247" s="2" t="s">
        <v>543</v>
      </c>
      <c r="F247" s="12">
        <v>7.1759069130732298</v>
      </c>
      <c r="G247" s="2">
        <v>500</v>
      </c>
      <c r="H247">
        <f>VLOOKUP(A247,'Coal savings'!$A$3:$AB$543,26,FALSE)</f>
        <v>2432888.9774169247</v>
      </c>
      <c r="I247" t="s">
        <v>694</v>
      </c>
      <c r="J247">
        <f>1314.75/2</f>
        <v>657.375</v>
      </c>
      <c r="O247" s="2" t="s">
        <v>144</v>
      </c>
      <c r="Q247" s="96"/>
      <c r="R247" s="96"/>
      <c r="S247" s="96"/>
      <c r="T247" s="96"/>
      <c r="U247" s="96"/>
      <c r="V247" s="96"/>
      <c r="AH247" s="2" t="str">
        <f t="shared" si="86"/>
        <v>2019</v>
      </c>
      <c r="AI247" s="2">
        <f>(J247)/(1+0.115)^(AH247-2016)</f>
        <v>474.22951680620167</v>
      </c>
      <c r="AJ247" s="2">
        <f t="shared" si="67"/>
        <v>0.94845903361240336</v>
      </c>
      <c r="AK247" s="12">
        <f t="shared" si="68"/>
        <v>3.1759069130732298</v>
      </c>
      <c r="AL247" s="2" t="s">
        <v>571</v>
      </c>
      <c r="AM247" s="2" t="str">
        <f>VLOOKUP(A247,'[12]Power plant names'!$C$2:$F$545,4,FALSE)</f>
        <v>Sub critical</v>
      </c>
      <c r="AN247" s="2">
        <v>500</v>
      </c>
      <c r="AO247" s="2">
        <f t="shared" si="69"/>
        <v>0.94845903361240336</v>
      </c>
      <c r="AP247" s="2">
        <v>500</v>
      </c>
      <c r="AQ247" s="2">
        <f t="shared" si="70"/>
        <v>0</v>
      </c>
      <c r="AR247" s="2">
        <f t="shared" si="71"/>
        <v>474.22951680620167</v>
      </c>
      <c r="AS247" s="2">
        <f t="shared" si="72"/>
        <v>0</v>
      </c>
      <c r="AU247" s="2">
        <f t="shared" si="73"/>
        <v>657.375</v>
      </c>
      <c r="AV247" s="2">
        <f t="shared" si="74"/>
        <v>1.3147500000000001</v>
      </c>
      <c r="AW247" s="12">
        <f t="shared" si="75"/>
        <v>6.1759069130732298</v>
      </c>
      <c r="AX247" s="2">
        <v>500</v>
      </c>
      <c r="AY247" s="3">
        <f t="shared" si="76"/>
        <v>1.3147500000000001</v>
      </c>
      <c r="AZ247" s="2">
        <f t="shared" si="77"/>
        <v>657.375</v>
      </c>
      <c r="BA247" s="2">
        <f t="shared" si="78"/>
        <v>0</v>
      </c>
      <c r="BC247">
        <f t="shared" si="79"/>
        <v>732.97312499999998</v>
      </c>
      <c r="BD247">
        <f t="shared" si="80"/>
        <v>1.46594625</v>
      </c>
      <c r="BE247">
        <f t="shared" si="81"/>
        <v>1.46594625</v>
      </c>
      <c r="BF247">
        <f t="shared" si="82"/>
        <v>732.97312499999998</v>
      </c>
      <c r="BG247">
        <f t="shared" si="83"/>
        <v>0</v>
      </c>
    </row>
    <row r="248" spans="1:59" x14ac:dyDescent="0.2">
      <c r="A248" s="2" t="s">
        <v>43</v>
      </c>
      <c r="B248" s="2" t="str">
        <f>VLOOKUP($A248,'[1]daily coal, energy reqd'!$C$2:$T$599,17,FALSE)</f>
        <v>Maharashtra</v>
      </c>
      <c r="C248" s="2" t="str">
        <f>VLOOKUP(B248,'Target PLF'!$I$2:$J$19,2,FALSE)</f>
        <v>WR</v>
      </c>
      <c r="D248" s="2" t="s">
        <v>571</v>
      </c>
      <c r="E248" s="2" t="s">
        <v>542</v>
      </c>
      <c r="F248" s="12">
        <v>4.1752224503764497</v>
      </c>
      <c r="G248" s="2">
        <v>660</v>
      </c>
      <c r="H248">
        <f>VLOOKUP(A248,'Coal savings'!$A$3:$AB$543,26,FALSE)</f>
        <v>3010607.3713739021</v>
      </c>
      <c r="O248" s="2" t="s">
        <v>43</v>
      </c>
      <c r="Q248" s="96"/>
      <c r="R248" s="96"/>
      <c r="S248" s="96"/>
      <c r="T248" s="96">
        <v>14.46</v>
      </c>
      <c r="U248" s="96" t="s">
        <v>681</v>
      </c>
      <c r="V248" s="96"/>
      <c r="AH248" s="2" t="str">
        <f t="shared" si="86"/>
        <v/>
      </c>
      <c r="AI248" s="2"/>
      <c r="AJ248" s="2" t="str">
        <f t="shared" si="67"/>
        <v/>
      </c>
      <c r="AK248" s="12">
        <f t="shared" si="68"/>
        <v>0.17522245037644968</v>
      </c>
      <c r="AL248" s="2" t="s">
        <v>571</v>
      </c>
      <c r="AM248" s="2" t="str">
        <f>VLOOKUP(A248,'[12]Power plant names'!$C$2:$F$545,4,FALSE)</f>
        <v>Super critical</v>
      </c>
      <c r="AN248" s="2">
        <v>660</v>
      </c>
      <c r="AO248" s="2">
        <f t="shared" si="69"/>
        <v>0.78082418781656415</v>
      </c>
      <c r="AP248" s="2">
        <v>660</v>
      </c>
      <c r="AQ248" s="2">
        <f t="shared" si="70"/>
        <v>0</v>
      </c>
      <c r="AR248" s="2">
        <f t="shared" si="71"/>
        <v>515.34396395893236</v>
      </c>
      <c r="AS248" s="2">
        <f t="shared" si="72"/>
        <v>0</v>
      </c>
      <c r="AU248" s="2"/>
      <c r="AV248" s="2" t="str">
        <f t="shared" si="74"/>
        <v/>
      </c>
      <c r="AW248" s="12">
        <f t="shared" si="75"/>
        <v>4.1752224503764497</v>
      </c>
      <c r="AX248" s="2">
        <v>660</v>
      </c>
      <c r="AY248" s="3">
        <f t="shared" si="76"/>
        <v>0.97405261396303922</v>
      </c>
      <c r="AZ248" s="2">
        <f t="shared" si="77"/>
        <v>642.87472521560585</v>
      </c>
      <c r="BA248" s="2">
        <f t="shared" si="78"/>
        <v>0</v>
      </c>
      <c r="BC248" t="str">
        <f t="shared" si="79"/>
        <v/>
      </c>
      <c r="BE248">
        <f t="shared" si="81"/>
        <v>1.0815555995893225</v>
      </c>
      <c r="BF248">
        <f t="shared" si="82"/>
        <v>713.82669572895281</v>
      </c>
      <c r="BG248">
        <f t="shared" si="83"/>
        <v>0</v>
      </c>
    </row>
    <row r="249" spans="1:59" x14ac:dyDescent="0.2">
      <c r="A249" s="2" t="s">
        <v>33</v>
      </c>
      <c r="B249" s="2" t="str">
        <f>VLOOKUP($A249,'[1]daily coal, energy reqd'!$C$2:$T$599,17,FALSE)</f>
        <v>Maharashtra</v>
      </c>
      <c r="C249" s="2" t="str">
        <f>VLOOKUP(B249,'Target PLF'!$I$2:$J$19,2,FALSE)</f>
        <v>WR</v>
      </c>
      <c r="D249" s="2" t="s">
        <v>571</v>
      </c>
      <c r="E249" s="2" t="s">
        <v>542</v>
      </c>
      <c r="F249" s="12">
        <v>3.1759069130732298</v>
      </c>
      <c r="G249" s="2">
        <v>660</v>
      </c>
      <c r="H249">
        <f>VLOOKUP(A249,'Coal savings'!$A$3:$AB$543,26,FALSE)</f>
        <v>3001643.5859895339</v>
      </c>
      <c r="O249" s="2" t="s">
        <v>33</v>
      </c>
      <c r="Q249" s="96"/>
      <c r="R249" s="96"/>
      <c r="S249" s="96"/>
      <c r="T249" s="96"/>
      <c r="U249" s="96"/>
      <c r="V249" s="96"/>
      <c r="AH249" s="2" t="str">
        <f t="shared" si="86"/>
        <v/>
      </c>
      <c r="AI249" s="2"/>
      <c r="AJ249" s="2" t="str">
        <f t="shared" si="67"/>
        <v/>
      </c>
      <c r="AK249" s="12">
        <f t="shared" si="68"/>
        <v>1</v>
      </c>
      <c r="AL249" s="2" t="s">
        <v>571</v>
      </c>
      <c r="AM249" s="2" t="str">
        <f>VLOOKUP(A249,'[12]Power plant names'!$C$2:$F$545,4,FALSE)</f>
        <v>Super critical</v>
      </c>
      <c r="AN249" s="2">
        <v>660</v>
      </c>
      <c r="AO249" s="2">
        <f t="shared" si="69"/>
        <v>0.76939640000000009</v>
      </c>
      <c r="AP249" s="2">
        <v>660</v>
      </c>
      <c r="AQ249" s="2">
        <f t="shared" si="70"/>
        <v>0</v>
      </c>
      <c r="AR249" s="2">
        <f t="shared" si="71"/>
        <v>507.80162400000006</v>
      </c>
      <c r="AS249" s="2">
        <f t="shared" si="72"/>
        <v>0</v>
      </c>
      <c r="AU249" s="2"/>
      <c r="AV249" s="2" t="str">
        <f t="shared" si="74"/>
        <v/>
      </c>
      <c r="AW249" s="12">
        <f t="shared" si="75"/>
        <v>3.1759069130732298</v>
      </c>
      <c r="AX249" s="2">
        <v>660</v>
      </c>
      <c r="AY249" s="3">
        <f t="shared" si="76"/>
        <v>0.99217250308008231</v>
      </c>
      <c r="AZ249" s="2">
        <f t="shared" si="77"/>
        <v>654.83385203285434</v>
      </c>
      <c r="BA249" s="2">
        <f t="shared" si="78"/>
        <v>0</v>
      </c>
      <c r="BC249" t="str">
        <f t="shared" si="79"/>
        <v/>
      </c>
      <c r="BE249">
        <f t="shared" si="81"/>
        <v>1.1030643675564682</v>
      </c>
      <c r="BF249">
        <f t="shared" si="82"/>
        <v>728.022482587269</v>
      </c>
      <c r="BG249">
        <f t="shared" si="83"/>
        <v>0</v>
      </c>
    </row>
    <row r="250" spans="1:59" ht="14.5" customHeight="1" x14ac:dyDescent="0.2">
      <c r="A250" s="2" t="s">
        <v>26</v>
      </c>
      <c r="B250" s="2" t="str">
        <f>VLOOKUP($A250,'[1]daily coal, energy reqd'!$C$2:$T$599,17,FALSE)</f>
        <v>Uttar Pradesh</v>
      </c>
      <c r="C250" s="2" t="str">
        <f>VLOOKUP(B250,'Target PLF'!$I$2:$J$19,2,FALSE)</f>
        <v>NR</v>
      </c>
      <c r="D250" s="2" t="s">
        <v>571</v>
      </c>
      <c r="E250" s="2" t="s">
        <v>542</v>
      </c>
      <c r="F250" s="13">
        <v>2.0917180013689198</v>
      </c>
      <c r="G250" s="2">
        <v>660</v>
      </c>
      <c r="H250">
        <f>VLOOKUP(A250,'Coal savings'!$A$3:$AB$543,26,FALSE)</f>
        <v>2982469.5941866124</v>
      </c>
      <c r="O250" s="2" t="s">
        <v>26</v>
      </c>
      <c r="AH250" s="2" t="str">
        <f t="shared" si="86"/>
        <v/>
      </c>
      <c r="AI250" s="2"/>
      <c r="AJ250" s="2" t="str">
        <f t="shared" si="67"/>
        <v/>
      </c>
      <c r="AK250" s="12">
        <f t="shared" si="68"/>
        <v>1</v>
      </c>
      <c r="AL250" s="2" t="s">
        <v>571</v>
      </c>
      <c r="AM250" s="2" t="str">
        <f>VLOOKUP(A250,'[12]Power plant names'!$C$2:$F$545,4,FALSE)</f>
        <v>Super critical</v>
      </c>
      <c r="AN250" s="2">
        <v>660</v>
      </c>
      <c r="AO250" s="2">
        <f t="shared" si="69"/>
        <v>0.76939640000000009</v>
      </c>
      <c r="AP250" s="2">
        <v>660</v>
      </c>
      <c r="AQ250" s="2">
        <f t="shared" si="70"/>
        <v>0</v>
      </c>
      <c r="AR250" s="2">
        <f t="shared" si="71"/>
        <v>507.80162400000006</v>
      </c>
      <c r="AS250" s="2">
        <f t="shared" si="72"/>
        <v>0</v>
      </c>
      <c r="AU250" s="2"/>
      <c r="AV250" s="2" t="str">
        <f t="shared" si="74"/>
        <v/>
      </c>
      <c r="AW250" s="12">
        <f t="shared" si="75"/>
        <v>2.0917180013689198</v>
      </c>
      <c r="AX250" s="2">
        <v>660</v>
      </c>
      <c r="AY250" s="3">
        <f t="shared" si="76"/>
        <v>1.0118313416837785</v>
      </c>
      <c r="AZ250" s="2">
        <f t="shared" si="77"/>
        <v>667.80868551129379</v>
      </c>
      <c r="BA250" s="2">
        <f t="shared" si="78"/>
        <v>0</v>
      </c>
      <c r="BC250" t="str">
        <f t="shared" si="79"/>
        <v/>
      </c>
      <c r="BE250">
        <f t="shared" si="81"/>
        <v>1.1263999075975359</v>
      </c>
      <c r="BF250">
        <f t="shared" si="82"/>
        <v>743.42393901437367</v>
      </c>
      <c r="BG250">
        <f t="shared" si="83"/>
        <v>0</v>
      </c>
    </row>
    <row r="251" spans="1:59" ht="14.5" hidden="1" customHeight="1" x14ac:dyDescent="0.2">
      <c r="A251" s="2" t="s">
        <v>393</v>
      </c>
      <c r="B251" s="2" t="str">
        <f>VLOOKUP($A251,'[1]daily coal, energy reqd'!$C$2:$T$599,17,FALSE)</f>
        <v>West Bengal</v>
      </c>
      <c r="C251" s="2" t="str">
        <f>VLOOKUP(B251,'Target PLF'!$I$2:$J$19,2,FALSE)</f>
        <v>ER</v>
      </c>
      <c r="D251" s="2" t="s">
        <v>571</v>
      </c>
      <c r="E251" s="2" t="s">
        <v>546</v>
      </c>
      <c r="F251" s="12">
        <v>24.175222450376399</v>
      </c>
      <c r="G251" s="2">
        <v>210</v>
      </c>
      <c r="H251">
        <f>VLOOKUP(A251,'Coal savings'!$A$3:$AB$543,26,FALSE)</f>
        <v>0</v>
      </c>
      <c r="I251" t="s">
        <v>694</v>
      </c>
      <c r="J251" s="37">
        <f>482.36/3</f>
        <v>160.78666666666666</v>
      </c>
      <c r="O251" s="2" t="s">
        <v>393</v>
      </c>
      <c r="T251" s="96">
        <v>87.5</v>
      </c>
      <c r="U251" s="96" t="s">
        <v>619</v>
      </c>
      <c r="V251" s="96"/>
      <c r="AH251" s="2" t="str">
        <f t="shared" si="86"/>
        <v>2019</v>
      </c>
      <c r="AI251" s="2">
        <f t="shared" ref="AI251:AI263" si="87">(J251)/(1+0.115)^(AH251-2016)</f>
        <v>115.99130365805385</v>
      </c>
      <c r="AJ251" s="2">
        <f t="shared" si="67"/>
        <v>0.55233954122882789</v>
      </c>
      <c r="AK251" s="12">
        <f t="shared" si="68"/>
        <v>20.175222450376399</v>
      </c>
      <c r="AL251" s="2" t="s">
        <v>571</v>
      </c>
      <c r="AM251" s="2" t="str">
        <f>VLOOKUP(A251,'[12]Power plant names'!$C$2:$F$545,4,FALSE)</f>
        <v>Sub critical</v>
      </c>
      <c r="AN251" s="2">
        <v>210</v>
      </c>
      <c r="AO251" s="2">
        <f t="shared" si="69"/>
        <v>0.55233954122882789</v>
      </c>
      <c r="AP251" s="2">
        <v>210</v>
      </c>
      <c r="AQ251" s="2">
        <f t="shared" si="70"/>
        <v>0</v>
      </c>
      <c r="AR251" s="2">
        <f t="shared" si="71"/>
        <v>115.99130365805385</v>
      </c>
      <c r="AS251" s="2">
        <f t="shared" si="72"/>
        <v>0</v>
      </c>
      <c r="AU251" s="2">
        <f t="shared" si="73"/>
        <v>160.78666666666666</v>
      </c>
      <c r="AV251" s="2">
        <f t="shared" si="74"/>
        <v>0.76565079365079358</v>
      </c>
      <c r="AW251" s="12">
        <f t="shared" si="75"/>
        <v>23.175222450376399</v>
      </c>
      <c r="AX251" s="2">
        <v>210</v>
      </c>
      <c r="AY251" s="3">
        <f t="shared" si="76"/>
        <v>0.76565079365079358</v>
      </c>
      <c r="AZ251" s="2">
        <f t="shared" si="77"/>
        <v>160.78666666666666</v>
      </c>
      <c r="BA251" s="2">
        <f t="shared" si="78"/>
        <v>0</v>
      </c>
      <c r="BC251">
        <f t="shared" si="79"/>
        <v>179.27713333333332</v>
      </c>
      <c r="BD251">
        <f t="shared" si="80"/>
        <v>0.85370063492063486</v>
      </c>
      <c r="BE251">
        <f t="shared" si="81"/>
        <v>0.85370063492063486</v>
      </c>
      <c r="BF251">
        <f t="shared" si="82"/>
        <v>179.27713333333332</v>
      </c>
      <c r="BG251">
        <f t="shared" si="83"/>
        <v>0</v>
      </c>
    </row>
    <row r="252" spans="1:59" ht="14.5" hidden="1" customHeight="1" x14ac:dyDescent="0.2">
      <c r="A252" s="2" t="s">
        <v>387</v>
      </c>
      <c r="B252" s="2" t="str">
        <f>VLOOKUP($A252,'[1]daily coal, energy reqd'!$C$2:$T$599,17,FALSE)</f>
        <v>West Bengal</v>
      </c>
      <c r="C252" s="2" t="str">
        <f>VLOOKUP(B252,'Target PLF'!$I$2:$J$19,2,FALSE)</f>
        <v>ER</v>
      </c>
      <c r="D252" s="2" t="s">
        <v>571</v>
      </c>
      <c r="E252" s="2" t="s">
        <v>546</v>
      </c>
      <c r="F252" s="12">
        <v>23.175906913073199</v>
      </c>
      <c r="G252" s="2">
        <v>210</v>
      </c>
      <c r="H252">
        <f>VLOOKUP(A252,'Coal savings'!$A$3:$AB$543,26,FALSE)</f>
        <v>0</v>
      </c>
      <c r="I252" t="s">
        <v>694</v>
      </c>
      <c r="J252" s="37">
        <f>482.36/3</f>
        <v>160.78666666666666</v>
      </c>
      <c r="O252" s="2" t="s">
        <v>387</v>
      </c>
      <c r="T252" s="96"/>
      <c r="U252" s="96"/>
      <c r="V252" s="96"/>
      <c r="AH252" s="2" t="str">
        <f t="shared" si="86"/>
        <v>2019</v>
      </c>
      <c r="AI252" s="2">
        <f t="shared" si="87"/>
        <v>115.99130365805385</v>
      </c>
      <c r="AJ252" s="2">
        <f t="shared" si="67"/>
        <v>0.55233954122882789</v>
      </c>
      <c r="AK252" s="12">
        <f t="shared" si="68"/>
        <v>19.175906913073199</v>
      </c>
      <c r="AL252" s="2" t="s">
        <v>571</v>
      </c>
      <c r="AM252" s="2" t="str">
        <f>VLOOKUP(A252,'[12]Power plant names'!$C$2:$F$545,4,FALSE)</f>
        <v>Sub critical</v>
      </c>
      <c r="AN252" s="2">
        <v>210</v>
      </c>
      <c r="AO252" s="2">
        <f t="shared" si="69"/>
        <v>0.55233954122882789</v>
      </c>
      <c r="AP252" s="2">
        <v>210</v>
      </c>
      <c r="AQ252" s="2">
        <f t="shared" si="70"/>
        <v>0</v>
      </c>
      <c r="AR252" s="2">
        <f t="shared" si="71"/>
        <v>115.99130365805385</v>
      </c>
      <c r="AS252" s="2">
        <f t="shared" si="72"/>
        <v>0</v>
      </c>
      <c r="AU252" s="2">
        <f t="shared" si="73"/>
        <v>160.78666666666666</v>
      </c>
      <c r="AV252" s="2">
        <f t="shared" si="74"/>
        <v>0.76565079365079358</v>
      </c>
      <c r="AW252" s="12">
        <f t="shared" si="75"/>
        <v>22.175906913073199</v>
      </c>
      <c r="AX252" s="2">
        <v>210</v>
      </c>
      <c r="AY252" s="3">
        <f t="shared" si="76"/>
        <v>0.76565079365079358</v>
      </c>
      <c r="AZ252" s="2">
        <f t="shared" si="77"/>
        <v>160.78666666666666</v>
      </c>
      <c r="BA252" s="2">
        <f t="shared" si="78"/>
        <v>0</v>
      </c>
      <c r="BC252">
        <f t="shared" si="79"/>
        <v>179.27713333333332</v>
      </c>
      <c r="BD252">
        <f t="shared" si="80"/>
        <v>0.85370063492063486</v>
      </c>
      <c r="BE252">
        <f t="shared" si="81"/>
        <v>0.85370063492063486</v>
      </c>
      <c r="BF252">
        <f t="shared" si="82"/>
        <v>179.27713333333332</v>
      </c>
      <c r="BG252">
        <f t="shared" si="83"/>
        <v>0</v>
      </c>
    </row>
    <row r="253" spans="1:59" ht="14.5" hidden="1" customHeight="1" x14ac:dyDescent="0.2">
      <c r="A253" s="2" t="s">
        <v>382</v>
      </c>
      <c r="B253" s="2" t="str">
        <f>VLOOKUP($A253,'[1]daily coal, energy reqd'!$C$2:$T$599,17,FALSE)</f>
        <v>West Bengal</v>
      </c>
      <c r="C253" s="2" t="str">
        <f>VLOOKUP(B253,'Target PLF'!$I$2:$J$19,2,FALSE)</f>
        <v>ER</v>
      </c>
      <c r="D253" s="2" t="s">
        <v>571</v>
      </c>
      <c r="E253" s="2" t="s">
        <v>546</v>
      </c>
      <c r="F253" s="12">
        <v>22.176591375769998</v>
      </c>
      <c r="G253" s="2">
        <v>210</v>
      </c>
      <c r="H253">
        <f>VLOOKUP(A253,'Coal savings'!$A$3:$AB$543,26,FALSE)</f>
        <v>0</v>
      </c>
      <c r="I253" t="s">
        <v>694</v>
      </c>
      <c r="J253" s="37">
        <f>482.36/3</f>
        <v>160.78666666666666</v>
      </c>
      <c r="O253" s="2" t="s">
        <v>382</v>
      </c>
      <c r="T253" s="96"/>
      <c r="U253" s="96"/>
      <c r="V253" s="96"/>
      <c r="AH253" s="2" t="str">
        <f t="shared" si="86"/>
        <v>2019</v>
      </c>
      <c r="AI253" s="2">
        <f t="shared" si="87"/>
        <v>115.99130365805385</v>
      </c>
      <c r="AJ253" s="2">
        <f t="shared" si="67"/>
        <v>0.55233954122882789</v>
      </c>
      <c r="AK253" s="12">
        <f t="shared" si="68"/>
        <v>18.176591375769998</v>
      </c>
      <c r="AL253" s="2" t="s">
        <v>571</v>
      </c>
      <c r="AM253" s="2" t="str">
        <f>VLOOKUP(A253,'[12]Power plant names'!$C$2:$F$545,4,FALSE)</f>
        <v>Sub critical</v>
      </c>
      <c r="AN253" s="2">
        <v>210</v>
      </c>
      <c r="AO253" s="2">
        <f t="shared" si="69"/>
        <v>0.55233954122882789</v>
      </c>
      <c r="AP253" s="2">
        <v>210</v>
      </c>
      <c r="AQ253" s="2">
        <f t="shared" si="70"/>
        <v>0</v>
      </c>
      <c r="AR253" s="2">
        <f t="shared" si="71"/>
        <v>115.99130365805385</v>
      </c>
      <c r="AS253" s="2">
        <f t="shared" si="72"/>
        <v>0</v>
      </c>
      <c r="AU253" s="2">
        <f t="shared" si="73"/>
        <v>160.78666666666666</v>
      </c>
      <c r="AV253" s="2">
        <f t="shared" si="74"/>
        <v>0.76565079365079358</v>
      </c>
      <c r="AW253" s="12">
        <f t="shared" si="75"/>
        <v>21.176591375769998</v>
      </c>
      <c r="AX253" s="2">
        <v>210</v>
      </c>
      <c r="AY253" s="3">
        <f t="shared" si="76"/>
        <v>0.76565079365079358</v>
      </c>
      <c r="AZ253" s="2">
        <f t="shared" si="77"/>
        <v>160.78666666666666</v>
      </c>
      <c r="BA253" s="2">
        <f t="shared" si="78"/>
        <v>0</v>
      </c>
      <c r="BC253">
        <f t="shared" si="79"/>
        <v>179.27713333333332</v>
      </c>
      <c r="BD253">
        <f t="shared" si="80"/>
        <v>0.85370063492063486</v>
      </c>
      <c r="BE253">
        <f t="shared" si="81"/>
        <v>0.85370063492063486</v>
      </c>
      <c r="BF253">
        <f t="shared" si="82"/>
        <v>179.27713333333332</v>
      </c>
      <c r="BG253">
        <f t="shared" si="83"/>
        <v>0</v>
      </c>
    </row>
    <row r="254" spans="1:59" ht="14.5" hidden="1" customHeight="1" x14ac:dyDescent="0.2">
      <c r="A254" s="2" t="s">
        <v>337</v>
      </c>
      <c r="B254" s="2" t="str">
        <f>VLOOKUP($A254,'[1]daily coal, energy reqd'!$C$2:$T$599,17,FALSE)</f>
        <v>West Bengal</v>
      </c>
      <c r="C254" s="2" t="str">
        <f>VLOOKUP(B254,'Target PLF'!$I$2:$J$19,2,FALSE)</f>
        <v>ER</v>
      </c>
      <c r="D254" s="2" t="s">
        <v>571</v>
      </c>
      <c r="E254" s="2" t="s">
        <v>545</v>
      </c>
      <c r="F254" s="12">
        <v>15.589322381930099</v>
      </c>
      <c r="G254" s="2">
        <v>210</v>
      </c>
      <c r="H254">
        <f>VLOOKUP(A254,'Coal savings'!$A$3:$AB$543,26,FALSE)</f>
        <v>0</v>
      </c>
      <c r="I254" t="s">
        <v>694</v>
      </c>
      <c r="J254" s="37">
        <v>168.03</v>
      </c>
      <c r="O254" s="2" t="s">
        <v>337</v>
      </c>
      <c r="T254" s="96"/>
      <c r="U254" s="96"/>
      <c r="V254" s="96"/>
      <c r="AH254" s="2" t="str">
        <f t="shared" si="86"/>
        <v>2019</v>
      </c>
      <c r="AI254" s="2">
        <f t="shared" si="87"/>
        <v>121.21663541957949</v>
      </c>
      <c r="AJ254" s="2">
        <f t="shared" si="67"/>
        <v>0.57722207342656895</v>
      </c>
      <c r="AK254" s="12">
        <f t="shared" si="68"/>
        <v>11.589322381930099</v>
      </c>
      <c r="AL254" s="2" t="s">
        <v>571</v>
      </c>
      <c r="AM254" s="2" t="str">
        <f>VLOOKUP(A254,'[12]Power plant names'!$C$2:$F$545,4,FALSE)</f>
        <v>Sub critical</v>
      </c>
      <c r="AN254" s="2">
        <v>210</v>
      </c>
      <c r="AO254" s="2">
        <f t="shared" si="69"/>
        <v>0.57722207342656895</v>
      </c>
      <c r="AP254" s="2">
        <v>210</v>
      </c>
      <c r="AQ254" s="2">
        <f t="shared" si="70"/>
        <v>0</v>
      </c>
      <c r="AR254" s="2">
        <f t="shared" si="71"/>
        <v>121.21663541957948</v>
      </c>
      <c r="AS254" s="2">
        <f t="shared" si="72"/>
        <v>0</v>
      </c>
      <c r="AU254" s="2">
        <f t="shared" si="73"/>
        <v>168.03</v>
      </c>
      <c r="AV254" s="2">
        <f t="shared" si="74"/>
        <v>0.80014285714285716</v>
      </c>
      <c r="AW254" s="12">
        <f t="shared" si="75"/>
        <v>14.589322381930099</v>
      </c>
      <c r="AX254" s="2">
        <v>210</v>
      </c>
      <c r="AY254" s="3">
        <f t="shared" si="76"/>
        <v>0.80014285714285716</v>
      </c>
      <c r="AZ254" s="2">
        <f t="shared" si="77"/>
        <v>168.03</v>
      </c>
      <c r="BA254" s="2">
        <f t="shared" si="78"/>
        <v>0</v>
      </c>
      <c r="BC254">
        <f t="shared" si="79"/>
        <v>187.35345000000001</v>
      </c>
      <c r="BD254">
        <f t="shared" si="80"/>
        <v>0.89215928571428571</v>
      </c>
      <c r="BE254">
        <f t="shared" si="81"/>
        <v>0.89215928571428571</v>
      </c>
      <c r="BF254">
        <f t="shared" si="82"/>
        <v>187.35345000000001</v>
      </c>
      <c r="BG254">
        <f t="shared" si="83"/>
        <v>0</v>
      </c>
    </row>
    <row r="255" spans="1:59" ht="14.5" hidden="1" customHeight="1" x14ac:dyDescent="0.2">
      <c r="A255" s="2" t="s">
        <v>299</v>
      </c>
      <c r="B255" s="2" t="str">
        <f>VLOOKUP($A255,'[1]daily coal, energy reqd'!$C$2:$T$599,17,FALSE)</f>
        <v>West Bengal</v>
      </c>
      <c r="C255" s="2" t="str">
        <f>VLOOKUP(B255,'Target PLF'!$I$2:$J$19,2,FALSE)</f>
        <v>ER</v>
      </c>
      <c r="D255" s="2" t="s">
        <v>571</v>
      </c>
      <c r="E255" s="2" t="s">
        <v>544</v>
      </c>
      <c r="F255" s="12">
        <v>12.5913757700205</v>
      </c>
      <c r="G255" s="2">
        <v>250</v>
      </c>
      <c r="H255">
        <f>VLOOKUP(A255,'Coal savings'!$A$3:$AB$543,26,FALSE)</f>
        <v>0</v>
      </c>
      <c r="I255" t="s">
        <v>694</v>
      </c>
      <c r="J255">
        <f>590.14/2</f>
        <v>295.07</v>
      </c>
      <c r="O255" s="2" t="s">
        <v>299</v>
      </c>
      <c r="T255" s="96"/>
      <c r="U255" s="96"/>
      <c r="V255" s="96"/>
      <c r="AH255" s="2" t="str">
        <f t="shared" si="86"/>
        <v>2019</v>
      </c>
      <c r="AI255" s="2">
        <f t="shared" si="87"/>
        <v>212.86313523332333</v>
      </c>
      <c r="AJ255" s="2">
        <f t="shared" si="67"/>
        <v>0.85145254093329337</v>
      </c>
      <c r="AK255" s="12">
        <f t="shared" si="68"/>
        <v>8.5913757700205</v>
      </c>
      <c r="AL255" s="2" t="s">
        <v>571</v>
      </c>
      <c r="AM255" s="2" t="str">
        <f>VLOOKUP(A255,'[12]Power plant names'!$C$2:$F$545,4,FALSE)</f>
        <v>Sub critical</v>
      </c>
      <c r="AN255" s="2">
        <v>250</v>
      </c>
      <c r="AO255" s="2">
        <f t="shared" si="69"/>
        <v>0.85145254093329337</v>
      </c>
      <c r="AP255" s="2">
        <v>250</v>
      </c>
      <c r="AQ255" s="2">
        <f t="shared" si="70"/>
        <v>0</v>
      </c>
      <c r="AR255" s="2">
        <f t="shared" si="71"/>
        <v>212.86313523332333</v>
      </c>
      <c r="AS255" s="2">
        <f t="shared" si="72"/>
        <v>0</v>
      </c>
      <c r="AU255" s="2">
        <f t="shared" si="73"/>
        <v>295.07</v>
      </c>
      <c r="AV255" s="2">
        <f t="shared" si="74"/>
        <v>1.18028</v>
      </c>
      <c r="AW255" s="12">
        <f t="shared" si="75"/>
        <v>11.5913757700205</v>
      </c>
      <c r="AX255" s="2">
        <v>250</v>
      </c>
      <c r="AY255" s="3">
        <f t="shared" si="76"/>
        <v>1.18028</v>
      </c>
      <c r="AZ255" s="2">
        <f t="shared" si="77"/>
        <v>295.07</v>
      </c>
      <c r="BA255" s="2">
        <f t="shared" si="78"/>
        <v>0</v>
      </c>
      <c r="BC255">
        <f t="shared" si="79"/>
        <v>329.00304999999997</v>
      </c>
      <c r="BD255">
        <f t="shared" si="80"/>
        <v>1.3160121999999999</v>
      </c>
      <c r="BE255">
        <f t="shared" si="81"/>
        <v>1.3160121999999999</v>
      </c>
      <c r="BF255">
        <f t="shared" si="82"/>
        <v>329.00304999999997</v>
      </c>
      <c r="BG255">
        <f t="shared" si="83"/>
        <v>0</v>
      </c>
    </row>
    <row r="256" spans="1:59" ht="14.5" hidden="1" customHeight="1" x14ac:dyDescent="0.2">
      <c r="A256" s="2" t="s">
        <v>307</v>
      </c>
      <c r="B256" s="2" t="str">
        <f>VLOOKUP($A256,'[1]daily coal, energy reqd'!$C$2:$T$599,17,FALSE)</f>
        <v>West Bengal</v>
      </c>
      <c r="C256" s="2" t="str">
        <f>VLOOKUP(B256,'Target PLF'!$I$2:$J$19,2,FALSE)</f>
        <v>ER</v>
      </c>
      <c r="D256" s="2" t="s">
        <v>571</v>
      </c>
      <c r="E256" s="2" t="s">
        <v>544</v>
      </c>
      <c r="F256" s="12">
        <v>13.1772758384668</v>
      </c>
      <c r="G256" s="2">
        <v>250</v>
      </c>
      <c r="H256">
        <f>VLOOKUP(A256,'Coal savings'!$A$3:$AB$543,26,FALSE)</f>
        <v>0</v>
      </c>
      <c r="I256" t="s">
        <v>694</v>
      </c>
      <c r="J256">
        <f>590.14/2</f>
        <v>295.07</v>
      </c>
      <c r="O256" s="2" t="s">
        <v>307</v>
      </c>
      <c r="P256">
        <v>2019</v>
      </c>
      <c r="Q256">
        <v>53.69</v>
      </c>
      <c r="R256" t="s">
        <v>678</v>
      </c>
      <c r="S256">
        <v>57.5</v>
      </c>
      <c r="T256" s="96"/>
      <c r="U256" s="96"/>
      <c r="V256" s="96"/>
      <c r="AH256" s="2" t="str">
        <f t="shared" si="86"/>
        <v>2019</v>
      </c>
      <c r="AI256" s="2">
        <f t="shared" si="87"/>
        <v>212.86313523332333</v>
      </c>
      <c r="AJ256" s="2">
        <f t="shared" si="67"/>
        <v>0.85145254093329337</v>
      </c>
      <c r="AK256" s="12">
        <f t="shared" si="68"/>
        <v>9.1772758384667998</v>
      </c>
      <c r="AL256" s="2" t="s">
        <v>571</v>
      </c>
      <c r="AM256" s="2" t="str">
        <f>VLOOKUP(A256,'[12]Power plant names'!$C$2:$F$545,4,FALSE)</f>
        <v>Sub critical</v>
      </c>
      <c r="AN256" s="2">
        <v>250</v>
      </c>
      <c r="AO256" s="2">
        <f t="shared" si="69"/>
        <v>0.85145254093329337</v>
      </c>
      <c r="AP256" s="2">
        <v>250</v>
      </c>
      <c r="AQ256" s="2">
        <f t="shared" si="70"/>
        <v>0</v>
      </c>
      <c r="AR256" s="2">
        <f t="shared" si="71"/>
        <v>212.86313523332333</v>
      </c>
      <c r="AS256" s="2">
        <f t="shared" si="72"/>
        <v>0</v>
      </c>
      <c r="AU256" s="2">
        <f t="shared" si="73"/>
        <v>295.07</v>
      </c>
      <c r="AV256" s="2">
        <f t="shared" si="74"/>
        <v>1.18028</v>
      </c>
      <c r="AW256" s="12">
        <f t="shared" si="75"/>
        <v>12.1772758384668</v>
      </c>
      <c r="AX256" s="2">
        <v>250</v>
      </c>
      <c r="AY256" s="3">
        <f t="shared" si="76"/>
        <v>1.18028</v>
      </c>
      <c r="AZ256" s="2">
        <f t="shared" si="77"/>
        <v>295.07</v>
      </c>
      <c r="BA256" s="2">
        <f t="shared" si="78"/>
        <v>0</v>
      </c>
      <c r="BC256">
        <f t="shared" si="79"/>
        <v>329.00304999999997</v>
      </c>
      <c r="BD256">
        <f t="shared" si="80"/>
        <v>1.3160121999999999</v>
      </c>
      <c r="BE256">
        <f t="shared" si="81"/>
        <v>1.3160121999999999</v>
      </c>
      <c r="BF256">
        <f t="shared" si="82"/>
        <v>329.00304999999997</v>
      </c>
      <c r="BG256">
        <f t="shared" si="83"/>
        <v>0</v>
      </c>
    </row>
    <row r="257" spans="1:59" ht="14.5" customHeight="1" x14ac:dyDescent="0.2">
      <c r="A257" s="2" t="s">
        <v>168</v>
      </c>
      <c r="B257" s="2" t="str">
        <f>VLOOKUP($A257,'[1]daily coal, energy reqd'!$C$2:$T$599,17,FALSE)</f>
        <v>West Bengal</v>
      </c>
      <c r="C257" s="2" t="str">
        <f>VLOOKUP(B257,'Target PLF'!$I$2:$J$19,2,FALSE)</f>
        <v>ER</v>
      </c>
      <c r="D257" s="2" t="s">
        <v>571</v>
      </c>
      <c r="E257" s="2" t="s">
        <v>543</v>
      </c>
      <c r="F257" s="12">
        <v>9.6728268309377103</v>
      </c>
      <c r="G257" s="2">
        <v>500</v>
      </c>
      <c r="H257">
        <f>VLOOKUP(A257,'Coal savings'!$A$3:$AB$543,26,FALSE)</f>
        <v>2227141.6045796061</v>
      </c>
      <c r="I257" t="s">
        <v>694</v>
      </c>
      <c r="J257">
        <f>1222.24/2</f>
        <v>611.12</v>
      </c>
      <c r="O257" s="2" t="s">
        <v>168</v>
      </c>
      <c r="P257">
        <v>2019</v>
      </c>
      <c r="Q257">
        <v>121.29</v>
      </c>
      <c r="R257" t="s">
        <v>678</v>
      </c>
      <c r="S257">
        <v>119</v>
      </c>
      <c r="T257" s="96"/>
      <c r="U257" s="96"/>
      <c r="V257" s="96"/>
      <c r="AH257" s="2" t="str">
        <f t="shared" si="86"/>
        <v>2019</v>
      </c>
      <c r="AI257" s="2">
        <f t="shared" si="87"/>
        <v>440.86121667329297</v>
      </c>
      <c r="AJ257" s="2">
        <f t="shared" si="67"/>
        <v>0.88172243334658595</v>
      </c>
      <c r="AK257" s="12">
        <f t="shared" si="68"/>
        <v>5.6728268309377103</v>
      </c>
      <c r="AL257" s="2" t="s">
        <v>571</v>
      </c>
      <c r="AM257" s="2" t="str">
        <f>VLOOKUP(A257,'[12]Power plant names'!$C$2:$F$545,4,FALSE)</f>
        <v>Sub critical</v>
      </c>
      <c r="AN257" s="2">
        <v>500</v>
      </c>
      <c r="AO257" s="2">
        <f t="shared" si="69"/>
        <v>0.88172243334658595</v>
      </c>
      <c r="AP257" s="2"/>
      <c r="AQ257" s="2">
        <f t="shared" si="70"/>
        <v>500</v>
      </c>
      <c r="AR257" s="2">
        <f t="shared" si="71"/>
        <v>0</v>
      </c>
      <c r="AS257" s="2">
        <f t="shared" si="72"/>
        <v>440.86121667329297</v>
      </c>
      <c r="AU257" s="2">
        <f t="shared" si="73"/>
        <v>611.12</v>
      </c>
      <c r="AV257" s="2">
        <f t="shared" si="74"/>
        <v>1.22224</v>
      </c>
      <c r="AW257" s="12">
        <f t="shared" si="75"/>
        <v>8.6728268309377103</v>
      </c>
      <c r="AX257" s="2">
        <v>500</v>
      </c>
      <c r="AY257" s="3">
        <f t="shared" si="76"/>
        <v>1.22224</v>
      </c>
      <c r="AZ257" s="2">
        <f t="shared" si="77"/>
        <v>0</v>
      </c>
      <c r="BA257" s="2">
        <f t="shared" si="78"/>
        <v>611.12</v>
      </c>
      <c r="BC257">
        <f t="shared" si="79"/>
        <v>681.39880000000005</v>
      </c>
      <c r="BD257">
        <f t="shared" si="80"/>
        <v>1.3627976000000002</v>
      </c>
      <c r="BE257">
        <f t="shared" si="81"/>
        <v>1.3627976000000002</v>
      </c>
      <c r="BF257">
        <f t="shared" si="82"/>
        <v>0</v>
      </c>
      <c r="BG257">
        <f t="shared" si="83"/>
        <v>681.39880000000005</v>
      </c>
    </row>
    <row r="258" spans="1:59" ht="14.5" customHeight="1" x14ac:dyDescent="0.2">
      <c r="A258" s="2" t="s">
        <v>164</v>
      </c>
      <c r="B258" s="2" t="str">
        <f>VLOOKUP($A258,'[1]daily coal, energy reqd'!$C$2:$T$599,17,FALSE)</f>
        <v>West Bengal</v>
      </c>
      <c r="C258" s="2" t="str">
        <f>VLOOKUP(B258,'Target PLF'!$I$2:$J$19,2,FALSE)</f>
        <v>ER</v>
      </c>
      <c r="D258" s="2" t="s">
        <v>571</v>
      </c>
      <c r="E258" s="2" t="s">
        <v>543</v>
      </c>
      <c r="F258" s="12">
        <v>9.1772758384667998</v>
      </c>
      <c r="G258" s="2">
        <v>500</v>
      </c>
      <c r="H258">
        <f>VLOOKUP(A258,'Coal savings'!$A$3:$AB$543,26,FALSE)</f>
        <v>2224072.8276783675</v>
      </c>
      <c r="I258" t="s">
        <v>694</v>
      </c>
      <c r="J258">
        <f>1222.24/2</f>
        <v>611.12</v>
      </c>
      <c r="O258" s="2" t="s">
        <v>164</v>
      </c>
      <c r="T258" s="96"/>
      <c r="U258" s="96"/>
      <c r="V258" s="96"/>
      <c r="AH258" s="2" t="str">
        <f t="shared" si="86"/>
        <v>2019</v>
      </c>
      <c r="AI258" s="2">
        <f t="shared" si="87"/>
        <v>440.86121667329297</v>
      </c>
      <c r="AJ258" s="2">
        <f t="shared" ref="AJ258:AJ321" si="88">IF(AI258/G258=0,"",AI258/G258)</f>
        <v>0.88172243334658595</v>
      </c>
      <c r="AK258" s="12">
        <f t="shared" ref="AK258:AK321" si="89">IF(F258-4&lt;0,1,F258-4)</f>
        <v>5.1772758384667998</v>
      </c>
      <c r="AL258" s="2" t="s">
        <v>571</v>
      </c>
      <c r="AM258" s="2" t="str">
        <f>VLOOKUP(A258,'[12]Power plant names'!$C$2:$F$545,4,FALSE)</f>
        <v>Sub critical</v>
      </c>
      <c r="AN258" s="2">
        <v>500</v>
      </c>
      <c r="AO258" s="2">
        <f t="shared" si="69"/>
        <v>0.88172243334658595</v>
      </c>
      <c r="AP258" s="2"/>
      <c r="AQ258" s="2">
        <f t="shared" si="70"/>
        <v>500</v>
      </c>
      <c r="AR258" s="2">
        <f t="shared" si="71"/>
        <v>0</v>
      </c>
      <c r="AS258" s="2">
        <f t="shared" si="72"/>
        <v>440.86121667329297</v>
      </c>
      <c r="AU258" s="2">
        <f t="shared" si="73"/>
        <v>611.12</v>
      </c>
      <c r="AV258" s="2">
        <f t="shared" si="74"/>
        <v>1.22224</v>
      </c>
      <c r="AW258" s="12">
        <f t="shared" si="75"/>
        <v>8.1772758384667998</v>
      </c>
      <c r="AX258" s="2">
        <v>500</v>
      </c>
      <c r="AY258" s="3">
        <f t="shared" si="76"/>
        <v>1.22224</v>
      </c>
      <c r="AZ258" s="2">
        <f t="shared" si="77"/>
        <v>0</v>
      </c>
      <c r="BA258" s="2">
        <f t="shared" si="78"/>
        <v>611.12</v>
      </c>
      <c r="BC258">
        <f t="shared" si="79"/>
        <v>681.39880000000005</v>
      </c>
      <c r="BD258">
        <f t="shared" si="80"/>
        <v>1.3627976000000002</v>
      </c>
      <c r="BE258">
        <f t="shared" si="81"/>
        <v>1.3627976000000002</v>
      </c>
      <c r="BF258">
        <f t="shared" si="82"/>
        <v>0</v>
      </c>
      <c r="BG258">
        <f t="shared" si="83"/>
        <v>681.39880000000005</v>
      </c>
    </row>
    <row r="259" spans="1:59" ht="14.5" customHeight="1" x14ac:dyDescent="0.2">
      <c r="A259" s="2" t="s">
        <v>115</v>
      </c>
      <c r="B259" s="2" t="str">
        <f>VLOOKUP($A259,'[1]daily coal, energy reqd'!$C$2:$T$599,17,FALSE)</f>
        <v>Tamil Nadu</v>
      </c>
      <c r="C259" s="2" t="str">
        <f>VLOOKUP(B259,'Target PLF'!$I$2:$J$19,2,FALSE)</f>
        <v>SR</v>
      </c>
      <c r="D259" s="2" t="s">
        <v>570</v>
      </c>
      <c r="E259" s="2" t="s">
        <v>543</v>
      </c>
      <c r="F259" s="12">
        <v>7.5893223819301801</v>
      </c>
      <c r="G259" s="2">
        <v>600</v>
      </c>
      <c r="H259">
        <f>VLOOKUP(A259,'Coal savings'!$A$3:$AB$543,26,FALSE)</f>
        <v>2820600.332544548</v>
      </c>
      <c r="I259" t="s">
        <v>694</v>
      </c>
      <c r="J259">
        <v>447.46</v>
      </c>
      <c r="O259" s="2" t="s">
        <v>115</v>
      </c>
      <c r="AH259" s="2" t="str">
        <f t="shared" si="86"/>
        <v>2019</v>
      </c>
      <c r="AI259" s="2">
        <f t="shared" si="87"/>
        <v>322.79709388112263</v>
      </c>
      <c r="AJ259" s="2">
        <f t="shared" si="88"/>
        <v>0.53799515646853768</v>
      </c>
      <c r="AK259" s="12">
        <f t="shared" si="89"/>
        <v>3.5893223819301801</v>
      </c>
      <c r="AL259" s="2" t="s">
        <v>570</v>
      </c>
      <c r="AM259" s="2" t="str">
        <f>VLOOKUP(A259,'[12]Power plant names'!$C$2:$F$545,4,FALSE)</f>
        <v>Sub critical</v>
      </c>
      <c r="AN259" s="2">
        <v>600</v>
      </c>
      <c r="AO259" s="2">
        <f t="shared" ref="AO259:AO322" si="90">IF(AJ259="",((-0.0138556*AK259)+(-0.0004519*AN259)+1.081506),AJ259)</f>
        <v>0.53799515646853768</v>
      </c>
      <c r="AP259" s="2">
        <v>600</v>
      </c>
      <c r="AQ259" s="2">
        <f t="shared" ref="AQ259:AQ322" si="91">G259-AP259</f>
        <v>0</v>
      </c>
      <c r="AR259" s="2">
        <f t="shared" ref="AR259:AR322" si="92">AP259*AO259</f>
        <v>322.79709388112263</v>
      </c>
      <c r="AS259" s="2">
        <f t="shared" ref="AS259:AS322" si="93">AQ259*AO259</f>
        <v>0</v>
      </c>
      <c r="AU259" s="2">
        <f t="shared" ref="AU259:AU309" si="94">AI259*(1.115)^(AH259-2016)</f>
        <v>447.46</v>
      </c>
      <c r="AV259" s="2">
        <f t="shared" ref="AV259:AV322" si="95">IF(AU259/AN259=0,"",AU259/AN259)</f>
        <v>0.74576666666666658</v>
      </c>
      <c r="AW259" s="12">
        <f t="shared" ref="AW259:AW322" si="96">(F259-IF(AH259="",0,(2020-AH259)))</f>
        <v>6.5893223819301801</v>
      </c>
      <c r="AX259" s="2">
        <v>600</v>
      </c>
      <c r="AY259" s="3">
        <f t="shared" ref="AY259:AY322" si="97">IF(AV259="",(( -0.0181323 *AW259)+(-0.0005584 *AN259)+  1.418303),AV259)</f>
        <v>0.74576666666666658</v>
      </c>
      <c r="AZ259" s="2">
        <f t="shared" ref="AZ259:AZ322" si="98">AY259*AP259</f>
        <v>447.45999999999992</v>
      </c>
      <c r="BA259" s="2">
        <f t="shared" ref="BA259:BA322" si="99">AY259*AQ259</f>
        <v>0</v>
      </c>
      <c r="BC259">
        <f t="shared" ref="BC259:BC322" si="100">IF(AU259="","",(AU259)*(1+0.115)^(2020-AH259))</f>
        <v>498.91789999999997</v>
      </c>
      <c r="BD259">
        <f t="shared" ref="BD259:BD309" si="101">BC259/AN259</f>
        <v>0.8315298333333333</v>
      </c>
      <c r="BE259">
        <f t="shared" ref="BE259:BE322" si="102">IF(BD259="",(-0.0215235 *AW259)+(-0.0007022*AX259)+1.634873,BD259)</f>
        <v>0.8315298333333333</v>
      </c>
      <c r="BF259">
        <f t="shared" ref="BF259:BF322" si="103">BE259*AP259</f>
        <v>498.91789999999997</v>
      </c>
      <c r="BG259">
        <f t="shared" ref="BG259:BG322" si="104">BE259*AQ259</f>
        <v>0</v>
      </c>
    </row>
    <row r="260" spans="1:59" ht="14.5" hidden="1" customHeight="1" x14ac:dyDescent="0.2">
      <c r="A260" s="2" t="s">
        <v>452</v>
      </c>
      <c r="B260" s="2" t="str">
        <f>VLOOKUP($A260,'[1]daily coal, energy reqd'!$C$2:$T$599,17,FALSE)</f>
        <v>Tamil Nadu</v>
      </c>
      <c r="C260" s="2" t="str">
        <f>VLOOKUP(B260,'Target PLF'!$I$2:$J$19,2,FALSE)</f>
        <v>SR</v>
      </c>
      <c r="D260" s="2" t="s">
        <v>570</v>
      </c>
      <c r="E260" s="2" t="s">
        <v>548</v>
      </c>
      <c r="F260" s="12">
        <v>33.338809034907598</v>
      </c>
      <c r="G260" s="2">
        <v>210</v>
      </c>
      <c r="H260">
        <f>VLOOKUP(A260,'Coal savings'!$A$3:$AB$543,26,FALSE)</f>
        <v>0</v>
      </c>
      <c r="I260" t="s">
        <v>694</v>
      </c>
      <c r="J260">
        <f>604.33/4</f>
        <v>151.08250000000001</v>
      </c>
      <c r="O260" s="2" t="s">
        <v>452</v>
      </c>
      <c r="AH260" s="2" t="str">
        <f t="shared" si="86"/>
        <v>2019</v>
      </c>
      <c r="AI260" s="2">
        <f t="shared" si="87"/>
        <v>108.99072975527359</v>
      </c>
      <c r="AJ260" s="2">
        <f t="shared" si="88"/>
        <v>0.51900347502511235</v>
      </c>
      <c r="AK260" s="12">
        <f t="shared" si="89"/>
        <v>29.338809034907598</v>
      </c>
      <c r="AL260" s="2" t="s">
        <v>570</v>
      </c>
      <c r="AM260" s="2" t="str">
        <f>VLOOKUP(A260,'[12]Power plant names'!$C$2:$F$545,4,FALSE)</f>
        <v>Sub critical</v>
      </c>
      <c r="AN260" s="2">
        <v>210</v>
      </c>
      <c r="AO260" s="2">
        <f t="shared" si="90"/>
        <v>0.51900347502511235</v>
      </c>
      <c r="AP260" s="2">
        <v>210</v>
      </c>
      <c r="AQ260" s="2">
        <f t="shared" si="91"/>
        <v>0</v>
      </c>
      <c r="AR260" s="2">
        <f t="shared" si="92"/>
        <v>108.99072975527359</v>
      </c>
      <c r="AS260" s="2">
        <f t="shared" si="93"/>
        <v>0</v>
      </c>
      <c r="AU260" s="2">
        <f t="shared" si="94"/>
        <v>151.08250000000001</v>
      </c>
      <c r="AV260" s="2">
        <f t="shared" si="95"/>
        <v>0.71944047619047624</v>
      </c>
      <c r="AW260" s="12">
        <f t="shared" si="96"/>
        <v>32.338809034907598</v>
      </c>
      <c r="AX260" s="2">
        <v>210</v>
      </c>
      <c r="AY260" s="3">
        <f t="shared" si="97"/>
        <v>0.71944047619047624</v>
      </c>
      <c r="AZ260" s="2">
        <f t="shared" si="98"/>
        <v>151.08250000000001</v>
      </c>
      <c r="BA260" s="2">
        <f t="shared" si="99"/>
        <v>0</v>
      </c>
      <c r="BC260">
        <f t="shared" si="100"/>
        <v>168.4569875</v>
      </c>
      <c r="BD260">
        <f t="shared" si="101"/>
        <v>0.80217613095238094</v>
      </c>
      <c r="BE260">
        <f t="shared" si="102"/>
        <v>0.80217613095238094</v>
      </c>
      <c r="BF260">
        <f t="shared" si="103"/>
        <v>168.4569875</v>
      </c>
      <c r="BG260">
        <f t="shared" si="104"/>
        <v>0</v>
      </c>
    </row>
    <row r="261" spans="1:59" ht="14.5" hidden="1" customHeight="1" x14ac:dyDescent="0.2">
      <c r="A261" s="2" t="s">
        <v>447</v>
      </c>
      <c r="B261" s="2" t="str">
        <f>VLOOKUP($A261,'[1]daily coal, energy reqd'!$C$2:$T$599,17,FALSE)</f>
        <v>Tamil Nadu</v>
      </c>
      <c r="C261" s="2" t="str">
        <f>VLOOKUP(B261,'Target PLF'!$I$2:$J$19,2,FALSE)</f>
        <v>SR</v>
      </c>
      <c r="D261" s="2" t="s">
        <v>570</v>
      </c>
      <c r="E261" s="2" t="s">
        <v>548</v>
      </c>
      <c r="F261" s="12">
        <v>32.4243668720054</v>
      </c>
      <c r="G261" s="2">
        <v>210</v>
      </c>
      <c r="H261">
        <f>VLOOKUP(A261,'Coal savings'!$A$3:$AB$543,26,FALSE)</f>
        <v>0</v>
      </c>
      <c r="I261" t="s">
        <v>694</v>
      </c>
      <c r="J261">
        <f>604.33/4</f>
        <v>151.08250000000001</v>
      </c>
      <c r="O261" s="2" t="s">
        <v>447</v>
      </c>
      <c r="AH261" s="2" t="str">
        <f t="shared" si="86"/>
        <v>2019</v>
      </c>
      <c r="AI261" s="2">
        <f t="shared" si="87"/>
        <v>108.99072975527359</v>
      </c>
      <c r="AJ261" s="2">
        <f t="shared" si="88"/>
        <v>0.51900347502511235</v>
      </c>
      <c r="AK261" s="12">
        <f t="shared" si="89"/>
        <v>28.4243668720054</v>
      </c>
      <c r="AL261" s="2" t="s">
        <v>570</v>
      </c>
      <c r="AM261" s="2" t="str">
        <f>VLOOKUP(A261,'[12]Power plant names'!$C$2:$F$545,4,FALSE)</f>
        <v>Sub critical</v>
      </c>
      <c r="AN261" s="2">
        <v>210</v>
      </c>
      <c r="AO261" s="2">
        <f t="shared" si="90"/>
        <v>0.51900347502511235</v>
      </c>
      <c r="AP261" s="2">
        <v>210</v>
      </c>
      <c r="AQ261" s="2">
        <f t="shared" si="91"/>
        <v>0</v>
      </c>
      <c r="AR261" s="2">
        <f t="shared" si="92"/>
        <v>108.99072975527359</v>
      </c>
      <c r="AS261" s="2">
        <f t="shared" si="93"/>
        <v>0</v>
      </c>
      <c r="AU261" s="2">
        <f t="shared" si="94"/>
        <v>151.08250000000001</v>
      </c>
      <c r="AV261" s="2">
        <f t="shared" si="95"/>
        <v>0.71944047619047624</v>
      </c>
      <c r="AW261" s="12">
        <f t="shared" si="96"/>
        <v>31.4243668720054</v>
      </c>
      <c r="AX261" s="2">
        <v>210</v>
      </c>
      <c r="AY261" s="3">
        <f t="shared" si="97"/>
        <v>0.71944047619047624</v>
      </c>
      <c r="AZ261" s="2">
        <f t="shared" si="98"/>
        <v>151.08250000000001</v>
      </c>
      <c r="BA261" s="2">
        <f t="shared" si="99"/>
        <v>0</v>
      </c>
      <c r="BC261">
        <f t="shared" si="100"/>
        <v>168.4569875</v>
      </c>
      <c r="BD261">
        <f t="shared" si="101"/>
        <v>0.80217613095238094</v>
      </c>
      <c r="BE261">
        <f t="shared" si="102"/>
        <v>0.80217613095238094</v>
      </c>
      <c r="BF261">
        <f t="shared" si="103"/>
        <v>168.4569875</v>
      </c>
      <c r="BG261">
        <f t="shared" si="104"/>
        <v>0</v>
      </c>
    </row>
    <row r="262" spans="1:59" ht="14.5" hidden="1" customHeight="1" x14ac:dyDescent="0.2">
      <c r="A262" s="2" t="s">
        <v>436</v>
      </c>
      <c r="B262" s="2" t="str">
        <f>VLOOKUP($A262,'[1]daily coal, energy reqd'!$C$2:$T$599,17,FALSE)</f>
        <v>Tamil Nadu</v>
      </c>
      <c r="C262" s="2" t="str">
        <f>VLOOKUP(B262,'Target PLF'!$I$2:$J$19,2,FALSE)</f>
        <v>SR</v>
      </c>
      <c r="D262" s="2" t="s">
        <v>570</v>
      </c>
      <c r="E262" s="2" t="s">
        <v>548</v>
      </c>
      <c r="F262" s="12">
        <v>31.175906913073199</v>
      </c>
      <c r="G262" s="2">
        <v>210</v>
      </c>
      <c r="H262">
        <f>VLOOKUP(A262,'Coal savings'!$A$3:$AB$543,26,FALSE)</f>
        <v>0</v>
      </c>
      <c r="I262" t="s">
        <v>694</v>
      </c>
      <c r="J262">
        <f>604.33/4</f>
        <v>151.08250000000001</v>
      </c>
      <c r="O262" s="2" t="s">
        <v>436</v>
      </c>
      <c r="AH262" s="2" t="str">
        <f t="shared" si="86"/>
        <v>2019</v>
      </c>
      <c r="AI262" s="2">
        <f t="shared" si="87"/>
        <v>108.99072975527359</v>
      </c>
      <c r="AJ262" s="2">
        <f t="shared" si="88"/>
        <v>0.51900347502511235</v>
      </c>
      <c r="AK262" s="12">
        <f t="shared" si="89"/>
        <v>27.175906913073199</v>
      </c>
      <c r="AL262" s="2" t="s">
        <v>570</v>
      </c>
      <c r="AM262" s="2" t="str">
        <f>VLOOKUP(A262,'[12]Power plant names'!$C$2:$F$545,4,FALSE)</f>
        <v>Sub critical</v>
      </c>
      <c r="AN262" s="2">
        <v>210</v>
      </c>
      <c r="AO262" s="2">
        <f t="shared" si="90"/>
        <v>0.51900347502511235</v>
      </c>
      <c r="AP262" s="2">
        <v>210</v>
      </c>
      <c r="AQ262" s="2">
        <f t="shared" si="91"/>
        <v>0</v>
      </c>
      <c r="AR262" s="2">
        <f t="shared" si="92"/>
        <v>108.99072975527359</v>
      </c>
      <c r="AS262" s="2">
        <f t="shared" si="93"/>
        <v>0</v>
      </c>
      <c r="AU262" s="2">
        <f t="shared" si="94"/>
        <v>151.08250000000001</v>
      </c>
      <c r="AV262" s="2">
        <f t="shared" si="95"/>
        <v>0.71944047619047624</v>
      </c>
      <c r="AW262" s="12">
        <f t="shared" si="96"/>
        <v>30.175906913073199</v>
      </c>
      <c r="AX262" s="2">
        <v>210</v>
      </c>
      <c r="AY262" s="3">
        <f t="shared" si="97"/>
        <v>0.71944047619047624</v>
      </c>
      <c r="AZ262" s="2">
        <f t="shared" si="98"/>
        <v>151.08250000000001</v>
      </c>
      <c r="BA262" s="2">
        <f t="shared" si="99"/>
        <v>0</v>
      </c>
      <c r="BC262">
        <f t="shared" si="100"/>
        <v>168.4569875</v>
      </c>
      <c r="BD262">
        <f t="shared" si="101"/>
        <v>0.80217613095238094</v>
      </c>
      <c r="BE262">
        <f t="shared" si="102"/>
        <v>0.80217613095238094</v>
      </c>
      <c r="BF262">
        <f t="shared" si="103"/>
        <v>168.4569875</v>
      </c>
      <c r="BG262">
        <f t="shared" si="104"/>
        <v>0</v>
      </c>
    </row>
    <row r="263" spans="1:59" ht="14.5" hidden="1" customHeight="1" x14ac:dyDescent="0.2">
      <c r="A263" s="2" t="s">
        <v>429</v>
      </c>
      <c r="B263" s="2" t="str">
        <f>VLOOKUP($A263,'[1]daily coal, energy reqd'!$C$2:$T$599,17,FALSE)</f>
        <v>Tamil Nadu</v>
      </c>
      <c r="C263" s="2" t="str">
        <f>VLOOKUP(B263,'Target PLF'!$I$2:$J$19,2,FALSE)</f>
        <v>SR</v>
      </c>
      <c r="D263" s="2" t="s">
        <v>570</v>
      </c>
      <c r="E263" s="2" t="s">
        <v>548</v>
      </c>
      <c r="F263" s="12">
        <v>30.176591375769998</v>
      </c>
      <c r="G263" s="2">
        <v>210</v>
      </c>
      <c r="H263">
        <f>VLOOKUP(A263,'Coal savings'!$A$3:$AB$543,26,FALSE)</f>
        <v>0</v>
      </c>
      <c r="I263" t="s">
        <v>694</v>
      </c>
      <c r="J263">
        <f>604.33/4</f>
        <v>151.08250000000001</v>
      </c>
      <c r="O263" s="2" t="s">
        <v>429</v>
      </c>
      <c r="AH263" s="2" t="str">
        <f t="shared" si="86"/>
        <v>2019</v>
      </c>
      <c r="AI263" s="2">
        <f t="shared" si="87"/>
        <v>108.99072975527359</v>
      </c>
      <c r="AJ263" s="2">
        <f t="shared" si="88"/>
        <v>0.51900347502511235</v>
      </c>
      <c r="AK263" s="12">
        <f t="shared" si="89"/>
        <v>26.176591375769998</v>
      </c>
      <c r="AL263" s="2" t="s">
        <v>570</v>
      </c>
      <c r="AM263" s="2" t="str">
        <f>VLOOKUP(A263,'[12]Power plant names'!$C$2:$F$545,4,FALSE)</f>
        <v>Sub critical</v>
      </c>
      <c r="AN263" s="2">
        <v>210</v>
      </c>
      <c r="AO263" s="2">
        <f t="shared" si="90"/>
        <v>0.51900347502511235</v>
      </c>
      <c r="AP263" s="2">
        <v>210</v>
      </c>
      <c r="AQ263" s="2">
        <f t="shared" si="91"/>
        <v>0</v>
      </c>
      <c r="AR263" s="2">
        <f t="shared" si="92"/>
        <v>108.99072975527359</v>
      </c>
      <c r="AS263" s="2">
        <f t="shared" si="93"/>
        <v>0</v>
      </c>
      <c r="AU263" s="2">
        <f t="shared" si="94"/>
        <v>151.08250000000001</v>
      </c>
      <c r="AV263" s="2">
        <f t="shared" si="95"/>
        <v>0.71944047619047624</v>
      </c>
      <c r="AW263" s="12">
        <f t="shared" si="96"/>
        <v>29.176591375769998</v>
      </c>
      <c r="AX263" s="2">
        <v>210</v>
      </c>
      <c r="AY263" s="3">
        <f t="shared" si="97"/>
        <v>0.71944047619047624</v>
      </c>
      <c r="AZ263" s="2">
        <f t="shared" si="98"/>
        <v>151.08250000000001</v>
      </c>
      <c r="BA263" s="2">
        <f t="shared" si="99"/>
        <v>0</v>
      </c>
      <c r="BC263">
        <f t="shared" si="100"/>
        <v>168.4569875</v>
      </c>
      <c r="BD263">
        <f t="shared" si="101"/>
        <v>0.80217613095238094</v>
      </c>
      <c r="BE263">
        <f t="shared" si="102"/>
        <v>0.80217613095238094</v>
      </c>
      <c r="BF263">
        <f t="shared" si="103"/>
        <v>168.4569875</v>
      </c>
      <c r="BG263">
        <f t="shared" si="104"/>
        <v>0</v>
      </c>
    </row>
    <row r="264" spans="1:59" ht="14.5" hidden="1" customHeight="1" x14ac:dyDescent="0.2">
      <c r="A264" s="2" t="s">
        <v>248</v>
      </c>
      <c r="B264" s="2" t="str">
        <f>VLOOKUP($A264,'[1]daily coal, energy reqd'!$C$2:$T$599,17,FALSE)</f>
        <v>Gujarat</v>
      </c>
      <c r="C264" s="2" t="str">
        <f>VLOOKUP(B264,'Target PLF'!$I$2:$J$19,2,FALSE)</f>
        <v>WR</v>
      </c>
      <c r="D264" s="2" t="s">
        <v>572</v>
      </c>
      <c r="E264" s="2" t="s">
        <v>544</v>
      </c>
      <c r="F264" s="12">
        <v>10.757015742642</v>
      </c>
      <c r="G264" s="2">
        <v>330</v>
      </c>
      <c r="H264">
        <f>VLOOKUP(A264,'Coal savings'!$A$3:$AB$543,26,FALSE)</f>
        <v>0</v>
      </c>
      <c r="O264" s="2" t="s">
        <v>248</v>
      </c>
      <c r="S264" s="96"/>
      <c r="AH264" s="2" t="str">
        <f t="shared" si="86"/>
        <v/>
      </c>
      <c r="AI264" s="2"/>
      <c r="AJ264" s="2" t="str">
        <f t="shared" si="88"/>
        <v/>
      </c>
      <c r="AK264" s="12">
        <f t="shared" si="89"/>
        <v>6.7570157426420003</v>
      </c>
      <c r="AL264" s="2" t="s">
        <v>572</v>
      </c>
      <c r="AM264" s="2" t="str">
        <f>VLOOKUP(A264,'[12]Power plant names'!$C$2:$F$545,4,FALSE)</f>
        <v>Sub critical</v>
      </c>
      <c r="AN264" s="2">
        <v>330</v>
      </c>
      <c r="AO264" s="2">
        <f t="shared" si="90"/>
        <v>0.83875649267624963</v>
      </c>
      <c r="AP264" s="2">
        <v>330</v>
      </c>
      <c r="AQ264" s="2">
        <f t="shared" si="91"/>
        <v>0</v>
      </c>
      <c r="AR264" s="2">
        <f t="shared" si="92"/>
        <v>276.78964258316239</v>
      </c>
      <c r="AS264" s="2">
        <f t="shared" si="93"/>
        <v>0</v>
      </c>
      <c r="AU264" s="2"/>
      <c r="AV264" s="2" t="str">
        <f t="shared" si="95"/>
        <v/>
      </c>
      <c r="AW264" s="12">
        <f t="shared" si="96"/>
        <v>10.757015742642</v>
      </c>
      <c r="AX264" s="2">
        <v>330</v>
      </c>
      <c r="AY264" s="3">
        <f t="shared" si="97"/>
        <v>1.0389815634496924</v>
      </c>
      <c r="AZ264" s="2">
        <f t="shared" si="98"/>
        <v>342.86391593839846</v>
      </c>
      <c r="BA264" s="2">
        <f t="shared" si="99"/>
        <v>0</v>
      </c>
      <c r="BC264" t="str">
        <f t="shared" si="100"/>
        <v/>
      </c>
      <c r="BE264">
        <f t="shared" si="102"/>
        <v>1.1716183716632449</v>
      </c>
      <c r="BF264">
        <f t="shared" si="103"/>
        <v>386.63406264887084</v>
      </c>
      <c r="BG264">
        <f t="shared" si="104"/>
        <v>0</v>
      </c>
    </row>
    <row r="265" spans="1:59" ht="14.5" hidden="1" customHeight="1" x14ac:dyDescent="0.2">
      <c r="A265" s="2" t="s">
        <v>239</v>
      </c>
      <c r="B265" s="2" t="str">
        <f>VLOOKUP($A265,'[1]daily coal, energy reqd'!$C$2:$T$599,17,FALSE)</f>
        <v>Gujarat</v>
      </c>
      <c r="C265" s="2" t="str">
        <f>VLOOKUP(B265,'Target PLF'!$I$2:$J$19,2,FALSE)</f>
        <v>WR</v>
      </c>
      <c r="D265" s="2" t="s">
        <v>572</v>
      </c>
      <c r="E265" s="2" t="s">
        <v>544</v>
      </c>
      <c r="F265" s="12">
        <v>10.17659137577</v>
      </c>
      <c r="G265" s="2">
        <v>330</v>
      </c>
      <c r="H265">
        <f>VLOOKUP(A265,'Coal savings'!$A$3:$AB$543,26,FALSE)</f>
        <v>0</v>
      </c>
      <c r="O265" s="2" t="s">
        <v>239</v>
      </c>
      <c r="S265" s="96"/>
      <c r="AH265" s="2" t="str">
        <f t="shared" si="86"/>
        <v/>
      </c>
      <c r="AI265" s="2"/>
      <c r="AJ265" s="2" t="str">
        <f t="shared" si="88"/>
        <v/>
      </c>
      <c r="AK265" s="12">
        <f t="shared" si="89"/>
        <v>6.1765913757700002</v>
      </c>
      <c r="AL265" s="2" t="s">
        <v>572</v>
      </c>
      <c r="AM265" s="2" t="str">
        <f>VLOOKUP(A265,'[12]Power plant names'!$C$2:$F$545,4,FALSE)</f>
        <v>Sub critical</v>
      </c>
      <c r="AN265" s="2">
        <v>330</v>
      </c>
      <c r="AO265" s="2">
        <f t="shared" si="90"/>
        <v>0.84679862053388133</v>
      </c>
      <c r="AP265" s="2">
        <v>330</v>
      </c>
      <c r="AQ265" s="2">
        <f t="shared" si="91"/>
        <v>0</v>
      </c>
      <c r="AR265" s="2">
        <f t="shared" si="92"/>
        <v>279.44354477618083</v>
      </c>
      <c r="AS265" s="2">
        <f t="shared" si="93"/>
        <v>0</v>
      </c>
      <c r="AU265" s="2"/>
      <c r="AV265" s="2" t="str">
        <f t="shared" si="95"/>
        <v/>
      </c>
      <c r="AW265" s="12">
        <f t="shared" si="96"/>
        <v>10.17659137577</v>
      </c>
      <c r="AX265" s="2">
        <v>330</v>
      </c>
      <c r="AY265" s="3">
        <f t="shared" si="97"/>
        <v>1.0495059921971257</v>
      </c>
      <c r="AZ265" s="2">
        <f t="shared" si="98"/>
        <v>346.33697742505149</v>
      </c>
      <c r="BA265" s="2">
        <f t="shared" si="99"/>
        <v>0</v>
      </c>
      <c r="BC265" t="str">
        <f t="shared" si="100"/>
        <v/>
      </c>
      <c r="BE265">
        <f t="shared" si="102"/>
        <v>1.1841111355236142</v>
      </c>
      <c r="BF265">
        <f t="shared" si="103"/>
        <v>390.7566747227927</v>
      </c>
      <c r="BG265">
        <f t="shared" si="104"/>
        <v>0</v>
      </c>
    </row>
    <row r="266" spans="1:59" ht="14.5" hidden="1" customHeight="1" x14ac:dyDescent="0.2">
      <c r="A266" s="2" t="s">
        <v>231</v>
      </c>
      <c r="B266" s="2" t="str">
        <f>VLOOKUP($A266,'[1]daily coal, energy reqd'!$C$2:$T$599,17,FALSE)</f>
        <v>Gujarat</v>
      </c>
      <c r="C266" s="2" t="str">
        <f>VLOOKUP(B266,'Target PLF'!$I$2:$J$19,2,FALSE)</f>
        <v>WR</v>
      </c>
      <c r="D266" s="2" t="s">
        <v>572</v>
      </c>
      <c r="E266" s="2" t="s">
        <v>543</v>
      </c>
      <c r="F266" s="12">
        <v>9.7577002053388</v>
      </c>
      <c r="G266" s="2">
        <v>330</v>
      </c>
      <c r="H266">
        <f>VLOOKUP(A266,'Coal savings'!$A$3:$AB$543,26,FALSE)</f>
        <v>0</v>
      </c>
      <c r="O266" s="2" t="s">
        <v>231</v>
      </c>
      <c r="S266" s="96"/>
      <c r="AH266" s="2" t="str">
        <f t="shared" si="86"/>
        <v/>
      </c>
      <c r="AI266" s="2"/>
      <c r="AJ266" s="2" t="str">
        <f t="shared" si="88"/>
        <v/>
      </c>
      <c r="AK266" s="12">
        <f t="shared" si="89"/>
        <v>5.7577002053388</v>
      </c>
      <c r="AL266" s="2" t="s">
        <v>572</v>
      </c>
      <c r="AM266" s="2" t="str">
        <f>VLOOKUP(A266,'[12]Power plant names'!$C$2:$F$545,4,FALSE)</f>
        <v>Sub critical</v>
      </c>
      <c r="AN266" s="2">
        <v>330</v>
      </c>
      <c r="AO266" s="2">
        <f t="shared" si="90"/>
        <v>0.85260260903490781</v>
      </c>
      <c r="AP266" s="2">
        <v>330</v>
      </c>
      <c r="AQ266" s="2">
        <f t="shared" si="91"/>
        <v>0</v>
      </c>
      <c r="AR266" s="2">
        <f t="shared" si="92"/>
        <v>281.35886098151957</v>
      </c>
      <c r="AS266" s="2">
        <f t="shared" si="93"/>
        <v>0</v>
      </c>
      <c r="AU266" s="2"/>
      <c r="AV266" s="2" t="str">
        <f t="shared" si="95"/>
        <v/>
      </c>
      <c r="AW266" s="12">
        <f t="shared" si="96"/>
        <v>9.7577002053388</v>
      </c>
      <c r="AX266" s="2">
        <v>330</v>
      </c>
      <c r="AY266" s="3">
        <f t="shared" si="97"/>
        <v>1.0571014525667355</v>
      </c>
      <c r="AZ266" s="2">
        <f t="shared" si="98"/>
        <v>348.84347934702271</v>
      </c>
      <c r="BA266" s="2">
        <f t="shared" si="99"/>
        <v>0</v>
      </c>
      <c r="BC266" t="str">
        <f t="shared" si="100"/>
        <v/>
      </c>
      <c r="BE266">
        <f t="shared" si="102"/>
        <v>1.1931271396303904</v>
      </c>
      <c r="BF266">
        <f t="shared" si="103"/>
        <v>393.73195607802882</v>
      </c>
      <c r="BG266">
        <f t="shared" si="104"/>
        <v>0</v>
      </c>
    </row>
    <row r="267" spans="1:59" ht="14.5" hidden="1" customHeight="1" x14ac:dyDescent="0.2">
      <c r="A267" s="2" t="s">
        <v>226</v>
      </c>
      <c r="B267" s="2" t="str">
        <f>VLOOKUP($A267,'[1]daily coal, energy reqd'!$C$2:$T$599,17,FALSE)</f>
        <v>Gujarat</v>
      </c>
      <c r="C267" s="2" t="str">
        <f>VLOOKUP(B267,'Target PLF'!$I$2:$J$19,2,FALSE)</f>
        <v>WR</v>
      </c>
      <c r="D267" s="2" t="s">
        <v>572</v>
      </c>
      <c r="E267" s="2" t="s">
        <v>543</v>
      </c>
      <c r="F267" s="12">
        <v>9.4236824093086895</v>
      </c>
      <c r="G267" s="2">
        <v>330</v>
      </c>
      <c r="H267">
        <f>VLOOKUP(A267,'Coal savings'!$A$3:$AB$543,26,FALSE)</f>
        <v>0</v>
      </c>
      <c r="O267" s="2" t="s">
        <v>226</v>
      </c>
      <c r="S267" s="96"/>
      <c r="AH267" s="2" t="str">
        <f t="shared" si="86"/>
        <v/>
      </c>
      <c r="AI267" s="2"/>
      <c r="AJ267" s="2" t="str">
        <f t="shared" si="88"/>
        <v/>
      </c>
      <c r="AK267" s="12">
        <f t="shared" si="89"/>
        <v>5.4236824093086895</v>
      </c>
      <c r="AL267" s="2" t="s">
        <v>572</v>
      </c>
      <c r="AM267" s="2" t="str">
        <f>VLOOKUP(A267,'[12]Power plant names'!$C$2:$F$545,4,FALSE)</f>
        <v>Sub critical</v>
      </c>
      <c r="AN267" s="2">
        <v>330</v>
      </c>
      <c r="AO267" s="2">
        <f t="shared" si="90"/>
        <v>0.85723062600958255</v>
      </c>
      <c r="AP267" s="2">
        <v>330</v>
      </c>
      <c r="AQ267" s="2">
        <f t="shared" si="91"/>
        <v>0</v>
      </c>
      <c r="AR267" s="2">
        <f t="shared" si="92"/>
        <v>282.88610658316225</v>
      </c>
      <c r="AS267" s="2">
        <f t="shared" si="93"/>
        <v>0</v>
      </c>
      <c r="AU267" s="2"/>
      <c r="AV267" s="2" t="str">
        <f t="shared" si="95"/>
        <v/>
      </c>
      <c r="AW267" s="12">
        <f t="shared" si="96"/>
        <v>9.4236824093086895</v>
      </c>
      <c r="AX267" s="2">
        <v>330</v>
      </c>
      <c r="AY267" s="3">
        <f t="shared" si="97"/>
        <v>1.0631579634496922</v>
      </c>
      <c r="AZ267" s="2">
        <f t="shared" si="98"/>
        <v>350.84212793839839</v>
      </c>
      <c r="BA267" s="2">
        <f t="shared" si="99"/>
        <v>0</v>
      </c>
      <c r="BC267" t="str">
        <f t="shared" si="100"/>
        <v/>
      </c>
      <c r="BE267">
        <f t="shared" si="102"/>
        <v>1.2003163716632446</v>
      </c>
      <c r="BF267">
        <f t="shared" si="103"/>
        <v>396.10440264887069</v>
      </c>
      <c r="BG267">
        <f t="shared" si="104"/>
        <v>0</v>
      </c>
    </row>
    <row r="268" spans="1:59" ht="14.5" customHeight="1" x14ac:dyDescent="0.2">
      <c r="A268" s="2" t="s">
        <v>111</v>
      </c>
      <c r="B268" s="2" t="str">
        <f>VLOOKUP($A268,'[1]daily coal, energy reqd'!$C$2:$T$599,17,FALSE)</f>
        <v>Gujarat</v>
      </c>
      <c r="C268" s="2" t="str">
        <f>VLOOKUP(B268,'Target PLF'!$I$2:$J$19,2,FALSE)</f>
        <v>WR</v>
      </c>
      <c r="D268" s="2" t="s">
        <v>572</v>
      </c>
      <c r="E268" s="2" t="s">
        <v>543</v>
      </c>
      <c r="F268" s="12">
        <v>9.4236824093086895</v>
      </c>
      <c r="G268" s="2">
        <v>660</v>
      </c>
      <c r="H268">
        <f>VLOOKUP(A268,'Coal savings'!$A$3:$AB$543,26,FALSE)</f>
        <v>4237628.7806397388</v>
      </c>
      <c r="O268" s="2" t="s">
        <v>111</v>
      </c>
      <c r="S268" s="96"/>
      <c r="AH268" s="2" t="str">
        <f t="shared" si="86"/>
        <v/>
      </c>
      <c r="AI268" s="2"/>
      <c r="AJ268" s="2" t="str">
        <f t="shared" si="88"/>
        <v/>
      </c>
      <c r="AK268" s="12">
        <f t="shared" si="89"/>
        <v>5.4236824093086895</v>
      </c>
      <c r="AL268" s="2" t="s">
        <v>572</v>
      </c>
      <c r="AM268" s="2" t="str">
        <f>VLOOKUP(A268,'[12]Power plant names'!$C$2:$F$545,4,FALSE)</f>
        <v>Super critical</v>
      </c>
      <c r="AN268" s="2">
        <v>660</v>
      </c>
      <c r="AO268" s="2">
        <f t="shared" si="90"/>
        <v>0.70810362600958265</v>
      </c>
      <c r="AP268" s="2">
        <v>660</v>
      </c>
      <c r="AQ268" s="2">
        <f t="shared" si="91"/>
        <v>0</v>
      </c>
      <c r="AR268" s="2">
        <f t="shared" si="92"/>
        <v>467.34839316632457</v>
      </c>
      <c r="AS268" s="2">
        <f t="shared" si="93"/>
        <v>0</v>
      </c>
      <c r="AU268" s="2"/>
      <c r="AV268" s="2" t="str">
        <f t="shared" si="95"/>
        <v/>
      </c>
      <c r="AW268" s="12">
        <f t="shared" si="96"/>
        <v>9.4236824093086895</v>
      </c>
      <c r="AX268" s="2">
        <v>660</v>
      </c>
      <c r="AY268" s="3">
        <f t="shared" si="97"/>
        <v>0.87888596344969216</v>
      </c>
      <c r="AZ268" s="2">
        <f t="shared" si="98"/>
        <v>580.06473587679682</v>
      </c>
      <c r="BA268" s="2">
        <f t="shared" si="99"/>
        <v>0</v>
      </c>
      <c r="BC268" t="str">
        <f t="shared" si="100"/>
        <v/>
      </c>
      <c r="BE268">
        <f t="shared" si="102"/>
        <v>0.96859037166324446</v>
      </c>
      <c r="BF268">
        <f t="shared" si="103"/>
        <v>639.26964529774136</v>
      </c>
      <c r="BG268">
        <f t="shared" si="104"/>
        <v>0</v>
      </c>
    </row>
    <row r="269" spans="1:59" ht="14.5" customHeight="1" x14ac:dyDescent="0.2">
      <c r="A269" s="2" t="s">
        <v>106</v>
      </c>
      <c r="B269" s="2" t="str">
        <f>VLOOKUP($A269,'[1]daily coal, energy reqd'!$C$2:$T$599,17,FALSE)</f>
        <v>Gujarat</v>
      </c>
      <c r="C269" s="2" t="str">
        <f>VLOOKUP(B269,'Target PLF'!$I$2:$J$19,2,FALSE)</f>
        <v>WR</v>
      </c>
      <c r="D269" s="2" t="s">
        <v>572</v>
      </c>
      <c r="E269" s="2" t="s">
        <v>543</v>
      </c>
      <c r="F269" s="12">
        <v>8.8432580424366805</v>
      </c>
      <c r="G269" s="2">
        <v>660</v>
      </c>
      <c r="H269">
        <f>VLOOKUP(A269,'Coal savings'!$A$3:$AB$543,26,FALSE)</f>
        <v>4230972.4283385156</v>
      </c>
      <c r="O269" s="2" t="s">
        <v>106</v>
      </c>
      <c r="S269" s="96"/>
      <c r="AH269" s="2" t="str">
        <f t="shared" si="86"/>
        <v/>
      </c>
      <c r="AI269" s="2"/>
      <c r="AJ269" s="2" t="str">
        <f t="shared" si="88"/>
        <v/>
      </c>
      <c r="AK269" s="12">
        <f t="shared" si="89"/>
        <v>4.8432580424366805</v>
      </c>
      <c r="AL269" s="2" t="s">
        <v>572</v>
      </c>
      <c r="AM269" s="2" t="str">
        <f>VLOOKUP(A269,'[12]Power plant names'!$C$2:$F$545,4,FALSE)</f>
        <v>Super critical</v>
      </c>
      <c r="AN269" s="2">
        <v>660</v>
      </c>
      <c r="AO269" s="2">
        <f t="shared" si="90"/>
        <v>0.71614575386721446</v>
      </c>
      <c r="AP269" s="2">
        <v>660</v>
      </c>
      <c r="AQ269" s="2">
        <f t="shared" si="91"/>
        <v>0</v>
      </c>
      <c r="AR269" s="2">
        <f t="shared" si="92"/>
        <v>472.65619755236156</v>
      </c>
      <c r="AS269" s="2">
        <f t="shared" si="93"/>
        <v>0</v>
      </c>
      <c r="AU269" s="2"/>
      <c r="AV269" s="2" t="str">
        <f t="shared" si="95"/>
        <v/>
      </c>
      <c r="AW269" s="12">
        <f t="shared" si="96"/>
        <v>8.8432580424366805</v>
      </c>
      <c r="AX269" s="2">
        <v>660</v>
      </c>
      <c r="AY269" s="3">
        <f t="shared" si="97"/>
        <v>0.88941039219712548</v>
      </c>
      <c r="AZ269" s="2">
        <f t="shared" si="98"/>
        <v>587.01085885010286</v>
      </c>
      <c r="BA269" s="2">
        <f t="shared" si="99"/>
        <v>0</v>
      </c>
      <c r="BC269" t="str">
        <f t="shared" si="100"/>
        <v/>
      </c>
      <c r="BE269">
        <f t="shared" si="102"/>
        <v>0.98108313552361404</v>
      </c>
      <c r="BF269">
        <f t="shared" si="103"/>
        <v>647.5148694455853</v>
      </c>
      <c r="BG269">
        <f t="shared" si="104"/>
        <v>0</v>
      </c>
    </row>
    <row r="270" spans="1:59" ht="14.5" customHeight="1" x14ac:dyDescent="0.2">
      <c r="A270" s="2" t="s">
        <v>99</v>
      </c>
      <c r="B270" s="2" t="str">
        <f>VLOOKUP($A270,'[1]daily coal, energy reqd'!$C$2:$T$599,17,FALSE)</f>
        <v>Gujarat</v>
      </c>
      <c r="C270" s="2" t="str">
        <f>VLOOKUP(B270,'Target PLF'!$I$2:$J$19,2,FALSE)</f>
        <v>WR</v>
      </c>
      <c r="D270" s="2" t="s">
        <v>572</v>
      </c>
      <c r="E270" s="2" t="s">
        <v>543</v>
      </c>
      <c r="F270" s="12">
        <v>8.5065023956194299</v>
      </c>
      <c r="G270" s="2">
        <v>660</v>
      </c>
      <c r="H270">
        <f>VLOOKUP(A270,'Coal savings'!$A$3:$AB$543,26,FALSE)</f>
        <v>4227110.4880882772</v>
      </c>
      <c r="O270" s="2" t="s">
        <v>99</v>
      </c>
      <c r="P270">
        <v>2019</v>
      </c>
      <c r="Q270" s="96">
        <v>977</v>
      </c>
      <c r="R270" s="96" t="s">
        <v>619</v>
      </c>
      <c r="S270" s="96"/>
      <c r="AH270" s="2"/>
      <c r="AI270" s="2"/>
      <c r="AJ270" s="2" t="str">
        <f t="shared" si="88"/>
        <v/>
      </c>
      <c r="AK270" s="12">
        <f t="shared" si="89"/>
        <v>4.5065023956194299</v>
      </c>
      <c r="AL270" s="2" t="s">
        <v>572</v>
      </c>
      <c r="AM270" s="2" t="str">
        <f>VLOOKUP(A270,'[12]Power plant names'!$C$2:$F$545,4,FALSE)</f>
        <v>Super critical</v>
      </c>
      <c r="AN270" s="2">
        <v>660</v>
      </c>
      <c r="AO270" s="2">
        <f t="shared" si="90"/>
        <v>0.72081170540725559</v>
      </c>
      <c r="AP270" s="2">
        <v>660</v>
      </c>
      <c r="AQ270" s="2">
        <f t="shared" si="91"/>
        <v>0</v>
      </c>
      <c r="AR270" s="2">
        <f t="shared" si="92"/>
        <v>475.73572556878867</v>
      </c>
      <c r="AS270" s="2">
        <f t="shared" si="93"/>
        <v>0</v>
      </c>
      <c r="AU270" s="2"/>
      <c r="AV270" s="2" t="str">
        <f t="shared" si="95"/>
        <v/>
      </c>
      <c r="AW270" s="12">
        <f t="shared" si="96"/>
        <v>8.5065023956194299</v>
      </c>
      <c r="AX270" s="2">
        <v>660</v>
      </c>
      <c r="AY270" s="3">
        <f t="shared" si="97"/>
        <v>0.89551654661190982</v>
      </c>
      <c r="AZ270" s="2">
        <f t="shared" si="98"/>
        <v>591.04092076386053</v>
      </c>
      <c r="BA270" s="2">
        <f t="shared" si="99"/>
        <v>0</v>
      </c>
      <c r="BC270" t="str">
        <f t="shared" si="100"/>
        <v/>
      </c>
      <c r="BE270">
        <f t="shared" si="102"/>
        <v>0.98833129568788514</v>
      </c>
      <c r="BF270">
        <f t="shared" si="103"/>
        <v>652.29865515400422</v>
      </c>
      <c r="BG270">
        <f t="shared" si="104"/>
        <v>0</v>
      </c>
    </row>
    <row r="271" spans="1:59" ht="14.5" customHeight="1" x14ac:dyDescent="0.2">
      <c r="A271" s="2" t="s">
        <v>93</v>
      </c>
      <c r="B271" s="2" t="str">
        <f>VLOOKUP($A271,'[1]daily coal, energy reqd'!$C$2:$T$599,17,FALSE)</f>
        <v>Gujarat</v>
      </c>
      <c r="C271" s="2" t="str">
        <f>VLOOKUP(B271,'Target PLF'!$I$2:$J$19,2,FALSE)</f>
        <v>WR</v>
      </c>
      <c r="D271" s="2" t="s">
        <v>572</v>
      </c>
      <c r="E271" s="2" t="s">
        <v>543</v>
      </c>
      <c r="F271" s="12">
        <v>8.1752224503764506</v>
      </c>
      <c r="G271" s="2">
        <v>660</v>
      </c>
      <c r="H271">
        <f>VLOOKUP(A271,'Coal savings'!$A$3:$AB$543,26,FALSE)</f>
        <v>4223311.3436144665</v>
      </c>
      <c r="O271" s="2" t="s">
        <v>93</v>
      </c>
      <c r="Q271" s="96"/>
      <c r="R271" s="96"/>
      <c r="S271" s="96"/>
      <c r="AH271" s="2" t="str">
        <f>RIGHT(I271,4)</f>
        <v/>
      </c>
      <c r="AI271" s="2"/>
      <c r="AJ271" s="2" t="str">
        <f t="shared" si="88"/>
        <v/>
      </c>
      <c r="AK271" s="12">
        <f t="shared" si="89"/>
        <v>4.1752224503764506</v>
      </c>
      <c r="AL271" s="2" t="s">
        <v>572</v>
      </c>
      <c r="AM271" s="2" t="str">
        <f>VLOOKUP(A271,'[12]Power plant names'!$C$2:$F$545,4,FALSE)</f>
        <v>Super critical</v>
      </c>
      <c r="AN271" s="2">
        <v>660</v>
      </c>
      <c r="AO271" s="2">
        <f t="shared" si="90"/>
        <v>0.72540178781656417</v>
      </c>
      <c r="AP271" s="2">
        <v>660</v>
      </c>
      <c r="AQ271" s="2">
        <f t="shared" si="91"/>
        <v>0</v>
      </c>
      <c r="AR271" s="2">
        <f t="shared" si="92"/>
        <v>478.76517995893238</v>
      </c>
      <c r="AS271" s="2">
        <f t="shared" si="93"/>
        <v>0</v>
      </c>
      <c r="AU271" s="2"/>
      <c r="AV271" s="2" t="str">
        <f t="shared" si="95"/>
        <v/>
      </c>
      <c r="AW271" s="12">
        <f t="shared" si="96"/>
        <v>8.1752224503764506</v>
      </c>
      <c r="AX271" s="2">
        <v>660</v>
      </c>
      <c r="AY271" s="3">
        <f t="shared" si="97"/>
        <v>0.90152341396303914</v>
      </c>
      <c r="AZ271" s="2">
        <f t="shared" si="98"/>
        <v>595.00545321560583</v>
      </c>
      <c r="BA271" s="2">
        <f t="shared" si="99"/>
        <v>0</v>
      </c>
      <c r="BC271" t="str">
        <f t="shared" si="100"/>
        <v/>
      </c>
      <c r="BE271">
        <f t="shared" si="102"/>
        <v>0.99546159958932245</v>
      </c>
      <c r="BF271">
        <f t="shared" si="103"/>
        <v>657.0046557289528</v>
      </c>
      <c r="BG271">
        <f t="shared" si="104"/>
        <v>0</v>
      </c>
    </row>
    <row r="272" spans="1:59" ht="14.5" customHeight="1" x14ac:dyDescent="0.2">
      <c r="A272" s="2" t="s">
        <v>94</v>
      </c>
      <c r="B272" s="2" t="str">
        <f>VLOOKUP($A272,'[1]daily coal, energy reqd'!$C$2:$T$599,17,FALSE)</f>
        <v>Gujarat</v>
      </c>
      <c r="C272" s="2" t="str">
        <f>VLOOKUP(B272,'Target PLF'!$I$2:$J$19,2,FALSE)</f>
        <v>WR</v>
      </c>
      <c r="D272" s="2" t="s">
        <v>572</v>
      </c>
      <c r="E272" s="2" t="s">
        <v>543</v>
      </c>
      <c r="F272" s="12">
        <v>8.1752224503764506</v>
      </c>
      <c r="G272" s="2">
        <v>660</v>
      </c>
      <c r="H272">
        <f>VLOOKUP(A272,'Coal savings'!$A$3:$AB$543,26,FALSE)</f>
        <v>4223311.3436144665</v>
      </c>
      <c r="O272" s="2" t="s">
        <v>94</v>
      </c>
      <c r="Q272" s="96"/>
      <c r="R272" s="96"/>
      <c r="S272" s="96"/>
      <c r="AH272" s="2" t="str">
        <f>RIGHT(I272,4)</f>
        <v/>
      </c>
      <c r="AI272" s="2"/>
      <c r="AJ272" s="2" t="str">
        <f t="shared" si="88"/>
        <v/>
      </c>
      <c r="AK272" s="12">
        <f t="shared" si="89"/>
        <v>4.1752224503764506</v>
      </c>
      <c r="AL272" s="2" t="s">
        <v>572</v>
      </c>
      <c r="AM272" s="2" t="str">
        <f>VLOOKUP(A272,'[12]Power plant names'!$C$2:$F$545,4,FALSE)</f>
        <v>Super critical</v>
      </c>
      <c r="AN272" s="2">
        <v>660</v>
      </c>
      <c r="AO272" s="2">
        <f t="shared" si="90"/>
        <v>0.72540178781656417</v>
      </c>
      <c r="AP272" s="2">
        <v>660</v>
      </c>
      <c r="AQ272" s="2">
        <f t="shared" si="91"/>
        <v>0</v>
      </c>
      <c r="AR272" s="2">
        <f t="shared" si="92"/>
        <v>478.76517995893238</v>
      </c>
      <c r="AS272" s="2">
        <f t="shared" si="93"/>
        <v>0</v>
      </c>
      <c r="AU272" s="2"/>
      <c r="AV272" s="2" t="str">
        <f t="shared" si="95"/>
        <v/>
      </c>
      <c r="AW272" s="12">
        <f t="shared" si="96"/>
        <v>8.1752224503764506</v>
      </c>
      <c r="AX272" s="2">
        <v>660</v>
      </c>
      <c r="AY272" s="3">
        <f t="shared" si="97"/>
        <v>0.90152341396303914</v>
      </c>
      <c r="AZ272" s="2">
        <f t="shared" si="98"/>
        <v>595.00545321560583</v>
      </c>
      <c r="BA272" s="2">
        <f t="shared" si="99"/>
        <v>0</v>
      </c>
      <c r="BC272" t="str">
        <f t="shared" si="100"/>
        <v/>
      </c>
      <c r="BE272">
        <f t="shared" si="102"/>
        <v>0.99546159958932245</v>
      </c>
      <c r="BF272">
        <f t="shared" si="103"/>
        <v>657.0046557289528</v>
      </c>
      <c r="BG272">
        <f t="shared" si="104"/>
        <v>0</v>
      </c>
    </row>
    <row r="273" spans="1:59" ht="14.5" customHeight="1" x14ac:dyDescent="0.2">
      <c r="A273" s="2" t="s">
        <v>25</v>
      </c>
      <c r="B273" s="2" t="str">
        <f>VLOOKUP($A273,'[1]daily coal, energy reqd'!$C$2:$T$599,17,FALSE)</f>
        <v>Gujarat</v>
      </c>
      <c r="C273" s="2" t="str">
        <f>VLOOKUP(B273,'Target PLF'!$I$2:$J$19,2,FALSE)</f>
        <v>WR</v>
      </c>
      <c r="D273" s="2" t="s">
        <v>572</v>
      </c>
      <c r="E273" s="2" t="s">
        <v>543</v>
      </c>
      <c r="F273" s="12">
        <v>8.1752224503764506</v>
      </c>
      <c r="G273" s="2">
        <v>800</v>
      </c>
      <c r="H273">
        <f>VLOOKUP(A273,'Coal savings'!$A$3:$AB$543,26,FALSE)</f>
        <v>3730506.9155979035</v>
      </c>
      <c r="O273" s="2" t="s">
        <v>25</v>
      </c>
      <c r="P273">
        <v>2019</v>
      </c>
      <c r="Q273" s="96">
        <v>250.3</v>
      </c>
      <c r="R273" s="96" t="s">
        <v>619</v>
      </c>
      <c r="S273" s="96"/>
      <c r="AH273" s="2"/>
      <c r="AI273" s="2"/>
      <c r="AJ273" s="2" t="str">
        <f t="shared" si="88"/>
        <v/>
      </c>
      <c r="AK273" s="12">
        <f t="shared" si="89"/>
        <v>4.1752224503764506</v>
      </c>
      <c r="AL273" s="2" t="s">
        <v>572</v>
      </c>
      <c r="AM273" s="2" t="str">
        <f>VLOOKUP(A273,'[12]Power plant names'!$C$2:$F$545,4,FALSE)</f>
        <v>Super critical</v>
      </c>
      <c r="AN273" s="2">
        <v>800</v>
      </c>
      <c r="AO273" s="2">
        <f t="shared" si="90"/>
        <v>0.66213578781656413</v>
      </c>
      <c r="AP273" s="2">
        <v>800</v>
      </c>
      <c r="AQ273" s="2">
        <f t="shared" si="91"/>
        <v>0</v>
      </c>
      <c r="AR273" s="2">
        <f t="shared" si="92"/>
        <v>529.70863025325127</v>
      </c>
      <c r="AS273" s="2">
        <f t="shared" si="93"/>
        <v>0</v>
      </c>
      <c r="AU273" s="2"/>
      <c r="AV273" s="2" t="str">
        <f t="shared" si="95"/>
        <v/>
      </c>
      <c r="AW273" s="12">
        <f t="shared" si="96"/>
        <v>8.1752224503764506</v>
      </c>
      <c r="AX273" s="2">
        <v>800</v>
      </c>
      <c r="AY273" s="3">
        <f t="shared" si="97"/>
        <v>0.82334741396303923</v>
      </c>
      <c r="AZ273" s="2">
        <f t="shared" si="98"/>
        <v>658.67793117043141</v>
      </c>
      <c r="BA273" s="2">
        <f t="shared" si="99"/>
        <v>0</v>
      </c>
      <c r="BC273" t="str">
        <f t="shared" si="100"/>
        <v/>
      </c>
      <c r="BE273">
        <f t="shared" si="102"/>
        <v>0.8971535995893225</v>
      </c>
      <c r="BF273">
        <f t="shared" si="103"/>
        <v>717.72287967145803</v>
      </c>
      <c r="BG273">
        <f t="shared" si="104"/>
        <v>0</v>
      </c>
    </row>
    <row r="274" spans="1:59" ht="14.5" customHeight="1" x14ac:dyDescent="0.2">
      <c r="A274" s="2" t="s">
        <v>24</v>
      </c>
      <c r="B274" s="2" t="str">
        <f>VLOOKUP($A274,'[1]daily coal, energy reqd'!$C$2:$T$599,17,FALSE)</f>
        <v>Gujarat</v>
      </c>
      <c r="C274" s="2" t="str">
        <f>VLOOKUP(B274,'Target PLF'!$I$2:$J$19,2,FALSE)</f>
        <v>WR</v>
      </c>
      <c r="D274" s="2" t="s">
        <v>572</v>
      </c>
      <c r="E274" s="2" t="s">
        <v>543</v>
      </c>
      <c r="F274" s="12">
        <v>7.8412046543463303</v>
      </c>
      <c r="G274" s="2">
        <v>800</v>
      </c>
      <c r="H274">
        <f>VLOOKUP(A274,'Coal savings'!$A$3:$AB$543,26,FALSE)</f>
        <v>3726959.9715192434</v>
      </c>
      <c r="O274" s="2" t="s">
        <v>24</v>
      </c>
      <c r="Q274" s="96"/>
      <c r="R274" s="96"/>
      <c r="S274" s="96"/>
      <c r="AH274" s="2" t="str">
        <f t="shared" ref="AH274:AH283" si="105">RIGHT(I274,4)</f>
        <v/>
      </c>
      <c r="AI274" s="2"/>
      <c r="AJ274" s="2" t="str">
        <f t="shared" si="88"/>
        <v/>
      </c>
      <c r="AK274" s="12">
        <f t="shared" si="89"/>
        <v>3.8412046543463303</v>
      </c>
      <c r="AL274" s="2" t="s">
        <v>572</v>
      </c>
      <c r="AM274" s="2" t="str">
        <f>VLOOKUP(A274,'[12]Power plant names'!$C$2:$F$545,4,FALSE)</f>
        <v>Super critical</v>
      </c>
      <c r="AN274" s="2">
        <v>800</v>
      </c>
      <c r="AO274" s="2">
        <f t="shared" si="90"/>
        <v>0.66676380479123909</v>
      </c>
      <c r="AP274" s="2">
        <v>800</v>
      </c>
      <c r="AQ274" s="2">
        <f t="shared" si="91"/>
        <v>0</v>
      </c>
      <c r="AR274" s="2">
        <f t="shared" si="92"/>
        <v>533.41104383299125</v>
      </c>
      <c r="AS274" s="2">
        <f t="shared" si="93"/>
        <v>0</v>
      </c>
      <c r="AU274" s="2"/>
      <c r="AV274" s="2" t="str">
        <f t="shared" si="95"/>
        <v/>
      </c>
      <c r="AW274" s="12">
        <f t="shared" si="96"/>
        <v>7.8412046543463303</v>
      </c>
      <c r="AX274" s="2">
        <v>800</v>
      </c>
      <c r="AY274" s="3">
        <f t="shared" si="97"/>
        <v>0.82940392484599612</v>
      </c>
      <c r="AZ274" s="2">
        <f t="shared" si="98"/>
        <v>663.5231398767969</v>
      </c>
      <c r="BA274" s="2">
        <f t="shared" si="99"/>
        <v>0</v>
      </c>
      <c r="BC274" t="str">
        <f t="shared" si="100"/>
        <v/>
      </c>
      <c r="BE274">
        <f t="shared" si="102"/>
        <v>0.90434283162217677</v>
      </c>
      <c r="BF274">
        <f t="shared" si="103"/>
        <v>723.47426529774145</v>
      </c>
      <c r="BG274">
        <f t="shared" si="104"/>
        <v>0</v>
      </c>
    </row>
    <row r="275" spans="1:59" ht="14.5" customHeight="1" x14ac:dyDescent="0.2">
      <c r="A275" s="2" t="s">
        <v>22</v>
      </c>
      <c r="B275" s="2" t="str">
        <f>VLOOKUP($A275,'[1]daily coal, energy reqd'!$C$2:$T$599,17,FALSE)</f>
        <v>Gujarat</v>
      </c>
      <c r="C275" s="2" t="str">
        <f>VLOOKUP(B275,'Target PLF'!$I$2:$J$19,2,FALSE)</f>
        <v>WR</v>
      </c>
      <c r="D275" s="2" t="s">
        <v>572</v>
      </c>
      <c r="E275" s="2" t="s">
        <v>543</v>
      </c>
      <c r="F275" s="12">
        <v>7.5893223819301801</v>
      </c>
      <c r="G275" s="2">
        <v>800</v>
      </c>
      <c r="H275">
        <f>VLOOKUP(A275,'Coal savings'!$A$3:$AB$543,26,FALSE)</f>
        <v>3724285.2268041871</v>
      </c>
      <c r="O275" s="2" t="s">
        <v>22</v>
      </c>
      <c r="Q275" s="96"/>
      <c r="R275" s="96"/>
      <c r="S275" s="96"/>
      <c r="AH275" s="2" t="str">
        <f t="shared" si="105"/>
        <v/>
      </c>
      <c r="AI275" s="2"/>
      <c r="AJ275" s="2" t="str">
        <f t="shared" si="88"/>
        <v/>
      </c>
      <c r="AK275" s="12">
        <f t="shared" si="89"/>
        <v>3.5893223819301801</v>
      </c>
      <c r="AL275" s="2" t="s">
        <v>572</v>
      </c>
      <c r="AM275" s="2" t="str">
        <f>VLOOKUP(A275,'[12]Power plant names'!$C$2:$F$545,4,FALSE)</f>
        <v>Super critical</v>
      </c>
      <c r="AN275" s="2">
        <v>800</v>
      </c>
      <c r="AO275" s="2">
        <f t="shared" si="90"/>
        <v>0.67025378480492825</v>
      </c>
      <c r="AP275" s="2">
        <v>800</v>
      </c>
      <c r="AQ275" s="2">
        <f t="shared" si="91"/>
        <v>0</v>
      </c>
      <c r="AR275" s="2">
        <f t="shared" si="92"/>
        <v>536.20302784394255</v>
      </c>
      <c r="AS275" s="2">
        <f t="shared" si="93"/>
        <v>0</v>
      </c>
      <c r="AU275" s="2"/>
      <c r="AV275" s="2" t="str">
        <f t="shared" si="95"/>
        <v/>
      </c>
      <c r="AW275" s="12">
        <f t="shared" si="96"/>
        <v>7.5893223819301801</v>
      </c>
      <c r="AX275" s="2">
        <v>800</v>
      </c>
      <c r="AY275" s="3">
        <f t="shared" si="97"/>
        <v>0.83397112977412746</v>
      </c>
      <c r="AZ275" s="2">
        <f t="shared" si="98"/>
        <v>667.17690381930197</v>
      </c>
      <c r="BA275" s="2">
        <f t="shared" si="99"/>
        <v>0</v>
      </c>
      <c r="BC275" t="str">
        <f t="shared" si="100"/>
        <v/>
      </c>
      <c r="BE275">
        <f t="shared" si="102"/>
        <v>0.90976421971252575</v>
      </c>
      <c r="BF275">
        <f t="shared" si="103"/>
        <v>727.81137577002062</v>
      </c>
      <c r="BG275">
        <f t="shared" si="104"/>
        <v>0</v>
      </c>
    </row>
    <row r="276" spans="1:59" ht="14.5" customHeight="1" x14ac:dyDescent="0.2">
      <c r="A276" s="2" t="s">
        <v>21</v>
      </c>
      <c r="B276" s="2" t="str">
        <f>VLOOKUP($A276,'[1]daily coal, energy reqd'!$C$2:$T$599,17,FALSE)</f>
        <v>Gujarat</v>
      </c>
      <c r="C276" s="2" t="str">
        <f>VLOOKUP(B276,'Target PLF'!$I$2:$J$19,2,FALSE)</f>
        <v>WR</v>
      </c>
      <c r="D276" s="2" t="s">
        <v>572</v>
      </c>
      <c r="E276" s="2" t="s">
        <v>543</v>
      </c>
      <c r="F276" s="12">
        <v>7.3374401095140298</v>
      </c>
      <c r="G276" s="2">
        <v>800</v>
      </c>
      <c r="H276">
        <f>VLOOKUP(A276,'Coal savings'!$A$3:$AB$543,26,FALSE)</f>
        <v>3721610.482089133</v>
      </c>
      <c r="O276" s="2" t="s">
        <v>21</v>
      </c>
      <c r="Q276" s="96"/>
      <c r="R276" s="96"/>
      <c r="S276" s="96"/>
      <c r="AH276" s="2" t="str">
        <f t="shared" si="105"/>
        <v/>
      </c>
      <c r="AI276" s="2"/>
      <c r="AJ276" s="2" t="str">
        <f t="shared" si="88"/>
        <v/>
      </c>
      <c r="AK276" s="12">
        <f t="shared" si="89"/>
        <v>3.3374401095140298</v>
      </c>
      <c r="AL276" s="2" t="s">
        <v>572</v>
      </c>
      <c r="AM276" s="2" t="str">
        <f>VLOOKUP(A276,'[12]Power plant names'!$C$2:$F$545,4,FALSE)</f>
        <v>Super critical</v>
      </c>
      <c r="AN276" s="2">
        <v>800</v>
      </c>
      <c r="AO276" s="2">
        <f t="shared" si="90"/>
        <v>0.67374376481861753</v>
      </c>
      <c r="AP276" s="2">
        <v>800</v>
      </c>
      <c r="AQ276" s="2">
        <f t="shared" si="91"/>
        <v>0</v>
      </c>
      <c r="AR276" s="2">
        <f t="shared" si="92"/>
        <v>538.99501185489407</v>
      </c>
      <c r="AS276" s="2">
        <f t="shared" si="93"/>
        <v>0</v>
      </c>
      <c r="AU276" s="2"/>
      <c r="AV276" s="2" t="str">
        <f t="shared" si="95"/>
        <v/>
      </c>
      <c r="AW276" s="12">
        <f t="shared" si="96"/>
        <v>7.3374401095140298</v>
      </c>
      <c r="AX276" s="2">
        <v>800</v>
      </c>
      <c r="AY276" s="3">
        <f t="shared" si="97"/>
        <v>0.8385383347022588</v>
      </c>
      <c r="AZ276" s="2">
        <f t="shared" si="98"/>
        <v>670.83066776180704</v>
      </c>
      <c r="BA276" s="2">
        <f t="shared" si="99"/>
        <v>0</v>
      </c>
      <c r="BC276" t="str">
        <f t="shared" si="100"/>
        <v/>
      </c>
      <c r="BE276">
        <f t="shared" si="102"/>
        <v>0.91518560780287472</v>
      </c>
      <c r="BF276">
        <f t="shared" si="103"/>
        <v>732.14848624229978</v>
      </c>
      <c r="BG276">
        <f t="shared" si="104"/>
        <v>0</v>
      </c>
    </row>
    <row r="277" spans="1:59" ht="14.5" customHeight="1" x14ac:dyDescent="0.2">
      <c r="A277" s="2" t="s">
        <v>17</v>
      </c>
      <c r="B277" s="2" t="str">
        <f>VLOOKUP($A277,'[1]daily coal, energy reqd'!$C$2:$T$599,17,FALSE)</f>
        <v>Gujarat</v>
      </c>
      <c r="C277" s="2" t="str">
        <f>VLOOKUP(B277,'Target PLF'!$I$2:$J$19,2,FALSE)</f>
        <v>WR</v>
      </c>
      <c r="D277" s="2" t="s">
        <v>572</v>
      </c>
      <c r="E277" s="2" t="s">
        <v>543</v>
      </c>
      <c r="F277" s="12">
        <v>7.1759069130732298</v>
      </c>
      <c r="G277" s="2">
        <v>800</v>
      </c>
      <c r="H277">
        <f>VLOOKUP(A277,'Coal savings'!$A$3:$AB$543,26,FALSE)</f>
        <v>3719895.1566740437</v>
      </c>
      <c r="O277" s="2" t="s">
        <v>17</v>
      </c>
      <c r="Q277" s="96"/>
      <c r="R277" s="96"/>
      <c r="S277" s="96"/>
      <c r="AH277" s="2" t="str">
        <f t="shared" si="105"/>
        <v/>
      </c>
      <c r="AI277" s="2"/>
      <c r="AJ277" s="2" t="str">
        <f t="shared" si="88"/>
        <v/>
      </c>
      <c r="AK277" s="12">
        <f t="shared" si="89"/>
        <v>3.1759069130732298</v>
      </c>
      <c r="AL277" s="2" t="s">
        <v>572</v>
      </c>
      <c r="AM277" s="2" t="str">
        <f>VLOOKUP(A277,'[12]Power plant names'!$C$2:$F$545,4,FALSE)</f>
        <v>Super critical</v>
      </c>
      <c r="AN277" s="2">
        <v>800</v>
      </c>
      <c r="AO277" s="2">
        <f t="shared" si="90"/>
        <v>0.67598190417522264</v>
      </c>
      <c r="AP277" s="2">
        <v>800</v>
      </c>
      <c r="AQ277" s="2">
        <f t="shared" si="91"/>
        <v>0</v>
      </c>
      <c r="AR277" s="2">
        <f t="shared" si="92"/>
        <v>540.78552334017809</v>
      </c>
      <c r="AS277" s="2">
        <f t="shared" si="93"/>
        <v>0</v>
      </c>
      <c r="AU277" s="2"/>
      <c r="AV277" s="2" t="str">
        <f t="shared" si="95"/>
        <v/>
      </c>
      <c r="AW277" s="12">
        <f t="shared" si="96"/>
        <v>7.1759069130732298</v>
      </c>
      <c r="AX277" s="2">
        <v>800</v>
      </c>
      <c r="AY277" s="3">
        <f t="shared" si="97"/>
        <v>0.84146730308008233</v>
      </c>
      <c r="AZ277" s="2">
        <f t="shared" si="98"/>
        <v>673.17384246406584</v>
      </c>
      <c r="BA277" s="2">
        <f t="shared" si="99"/>
        <v>0</v>
      </c>
      <c r="BC277" t="str">
        <f t="shared" si="100"/>
        <v/>
      </c>
      <c r="BE277">
        <f t="shared" si="102"/>
        <v>0.91866236755646835</v>
      </c>
      <c r="BF277">
        <f t="shared" si="103"/>
        <v>734.92989404517471</v>
      </c>
      <c r="BG277">
        <f t="shared" si="104"/>
        <v>0</v>
      </c>
    </row>
    <row r="278" spans="1:59" ht="14.5" customHeight="1" x14ac:dyDescent="0.2">
      <c r="A278" s="2" t="s">
        <v>91</v>
      </c>
      <c r="B278" s="2" t="str">
        <f>VLOOKUP($A278,'[1]daily coal, energy reqd'!$C$2:$T$599,17,FALSE)</f>
        <v>Tamil Nadu</v>
      </c>
      <c r="C278" s="2" t="str">
        <f>VLOOKUP(B278,'Target PLF'!$I$2:$J$19,2,FALSE)</f>
        <v>SR</v>
      </c>
      <c r="D278" s="2" t="s">
        <v>572</v>
      </c>
      <c r="E278" s="2" t="s">
        <v>543</v>
      </c>
      <c r="F278" s="12">
        <v>5.4236824093086904</v>
      </c>
      <c r="G278" s="2">
        <v>600</v>
      </c>
      <c r="H278">
        <f>VLOOKUP(A278,'Coal savings'!$A$3:$AB$543,26,FALSE)</f>
        <v>2968959.4721106254</v>
      </c>
      <c r="O278" s="2" t="s">
        <v>91</v>
      </c>
      <c r="AH278" s="2" t="str">
        <f t="shared" si="105"/>
        <v/>
      </c>
      <c r="AI278" s="2"/>
      <c r="AJ278" s="2" t="str">
        <f t="shared" si="88"/>
        <v/>
      </c>
      <c r="AK278" s="12">
        <f t="shared" si="89"/>
        <v>1.4236824093086904</v>
      </c>
      <c r="AL278" s="2" t="s">
        <v>572</v>
      </c>
      <c r="AM278" s="2" t="str">
        <f>VLOOKUP(A278,'[12]Power plant names'!$C$2:$F$545,4,FALSE)</f>
        <v>Sub critical</v>
      </c>
      <c r="AN278" s="2">
        <v>600</v>
      </c>
      <c r="AO278" s="2">
        <f t="shared" si="90"/>
        <v>0.79064002600958261</v>
      </c>
      <c r="AP278" s="2">
        <v>600</v>
      </c>
      <c r="AQ278" s="2">
        <f t="shared" si="91"/>
        <v>0</v>
      </c>
      <c r="AR278" s="2">
        <f t="shared" si="92"/>
        <v>474.38401560574954</v>
      </c>
      <c r="AS278" s="2">
        <f t="shared" si="93"/>
        <v>0</v>
      </c>
      <c r="AU278" s="2"/>
      <c r="AV278" s="2" t="str">
        <f t="shared" si="95"/>
        <v/>
      </c>
      <c r="AW278" s="12">
        <f t="shared" si="96"/>
        <v>5.4236824093086904</v>
      </c>
      <c r="AX278" s="2">
        <v>600</v>
      </c>
      <c r="AY278" s="3">
        <f t="shared" si="97"/>
        <v>0.9849191634496921</v>
      </c>
      <c r="AZ278" s="2">
        <f t="shared" si="98"/>
        <v>590.95149806981522</v>
      </c>
      <c r="BA278" s="2">
        <f t="shared" si="99"/>
        <v>0</v>
      </c>
      <c r="BC278" t="str">
        <f t="shared" si="100"/>
        <v/>
      </c>
      <c r="BE278">
        <f t="shared" si="102"/>
        <v>1.0968163716632444</v>
      </c>
      <c r="BF278">
        <f t="shared" si="103"/>
        <v>658.08982299794661</v>
      </c>
      <c r="BG278">
        <f t="shared" si="104"/>
        <v>0</v>
      </c>
    </row>
    <row r="279" spans="1:59" ht="14.5" customHeight="1" x14ac:dyDescent="0.2">
      <c r="A279" s="2" t="s">
        <v>75</v>
      </c>
      <c r="B279" s="2" t="str">
        <f>VLOOKUP($A279,'[1]daily coal, energy reqd'!$C$2:$T$599,17,FALSE)</f>
        <v>Tamil Nadu</v>
      </c>
      <c r="C279" s="2" t="str">
        <f>VLOOKUP(B279,'Target PLF'!$I$2:$J$19,2,FALSE)</f>
        <v>SR</v>
      </c>
      <c r="D279" s="2" t="s">
        <v>572</v>
      </c>
      <c r="E279" s="2" t="s">
        <v>542</v>
      </c>
      <c r="F279" s="12">
        <v>4.33949349760438</v>
      </c>
      <c r="G279" s="2">
        <v>600</v>
      </c>
      <c r="H279">
        <f>VLOOKUP(A279,'Coal savings'!$A$3:$AB$543,26,FALSE)</f>
        <v>2960324.6984109366</v>
      </c>
      <c r="O279" s="2" t="s">
        <v>75</v>
      </c>
      <c r="AH279" s="2" t="str">
        <f t="shared" si="105"/>
        <v/>
      </c>
      <c r="AI279" s="2"/>
      <c r="AJ279" s="2" t="str">
        <f t="shared" si="88"/>
        <v/>
      </c>
      <c r="AK279" s="12">
        <f t="shared" si="89"/>
        <v>0.33949349760437997</v>
      </c>
      <c r="AL279" s="2" t="s">
        <v>572</v>
      </c>
      <c r="AM279" s="2" t="str">
        <f>VLOOKUP(A279,'[12]Power plant names'!$C$2:$F$545,4,FALSE)</f>
        <v>Sub critical</v>
      </c>
      <c r="AN279" s="2">
        <v>600</v>
      </c>
      <c r="AO279" s="2">
        <f t="shared" si="90"/>
        <v>0.80566211389459286</v>
      </c>
      <c r="AP279" s="2">
        <v>600</v>
      </c>
      <c r="AQ279" s="2">
        <f t="shared" si="91"/>
        <v>0</v>
      </c>
      <c r="AR279" s="2">
        <f t="shared" si="92"/>
        <v>483.3972683367557</v>
      </c>
      <c r="AS279" s="2">
        <f t="shared" si="93"/>
        <v>0</v>
      </c>
      <c r="AU279" s="2"/>
      <c r="AV279" s="2" t="str">
        <f t="shared" si="95"/>
        <v/>
      </c>
      <c r="AW279" s="12">
        <f t="shared" si="96"/>
        <v>4.33949349760438</v>
      </c>
      <c r="AX279" s="2">
        <v>600</v>
      </c>
      <c r="AY279" s="3">
        <f t="shared" si="97"/>
        <v>1.0045780020533881</v>
      </c>
      <c r="AZ279" s="2">
        <f t="shared" si="98"/>
        <v>602.74680123203291</v>
      </c>
      <c r="BA279" s="2">
        <f t="shared" si="99"/>
        <v>0</v>
      </c>
      <c r="BC279" t="str">
        <f t="shared" si="100"/>
        <v/>
      </c>
      <c r="BE279">
        <f t="shared" si="102"/>
        <v>1.1201519117043122</v>
      </c>
      <c r="BF279">
        <f t="shared" si="103"/>
        <v>672.09114702258728</v>
      </c>
      <c r="BG279">
        <f t="shared" si="104"/>
        <v>0</v>
      </c>
    </row>
    <row r="280" spans="1:59" ht="14.5" hidden="1" customHeight="1" x14ac:dyDescent="0.2">
      <c r="A280" s="2" t="s">
        <v>300</v>
      </c>
      <c r="B280" s="2" t="str">
        <f>VLOOKUP($A280,'[1]daily coal, energy reqd'!$C$2:$T$599,17,FALSE)</f>
        <v>Bihar</v>
      </c>
      <c r="C280" s="2" t="str">
        <f>VLOOKUP(B280,'Target PLF'!$I$2:$J$19,2,FALSE)</f>
        <v>ER</v>
      </c>
      <c r="D280" s="2" t="s">
        <v>571</v>
      </c>
      <c r="E280" s="2" t="s">
        <v>543</v>
      </c>
      <c r="F280" s="12">
        <v>6.5051334702258696</v>
      </c>
      <c r="G280" s="2">
        <v>110</v>
      </c>
      <c r="H280">
        <f>VLOOKUP(A280,'Coal savings'!$A$3:$AB$543,26,FALSE)</f>
        <v>0</v>
      </c>
      <c r="I280" t="s">
        <v>694</v>
      </c>
      <c r="J280" s="37">
        <v>182.3</v>
      </c>
      <c r="O280" s="2" t="s">
        <v>300</v>
      </c>
      <c r="P280">
        <v>2019</v>
      </c>
      <c r="Q280" s="96">
        <v>385.44</v>
      </c>
      <c r="R280" s="96" t="s">
        <v>615</v>
      </c>
      <c r="S280" s="96">
        <v>157.88999999999999</v>
      </c>
      <c r="AH280" s="2" t="str">
        <f t="shared" si="105"/>
        <v>2019</v>
      </c>
      <c r="AI280" s="2">
        <f>(J280)/(1+0.115)^(AH280-2016)</f>
        <v>131.51099587567305</v>
      </c>
      <c r="AJ280" s="2">
        <f t="shared" si="88"/>
        <v>1.195554507960664</v>
      </c>
      <c r="AK280" s="12">
        <f t="shared" si="89"/>
        <v>2.5051334702258696</v>
      </c>
      <c r="AL280" s="2" t="s">
        <v>571</v>
      </c>
      <c r="AM280" s="2" t="str">
        <f>VLOOKUP(A280,'[12]Power plant names'!$C$2:$F$545,4,FALSE)</f>
        <v>Sub critical</v>
      </c>
      <c r="AN280" s="2">
        <v>110</v>
      </c>
      <c r="AO280" s="2">
        <f t="shared" si="90"/>
        <v>1.195554507960664</v>
      </c>
      <c r="AP280" s="2">
        <v>110</v>
      </c>
      <c r="AQ280" s="2">
        <f t="shared" si="91"/>
        <v>0</v>
      </c>
      <c r="AR280" s="2">
        <f t="shared" si="92"/>
        <v>131.51099587567305</v>
      </c>
      <c r="AS280" s="2">
        <f t="shared" si="93"/>
        <v>0</v>
      </c>
      <c r="AU280" s="2">
        <f t="shared" si="94"/>
        <v>182.3</v>
      </c>
      <c r="AV280" s="2">
        <f t="shared" si="95"/>
        <v>1.6572727272727275</v>
      </c>
      <c r="AW280" s="12">
        <f t="shared" si="96"/>
        <v>5.5051334702258696</v>
      </c>
      <c r="AX280" s="2">
        <v>110</v>
      </c>
      <c r="AY280" s="3">
        <f t="shared" si="97"/>
        <v>1.6572727272727275</v>
      </c>
      <c r="AZ280" s="2">
        <f t="shared" si="98"/>
        <v>182.3</v>
      </c>
      <c r="BA280" s="2">
        <f t="shared" si="99"/>
        <v>0</v>
      </c>
      <c r="BC280">
        <f t="shared" si="100"/>
        <v>203.2645</v>
      </c>
      <c r="BD280">
        <f t="shared" si="101"/>
        <v>1.8478590909090908</v>
      </c>
      <c r="BE280">
        <f t="shared" si="102"/>
        <v>1.8478590909090908</v>
      </c>
      <c r="BF280">
        <f t="shared" si="103"/>
        <v>203.2645</v>
      </c>
      <c r="BG280">
        <f t="shared" si="104"/>
        <v>0</v>
      </c>
    </row>
    <row r="281" spans="1:59" ht="14.5" hidden="1" customHeight="1" x14ac:dyDescent="0.2">
      <c r="A281" s="2" t="s">
        <v>287</v>
      </c>
      <c r="B281" s="2" t="str">
        <f>VLOOKUP($A281,'[1]daily coal, energy reqd'!$C$2:$T$599,17,FALSE)</f>
        <v>Bihar</v>
      </c>
      <c r="C281" s="2" t="str">
        <f>VLOOKUP(B281,'Target PLF'!$I$2:$J$19,2,FALSE)</f>
        <v>ER</v>
      </c>
      <c r="D281" s="2" t="s">
        <v>571</v>
      </c>
      <c r="E281" s="2" t="s">
        <v>543</v>
      </c>
      <c r="F281" s="12">
        <v>5.5058179329226498</v>
      </c>
      <c r="G281" s="2">
        <v>110</v>
      </c>
      <c r="H281">
        <f>VLOOKUP(A281,'Coal savings'!$A$3:$AB$543,26,FALSE)</f>
        <v>0</v>
      </c>
      <c r="O281" s="2" t="s">
        <v>287</v>
      </c>
      <c r="Q281" s="96"/>
      <c r="R281" s="96"/>
      <c r="S281" s="96"/>
      <c r="AH281" s="2" t="str">
        <f t="shared" si="105"/>
        <v/>
      </c>
      <c r="AI281" s="2"/>
      <c r="AJ281" s="2" t="str">
        <f t="shared" si="88"/>
        <v/>
      </c>
      <c r="AK281" s="12">
        <f t="shared" si="89"/>
        <v>1.5058179329226498</v>
      </c>
      <c r="AL281" s="2" t="s">
        <v>571</v>
      </c>
      <c r="AM281" s="2" t="str">
        <f>VLOOKUP(A281,'[12]Power plant names'!$C$2:$F$545,4,FALSE)</f>
        <v>Sub critical</v>
      </c>
      <c r="AN281" s="2">
        <v>110</v>
      </c>
      <c r="AO281" s="2">
        <f t="shared" si="90"/>
        <v>1.010932989048597</v>
      </c>
      <c r="AP281" s="2">
        <v>110</v>
      </c>
      <c r="AQ281" s="2">
        <f t="shared" si="91"/>
        <v>0</v>
      </c>
      <c r="AR281" s="2">
        <f t="shared" si="92"/>
        <v>111.20262879534566</v>
      </c>
      <c r="AS281" s="2">
        <f t="shared" si="93"/>
        <v>0</v>
      </c>
      <c r="AU281" s="2"/>
      <c r="AV281" s="2" t="str">
        <f t="shared" si="95"/>
        <v/>
      </c>
      <c r="AW281" s="12">
        <f t="shared" si="96"/>
        <v>5.5058179329226498</v>
      </c>
      <c r="AX281" s="2">
        <v>110</v>
      </c>
      <c r="AY281" s="3">
        <f t="shared" si="97"/>
        <v>1.2570458574948666</v>
      </c>
      <c r="AZ281" s="2">
        <f t="shared" si="98"/>
        <v>138.27504432443533</v>
      </c>
      <c r="BA281" s="2">
        <f t="shared" si="99"/>
        <v>0</v>
      </c>
      <c r="BC281" t="str">
        <f t="shared" si="100"/>
        <v/>
      </c>
      <c r="BE281">
        <f t="shared" si="102"/>
        <v>1.4391265277207395</v>
      </c>
      <c r="BF281">
        <f t="shared" si="103"/>
        <v>158.30391804928135</v>
      </c>
      <c r="BG281">
        <f t="shared" si="104"/>
        <v>0</v>
      </c>
    </row>
    <row r="282" spans="1:59" ht="14.5" hidden="1" customHeight="1" x14ac:dyDescent="0.2">
      <c r="A282" s="2" t="s">
        <v>251</v>
      </c>
      <c r="B282" s="2" t="str">
        <f>VLOOKUP($A282,'[1]daily coal, energy reqd'!$C$2:$T$599,17,FALSE)</f>
        <v>Bihar</v>
      </c>
      <c r="C282" s="2" t="str">
        <f>VLOOKUP(B282,'Target PLF'!$I$2:$J$19,2,FALSE)</f>
        <v>ER</v>
      </c>
      <c r="D282" s="2" t="s">
        <v>571</v>
      </c>
      <c r="E282" s="2" t="s">
        <v>543</v>
      </c>
      <c r="F282" s="12">
        <v>5.1772758384667998</v>
      </c>
      <c r="G282" s="2">
        <v>195</v>
      </c>
      <c r="H282">
        <f>VLOOKUP(A282,'Coal savings'!$A$3:$AB$543,26,FALSE)</f>
        <v>0</v>
      </c>
      <c r="I282" t="s">
        <v>694</v>
      </c>
      <c r="J282">
        <f>803.15/2</f>
        <v>401.57499999999999</v>
      </c>
      <c r="O282" s="2" t="s">
        <v>251</v>
      </c>
      <c r="Q282" s="96"/>
      <c r="R282" s="96"/>
      <c r="S282" s="96"/>
      <c r="AH282" s="2" t="str">
        <f t="shared" si="105"/>
        <v>2019</v>
      </c>
      <c r="AI282" s="2">
        <f>(J282)/(1+0.115)^(AH282-2016)</f>
        <v>289.69571129332638</v>
      </c>
      <c r="AJ282" s="2">
        <f t="shared" si="88"/>
        <v>1.4856190322734686</v>
      </c>
      <c r="AK282" s="12">
        <f t="shared" si="89"/>
        <v>1.1772758384667998</v>
      </c>
      <c r="AL282" s="2" t="s">
        <v>571</v>
      </c>
      <c r="AM282" s="2" t="str">
        <f>VLOOKUP(A282,'[12]Power plant names'!$C$2:$F$545,4,FALSE)</f>
        <v>Sub critical</v>
      </c>
      <c r="AN282" s="2">
        <v>195</v>
      </c>
      <c r="AO282" s="2">
        <f t="shared" si="90"/>
        <v>1.4856190322734686</v>
      </c>
      <c r="AP282" s="2">
        <v>195</v>
      </c>
      <c r="AQ282" s="2">
        <f t="shared" si="91"/>
        <v>0</v>
      </c>
      <c r="AR282" s="2">
        <f t="shared" si="92"/>
        <v>289.69571129332638</v>
      </c>
      <c r="AS282" s="2">
        <f t="shared" si="93"/>
        <v>0</v>
      </c>
      <c r="AU282" s="2">
        <f t="shared" si="94"/>
        <v>401.57499999999999</v>
      </c>
      <c r="AV282" s="2">
        <f t="shared" si="95"/>
        <v>2.0593589743589744</v>
      </c>
      <c r="AW282" s="12">
        <f t="shared" si="96"/>
        <v>4.1772758384667998</v>
      </c>
      <c r="AX282" s="2">
        <v>195</v>
      </c>
      <c r="AY282" s="3">
        <f t="shared" si="97"/>
        <v>2.0593589743589744</v>
      </c>
      <c r="AZ282" s="2">
        <f t="shared" si="98"/>
        <v>401.57499999999999</v>
      </c>
      <c r="BA282" s="2">
        <f t="shared" si="99"/>
        <v>0</v>
      </c>
      <c r="BC282">
        <f t="shared" si="100"/>
        <v>447.756125</v>
      </c>
      <c r="BD282">
        <f t="shared" si="101"/>
        <v>2.2961852564102565</v>
      </c>
      <c r="BE282">
        <f t="shared" si="102"/>
        <v>2.2961852564102565</v>
      </c>
      <c r="BF282">
        <f t="shared" si="103"/>
        <v>447.756125</v>
      </c>
      <c r="BG282">
        <f t="shared" si="104"/>
        <v>0</v>
      </c>
    </row>
    <row r="283" spans="1:59" ht="14.5" customHeight="1" x14ac:dyDescent="0.2">
      <c r="A283" s="2" t="s">
        <v>224</v>
      </c>
      <c r="B283" s="2" t="str">
        <f>VLOOKUP($A283,'[1]daily coal, energy reqd'!$C$2:$T$599,17,FALSE)</f>
        <v>Bihar</v>
      </c>
      <c r="C283" s="2" t="str">
        <f>VLOOKUP(B283,'Target PLF'!$I$2:$J$19,2,FALSE)</f>
        <v>ER</v>
      </c>
      <c r="D283" s="2" t="s">
        <v>571</v>
      </c>
      <c r="E283" s="2" t="s">
        <v>542</v>
      </c>
      <c r="F283" s="12">
        <v>3.1759069130732298</v>
      </c>
      <c r="G283" s="2">
        <v>195</v>
      </c>
      <c r="H283">
        <f>VLOOKUP(A283,'Coal savings'!$A$3:$AB$543,26,FALSE)</f>
        <v>564300.66574342398</v>
      </c>
      <c r="I283" t="s">
        <v>694</v>
      </c>
      <c r="J283">
        <f>803.15/2</f>
        <v>401.57499999999999</v>
      </c>
      <c r="O283" s="2" t="s">
        <v>224</v>
      </c>
      <c r="Q283" s="96"/>
      <c r="R283" s="96"/>
      <c r="S283" s="96"/>
      <c r="AH283" s="2" t="str">
        <f t="shared" si="105"/>
        <v>2019</v>
      </c>
      <c r="AI283" s="2">
        <f>(J283)/(1+0.115)^(AH283-2016)</f>
        <v>289.69571129332638</v>
      </c>
      <c r="AJ283" s="2">
        <f t="shared" si="88"/>
        <v>1.4856190322734686</v>
      </c>
      <c r="AK283" s="12">
        <f t="shared" si="89"/>
        <v>1</v>
      </c>
      <c r="AL283" s="2" t="s">
        <v>571</v>
      </c>
      <c r="AM283" s="2" t="str">
        <f>VLOOKUP(A283,'[12]Power plant names'!$C$2:$F$545,4,FALSE)</f>
        <v>Sub critical</v>
      </c>
      <c r="AN283" s="2">
        <v>195</v>
      </c>
      <c r="AO283" s="2">
        <f t="shared" si="90"/>
        <v>1.4856190322734686</v>
      </c>
      <c r="AP283" s="2">
        <v>195</v>
      </c>
      <c r="AQ283" s="2">
        <f t="shared" si="91"/>
        <v>0</v>
      </c>
      <c r="AR283" s="2">
        <f t="shared" si="92"/>
        <v>289.69571129332638</v>
      </c>
      <c r="AS283" s="2">
        <f t="shared" si="93"/>
        <v>0</v>
      </c>
      <c r="AU283" s="2">
        <f t="shared" si="94"/>
        <v>401.57499999999999</v>
      </c>
      <c r="AV283" s="2">
        <f t="shared" si="95"/>
        <v>2.0593589743589744</v>
      </c>
      <c r="AW283" s="12">
        <f t="shared" si="96"/>
        <v>2.1759069130732298</v>
      </c>
      <c r="AX283" s="2">
        <v>195</v>
      </c>
      <c r="AY283" s="3">
        <f t="shared" si="97"/>
        <v>2.0593589743589744</v>
      </c>
      <c r="AZ283" s="2">
        <f t="shared" si="98"/>
        <v>401.57499999999999</v>
      </c>
      <c r="BA283" s="2">
        <f t="shared" si="99"/>
        <v>0</v>
      </c>
      <c r="BC283">
        <f t="shared" si="100"/>
        <v>447.756125</v>
      </c>
      <c r="BD283">
        <f t="shared" si="101"/>
        <v>2.2961852564102565</v>
      </c>
      <c r="BE283">
        <f t="shared" si="102"/>
        <v>2.2961852564102565</v>
      </c>
      <c r="BF283">
        <f t="shared" si="103"/>
        <v>447.756125</v>
      </c>
      <c r="BG283">
        <f t="shared" si="104"/>
        <v>0</v>
      </c>
    </row>
    <row r="284" spans="1:59" ht="14.5" customHeight="1" x14ac:dyDescent="0.2">
      <c r="A284" s="2" t="s">
        <v>206</v>
      </c>
      <c r="B284" s="2" t="str">
        <f>VLOOKUP($A284,'[1]daily coal, energy reqd'!$C$2:$T$599,17,FALSE)</f>
        <v>Bihar</v>
      </c>
      <c r="C284" s="2" t="str">
        <f>VLOOKUP(B284,'Target PLF'!$I$2:$J$19,2,FALSE)</f>
        <v>ER</v>
      </c>
      <c r="D284" s="2" t="s">
        <v>571</v>
      </c>
      <c r="E284" s="2" t="s">
        <v>542</v>
      </c>
      <c r="F284" s="12">
        <v>4.1752224503764497</v>
      </c>
      <c r="G284" s="2">
        <v>250</v>
      </c>
      <c r="H284">
        <f>VLOOKUP(A284,'Coal savings'!$A$3:$AB$543,26,FALSE)</f>
        <v>770517.20107956871</v>
      </c>
      <c r="O284" s="2" t="s">
        <v>206</v>
      </c>
      <c r="P284">
        <v>2019</v>
      </c>
      <c r="Q284" s="96">
        <v>37.49</v>
      </c>
      <c r="R284" s="96" t="s">
        <v>615</v>
      </c>
      <c r="S284" s="96">
        <v>39.33</v>
      </c>
      <c r="AH284" s="2"/>
      <c r="AI284" s="2"/>
      <c r="AJ284" s="2" t="str">
        <f t="shared" si="88"/>
        <v/>
      </c>
      <c r="AK284" s="12">
        <f t="shared" si="89"/>
        <v>0.17522245037644968</v>
      </c>
      <c r="AL284" s="2" t="s">
        <v>571</v>
      </c>
      <c r="AM284" s="2" t="str">
        <f>VLOOKUP(A284,'[12]Power plant names'!$C$2:$F$545,4,FALSE)</f>
        <v>Sub critical</v>
      </c>
      <c r="AN284" s="2">
        <v>250</v>
      </c>
      <c r="AO284" s="2">
        <f t="shared" si="90"/>
        <v>0.96610318781656412</v>
      </c>
      <c r="AP284" s="2">
        <v>250</v>
      </c>
      <c r="AQ284" s="2">
        <f t="shared" si="91"/>
        <v>0</v>
      </c>
      <c r="AR284" s="2">
        <f t="shared" si="92"/>
        <v>241.52579695414104</v>
      </c>
      <c r="AS284" s="2">
        <f t="shared" si="93"/>
        <v>0</v>
      </c>
      <c r="AU284" s="2"/>
      <c r="AV284" s="2" t="str">
        <f t="shared" si="95"/>
        <v/>
      </c>
      <c r="AW284" s="12">
        <f t="shared" si="96"/>
        <v>4.1752224503764497</v>
      </c>
      <c r="AX284" s="2">
        <v>250</v>
      </c>
      <c r="AY284" s="3">
        <f t="shared" si="97"/>
        <v>1.2029966139630393</v>
      </c>
      <c r="AZ284" s="2">
        <f t="shared" si="98"/>
        <v>300.7491534907598</v>
      </c>
      <c r="BA284" s="2">
        <f t="shared" si="99"/>
        <v>0</v>
      </c>
      <c r="BC284" t="str">
        <f t="shared" si="100"/>
        <v/>
      </c>
      <c r="BE284">
        <f t="shared" si="102"/>
        <v>1.3694575995893226</v>
      </c>
      <c r="BF284">
        <f t="shared" si="103"/>
        <v>342.36439989733066</v>
      </c>
      <c r="BG284">
        <f t="shared" si="104"/>
        <v>0</v>
      </c>
    </row>
    <row r="285" spans="1:59" ht="14.5" customHeight="1" x14ac:dyDescent="0.2">
      <c r="A285" s="2" t="s">
        <v>199</v>
      </c>
      <c r="B285" s="2" t="str">
        <f>VLOOKUP($A285,'[1]daily coal, energy reqd'!$C$2:$T$599,17,FALSE)</f>
        <v>Bihar</v>
      </c>
      <c r="C285" s="2" t="str">
        <f>VLOOKUP(B285,'Target PLF'!$I$2:$J$19,2,FALSE)</f>
        <v>ER</v>
      </c>
      <c r="D285" s="2" t="s">
        <v>571</v>
      </c>
      <c r="E285" s="2" t="s">
        <v>542</v>
      </c>
      <c r="F285" s="12">
        <v>3.0910335386721401</v>
      </c>
      <c r="G285" s="2">
        <v>250</v>
      </c>
      <c r="H285">
        <f>VLOOKUP(A285,'Coal savings'!$A$3:$AB$543,26,FALSE)</f>
        <v>768428.22720021789</v>
      </c>
      <c r="O285" s="2" t="s">
        <v>199</v>
      </c>
      <c r="Q285" s="96"/>
      <c r="R285" s="96"/>
      <c r="S285" s="96"/>
      <c r="AH285" s="2" t="str">
        <f t="shared" ref="AH285:AH292" si="106">RIGHT(I285,4)</f>
        <v/>
      </c>
      <c r="AI285" s="2"/>
      <c r="AJ285" s="2" t="str">
        <f t="shared" si="88"/>
        <v/>
      </c>
      <c r="AK285" s="12">
        <f t="shared" si="89"/>
        <v>1</v>
      </c>
      <c r="AL285" s="2" t="s">
        <v>571</v>
      </c>
      <c r="AM285" s="2" t="str">
        <f>VLOOKUP(A285,'[12]Power plant names'!$C$2:$F$545,4,FALSE)</f>
        <v>Sub critical</v>
      </c>
      <c r="AN285" s="2">
        <v>250</v>
      </c>
      <c r="AO285" s="2">
        <f t="shared" si="90"/>
        <v>0.95467540000000006</v>
      </c>
      <c r="AP285" s="2">
        <v>250</v>
      </c>
      <c r="AQ285" s="2">
        <f t="shared" si="91"/>
        <v>0</v>
      </c>
      <c r="AR285" s="2">
        <f t="shared" si="92"/>
        <v>238.66885000000002</v>
      </c>
      <c r="AS285" s="2">
        <f t="shared" si="93"/>
        <v>0</v>
      </c>
      <c r="AU285" s="2"/>
      <c r="AV285" s="2" t="str">
        <f t="shared" si="95"/>
        <v/>
      </c>
      <c r="AW285" s="12">
        <f t="shared" si="96"/>
        <v>3.0910335386721401</v>
      </c>
      <c r="AX285" s="2">
        <v>250</v>
      </c>
      <c r="AY285" s="3">
        <f t="shared" si="97"/>
        <v>1.2226554525667352</v>
      </c>
      <c r="AZ285" s="2">
        <f t="shared" si="98"/>
        <v>305.66386314168381</v>
      </c>
      <c r="BA285" s="2">
        <f t="shared" si="99"/>
        <v>0</v>
      </c>
      <c r="BC285" t="str">
        <f t="shared" si="100"/>
        <v/>
      </c>
      <c r="BE285">
        <f t="shared" si="102"/>
        <v>1.3927931396303901</v>
      </c>
      <c r="BF285">
        <f t="shared" si="103"/>
        <v>348.1982849075975</v>
      </c>
      <c r="BG285">
        <f t="shared" si="104"/>
        <v>0</v>
      </c>
    </row>
    <row r="286" spans="1:59" ht="14.5" customHeight="1" x14ac:dyDescent="0.2">
      <c r="A286" s="2" t="s">
        <v>183</v>
      </c>
      <c r="B286" s="2" t="str">
        <f>VLOOKUP($A286,'[1]daily coal, energy reqd'!$C$2:$T$599,17,FALSE)</f>
        <v>Bihar</v>
      </c>
      <c r="C286" s="2" t="str">
        <f>VLOOKUP(B286,'Target PLF'!$I$2:$J$19,2,FALSE)</f>
        <v>ER</v>
      </c>
      <c r="D286" s="2" t="s">
        <v>571</v>
      </c>
      <c r="E286" s="2" t="s">
        <v>542</v>
      </c>
      <c r="F286" s="13">
        <v>1.2539356605065</v>
      </c>
      <c r="G286" s="2">
        <v>250</v>
      </c>
      <c r="H286">
        <f>VLOOKUP(A286,'Coal savings'!$A$3:$AB$543,26,FALSE)</f>
        <v>1268677.3629352674</v>
      </c>
      <c r="O286" s="2" t="s">
        <v>183</v>
      </c>
      <c r="Q286" s="96"/>
      <c r="R286" s="96"/>
      <c r="S286" s="96"/>
      <c r="AH286" s="2" t="str">
        <f t="shared" si="106"/>
        <v/>
      </c>
      <c r="AI286" s="2"/>
      <c r="AJ286" s="2" t="str">
        <f t="shared" si="88"/>
        <v/>
      </c>
      <c r="AK286" s="12">
        <f t="shared" si="89"/>
        <v>1</v>
      </c>
      <c r="AL286" s="2" t="s">
        <v>571</v>
      </c>
      <c r="AM286" s="2" t="str">
        <f>VLOOKUP(A286,'[12]Power plant names'!$C$2:$F$545,4,FALSE)</f>
        <v>Sub critical</v>
      </c>
      <c r="AN286" s="2">
        <v>250</v>
      </c>
      <c r="AO286" s="2">
        <f t="shared" si="90"/>
        <v>0.95467540000000006</v>
      </c>
      <c r="AP286" s="2">
        <v>250</v>
      </c>
      <c r="AQ286" s="2">
        <f t="shared" si="91"/>
        <v>0</v>
      </c>
      <c r="AR286" s="2">
        <f t="shared" si="92"/>
        <v>238.66885000000002</v>
      </c>
      <c r="AS286" s="2">
        <f t="shared" si="93"/>
        <v>0</v>
      </c>
      <c r="AU286" s="2"/>
      <c r="AV286" s="2" t="str">
        <f t="shared" si="95"/>
        <v/>
      </c>
      <c r="AW286" s="12">
        <f t="shared" si="96"/>
        <v>1.2539356605065</v>
      </c>
      <c r="AX286" s="2">
        <v>250</v>
      </c>
      <c r="AY286" s="3">
        <f t="shared" si="97"/>
        <v>1.2559662624229981</v>
      </c>
      <c r="AZ286" s="2">
        <f t="shared" si="98"/>
        <v>313.99156560574954</v>
      </c>
      <c r="BA286" s="2">
        <f t="shared" si="99"/>
        <v>0</v>
      </c>
      <c r="BC286" t="str">
        <f t="shared" si="100"/>
        <v/>
      </c>
      <c r="BE286">
        <f t="shared" si="102"/>
        <v>1.4323339158110884</v>
      </c>
      <c r="BF286">
        <f t="shared" si="103"/>
        <v>358.08347895277211</v>
      </c>
      <c r="BG286">
        <f t="shared" si="104"/>
        <v>0</v>
      </c>
    </row>
    <row r="287" spans="1:59" ht="14.5" customHeight="1" x14ac:dyDescent="0.2">
      <c r="A287" s="2" t="s">
        <v>15</v>
      </c>
      <c r="B287" s="2" t="str">
        <f>VLOOKUP($A287,'[1]daily coal, energy reqd'!$C$2:$T$599,17,FALSE)</f>
        <v>Bihar</v>
      </c>
      <c r="C287" s="2" t="str">
        <f>VLOOKUP(B287,'Target PLF'!$I$2:$J$19,2,FALSE)</f>
        <v>ER</v>
      </c>
      <c r="D287" s="2" t="s">
        <v>571</v>
      </c>
      <c r="E287" s="2" t="s">
        <v>542</v>
      </c>
      <c r="F287" s="13">
        <v>0.81040383299110197</v>
      </c>
      <c r="G287" s="2">
        <v>660</v>
      </c>
      <c r="H287">
        <f>VLOOKUP(A287,'Coal savings'!$A$3:$AB$543,26,FALSE)</f>
        <v>3152265.5592279127</v>
      </c>
      <c r="O287" s="2" t="s">
        <v>15</v>
      </c>
      <c r="AH287" s="2" t="str">
        <f t="shared" si="106"/>
        <v/>
      </c>
      <c r="AI287" s="2"/>
      <c r="AJ287" s="2" t="str">
        <f t="shared" si="88"/>
        <v/>
      </c>
      <c r="AK287" s="12">
        <f t="shared" si="89"/>
        <v>1</v>
      </c>
      <c r="AL287" s="2" t="s">
        <v>571</v>
      </c>
      <c r="AM287" s="2" t="str">
        <f>VLOOKUP(A287,'[12]Power plant names'!$C$2:$F$545,4,FALSE)</f>
        <v>Super critical</v>
      </c>
      <c r="AN287" s="2">
        <v>660</v>
      </c>
      <c r="AO287" s="2">
        <f t="shared" si="90"/>
        <v>0.76939640000000009</v>
      </c>
      <c r="AP287" s="2">
        <v>660</v>
      </c>
      <c r="AQ287" s="2">
        <f t="shared" si="91"/>
        <v>0</v>
      </c>
      <c r="AR287" s="2">
        <f t="shared" si="92"/>
        <v>507.80162400000006</v>
      </c>
      <c r="AS287" s="2">
        <f t="shared" si="93"/>
        <v>0</v>
      </c>
      <c r="AU287" s="2"/>
      <c r="AV287" s="2" t="str">
        <f t="shared" si="95"/>
        <v/>
      </c>
      <c r="AW287" s="12">
        <f t="shared" si="96"/>
        <v>0.81040383299110197</v>
      </c>
      <c r="AX287" s="2">
        <v>660</v>
      </c>
      <c r="AY287" s="3">
        <f t="shared" si="97"/>
        <v>1.0350645145790556</v>
      </c>
      <c r="AZ287" s="2">
        <f t="shared" si="98"/>
        <v>683.14257962217664</v>
      </c>
      <c r="BA287" s="2">
        <f t="shared" si="99"/>
        <v>0</v>
      </c>
      <c r="BC287" t="str">
        <f t="shared" si="100"/>
        <v/>
      </c>
      <c r="BE287">
        <f t="shared" si="102"/>
        <v>1.1539782731006161</v>
      </c>
      <c r="BF287">
        <f t="shared" si="103"/>
        <v>761.6256602464066</v>
      </c>
      <c r="BG287">
        <f t="shared" si="104"/>
        <v>0</v>
      </c>
    </row>
    <row r="288" spans="1:59" hidden="1" x14ac:dyDescent="0.2">
      <c r="A288" s="2" t="s">
        <v>509</v>
      </c>
      <c r="B288" s="2" t="str">
        <f>VLOOKUP($A288,'[1]daily coal, energy reqd'!$C$2:$T$599,17,FALSE)</f>
        <v>Maharashtra</v>
      </c>
      <c r="C288" s="2" t="str">
        <f>VLOOKUP(B288,'Target PLF'!$I$2:$J$19,2,FALSE)</f>
        <v>WR</v>
      </c>
      <c r="D288" s="2" t="s">
        <v>570</v>
      </c>
      <c r="E288" s="2" t="s">
        <v>550</v>
      </c>
      <c r="F288" s="12">
        <v>41.0924024640657</v>
      </c>
      <c r="G288" s="2">
        <v>210</v>
      </c>
      <c r="H288">
        <f>VLOOKUP(A288,'Coal savings'!$A$3:$AB$543,26,FALSE)</f>
        <v>0</v>
      </c>
      <c r="I288" t="s">
        <v>695</v>
      </c>
      <c r="J288">
        <f>332.68/3</f>
        <v>110.89333333333333</v>
      </c>
      <c r="O288" s="2" t="s">
        <v>509</v>
      </c>
      <c r="AH288" s="2" t="str">
        <f t="shared" si="106"/>
        <v>2018</v>
      </c>
      <c r="AI288" s="2">
        <f>(J288)/(1+0.115)^(AH288-2016)</f>
        <v>89.198120479666457</v>
      </c>
      <c r="AJ288" s="2">
        <f t="shared" si="88"/>
        <v>0.42475295466507834</v>
      </c>
      <c r="AK288" s="12">
        <f t="shared" si="89"/>
        <v>37.0924024640657</v>
      </c>
      <c r="AL288" s="2" t="s">
        <v>570</v>
      </c>
      <c r="AM288" s="2" t="str">
        <f>VLOOKUP(A288,'[12]Power plant names'!$C$2:$F$545,4,FALSE)</f>
        <v>Sub critical</v>
      </c>
      <c r="AN288" s="2">
        <v>210</v>
      </c>
      <c r="AO288" s="2">
        <f t="shared" si="90"/>
        <v>0.42475295466507834</v>
      </c>
      <c r="AP288" s="2">
        <v>210</v>
      </c>
      <c r="AQ288" s="2">
        <f t="shared" si="91"/>
        <v>0</v>
      </c>
      <c r="AR288" s="2">
        <f t="shared" si="92"/>
        <v>89.198120479666457</v>
      </c>
      <c r="AS288" s="2">
        <f t="shared" si="93"/>
        <v>0</v>
      </c>
      <c r="AU288" s="2">
        <f t="shared" si="94"/>
        <v>110.89333333333333</v>
      </c>
      <c r="AV288" s="2">
        <f t="shared" si="95"/>
        <v>0.52806349206349201</v>
      </c>
      <c r="AW288" s="12">
        <f t="shared" si="96"/>
        <v>39.0924024640657</v>
      </c>
      <c r="AX288" s="2">
        <v>210</v>
      </c>
      <c r="AY288" s="3">
        <f t="shared" si="97"/>
        <v>0.52806349206349201</v>
      </c>
      <c r="AZ288" s="2">
        <f t="shared" si="98"/>
        <v>110.89333333333332</v>
      </c>
      <c r="BA288" s="2">
        <f t="shared" si="99"/>
        <v>0</v>
      </c>
      <c r="BC288">
        <f t="shared" si="100"/>
        <v>137.86536433333333</v>
      </c>
      <c r="BD288">
        <f t="shared" si="101"/>
        <v>0.65650173492063491</v>
      </c>
      <c r="BE288">
        <f t="shared" si="102"/>
        <v>0.65650173492063491</v>
      </c>
      <c r="BF288">
        <f t="shared" si="103"/>
        <v>137.86536433333333</v>
      </c>
      <c r="BG288">
        <f t="shared" si="104"/>
        <v>0</v>
      </c>
    </row>
    <row r="289" spans="1:59" hidden="1" x14ac:dyDescent="0.2">
      <c r="A289" s="2" t="s">
        <v>505</v>
      </c>
      <c r="B289" s="2" t="str">
        <f>VLOOKUP($A289,'[1]daily coal, energy reqd'!$C$2:$T$599,17,FALSE)</f>
        <v>Maharashtra</v>
      </c>
      <c r="C289" s="2" t="str">
        <f>VLOOKUP(B289,'Target PLF'!$I$2:$J$19,2,FALSE)</f>
        <v>WR</v>
      </c>
      <c r="D289" s="2" t="s">
        <v>570</v>
      </c>
      <c r="E289" s="2" t="s">
        <v>549</v>
      </c>
      <c r="F289" s="12">
        <v>39.841204654346299</v>
      </c>
      <c r="G289" s="2">
        <v>210</v>
      </c>
      <c r="H289">
        <f>VLOOKUP(A289,'Coal savings'!$A$3:$AB$543,26,FALSE)</f>
        <v>0</v>
      </c>
      <c r="I289" t="s">
        <v>695</v>
      </c>
      <c r="J289">
        <f>332.68/3</f>
        <v>110.89333333333333</v>
      </c>
      <c r="O289" s="2" t="s">
        <v>505</v>
      </c>
      <c r="AH289" s="2" t="str">
        <f t="shared" si="106"/>
        <v>2018</v>
      </c>
      <c r="AI289" s="2">
        <f>(J289)/(1+0.115)^(AH289-2016)</f>
        <v>89.198120479666457</v>
      </c>
      <c r="AJ289" s="2">
        <f t="shared" si="88"/>
        <v>0.42475295466507834</v>
      </c>
      <c r="AK289" s="12">
        <f t="shared" si="89"/>
        <v>35.841204654346299</v>
      </c>
      <c r="AL289" s="2" t="s">
        <v>570</v>
      </c>
      <c r="AM289" s="2" t="str">
        <f>VLOOKUP(A289,'[12]Power plant names'!$C$2:$F$545,4,FALSE)</f>
        <v>Sub critical</v>
      </c>
      <c r="AN289" s="2">
        <v>210</v>
      </c>
      <c r="AO289" s="2">
        <f t="shared" si="90"/>
        <v>0.42475295466507834</v>
      </c>
      <c r="AP289" s="2">
        <v>210</v>
      </c>
      <c r="AQ289" s="2">
        <f t="shared" si="91"/>
        <v>0</v>
      </c>
      <c r="AR289" s="2">
        <f t="shared" si="92"/>
        <v>89.198120479666457</v>
      </c>
      <c r="AS289" s="2">
        <f t="shared" si="93"/>
        <v>0</v>
      </c>
      <c r="AU289" s="2">
        <f t="shared" si="94"/>
        <v>110.89333333333333</v>
      </c>
      <c r="AV289" s="2">
        <f t="shared" si="95"/>
        <v>0.52806349206349201</v>
      </c>
      <c r="AW289" s="12">
        <f t="shared" si="96"/>
        <v>37.841204654346299</v>
      </c>
      <c r="AX289" s="2">
        <v>210</v>
      </c>
      <c r="AY289" s="3">
        <f t="shared" si="97"/>
        <v>0.52806349206349201</v>
      </c>
      <c r="AZ289" s="2">
        <f t="shared" si="98"/>
        <v>110.89333333333332</v>
      </c>
      <c r="BA289" s="2">
        <f t="shared" si="99"/>
        <v>0</v>
      </c>
      <c r="BC289">
        <f t="shared" si="100"/>
        <v>137.86536433333333</v>
      </c>
      <c r="BD289">
        <f t="shared" si="101"/>
        <v>0.65650173492063491</v>
      </c>
      <c r="BE289">
        <f t="shared" si="102"/>
        <v>0.65650173492063491</v>
      </c>
      <c r="BF289">
        <f t="shared" si="103"/>
        <v>137.86536433333333</v>
      </c>
      <c r="BG289">
        <f t="shared" si="104"/>
        <v>0</v>
      </c>
    </row>
    <row r="290" spans="1:59" hidden="1" x14ac:dyDescent="0.2">
      <c r="A290" s="2" t="s">
        <v>499</v>
      </c>
      <c r="B290" s="2" t="str">
        <f>VLOOKUP($A290,'[1]daily coal, energy reqd'!$C$2:$T$599,17,FALSE)</f>
        <v>Maharashtra</v>
      </c>
      <c r="C290" s="2" t="str">
        <f>VLOOKUP(B290,'Target PLF'!$I$2:$J$19,2,FALSE)</f>
        <v>WR</v>
      </c>
      <c r="D290" s="2" t="s">
        <v>570</v>
      </c>
      <c r="E290" s="2" t="s">
        <v>549</v>
      </c>
      <c r="F290" s="12">
        <v>39.337440109513999</v>
      </c>
      <c r="G290" s="2">
        <v>210</v>
      </c>
      <c r="H290">
        <f>VLOOKUP(A290,'Coal savings'!$A$3:$AB$543,26,FALSE)</f>
        <v>0</v>
      </c>
      <c r="I290" t="s">
        <v>695</v>
      </c>
      <c r="J290">
        <f>332.68/3</f>
        <v>110.89333333333333</v>
      </c>
      <c r="O290" s="2" t="s">
        <v>499</v>
      </c>
      <c r="AH290" s="2" t="str">
        <f t="shared" si="106"/>
        <v>2018</v>
      </c>
      <c r="AI290" s="2">
        <f>(J290)/(1+0.115)^(AH290-2016)</f>
        <v>89.198120479666457</v>
      </c>
      <c r="AJ290" s="2">
        <f t="shared" si="88"/>
        <v>0.42475295466507834</v>
      </c>
      <c r="AK290" s="12">
        <f t="shared" si="89"/>
        <v>35.337440109513999</v>
      </c>
      <c r="AL290" s="2" t="s">
        <v>570</v>
      </c>
      <c r="AM290" s="2" t="str">
        <f>VLOOKUP(A290,'[12]Power plant names'!$C$2:$F$545,4,FALSE)</f>
        <v>Sub critical</v>
      </c>
      <c r="AN290" s="2">
        <v>210</v>
      </c>
      <c r="AO290" s="2">
        <f t="shared" si="90"/>
        <v>0.42475295466507834</v>
      </c>
      <c r="AP290" s="2">
        <v>210</v>
      </c>
      <c r="AQ290" s="2">
        <f t="shared" si="91"/>
        <v>0</v>
      </c>
      <c r="AR290" s="2">
        <f t="shared" si="92"/>
        <v>89.198120479666457</v>
      </c>
      <c r="AS290" s="2">
        <f t="shared" si="93"/>
        <v>0</v>
      </c>
      <c r="AU290" s="2">
        <f t="shared" si="94"/>
        <v>110.89333333333333</v>
      </c>
      <c r="AV290" s="2">
        <f t="shared" si="95"/>
        <v>0.52806349206349201</v>
      </c>
      <c r="AW290" s="12">
        <f t="shared" si="96"/>
        <v>37.337440109513999</v>
      </c>
      <c r="AX290" s="2">
        <v>210</v>
      </c>
      <c r="AY290" s="3">
        <f t="shared" si="97"/>
        <v>0.52806349206349201</v>
      </c>
      <c r="AZ290" s="2">
        <f t="shared" si="98"/>
        <v>110.89333333333332</v>
      </c>
      <c r="BA290" s="2">
        <f t="shared" si="99"/>
        <v>0</v>
      </c>
      <c r="BC290">
        <f t="shared" si="100"/>
        <v>137.86536433333333</v>
      </c>
      <c r="BD290">
        <f t="shared" si="101"/>
        <v>0.65650173492063491</v>
      </c>
      <c r="BE290">
        <f t="shared" si="102"/>
        <v>0.65650173492063491</v>
      </c>
      <c r="BF290">
        <f t="shared" si="103"/>
        <v>137.86536433333333</v>
      </c>
      <c r="BG290">
        <f t="shared" si="104"/>
        <v>0</v>
      </c>
    </row>
    <row r="291" spans="1:59" ht="14.5" customHeight="1" x14ac:dyDescent="0.2">
      <c r="A291" s="2" t="s">
        <v>186</v>
      </c>
      <c r="B291" s="2" t="str">
        <f>VLOOKUP($A291,'[1]daily coal, energy reqd'!$C$2:$T$599,17,FALSE)</f>
        <v>Chhatisgarh</v>
      </c>
      <c r="C291" s="2" t="str">
        <f>VLOOKUP(B291,'Target PLF'!$I$2:$J$19,2,FALSE)</f>
        <v>WR</v>
      </c>
      <c r="D291" s="2" t="s">
        <v>572</v>
      </c>
      <c r="E291" s="2" t="s">
        <v>542</v>
      </c>
      <c r="F291" s="12">
        <v>3.7563312799452402</v>
      </c>
      <c r="G291" s="2">
        <v>300</v>
      </c>
      <c r="H291">
        <f>VLOOKUP(A291,'Coal savings'!$A$3:$AB$543,26,FALSE)</f>
        <v>1554407.9354384907</v>
      </c>
      <c r="O291" s="2" t="s">
        <v>186</v>
      </c>
      <c r="AH291" s="2" t="str">
        <f t="shared" si="106"/>
        <v/>
      </c>
      <c r="AI291" s="2"/>
      <c r="AJ291" s="2" t="str">
        <f t="shared" si="88"/>
        <v/>
      </c>
      <c r="AK291" s="12">
        <f t="shared" si="89"/>
        <v>1</v>
      </c>
      <c r="AL291" s="2" t="s">
        <v>572</v>
      </c>
      <c r="AM291" s="2" t="str">
        <f>VLOOKUP(A291,'[12]Power plant names'!$C$2:$F$545,4,FALSE)</f>
        <v>Sub critical</v>
      </c>
      <c r="AN291" s="2">
        <v>300</v>
      </c>
      <c r="AO291" s="2">
        <f t="shared" si="90"/>
        <v>0.93208040000000003</v>
      </c>
      <c r="AP291" s="2">
        <v>300</v>
      </c>
      <c r="AQ291" s="2">
        <f t="shared" si="91"/>
        <v>0</v>
      </c>
      <c r="AR291" s="2">
        <f t="shared" si="92"/>
        <v>279.62412</v>
      </c>
      <c r="AS291" s="2">
        <f t="shared" si="93"/>
        <v>0</v>
      </c>
      <c r="AU291" s="2"/>
      <c r="AV291" s="2" t="str">
        <f t="shared" si="95"/>
        <v/>
      </c>
      <c r="AW291" s="12">
        <f t="shared" si="96"/>
        <v>3.7563312799452402</v>
      </c>
      <c r="AX291" s="2">
        <v>300</v>
      </c>
      <c r="AY291" s="3">
        <f t="shared" si="97"/>
        <v>1.1826720743326491</v>
      </c>
      <c r="AZ291" s="2">
        <f t="shared" si="98"/>
        <v>354.8016222997947</v>
      </c>
      <c r="BA291" s="2">
        <f t="shared" si="99"/>
        <v>0</v>
      </c>
      <c r="BC291" t="str">
        <f t="shared" si="100"/>
        <v/>
      </c>
      <c r="BE291">
        <f t="shared" si="102"/>
        <v>1.3433636036960985</v>
      </c>
      <c r="BF291">
        <f t="shared" si="103"/>
        <v>403.00908110882955</v>
      </c>
      <c r="BG291">
        <f t="shared" si="104"/>
        <v>0</v>
      </c>
    </row>
    <row r="292" spans="1:59" ht="14.5" customHeight="1" x14ac:dyDescent="0.2">
      <c r="A292" s="2" t="s">
        <v>180</v>
      </c>
      <c r="B292" s="2" t="str">
        <f>VLOOKUP($A292,'[1]daily coal, energy reqd'!$C$2:$T$599,17,FALSE)</f>
        <v>Chhatisgarh</v>
      </c>
      <c r="C292" s="2" t="str">
        <f>VLOOKUP(B292,'Target PLF'!$I$2:$J$19,2,FALSE)</f>
        <v>WR</v>
      </c>
      <c r="D292" s="2" t="s">
        <v>572</v>
      </c>
      <c r="E292" s="2" t="s">
        <v>542</v>
      </c>
      <c r="F292" s="12">
        <v>3.0910335386721401</v>
      </c>
      <c r="G292" s="2">
        <v>300</v>
      </c>
      <c r="H292">
        <f>VLOOKUP(A292,'Coal savings'!$A$3:$AB$543,26,FALSE)</f>
        <v>1551671.8092553706</v>
      </c>
      <c r="O292" s="2" t="s">
        <v>180</v>
      </c>
      <c r="AH292" s="2" t="str">
        <f t="shared" si="106"/>
        <v/>
      </c>
      <c r="AI292" s="2"/>
      <c r="AJ292" s="2" t="str">
        <f t="shared" si="88"/>
        <v/>
      </c>
      <c r="AK292" s="12">
        <f t="shared" si="89"/>
        <v>1</v>
      </c>
      <c r="AL292" s="2" t="s">
        <v>572</v>
      </c>
      <c r="AM292" s="2" t="str">
        <f>VLOOKUP(A292,'[12]Power plant names'!$C$2:$F$545,4,FALSE)</f>
        <v>Sub critical</v>
      </c>
      <c r="AN292" s="2">
        <v>300</v>
      </c>
      <c r="AO292" s="2">
        <f t="shared" si="90"/>
        <v>0.93208040000000003</v>
      </c>
      <c r="AP292" s="2">
        <v>300</v>
      </c>
      <c r="AQ292" s="2">
        <f t="shared" si="91"/>
        <v>0</v>
      </c>
      <c r="AR292" s="2">
        <f t="shared" si="92"/>
        <v>279.62412</v>
      </c>
      <c r="AS292" s="2">
        <f t="shared" si="93"/>
        <v>0</v>
      </c>
      <c r="AU292" s="2"/>
      <c r="AV292" s="2" t="str">
        <f t="shared" si="95"/>
        <v/>
      </c>
      <c r="AW292" s="12">
        <f t="shared" si="96"/>
        <v>3.0910335386721401</v>
      </c>
      <c r="AX292" s="2">
        <v>300</v>
      </c>
      <c r="AY292" s="3">
        <f t="shared" si="97"/>
        <v>1.1947354525667353</v>
      </c>
      <c r="AZ292" s="2">
        <f t="shared" si="98"/>
        <v>358.42063577002057</v>
      </c>
      <c r="BA292" s="2">
        <f t="shared" si="99"/>
        <v>0</v>
      </c>
      <c r="BC292" t="str">
        <f t="shared" si="100"/>
        <v/>
      </c>
      <c r="BE292">
        <f t="shared" si="102"/>
        <v>1.3576831396303901</v>
      </c>
      <c r="BF292">
        <f t="shared" si="103"/>
        <v>407.30494188911706</v>
      </c>
      <c r="BG292">
        <f t="shared" si="104"/>
        <v>0</v>
      </c>
    </row>
    <row r="293" spans="1:59" x14ac:dyDescent="0.2">
      <c r="A293" s="2" t="s">
        <v>59</v>
      </c>
      <c r="B293" s="2" t="str">
        <f>VLOOKUP($A293,'[1]daily coal, energy reqd'!$C$2:$T$599,17,FALSE)</f>
        <v>Madhya Pradesh</v>
      </c>
      <c r="C293" s="2" t="str">
        <f>VLOOKUP(B293,'Target PLF'!$I$2:$J$19,2,FALSE)</f>
        <v>WR</v>
      </c>
      <c r="D293" s="2" t="s">
        <v>572</v>
      </c>
      <c r="E293" s="2" t="s">
        <v>543</v>
      </c>
      <c r="F293" s="12">
        <v>5.7577002053388</v>
      </c>
      <c r="G293" s="2">
        <v>660</v>
      </c>
      <c r="H293">
        <f>VLOOKUP(A293,'Coal savings'!$A$3:$AB$543,26,FALSE)</f>
        <v>2816557.6934900517</v>
      </c>
      <c r="O293" s="2" t="s">
        <v>59</v>
      </c>
      <c r="P293">
        <v>2019</v>
      </c>
      <c r="Q293">
        <v>403.21</v>
      </c>
      <c r="R293" t="s">
        <v>609</v>
      </c>
      <c r="S293">
        <v>247.5</v>
      </c>
      <c r="AH293" s="2">
        <v>2019</v>
      </c>
      <c r="AI293" s="2">
        <f>(Q293)/(1+0.115)^(AH293-2016)</f>
        <v>290.87519828321518</v>
      </c>
      <c r="AJ293" s="2">
        <f t="shared" si="88"/>
        <v>0.4407199973988109</v>
      </c>
      <c r="AK293" s="12">
        <f t="shared" si="89"/>
        <v>1.7577002053388</v>
      </c>
      <c r="AL293" s="2" t="s">
        <v>572</v>
      </c>
      <c r="AM293" s="2" t="str">
        <f>VLOOKUP(A293,'[12]Power plant names'!$C$2:$F$545,4,FALSE)</f>
        <v>Super critical</v>
      </c>
      <c r="AN293" s="2">
        <v>660</v>
      </c>
      <c r="AO293" s="2">
        <f t="shared" si="90"/>
        <v>0.4407199973988109</v>
      </c>
      <c r="AP293" s="2">
        <v>660</v>
      </c>
      <c r="AQ293" s="2">
        <f t="shared" si="91"/>
        <v>0</v>
      </c>
      <c r="AR293" s="2">
        <f t="shared" si="92"/>
        <v>290.87519828321518</v>
      </c>
      <c r="AS293" s="2">
        <f t="shared" si="93"/>
        <v>0</v>
      </c>
      <c r="AU293" s="2">
        <f t="shared" si="94"/>
        <v>403.21</v>
      </c>
      <c r="AV293" s="2">
        <f t="shared" si="95"/>
        <v>0.61092424242424237</v>
      </c>
      <c r="AW293" s="12">
        <f t="shared" si="96"/>
        <v>4.7577002053388</v>
      </c>
      <c r="AX293" s="2">
        <v>660</v>
      </c>
      <c r="AY293" s="3">
        <f t="shared" si="97"/>
        <v>0.61092424242424237</v>
      </c>
      <c r="AZ293" s="2">
        <f t="shared" si="98"/>
        <v>403.21</v>
      </c>
      <c r="BA293" s="2">
        <f t="shared" si="99"/>
        <v>0</v>
      </c>
      <c r="BC293">
        <f t="shared" si="100"/>
        <v>449.57914999999997</v>
      </c>
      <c r="BD293">
        <f t="shared" si="101"/>
        <v>0.68118053030303027</v>
      </c>
      <c r="BE293">
        <f t="shared" si="102"/>
        <v>0.68118053030303027</v>
      </c>
      <c r="BF293">
        <f t="shared" si="103"/>
        <v>449.57914999999997</v>
      </c>
      <c r="BG293">
        <f t="shared" si="104"/>
        <v>0</v>
      </c>
    </row>
    <row r="294" spans="1:59" x14ac:dyDescent="0.2">
      <c r="A294" s="2" t="s">
        <v>56</v>
      </c>
      <c r="B294" s="2" t="str">
        <f>VLOOKUP($A294,'[1]daily coal, energy reqd'!$C$2:$T$599,17,FALSE)</f>
        <v>Madhya Pradesh</v>
      </c>
      <c r="C294" s="2" t="str">
        <f>VLOOKUP(B294,'Target PLF'!$I$2:$J$19,2,FALSE)</f>
        <v>WR</v>
      </c>
      <c r="D294" s="2" t="s">
        <v>572</v>
      </c>
      <c r="E294" s="2" t="s">
        <v>543</v>
      </c>
      <c r="F294" s="12">
        <v>5.2539356605065004</v>
      </c>
      <c r="G294" s="2">
        <v>660</v>
      </c>
      <c r="H294">
        <f>VLOOKUP(A294,'Coal savings'!$A$3:$AB$543,26,FALSE)</f>
        <v>2812339.1163517633</v>
      </c>
      <c r="O294" s="2" t="s">
        <v>56</v>
      </c>
      <c r="P294">
        <v>2019</v>
      </c>
      <c r="Q294">
        <v>403.21</v>
      </c>
      <c r="R294" t="s">
        <v>609</v>
      </c>
      <c r="S294">
        <v>247.5</v>
      </c>
      <c r="AH294" s="2">
        <v>2019</v>
      </c>
      <c r="AI294" s="2">
        <f>(Q294)/(1+0.115)^(AH294-2016)</f>
        <v>290.87519828321518</v>
      </c>
      <c r="AJ294" s="2">
        <f t="shared" si="88"/>
        <v>0.4407199973988109</v>
      </c>
      <c r="AK294" s="12">
        <f t="shared" si="89"/>
        <v>1.2539356605065004</v>
      </c>
      <c r="AL294" s="2" t="s">
        <v>572</v>
      </c>
      <c r="AM294" s="2" t="str">
        <f>VLOOKUP(A294,'[12]Power plant names'!$C$2:$F$545,4,FALSE)</f>
        <v>Super critical</v>
      </c>
      <c r="AN294" s="2">
        <v>660</v>
      </c>
      <c r="AO294" s="2">
        <f t="shared" si="90"/>
        <v>0.4407199973988109</v>
      </c>
      <c r="AP294" s="2">
        <v>660</v>
      </c>
      <c r="AQ294" s="2">
        <f t="shared" si="91"/>
        <v>0</v>
      </c>
      <c r="AR294" s="2">
        <f t="shared" si="92"/>
        <v>290.87519828321518</v>
      </c>
      <c r="AS294" s="2">
        <f t="shared" si="93"/>
        <v>0</v>
      </c>
      <c r="AU294" s="2">
        <f t="shared" si="94"/>
        <v>403.21</v>
      </c>
      <c r="AV294" s="2">
        <f t="shared" si="95"/>
        <v>0.61092424242424237</v>
      </c>
      <c r="AW294" s="12">
        <f t="shared" si="96"/>
        <v>4.2539356605065004</v>
      </c>
      <c r="AX294" s="2">
        <v>660</v>
      </c>
      <c r="AY294" s="3">
        <f t="shared" si="97"/>
        <v>0.61092424242424237</v>
      </c>
      <c r="AZ294" s="2">
        <f t="shared" si="98"/>
        <v>403.21</v>
      </c>
      <c r="BA294" s="2">
        <f t="shared" si="99"/>
        <v>0</v>
      </c>
      <c r="BC294">
        <f t="shared" si="100"/>
        <v>449.57914999999997</v>
      </c>
      <c r="BD294">
        <f t="shared" si="101"/>
        <v>0.68118053030303027</v>
      </c>
      <c r="BE294">
        <f t="shared" si="102"/>
        <v>0.68118053030303027</v>
      </c>
      <c r="BF294">
        <f t="shared" si="103"/>
        <v>449.57914999999997</v>
      </c>
      <c r="BG294">
        <f t="shared" si="104"/>
        <v>0</v>
      </c>
    </row>
    <row r="295" spans="1:59" hidden="1" x14ac:dyDescent="0.2">
      <c r="A295" s="2" t="s">
        <v>324</v>
      </c>
      <c r="B295" s="2" t="str">
        <f>VLOOKUP($A295,'[1]daily coal, energy reqd'!$C$2:$T$599,17,FALSE)</f>
        <v>Madhya Pradesh</v>
      </c>
      <c r="C295" s="2" t="str">
        <f>VLOOKUP(B295,'Target PLF'!$I$2:$J$19,2,FALSE)</f>
        <v>WR</v>
      </c>
      <c r="D295" s="2" t="s">
        <v>572</v>
      </c>
      <c r="E295" s="2" t="s">
        <v>543</v>
      </c>
      <c r="F295" s="12">
        <v>6.4229979466118996</v>
      </c>
      <c r="G295" s="2">
        <v>45</v>
      </c>
      <c r="H295">
        <f>VLOOKUP(A295,'Coal savings'!$A$3:$AB$543,26,FALSE)</f>
        <v>0</v>
      </c>
      <c r="I295" t="s">
        <v>700</v>
      </c>
      <c r="J295">
        <v>84.01</v>
      </c>
      <c r="O295" s="2" t="s">
        <v>324</v>
      </c>
      <c r="AH295" s="2" t="str">
        <f t="shared" ref="AH295:AH333" si="107">RIGHT(I295,4)</f>
        <v>2016</v>
      </c>
      <c r="AI295" s="2">
        <f>(J295)/(1+0.115)^(AH295-2016)</f>
        <v>84.01</v>
      </c>
      <c r="AJ295" s="2">
        <f t="shared" si="88"/>
        <v>1.866888888888889</v>
      </c>
      <c r="AK295" s="12">
        <f t="shared" si="89"/>
        <v>2.4229979466118996</v>
      </c>
      <c r="AL295" s="2" t="s">
        <v>572</v>
      </c>
      <c r="AM295" s="2" t="str">
        <f>VLOOKUP(A295,'[12]Power plant names'!$C$2:$F$545,4,FALSE)</f>
        <v>Sub critical</v>
      </c>
      <c r="AN295" s="2">
        <v>45</v>
      </c>
      <c r="AO295" s="2">
        <f t="shared" si="90"/>
        <v>1.866888888888889</v>
      </c>
      <c r="AP295" s="2"/>
      <c r="AQ295" s="2">
        <f t="shared" si="91"/>
        <v>45</v>
      </c>
      <c r="AR295" s="2">
        <f t="shared" si="92"/>
        <v>0</v>
      </c>
      <c r="AS295" s="2">
        <f t="shared" si="93"/>
        <v>84.01</v>
      </c>
      <c r="AU295" s="2">
        <f t="shared" si="94"/>
        <v>84.01</v>
      </c>
      <c r="AV295" s="2">
        <f t="shared" si="95"/>
        <v>1.866888888888889</v>
      </c>
      <c r="AW295" s="12">
        <f t="shared" si="96"/>
        <v>2.4229979466118996</v>
      </c>
      <c r="AX295" s="2">
        <v>45</v>
      </c>
      <c r="AY295" s="3">
        <f t="shared" si="97"/>
        <v>1.866888888888889</v>
      </c>
      <c r="AZ295" s="2">
        <f t="shared" si="98"/>
        <v>0</v>
      </c>
      <c r="BA295" s="2">
        <f t="shared" si="99"/>
        <v>84.01</v>
      </c>
      <c r="BC295">
        <f t="shared" si="100"/>
        <v>129.84656173650626</v>
      </c>
      <c r="BD295">
        <f t="shared" si="101"/>
        <v>2.8854791497001391</v>
      </c>
      <c r="BE295">
        <f t="shared" si="102"/>
        <v>2.8854791497001391</v>
      </c>
      <c r="BF295">
        <f t="shared" si="103"/>
        <v>0</v>
      </c>
      <c r="BG295">
        <f t="shared" si="104"/>
        <v>129.84656173650626</v>
      </c>
    </row>
    <row r="296" spans="1:59" hidden="1" x14ac:dyDescent="0.2">
      <c r="A296" s="2" t="s">
        <v>266</v>
      </c>
      <c r="B296" s="2" t="str">
        <f>VLOOKUP($A296,'[1]daily coal, energy reqd'!$C$2:$T$599,17,FALSE)</f>
        <v>Madhya Pradesh</v>
      </c>
      <c r="C296" s="2" t="str">
        <f>VLOOKUP(B296,'Target PLF'!$I$2:$J$19,2,FALSE)</f>
        <v>WR</v>
      </c>
      <c r="D296" s="2" t="s">
        <v>572</v>
      </c>
      <c r="E296" s="2" t="s">
        <v>542</v>
      </c>
      <c r="F296" s="13">
        <v>0.84325804243668701</v>
      </c>
      <c r="G296" s="2">
        <v>45</v>
      </c>
      <c r="H296">
        <f>VLOOKUP(A296,'Coal savings'!$A$3:$AB$543,26,FALSE)</f>
        <v>0</v>
      </c>
      <c r="J296" s="38"/>
      <c r="O296" s="2" t="s">
        <v>266</v>
      </c>
      <c r="AH296" s="2" t="str">
        <f t="shared" si="107"/>
        <v/>
      </c>
      <c r="AI296" s="2"/>
      <c r="AJ296" s="2" t="str">
        <f t="shared" si="88"/>
        <v/>
      </c>
      <c r="AK296" s="12">
        <f t="shared" si="89"/>
        <v>1</v>
      </c>
      <c r="AL296" s="2" t="s">
        <v>572</v>
      </c>
      <c r="AM296" s="2" t="str">
        <f>VLOOKUP(A296,'[12]Power plant names'!$C$2:$F$545,4,FALSE)</f>
        <v>Sub critical</v>
      </c>
      <c r="AN296" s="2">
        <v>45</v>
      </c>
      <c r="AO296" s="2">
        <f t="shared" si="90"/>
        <v>1.0473149000000002</v>
      </c>
      <c r="AP296" s="2"/>
      <c r="AQ296" s="2">
        <f t="shared" si="91"/>
        <v>45</v>
      </c>
      <c r="AR296" s="2">
        <f t="shared" si="92"/>
        <v>0</v>
      </c>
      <c r="AS296" s="2">
        <f t="shared" si="93"/>
        <v>47.129170500000008</v>
      </c>
      <c r="AU296" s="2"/>
      <c r="AV296" s="2" t="str">
        <f t="shared" si="95"/>
        <v/>
      </c>
      <c r="AW296" s="12">
        <f t="shared" si="96"/>
        <v>0.84325804243668701</v>
      </c>
      <c r="AX296" s="2">
        <v>45</v>
      </c>
      <c r="AY296" s="3">
        <f t="shared" si="97"/>
        <v>1.3778847921971253</v>
      </c>
      <c r="AZ296" s="2">
        <f t="shared" si="98"/>
        <v>0</v>
      </c>
      <c r="BA296" s="2">
        <f t="shared" si="99"/>
        <v>62.00481564887064</v>
      </c>
      <c r="BC296" t="str">
        <f t="shared" si="100"/>
        <v/>
      </c>
      <c r="BE296">
        <f t="shared" si="102"/>
        <v>1.5851241355236141</v>
      </c>
      <c r="BF296">
        <f t="shared" si="103"/>
        <v>0</v>
      </c>
      <c r="BG296">
        <f t="shared" si="104"/>
        <v>71.330586098562634</v>
      </c>
    </row>
    <row r="297" spans="1:59" ht="14.5" hidden="1" customHeight="1" x14ac:dyDescent="0.2">
      <c r="A297" s="2" t="s">
        <v>346</v>
      </c>
      <c r="B297" s="2" t="str">
        <f>VLOOKUP($A297,'[1]daily coal, energy reqd'!$C$2:$T$599,17,FALSE)</f>
        <v>Tamil Nadu</v>
      </c>
      <c r="C297" s="2" t="str">
        <f>VLOOKUP(B297,'Target PLF'!$I$2:$J$19,2,FALSE)</f>
        <v>SR</v>
      </c>
      <c r="D297" s="2" t="s">
        <v>570</v>
      </c>
      <c r="E297" s="2" t="s">
        <v>547</v>
      </c>
      <c r="F297" s="12">
        <v>16.383299110198401</v>
      </c>
      <c r="G297" s="2">
        <v>210</v>
      </c>
      <c r="H297">
        <f>VLOOKUP(A297,'Coal savings'!$A$3:$AB$543,26,FALSE)</f>
        <v>0</v>
      </c>
      <c r="I297" t="s">
        <v>694</v>
      </c>
      <c r="J297">
        <f>788.98/3</f>
        <v>262.99333333333334</v>
      </c>
      <c r="O297" s="2" t="s">
        <v>346</v>
      </c>
      <c r="P297">
        <v>2019</v>
      </c>
      <c r="Q297">
        <v>56.48</v>
      </c>
      <c r="R297" t="s">
        <v>689</v>
      </c>
      <c r="S297" s="96">
        <v>630</v>
      </c>
      <c r="AH297" s="2" t="str">
        <f t="shared" si="107"/>
        <v>2019</v>
      </c>
      <c r="AI297" s="2">
        <f t="shared" ref="AI297:AI309" si="108">(J297)/(1+0.115)^(AH297-2016)</f>
        <v>189.72306733587223</v>
      </c>
      <c r="AJ297" s="2">
        <f t="shared" si="88"/>
        <v>0.90344317778986771</v>
      </c>
      <c r="AK297" s="12">
        <f t="shared" si="89"/>
        <v>12.383299110198401</v>
      </c>
      <c r="AL297" s="2" t="s">
        <v>570</v>
      </c>
      <c r="AM297" s="2" t="str">
        <f>VLOOKUP(A297,'[12]Power plant names'!$C$2:$F$545,4,FALSE)</f>
        <v>Sub critical</v>
      </c>
      <c r="AN297" s="2">
        <v>210</v>
      </c>
      <c r="AO297" s="2">
        <f t="shared" si="90"/>
        <v>0.90344317778986771</v>
      </c>
      <c r="AP297" s="2">
        <v>210</v>
      </c>
      <c r="AQ297" s="2">
        <f t="shared" si="91"/>
        <v>0</v>
      </c>
      <c r="AR297" s="2">
        <f t="shared" si="92"/>
        <v>189.72306733587223</v>
      </c>
      <c r="AS297" s="2">
        <f t="shared" si="93"/>
        <v>0</v>
      </c>
      <c r="AU297" s="2">
        <f t="shared" si="94"/>
        <v>262.99333333333334</v>
      </c>
      <c r="AV297" s="2">
        <f t="shared" si="95"/>
        <v>1.2523492063492063</v>
      </c>
      <c r="AW297" s="12">
        <f t="shared" si="96"/>
        <v>15.383299110198401</v>
      </c>
      <c r="AX297" s="2">
        <v>210</v>
      </c>
      <c r="AY297" s="3">
        <f t="shared" si="97"/>
        <v>1.2523492063492063</v>
      </c>
      <c r="AZ297" s="2">
        <f t="shared" si="98"/>
        <v>262.99333333333334</v>
      </c>
      <c r="BA297" s="2">
        <f t="shared" si="99"/>
        <v>0</v>
      </c>
      <c r="BC297">
        <f t="shared" si="100"/>
        <v>293.23756666666668</v>
      </c>
      <c r="BD297">
        <f t="shared" si="101"/>
        <v>1.3963693650793652</v>
      </c>
      <c r="BE297">
        <f t="shared" si="102"/>
        <v>1.3963693650793652</v>
      </c>
      <c r="BF297">
        <f t="shared" si="103"/>
        <v>293.23756666666668</v>
      </c>
      <c r="BG297">
        <f t="shared" si="104"/>
        <v>0</v>
      </c>
    </row>
    <row r="298" spans="1:59" ht="14.5" hidden="1" customHeight="1" x14ac:dyDescent="0.2">
      <c r="A298" s="2" t="s">
        <v>345</v>
      </c>
      <c r="B298" s="2" t="str">
        <f>VLOOKUP($A298,'[1]daily coal, energy reqd'!$C$2:$T$599,17,FALSE)</f>
        <v>Tamil Nadu</v>
      </c>
      <c r="C298" s="2" t="str">
        <f>VLOOKUP(B298,'Target PLF'!$I$2:$J$19,2,FALSE)</f>
        <v>SR</v>
      </c>
      <c r="D298" s="2" t="s">
        <v>570</v>
      </c>
      <c r="E298" s="2" t="s">
        <v>547</v>
      </c>
      <c r="F298" s="12">
        <v>15.9247091033538</v>
      </c>
      <c r="G298" s="2">
        <v>210</v>
      </c>
      <c r="H298">
        <f>VLOOKUP(A298,'Coal savings'!$A$3:$AB$543,26,FALSE)</f>
        <v>0</v>
      </c>
      <c r="I298" t="s">
        <v>694</v>
      </c>
      <c r="J298">
        <f>788.98/3</f>
        <v>262.99333333333334</v>
      </c>
      <c r="O298" s="2" t="s">
        <v>345</v>
      </c>
      <c r="P298">
        <v>2019</v>
      </c>
      <c r="Q298">
        <v>118.8</v>
      </c>
      <c r="R298" t="s">
        <v>689</v>
      </c>
      <c r="S298" s="96"/>
      <c r="AH298" s="2" t="str">
        <f t="shared" si="107"/>
        <v>2019</v>
      </c>
      <c r="AI298" s="2">
        <f t="shared" si="108"/>
        <v>189.72306733587223</v>
      </c>
      <c r="AJ298" s="2">
        <f t="shared" si="88"/>
        <v>0.90344317778986771</v>
      </c>
      <c r="AK298" s="12">
        <f t="shared" si="89"/>
        <v>11.9247091033538</v>
      </c>
      <c r="AL298" s="2" t="s">
        <v>570</v>
      </c>
      <c r="AM298" s="2" t="str">
        <f>VLOOKUP(A298,'[12]Power plant names'!$C$2:$F$545,4,FALSE)</f>
        <v>Sub critical</v>
      </c>
      <c r="AN298" s="2">
        <v>210</v>
      </c>
      <c r="AO298" s="2">
        <f t="shared" si="90"/>
        <v>0.90344317778986771</v>
      </c>
      <c r="AP298" s="2">
        <v>210</v>
      </c>
      <c r="AQ298" s="2">
        <f t="shared" si="91"/>
        <v>0</v>
      </c>
      <c r="AR298" s="2">
        <f t="shared" si="92"/>
        <v>189.72306733587223</v>
      </c>
      <c r="AS298" s="2">
        <f t="shared" si="93"/>
        <v>0</v>
      </c>
      <c r="AU298" s="2">
        <f t="shared" si="94"/>
        <v>262.99333333333334</v>
      </c>
      <c r="AV298" s="2">
        <f t="shared" si="95"/>
        <v>1.2523492063492063</v>
      </c>
      <c r="AW298" s="12">
        <f t="shared" si="96"/>
        <v>14.9247091033538</v>
      </c>
      <c r="AX298" s="2">
        <v>210</v>
      </c>
      <c r="AY298" s="3">
        <f t="shared" si="97"/>
        <v>1.2523492063492063</v>
      </c>
      <c r="AZ298" s="2">
        <f t="shared" si="98"/>
        <v>262.99333333333334</v>
      </c>
      <c r="BA298" s="2">
        <f t="shared" si="99"/>
        <v>0</v>
      </c>
      <c r="BC298">
        <f t="shared" si="100"/>
        <v>293.23756666666668</v>
      </c>
      <c r="BD298">
        <f t="shared" si="101"/>
        <v>1.3963693650793652</v>
      </c>
      <c r="BE298">
        <f t="shared" si="102"/>
        <v>1.3963693650793652</v>
      </c>
      <c r="BF298">
        <f t="shared" si="103"/>
        <v>293.23756666666668</v>
      </c>
      <c r="BG298">
        <f t="shared" si="104"/>
        <v>0</v>
      </c>
    </row>
    <row r="299" spans="1:59" ht="14.5" hidden="1" customHeight="1" x14ac:dyDescent="0.2">
      <c r="A299" s="2" t="s">
        <v>395</v>
      </c>
      <c r="B299" s="2" t="str">
        <f>VLOOKUP($A299,'[1]daily coal, energy reqd'!$C$2:$T$599,17,FALSE)</f>
        <v>Tamil Nadu</v>
      </c>
      <c r="C299" s="2" t="str">
        <f>VLOOKUP(B299,'Target PLF'!$I$2:$J$19,2,FALSE)</f>
        <v>SR</v>
      </c>
      <c r="D299" s="2" t="s">
        <v>570</v>
      </c>
      <c r="E299" s="2" t="s">
        <v>546</v>
      </c>
      <c r="F299" s="12">
        <v>24.2546201232032</v>
      </c>
      <c r="G299" s="2">
        <v>210</v>
      </c>
      <c r="H299">
        <f>VLOOKUP(A299,'Coal savings'!$A$3:$AB$543,26,FALSE)</f>
        <v>0</v>
      </c>
      <c r="I299" t="s">
        <v>694</v>
      </c>
      <c r="J299">
        <f>788.98/3</f>
        <v>262.99333333333334</v>
      </c>
      <c r="O299" s="2" t="s">
        <v>395</v>
      </c>
      <c r="R299" t="s">
        <v>689</v>
      </c>
      <c r="S299" s="96"/>
      <c r="AH299" s="2" t="str">
        <f t="shared" si="107"/>
        <v>2019</v>
      </c>
      <c r="AI299" s="2">
        <f t="shared" si="108"/>
        <v>189.72306733587223</v>
      </c>
      <c r="AJ299" s="2">
        <f t="shared" si="88"/>
        <v>0.90344317778986771</v>
      </c>
      <c r="AK299" s="12">
        <f t="shared" si="89"/>
        <v>20.2546201232032</v>
      </c>
      <c r="AL299" s="2" t="s">
        <v>570</v>
      </c>
      <c r="AM299" s="2" t="str">
        <f>VLOOKUP(A299,'[12]Power plant names'!$C$2:$F$545,4,FALSE)</f>
        <v>Sub critical</v>
      </c>
      <c r="AN299" s="2">
        <v>210</v>
      </c>
      <c r="AO299" s="2">
        <f t="shared" si="90"/>
        <v>0.90344317778986771</v>
      </c>
      <c r="AP299" s="2">
        <v>210</v>
      </c>
      <c r="AQ299" s="2">
        <f t="shared" si="91"/>
        <v>0</v>
      </c>
      <c r="AR299" s="2">
        <f t="shared" si="92"/>
        <v>189.72306733587223</v>
      </c>
      <c r="AS299" s="2">
        <f t="shared" si="93"/>
        <v>0</v>
      </c>
      <c r="AU299" s="2">
        <f t="shared" si="94"/>
        <v>262.99333333333334</v>
      </c>
      <c r="AV299" s="2">
        <f t="shared" si="95"/>
        <v>1.2523492063492063</v>
      </c>
      <c r="AW299" s="12">
        <f t="shared" si="96"/>
        <v>23.2546201232032</v>
      </c>
      <c r="AX299" s="2">
        <v>210</v>
      </c>
      <c r="AY299" s="3">
        <f t="shared" si="97"/>
        <v>1.2523492063492063</v>
      </c>
      <c r="AZ299" s="2">
        <f t="shared" si="98"/>
        <v>262.99333333333334</v>
      </c>
      <c r="BA299" s="2">
        <f t="shared" si="99"/>
        <v>0</v>
      </c>
      <c r="BC299">
        <f t="shared" si="100"/>
        <v>293.23756666666668</v>
      </c>
      <c r="BD299">
        <f t="shared" si="101"/>
        <v>1.3963693650793652</v>
      </c>
      <c r="BE299">
        <f t="shared" si="102"/>
        <v>1.3963693650793652</v>
      </c>
      <c r="BF299">
        <f t="shared" si="103"/>
        <v>293.23756666666668</v>
      </c>
      <c r="BG299">
        <f t="shared" si="104"/>
        <v>0</v>
      </c>
    </row>
    <row r="300" spans="1:59" ht="14.5" customHeight="1" x14ac:dyDescent="0.2">
      <c r="A300" s="2" t="s">
        <v>109</v>
      </c>
      <c r="B300" s="2" t="str">
        <f>VLOOKUP($A300,'[1]daily coal, energy reqd'!$C$2:$T$599,17,FALSE)</f>
        <v>Tamil Nadu</v>
      </c>
      <c r="C300" s="2" t="str">
        <f>VLOOKUP(B300,'Target PLF'!$I$2:$J$19,2,FALSE)</f>
        <v>SR</v>
      </c>
      <c r="D300" s="2" t="s">
        <v>570</v>
      </c>
      <c r="E300" s="2" t="s">
        <v>543</v>
      </c>
      <c r="F300" s="12">
        <v>6.6009582477754902</v>
      </c>
      <c r="G300" s="2">
        <v>600</v>
      </c>
      <c r="H300">
        <f>VLOOKUP(A300,'Coal savings'!$A$3:$AB$543,26,FALSE)</f>
        <v>3189771.8208173197</v>
      </c>
      <c r="I300" t="s">
        <v>694</v>
      </c>
      <c r="J300">
        <f>854.07/2</f>
        <v>427.03500000000003</v>
      </c>
      <c r="O300" s="2" t="s">
        <v>109</v>
      </c>
      <c r="AH300" s="2" t="str">
        <f t="shared" si="107"/>
        <v>2019</v>
      </c>
      <c r="AI300" s="2">
        <f t="shared" si="108"/>
        <v>308.06252399214503</v>
      </c>
      <c r="AJ300" s="2">
        <f t="shared" si="88"/>
        <v>0.51343753998690833</v>
      </c>
      <c r="AK300" s="12">
        <f t="shared" si="89"/>
        <v>2.6009582477754902</v>
      </c>
      <c r="AL300" s="2" t="s">
        <v>570</v>
      </c>
      <c r="AM300" s="2" t="str">
        <f>VLOOKUP(A300,'[12]Power plant names'!$C$2:$F$545,4,FALSE)</f>
        <v>Sub critical</v>
      </c>
      <c r="AN300" s="2">
        <v>600</v>
      </c>
      <c r="AO300" s="2">
        <f t="shared" si="90"/>
        <v>0.51343753998690833</v>
      </c>
      <c r="AP300" s="2">
        <v>600</v>
      </c>
      <c r="AQ300" s="2">
        <f t="shared" si="91"/>
        <v>0</v>
      </c>
      <c r="AR300" s="2">
        <f t="shared" si="92"/>
        <v>308.06252399214497</v>
      </c>
      <c r="AS300" s="2">
        <f t="shared" si="93"/>
        <v>0</v>
      </c>
      <c r="AU300" s="2">
        <f t="shared" si="94"/>
        <v>427.03500000000003</v>
      </c>
      <c r="AV300" s="2">
        <f t="shared" si="95"/>
        <v>0.71172500000000005</v>
      </c>
      <c r="AW300" s="12">
        <f t="shared" si="96"/>
        <v>5.6009582477754902</v>
      </c>
      <c r="AX300" s="2">
        <v>600</v>
      </c>
      <c r="AY300" s="3">
        <f t="shared" si="97"/>
        <v>0.71172500000000005</v>
      </c>
      <c r="AZ300" s="2">
        <f t="shared" si="98"/>
        <v>427.03500000000003</v>
      </c>
      <c r="BA300" s="2">
        <f t="shared" si="99"/>
        <v>0</v>
      </c>
      <c r="BC300">
        <f t="shared" si="100"/>
        <v>476.144025</v>
      </c>
      <c r="BD300">
        <f t="shared" si="101"/>
        <v>0.79357337500000003</v>
      </c>
      <c r="BE300">
        <f t="shared" si="102"/>
        <v>0.79357337500000003</v>
      </c>
      <c r="BF300">
        <f t="shared" si="103"/>
        <v>476.144025</v>
      </c>
      <c r="BG300">
        <f t="shared" si="104"/>
        <v>0</v>
      </c>
    </row>
    <row r="301" spans="1:59" ht="14.5" customHeight="1" x14ac:dyDescent="0.2">
      <c r="A301" s="2" t="s">
        <v>112</v>
      </c>
      <c r="B301" s="2" t="str">
        <f>VLOOKUP($A301,'[1]daily coal, energy reqd'!$C$2:$T$599,17,FALSE)</f>
        <v>Tamil Nadu</v>
      </c>
      <c r="C301" s="2" t="str">
        <f>VLOOKUP(B301,'Target PLF'!$I$2:$J$19,2,FALSE)</f>
        <v>SR</v>
      </c>
      <c r="D301" s="2" t="s">
        <v>570</v>
      </c>
      <c r="E301" s="2" t="s">
        <v>543</v>
      </c>
      <c r="F301" s="12">
        <v>7.1348391512662497</v>
      </c>
      <c r="G301" s="2">
        <v>600</v>
      </c>
      <c r="H301">
        <f>VLOOKUP(A301,'Coal savings'!$A$3:$AB$543,26,FALSE)</f>
        <v>3194641.83708101</v>
      </c>
      <c r="I301" t="s">
        <v>694</v>
      </c>
      <c r="J301">
        <f>854.07/2</f>
        <v>427.03500000000003</v>
      </c>
      <c r="O301" s="2" t="s">
        <v>112</v>
      </c>
      <c r="AH301" s="2" t="str">
        <f t="shared" si="107"/>
        <v>2019</v>
      </c>
      <c r="AI301" s="2">
        <f t="shared" si="108"/>
        <v>308.06252399214503</v>
      </c>
      <c r="AJ301" s="2">
        <f t="shared" si="88"/>
        <v>0.51343753998690833</v>
      </c>
      <c r="AK301" s="12">
        <f t="shared" si="89"/>
        <v>3.1348391512662497</v>
      </c>
      <c r="AL301" s="2" t="s">
        <v>570</v>
      </c>
      <c r="AM301" s="2" t="str">
        <f>VLOOKUP(A301,'[12]Power plant names'!$C$2:$F$545,4,FALSE)</f>
        <v>Sub critical</v>
      </c>
      <c r="AN301" s="2">
        <v>600</v>
      </c>
      <c r="AO301" s="2">
        <f t="shared" si="90"/>
        <v>0.51343753998690833</v>
      </c>
      <c r="AP301" s="2">
        <v>600</v>
      </c>
      <c r="AQ301" s="2">
        <f t="shared" si="91"/>
        <v>0</v>
      </c>
      <c r="AR301" s="2">
        <f t="shared" si="92"/>
        <v>308.06252399214497</v>
      </c>
      <c r="AS301" s="2">
        <f t="shared" si="93"/>
        <v>0</v>
      </c>
      <c r="AU301" s="2">
        <f t="shared" si="94"/>
        <v>427.03500000000003</v>
      </c>
      <c r="AV301" s="2">
        <f t="shared" si="95"/>
        <v>0.71172500000000005</v>
      </c>
      <c r="AW301" s="12">
        <f t="shared" si="96"/>
        <v>6.1348391512662497</v>
      </c>
      <c r="AX301" s="2">
        <v>600</v>
      </c>
      <c r="AY301" s="3">
        <f t="shared" si="97"/>
        <v>0.71172500000000005</v>
      </c>
      <c r="AZ301" s="2">
        <f t="shared" si="98"/>
        <v>427.03500000000003</v>
      </c>
      <c r="BA301" s="2">
        <f t="shared" si="99"/>
        <v>0</v>
      </c>
      <c r="BC301">
        <f t="shared" si="100"/>
        <v>476.144025</v>
      </c>
      <c r="BD301">
        <f t="shared" si="101"/>
        <v>0.79357337500000003</v>
      </c>
      <c r="BE301">
        <f t="shared" si="102"/>
        <v>0.79357337500000003</v>
      </c>
      <c r="BF301">
        <f t="shared" si="103"/>
        <v>476.144025</v>
      </c>
      <c r="BG301">
        <f t="shared" si="104"/>
        <v>0</v>
      </c>
    </row>
    <row r="302" spans="1:59" ht="14.5" customHeight="1" x14ac:dyDescent="0.2">
      <c r="A302" s="2" t="s">
        <v>132</v>
      </c>
      <c r="B302" s="2" t="str">
        <f>VLOOKUP($A302,'[1]daily coal, energy reqd'!$C$2:$T$599,17,FALSE)</f>
        <v>Tamil Nadu</v>
      </c>
      <c r="C302" s="2" t="str">
        <f>VLOOKUP(B302,'Target PLF'!$I$2:$J$19,2,FALSE)</f>
        <v>SR</v>
      </c>
      <c r="D302" s="2" t="s">
        <v>571</v>
      </c>
      <c r="E302" s="2" t="s">
        <v>543</v>
      </c>
      <c r="F302" s="12">
        <v>5.1772758384667998</v>
      </c>
      <c r="G302" s="2">
        <v>500</v>
      </c>
      <c r="H302">
        <f>VLOOKUP(A302,'Coal savings'!$A$3:$AB$543,26,FALSE)</f>
        <v>2391588.5178458206</v>
      </c>
      <c r="I302" t="s">
        <v>694</v>
      </c>
      <c r="J302">
        <f>1090.14/2</f>
        <v>545.07000000000005</v>
      </c>
      <c r="O302" s="2" t="s">
        <v>132</v>
      </c>
      <c r="AH302" s="2" t="str">
        <f t="shared" si="107"/>
        <v>2019</v>
      </c>
      <c r="AI302" s="2">
        <f t="shared" si="108"/>
        <v>393.2128278768684</v>
      </c>
      <c r="AJ302" s="2">
        <f t="shared" si="88"/>
        <v>0.7864256557537368</v>
      </c>
      <c r="AK302" s="12">
        <f t="shared" si="89"/>
        <v>1.1772758384667998</v>
      </c>
      <c r="AL302" s="2" t="s">
        <v>571</v>
      </c>
      <c r="AM302" s="2" t="str">
        <f>VLOOKUP(A302,'[12]Power plant names'!$C$2:$F$545,4,FALSE)</f>
        <v>Sub critical</v>
      </c>
      <c r="AN302" s="2">
        <v>500</v>
      </c>
      <c r="AO302" s="2">
        <f t="shared" si="90"/>
        <v>0.7864256557537368</v>
      </c>
      <c r="AP302" s="2">
        <v>500</v>
      </c>
      <c r="AQ302" s="2">
        <f t="shared" si="91"/>
        <v>0</v>
      </c>
      <c r="AR302" s="2">
        <f t="shared" si="92"/>
        <v>393.2128278768684</v>
      </c>
      <c r="AS302" s="2">
        <f t="shared" si="93"/>
        <v>0</v>
      </c>
      <c r="AU302" s="2">
        <f t="shared" si="94"/>
        <v>545.07000000000005</v>
      </c>
      <c r="AV302" s="2">
        <f t="shared" si="95"/>
        <v>1.0901400000000001</v>
      </c>
      <c r="AW302" s="12">
        <f t="shared" si="96"/>
        <v>4.1772758384667998</v>
      </c>
      <c r="AX302" s="2">
        <v>500</v>
      </c>
      <c r="AY302" s="3">
        <f t="shared" si="97"/>
        <v>1.0901400000000001</v>
      </c>
      <c r="AZ302" s="2">
        <f t="shared" si="98"/>
        <v>545.07000000000005</v>
      </c>
      <c r="BA302" s="2">
        <f t="shared" si="99"/>
        <v>0</v>
      </c>
      <c r="BC302">
        <f t="shared" si="100"/>
        <v>607.75305000000003</v>
      </c>
      <c r="BD302">
        <f t="shared" si="101"/>
        <v>1.2155061</v>
      </c>
      <c r="BE302">
        <f t="shared" si="102"/>
        <v>1.2155061</v>
      </c>
      <c r="BF302">
        <f t="shared" si="103"/>
        <v>607.75305000000003</v>
      </c>
      <c r="BG302">
        <f t="shared" si="104"/>
        <v>0</v>
      </c>
    </row>
    <row r="303" spans="1:59" ht="14.5" customHeight="1" x14ac:dyDescent="0.2">
      <c r="A303" s="2" t="s">
        <v>130</v>
      </c>
      <c r="B303" s="2" t="str">
        <f>VLOOKUP($A303,'[1]daily coal, energy reqd'!$C$2:$T$599,17,FALSE)</f>
        <v>Tamil Nadu</v>
      </c>
      <c r="C303" s="2" t="str">
        <f>VLOOKUP(B303,'Target PLF'!$I$2:$J$19,2,FALSE)</f>
        <v>SR</v>
      </c>
      <c r="D303" s="2" t="s">
        <v>571</v>
      </c>
      <c r="E303" s="2" t="s">
        <v>542</v>
      </c>
      <c r="F303" s="12">
        <v>4.8432580424366796</v>
      </c>
      <c r="G303" s="2">
        <v>500</v>
      </c>
      <c r="H303">
        <f>VLOOKUP(A303,'Coal savings'!$A$3:$AB$543,26,FALSE)</f>
        <v>2389371.6777966586</v>
      </c>
      <c r="I303" t="s">
        <v>694</v>
      </c>
      <c r="J303">
        <f>1090.14/2</f>
        <v>545.07000000000005</v>
      </c>
      <c r="O303" s="2" t="s">
        <v>130</v>
      </c>
      <c r="AH303" s="2" t="str">
        <f t="shared" si="107"/>
        <v>2019</v>
      </c>
      <c r="AI303" s="2">
        <f t="shared" si="108"/>
        <v>393.2128278768684</v>
      </c>
      <c r="AJ303" s="2">
        <f t="shared" si="88"/>
        <v>0.7864256557537368</v>
      </c>
      <c r="AK303" s="12">
        <f t="shared" si="89"/>
        <v>0.84325804243667957</v>
      </c>
      <c r="AL303" s="2" t="s">
        <v>571</v>
      </c>
      <c r="AM303" s="2" t="str">
        <f>VLOOKUP(A303,'[12]Power plant names'!$C$2:$F$545,4,FALSE)</f>
        <v>Sub critical</v>
      </c>
      <c r="AN303" s="2">
        <v>500</v>
      </c>
      <c r="AO303" s="2">
        <f t="shared" si="90"/>
        <v>0.7864256557537368</v>
      </c>
      <c r="AP303" s="2">
        <v>500</v>
      </c>
      <c r="AQ303" s="2">
        <f t="shared" si="91"/>
        <v>0</v>
      </c>
      <c r="AR303" s="2">
        <f t="shared" si="92"/>
        <v>393.2128278768684</v>
      </c>
      <c r="AS303" s="2">
        <f t="shared" si="93"/>
        <v>0</v>
      </c>
      <c r="AU303" s="2">
        <f t="shared" si="94"/>
        <v>545.07000000000005</v>
      </c>
      <c r="AV303" s="2">
        <f t="shared" si="95"/>
        <v>1.0901400000000001</v>
      </c>
      <c r="AW303" s="12">
        <f t="shared" si="96"/>
        <v>3.8432580424366796</v>
      </c>
      <c r="AX303" s="2">
        <v>500</v>
      </c>
      <c r="AY303" s="3">
        <f t="shared" si="97"/>
        <v>1.0901400000000001</v>
      </c>
      <c r="AZ303" s="2">
        <f t="shared" si="98"/>
        <v>545.07000000000005</v>
      </c>
      <c r="BA303" s="2">
        <f t="shared" si="99"/>
        <v>0</v>
      </c>
      <c r="BC303">
        <f t="shared" si="100"/>
        <v>607.75305000000003</v>
      </c>
      <c r="BD303">
        <f t="shared" si="101"/>
        <v>1.2155061</v>
      </c>
      <c r="BE303">
        <f t="shared" si="102"/>
        <v>1.2155061</v>
      </c>
      <c r="BF303">
        <f t="shared" si="103"/>
        <v>607.75305000000003</v>
      </c>
      <c r="BG303">
        <f t="shared" si="104"/>
        <v>0</v>
      </c>
    </row>
    <row r="304" spans="1:59" ht="14.5" hidden="1" customHeight="1" x14ac:dyDescent="0.2">
      <c r="A304" s="2" t="s">
        <v>535</v>
      </c>
      <c r="B304" s="2" t="str">
        <f>VLOOKUP($A304,'[1]daily coal, energy reqd'!$C$2:$T$599,17,FALSE)</f>
        <v>Uttar Pradesh</v>
      </c>
      <c r="C304" s="2" t="str">
        <f>VLOOKUP(B304,'Target PLF'!$I$2:$J$19,2,FALSE)</f>
        <v>NR</v>
      </c>
      <c r="D304" s="2" t="s">
        <v>570</v>
      </c>
      <c r="E304" s="2" t="s">
        <v>551</v>
      </c>
      <c r="F304" s="12">
        <v>52.758384668035497</v>
      </c>
      <c r="G304" s="2">
        <v>50</v>
      </c>
      <c r="H304">
        <f>VLOOKUP(A304,'Coal savings'!$A$3:$AB$543,26,FALSE)</f>
        <v>0</v>
      </c>
      <c r="I304" t="s">
        <v>694</v>
      </c>
      <c r="J304">
        <f>(196.43/194)*50</f>
        <v>50.626288659793815</v>
      </c>
      <c r="O304" s="2" t="s">
        <v>535</v>
      </c>
      <c r="P304">
        <v>2019</v>
      </c>
      <c r="Q304" s="96">
        <v>277.56</v>
      </c>
      <c r="R304" t="s">
        <v>689</v>
      </c>
      <c r="S304">
        <v>175</v>
      </c>
      <c r="AH304" s="2" t="str">
        <f t="shared" si="107"/>
        <v>2019</v>
      </c>
      <c r="AI304" s="2">
        <f t="shared" si="108"/>
        <v>36.521742397908817</v>
      </c>
      <c r="AJ304" s="2">
        <f t="shared" si="88"/>
        <v>0.73043484795817637</v>
      </c>
      <c r="AK304" s="12">
        <f t="shared" si="89"/>
        <v>48.758384668035497</v>
      </c>
      <c r="AL304" s="2" t="s">
        <v>570</v>
      </c>
      <c r="AM304" s="2" t="str">
        <f>VLOOKUP(A304,'[12]Power plant names'!$C$2:$F$545,4,FALSE)</f>
        <v>Sub critical</v>
      </c>
      <c r="AN304" s="2">
        <v>50</v>
      </c>
      <c r="AO304" s="2">
        <f t="shared" si="90"/>
        <v>0.73043484795817637</v>
      </c>
      <c r="AP304" s="2">
        <v>50</v>
      </c>
      <c r="AQ304" s="2">
        <f t="shared" si="91"/>
        <v>0</v>
      </c>
      <c r="AR304" s="2">
        <f t="shared" si="92"/>
        <v>36.521742397908817</v>
      </c>
      <c r="AS304" s="2">
        <f t="shared" si="93"/>
        <v>0</v>
      </c>
      <c r="AU304" s="2">
        <f t="shared" si="94"/>
        <v>50.626288659793815</v>
      </c>
      <c r="AV304" s="2">
        <f t="shared" si="95"/>
        <v>1.0125257731958763</v>
      </c>
      <c r="AW304" s="12">
        <f t="shared" si="96"/>
        <v>51.758384668035497</v>
      </c>
      <c r="AX304" s="2">
        <v>50</v>
      </c>
      <c r="AY304" s="3">
        <f t="shared" si="97"/>
        <v>1.0125257731958763</v>
      </c>
      <c r="AZ304" s="2">
        <f t="shared" si="98"/>
        <v>50.626288659793815</v>
      </c>
      <c r="BA304" s="2">
        <f t="shared" si="99"/>
        <v>0</v>
      </c>
      <c r="BC304">
        <f t="shared" si="100"/>
        <v>56.448311855670106</v>
      </c>
      <c r="BD304">
        <f t="shared" si="101"/>
        <v>1.1289662371134022</v>
      </c>
      <c r="BE304">
        <f t="shared" si="102"/>
        <v>1.1289662371134022</v>
      </c>
      <c r="BF304">
        <f t="shared" si="103"/>
        <v>56.448311855670106</v>
      </c>
      <c r="BG304">
        <f t="shared" si="104"/>
        <v>0</v>
      </c>
    </row>
    <row r="305" spans="1:59" ht="14.5" hidden="1" customHeight="1" x14ac:dyDescent="0.2">
      <c r="A305" s="2" t="s">
        <v>515</v>
      </c>
      <c r="B305" s="2" t="str">
        <f>VLOOKUP($A305,'[1]daily coal, energy reqd'!$C$2:$T$599,17,FALSE)</f>
        <v>Uttar Pradesh</v>
      </c>
      <c r="C305" s="2" t="str">
        <f>VLOOKUP(B305,'Target PLF'!$I$2:$J$19,2,FALSE)</f>
        <v>NR</v>
      </c>
      <c r="D305" s="2" t="s">
        <v>570</v>
      </c>
      <c r="E305" s="2" t="s">
        <v>550</v>
      </c>
      <c r="F305" s="12">
        <v>41.338809034907598</v>
      </c>
      <c r="G305" s="2">
        <v>200</v>
      </c>
      <c r="H305">
        <f>VLOOKUP(A305,'Coal savings'!$A$3:$AB$543,26,FALSE)</f>
        <v>0</v>
      </c>
      <c r="I305" t="s">
        <v>694</v>
      </c>
      <c r="J305">
        <f>463.79/5</f>
        <v>92.75800000000001</v>
      </c>
      <c r="O305" s="2" t="s">
        <v>515</v>
      </c>
      <c r="Q305" s="96"/>
      <c r="R305" t="s">
        <v>689</v>
      </c>
      <c r="AH305" s="2" t="str">
        <f t="shared" si="107"/>
        <v>2019</v>
      </c>
      <c r="AI305" s="2">
        <f t="shared" si="108"/>
        <v>66.915507160919816</v>
      </c>
      <c r="AJ305" s="2">
        <f t="shared" si="88"/>
        <v>0.33457753580459909</v>
      </c>
      <c r="AK305" s="12">
        <f t="shared" si="89"/>
        <v>37.338809034907598</v>
      </c>
      <c r="AL305" s="2" t="s">
        <v>570</v>
      </c>
      <c r="AM305" s="2" t="str">
        <f>VLOOKUP(A305,'[12]Power plant names'!$C$2:$F$545,4,FALSE)</f>
        <v>Sub critical</v>
      </c>
      <c r="AN305" s="2">
        <v>200</v>
      </c>
      <c r="AO305" s="2">
        <f t="shared" si="90"/>
        <v>0.33457753580459909</v>
      </c>
      <c r="AP305" s="2">
        <f>900/5</f>
        <v>180</v>
      </c>
      <c r="AQ305" s="2">
        <f t="shared" si="91"/>
        <v>20</v>
      </c>
      <c r="AR305" s="2">
        <f t="shared" si="92"/>
        <v>60.223956444827834</v>
      </c>
      <c r="AS305" s="2">
        <f t="shared" si="93"/>
        <v>6.6915507160919816</v>
      </c>
      <c r="AU305" s="2">
        <f t="shared" si="94"/>
        <v>92.75800000000001</v>
      </c>
      <c r="AV305" s="2">
        <f t="shared" si="95"/>
        <v>0.46379000000000004</v>
      </c>
      <c r="AW305" s="12">
        <f t="shared" si="96"/>
        <v>40.338809034907598</v>
      </c>
      <c r="AX305" s="2">
        <v>200</v>
      </c>
      <c r="AY305" s="3">
        <f t="shared" si="97"/>
        <v>0.46379000000000004</v>
      </c>
      <c r="AZ305" s="2">
        <f t="shared" si="98"/>
        <v>83.482200000000006</v>
      </c>
      <c r="BA305" s="2">
        <f t="shared" si="99"/>
        <v>9.2758000000000003</v>
      </c>
      <c r="BC305">
        <f t="shared" si="100"/>
        <v>103.42517000000001</v>
      </c>
      <c r="BD305">
        <f t="shared" si="101"/>
        <v>0.51712585</v>
      </c>
      <c r="BE305">
        <f t="shared" si="102"/>
        <v>0.51712585</v>
      </c>
      <c r="BF305">
        <f t="shared" si="103"/>
        <v>93.082652999999993</v>
      </c>
      <c r="BG305">
        <f t="shared" si="104"/>
        <v>10.342517000000001</v>
      </c>
    </row>
    <row r="306" spans="1:59" ht="14.5" hidden="1" customHeight="1" x14ac:dyDescent="0.2">
      <c r="A306" s="2" t="s">
        <v>516</v>
      </c>
      <c r="B306" s="2" t="str">
        <f>VLOOKUP($A306,'[1]daily coal, energy reqd'!$C$2:$T$599,17,FALSE)</f>
        <v>Uttar Pradesh</v>
      </c>
      <c r="C306" s="2" t="str">
        <f>VLOOKUP(B306,'Target PLF'!$I$2:$J$19,2,FALSE)</f>
        <v>NR</v>
      </c>
      <c r="D306" s="2" t="s">
        <v>570</v>
      </c>
      <c r="E306" s="2" t="s">
        <v>550</v>
      </c>
      <c r="F306" s="12">
        <v>42.4229979466119</v>
      </c>
      <c r="G306" s="2">
        <v>200</v>
      </c>
      <c r="H306">
        <f>VLOOKUP(A306,'Coal savings'!$A$3:$AB$543,26,FALSE)</f>
        <v>0</v>
      </c>
      <c r="I306" t="s">
        <v>694</v>
      </c>
      <c r="J306">
        <f>463.79/5</f>
        <v>92.75800000000001</v>
      </c>
      <c r="O306" s="2" t="s">
        <v>516</v>
      </c>
      <c r="Q306" s="96"/>
      <c r="R306" t="s">
        <v>689</v>
      </c>
      <c r="AH306" s="2" t="str">
        <f t="shared" si="107"/>
        <v>2019</v>
      </c>
      <c r="AI306" s="2">
        <f t="shared" si="108"/>
        <v>66.915507160919816</v>
      </c>
      <c r="AJ306" s="2">
        <f t="shared" si="88"/>
        <v>0.33457753580459909</v>
      </c>
      <c r="AK306" s="12">
        <f t="shared" si="89"/>
        <v>38.4229979466119</v>
      </c>
      <c r="AL306" s="2" t="s">
        <v>570</v>
      </c>
      <c r="AM306" s="2" t="str">
        <f>VLOOKUP(A306,'[12]Power plant names'!$C$2:$F$545,4,FALSE)</f>
        <v>Sub critical</v>
      </c>
      <c r="AN306" s="2">
        <v>200</v>
      </c>
      <c r="AO306" s="2">
        <f t="shared" si="90"/>
        <v>0.33457753580459909</v>
      </c>
      <c r="AP306" s="2">
        <f>900/5</f>
        <v>180</v>
      </c>
      <c r="AQ306" s="2">
        <f t="shared" si="91"/>
        <v>20</v>
      </c>
      <c r="AR306" s="2">
        <f t="shared" si="92"/>
        <v>60.223956444827834</v>
      </c>
      <c r="AS306" s="2">
        <f t="shared" si="93"/>
        <v>6.6915507160919816</v>
      </c>
      <c r="AU306" s="2">
        <f t="shared" si="94"/>
        <v>92.75800000000001</v>
      </c>
      <c r="AV306" s="2">
        <f t="shared" si="95"/>
        <v>0.46379000000000004</v>
      </c>
      <c r="AW306" s="12">
        <f t="shared" si="96"/>
        <v>41.4229979466119</v>
      </c>
      <c r="AX306" s="2">
        <v>200</v>
      </c>
      <c r="AY306" s="3">
        <f t="shared" si="97"/>
        <v>0.46379000000000004</v>
      </c>
      <c r="AZ306" s="2">
        <f t="shared" si="98"/>
        <v>83.482200000000006</v>
      </c>
      <c r="BA306" s="2">
        <f t="shared" si="99"/>
        <v>9.2758000000000003</v>
      </c>
      <c r="BC306">
        <f t="shared" si="100"/>
        <v>103.42517000000001</v>
      </c>
      <c r="BD306">
        <f t="shared" si="101"/>
        <v>0.51712585</v>
      </c>
      <c r="BE306">
        <f t="shared" si="102"/>
        <v>0.51712585</v>
      </c>
      <c r="BF306">
        <f t="shared" si="103"/>
        <v>93.082652999999993</v>
      </c>
      <c r="BG306">
        <f t="shared" si="104"/>
        <v>10.342517000000001</v>
      </c>
    </row>
    <row r="307" spans="1:59" ht="14.5" hidden="1" customHeight="1" x14ac:dyDescent="0.2">
      <c r="A307" s="2" t="s">
        <v>502</v>
      </c>
      <c r="B307" s="2" t="str">
        <f>VLOOKUP($A307,'[1]daily coal, energy reqd'!$C$2:$T$599,17,FALSE)</f>
        <v>Uttar Pradesh</v>
      </c>
      <c r="C307" s="2" t="str">
        <f>VLOOKUP(B307,'Target PLF'!$I$2:$J$19,2,FALSE)</f>
        <v>NR</v>
      </c>
      <c r="D307" s="2" t="s">
        <v>570</v>
      </c>
      <c r="E307" s="2" t="s">
        <v>549</v>
      </c>
      <c r="F307" s="12">
        <v>39.175906913073199</v>
      </c>
      <c r="G307" s="2">
        <v>200</v>
      </c>
      <c r="H307">
        <f>VLOOKUP(A307,'Coal savings'!$A$3:$AB$543,26,FALSE)</f>
        <v>0</v>
      </c>
      <c r="I307" t="s">
        <v>694</v>
      </c>
      <c r="J307">
        <f>463.79/5</f>
        <v>92.75800000000001</v>
      </c>
      <c r="O307" s="2" t="s">
        <v>502</v>
      </c>
      <c r="Q307" s="96"/>
      <c r="R307" t="s">
        <v>689</v>
      </c>
      <c r="AH307" s="2" t="str">
        <f t="shared" si="107"/>
        <v>2019</v>
      </c>
      <c r="AI307" s="2">
        <f t="shared" si="108"/>
        <v>66.915507160919816</v>
      </c>
      <c r="AJ307" s="2">
        <f t="shared" si="88"/>
        <v>0.33457753580459909</v>
      </c>
      <c r="AK307" s="12">
        <f t="shared" si="89"/>
        <v>35.175906913073199</v>
      </c>
      <c r="AL307" s="2" t="s">
        <v>570</v>
      </c>
      <c r="AM307" s="2" t="str">
        <f>VLOOKUP(A307,'[12]Power plant names'!$C$2:$F$545,4,FALSE)</f>
        <v>Sub critical</v>
      </c>
      <c r="AN307" s="2">
        <v>200</v>
      </c>
      <c r="AO307" s="2">
        <f t="shared" si="90"/>
        <v>0.33457753580459909</v>
      </c>
      <c r="AP307" s="2">
        <f>900/5</f>
        <v>180</v>
      </c>
      <c r="AQ307" s="2">
        <f t="shared" si="91"/>
        <v>20</v>
      </c>
      <c r="AR307" s="2">
        <f t="shared" si="92"/>
        <v>60.223956444827834</v>
      </c>
      <c r="AS307" s="2">
        <f t="shared" si="93"/>
        <v>6.6915507160919816</v>
      </c>
      <c r="AU307" s="2">
        <f t="shared" si="94"/>
        <v>92.75800000000001</v>
      </c>
      <c r="AV307" s="2">
        <f t="shared" si="95"/>
        <v>0.46379000000000004</v>
      </c>
      <c r="AW307" s="12">
        <f t="shared" si="96"/>
        <v>38.175906913073199</v>
      </c>
      <c r="AX307" s="2">
        <v>200</v>
      </c>
      <c r="AY307" s="3">
        <f t="shared" si="97"/>
        <v>0.46379000000000004</v>
      </c>
      <c r="AZ307" s="2">
        <f t="shared" si="98"/>
        <v>83.482200000000006</v>
      </c>
      <c r="BA307" s="2">
        <f t="shared" si="99"/>
        <v>9.2758000000000003</v>
      </c>
      <c r="BC307">
        <f t="shared" si="100"/>
        <v>103.42517000000001</v>
      </c>
      <c r="BD307">
        <f t="shared" si="101"/>
        <v>0.51712585</v>
      </c>
      <c r="BE307">
        <f t="shared" si="102"/>
        <v>0.51712585</v>
      </c>
      <c r="BF307">
        <f t="shared" si="103"/>
        <v>93.082652999999993</v>
      </c>
      <c r="BG307">
        <f t="shared" si="104"/>
        <v>10.342517000000001</v>
      </c>
    </row>
    <row r="308" spans="1:59" ht="14.5" hidden="1" customHeight="1" x14ac:dyDescent="0.2">
      <c r="A308" s="2" t="s">
        <v>496</v>
      </c>
      <c r="B308" s="2" t="str">
        <f>VLOOKUP($A308,'[1]daily coal, energy reqd'!$C$2:$T$599,17,FALSE)</f>
        <v>Uttar Pradesh</v>
      </c>
      <c r="C308" s="2" t="str">
        <f>VLOOKUP(B308,'Target PLF'!$I$2:$J$19,2,FALSE)</f>
        <v>NR</v>
      </c>
      <c r="D308" s="2" t="s">
        <v>570</v>
      </c>
      <c r="E308" s="2" t="s">
        <v>549</v>
      </c>
      <c r="F308" s="12">
        <v>37.842573579739899</v>
      </c>
      <c r="G308" s="2">
        <v>200</v>
      </c>
      <c r="H308">
        <f>VLOOKUP(A308,'Coal savings'!$A$3:$AB$543,26,FALSE)</f>
        <v>0</v>
      </c>
      <c r="I308" t="s">
        <v>694</v>
      </c>
      <c r="J308">
        <f>463.79/5</f>
        <v>92.75800000000001</v>
      </c>
      <c r="O308" s="2" t="s">
        <v>496</v>
      </c>
      <c r="Q308" s="96"/>
      <c r="R308" t="s">
        <v>689</v>
      </c>
      <c r="AH308" s="2" t="str">
        <f t="shared" si="107"/>
        <v>2019</v>
      </c>
      <c r="AI308" s="2">
        <f t="shared" si="108"/>
        <v>66.915507160919816</v>
      </c>
      <c r="AJ308" s="2">
        <f t="shared" si="88"/>
        <v>0.33457753580459909</v>
      </c>
      <c r="AK308" s="12">
        <f t="shared" si="89"/>
        <v>33.842573579739899</v>
      </c>
      <c r="AL308" s="2" t="s">
        <v>570</v>
      </c>
      <c r="AM308" s="2" t="str">
        <f>VLOOKUP(A308,'[12]Power plant names'!$C$2:$F$545,4,FALSE)</f>
        <v>Sub critical</v>
      </c>
      <c r="AN308" s="2">
        <v>200</v>
      </c>
      <c r="AO308" s="2">
        <f t="shared" si="90"/>
        <v>0.33457753580459909</v>
      </c>
      <c r="AP308" s="2">
        <f>900/5</f>
        <v>180</v>
      </c>
      <c r="AQ308" s="2">
        <f t="shared" si="91"/>
        <v>20</v>
      </c>
      <c r="AR308" s="2">
        <f t="shared" si="92"/>
        <v>60.223956444827834</v>
      </c>
      <c r="AS308" s="2">
        <f t="shared" si="93"/>
        <v>6.6915507160919816</v>
      </c>
      <c r="AU308" s="2">
        <f t="shared" si="94"/>
        <v>92.75800000000001</v>
      </c>
      <c r="AV308" s="2">
        <f t="shared" si="95"/>
        <v>0.46379000000000004</v>
      </c>
      <c r="AW308" s="12">
        <f t="shared" si="96"/>
        <v>36.842573579739899</v>
      </c>
      <c r="AX308" s="2">
        <v>200</v>
      </c>
      <c r="AY308" s="3">
        <f t="shared" si="97"/>
        <v>0.46379000000000004</v>
      </c>
      <c r="AZ308" s="2">
        <f t="shared" si="98"/>
        <v>83.482200000000006</v>
      </c>
      <c r="BA308" s="2">
        <f t="shared" si="99"/>
        <v>9.2758000000000003</v>
      </c>
      <c r="BC308">
        <f t="shared" si="100"/>
        <v>103.42517000000001</v>
      </c>
      <c r="BD308">
        <f t="shared" si="101"/>
        <v>0.51712585</v>
      </c>
      <c r="BE308">
        <f t="shared" si="102"/>
        <v>0.51712585</v>
      </c>
      <c r="BF308">
        <f t="shared" si="103"/>
        <v>93.082652999999993</v>
      </c>
      <c r="BG308">
        <f t="shared" si="104"/>
        <v>10.342517000000001</v>
      </c>
    </row>
    <row r="309" spans="1:59" ht="14.5" hidden="1" customHeight="1" x14ac:dyDescent="0.2">
      <c r="A309" s="2" t="s">
        <v>506</v>
      </c>
      <c r="B309" s="2" t="str">
        <f>VLOOKUP($A309,'[1]daily coal, energy reqd'!$C$2:$T$599,17,FALSE)</f>
        <v>Uttar Pradesh</v>
      </c>
      <c r="C309" s="2" t="str">
        <f>VLOOKUP(B309,'Target PLF'!$I$2:$J$19,2,FALSE)</f>
        <v>NR</v>
      </c>
      <c r="D309" s="2" t="s">
        <v>570</v>
      </c>
      <c r="E309" s="2" t="s">
        <v>549</v>
      </c>
      <c r="F309" s="12">
        <v>39.589322381930103</v>
      </c>
      <c r="G309" s="2">
        <v>200</v>
      </c>
      <c r="H309">
        <f>VLOOKUP(A309,'Coal savings'!$A$3:$AB$543,26,FALSE)</f>
        <v>0</v>
      </c>
      <c r="I309" t="s">
        <v>694</v>
      </c>
      <c r="J309">
        <f>463.79/5</f>
        <v>92.75800000000001</v>
      </c>
      <c r="O309" s="2" t="s">
        <v>506</v>
      </c>
      <c r="Q309" s="96"/>
      <c r="R309" t="s">
        <v>689</v>
      </c>
      <c r="AH309" s="2" t="str">
        <f t="shared" si="107"/>
        <v>2019</v>
      </c>
      <c r="AI309" s="2">
        <f t="shared" si="108"/>
        <v>66.915507160919816</v>
      </c>
      <c r="AJ309" s="2">
        <f t="shared" si="88"/>
        <v>0.33457753580459909</v>
      </c>
      <c r="AK309" s="12">
        <f t="shared" si="89"/>
        <v>35.589322381930103</v>
      </c>
      <c r="AL309" s="2" t="s">
        <v>570</v>
      </c>
      <c r="AM309" s="2" t="str">
        <f>VLOOKUP(A309,'[12]Power plant names'!$C$2:$F$545,4,FALSE)</f>
        <v>Sub critical</v>
      </c>
      <c r="AN309" s="2">
        <v>200</v>
      </c>
      <c r="AO309" s="2">
        <f t="shared" si="90"/>
        <v>0.33457753580459909</v>
      </c>
      <c r="AP309" s="2">
        <f>900/5</f>
        <v>180</v>
      </c>
      <c r="AQ309" s="2">
        <f t="shared" si="91"/>
        <v>20</v>
      </c>
      <c r="AR309" s="2">
        <f t="shared" si="92"/>
        <v>60.223956444827834</v>
      </c>
      <c r="AS309" s="2">
        <f t="shared" si="93"/>
        <v>6.6915507160919816</v>
      </c>
      <c r="AU309" s="2">
        <f t="shared" si="94"/>
        <v>92.75800000000001</v>
      </c>
      <c r="AV309" s="2">
        <f t="shared" si="95"/>
        <v>0.46379000000000004</v>
      </c>
      <c r="AW309" s="12">
        <f t="shared" si="96"/>
        <v>38.589322381930103</v>
      </c>
      <c r="AX309" s="2">
        <v>200</v>
      </c>
      <c r="AY309" s="3">
        <f t="shared" si="97"/>
        <v>0.46379000000000004</v>
      </c>
      <c r="AZ309" s="2">
        <f t="shared" si="98"/>
        <v>83.482200000000006</v>
      </c>
      <c r="BA309" s="2">
        <f t="shared" si="99"/>
        <v>9.2758000000000003</v>
      </c>
      <c r="BC309">
        <f t="shared" si="100"/>
        <v>103.42517000000001</v>
      </c>
      <c r="BD309">
        <f t="shared" si="101"/>
        <v>0.51712585</v>
      </c>
      <c r="BE309">
        <f t="shared" si="102"/>
        <v>0.51712585</v>
      </c>
      <c r="BF309">
        <f t="shared" si="103"/>
        <v>93.082652999999993</v>
      </c>
      <c r="BG309">
        <f t="shared" si="104"/>
        <v>10.342517000000001</v>
      </c>
    </row>
    <row r="310" spans="1:59" ht="14.5" hidden="1" customHeight="1" x14ac:dyDescent="0.2">
      <c r="A310" s="2" t="s">
        <v>301</v>
      </c>
      <c r="B310" s="2" t="str">
        <f>VLOOKUP($A310,'[1]daily coal, energy reqd'!$C$2:$T$599,17,FALSE)</f>
        <v>Chhatisgarh</v>
      </c>
      <c r="C310" s="2" t="str">
        <f>VLOOKUP(B310,'Target PLF'!$I$2:$J$19,2,FALSE)</f>
        <v>WR</v>
      </c>
      <c r="D310" s="2" t="s">
        <v>572</v>
      </c>
      <c r="E310" s="2" t="s">
        <v>544</v>
      </c>
      <c r="F310" s="12">
        <v>12.6735112936344</v>
      </c>
      <c r="G310" s="2">
        <v>250</v>
      </c>
      <c r="H310">
        <f>VLOOKUP(A310,'Coal savings'!$A$3:$AB$543,26,FALSE)</f>
        <v>0</v>
      </c>
      <c r="O310" s="2" t="s">
        <v>301</v>
      </c>
      <c r="AH310" s="2" t="str">
        <f t="shared" si="107"/>
        <v/>
      </c>
      <c r="AI310" s="2"/>
      <c r="AJ310" s="2" t="str">
        <f t="shared" si="88"/>
        <v/>
      </c>
      <c r="AK310" s="12">
        <f t="shared" si="89"/>
        <v>8.6735112936343999</v>
      </c>
      <c r="AL310" s="2" t="s">
        <v>572</v>
      </c>
      <c r="AM310" s="2" t="str">
        <f>VLOOKUP(A310,'[12]Power plant names'!$C$2:$F$545,4,FALSE)</f>
        <v>Sub critical</v>
      </c>
      <c r="AN310" s="2">
        <v>250</v>
      </c>
      <c r="AO310" s="2">
        <f t="shared" si="90"/>
        <v>0.84835429691991937</v>
      </c>
      <c r="AP310" s="2">
        <v>250</v>
      </c>
      <c r="AQ310" s="2">
        <f t="shared" si="91"/>
        <v>0</v>
      </c>
      <c r="AR310" s="2">
        <f t="shared" si="92"/>
        <v>212.08857422997986</v>
      </c>
      <c r="AS310" s="2">
        <f t="shared" si="93"/>
        <v>0</v>
      </c>
      <c r="AU310" s="2"/>
      <c r="AV310" s="2" t="str">
        <f t="shared" si="95"/>
        <v/>
      </c>
      <c r="AW310" s="12">
        <f t="shared" si="96"/>
        <v>12.6735112936344</v>
      </c>
      <c r="AX310" s="2">
        <v>250</v>
      </c>
      <c r="AY310" s="3">
        <f t="shared" si="97"/>
        <v>1.0489030911704331</v>
      </c>
      <c r="AZ310" s="2">
        <f t="shared" si="98"/>
        <v>262.22577279260827</v>
      </c>
      <c r="BA310" s="2">
        <f t="shared" si="99"/>
        <v>0</v>
      </c>
      <c r="BC310" t="str">
        <f t="shared" si="100"/>
        <v/>
      </c>
      <c r="BE310">
        <f t="shared" si="102"/>
        <v>1.18654467967146</v>
      </c>
      <c r="BF310">
        <f t="shared" si="103"/>
        <v>296.636169917865</v>
      </c>
      <c r="BG310">
        <f t="shared" si="104"/>
        <v>0</v>
      </c>
    </row>
    <row r="311" spans="1:59" ht="14.5" hidden="1" customHeight="1" x14ac:dyDescent="0.2">
      <c r="A311" s="2" t="s">
        <v>294</v>
      </c>
      <c r="B311" s="2" t="str">
        <f>VLOOKUP($A311,'[1]daily coal, energy reqd'!$C$2:$T$599,17,FALSE)</f>
        <v>Chhatisgarh</v>
      </c>
      <c r="C311" s="2" t="str">
        <f>VLOOKUP(B311,'Target PLF'!$I$2:$J$19,2,FALSE)</f>
        <v>WR</v>
      </c>
      <c r="D311" s="2" t="s">
        <v>572</v>
      </c>
      <c r="E311" s="2" t="s">
        <v>544</v>
      </c>
      <c r="F311" s="12">
        <v>12.2546201232032</v>
      </c>
      <c r="G311" s="2">
        <v>250</v>
      </c>
      <c r="H311">
        <f>VLOOKUP(A311,'Coal savings'!$A$3:$AB$543,26,FALSE)</f>
        <v>0</v>
      </c>
      <c r="O311" s="2" t="s">
        <v>294</v>
      </c>
      <c r="AH311" s="2" t="str">
        <f t="shared" si="107"/>
        <v/>
      </c>
      <c r="AI311" s="2"/>
      <c r="AJ311" s="2" t="str">
        <f t="shared" si="88"/>
        <v/>
      </c>
      <c r="AK311" s="12">
        <f t="shared" si="89"/>
        <v>8.2546201232031997</v>
      </c>
      <c r="AL311" s="2" t="s">
        <v>572</v>
      </c>
      <c r="AM311" s="2" t="str">
        <f>VLOOKUP(A311,'[12]Power plant names'!$C$2:$F$545,4,FALSE)</f>
        <v>Sub critical</v>
      </c>
      <c r="AN311" s="2">
        <v>250</v>
      </c>
      <c r="AO311" s="2">
        <f t="shared" si="90"/>
        <v>0.85415828542094585</v>
      </c>
      <c r="AP311" s="2">
        <v>250</v>
      </c>
      <c r="AQ311" s="2">
        <f t="shared" si="91"/>
        <v>0</v>
      </c>
      <c r="AR311" s="2">
        <f t="shared" si="92"/>
        <v>213.53957135523646</v>
      </c>
      <c r="AS311" s="2">
        <f t="shared" si="93"/>
        <v>0</v>
      </c>
      <c r="AU311" s="2"/>
      <c r="AV311" s="2" t="str">
        <f t="shared" si="95"/>
        <v/>
      </c>
      <c r="AW311" s="12">
        <f t="shared" si="96"/>
        <v>12.2546201232032</v>
      </c>
      <c r="AX311" s="2">
        <v>250</v>
      </c>
      <c r="AY311" s="3">
        <f t="shared" si="97"/>
        <v>1.0564985515400427</v>
      </c>
      <c r="AZ311" s="2">
        <f t="shared" si="98"/>
        <v>264.12463788501066</v>
      </c>
      <c r="BA311" s="2">
        <f t="shared" si="99"/>
        <v>0</v>
      </c>
      <c r="BC311" t="str">
        <f t="shared" si="100"/>
        <v/>
      </c>
      <c r="BE311">
        <f t="shared" si="102"/>
        <v>1.1955606837782358</v>
      </c>
      <c r="BF311">
        <f t="shared" si="103"/>
        <v>298.89017094455892</v>
      </c>
      <c r="BG311">
        <f t="shared" si="104"/>
        <v>0</v>
      </c>
    </row>
    <row r="312" spans="1:59" ht="14.5" customHeight="1" x14ac:dyDescent="0.2">
      <c r="A312" s="2" t="s">
        <v>105</v>
      </c>
      <c r="B312" s="2" t="str">
        <f>VLOOKUP($A312,'[1]daily coal, energy reqd'!$C$2:$T$599,17,FALSE)</f>
        <v>Chhatisgarh</v>
      </c>
      <c r="C312" s="2" t="str">
        <f>VLOOKUP(B312,'Target PLF'!$I$2:$J$19,2,FALSE)</f>
        <v>WR</v>
      </c>
      <c r="D312" s="2" t="s">
        <v>572</v>
      </c>
      <c r="E312" s="2" t="s">
        <v>543</v>
      </c>
      <c r="F312" s="12">
        <v>6.1765913757700197</v>
      </c>
      <c r="G312" s="2">
        <v>600</v>
      </c>
      <c r="H312">
        <f>VLOOKUP(A312,'Coal savings'!$A$3:$AB$543,26,FALSE)</f>
        <v>3006143.9365332294</v>
      </c>
      <c r="O312" s="2" t="s">
        <v>105</v>
      </c>
      <c r="AH312" s="2" t="str">
        <f t="shared" si="107"/>
        <v/>
      </c>
      <c r="AI312" s="2"/>
      <c r="AJ312" s="2" t="str">
        <f t="shared" si="88"/>
        <v/>
      </c>
      <c r="AK312" s="12">
        <f t="shared" si="89"/>
        <v>2.1765913757700197</v>
      </c>
      <c r="AL312" s="2" t="s">
        <v>572</v>
      </c>
      <c r="AM312" s="2" t="str">
        <f>VLOOKUP(A312,'[12]Power plant names'!$C$2:$F$545,4,FALSE)</f>
        <v>Sub critical</v>
      </c>
      <c r="AN312" s="2">
        <v>600</v>
      </c>
      <c r="AO312" s="2">
        <f t="shared" si="90"/>
        <v>0.78020802053388105</v>
      </c>
      <c r="AP312" s="2">
        <v>600</v>
      </c>
      <c r="AQ312" s="2">
        <f t="shared" si="91"/>
        <v>0</v>
      </c>
      <c r="AR312" s="2">
        <f t="shared" si="92"/>
        <v>468.12481232032866</v>
      </c>
      <c r="AS312" s="2">
        <f t="shared" si="93"/>
        <v>0</v>
      </c>
      <c r="AU312" s="2"/>
      <c r="AV312" s="2" t="str">
        <f t="shared" si="95"/>
        <v/>
      </c>
      <c r="AW312" s="12">
        <f t="shared" si="96"/>
        <v>6.1765913757700197</v>
      </c>
      <c r="AX312" s="2">
        <v>600</v>
      </c>
      <c r="AY312" s="3">
        <f t="shared" si="97"/>
        <v>0.97126719219712543</v>
      </c>
      <c r="AZ312" s="2">
        <f t="shared" si="98"/>
        <v>582.76031531827527</v>
      </c>
      <c r="BA312" s="2">
        <f t="shared" si="99"/>
        <v>0</v>
      </c>
      <c r="BC312" t="str">
        <f t="shared" si="100"/>
        <v/>
      </c>
      <c r="BE312">
        <f t="shared" si="102"/>
        <v>1.0806111355236139</v>
      </c>
      <c r="BF312">
        <f t="shared" si="103"/>
        <v>648.36668131416832</v>
      </c>
      <c r="BG312">
        <f t="shared" si="104"/>
        <v>0</v>
      </c>
    </row>
    <row r="313" spans="1:59" ht="14.5" customHeight="1" x14ac:dyDescent="0.2">
      <c r="A313" s="2" t="s">
        <v>104</v>
      </c>
      <c r="B313" s="2" t="str">
        <f>VLOOKUP($A313,'[1]daily coal, energy reqd'!$C$2:$T$599,17,FALSE)</f>
        <v>Chhatisgarh</v>
      </c>
      <c r="C313" s="2" t="str">
        <f>VLOOKUP(B313,'Target PLF'!$I$2:$J$19,2,FALSE)</f>
        <v>WR</v>
      </c>
      <c r="D313" s="2" t="s">
        <v>572</v>
      </c>
      <c r="E313" s="2" t="s">
        <v>543</v>
      </c>
      <c r="F313" s="12">
        <v>6.1765913757700197</v>
      </c>
      <c r="G313" s="2">
        <v>600</v>
      </c>
      <c r="H313">
        <f>VLOOKUP(A313,'Coal savings'!$A$3:$AB$543,26,FALSE)</f>
        <v>3006143.9365332294</v>
      </c>
      <c r="O313" s="2" t="s">
        <v>104</v>
      </c>
      <c r="AH313" s="2" t="str">
        <f t="shared" si="107"/>
        <v/>
      </c>
      <c r="AI313" s="2"/>
      <c r="AJ313" s="2" t="str">
        <f t="shared" si="88"/>
        <v/>
      </c>
      <c r="AK313" s="12">
        <f t="shared" si="89"/>
        <v>2.1765913757700197</v>
      </c>
      <c r="AL313" s="2" t="s">
        <v>572</v>
      </c>
      <c r="AM313" s="2" t="str">
        <f>VLOOKUP(A313,'[12]Power plant names'!$C$2:$F$545,4,FALSE)</f>
        <v>Sub critical</v>
      </c>
      <c r="AN313" s="2">
        <v>600</v>
      </c>
      <c r="AO313" s="2">
        <f t="shared" si="90"/>
        <v>0.78020802053388105</v>
      </c>
      <c r="AP313" s="2">
        <v>600</v>
      </c>
      <c r="AQ313" s="2">
        <f t="shared" si="91"/>
        <v>0</v>
      </c>
      <c r="AR313" s="2">
        <f t="shared" si="92"/>
        <v>468.12481232032866</v>
      </c>
      <c r="AS313" s="2">
        <f t="shared" si="93"/>
        <v>0</v>
      </c>
      <c r="AU313" s="2"/>
      <c r="AV313" s="2" t="str">
        <f t="shared" si="95"/>
        <v/>
      </c>
      <c r="AW313" s="12">
        <f t="shared" si="96"/>
        <v>6.1765913757700197</v>
      </c>
      <c r="AX313" s="2">
        <v>600</v>
      </c>
      <c r="AY313" s="3">
        <f t="shared" si="97"/>
        <v>0.97126719219712543</v>
      </c>
      <c r="AZ313" s="2">
        <f t="shared" si="98"/>
        <v>582.76031531827527</v>
      </c>
      <c r="BA313" s="2">
        <f t="shared" si="99"/>
        <v>0</v>
      </c>
      <c r="BC313" t="str">
        <f t="shared" si="100"/>
        <v/>
      </c>
      <c r="BE313">
        <f t="shared" si="102"/>
        <v>1.0806111355236139</v>
      </c>
      <c r="BF313">
        <f t="shared" si="103"/>
        <v>648.36668131416832</v>
      </c>
      <c r="BG313">
        <f t="shared" si="104"/>
        <v>0</v>
      </c>
    </row>
    <row r="314" spans="1:59" ht="14.5" customHeight="1" x14ac:dyDescent="0.2">
      <c r="A314" s="2" t="s">
        <v>88</v>
      </c>
      <c r="B314" s="2" t="str">
        <f>VLOOKUP($A314,'[1]daily coal, energy reqd'!$C$2:$T$599,17,FALSE)</f>
        <v>Chhatisgarh</v>
      </c>
      <c r="C314" s="2" t="str">
        <f>VLOOKUP(B314,'Target PLF'!$I$2:$J$19,2,FALSE)</f>
        <v>WR</v>
      </c>
      <c r="D314" s="2" t="s">
        <v>572</v>
      </c>
      <c r="E314" s="2" t="s">
        <v>543</v>
      </c>
      <c r="F314" s="12">
        <v>5.3388090349075901</v>
      </c>
      <c r="G314" s="2">
        <v>600</v>
      </c>
      <c r="H314">
        <f>VLOOKUP(A314,'Coal savings'!$A$3:$AB$543,26,FALSE)</f>
        <v>2998828.7351528537</v>
      </c>
      <c r="O314" s="2" t="s">
        <v>88</v>
      </c>
      <c r="AH314" s="2" t="str">
        <f t="shared" si="107"/>
        <v/>
      </c>
      <c r="AI314" s="2"/>
      <c r="AJ314" s="2" t="str">
        <f t="shared" si="88"/>
        <v/>
      </c>
      <c r="AK314" s="12">
        <f t="shared" si="89"/>
        <v>1.3388090349075901</v>
      </c>
      <c r="AL314" s="2" t="s">
        <v>572</v>
      </c>
      <c r="AM314" s="2" t="str">
        <f>VLOOKUP(A314,'[12]Power plant names'!$C$2:$F$545,4,FALSE)</f>
        <v>Sub critical</v>
      </c>
      <c r="AN314" s="2">
        <v>600</v>
      </c>
      <c r="AO314" s="2">
        <f t="shared" si="90"/>
        <v>0.79181599753593446</v>
      </c>
      <c r="AP314" s="2">
        <v>600</v>
      </c>
      <c r="AQ314" s="2">
        <f t="shared" si="91"/>
        <v>0</v>
      </c>
      <c r="AR314" s="2">
        <f t="shared" si="92"/>
        <v>475.08959852156067</v>
      </c>
      <c r="AS314" s="2">
        <f t="shared" si="93"/>
        <v>0</v>
      </c>
      <c r="AU314" s="2"/>
      <c r="AV314" s="2" t="str">
        <f t="shared" si="95"/>
        <v/>
      </c>
      <c r="AW314" s="12">
        <f t="shared" si="96"/>
        <v>5.3388090349075901</v>
      </c>
      <c r="AX314" s="2">
        <v>600</v>
      </c>
      <c r="AY314" s="3">
        <f t="shared" si="97"/>
        <v>0.98645811293634522</v>
      </c>
      <c r="AZ314" s="2">
        <f t="shared" si="98"/>
        <v>591.87486776180708</v>
      </c>
      <c r="BA314" s="2">
        <f t="shared" si="99"/>
        <v>0</v>
      </c>
      <c r="BC314" t="str">
        <f t="shared" si="100"/>
        <v/>
      </c>
      <c r="BE314">
        <f t="shared" si="102"/>
        <v>1.0986431437371664</v>
      </c>
      <c r="BF314">
        <f t="shared" si="103"/>
        <v>659.18588624229983</v>
      </c>
      <c r="BG314">
        <f t="shared" si="104"/>
        <v>0</v>
      </c>
    </row>
    <row r="315" spans="1:59" ht="14.5" customHeight="1" x14ac:dyDescent="0.2">
      <c r="A315" s="2" t="s">
        <v>87</v>
      </c>
      <c r="B315" s="2" t="str">
        <f>VLOOKUP($A315,'[1]daily coal, energy reqd'!$C$2:$T$599,17,FALSE)</f>
        <v>Chhatisgarh</v>
      </c>
      <c r="C315" s="2" t="str">
        <f>VLOOKUP(B315,'Target PLF'!$I$2:$J$19,2,FALSE)</f>
        <v>WR</v>
      </c>
      <c r="D315" s="2" t="s">
        <v>572</v>
      </c>
      <c r="E315" s="2" t="s">
        <v>543</v>
      </c>
      <c r="F315" s="12">
        <v>5.1772758384667998</v>
      </c>
      <c r="G315" s="2">
        <v>600</v>
      </c>
      <c r="H315">
        <f>VLOOKUP(A315,'Coal savings'!$A$3:$AB$543,26,FALSE)</f>
        <v>2997418.2878278801</v>
      </c>
      <c r="O315" s="2" t="s">
        <v>87</v>
      </c>
      <c r="AH315" s="2" t="str">
        <f t="shared" si="107"/>
        <v/>
      </c>
      <c r="AI315" s="2"/>
      <c r="AJ315" s="2" t="str">
        <f t="shared" si="88"/>
        <v/>
      </c>
      <c r="AK315" s="12">
        <f t="shared" si="89"/>
        <v>1.1772758384667998</v>
      </c>
      <c r="AL315" s="2" t="s">
        <v>572</v>
      </c>
      <c r="AM315" s="2" t="str">
        <f>VLOOKUP(A315,'[12]Power plant names'!$C$2:$F$545,4,FALSE)</f>
        <v>Sub critical</v>
      </c>
      <c r="AN315" s="2">
        <v>600</v>
      </c>
      <c r="AO315" s="2">
        <f t="shared" si="90"/>
        <v>0.79405413689253956</v>
      </c>
      <c r="AP315" s="2">
        <v>600</v>
      </c>
      <c r="AQ315" s="2">
        <f t="shared" si="91"/>
        <v>0</v>
      </c>
      <c r="AR315" s="2">
        <f t="shared" si="92"/>
        <v>476.43248213552374</v>
      </c>
      <c r="AS315" s="2">
        <f t="shared" si="93"/>
        <v>0</v>
      </c>
      <c r="AU315" s="2"/>
      <c r="AV315" s="2" t="str">
        <f t="shared" si="95"/>
        <v/>
      </c>
      <c r="AW315" s="12">
        <f t="shared" si="96"/>
        <v>5.1772758384667998</v>
      </c>
      <c r="AX315" s="2">
        <v>600</v>
      </c>
      <c r="AY315" s="3">
        <f t="shared" si="97"/>
        <v>0.98938708131416853</v>
      </c>
      <c r="AZ315" s="2">
        <f t="shared" si="98"/>
        <v>593.6322487885011</v>
      </c>
      <c r="BA315" s="2">
        <f t="shared" si="99"/>
        <v>0</v>
      </c>
      <c r="BC315" t="str">
        <f t="shared" si="100"/>
        <v/>
      </c>
      <c r="BE315">
        <f t="shared" si="102"/>
        <v>1.1021199034907598</v>
      </c>
      <c r="BF315">
        <f t="shared" si="103"/>
        <v>661.27194209445588</v>
      </c>
      <c r="BG315">
        <f t="shared" si="104"/>
        <v>0</v>
      </c>
    </row>
    <row r="316" spans="1:59" ht="14.5" hidden="1" customHeight="1" x14ac:dyDescent="0.2">
      <c r="A316" s="2" t="s">
        <v>291</v>
      </c>
      <c r="B316" s="2" t="str">
        <f>VLOOKUP($A316,'[1]daily coal, energy reqd'!$C$2:$T$599,17,FALSE)</f>
        <v>Chhatisgarh</v>
      </c>
      <c r="C316" s="2" t="str">
        <f>VLOOKUP(B316,'Target PLF'!$I$2:$J$19,2,FALSE)</f>
        <v>WR</v>
      </c>
      <c r="D316" s="2" t="s">
        <v>572</v>
      </c>
      <c r="E316" s="2" t="s">
        <v>544</v>
      </c>
      <c r="F316" s="12">
        <v>12.175222450376401</v>
      </c>
      <c r="G316" s="2">
        <v>250</v>
      </c>
      <c r="H316">
        <f>VLOOKUP(A316,'Coal savings'!$A$3:$AB$543,26,FALSE)</f>
        <v>0</v>
      </c>
      <c r="O316" s="2" t="s">
        <v>291</v>
      </c>
      <c r="AH316" s="2" t="str">
        <f t="shared" si="107"/>
        <v/>
      </c>
      <c r="AI316" s="2"/>
      <c r="AJ316" s="2" t="str">
        <f t="shared" si="88"/>
        <v/>
      </c>
      <c r="AK316" s="12">
        <f t="shared" si="89"/>
        <v>8.1752224503764008</v>
      </c>
      <c r="AL316" s="2" t="s">
        <v>572</v>
      </c>
      <c r="AM316" s="2" t="str">
        <f>VLOOKUP(A316,'[12]Power plant names'!$C$2:$F$545,4,FALSE)</f>
        <v>Sub critical</v>
      </c>
      <c r="AN316" s="2">
        <v>250</v>
      </c>
      <c r="AO316" s="2">
        <f t="shared" si="90"/>
        <v>0.85525838781656482</v>
      </c>
      <c r="AP316" s="2">
        <v>250</v>
      </c>
      <c r="AQ316" s="2">
        <f t="shared" si="91"/>
        <v>0</v>
      </c>
      <c r="AR316" s="2">
        <f t="shared" si="92"/>
        <v>213.81459695414119</v>
      </c>
      <c r="AS316" s="2">
        <f t="shared" si="93"/>
        <v>0</v>
      </c>
      <c r="AU316" s="2"/>
      <c r="AV316" s="2" t="str">
        <f t="shared" si="95"/>
        <v/>
      </c>
      <c r="AW316" s="12">
        <f t="shared" si="96"/>
        <v>12.175222450376401</v>
      </c>
      <c r="AX316" s="2">
        <v>250</v>
      </c>
      <c r="AY316" s="3">
        <f t="shared" si="97"/>
        <v>1.0579382139630402</v>
      </c>
      <c r="AZ316" s="2">
        <f t="shared" si="98"/>
        <v>264.48455349076005</v>
      </c>
      <c r="BA316" s="2">
        <f t="shared" si="99"/>
        <v>0</v>
      </c>
      <c r="BC316" t="str">
        <f t="shared" si="100"/>
        <v/>
      </c>
      <c r="BE316">
        <f t="shared" si="102"/>
        <v>1.1972695995893234</v>
      </c>
      <c r="BF316">
        <f t="shared" si="103"/>
        <v>299.31739989733086</v>
      </c>
      <c r="BG316">
        <f t="shared" si="104"/>
        <v>0</v>
      </c>
    </row>
    <row r="317" spans="1:59" ht="14.5" hidden="1" customHeight="1" x14ac:dyDescent="0.2">
      <c r="A317" s="2" t="s">
        <v>289</v>
      </c>
      <c r="B317" s="2" t="str">
        <f>VLOOKUP($A317,'[1]daily coal, energy reqd'!$C$2:$T$599,17,FALSE)</f>
        <v>Chhatisgarh</v>
      </c>
      <c r="C317" s="2" t="str">
        <f>VLOOKUP(B317,'Target PLF'!$I$2:$J$19,2,FALSE)</f>
        <v>WR</v>
      </c>
      <c r="D317" s="2" t="s">
        <v>572</v>
      </c>
      <c r="E317" s="2" t="s">
        <v>544</v>
      </c>
      <c r="F317" s="12">
        <v>11.9233401779603</v>
      </c>
      <c r="G317" s="2">
        <v>250</v>
      </c>
      <c r="H317">
        <f>VLOOKUP(A317,'Coal savings'!$A$3:$AB$543,26,FALSE)</f>
        <v>0</v>
      </c>
      <c r="O317" s="2" t="s">
        <v>289</v>
      </c>
      <c r="AH317" s="2" t="str">
        <f t="shared" si="107"/>
        <v/>
      </c>
      <c r="AI317" s="2"/>
      <c r="AJ317" s="2" t="str">
        <f t="shared" si="88"/>
        <v/>
      </c>
      <c r="AK317" s="12">
        <f t="shared" si="89"/>
        <v>7.9233401779603003</v>
      </c>
      <c r="AL317" s="2" t="s">
        <v>572</v>
      </c>
      <c r="AM317" s="2" t="str">
        <f>VLOOKUP(A317,'[12]Power plant names'!$C$2:$F$545,4,FALSE)</f>
        <v>Sub critical</v>
      </c>
      <c r="AN317" s="2">
        <v>250</v>
      </c>
      <c r="AO317" s="2">
        <f t="shared" si="90"/>
        <v>0.85874836783025332</v>
      </c>
      <c r="AP317" s="2">
        <v>250</v>
      </c>
      <c r="AQ317" s="2">
        <f t="shared" si="91"/>
        <v>0</v>
      </c>
      <c r="AR317" s="2">
        <f t="shared" si="92"/>
        <v>214.68709195756333</v>
      </c>
      <c r="AS317" s="2">
        <f t="shared" si="93"/>
        <v>0</v>
      </c>
      <c r="AU317" s="2"/>
      <c r="AV317" s="2" t="str">
        <f t="shared" si="95"/>
        <v/>
      </c>
      <c r="AW317" s="12">
        <f t="shared" si="96"/>
        <v>11.9233401779603</v>
      </c>
      <c r="AX317" s="2">
        <v>250</v>
      </c>
      <c r="AY317" s="3">
        <f t="shared" si="97"/>
        <v>1.0625054188911705</v>
      </c>
      <c r="AZ317" s="2">
        <f t="shared" si="98"/>
        <v>265.6263547227926</v>
      </c>
      <c r="BA317" s="2">
        <f t="shared" si="99"/>
        <v>0</v>
      </c>
      <c r="BC317" t="str">
        <f t="shared" si="100"/>
        <v/>
      </c>
      <c r="BE317">
        <f t="shared" si="102"/>
        <v>1.2026909876796714</v>
      </c>
      <c r="BF317">
        <f t="shared" si="103"/>
        <v>300.67274691991787</v>
      </c>
      <c r="BG317">
        <f t="shared" si="104"/>
        <v>0</v>
      </c>
    </row>
    <row r="318" spans="1:59" ht="14.5" customHeight="1" x14ac:dyDescent="0.2">
      <c r="A318" s="2" t="s">
        <v>55</v>
      </c>
      <c r="B318" s="2" t="str">
        <f>VLOOKUP($A318,'[1]daily coal, energy reqd'!$C$2:$T$599,17,FALSE)</f>
        <v>Andhra Pradesh</v>
      </c>
      <c r="C318" s="2" t="str">
        <f>VLOOKUP(B318,'Target PLF'!$I$2:$J$19,2,FALSE)</f>
        <v>SR</v>
      </c>
      <c r="D318" s="2" t="s">
        <v>572</v>
      </c>
      <c r="E318" s="2" t="s">
        <v>543</v>
      </c>
      <c r="F318" s="12">
        <v>5.2539356605065004</v>
      </c>
      <c r="G318" s="2">
        <v>660</v>
      </c>
      <c r="H318">
        <f>VLOOKUP(A318,'Coal savings'!$A$3:$AB$543,26,FALSE)</f>
        <v>3520933.6694766548</v>
      </c>
      <c r="O318" s="2" t="s">
        <v>55</v>
      </c>
      <c r="AH318" s="2" t="str">
        <f t="shared" si="107"/>
        <v/>
      </c>
      <c r="AI318" s="2"/>
      <c r="AJ318" s="2" t="str">
        <f t="shared" si="88"/>
        <v/>
      </c>
      <c r="AK318" s="12">
        <f t="shared" si="89"/>
        <v>1.2539356605065004</v>
      </c>
      <c r="AL318" s="2" t="s">
        <v>572</v>
      </c>
      <c r="AM318" s="2" t="str">
        <f>VLOOKUP(A318,'[12]Power plant names'!$C$2:$F$545,4,FALSE)</f>
        <v>Super critical</v>
      </c>
      <c r="AN318" s="2">
        <v>660</v>
      </c>
      <c r="AO318" s="2">
        <f t="shared" si="90"/>
        <v>0.76587796906228622</v>
      </c>
      <c r="AP318" s="2">
        <v>500</v>
      </c>
      <c r="AQ318" s="2">
        <f t="shared" si="91"/>
        <v>160</v>
      </c>
      <c r="AR318" s="2">
        <f t="shared" si="92"/>
        <v>382.93898453114309</v>
      </c>
      <c r="AS318" s="2">
        <f t="shared" si="93"/>
        <v>122.54047504996579</v>
      </c>
      <c r="AU318" s="2"/>
      <c r="AV318" s="2" t="str">
        <f t="shared" si="95"/>
        <v/>
      </c>
      <c r="AW318" s="12">
        <f t="shared" si="96"/>
        <v>5.2539356605065004</v>
      </c>
      <c r="AX318" s="2">
        <v>660</v>
      </c>
      <c r="AY318" s="3">
        <f t="shared" si="97"/>
        <v>0.95449306242299803</v>
      </c>
      <c r="AZ318" s="2">
        <f t="shared" si="98"/>
        <v>477.24653121149902</v>
      </c>
      <c r="BA318" s="2">
        <f t="shared" si="99"/>
        <v>152.71888998767969</v>
      </c>
      <c r="BC318" t="str">
        <f t="shared" si="100"/>
        <v/>
      </c>
      <c r="BE318">
        <f t="shared" si="102"/>
        <v>1.0583379158110884</v>
      </c>
      <c r="BF318">
        <f t="shared" si="103"/>
        <v>529.16895790554418</v>
      </c>
      <c r="BG318">
        <f t="shared" si="104"/>
        <v>169.33406652977413</v>
      </c>
    </row>
    <row r="319" spans="1:59" ht="14.5" customHeight="1" x14ac:dyDescent="0.2">
      <c r="A319" s="2" t="s">
        <v>48</v>
      </c>
      <c r="B319" s="2" t="str">
        <f>VLOOKUP($A319,'[1]daily coal, energy reqd'!$C$2:$T$599,17,FALSE)</f>
        <v>Andhra Pradesh</v>
      </c>
      <c r="C319" s="2" t="str">
        <f>VLOOKUP(B319,'Target PLF'!$I$2:$J$19,2,FALSE)</f>
        <v>SR</v>
      </c>
      <c r="D319" s="2" t="s">
        <v>572</v>
      </c>
      <c r="E319" s="2" t="s">
        <v>542</v>
      </c>
      <c r="F319" s="12">
        <v>4.6735112936344896</v>
      </c>
      <c r="G319" s="2">
        <v>660</v>
      </c>
      <c r="H319">
        <f>VLOOKUP(A319,'Coal savings'!$A$3:$AB$543,26,FALSE)</f>
        <v>3515112.1264091302</v>
      </c>
      <c r="O319" s="2" t="s">
        <v>48</v>
      </c>
      <c r="AH319" s="2" t="str">
        <f t="shared" si="107"/>
        <v/>
      </c>
      <c r="AI319" s="2"/>
      <c r="AJ319" s="2" t="str">
        <f t="shared" si="88"/>
        <v/>
      </c>
      <c r="AK319" s="12">
        <f t="shared" si="89"/>
        <v>0.67351129363448958</v>
      </c>
      <c r="AL319" s="2" t="s">
        <v>572</v>
      </c>
      <c r="AM319" s="2" t="str">
        <f>VLOOKUP(A319,'[12]Power plant names'!$C$2:$F$545,4,FALSE)</f>
        <v>Super critical</v>
      </c>
      <c r="AN319" s="2">
        <v>660</v>
      </c>
      <c r="AO319" s="2">
        <f t="shared" si="90"/>
        <v>0.77392009691991803</v>
      </c>
      <c r="AP319" s="2">
        <v>500</v>
      </c>
      <c r="AQ319" s="2">
        <f t="shared" si="91"/>
        <v>160</v>
      </c>
      <c r="AR319" s="2">
        <f t="shared" si="92"/>
        <v>386.96004845995901</v>
      </c>
      <c r="AS319" s="2">
        <f t="shared" si="93"/>
        <v>123.82721550718688</v>
      </c>
      <c r="AU319" s="2"/>
      <c r="AV319" s="2" t="str">
        <f t="shared" si="95"/>
        <v/>
      </c>
      <c r="AW319" s="12">
        <f t="shared" si="96"/>
        <v>4.6735112936344896</v>
      </c>
      <c r="AX319" s="2">
        <v>660</v>
      </c>
      <c r="AY319" s="3">
        <f t="shared" si="97"/>
        <v>0.96501749117043145</v>
      </c>
      <c r="AZ319" s="2">
        <f t="shared" si="98"/>
        <v>482.50874558521571</v>
      </c>
      <c r="BA319" s="2">
        <f t="shared" si="99"/>
        <v>154.40279858726905</v>
      </c>
      <c r="BC319" t="str">
        <f t="shared" si="100"/>
        <v/>
      </c>
      <c r="BE319">
        <f t="shared" si="102"/>
        <v>1.0708306796714582</v>
      </c>
      <c r="BF319">
        <f t="shared" si="103"/>
        <v>535.41533983572913</v>
      </c>
      <c r="BG319">
        <f t="shared" si="104"/>
        <v>171.33290874743329</v>
      </c>
    </row>
    <row r="320" spans="1:59" ht="14.5" hidden="1" customHeight="1" x14ac:dyDescent="0.2">
      <c r="A320" s="2" t="s">
        <v>438</v>
      </c>
      <c r="B320" s="2" t="str">
        <f>VLOOKUP($A320,'[1]daily coal, energy reqd'!$C$2:$T$599,17,FALSE)</f>
        <v>Haryana</v>
      </c>
      <c r="C320" s="2" t="str">
        <f>VLOOKUP(B320,'Target PLF'!$I$2:$J$19,2,FALSE)</f>
        <v>NR</v>
      </c>
      <c r="D320" s="2" t="s">
        <v>570</v>
      </c>
      <c r="E320" s="2" t="s">
        <v>548</v>
      </c>
      <c r="F320" s="12">
        <v>31.175906913073199</v>
      </c>
      <c r="G320" s="2">
        <v>210</v>
      </c>
      <c r="H320">
        <f>VLOOKUP(A320,'Coal savings'!$A$3:$AB$543,26,FALSE)</f>
        <v>0</v>
      </c>
      <c r="O320" s="2" t="s">
        <v>438</v>
      </c>
      <c r="AH320" s="2" t="str">
        <f t="shared" si="107"/>
        <v/>
      </c>
      <c r="AI320" s="2"/>
      <c r="AJ320" s="2" t="str">
        <f t="shared" si="88"/>
        <v/>
      </c>
      <c r="AK320" s="12">
        <f t="shared" si="89"/>
        <v>27.175906913073199</v>
      </c>
      <c r="AL320" s="2" t="s">
        <v>570</v>
      </c>
      <c r="AM320" s="2" t="str">
        <f>VLOOKUP(A320,'[12]Power plant names'!$C$2:$F$545,4,FALSE)</f>
        <v>Sub critical</v>
      </c>
      <c r="AN320" s="2">
        <v>210</v>
      </c>
      <c r="AO320" s="2">
        <f t="shared" si="90"/>
        <v>0.61006850417522307</v>
      </c>
      <c r="AP320" s="2">
        <v>210</v>
      </c>
      <c r="AQ320" s="2">
        <f t="shared" si="91"/>
        <v>0</v>
      </c>
      <c r="AR320" s="2">
        <f t="shared" si="92"/>
        <v>128.11438587679683</v>
      </c>
      <c r="AS320" s="2">
        <f t="shared" si="93"/>
        <v>0</v>
      </c>
      <c r="AU320" s="2"/>
      <c r="AV320" s="2" t="str">
        <f t="shared" si="95"/>
        <v/>
      </c>
      <c r="AW320" s="12">
        <f t="shared" si="96"/>
        <v>31.175906913073199</v>
      </c>
      <c r="AX320" s="2">
        <v>210</v>
      </c>
      <c r="AY320" s="3">
        <f t="shared" si="97"/>
        <v>0.73574810308008287</v>
      </c>
      <c r="AZ320" s="2">
        <f t="shared" si="98"/>
        <v>154.5071016468174</v>
      </c>
      <c r="BA320" s="2">
        <f t="shared" si="99"/>
        <v>0</v>
      </c>
      <c r="BC320" t="str">
        <f t="shared" si="100"/>
        <v/>
      </c>
      <c r="BE320">
        <f t="shared" si="102"/>
        <v>0.81639636755646905</v>
      </c>
      <c r="BF320">
        <f t="shared" si="103"/>
        <v>171.44323718685851</v>
      </c>
      <c r="BG320">
        <f t="shared" si="104"/>
        <v>0</v>
      </c>
    </row>
    <row r="321" spans="1:59" ht="14.5" hidden="1" customHeight="1" x14ac:dyDescent="0.2">
      <c r="A321" s="2" t="s">
        <v>359</v>
      </c>
      <c r="B321" s="2" t="str">
        <f>VLOOKUP($A321,'[1]daily coal, energy reqd'!$C$2:$T$599,17,FALSE)</f>
        <v>Haryana</v>
      </c>
      <c r="C321" s="2" t="str">
        <f>VLOOKUP(B321,'Target PLF'!$I$2:$J$19,2,FALSE)</f>
        <v>NR</v>
      </c>
      <c r="D321" s="2" t="s">
        <v>570</v>
      </c>
      <c r="E321" s="2" t="s">
        <v>545</v>
      </c>
      <c r="F321" s="12">
        <v>19.175906913073199</v>
      </c>
      <c r="G321" s="2">
        <v>210</v>
      </c>
      <c r="H321">
        <f>VLOOKUP(A321,'Coal savings'!$A$3:$AB$543,26,FALSE)</f>
        <v>0</v>
      </c>
      <c r="O321" s="2" t="s">
        <v>359</v>
      </c>
      <c r="AH321" s="2" t="str">
        <f t="shared" si="107"/>
        <v/>
      </c>
      <c r="AI321" s="2"/>
      <c r="AJ321" s="2" t="str">
        <f t="shared" si="88"/>
        <v/>
      </c>
      <c r="AK321" s="12">
        <f t="shared" si="89"/>
        <v>15.175906913073199</v>
      </c>
      <c r="AL321" s="2" t="s">
        <v>570</v>
      </c>
      <c r="AM321" s="2" t="str">
        <f>VLOOKUP(A321,'[12]Power plant names'!$C$2:$F$545,4,FALSE)</f>
        <v>Sub critical</v>
      </c>
      <c r="AN321" s="2">
        <v>210</v>
      </c>
      <c r="AO321" s="2">
        <f t="shared" si="90"/>
        <v>0.77633570417522302</v>
      </c>
      <c r="AP321" s="2">
        <v>210</v>
      </c>
      <c r="AQ321" s="2">
        <f t="shared" si="91"/>
        <v>0</v>
      </c>
      <c r="AR321" s="2">
        <f t="shared" si="92"/>
        <v>163.03049787679683</v>
      </c>
      <c r="AS321" s="2">
        <f t="shared" si="93"/>
        <v>0</v>
      </c>
      <c r="AU321" s="2"/>
      <c r="AV321" s="2" t="str">
        <f t="shared" si="95"/>
        <v/>
      </c>
      <c r="AW321" s="12">
        <f t="shared" si="96"/>
        <v>19.175906913073199</v>
      </c>
      <c r="AX321" s="2">
        <v>210</v>
      </c>
      <c r="AY321" s="3">
        <f t="shared" si="97"/>
        <v>0.95333570308008286</v>
      </c>
      <c r="AZ321" s="2">
        <f t="shared" si="98"/>
        <v>200.20049764681741</v>
      </c>
      <c r="BA321" s="2">
        <f t="shared" si="99"/>
        <v>0</v>
      </c>
      <c r="BC321" t="str">
        <f t="shared" si="100"/>
        <v/>
      </c>
      <c r="BE321">
        <f t="shared" si="102"/>
        <v>1.0746783675564688</v>
      </c>
      <c r="BF321">
        <f t="shared" si="103"/>
        <v>225.68245718685844</v>
      </c>
      <c r="BG321">
        <f t="shared" si="104"/>
        <v>0</v>
      </c>
    </row>
    <row r="322" spans="1:59" ht="14.5" hidden="1" customHeight="1" x14ac:dyDescent="0.2">
      <c r="A322" s="2" t="s">
        <v>325</v>
      </c>
      <c r="B322" s="2" t="str">
        <f>VLOOKUP($A322,'[1]daily coal, energy reqd'!$C$2:$T$599,17,FALSE)</f>
        <v>Haryana</v>
      </c>
      <c r="C322" s="2" t="str">
        <f>VLOOKUP(B322,'Target PLF'!$I$2:$J$19,2,FALSE)</f>
        <v>NR</v>
      </c>
      <c r="D322" s="2" t="s">
        <v>570</v>
      </c>
      <c r="E322" s="2" t="s">
        <v>545</v>
      </c>
      <c r="F322" s="12">
        <v>15.6714579055441</v>
      </c>
      <c r="G322" s="2">
        <v>250</v>
      </c>
      <c r="H322">
        <f>VLOOKUP(A322,'Coal savings'!$A$3:$AB$543,26,FALSE)</f>
        <v>0</v>
      </c>
      <c r="O322" s="2" t="s">
        <v>325</v>
      </c>
      <c r="AH322" s="2" t="str">
        <f t="shared" si="107"/>
        <v/>
      </c>
      <c r="AI322" s="2"/>
      <c r="AJ322" s="2" t="str">
        <f t="shared" ref="AJ322:AJ385" si="109">IF(AI322/G322=0,"",AI322/G322)</f>
        <v/>
      </c>
      <c r="AK322" s="12">
        <f t="shared" ref="AK322:AK385" si="110">IF(F322-4&lt;0,1,F322-4)</f>
        <v>11.6714579055441</v>
      </c>
      <c r="AL322" s="2" t="s">
        <v>570</v>
      </c>
      <c r="AM322" s="2" t="str">
        <f>VLOOKUP(A322,'[12]Power plant names'!$C$2:$F$545,4,FALSE)</f>
        <v>Sub critical</v>
      </c>
      <c r="AN322" s="2">
        <v>250</v>
      </c>
      <c r="AO322" s="2">
        <f t="shared" si="90"/>
        <v>0.80681594784394328</v>
      </c>
      <c r="AP322" s="2">
        <v>250</v>
      </c>
      <c r="AQ322" s="2">
        <f t="shared" si="91"/>
        <v>0</v>
      </c>
      <c r="AR322" s="2">
        <f t="shared" si="92"/>
        <v>201.70398696098582</v>
      </c>
      <c r="AS322" s="2">
        <f t="shared" si="93"/>
        <v>0</v>
      </c>
      <c r="AU322" s="2"/>
      <c r="AV322" s="2" t="str">
        <f t="shared" si="95"/>
        <v/>
      </c>
      <c r="AW322" s="12">
        <f t="shared" si="96"/>
        <v>15.6714579055441</v>
      </c>
      <c r="AX322" s="2">
        <v>250</v>
      </c>
      <c r="AY322" s="3">
        <f t="shared" si="97"/>
        <v>0.99454342381930272</v>
      </c>
      <c r="AZ322" s="2">
        <f t="shared" si="98"/>
        <v>248.63585595482567</v>
      </c>
      <c r="BA322" s="2">
        <f t="shared" si="99"/>
        <v>0</v>
      </c>
      <c r="BC322" t="str">
        <f t="shared" si="100"/>
        <v/>
      </c>
      <c r="BE322">
        <f t="shared" si="102"/>
        <v>1.1220183757700215</v>
      </c>
      <c r="BF322">
        <f t="shared" si="103"/>
        <v>280.50459394250538</v>
      </c>
      <c r="BG322">
        <f t="shared" si="104"/>
        <v>0</v>
      </c>
    </row>
    <row r="323" spans="1:59" ht="14.5" hidden="1" customHeight="1" x14ac:dyDescent="0.2">
      <c r="A323" s="2" t="s">
        <v>322</v>
      </c>
      <c r="B323" s="2" t="str">
        <f>VLOOKUP($A323,'[1]daily coal, energy reqd'!$C$2:$T$599,17,FALSE)</f>
        <v>Haryana</v>
      </c>
      <c r="C323" s="2" t="str">
        <f>VLOOKUP(B323,'Target PLF'!$I$2:$J$19,2,FALSE)</f>
        <v>NR</v>
      </c>
      <c r="D323" s="2" t="s">
        <v>570</v>
      </c>
      <c r="E323" s="2" t="s">
        <v>545</v>
      </c>
      <c r="F323" s="12">
        <v>15.337440109514</v>
      </c>
      <c r="G323" s="2">
        <v>250</v>
      </c>
      <c r="H323">
        <f>VLOOKUP(A323,'Coal savings'!$A$3:$AB$543,26,FALSE)</f>
        <v>0</v>
      </c>
      <c r="O323" s="2" t="s">
        <v>322</v>
      </c>
      <c r="AH323" s="2" t="str">
        <f t="shared" si="107"/>
        <v/>
      </c>
      <c r="AI323" s="2"/>
      <c r="AJ323" s="2" t="str">
        <f t="shared" si="109"/>
        <v/>
      </c>
      <c r="AK323" s="12">
        <f t="shared" si="110"/>
        <v>11.337440109514</v>
      </c>
      <c r="AL323" s="2" t="s">
        <v>570</v>
      </c>
      <c r="AM323" s="2" t="str">
        <f>VLOOKUP(A323,'[12]Power plant names'!$C$2:$F$545,4,FALSE)</f>
        <v>Sub critical</v>
      </c>
      <c r="AN323" s="2">
        <v>250</v>
      </c>
      <c r="AO323" s="2">
        <f t="shared" ref="AO323:AO386" si="111">IF(AJ323="",((-0.0138556*AK323)+(-0.0004519*AN323)+1.081506),AJ323)</f>
        <v>0.81144396481861791</v>
      </c>
      <c r="AP323" s="2">
        <v>250</v>
      </c>
      <c r="AQ323" s="2">
        <f t="shared" ref="AQ323:AQ386" si="112">G323-AP323</f>
        <v>0</v>
      </c>
      <c r="AR323" s="2">
        <f t="shared" ref="AR323:AR386" si="113">AP323*AO323</f>
        <v>202.86099120465448</v>
      </c>
      <c r="AS323" s="2">
        <f t="shared" ref="AS323:AS386" si="114">AQ323*AO323</f>
        <v>0</v>
      </c>
      <c r="AU323" s="2"/>
      <c r="AV323" s="2" t="str">
        <f t="shared" ref="AV323:AV386" si="115">IF(AU323/AN323=0,"",AU323/AN323)</f>
        <v/>
      </c>
      <c r="AW323" s="12">
        <f t="shared" ref="AW323:AW386" si="116">(F323-IF(AH323="",0,(2020-AH323)))</f>
        <v>15.337440109514</v>
      </c>
      <c r="AX323" s="2">
        <v>250</v>
      </c>
      <c r="AY323" s="3">
        <f t="shared" ref="AY323:AY386" si="117">IF(AV323="",(( -0.0181323 *AW323)+(-0.0005584 *AN323)+  1.418303),AV323)</f>
        <v>1.0005999347022594</v>
      </c>
      <c r="AZ323" s="2">
        <f t="shared" ref="AZ323:AZ386" si="118">AY323*AP323</f>
        <v>250.14998367556484</v>
      </c>
      <c r="BA323" s="2">
        <f t="shared" ref="BA323:BA386" si="119">AY323*AQ323</f>
        <v>0</v>
      </c>
      <c r="BC323" t="str">
        <f t="shared" ref="BC323:BC386" si="120">IF(AU323="","",(AU323)*(1+0.115)^(2020-AH323))</f>
        <v/>
      </c>
      <c r="BE323">
        <f t="shared" ref="BE323:BE386" si="121">IF(BD323="",(-0.0215235 *AW323)+(-0.0007022*AX323)+1.634873,BD323)</f>
        <v>1.1292076078028754</v>
      </c>
      <c r="BF323">
        <f t="shared" ref="BF323:BF386" si="122">BE323*AP323</f>
        <v>282.30190195071884</v>
      </c>
      <c r="BG323">
        <f t="shared" ref="BG323:BG386" si="123">BE323*AQ323</f>
        <v>0</v>
      </c>
    </row>
    <row r="324" spans="1:59" hidden="1" x14ac:dyDescent="0.2">
      <c r="A324" s="2" t="s">
        <v>304</v>
      </c>
      <c r="B324" s="2" t="str">
        <f>VLOOKUP($A324,'[1]daily coal, energy reqd'!$C$2:$T$599,17,FALSE)</f>
        <v>Maharashtra</v>
      </c>
      <c r="C324" s="2" t="str">
        <f>VLOOKUP(B324,'Target PLF'!$I$2:$J$19,2,FALSE)</f>
        <v>WR</v>
      </c>
      <c r="D324" s="2" t="s">
        <v>570</v>
      </c>
      <c r="E324" s="2" t="s">
        <v>544</v>
      </c>
      <c r="F324" s="12">
        <v>13.0102669404517</v>
      </c>
      <c r="G324" s="2">
        <v>250</v>
      </c>
      <c r="H324">
        <f>VLOOKUP(A324,'Coal savings'!$A$3:$AB$543,26,FALSE)</f>
        <v>0</v>
      </c>
      <c r="I324" t="s">
        <v>695</v>
      </c>
      <c r="J324">
        <f>474.31/2</f>
        <v>237.155</v>
      </c>
      <c r="O324" s="2" t="s">
        <v>304</v>
      </c>
      <c r="AH324" s="2" t="str">
        <f t="shared" si="107"/>
        <v>2018</v>
      </c>
      <c r="AI324" s="2">
        <f t="shared" ref="AI324:AI333" si="124">(J324)/(1+0.115)^(AH324-2016)</f>
        <v>190.75790786060446</v>
      </c>
      <c r="AJ324" s="2">
        <f t="shared" si="109"/>
        <v>0.76303163144241781</v>
      </c>
      <c r="AK324" s="12">
        <f t="shared" si="110"/>
        <v>9.0102669404517002</v>
      </c>
      <c r="AL324" s="2" t="s">
        <v>570</v>
      </c>
      <c r="AM324" s="2" t="str">
        <f>VLOOKUP(A324,'[12]Power plant names'!$C$2:$F$545,4,FALSE)</f>
        <v>Sub critical</v>
      </c>
      <c r="AN324" s="2">
        <v>250</v>
      </c>
      <c r="AO324" s="2">
        <f t="shared" si="111"/>
        <v>0.76303163144241781</v>
      </c>
      <c r="AP324" s="2">
        <v>250</v>
      </c>
      <c r="AQ324" s="2">
        <f t="shared" si="112"/>
        <v>0</v>
      </c>
      <c r="AR324" s="2">
        <f t="shared" si="113"/>
        <v>190.75790786060446</v>
      </c>
      <c r="AS324" s="2">
        <f t="shared" si="114"/>
        <v>0</v>
      </c>
      <c r="AU324" s="2">
        <f t="shared" ref="AU324:AU384" si="125">AI324*(1.115)^(AH324-2016)</f>
        <v>237.15499999999997</v>
      </c>
      <c r="AV324" s="2">
        <f t="shared" si="115"/>
        <v>0.94861999999999991</v>
      </c>
      <c r="AW324" s="12">
        <f t="shared" si="116"/>
        <v>11.0102669404517</v>
      </c>
      <c r="AX324" s="2">
        <v>250</v>
      </c>
      <c r="AY324" s="3">
        <f t="shared" si="117"/>
        <v>0.94861999999999991</v>
      </c>
      <c r="AZ324" s="2">
        <f t="shared" si="118"/>
        <v>237.15499999999997</v>
      </c>
      <c r="BA324" s="2">
        <f t="shared" si="119"/>
        <v>0</v>
      </c>
      <c r="BC324">
        <f t="shared" si="120"/>
        <v>294.837024875</v>
      </c>
      <c r="BD324">
        <f t="shared" ref="BD324:BD384" si="126">BC324/AN324</f>
        <v>1.1793480995000001</v>
      </c>
      <c r="BE324">
        <f t="shared" si="121"/>
        <v>1.1793480995000001</v>
      </c>
      <c r="BF324">
        <f t="shared" si="122"/>
        <v>294.837024875</v>
      </c>
      <c r="BG324">
        <f t="shared" si="123"/>
        <v>0</v>
      </c>
    </row>
    <row r="325" spans="1:59" hidden="1" x14ac:dyDescent="0.2">
      <c r="A325" s="2" t="s">
        <v>271</v>
      </c>
      <c r="B325" s="2" t="str">
        <f>VLOOKUP($A325,'[1]daily coal, energy reqd'!$C$2:$T$599,17,FALSE)</f>
        <v>Maharashtra</v>
      </c>
      <c r="C325" s="2" t="str">
        <f>VLOOKUP(B325,'Target PLF'!$I$2:$J$19,2,FALSE)</f>
        <v>WR</v>
      </c>
      <c r="D325" s="2" t="s">
        <v>570</v>
      </c>
      <c r="E325" s="2" t="s">
        <v>544</v>
      </c>
      <c r="F325" s="12">
        <v>10.17659137577</v>
      </c>
      <c r="G325" s="2">
        <v>250</v>
      </c>
      <c r="H325">
        <f>VLOOKUP(A325,'Coal savings'!$A$3:$AB$543,26,FALSE)</f>
        <v>0</v>
      </c>
      <c r="I325" t="s">
        <v>695</v>
      </c>
      <c r="J325">
        <f>474.31/2</f>
        <v>237.155</v>
      </c>
      <c r="O325" s="2" t="s">
        <v>271</v>
      </c>
      <c r="AH325" s="2" t="str">
        <f t="shared" si="107"/>
        <v>2018</v>
      </c>
      <c r="AI325" s="2">
        <f t="shared" si="124"/>
        <v>190.75790786060446</v>
      </c>
      <c r="AJ325" s="2">
        <f t="shared" si="109"/>
        <v>0.76303163144241781</v>
      </c>
      <c r="AK325" s="12">
        <f t="shared" si="110"/>
        <v>6.1765913757700002</v>
      </c>
      <c r="AL325" s="2" t="s">
        <v>570</v>
      </c>
      <c r="AM325" s="2" t="str">
        <f>VLOOKUP(A325,'[12]Power plant names'!$C$2:$F$545,4,FALSE)</f>
        <v>Sub critical</v>
      </c>
      <c r="AN325" s="2">
        <v>250</v>
      </c>
      <c r="AO325" s="2">
        <f t="shared" si="111"/>
        <v>0.76303163144241781</v>
      </c>
      <c r="AP325" s="2">
        <v>250</v>
      </c>
      <c r="AQ325" s="2">
        <f t="shared" si="112"/>
        <v>0</v>
      </c>
      <c r="AR325" s="2">
        <f t="shared" si="113"/>
        <v>190.75790786060446</v>
      </c>
      <c r="AS325" s="2">
        <f t="shared" si="114"/>
        <v>0</v>
      </c>
      <c r="AU325" s="2">
        <f t="shared" si="125"/>
        <v>237.15499999999997</v>
      </c>
      <c r="AV325" s="2">
        <f t="shared" si="115"/>
        <v>0.94861999999999991</v>
      </c>
      <c r="AW325" s="12">
        <f t="shared" si="116"/>
        <v>8.1765913757700002</v>
      </c>
      <c r="AX325" s="2">
        <v>250</v>
      </c>
      <c r="AY325" s="3">
        <f t="shared" si="117"/>
        <v>0.94861999999999991</v>
      </c>
      <c r="AZ325" s="2">
        <f t="shared" si="118"/>
        <v>237.15499999999997</v>
      </c>
      <c r="BA325" s="2">
        <f t="shared" si="119"/>
        <v>0</v>
      </c>
      <c r="BC325">
        <f t="shared" si="120"/>
        <v>294.837024875</v>
      </c>
      <c r="BD325">
        <f t="shared" si="126"/>
        <v>1.1793480995000001</v>
      </c>
      <c r="BE325">
        <f t="shared" si="121"/>
        <v>1.1793480995000001</v>
      </c>
      <c r="BF325">
        <f t="shared" si="122"/>
        <v>294.837024875</v>
      </c>
      <c r="BG325">
        <f t="shared" si="123"/>
        <v>0</v>
      </c>
    </row>
    <row r="326" spans="1:59" ht="14.5" hidden="1" customHeight="1" x14ac:dyDescent="0.2">
      <c r="A326" s="2" t="s">
        <v>503</v>
      </c>
      <c r="B326" s="2" t="str">
        <f>VLOOKUP($A326,'[1]daily coal, energy reqd'!$C$2:$T$599,17,FALSE)</f>
        <v>Uttar Pradesh</v>
      </c>
      <c r="C326" s="2" t="str">
        <f>VLOOKUP(B326,'Target PLF'!$I$2:$J$19,2,FALSE)</f>
        <v>NR</v>
      </c>
      <c r="D326" s="2" t="s">
        <v>570</v>
      </c>
      <c r="E326" s="2" t="s">
        <v>549</v>
      </c>
      <c r="F326" s="12">
        <v>35.2525667351129</v>
      </c>
      <c r="G326" s="2">
        <v>110</v>
      </c>
      <c r="H326">
        <f>VLOOKUP(A326,'Coal savings'!$A$3:$AB$543,26,FALSE)</f>
        <v>0</v>
      </c>
      <c r="I326" t="s">
        <v>694</v>
      </c>
      <c r="J326" s="38">
        <f>141.69/2</f>
        <v>70.844999999999999</v>
      </c>
      <c r="O326" s="2" t="s">
        <v>503</v>
      </c>
      <c r="P326">
        <v>2019</v>
      </c>
      <c r="Q326" s="38">
        <v>51.87</v>
      </c>
      <c r="R326" t="s">
        <v>689</v>
      </c>
      <c r="S326">
        <v>198</v>
      </c>
      <c r="AH326" s="2" t="str">
        <f t="shared" si="107"/>
        <v>2019</v>
      </c>
      <c r="AI326" s="2">
        <f t="shared" si="124"/>
        <v>51.107495901327795</v>
      </c>
      <c r="AJ326" s="2">
        <f t="shared" si="109"/>
        <v>0.46461359910297995</v>
      </c>
      <c r="AK326" s="12">
        <f t="shared" si="110"/>
        <v>31.2525667351129</v>
      </c>
      <c r="AL326" s="2" t="s">
        <v>570</v>
      </c>
      <c r="AM326" s="2" t="str">
        <f>VLOOKUP(A326,'[12]Power plant names'!$C$2:$F$545,4,FALSE)</f>
        <v>Sub critical</v>
      </c>
      <c r="AN326" s="2">
        <v>110</v>
      </c>
      <c r="AO326" s="2">
        <f t="shared" si="111"/>
        <v>0.46461359910297995</v>
      </c>
      <c r="AP326" s="2">
        <f>198/2</f>
        <v>99</v>
      </c>
      <c r="AQ326" s="2">
        <f t="shared" si="112"/>
        <v>11</v>
      </c>
      <c r="AR326" s="2">
        <f t="shared" si="113"/>
        <v>45.996746311195018</v>
      </c>
      <c r="AS326" s="2">
        <f t="shared" si="114"/>
        <v>5.1107495901327793</v>
      </c>
      <c r="AU326" s="2">
        <f t="shared" si="125"/>
        <v>70.844999999999999</v>
      </c>
      <c r="AV326" s="2">
        <f t="shared" si="115"/>
        <v>0.64404545454545459</v>
      </c>
      <c r="AW326" s="12">
        <f t="shared" si="116"/>
        <v>34.2525667351129</v>
      </c>
      <c r="AX326" s="2">
        <v>110</v>
      </c>
      <c r="AY326" s="3">
        <f t="shared" si="117"/>
        <v>0.64404545454545459</v>
      </c>
      <c r="AZ326" s="2">
        <f t="shared" si="118"/>
        <v>63.760500000000008</v>
      </c>
      <c r="BA326" s="2">
        <f t="shared" si="119"/>
        <v>7.0845000000000002</v>
      </c>
      <c r="BC326">
        <f t="shared" si="120"/>
        <v>78.992175000000003</v>
      </c>
      <c r="BD326">
        <f t="shared" si="126"/>
        <v>0.71811068181818183</v>
      </c>
      <c r="BE326">
        <f t="shared" si="121"/>
        <v>0.71811068181818183</v>
      </c>
      <c r="BF326">
        <f t="shared" si="122"/>
        <v>71.092957499999997</v>
      </c>
      <c r="BG326">
        <f t="shared" si="123"/>
        <v>7.8992174999999998</v>
      </c>
    </row>
    <row r="327" spans="1:59" ht="14.5" hidden="1" customHeight="1" x14ac:dyDescent="0.2">
      <c r="A327" s="2" t="s">
        <v>328</v>
      </c>
      <c r="B327" s="2" t="str">
        <f>VLOOKUP($A327,'[1]daily coal, energy reqd'!$C$2:$T$599,17,FALSE)</f>
        <v>Uttar Pradesh</v>
      </c>
      <c r="C327" s="2" t="str">
        <f>VLOOKUP(B327,'Target PLF'!$I$2:$J$19,2,FALSE)</f>
        <v>NR</v>
      </c>
      <c r="D327" s="2" t="s">
        <v>570</v>
      </c>
      <c r="E327" s="2" t="s">
        <v>544</v>
      </c>
      <c r="F327" s="12">
        <v>14.17659137577</v>
      </c>
      <c r="G327" s="2">
        <v>210</v>
      </c>
      <c r="H327">
        <f>VLOOKUP(A327,'Coal savings'!$A$3:$AB$543,26,FALSE)</f>
        <v>0</v>
      </c>
      <c r="I327" t="s">
        <v>694</v>
      </c>
      <c r="J327" s="38">
        <f>381.95/2</f>
        <v>190.97499999999999</v>
      </c>
      <c r="O327" s="2" t="s">
        <v>328</v>
      </c>
      <c r="P327">
        <v>2019</v>
      </c>
      <c r="Q327" s="38">
        <v>333.66</v>
      </c>
      <c r="R327" t="s">
        <v>689</v>
      </c>
      <c r="S327" s="96">
        <v>378</v>
      </c>
      <c r="AH327" s="2" t="str">
        <f t="shared" si="107"/>
        <v>2019</v>
      </c>
      <c r="AI327" s="2">
        <f t="shared" si="124"/>
        <v>137.76913021040406</v>
      </c>
      <c r="AJ327" s="2">
        <f t="shared" si="109"/>
        <v>0.6560434771924003</v>
      </c>
      <c r="AK327" s="12">
        <f t="shared" si="110"/>
        <v>10.17659137577</v>
      </c>
      <c r="AL327" s="2" t="s">
        <v>570</v>
      </c>
      <c r="AM327" s="2" t="str">
        <f>VLOOKUP(A327,'[12]Power plant names'!$C$2:$F$545,4,FALSE)</f>
        <v>Sub critical</v>
      </c>
      <c r="AN327" s="2">
        <v>210</v>
      </c>
      <c r="AO327" s="2">
        <f t="shared" si="111"/>
        <v>0.6560434771924003</v>
      </c>
      <c r="AP327" s="2">
        <f>378/2</f>
        <v>189</v>
      </c>
      <c r="AQ327" s="2">
        <f t="shared" si="112"/>
        <v>21</v>
      </c>
      <c r="AR327" s="2">
        <f t="shared" si="113"/>
        <v>123.99221718936366</v>
      </c>
      <c r="AS327" s="2">
        <f t="shared" si="114"/>
        <v>13.776913021040407</v>
      </c>
      <c r="AU327" s="2">
        <f t="shared" si="125"/>
        <v>190.97499999999999</v>
      </c>
      <c r="AV327" s="2">
        <f t="shared" si="115"/>
        <v>0.90940476190476183</v>
      </c>
      <c r="AW327" s="12">
        <f t="shared" si="116"/>
        <v>13.17659137577</v>
      </c>
      <c r="AX327" s="2">
        <v>210</v>
      </c>
      <c r="AY327" s="3">
        <f t="shared" si="117"/>
        <v>0.90940476190476183</v>
      </c>
      <c r="AZ327" s="2">
        <f t="shared" si="118"/>
        <v>171.8775</v>
      </c>
      <c r="BA327" s="2">
        <f t="shared" si="119"/>
        <v>19.097499999999997</v>
      </c>
      <c r="BC327">
        <f t="shared" si="120"/>
        <v>212.93712499999998</v>
      </c>
      <c r="BD327">
        <f t="shared" si="126"/>
        <v>1.0139863095238095</v>
      </c>
      <c r="BE327">
        <f t="shared" si="121"/>
        <v>1.0139863095238095</v>
      </c>
      <c r="BF327">
        <f t="shared" si="122"/>
        <v>191.64341250000001</v>
      </c>
      <c r="BG327">
        <f t="shared" si="123"/>
        <v>21.293712500000002</v>
      </c>
    </row>
    <row r="328" spans="1:59" ht="14.5" hidden="1" customHeight="1" x14ac:dyDescent="0.2">
      <c r="A328" s="2" t="s">
        <v>320</v>
      </c>
      <c r="B328" s="2" t="str">
        <f>VLOOKUP($A328,'[1]daily coal, energy reqd'!$C$2:$T$599,17,FALSE)</f>
        <v>Uttar Pradesh</v>
      </c>
      <c r="C328" s="2" t="str">
        <f>VLOOKUP(B328,'Target PLF'!$I$2:$J$19,2,FALSE)</f>
        <v>NR</v>
      </c>
      <c r="D328" s="2" t="s">
        <v>570</v>
      </c>
      <c r="E328" s="2" t="s">
        <v>544</v>
      </c>
      <c r="F328" s="12">
        <v>13.423682409308601</v>
      </c>
      <c r="G328" s="2">
        <v>210</v>
      </c>
      <c r="H328">
        <f>VLOOKUP(A328,'Coal savings'!$A$3:$AB$543,26,FALSE)</f>
        <v>0</v>
      </c>
      <c r="I328" t="s">
        <v>694</v>
      </c>
      <c r="J328" s="38">
        <f>381.95/2</f>
        <v>190.97499999999999</v>
      </c>
      <c r="O328" s="2" t="s">
        <v>320</v>
      </c>
      <c r="P328">
        <v>2019</v>
      </c>
      <c r="Q328" s="38">
        <v>498.79</v>
      </c>
      <c r="R328" t="s">
        <v>689</v>
      </c>
      <c r="S328" s="96"/>
      <c r="AH328" s="2" t="str">
        <f t="shared" si="107"/>
        <v>2019</v>
      </c>
      <c r="AI328" s="2">
        <f t="shared" si="124"/>
        <v>137.76913021040406</v>
      </c>
      <c r="AJ328" s="2">
        <f t="shared" si="109"/>
        <v>0.6560434771924003</v>
      </c>
      <c r="AK328" s="12">
        <f t="shared" si="110"/>
        <v>9.4236824093086007</v>
      </c>
      <c r="AL328" s="2" t="s">
        <v>570</v>
      </c>
      <c r="AM328" s="2" t="str">
        <f>VLOOKUP(A328,'[12]Power plant names'!$C$2:$F$545,4,FALSE)</f>
        <v>Sub critical</v>
      </c>
      <c r="AN328" s="2">
        <v>210</v>
      </c>
      <c r="AO328" s="2">
        <f t="shared" si="111"/>
        <v>0.6560434771924003</v>
      </c>
      <c r="AP328" s="2">
        <f>378/2</f>
        <v>189</v>
      </c>
      <c r="AQ328" s="2">
        <f t="shared" si="112"/>
        <v>21</v>
      </c>
      <c r="AR328" s="2">
        <f t="shared" si="113"/>
        <v>123.99221718936366</v>
      </c>
      <c r="AS328" s="2">
        <f t="shared" si="114"/>
        <v>13.776913021040407</v>
      </c>
      <c r="AU328" s="2">
        <f t="shared" si="125"/>
        <v>190.97499999999999</v>
      </c>
      <c r="AV328" s="2">
        <f t="shared" si="115"/>
        <v>0.90940476190476183</v>
      </c>
      <c r="AW328" s="12">
        <f t="shared" si="116"/>
        <v>12.423682409308601</v>
      </c>
      <c r="AX328" s="2">
        <v>210</v>
      </c>
      <c r="AY328" s="3">
        <f t="shared" si="117"/>
        <v>0.90940476190476183</v>
      </c>
      <c r="AZ328" s="2">
        <f t="shared" si="118"/>
        <v>171.8775</v>
      </c>
      <c r="BA328" s="2">
        <f t="shared" si="119"/>
        <v>19.097499999999997</v>
      </c>
      <c r="BC328">
        <f t="shared" si="120"/>
        <v>212.93712499999998</v>
      </c>
      <c r="BD328">
        <f t="shared" si="126"/>
        <v>1.0139863095238095</v>
      </c>
      <c r="BE328">
        <f t="shared" si="121"/>
        <v>1.0139863095238095</v>
      </c>
      <c r="BF328">
        <f t="shared" si="122"/>
        <v>191.64341250000001</v>
      </c>
      <c r="BG328">
        <f t="shared" si="123"/>
        <v>21.293712500000002</v>
      </c>
    </row>
    <row r="329" spans="1:59" ht="14.5" customHeight="1" x14ac:dyDescent="0.2">
      <c r="A329" s="2" t="s">
        <v>256</v>
      </c>
      <c r="B329" s="2" t="str">
        <f>VLOOKUP($A329,'[1]daily coal, energy reqd'!$C$2:$T$599,17,FALSE)</f>
        <v>Uttar Pradesh</v>
      </c>
      <c r="C329" s="2" t="str">
        <f>VLOOKUP(B329,'Target PLF'!$I$2:$J$19,2,FALSE)</f>
        <v>NR</v>
      </c>
      <c r="D329" s="2" t="s">
        <v>570</v>
      </c>
      <c r="E329" s="2" t="s">
        <v>543</v>
      </c>
      <c r="F329" s="12">
        <v>8.00821355236139</v>
      </c>
      <c r="G329" s="2">
        <v>250</v>
      </c>
      <c r="H329">
        <f>VLOOKUP(A329,'Coal savings'!$A$3:$AB$543,26,FALSE)</f>
        <v>755594.7627699445</v>
      </c>
      <c r="I329" t="s">
        <v>694</v>
      </c>
      <c r="J329">
        <f>610.55/2</f>
        <v>305.27499999999998</v>
      </c>
      <c r="O329" s="2" t="s">
        <v>256</v>
      </c>
      <c r="Q329" s="38"/>
      <c r="R329" t="s">
        <v>689</v>
      </c>
      <c r="AH329" s="2" t="str">
        <f t="shared" si="107"/>
        <v>2019</v>
      </c>
      <c r="AI329" s="2">
        <f t="shared" si="124"/>
        <v>220.22500968703284</v>
      </c>
      <c r="AJ329" s="2">
        <f t="shared" si="109"/>
        <v>0.88090003874813139</v>
      </c>
      <c r="AK329" s="12">
        <f t="shared" si="110"/>
        <v>4.00821355236139</v>
      </c>
      <c r="AL329" s="2" t="s">
        <v>570</v>
      </c>
      <c r="AM329" s="2" t="str">
        <f>VLOOKUP(A329,'[12]Power plant names'!$C$2:$F$545,4,FALSE)</f>
        <v>Sub critical</v>
      </c>
      <c r="AN329" s="2">
        <v>250</v>
      </c>
      <c r="AO329" s="2">
        <f t="shared" si="111"/>
        <v>0.88090003874813139</v>
      </c>
      <c r="AP329" s="2">
        <f>405/2</f>
        <v>202.5</v>
      </c>
      <c r="AQ329" s="2">
        <f t="shared" si="112"/>
        <v>47.5</v>
      </c>
      <c r="AR329" s="2">
        <f t="shared" si="113"/>
        <v>178.3822578464966</v>
      </c>
      <c r="AS329" s="2">
        <f t="shared" si="114"/>
        <v>41.842751840536238</v>
      </c>
      <c r="AU329" s="2">
        <f t="shared" si="125"/>
        <v>305.27499999999998</v>
      </c>
      <c r="AV329" s="2">
        <f t="shared" si="115"/>
        <v>1.2210999999999999</v>
      </c>
      <c r="AW329" s="12">
        <f t="shared" si="116"/>
        <v>7.00821355236139</v>
      </c>
      <c r="AX329" s="2">
        <v>250</v>
      </c>
      <c r="AY329" s="3">
        <f t="shared" si="117"/>
        <v>1.2210999999999999</v>
      </c>
      <c r="AZ329" s="2">
        <f t="shared" si="118"/>
        <v>247.27274999999997</v>
      </c>
      <c r="BA329" s="2">
        <f t="shared" si="119"/>
        <v>58.002249999999989</v>
      </c>
      <c r="BC329">
        <f t="shared" si="120"/>
        <v>340.38162499999999</v>
      </c>
      <c r="BD329">
        <f t="shared" si="126"/>
        <v>1.3615264999999999</v>
      </c>
      <c r="BE329">
        <f t="shared" si="121"/>
        <v>1.3615264999999999</v>
      </c>
      <c r="BF329">
        <f t="shared" si="122"/>
        <v>275.70911624999997</v>
      </c>
      <c r="BG329">
        <f t="shared" si="123"/>
        <v>64.672508749999992</v>
      </c>
    </row>
    <row r="330" spans="1:59" ht="14.5" customHeight="1" x14ac:dyDescent="0.2">
      <c r="A330" s="2" t="s">
        <v>245</v>
      </c>
      <c r="B330" s="2" t="str">
        <f>VLOOKUP($A330,'[1]daily coal, energy reqd'!$C$2:$T$599,17,FALSE)</f>
        <v>Uttar Pradesh</v>
      </c>
      <c r="C330" s="2" t="str">
        <f>VLOOKUP(B330,'Target PLF'!$I$2:$J$19,2,FALSE)</f>
        <v>NR</v>
      </c>
      <c r="D330" s="2" t="s">
        <v>570</v>
      </c>
      <c r="E330" s="2" t="s">
        <v>543</v>
      </c>
      <c r="F330" s="12">
        <v>7.1759069130732298</v>
      </c>
      <c r="G330" s="2">
        <v>250</v>
      </c>
      <c r="H330">
        <f>VLOOKUP(A330,'Coal savings'!$A$3:$AB$543,26,FALSE)</f>
        <v>754037.09368640836</v>
      </c>
      <c r="I330" t="s">
        <v>694</v>
      </c>
      <c r="J330">
        <f>610.55/2</f>
        <v>305.27499999999998</v>
      </c>
      <c r="O330" s="2" t="s">
        <v>245</v>
      </c>
      <c r="Q330" s="38"/>
      <c r="R330" t="s">
        <v>689</v>
      </c>
      <c r="AH330" s="2" t="str">
        <f t="shared" si="107"/>
        <v>2019</v>
      </c>
      <c r="AI330" s="2">
        <f t="shared" si="124"/>
        <v>220.22500968703284</v>
      </c>
      <c r="AJ330" s="2">
        <f t="shared" si="109"/>
        <v>0.88090003874813139</v>
      </c>
      <c r="AK330" s="12">
        <f t="shared" si="110"/>
        <v>3.1759069130732298</v>
      </c>
      <c r="AL330" s="2" t="s">
        <v>570</v>
      </c>
      <c r="AM330" s="2" t="str">
        <f>VLOOKUP(A330,'[12]Power plant names'!$C$2:$F$545,4,FALSE)</f>
        <v>Sub critical</v>
      </c>
      <c r="AN330" s="2">
        <v>250</v>
      </c>
      <c r="AO330" s="2">
        <f t="shared" si="111"/>
        <v>0.88090003874813139</v>
      </c>
      <c r="AP330" s="2">
        <f>405/2</f>
        <v>202.5</v>
      </c>
      <c r="AQ330" s="2">
        <f t="shared" si="112"/>
        <v>47.5</v>
      </c>
      <c r="AR330" s="2">
        <f t="shared" si="113"/>
        <v>178.3822578464966</v>
      </c>
      <c r="AS330" s="2">
        <f t="shared" si="114"/>
        <v>41.842751840536238</v>
      </c>
      <c r="AU330" s="2">
        <f t="shared" si="125"/>
        <v>305.27499999999998</v>
      </c>
      <c r="AV330" s="2">
        <f t="shared" si="115"/>
        <v>1.2210999999999999</v>
      </c>
      <c r="AW330" s="12">
        <f t="shared" si="116"/>
        <v>6.1759069130732298</v>
      </c>
      <c r="AX330" s="2">
        <v>250</v>
      </c>
      <c r="AY330" s="3">
        <f t="shared" si="117"/>
        <v>1.2210999999999999</v>
      </c>
      <c r="AZ330" s="2">
        <f t="shared" si="118"/>
        <v>247.27274999999997</v>
      </c>
      <c r="BA330" s="2">
        <f t="shared" si="119"/>
        <v>58.002249999999989</v>
      </c>
      <c r="BC330">
        <f t="shared" si="120"/>
        <v>340.38162499999999</v>
      </c>
      <c r="BD330">
        <f t="shared" si="126"/>
        <v>1.3615264999999999</v>
      </c>
      <c r="BE330">
        <f t="shared" si="121"/>
        <v>1.3615264999999999</v>
      </c>
      <c r="BF330">
        <f t="shared" si="122"/>
        <v>275.70911624999997</v>
      </c>
      <c r="BG330">
        <f t="shared" si="123"/>
        <v>64.672508749999992</v>
      </c>
    </row>
    <row r="331" spans="1:59" hidden="1" x14ac:dyDescent="0.2">
      <c r="A331" s="2" t="s">
        <v>309</v>
      </c>
      <c r="B331" s="2" t="str">
        <f>VLOOKUP($A331,'[1]daily coal, energy reqd'!$C$2:$T$599,17,FALSE)</f>
        <v>Maharashtra</v>
      </c>
      <c r="C331" s="2" t="str">
        <f>VLOOKUP(B331,'Target PLF'!$I$2:$J$19,2,FALSE)</f>
        <v>WR</v>
      </c>
      <c r="D331" s="2" t="s">
        <v>570</v>
      </c>
      <c r="E331" s="2" t="s">
        <v>544</v>
      </c>
      <c r="F331" s="12">
        <v>13.2539356605065</v>
      </c>
      <c r="G331" s="2">
        <v>250</v>
      </c>
      <c r="H331">
        <f>VLOOKUP(A331,'Coal savings'!$A$3:$AB$543,26,FALSE)</f>
        <v>0</v>
      </c>
      <c r="I331" t="s">
        <v>695</v>
      </c>
      <c r="J331">
        <f>610.55/2</f>
        <v>305.27499999999998</v>
      </c>
      <c r="O331" s="2" t="s">
        <v>309</v>
      </c>
      <c r="AH331" s="2" t="str">
        <f t="shared" si="107"/>
        <v>2018</v>
      </c>
      <c r="AI331" s="2">
        <f t="shared" si="124"/>
        <v>245.55088580104163</v>
      </c>
      <c r="AJ331" s="2">
        <f t="shared" si="109"/>
        <v>0.98220354320416647</v>
      </c>
      <c r="AK331" s="12">
        <f t="shared" si="110"/>
        <v>9.2539356605064995</v>
      </c>
      <c r="AL331" s="2" t="s">
        <v>570</v>
      </c>
      <c r="AM331" s="2" t="str">
        <f>VLOOKUP(A331,'[12]Power plant names'!$C$2:$F$545,4,FALSE)</f>
        <v>Sub critical</v>
      </c>
      <c r="AN331" s="2">
        <v>250</v>
      </c>
      <c r="AO331" s="2">
        <f t="shared" si="111"/>
        <v>0.98220354320416647</v>
      </c>
      <c r="AP331" s="2">
        <v>250</v>
      </c>
      <c r="AQ331" s="2">
        <f t="shared" si="112"/>
        <v>0</v>
      </c>
      <c r="AR331" s="2">
        <f t="shared" si="113"/>
        <v>245.55088580104163</v>
      </c>
      <c r="AS331" s="2">
        <f t="shared" si="114"/>
        <v>0</v>
      </c>
      <c r="AU331" s="2">
        <f t="shared" si="125"/>
        <v>305.27499999999998</v>
      </c>
      <c r="AV331" s="2">
        <f t="shared" si="115"/>
        <v>1.2210999999999999</v>
      </c>
      <c r="AW331" s="12">
        <f t="shared" si="116"/>
        <v>11.2539356605065</v>
      </c>
      <c r="AX331" s="2">
        <v>250</v>
      </c>
      <c r="AY331" s="3">
        <f t="shared" si="117"/>
        <v>1.2210999999999999</v>
      </c>
      <c r="AZ331" s="2">
        <f t="shared" si="118"/>
        <v>305.27499999999998</v>
      </c>
      <c r="BA331" s="2">
        <f t="shared" si="119"/>
        <v>0</v>
      </c>
      <c r="BC331">
        <f t="shared" si="120"/>
        <v>379.52551187500001</v>
      </c>
      <c r="BD331">
        <f t="shared" si="126"/>
        <v>1.5181020475</v>
      </c>
      <c r="BE331">
        <f t="shared" si="121"/>
        <v>1.5181020475</v>
      </c>
      <c r="BF331">
        <f t="shared" si="122"/>
        <v>379.52551187500001</v>
      </c>
      <c r="BG331">
        <f t="shared" si="123"/>
        <v>0</v>
      </c>
    </row>
    <row r="332" spans="1:59" hidden="1" x14ac:dyDescent="0.2">
      <c r="A332" s="2" t="s">
        <v>275</v>
      </c>
      <c r="B332" s="2" t="str">
        <f>VLOOKUP($A332,'[1]daily coal, energy reqd'!$C$2:$T$599,17,FALSE)</f>
        <v>Maharashtra</v>
      </c>
      <c r="C332" s="2" t="str">
        <f>VLOOKUP(B332,'Target PLF'!$I$2:$J$19,2,FALSE)</f>
        <v>WR</v>
      </c>
      <c r="D332" s="2" t="s">
        <v>570</v>
      </c>
      <c r="E332" s="2" t="s">
        <v>544</v>
      </c>
      <c r="F332" s="12">
        <v>10.2532511978097</v>
      </c>
      <c r="G332" s="2">
        <v>250</v>
      </c>
      <c r="H332">
        <f>VLOOKUP(A332,'Coal savings'!$A$3:$AB$543,26,FALSE)</f>
        <v>0</v>
      </c>
      <c r="I332" t="s">
        <v>695</v>
      </c>
      <c r="J332">
        <f>610.55/2</f>
        <v>305.27499999999998</v>
      </c>
      <c r="O332" s="2" t="s">
        <v>275</v>
      </c>
      <c r="AH332" s="2" t="str">
        <f t="shared" si="107"/>
        <v>2018</v>
      </c>
      <c r="AI332" s="2">
        <f t="shared" si="124"/>
        <v>245.55088580104163</v>
      </c>
      <c r="AJ332" s="2">
        <f t="shared" si="109"/>
        <v>0.98220354320416647</v>
      </c>
      <c r="AK332" s="12">
        <f t="shared" si="110"/>
        <v>6.2532511978096998</v>
      </c>
      <c r="AL332" s="2" t="s">
        <v>570</v>
      </c>
      <c r="AM332" s="2" t="str">
        <f>VLOOKUP(A332,'[12]Power plant names'!$C$2:$F$545,4,FALSE)</f>
        <v>Sub critical</v>
      </c>
      <c r="AN332" s="2">
        <v>250</v>
      </c>
      <c r="AO332" s="2">
        <f t="shared" si="111"/>
        <v>0.98220354320416647</v>
      </c>
      <c r="AP332" s="2">
        <v>250</v>
      </c>
      <c r="AQ332" s="2">
        <f t="shared" si="112"/>
        <v>0</v>
      </c>
      <c r="AR332" s="2">
        <f t="shared" si="113"/>
        <v>245.55088580104163</v>
      </c>
      <c r="AS332" s="2">
        <f t="shared" si="114"/>
        <v>0</v>
      </c>
      <c r="AU332" s="2">
        <f t="shared" si="125"/>
        <v>305.27499999999998</v>
      </c>
      <c r="AV332" s="2">
        <f t="shared" si="115"/>
        <v>1.2210999999999999</v>
      </c>
      <c r="AW332" s="12">
        <f t="shared" si="116"/>
        <v>8.2532511978096998</v>
      </c>
      <c r="AX332" s="2">
        <v>250</v>
      </c>
      <c r="AY332" s="3">
        <f t="shared" si="117"/>
        <v>1.2210999999999999</v>
      </c>
      <c r="AZ332" s="2">
        <f t="shared" si="118"/>
        <v>305.27499999999998</v>
      </c>
      <c r="BA332" s="2">
        <f t="shared" si="119"/>
        <v>0</v>
      </c>
      <c r="BC332">
        <f t="shared" si="120"/>
        <v>379.52551187500001</v>
      </c>
      <c r="BD332">
        <f t="shared" si="126"/>
        <v>1.5181020475</v>
      </c>
      <c r="BE332">
        <f t="shared" si="121"/>
        <v>1.5181020475</v>
      </c>
      <c r="BF332">
        <f t="shared" si="122"/>
        <v>379.52551187500001</v>
      </c>
      <c r="BG332">
        <f t="shared" si="123"/>
        <v>0</v>
      </c>
    </row>
    <row r="333" spans="1:59" x14ac:dyDescent="0.2">
      <c r="A333" s="2" t="s">
        <v>207</v>
      </c>
      <c r="B333" s="2" t="str">
        <f>VLOOKUP($A333,'[1]daily coal, energy reqd'!$C$2:$T$599,17,FALSE)</f>
        <v>Maharashtra</v>
      </c>
      <c r="C333" s="2" t="str">
        <f>VLOOKUP(B333,'Target PLF'!$I$2:$J$19,2,FALSE)</f>
        <v>WR</v>
      </c>
      <c r="D333" s="2" t="s">
        <v>570</v>
      </c>
      <c r="E333" s="2" t="s">
        <v>542</v>
      </c>
      <c r="F333" s="12">
        <v>4.1752224503764497</v>
      </c>
      <c r="G333" s="2">
        <v>250</v>
      </c>
      <c r="H333">
        <f>VLOOKUP(A333,'Coal savings'!$A$3:$AB$543,26,FALSE)</f>
        <v>784665.87011855212</v>
      </c>
      <c r="I333" t="s">
        <v>695</v>
      </c>
      <c r="J333" s="40">
        <v>342.55999999999995</v>
      </c>
      <c r="O333" s="2" t="s">
        <v>207</v>
      </c>
      <c r="AH333" s="2" t="str">
        <f t="shared" si="107"/>
        <v>2018</v>
      </c>
      <c r="AI333" s="2">
        <f t="shared" si="124"/>
        <v>275.54143457539863</v>
      </c>
      <c r="AJ333" s="2">
        <f t="shared" si="109"/>
        <v>1.1021657383015946</v>
      </c>
      <c r="AK333" s="12">
        <f t="shared" si="110"/>
        <v>0.17522245037644968</v>
      </c>
      <c r="AL333" s="2" t="s">
        <v>570</v>
      </c>
      <c r="AM333" s="2" t="str">
        <f>VLOOKUP(A333,'[12]Power plant names'!$C$2:$F$545,4,FALSE)</f>
        <v>Sub critical</v>
      </c>
      <c r="AN333" s="2">
        <v>250</v>
      </c>
      <c r="AO333" s="2">
        <f t="shared" si="111"/>
        <v>1.1021657383015946</v>
      </c>
      <c r="AP333" s="2">
        <v>250</v>
      </c>
      <c r="AQ333" s="2">
        <f t="shared" si="112"/>
        <v>0</v>
      </c>
      <c r="AR333" s="2">
        <f t="shared" si="113"/>
        <v>275.54143457539863</v>
      </c>
      <c r="AS333" s="2">
        <f t="shared" si="114"/>
        <v>0</v>
      </c>
      <c r="AU333" s="2">
        <f t="shared" si="125"/>
        <v>342.55999999999995</v>
      </c>
      <c r="AV333" s="2">
        <f t="shared" si="115"/>
        <v>1.3702399999999997</v>
      </c>
      <c r="AW333" s="12">
        <f t="shared" si="116"/>
        <v>2.1752224503764497</v>
      </c>
      <c r="AX333" s="2">
        <v>250</v>
      </c>
      <c r="AY333" s="3">
        <f t="shared" si="117"/>
        <v>1.3702399999999997</v>
      </c>
      <c r="AZ333" s="2">
        <f t="shared" si="118"/>
        <v>342.55999999999995</v>
      </c>
      <c r="BA333" s="2">
        <f t="shared" si="119"/>
        <v>0</v>
      </c>
      <c r="BC333">
        <f t="shared" si="120"/>
        <v>425.87915599999997</v>
      </c>
      <c r="BD333">
        <f t="shared" si="126"/>
        <v>1.7035166239999999</v>
      </c>
      <c r="BE333">
        <f t="shared" si="121"/>
        <v>1.7035166239999999</v>
      </c>
      <c r="BF333">
        <f t="shared" si="122"/>
        <v>425.87915599999997</v>
      </c>
      <c r="BG333">
        <f t="shared" si="123"/>
        <v>0</v>
      </c>
    </row>
    <row r="334" spans="1:59" ht="14.5" customHeight="1" x14ac:dyDescent="0.2">
      <c r="A334" s="2" t="s">
        <v>261</v>
      </c>
      <c r="B334" s="2" t="str">
        <f>VLOOKUP($A334,'[1]daily coal, energy reqd'!$C$2:$T$599,17,FALSE)</f>
        <v>Chhatisgarh</v>
      </c>
      <c r="C334" s="2" t="str">
        <f>VLOOKUP(B334,'Target PLF'!$I$2:$J$19,2,FALSE)</f>
        <v>WR</v>
      </c>
      <c r="D334" s="2" t="s">
        <v>572</v>
      </c>
      <c r="E334" s="2" t="s">
        <v>544</v>
      </c>
      <c r="F334" s="12">
        <v>10.924024640657001</v>
      </c>
      <c r="G334" s="2">
        <v>300</v>
      </c>
      <c r="H334">
        <f>VLOOKUP(A334,'Coal savings'!$A$3:$AB$543,26,FALSE)</f>
        <v>955514.36967567017</v>
      </c>
      <c r="O334" s="2" t="s">
        <v>261</v>
      </c>
      <c r="P334">
        <v>2019</v>
      </c>
      <c r="Q334" s="96">
        <v>238.7</v>
      </c>
      <c r="R334" s="96" t="s">
        <v>619</v>
      </c>
      <c r="S334" s="96"/>
      <c r="AH334" s="2" t="str">
        <f>RIGHT(I334,4)</f>
        <v/>
      </c>
      <c r="AI334" s="2"/>
      <c r="AJ334" s="2" t="str">
        <f t="shared" si="109"/>
        <v/>
      </c>
      <c r="AK334" s="12">
        <f t="shared" si="110"/>
        <v>6.9240246406570005</v>
      </c>
      <c r="AL334" s="2" t="s">
        <v>572</v>
      </c>
      <c r="AM334" s="2" t="str">
        <f>VLOOKUP(A334,'[12]Power plant names'!$C$2:$F$545,4,FALSE)</f>
        <v>Sub critical</v>
      </c>
      <c r="AN334" s="2">
        <v>300</v>
      </c>
      <c r="AO334" s="2">
        <f t="shared" si="111"/>
        <v>0.84999948418891291</v>
      </c>
      <c r="AP334" s="2">
        <v>300</v>
      </c>
      <c r="AQ334" s="2">
        <f t="shared" si="112"/>
        <v>0</v>
      </c>
      <c r="AR334" s="2">
        <f t="shared" si="113"/>
        <v>254.99984525667386</v>
      </c>
      <c r="AS334" s="2">
        <f t="shared" si="114"/>
        <v>0</v>
      </c>
      <c r="AU334" s="2"/>
      <c r="AV334" s="2" t="str">
        <f t="shared" si="115"/>
        <v/>
      </c>
      <c r="AW334" s="12">
        <f t="shared" si="116"/>
        <v>10.924024640657001</v>
      </c>
      <c r="AX334" s="2">
        <v>300</v>
      </c>
      <c r="AY334" s="3">
        <f t="shared" si="117"/>
        <v>1.0527053080082152</v>
      </c>
      <c r="AZ334" s="2">
        <f t="shared" si="118"/>
        <v>315.81159240246456</v>
      </c>
      <c r="BA334" s="2">
        <f t="shared" si="119"/>
        <v>0</v>
      </c>
      <c r="BC334" t="str">
        <f t="shared" si="120"/>
        <v/>
      </c>
      <c r="BE334">
        <f t="shared" si="121"/>
        <v>1.189089755646819</v>
      </c>
      <c r="BF334">
        <f t="shared" si="122"/>
        <v>356.72692669404569</v>
      </c>
      <c r="BG334">
        <f t="shared" si="123"/>
        <v>0</v>
      </c>
    </row>
    <row r="335" spans="1:59" ht="14.5" customHeight="1" x14ac:dyDescent="0.2">
      <c r="A335" s="2" t="s">
        <v>254</v>
      </c>
      <c r="B335" s="2" t="str">
        <f>VLOOKUP($A335,'[1]daily coal, energy reqd'!$C$2:$T$599,17,FALSE)</f>
        <v>Chhatisgarh</v>
      </c>
      <c r="C335" s="2" t="str">
        <f>VLOOKUP(B335,'Target PLF'!$I$2:$J$19,2,FALSE)</f>
        <v>WR</v>
      </c>
      <c r="D335" s="2" t="s">
        <v>572</v>
      </c>
      <c r="E335" s="2" t="s">
        <v>544</v>
      </c>
      <c r="F335" s="12">
        <v>10.17659137577</v>
      </c>
      <c r="G335" s="2">
        <v>300</v>
      </c>
      <c r="H335">
        <f>VLOOKUP(A335,'Coal savings'!$A$3:$AB$543,26,FALSE)</f>
        <v>953731.55625000235</v>
      </c>
      <c r="O335" s="2" t="s">
        <v>254</v>
      </c>
      <c r="Q335" s="96"/>
      <c r="R335" s="96"/>
      <c r="S335" s="96"/>
      <c r="AH335" s="2" t="str">
        <f t="shared" ref="AH335:AH366" si="127">RIGHT(I335,4)</f>
        <v/>
      </c>
      <c r="AI335" s="2"/>
      <c r="AJ335" s="2" t="str">
        <f t="shared" si="109"/>
        <v/>
      </c>
      <c r="AK335" s="12">
        <f t="shared" si="110"/>
        <v>6.1765913757700002</v>
      </c>
      <c r="AL335" s="2" t="s">
        <v>572</v>
      </c>
      <c r="AM335" s="2" t="str">
        <f>VLOOKUP(A335,'[12]Power plant names'!$C$2:$F$545,4,FALSE)</f>
        <v>Sub critical</v>
      </c>
      <c r="AN335" s="2">
        <v>300</v>
      </c>
      <c r="AO335" s="2">
        <f t="shared" si="111"/>
        <v>0.86035562053388126</v>
      </c>
      <c r="AP335" s="2">
        <v>300</v>
      </c>
      <c r="AQ335" s="2">
        <f t="shared" si="112"/>
        <v>0</v>
      </c>
      <c r="AR335" s="2">
        <f t="shared" si="113"/>
        <v>258.10668616016437</v>
      </c>
      <c r="AS335" s="2">
        <f t="shared" si="114"/>
        <v>0</v>
      </c>
      <c r="AU335" s="2"/>
      <c r="AV335" s="2" t="str">
        <f t="shared" si="115"/>
        <v/>
      </c>
      <c r="AW335" s="12">
        <f t="shared" si="116"/>
        <v>10.17659137577</v>
      </c>
      <c r="AX335" s="2">
        <v>300</v>
      </c>
      <c r="AY335" s="3">
        <f t="shared" si="117"/>
        <v>1.0662579921971256</v>
      </c>
      <c r="AZ335" s="2">
        <f t="shared" si="118"/>
        <v>319.87739765913767</v>
      </c>
      <c r="BA335" s="2">
        <f t="shared" si="119"/>
        <v>0</v>
      </c>
      <c r="BC335" t="str">
        <f t="shared" si="120"/>
        <v/>
      </c>
      <c r="BE335">
        <f t="shared" si="121"/>
        <v>1.2051771355236145</v>
      </c>
      <c r="BF335">
        <f t="shared" si="122"/>
        <v>361.55314065708433</v>
      </c>
      <c r="BG335">
        <f t="shared" si="123"/>
        <v>0</v>
      </c>
    </row>
    <row r="336" spans="1:59" ht="14.5" customHeight="1" x14ac:dyDescent="0.2">
      <c r="A336" s="2" t="s">
        <v>97</v>
      </c>
      <c r="B336" s="2" t="str">
        <f>VLOOKUP($A336,'[1]daily coal, energy reqd'!$C$2:$T$599,17,FALSE)</f>
        <v>West Bengal</v>
      </c>
      <c r="C336" s="2" t="str">
        <f>VLOOKUP(B336,'Target PLF'!$I$2:$J$19,2,FALSE)</f>
        <v>ER</v>
      </c>
      <c r="D336" s="2" t="s">
        <v>571</v>
      </c>
      <c r="E336" s="2" t="s">
        <v>543</v>
      </c>
      <c r="F336" s="12">
        <v>5.7577002053388</v>
      </c>
      <c r="G336" s="2">
        <v>600</v>
      </c>
      <c r="H336">
        <f>VLOOKUP(A336,'Coal savings'!$A$3:$AB$543,26,FALSE)</f>
        <v>2475955.7799435803</v>
      </c>
      <c r="I336" t="s">
        <v>694</v>
      </c>
      <c r="J336">
        <f>2079.47/2</f>
        <v>1039.7349999999999</v>
      </c>
      <c r="O336" s="2" t="s">
        <v>97</v>
      </c>
      <c r="P336">
        <v>2019</v>
      </c>
      <c r="Q336" s="96">
        <v>36.270000000000003</v>
      </c>
      <c r="R336" s="96" t="s">
        <v>619</v>
      </c>
      <c r="S336" s="96">
        <v>1200</v>
      </c>
      <c r="AH336" s="2" t="str">
        <f t="shared" si="127"/>
        <v>2019</v>
      </c>
      <c r="AI336" s="2">
        <f>(J336)/(1+0.115)^(AH336-2016)</f>
        <v>750.06355072294514</v>
      </c>
      <c r="AJ336" s="2">
        <f t="shared" si="109"/>
        <v>1.2501059178715752</v>
      </c>
      <c r="AK336" s="12">
        <f t="shared" si="110"/>
        <v>1.7577002053388</v>
      </c>
      <c r="AL336" s="2" t="s">
        <v>571</v>
      </c>
      <c r="AM336" s="2" t="str">
        <f>VLOOKUP(A336,'[12]Power plant names'!$C$2:$F$545,4,FALSE)</f>
        <v>Sub critical</v>
      </c>
      <c r="AN336" s="2">
        <v>600</v>
      </c>
      <c r="AO336" s="2">
        <f t="shared" si="111"/>
        <v>1.2501059178715752</v>
      </c>
      <c r="AP336" s="2">
        <v>600</v>
      </c>
      <c r="AQ336" s="2">
        <f t="shared" si="112"/>
        <v>0</v>
      </c>
      <c r="AR336" s="2">
        <f t="shared" si="113"/>
        <v>750.06355072294514</v>
      </c>
      <c r="AS336" s="2">
        <f t="shared" si="114"/>
        <v>0</v>
      </c>
      <c r="AU336" s="2">
        <f t="shared" si="125"/>
        <v>1039.7349999999999</v>
      </c>
      <c r="AV336" s="2">
        <f t="shared" si="115"/>
        <v>1.7328916666666665</v>
      </c>
      <c r="AW336" s="12">
        <f t="shared" si="116"/>
        <v>4.7577002053388</v>
      </c>
      <c r="AX336" s="2">
        <v>600</v>
      </c>
      <c r="AY336" s="3">
        <f t="shared" si="117"/>
        <v>1.7328916666666665</v>
      </c>
      <c r="AZ336" s="2">
        <f t="shared" si="118"/>
        <v>1039.7349999999999</v>
      </c>
      <c r="BA336" s="2">
        <f t="shared" si="119"/>
        <v>0</v>
      </c>
      <c r="BC336">
        <f t="shared" si="120"/>
        <v>1159.3045249999998</v>
      </c>
      <c r="BD336">
        <f t="shared" si="126"/>
        <v>1.9321742083333329</v>
      </c>
      <c r="BE336">
        <f t="shared" si="121"/>
        <v>1.9321742083333329</v>
      </c>
      <c r="BF336">
        <f t="shared" si="122"/>
        <v>1159.3045249999998</v>
      </c>
      <c r="BG336">
        <f t="shared" si="123"/>
        <v>0</v>
      </c>
    </row>
    <row r="337" spans="1:59" ht="14.5" customHeight="1" x14ac:dyDescent="0.2">
      <c r="A337" s="2" t="s">
        <v>74</v>
      </c>
      <c r="B337" s="2" t="str">
        <f>VLOOKUP($A337,'[1]daily coal, energy reqd'!$C$2:$T$599,17,FALSE)</f>
        <v>West Bengal</v>
      </c>
      <c r="C337" s="2" t="str">
        <f>VLOOKUP(B337,'Target PLF'!$I$2:$J$19,2,FALSE)</f>
        <v>ER</v>
      </c>
      <c r="D337" s="2" t="s">
        <v>571</v>
      </c>
      <c r="E337" s="2" t="s">
        <v>542</v>
      </c>
      <c r="F337" s="12">
        <v>4.33949349760438</v>
      </c>
      <c r="G337" s="2">
        <v>600</v>
      </c>
      <c r="H337">
        <f>VLOOKUP(A337,'Coal savings'!$A$3:$AB$543,26,FALSE)</f>
        <v>2465736.6179354247</v>
      </c>
      <c r="I337" t="s">
        <v>694</v>
      </c>
      <c r="J337">
        <f>2079.47/2</f>
        <v>1039.7349999999999</v>
      </c>
      <c r="O337" s="2" t="s">
        <v>74</v>
      </c>
      <c r="Q337" s="96"/>
      <c r="R337" s="96"/>
      <c r="S337" s="96"/>
      <c r="AH337" s="2" t="str">
        <f t="shared" si="127"/>
        <v>2019</v>
      </c>
      <c r="AI337" s="2">
        <f>(J337)/(1+0.115)^(AH337-2016)</f>
        <v>750.06355072294514</v>
      </c>
      <c r="AJ337" s="2">
        <f t="shared" si="109"/>
        <v>1.2501059178715752</v>
      </c>
      <c r="AK337" s="12">
        <f t="shared" si="110"/>
        <v>0.33949349760437997</v>
      </c>
      <c r="AL337" s="2" t="s">
        <v>571</v>
      </c>
      <c r="AM337" s="2" t="str">
        <f>VLOOKUP(A337,'[12]Power plant names'!$C$2:$F$545,4,FALSE)</f>
        <v>Sub critical</v>
      </c>
      <c r="AN337" s="2">
        <v>600</v>
      </c>
      <c r="AO337" s="2">
        <f t="shared" si="111"/>
        <v>1.2501059178715752</v>
      </c>
      <c r="AP337" s="2">
        <v>600</v>
      </c>
      <c r="AQ337" s="2">
        <f t="shared" si="112"/>
        <v>0</v>
      </c>
      <c r="AR337" s="2">
        <f t="shared" si="113"/>
        <v>750.06355072294514</v>
      </c>
      <c r="AS337" s="2">
        <f t="shared" si="114"/>
        <v>0</v>
      </c>
      <c r="AU337" s="2">
        <f t="shared" si="125"/>
        <v>1039.7349999999999</v>
      </c>
      <c r="AV337" s="2">
        <f t="shared" si="115"/>
        <v>1.7328916666666665</v>
      </c>
      <c r="AW337" s="12">
        <f t="shared" si="116"/>
        <v>3.33949349760438</v>
      </c>
      <c r="AX337" s="2">
        <v>600</v>
      </c>
      <c r="AY337" s="3">
        <f t="shared" si="117"/>
        <v>1.7328916666666665</v>
      </c>
      <c r="AZ337" s="2">
        <f t="shared" si="118"/>
        <v>1039.7349999999999</v>
      </c>
      <c r="BA337" s="2">
        <f t="shared" si="119"/>
        <v>0</v>
      </c>
      <c r="BC337">
        <f t="shared" si="120"/>
        <v>1159.3045249999998</v>
      </c>
      <c r="BD337">
        <f t="shared" si="126"/>
        <v>1.9321742083333329</v>
      </c>
      <c r="BE337">
        <f t="shared" si="121"/>
        <v>1.9321742083333329</v>
      </c>
      <c r="BF337">
        <f t="shared" si="122"/>
        <v>1159.3045249999998</v>
      </c>
      <c r="BG337">
        <f t="shared" si="123"/>
        <v>0</v>
      </c>
    </row>
    <row r="338" spans="1:59" hidden="1" x14ac:dyDescent="0.2">
      <c r="A338" s="2" t="s">
        <v>464</v>
      </c>
      <c r="B338" s="2" t="str">
        <f>VLOOKUP($A338,'[1]daily coal, energy reqd'!$C$2:$T$599,17,FALSE)</f>
        <v>Karnataka</v>
      </c>
      <c r="C338" s="2" t="str">
        <f>VLOOKUP(B338,'Target PLF'!$I$2:$J$19,2,FALSE)</f>
        <v>SR</v>
      </c>
      <c r="D338" s="2" t="s">
        <v>570</v>
      </c>
      <c r="E338" s="2" t="s">
        <v>549</v>
      </c>
      <c r="F338" s="12">
        <v>35.175906913073199</v>
      </c>
      <c r="G338" s="2">
        <v>210</v>
      </c>
      <c r="H338">
        <f>VLOOKUP(A338,'Coal savings'!$A$3:$AB$543,26,FALSE)</f>
        <v>0</v>
      </c>
      <c r="O338" s="2" t="s">
        <v>464</v>
      </c>
      <c r="AH338" s="2" t="str">
        <f t="shared" si="127"/>
        <v/>
      </c>
      <c r="AI338" s="2"/>
      <c r="AJ338" s="2" t="str">
        <f t="shared" si="109"/>
        <v/>
      </c>
      <c r="AK338" s="12">
        <f t="shared" si="110"/>
        <v>31.175906913073199</v>
      </c>
      <c r="AL338" s="2" t="s">
        <v>570</v>
      </c>
      <c r="AM338" s="2" t="str">
        <f>VLOOKUP(A338,'[12]Power plant names'!$C$2:$F$545,4,FALSE)</f>
        <v>Sub critical</v>
      </c>
      <c r="AN338" s="2">
        <v>210</v>
      </c>
      <c r="AO338" s="2">
        <f t="shared" si="111"/>
        <v>0.55464610417522309</v>
      </c>
      <c r="AP338" s="2">
        <v>210</v>
      </c>
      <c r="AQ338" s="2">
        <f t="shared" si="112"/>
        <v>0</v>
      </c>
      <c r="AR338" s="2">
        <f t="shared" si="113"/>
        <v>116.47568187679684</v>
      </c>
      <c r="AS338" s="2">
        <f t="shared" si="114"/>
        <v>0</v>
      </c>
      <c r="AU338" s="2"/>
      <c r="AV338" s="2" t="str">
        <f t="shared" si="115"/>
        <v/>
      </c>
      <c r="AW338" s="12">
        <f t="shared" si="116"/>
        <v>35.175906913073199</v>
      </c>
      <c r="AX338" s="2">
        <v>210</v>
      </c>
      <c r="AY338" s="3">
        <f t="shared" si="117"/>
        <v>0.66321890308008291</v>
      </c>
      <c r="AZ338" s="2">
        <f t="shared" si="118"/>
        <v>139.2759696468174</v>
      </c>
      <c r="BA338" s="2">
        <f t="shared" si="119"/>
        <v>0</v>
      </c>
      <c r="BC338" t="str">
        <f t="shared" si="120"/>
        <v/>
      </c>
      <c r="BE338">
        <f t="shared" si="121"/>
        <v>0.73030236755646905</v>
      </c>
      <c r="BF338">
        <f t="shared" si="122"/>
        <v>153.3634971868585</v>
      </c>
      <c r="BG338">
        <f t="shared" si="123"/>
        <v>0</v>
      </c>
    </row>
    <row r="339" spans="1:59" hidden="1" x14ac:dyDescent="0.2">
      <c r="A339" s="2" t="s">
        <v>457</v>
      </c>
      <c r="B339" s="2" t="str">
        <f>VLOOKUP($A339,'[1]daily coal, energy reqd'!$C$2:$T$599,17,FALSE)</f>
        <v>Karnataka</v>
      </c>
      <c r="C339" s="2" t="str">
        <f>VLOOKUP(B339,'Target PLF'!$I$2:$J$19,2,FALSE)</f>
        <v>SR</v>
      </c>
      <c r="D339" s="2" t="s">
        <v>570</v>
      </c>
      <c r="E339" s="2" t="s">
        <v>548</v>
      </c>
      <c r="F339" s="12">
        <v>34.176591375770002</v>
      </c>
      <c r="G339" s="2">
        <v>210</v>
      </c>
      <c r="H339">
        <f>VLOOKUP(A339,'Coal savings'!$A$3:$AB$543,26,FALSE)</f>
        <v>0</v>
      </c>
      <c r="O339" s="2" t="s">
        <v>457</v>
      </c>
      <c r="AH339" s="2" t="str">
        <f t="shared" si="127"/>
        <v/>
      </c>
      <c r="AI339" s="2"/>
      <c r="AJ339" s="2" t="str">
        <f t="shared" si="109"/>
        <v/>
      </c>
      <c r="AK339" s="12">
        <f t="shared" si="110"/>
        <v>30.176591375770002</v>
      </c>
      <c r="AL339" s="2" t="s">
        <v>570</v>
      </c>
      <c r="AM339" s="2" t="str">
        <f>VLOOKUP(A339,'[12]Power plant names'!$C$2:$F$545,4,FALSE)</f>
        <v>Sub critical</v>
      </c>
      <c r="AN339" s="2">
        <v>210</v>
      </c>
      <c r="AO339" s="2">
        <f t="shared" si="111"/>
        <v>0.56849222053388127</v>
      </c>
      <c r="AP339" s="2">
        <v>210</v>
      </c>
      <c r="AQ339" s="2">
        <f t="shared" si="112"/>
        <v>0</v>
      </c>
      <c r="AR339" s="2">
        <f t="shared" si="113"/>
        <v>119.38336631211507</v>
      </c>
      <c r="AS339" s="2">
        <f t="shared" si="114"/>
        <v>0</v>
      </c>
      <c r="AU339" s="2"/>
      <c r="AV339" s="2" t="str">
        <f t="shared" si="115"/>
        <v/>
      </c>
      <c r="AW339" s="12">
        <f t="shared" si="116"/>
        <v>34.176591375770002</v>
      </c>
      <c r="AX339" s="2">
        <v>210</v>
      </c>
      <c r="AY339" s="3">
        <f t="shared" si="117"/>
        <v>0.68133879219712568</v>
      </c>
      <c r="AZ339" s="2">
        <f t="shared" si="118"/>
        <v>143.08114636139638</v>
      </c>
      <c r="BA339" s="2">
        <f t="shared" si="119"/>
        <v>0</v>
      </c>
      <c r="BC339" t="str">
        <f t="shared" si="120"/>
        <v/>
      </c>
      <c r="BE339">
        <f t="shared" si="121"/>
        <v>0.75181113552361434</v>
      </c>
      <c r="BF339">
        <f t="shared" si="122"/>
        <v>157.88033845995901</v>
      </c>
      <c r="BG339">
        <f t="shared" si="123"/>
        <v>0</v>
      </c>
    </row>
    <row r="340" spans="1:59" hidden="1" x14ac:dyDescent="0.2">
      <c r="A340" s="2" t="s">
        <v>424</v>
      </c>
      <c r="B340" s="2" t="str">
        <f>VLOOKUP($A340,'[1]daily coal, energy reqd'!$C$2:$T$599,17,FALSE)</f>
        <v>Karnataka</v>
      </c>
      <c r="C340" s="2" t="str">
        <f>VLOOKUP(B340,'Target PLF'!$I$2:$J$19,2,FALSE)</f>
        <v>SR</v>
      </c>
      <c r="D340" s="2" t="s">
        <v>570</v>
      </c>
      <c r="E340" s="2" t="s">
        <v>547</v>
      </c>
      <c r="F340" s="12">
        <v>29.177275838466802</v>
      </c>
      <c r="G340" s="2">
        <v>210</v>
      </c>
      <c r="H340">
        <f>VLOOKUP(A340,'Coal savings'!$A$3:$AB$543,26,FALSE)</f>
        <v>0</v>
      </c>
      <c r="O340" s="2" t="s">
        <v>424</v>
      </c>
      <c r="AH340" s="2" t="str">
        <f t="shared" si="127"/>
        <v/>
      </c>
      <c r="AI340" s="2"/>
      <c r="AJ340" s="2" t="str">
        <f t="shared" si="109"/>
        <v/>
      </c>
      <c r="AK340" s="12">
        <f t="shared" si="110"/>
        <v>25.177275838466802</v>
      </c>
      <c r="AL340" s="2" t="s">
        <v>570</v>
      </c>
      <c r="AM340" s="2" t="str">
        <f>VLOOKUP(A340,'[12]Power plant names'!$C$2:$F$545,4,FALSE)</f>
        <v>Sub critical</v>
      </c>
      <c r="AN340" s="2">
        <v>210</v>
      </c>
      <c r="AO340" s="2">
        <f t="shared" si="111"/>
        <v>0.63776073689253954</v>
      </c>
      <c r="AP340" s="2">
        <v>210</v>
      </c>
      <c r="AQ340" s="2">
        <f t="shared" si="112"/>
        <v>0</v>
      </c>
      <c r="AR340" s="2">
        <f t="shared" si="113"/>
        <v>133.92975474743329</v>
      </c>
      <c r="AS340" s="2">
        <f t="shared" si="114"/>
        <v>0</v>
      </c>
      <c r="AU340" s="2"/>
      <c r="AV340" s="2" t="str">
        <f t="shared" si="115"/>
        <v/>
      </c>
      <c r="AW340" s="12">
        <f t="shared" si="116"/>
        <v>29.177275838466802</v>
      </c>
      <c r="AX340" s="2">
        <v>210</v>
      </c>
      <c r="AY340" s="3">
        <f t="shared" si="117"/>
        <v>0.7719878813141684</v>
      </c>
      <c r="AZ340" s="2">
        <f t="shared" si="118"/>
        <v>162.11745507597536</v>
      </c>
      <c r="BA340" s="2">
        <f t="shared" si="119"/>
        <v>0</v>
      </c>
      <c r="BC340" t="str">
        <f t="shared" si="120"/>
        <v/>
      </c>
      <c r="BE340">
        <f t="shared" si="121"/>
        <v>0.85941390349075986</v>
      </c>
      <c r="BF340">
        <f t="shared" si="122"/>
        <v>180.47691973305956</v>
      </c>
      <c r="BG340">
        <f t="shared" si="123"/>
        <v>0</v>
      </c>
    </row>
    <row r="341" spans="1:59" hidden="1" x14ac:dyDescent="0.2">
      <c r="A341" s="2" t="s">
        <v>402</v>
      </c>
      <c r="B341" s="2" t="str">
        <f>VLOOKUP($A341,'[1]daily coal, energy reqd'!$C$2:$T$599,17,FALSE)</f>
        <v>Karnataka</v>
      </c>
      <c r="C341" s="2" t="str">
        <f>VLOOKUP(B341,'Target PLF'!$I$2:$J$19,2,FALSE)</f>
        <v>SR</v>
      </c>
      <c r="D341" s="2" t="s">
        <v>570</v>
      </c>
      <c r="E341" s="2" t="s">
        <v>547</v>
      </c>
      <c r="F341" s="12">
        <v>25.672826830937701</v>
      </c>
      <c r="G341" s="2">
        <v>210</v>
      </c>
      <c r="H341">
        <f>VLOOKUP(A341,'Coal savings'!$A$3:$AB$543,26,FALSE)</f>
        <v>0</v>
      </c>
      <c r="O341" s="2" t="s">
        <v>402</v>
      </c>
      <c r="AH341" s="2" t="str">
        <f t="shared" si="127"/>
        <v/>
      </c>
      <c r="AI341" s="2"/>
      <c r="AJ341" s="2" t="str">
        <f t="shared" si="109"/>
        <v/>
      </c>
      <c r="AK341" s="12">
        <f t="shared" si="110"/>
        <v>21.672826830937701</v>
      </c>
      <c r="AL341" s="2" t="s">
        <v>570</v>
      </c>
      <c r="AM341" s="2" t="str">
        <f>VLOOKUP(A341,'[12]Power plant names'!$C$2:$F$545,4,FALSE)</f>
        <v>Sub critical</v>
      </c>
      <c r="AN341" s="2">
        <v>210</v>
      </c>
      <c r="AO341" s="2">
        <f t="shared" si="111"/>
        <v>0.68631698056125967</v>
      </c>
      <c r="AP341" s="2">
        <v>210</v>
      </c>
      <c r="AQ341" s="2">
        <f t="shared" si="112"/>
        <v>0</v>
      </c>
      <c r="AR341" s="2">
        <f t="shared" si="113"/>
        <v>144.12656591786453</v>
      </c>
      <c r="AS341" s="2">
        <f t="shared" si="114"/>
        <v>0</v>
      </c>
      <c r="AU341" s="2"/>
      <c r="AV341" s="2" t="str">
        <f t="shared" si="115"/>
        <v/>
      </c>
      <c r="AW341" s="12">
        <f t="shared" si="116"/>
        <v>25.672826830937701</v>
      </c>
      <c r="AX341" s="2">
        <v>210</v>
      </c>
      <c r="AY341" s="3">
        <f t="shared" si="117"/>
        <v>0.83553160205338839</v>
      </c>
      <c r="AZ341" s="2">
        <f t="shared" si="118"/>
        <v>175.46163643121156</v>
      </c>
      <c r="BA341" s="2">
        <f t="shared" si="119"/>
        <v>0</v>
      </c>
      <c r="BC341" t="str">
        <f t="shared" si="120"/>
        <v/>
      </c>
      <c r="BE341">
        <f t="shared" si="121"/>
        <v>0.93484191170431241</v>
      </c>
      <c r="BF341">
        <f t="shared" si="122"/>
        <v>196.3168014579056</v>
      </c>
      <c r="BG341">
        <f t="shared" si="123"/>
        <v>0</v>
      </c>
    </row>
    <row r="342" spans="1:59" hidden="1" x14ac:dyDescent="0.2">
      <c r="A342" s="2" t="s">
        <v>378</v>
      </c>
      <c r="B342" s="2" t="str">
        <f>VLOOKUP($A342,'[1]daily coal, energy reqd'!$C$2:$T$599,17,FALSE)</f>
        <v>Karnataka</v>
      </c>
      <c r="C342" s="2" t="str">
        <f>VLOOKUP(B342,'Target PLF'!$I$2:$J$19,2,FALSE)</f>
        <v>SR</v>
      </c>
      <c r="D342" s="2" t="s">
        <v>570</v>
      </c>
      <c r="E342" s="2" t="s">
        <v>546</v>
      </c>
      <c r="F342" s="12">
        <v>21.338809034907499</v>
      </c>
      <c r="G342" s="2">
        <v>210</v>
      </c>
      <c r="H342">
        <f>VLOOKUP(A342,'Coal savings'!$A$3:$AB$543,26,FALSE)</f>
        <v>0</v>
      </c>
      <c r="O342" s="2" t="s">
        <v>378</v>
      </c>
      <c r="AH342" s="2" t="str">
        <f t="shared" si="127"/>
        <v/>
      </c>
      <c r="AI342" s="2"/>
      <c r="AJ342" s="2" t="str">
        <f t="shared" si="109"/>
        <v/>
      </c>
      <c r="AK342" s="12">
        <f t="shared" si="110"/>
        <v>17.338809034907499</v>
      </c>
      <c r="AL342" s="2" t="s">
        <v>570</v>
      </c>
      <c r="AM342" s="2" t="str">
        <f>VLOOKUP(A342,'[12]Power plant names'!$C$2:$F$545,4,FALSE)</f>
        <v>Sub critical</v>
      </c>
      <c r="AN342" s="2">
        <v>210</v>
      </c>
      <c r="AO342" s="2">
        <f t="shared" si="111"/>
        <v>0.74636739753593573</v>
      </c>
      <c r="AP342" s="2">
        <v>210</v>
      </c>
      <c r="AQ342" s="2">
        <f t="shared" si="112"/>
        <v>0</v>
      </c>
      <c r="AR342" s="2">
        <f t="shared" si="113"/>
        <v>156.73715348254649</v>
      </c>
      <c r="AS342" s="2">
        <f t="shared" si="114"/>
        <v>0</v>
      </c>
      <c r="AU342" s="2"/>
      <c r="AV342" s="2" t="str">
        <f t="shared" si="115"/>
        <v/>
      </c>
      <c r="AW342" s="12">
        <f t="shared" si="116"/>
        <v>21.338809034907499</v>
      </c>
      <c r="AX342" s="2">
        <v>210</v>
      </c>
      <c r="AY342" s="3">
        <f t="shared" si="117"/>
        <v>0.91411731293634679</v>
      </c>
      <c r="AZ342" s="2">
        <f t="shared" si="118"/>
        <v>191.96463571663281</v>
      </c>
      <c r="BA342" s="2">
        <f t="shared" si="119"/>
        <v>0</v>
      </c>
      <c r="BC342" t="str">
        <f t="shared" si="120"/>
        <v/>
      </c>
      <c r="BE342">
        <f t="shared" si="121"/>
        <v>1.0281251437371686</v>
      </c>
      <c r="BF342">
        <f t="shared" si="122"/>
        <v>215.90628018480541</v>
      </c>
      <c r="BG342">
        <f t="shared" si="123"/>
        <v>0</v>
      </c>
    </row>
    <row r="343" spans="1:59" hidden="1" x14ac:dyDescent="0.2">
      <c r="A343" s="2" t="s">
        <v>374</v>
      </c>
      <c r="B343" s="2" t="str">
        <f>VLOOKUP($A343,'[1]daily coal, energy reqd'!$C$2:$T$599,17,FALSE)</f>
        <v>Karnataka</v>
      </c>
      <c r="C343" s="2" t="str">
        <f>VLOOKUP(B343,'Target PLF'!$I$2:$J$19,2,FALSE)</f>
        <v>SR</v>
      </c>
      <c r="D343" s="2" t="s">
        <v>570</v>
      </c>
      <c r="E343" s="2" t="s">
        <v>546</v>
      </c>
      <c r="F343" s="12">
        <v>20.843258042436599</v>
      </c>
      <c r="G343" s="2">
        <v>210</v>
      </c>
      <c r="H343">
        <f>VLOOKUP(A343,'Coal savings'!$A$3:$AB$543,26,FALSE)</f>
        <v>0</v>
      </c>
      <c r="O343" s="2" t="s">
        <v>374</v>
      </c>
      <c r="AH343" s="2" t="str">
        <f t="shared" si="127"/>
        <v/>
      </c>
      <c r="AI343" s="2"/>
      <c r="AJ343" s="2" t="str">
        <f t="shared" si="109"/>
        <v/>
      </c>
      <c r="AK343" s="12">
        <f t="shared" si="110"/>
        <v>16.843258042436599</v>
      </c>
      <c r="AL343" s="2" t="s">
        <v>570</v>
      </c>
      <c r="AM343" s="2" t="str">
        <f>VLOOKUP(A343,'[12]Power plant names'!$C$2:$F$545,4,FALSE)</f>
        <v>Sub critical</v>
      </c>
      <c r="AN343" s="2">
        <v>210</v>
      </c>
      <c r="AO343" s="2">
        <f t="shared" si="111"/>
        <v>0.75323355386721558</v>
      </c>
      <c r="AP343" s="2">
        <v>210</v>
      </c>
      <c r="AQ343" s="2">
        <f t="shared" si="112"/>
        <v>0</v>
      </c>
      <c r="AR343" s="2">
        <f t="shared" si="113"/>
        <v>158.17904631211528</v>
      </c>
      <c r="AS343" s="2">
        <f t="shared" si="114"/>
        <v>0</v>
      </c>
      <c r="AU343" s="2"/>
      <c r="AV343" s="2" t="str">
        <f t="shared" si="115"/>
        <v/>
      </c>
      <c r="AW343" s="12">
        <f t="shared" si="116"/>
        <v>20.843258042436599</v>
      </c>
      <c r="AX343" s="2">
        <v>210</v>
      </c>
      <c r="AY343" s="3">
        <f t="shared" si="117"/>
        <v>0.92310279219712699</v>
      </c>
      <c r="AZ343" s="2">
        <f t="shared" si="118"/>
        <v>193.85158636139667</v>
      </c>
      <c r="BA343" s="2">
        <f t="shared" si="119"/>
        <v>0</v>
      </c>
      <c r="BC343" t="str">
        <f t="shared" si="120"/>
        <v/>
      </c>
      <c r="BE343">
        <f t="shared" si="121"/>
        <v>1.0387911355236159</v>
      </c>
      <c r="BF343">
        <f t="shared" si="122"/>
        <v>218.14613845995933</v>
      </c>
      <c r="BG343">
        <f t="shared" si="123"/>
        <v>0</v>
      </c>
    </row>
    <row r="344" spans="1:59" hidden="1" x14ac:dyDescent="0.2">
      <c r="A344" s="2" t="s">
        <v>350</v>
      </c>
      <c r="B344" s="2" t="str">
        <f>VLOOKUP($A344,'[1]daily coal, energy reqd'!$C$2:$T$599,17,FALSE)</f>
        <v>Karnataka</v>
      </c>
      <c r="C344" s="2" t="str">
        <f>VLOOKUP(B344,'Target PLF'!$I$2:$J$19,2,FALSE)</f>
        <v>SR</v>
      </c>
      <c r="D344" s="2" t="s">
        <v>570</v>
      </c>
      <c r="E344" s="2" t="s">
        <v>545</v>
      </c>
      <c r="F344" s="12">
        <v>17.423682409308601</v>
      </c>
      <c r="G344" s="2">
        <v>210</v>
      </c>
      <c r="H344">
        <f>VLOOKUP(A344,'Coal savings'!$A$3:$AB$543,26,FALSE)</f>
        <v>0</v>
      </c>
      <c r="O344" s="2" t="s">
        <v>350</v>
      </c>
      <c r="AH344" s="2" t="str">
        <f t="shared" si="127"/>
        <v/>
      </c>
      <c r="AI344" s="2"/>
      <c r="AJ344" s="2" t="str">
        <f t="shared" si="109"/>
        <v/>
      </c>
      <c r="AK344" s="12">
        <f t="shared" si="110"/>
        <v>13.423682409308601</v>
      </c>
      <c r="AL344" s="2" t="s">
        <v>570</v>
      </c>
      <c r="AM344" s="2" t="str">
        <f>VLOOKUP(A344,'[12]Power plant names'!$C$2:$F$545,4,FALSE)</f>
        <v>Sub critical</v>
      </c>
      <c r="AN344" s="2">
        <v>210</v>
      </c>
      <c r="AO344" s="2">
        <f t="shared" si="111"/>
        <v>0.80061382600958386</v>
      </c>
      <c r="AP344" s="2">
        <v>210</v>
      </c>
      <c r="AQ344" s="2">
        <f t="shared" si="112"/>
        <v>0</v>
      </c>
      <c r="AR344" s="2">
        <f t="shared" si="113"/>
        <v>168.1289034620126</v>
      </c>
      <c r="AS344" s="2">
        <f t="shared" si="114"/>
        <v>0</v>
      </c>
      <c r="AU344" s="2"/>
      <c r="AV344" s="2" t="str">
        <f t="shared" si="115"/>
        <v/>
      </c>
      <c r="AW344" s="12">
        <f t="shared" si="116"/>
        <v>17.423682409308601</v>
      </c>
      <c r="AX344" s="2">
        <v>210</v>
      </c>
      <c r="AY344" s="3">
        <f t="shared" si="117"/>
        <v>0.98510756344969375</v>
      </c>
      <c r="AZ344" s="2">
        <f t="shared" si="118"/>
        <v>206.8725883244357</v>
      </c>
      <c r="BA344" s="2">
        <f t="shared" si="119"/>
        <v>0</v>
      </c>
      <c r="BC344" t="str">
        <f t="shared" si="120"/>
        <v/>
      </c>
      <c r="BE344">
        <f t="shared" si="121"/>
        <v>1.1123923716632462</v>
      </c>
      <c r="BF344">
        <f t="shared" si="122"/>
        <v>233.6023980492817</v>
      </c>
      <c r="BG344">
        <f t="shared" si="123"/>
        <v>0</v>
      </c>
    </row>
    <row r="345" spans="1:59" x14ac:dyDescent="0.2">
      <c r="A345" s="2" t="s">
        <v>267</v>
      </c>
      <c r="B345" s="2" t="str">
        <f>VLOOKUP($A345,'[1]daily coal, energy reqd'!$C$2:$T$599,17,FALSE)</f>
        <v>Karnataka</v>
      </c>
      <c r="C345" s="2" t="str">
        <f>VLOOKUP(B345,'Target PLF'!$I$2:$J$19,2,FALSE)</f>
        <v>SR</v>
      </c>
      <c r="D345" s="2" t="s">
        <v>570</v>
      </c>
      <c r="E345" s="2" t="s">
        <v>543</v>
      </c>
      <c r="F345" s="12">
        <v>9.9247091033538606</v>
      </c>
      <c r="G345" s="2">
        <v>250</v>
      </c>
      <c r="H345">
        <f>VLOOKUP(A345,'Coal savings'!$A$3:$AB$543,26,FALSE)</f>
        <v>839416.66984402412</v>
      </c>
      <c r="O345" s="2" t="s">
        <v>267</v>
      </c>
      <c r="AH345" s="2" t="str">
        <f t="shared" si="127"/>
        <v/>
      </c>
      <c r="AI345" s="2"/>
      <c r="AJ345" s="2" t="str">
        <f t="shared" si="109"/>
        <v/>
      </c>
      <c r="AK345" s="12">
        <f t="shared" si="110"/>
        <v>5.9247091033538606</v>
      </c>
      <c r="AL345" s="2" t="s">
        <v>570</v>
      </c>
      <c r="AM345" s="2" t="str">
        <f>VLOOKUP(A345,'[12]Power plant names'!$C$2:$F$545,4,FALSE)</f>
        <v>Sub critical</v>
      </c>
      <c r="AN345" s="2">
        <v>250</v>
      </c>
      <c r="AO345" s="2">
        <f t="shared" si="111"/>
        <v>0.88644060054757035</v>
      </c>
      <c r="AP345" s="2">
        <v>250</v>
      </c>
      <c r="AQ345" s="2">
        <f t="shared" si="112"/>
        <v>0</v>
      </c>
      <c r="AR345" s="2">
        <f t="shared" si="113"/>
        <v>221.6101501368926</v>
      </c>
      <c r="AS345" s="2">
        <f t="shared" si="114"/>
        <v>0</v>
      </c>
      <c r="AU345" s="2"/>
      <c r="AV345" s="2" t="str">
        <f t="shared" si="115"/>
        <v/>
      </c>
      <c r="AW345" s="12">
        <f t="shared" si="116"/>
        <v>9.9247091033538606</v>
      </c>
      <c r="AX345" s="2">
        <v>250</v>
      </c>
      <c r="AY345" s="3">
        <f t="shared" si="117"/>
        <v>1.0987451971252569</v>
      </c>
      <c r="AZ345" s="2">
        <f t="shared" si="118"/>
        <v>274.68629928131423</v>
      </c>
      <c r="BA345" s="2">
        <f t="shared" si="119"/>
        <v>0</v>
      </c>
      <c r="BC345" t="str">
        <f t="shared" si="120"/>
        <v/>
      </c>
      <c r="BE345">
        <f t="shared" si="121"/>
        <v>1.2457085236139631</v>
      </c>
      <c r="BF345">
        <f t="shared" si="122"/>
        <v>311.42713090349076</v>
      </c>
      <c r="BG345">
        <f t="shared" si="123"/>
        <v>0</v>
      </c>
    </row>
    <row r="346" spans="1:59" ht="14.5" customHeight="1" x14ac:dyDescent="0.2">
      <c r="A346" s="2" t="s">
        <v>39</v>
      </c>
      <c r="B346" s="2" t="str">
        <f>VLOOKUP($A346,'[1]daily coal, energy reqd'!$C$2:$T$599,17,FALSE)</f>
        <v>Chhatisgarh</v>
      </c>
      <c r="C346" s="2" t="str">
        <f>VLOOKUP(B346,'Target PLF'!$I$2:$J$19,2,FALSE)</f>
        <v>WR</v>
      </c>
      <c r="D346" s="2" t="s">
        <v>572</v>
      </c>
      <c r="E346" s="2" t="s">
        <v>543</v>
      </c>
      <c r="F346" s="12">
        <v>5.2539356605065004</v>
      </c>
      <c r="G346" s="2">
        <v>685</v>
      </c>
      <c r="H346">
        <f>VLOOKUP(A346,'Coal savings'!$A$3:$AB$543,26,FALSE)</f>
        <v>3125620.5072254068</v>
      </c>
      <c r="O346" s="2" t="s">
        <v>39</v>
      </c>
      <c r="AH346" s="2" t="str">
        <f t="shared" si="127"/>
        <v/>
      </c>
      <c r="AI346" s="2"/>
      <c r="AJ346" s="2" t="str">
        <f t="shared" si="109"/>
        <v/>
      </c>
      <c r="AK346" s="12">
        <f t="shared" si="110"/>
        <v>1.2539356605065004</v>
      </c>
      <c r="AL346" s="2" t="s">
        <v>572</v>
      </c>
      <c r="AM346" s="2" t="str">
        <f>VLOOKUP(A346,'[12]Power plant names'!$C$2:$F$545,4,FALSE)</f>
        <v>Super critical</v>
      </c>
      <c r="AN346" s="2">
        <v>685</v>
      </c>
      <c r="AO346" s="2">
        <f t="shared" si="111"/>
        <v>0.75458046906228615</v>
      </c>
      <c r="AP346" s="2"/>
      <c r="AQ346" s="2">
        <f t="shared" si="112"/>
        <v>685</v>
      </c>
      <c r="AR346" s="2">
        <f t="shared" si="113"/>
        <v>0</v>
      </c>
      <c r="AS346" s="2">
        <f t="shared" si="114"/>
        <v>516.887621307666</v>
      </c>
      <c r="AU346" s="2"/>
      <c r="AV346" s="2" t="str">
        <f t="shared" si="115"/>
        <v/>
      </c>
      <c r="AW346" s="12">
        <f t="shared" si="116"/>
        <v>5.2539356605065004</v>
      </c>
      <c r="AX346" s="2">
        <v>685</v>
      </c>
      <c r="AY346" s="3">
        <f t="shared" si="117"/>
        <v>0.94053306242299806</v>
      </c>
      <c r="AZ346" s="2">
        <f t="shared" si="118"/>
        <v>0</v>
      </c>
      <c r="BA346" s="2">
        <f t="shared" si="119"/>
        <v>644.26514775975363</v>
      </c>
      <c r="BC346" t="str">
        <f t="shared" si="120"/>
        <v/>
      </c>
      <c r="BE346">
        <f t="shared" si="121"/>
        <v>1.0407829158110884</v>
      </c>
      <c r="BF346">
        <f t="shared" si="122"/>
        <v>0</v>
      </c>
      <c r="BG346">
        <f t="shared" si="123"/>
        <v>712.93629733059549</v>
      </c>
    </row>
    <row r="347" spans="1:59" ht="14.5" customHeight="1" x14ac:dyDescent="0.2">
      <c r="A347" s="2" t="s">
        <v>29</v>
      </c>
      <c r="B347" s="2" t="str">
        <f>VLOOKUP($A347,'[1]daily coal, energy reqd'!$C$2:$T$599,17,FALSE)</f>
        <v>Chhatisgarh</v>
      </c>
      <c r="C347" s="2" t="str">
        <f>VLOOKUP(B347,'Target PLF'!$I$2:$J$19,2,FALSE)</f>
        <v>WR</v>
      </c>
      <c r="D347" s="2" t="s">
        <v>572</v>
      </c>
      <c r="E347" s="2" t="s">
        <v>542</v>
      </c>
      <c r="F347" s="12">
        <v>4.1752224503764497</v>
      </c>
      <c r="G347" s="2">
        <v>685</v>
      </c>
      <c r="H347">
        <f>VLOOKUP(A347,'Coal savings'!$A$3:$AB$543,26,FALSE)</f>
        <v>3115490.8351326459</v>
      </c>
      <c r="O347" s="2" t="s">
        <v>29</v>
      </c>
      <c r="AH347" s="2" t="str">
        <f t="shared" si="127"/>
        <v/>
      </c>
      <c r="AI347" s="2"/>
      <c r="AJ347" s="2" t="str">
        <f t="shared" si="109"/>
        <v/>
      </c>
      <c r="AK347" s="12">
        <f t="shared" si="110"/>
        <v>0.17522245037644968</v>
      </c>
      <c r="AL347" s="2" t="s">
        <v>572</v>
      </c>
      <c r="AM347" s="2" t="str">
        <f>VLOOKUP(A347,'[12]Power plant names'!$C$2:$F$545,4,FALSE)</f>
        <v>Super critical</v>
      </c>
      <c r="AN347" s="2">
        <v>685</v>
      </c>
      <c r="AO347" s="2">
        <f t="shared" si="111"/>
        <v>0.76952668781656408</v>
      </c>
      <c r="AP347" s="2"/>
      <c r="AQ347" s="2">
        <f t="shared" si="112"/>
        <v>685</v>
      </c>
      <c r="AR347" s="2">
        <f t="shared" si="113"/>
        <v>0</v>
      </c>
      <c r="AS347" s="2">
        <f t="shared" si="114"/>
        <v>527.12578115434644</v>
      </c>
      <c r="AU347" s="2"/>
      <c r="AV347" s="2" t="str">
        <f t="shared" si="115"/>
        <v/>
      </c>
      <c r="AW347" s="12">
        <f t="shared" si="116"/>
        <v>4.1752224503764497</v>
      </c>
      <c r="AX347" s="2">
        <v>685</v>
      </c>
      <c r="AY347" s="3">
        <f t="shared" si="117"/>
        <v>0.96009261396303924</v>
      </c>
      <c r="AZ347" s="2">
        <f t="shared" si="118"/>
        <v>0</v>
      </c>
      <c r="BA347" s="2">
        <f t="shared" si="119"/>
        <v>657.66344056468188</v>
      </c>
      <c r="BC347" t="str">
        <f t="shared" si="120"/>
        <v/>
      </c>
      <c r="BE347">
        <f t="shared" si="121"/>
        <v>1.0640005995893225</v>
      </c>
      <c r="BF347">
        <f t="shared" si="122"/>
        <v>0</v>
      </c>
      <c r="BG347">
        <f t="shared" si="123"/>
        <v>728.84041071868592</v>
      </c>
    </row>
    <row r="348" spans="1:59" ht="14.5" customHeight="1" x14ac:dyDescent="0.2">
      <c r="A348" s="2" t="s">
        <v>135</v>
      </c>
      <c r="B348" s="2" t="str">
        <f>VLOOKUP($A348,'[1]daily coal, energy reqd'!$C$2:$T$599,17,FALSE)</f>
        <v>Haryana</v>
      </c>
      <c r="C348" s="2" t="str">
        <f>VLOOKUP(B348,'Target PLF'!$I$2:$J$19,2,FALSE)</f>
        <v>NR</v>
      </c>
      <c r="D348" s="2" t="s">
        <v>570</v>
      </c>
      <c r="E348" s="2" t="s">
        <v>544</v>
      </c>
      <c r="F348" s="12">
        <v>10.17659137577</v>
      </c>
      <c r="G348" s="2">
        <v>600</v>
      </c>
      <c r="H348">
        <f>VLOOKUP(A348,'Coal savings'!$A$3:$AB$543,26,FALSE)</f>
        <v>2564444.4532389101</v>
      </c>
      <c r="O348" s="2" t="s">
        <v>135</v>
      </c>
      <c r="AH348" s="2" t="str">
        <f t="shared" si="127"/>
        <v/>
      </c>
      <c r="AI348" s="2"/>
      <c r="AJ348" s="2" t="str">
        <f t="shared" si="109"/>
        <v/>
      </c>
      <c r="AK348" s="12">
        <f t="shared" si="110"/>
        <v>6.1765913757700002</v>
      </c>
      <c r="AL348" s="2" t="s">
        <v>570</v>
      </c>
      <c r="AM348" s="2" t="str">
        <f>VLOOKUP(A348,'[12]Power plant names'!$C$2:$F$545,4,FALSE)</f>
        <v>Sub critical</v>
      </c>
      <c r="AN348" s="2">
        <v>600</v>
      </c>
      <c r="AO348" s="2">
        <f t="shared" si="111"/>
        <v>0.72478562053388129</v>
      </c>
      <c r="AP348" s="2">
        <v>600</v>
      </c>
      <c r="AQ348" s="2">
        <f t="shared" si="112"/>
        <v>0</v>
      </c>
      <c r="AR348" s="2">
        <f t="shared" si="113"/>
        <v>434.87137232032876</v>
      </c>
      <c r="AS348" s="2">
        <f t="shared" si="114"/>
        <v>0</v>
      </c>
      <c r="AU348" s="2"/>
      <c r="AV348" s="2" t="str">
        <f t="shared" si="115"/>
        <v/>
      </c>
      <c r="AW348" s="12">
        <f t="shared" si="116"/>
        <v>10.17659137577</v>
      </c>
      <c r="AX348" s="2">
        <v>600</v>
      </c>
      <c r="AY348" s="3">
        <f t="shared" si="117"/>
        <v>0.89873799219712569</v>
      </c>
      <c r="AZ348" s="2">
        <f t="shared" si="118"/>
        <v>539.2427953182754</v>
      </c>
      <c r="BA348" s="2">
        <f t="shared" si="119"/>
        <v>0</v>
      </c>
      <c r="BC348" t="str">
        <f t="shared" si="120"/>
        <v/>
      </c>
      <c r="BE348">
        <f t="shared" si="121"/>
        <v>0.99451713552361443</v>
      </c>
      <c r="BF348">
        <f t="shared" si="122"/>
        <v>596.7102813141687</v>
      </c>
      <c r="BG348">
        <f t="shared" si="123"/>
        <v>0</v>
      </c>
    </row>
    <row r="349" spans="1:59" ht="14.5" customHeight="1" x14ac:dyDescent="0.2">
      <c r="A349" s="2" t="s">
        <v>134</v>
      </c>
      <c r="B349" s="2" t="str">
        <f>VLOOKUP($A349,'[1]daily coal, energy reqd'!$C$2:$T$599,17,FALSE)</f>
        <v>Haryana</v>
      </c>
      <c r="C349" s="2" t="str">
        <f>VLOOKUP(B349,'Target PLF'!$I$2:$J$19,2,FALSE)</f>
        <v>NR</v>
      </c>
      <c r="D349" s="2" t="s">
        <v>570</v>
      </c>
      <c r="E349" s="2" t="s">
        <v>543</v>
      </c>
      <c r="F349" s="12">
        <v>9.5906913073237501</v>
      </c>
      <c r="G349" s="2">
        <v>600</v>
      </c>
      <c r="H349">
        <f>VLOOKUP(A349,'Coal savings'!$A$3:$AB$543,26,FALSE)</f>
        <v>2703331.9537634901</v>
      </c>
      <c r="O349" s="2" t="s">
        <v>134</v>
      </c>
      <c r="AH349" s="2" t="str">
        <f t="shared" si="127"/>
        <v/>
      </c>
      <c r="AI349" s="2"/>
      <c r="AJ349" s="2" t="str">
        <f t="shared" si="109"/>
        <v/>
      </c>
      <c r="AK349" s="12">
        <f t="shared" si="110"/>
        <v>5.5906913073237501</v>
      </c>
      <c r="AL349" s="2" t="s">
        <v>570</v>
      </c>
      <c r="AM349" s="2" t="str">
        <f>VLOOKUP(A349,'[12]Power plant names'!$C$2:$F$545,4,FALSE)</f>
        <v>Sub critical</v>
      </c>
      <c r="AN349" s="2">
        <v>600</v>
      </c>
      <c r="AO349" s="2">
        <f t="shared" si="111"/>
        <v>0.7329036175222452</v>
      </c>
      <c r="AP349" s="2">
        <v>600</v>
      </c>
      <c r="AQ349" s="2">
        <f t="shared" si="112"/>
        <v>0</v>
      </c>
      <c r="AR349" s="2">
        <f t="shared" si="113"/>
        <v>439.74217051334711</v>
      </c>
      <c r="AS349" s="2">
        <f t="shared" si="114"/>
        <v>0</v>
      </c>
      <c r="AU349" s="2"/>
      <c r="AV349" s="2" t="str">
        <f t="shared" si="115"/>
        <v/>
      </c>
      <c r="AW349" s="12">
        <f t="shared" si="116"/>
        <v>9.5906913073237501</v>
      </c>
      <c r="AX349" s="2">
        <v>600</v>
      </c>
      <c r="AY349" s="3">
        <f t="shared" si="117"/>
        <v>0.9093617080082137</v>
      </c>
      <c r="AZ349" s="2">
        <f t="shared" si="118"/>
        <v>545.61702480492818</v>
      </c>
      <c r="BA349" s="2">
        <f t="shared" si="119"/>
        <v>0</v>
      </c>
      <c r="BC349" t="str">
        <f t="shared" si="120"/>
        <v/>
      </c>
      <c r="BE349">
        <f t="shared" si="121"/>
        <v>1.0071277556468172</v>
      </c>
      <c r="BF349">
        <f t="shared" si="122"/>
        <v>604.27665338809038</v>
      </c>
      <c r="BG349">
        <f t="shared" si="123"/>
        <v>0</v>
      </c>
    </row>
    <row r="350" spans="1:59" ht="14.5" customHeight="1" x14ac:dyDescent="0.2">
      <c r="A350" s="2" t="s">
        <v>46</v>
      </c>
      <c r="B350" s="2" t="str">
        <f>VLOOKUP($A350,'[1]daily coal, energy reqd'!$C$2:$T$599,17,FALSE)</f>
        <v>Punjab</v>
      </c>
      <c r="C350" s="2" t="str">
        <f>VLOOKUP(B350,'Target PLF'!$I$2:$J$19,2,FALSE)</f>
        <v>NR</v>
      </c>
      <c r="D350" s="2" t="s">
        <v>572</v>
      </c>
      <c r="E350" s="2" t="s">
        <v>543</v>
      </c>
      <c r="F350" s="12">
        <v>6.3381245722108099</v>
      </c>
      <c r="G350" s="2">
        <v>700</v>
      </c>
      <c r="H350">
        <f>VLOOKUP(A350,'Coal savings'!$A$3:$AB$543,26,FALSE)</f>
        <v>3194978.9991018958</v>
      </c>
      <c r="O350" s="2" t="s">
        <v>46</v>
      </c>
      <c r="AH350" s="2" t="str">
        <f t="shared" si="127"/>
        <v/>
      </c>
      <c r="AI350" s="2"/>
      <c r="AJ350" s="2" t="str">
        <f t="shared" si="109"/>
        <v/>
      </c>
      <c r="AK350" s="12">
        <f t="shared" si="110"/>
        <v>2.3381245722108099</v>
      </c>
      <c r="AL350" s="2" t="s">
        <v>572</v>
      </c>
      <c r="AM350" s="2" t="str">
        <f>VLOOKUP(A350,'[12]Power plant names'!$C$2:$F$545,4,FALSE)</f>
        <v>Super critical</v>
      </c>
      <c r="AN350" s="2">
        <v>700</v>
      </c>
      <c r="AO350" s="2">
        <f t="shared" si="111"/>
        <v>0.73277988117727599</v>
      </c>
      <c r="AP350" s="2"/>
      <c r="AQ350" s="2">
        <f t="shared" si="112"/>
        <v>700</v>
      </c>
      <c r="AR350" s="2">
        <f t="shared" si="113"/>
        <v>0</v>
      </c>
      <c r="AS350" s="2">
        <f t="shared" si="114"/>
        <v>512.94591682409316</v>
      </c>
      <c r="AU350" s="2"/>
      <c r="AV350" s="2" t="str">
        <f t="shared" si="115"/>
        <v/>
      </c>
      <c r="AW350" s="12">
        <f t="shared" si="116"/>
        <v>6.3381245722108099</v>
      </c>
      <c r="AX350" s="2">
        <v>700</v>
      </c>
      <c r="AY350" s="3">
        <f t="shared" si="117"/>
        <v>0.91249822381930201</v>
      </c>
      <c r="AZ350" s="2">
        <f t="shared" si="118"/>
        <v>0</v>
      </c>
      <c r="BA350" s="2">
        <f t="shared" si="119"/>
        <v>638.74875667351137</v>
      </c>
      <c r="BC350" t="str">
        <f t="shared" si="120"/>
        <v/>
      </c>
      <c r="BE350">
        <f t="shared" si="121"/>
        <v>1.0069143757700205</v>
      </c>
      <c r="BF350">
        <f t="shared" si="122"/>
        <v>0</v>
      </c>
      <c r="BG350">
        <f t="shared" si="123"/>
        <v>704.84006303901435</v>
      </c>
    </row>
    <row r="351" spans="1:59" ht="14.5" customHeight="1" x14ac:dyDescent="0.2">
      <c r="A351" s="2" t="s">
        <v>37</v>
      </c>
      <c r="B351" s="2" t="str">
        <f>VLOOKUP($A351,'[1]daily coal, energy reqd'!$C$2:$T$599,17,FALSE)</f>
        <v>Punjab</v>
      </c>
      <c r="C351" s="2" t="str">
        <f>VLOOKUP(B351,'Target PLF'!$I$2:$J$19,2,FALSE)</f>
        <v>NR</v>
      </c>
      <c r="D351" s="2" t="s">
        <v>572</v>
      </c>
      <c r="E351" s="2" t="s">
        <v>543</v>
      </c>
      <c r="F351" s="12">
        <v>5.8425735797399003</v>
      </c>
      <c r="G351" s="2">
        <v>700</v>
      </c>
      <c r="H351">
        <f>VLOOKUP(A351,'Coal savings'!$A$3:$AB$543,26,FALSE)</f>
        <v>3190288.7703241459</v>
      </c>
      <c r="O351" s="2" t="s">
        <v>37</v>
      </c>
      <c r="AH351" s="2" t="str">
        <f t="shared" si="127"/>
        <v/>
      </c>
      <c r="AI351" s="2"/>
      <c r="AJ351" s="2" t="str">
        <f t="shared" si="109"/>
        <v/>
      </c>
      <c r="AK351" s="12">
        <f t="shared" si="110"/>
        <v>1.8425735797399003</v>
      </c>
      <c r="AL351" s="2" t="s">
        <v>572</v>
      </c>
      <c r="AM351" s="2" t="str">
        <f>VLOOKUP(A351,'[12]Power plant names'!$C$2:$F$545,4,FALSE)</f>
        <v>Super critical</v>
      </c>
      <c r="AN351" s="2">
        <v>700</v>
      </c>
      <c r="AO351" s="2">
        <f t="shared" si="111"/>
        <v>0.73964603750855584</v>
      </c>
      <c r="AP351" s="2"/>
      <c r="AQ351" s="2">
        <f t="shared" si="112"/>
        <v>700</v>
      </c>
      <c r="AR351" s="2">
        <f t="shared" si="113"/>
        <v>0</v>
      </c>
      <c r="AS351" s="2">
        <f t="shared" si="114"/>
        <v>517.75222625598906</v>
      </c>
      <c r="AU351" s="2"/>
      <c r="AV351" s="2" t="str">
        <f t="shared" si="115"/>
        <v/>
      </c>
      <c r="AW351" s="12">
        <f t="shared" si="116"/>
        <v>5.8425735797399003</v>
      </c>
      <c r="AX351" s="2">
        <v>700</v>
      </c>
      <c r="AY351" s="3">
        <f t="shared" si="117"/>
        <v>0.92148370308008232</v>
      </c>
      <c r="AZ351" s="2">
        <f t="shared" si="118"/>
        <v>0</v>
      </c>
      <c r="BA351" s="2">
        <f t="shared" si="119"/>
        <v>645.03859215605758</v>
      </c>
      <c r="BC351" t="str">
        <f t="shared" si="120"/>
        <v/>
      </c>
      <c r="BE351">
        <f t="shared" si="121"/>
        <v>1.0175803675564683</v>
      </c>
      <c r="BF351">
        <f t="shared" si="122"/>
        <v>0</v>
      </c>
      <c r="BG351">
        <f t="shared" si="123"/>
        <v>712.30625728952782</v>
      </c>
    </row>
    <row r="352" spans="1:59" ht="14.5" hidden="1" customHeight="1" x14ac:dyDescent="0.2">
      <c r="A352" s="2" t="s">
        <v>529</v>
      </c>
      <c r="B352" s="2" t="str">
        <f>VLOOKUP($A352,'[1]daily coal, energy reqd'!$C$2:$T$599,17,FALSE)</f>
        <v>Telangana</v>
      </c>
      <c r="C352" s="2" t="str">
        <f>VLOOKUP(B352,'Target PLF'!$I$2:$J$19,2,FALSE)</f>
        <v>SR</v>
      </c>
      <c r="D352" s="2" t="s">
        <v>570</v>
      </c>
      <c r="E352" s="2" t="s">
        <v>551</v>
      </c>
      <c r="F352" s="12">
        <v>48.591375770020498</v>
      </c>
      <c r="G352" s="2">
        <v>62.5</v>
      </c>
      <c r="H352">
        <f>VLOOKUP(A352,'Coal savings'!$A$3:$AB$543,26,FALSE)</f>
        <v>0</v>
      </c>
      <c r="O352" s="2" t="s">
        <v>529</v>
      </c>
      <c r="AH352" s="2" t="str">
        <f t="shared" si="127"/>
        <v/>
      </c>
      <c r="AI352" s="2"/>
      <c r="AJ352" s="2" t="str">
        <f t="shared" si="109"/>
        <v/>
      </c>
      <c r="AK352" s="12">
        <f t="shared" si="110"/>
        <v>44.591375770020498</v>
      </c>
      <c r="AL352" s="2" t="s">
        <v>570</v>
      </c>
      <c r="AM352" s="2" t="str">
        <f>VLOOKUP(A352,'[12]Power plant names'!$C$2:$F$545,4,FALSE)</f>
        <v>Sub critical</v>
      </c>
      <c r="AN352" s="2">
        <v>62.5</v>
      </c>
      <c r="AO352" s="2">
        <f t="shared" si="111"/>
        <v>0.43542198388090414</v>
      </c>
      <c r="AP352" s="2">
        <v>62.5</v>
      </c>
      <c r="AQ352" s="2">
        <f t="shared" si="112"/>
        <v>0</v>
      </c>
      <c r="AR352" s="2">
        <f t="shared" si="113"/>
        <v>27.213873992556508</v>
      </c>
      <c r="AS352" s="2">
        <f t="shared" si="114"/>
        <v>0</v>
      </c>
      <c r="AU352" s="2"/>
      <c r="AV352" s="2" t="str">
        <f t="shared" si="115"/>
        <v/>
      </c>
      <c r="AW352" s="12">
        <f t="shared" si="116"/>
        <v>48.591375770020498</v>
      </c>
      <c r="AX352" s="2">
        <v>62.5</v>
      </c>
      <c r="AY352" s="3">
        <f t="shared" si="117"/>
        <v>0.50232959712525738</v>
      </c>
      <c r="AZ352" s="2">
        <f t="shared" si="118"/>
        <v>31.395599820328584</v>
      </c>
      <c r="BA352" s="2">
        <f t="shared" si="119"/>
        <v>0</v>
      </c>
      <c r="BC352" t="str">
        <f t="shared" si="120"/>
        <v/>
      </c>
      <c r="BE352">
        <f t="shared" si="121"/>
        <v>0.54512902361396365</v>
      </c>
      <c r="BF352">
        <f t="shared" si="122"/>
        <v>34.07056397587273</v>
      </c>
      <c r="BG352">
        <f t="shared" si="123"/>
        <v>0</v>
      </c>
    </row>
    <row r="353" spans="1:59" ht="14.5" hidden="1" customHeight="1" x14ac:dyDescent="0.2">
      <c r="A353" s="2" t="s">
        <v>482</v>
      </c>
      <c r="B353" s="2" t="str">
        <f>VLOOKUP($A353,'[1]daily coal, energy reqd'!$C$2:$T$599,17,FALSE)</f>
        <v>Telangana</v>
      </c>
      <c r="C353" s="2" t="str">
        <f>VLOOKUP(B353,'Target PLF'!$I$2:$J$19,2,FALSE)</f>
        <v>SR</v>
      </c>
      <c r="D353" s="2" t="s">
        <v>571</v>
      </c>
      <c r="E353" s="2" t="s">
        <v>549</v>
      </c>
      <c r="F353" s="12">
        <v>36.591375770020498</v>
      </c>
      <c r="G353" s="2">
        <v>200</v>
      </c>
      <c r="H353">
        <f>VLOOKUP(A353,'Coal savings'!$A$3:$AB$543,26,FALSE)</f>
        <v>0</v>
      </c>
      <c r="I353" t="s">
        <v>694</v>
      </c>
      <c r="J353" s="38">
        <v>105.88</v>
      </c>
      <c r="O353" s="2" t="s">
        <v>482</v>
      </c>
      <c r="P353">
        <v>2019</v>
      </c>
      <c r="Q353" s="96">
        <v>84.54</v>
      </c>
      <c r="R353" s="96" t="s">
        <v>614</v>
      </c>
      <c r="S353" s="96">
        <v>252.84</v>
      </c>
      <c r="T353" s="96">
        <v>50.53</v>
      </c>
      <c r="U353" s="96" t="s">
        <v>681</v>
      </c>
      <c r="V353" s="96"/>
      <c r="AH353" s="2" t="str">
        <f t="shared" si="127"/>
        <v>2019</v>
      </c>
      <c r="AI353" s="2">
        <f t="shared" ref="AI353:AI359" si="128">(J353)/(1+0.115)^(AH353-2016)</f>
        <v>76.381701828394199</v>
      </c>
      <c r="AJ353" s="2">
        <f t="shared" si="109"/>
        <v>0.381908509141971</v>
      </c>
      <c r="AK353" s="12">
        <f t="shared" si="110"/>
        <v>32.591375770020498</v>
      </c>
      <c r="AL353" s="2" t="s">
        <v>571</v>
      </c>
      <c r="AM353" s="2" t="str">
        <f>VLOOKUP(A353,'[12]Power plant names'!$C$2:$F$545,4,FALSE)</f>
        <v>Sub critical</v>
      </c>
      <c r="AN353" s="2">
        <v>200</v>
      </c>
      <c r="AO353" s="2">
        <f t="shared" si="111"/>
        <v>0.381908509141971</v>
      </c>
      <c r="AP353" s="2">
        <v>200</v>
      </c>
      <c r="AQ353" s="2">
        <f t="shared" si="112"/>
        <v>0</v>
      </c>
      <c r="AR353" s="2">
        <f t="shared" si="113"/>
        <v>76.381701828394199</v>
      </c>
      <c r="AS353" s="2">
        <f t="shared" si="114"/>
        <v>0</v>
      </c>
      <c r="AU353" s="2">
        <f t="shared" si="125"/>
        <v>105.88</v>
      </c>
      <c r="AV353" s="2">
        <f t="shared" si="115"/>
        <v>0.52939999999999998</v>
      </c>
      <c r="AW353" s="12">
        <f t="shared" si="116"/>
        <v>35.591375770020498</v>
      </c>
      <c r="AX353" s="2">
        <v>200</v>
      </c>
      <c r="AY353" s="3">
        <f t="shared" si="117"/>
        <v>0.52939999999999998</v>
      </c>
      <c r="AZ353" s="2">
        <f t="shared" si="118"/>
        <v>105.88</v>
      </c>
      <c r="BA353" s="2">
        <f t="shared" si="119"/>
        <v>0</v>
      </c>
      <c r="BC353">
        <f t="shared" si="120"/>
        <v>118.05619999999999</v>
      </c>
      <c r="BD353">
        <f t="shared" si="126"/>
        <v>0.59028099999999994</v>
      </c>
      <c r="BE353">
        <f t="shared" si="121"/>
        <v>0.59028099999999994</v>
      </c>
      <c r="BF353">
        <f t="shared" si="122"/>
        <v>118.05619999999999</v>
      </c>
      <c r="BG353">
        <f t="shared" si="123"/>
        <v>0</v>
      </c>
    </row>
    <row r="354" spans="1:59" ht="14.5" hidden="1" customHeight="1" x14ac:dyDescent="0.2">
      <c r="A354" s="2" t="s">
        <v>476</v>
      </c>
      <c r="B354" s="2" t="str">
        <f>VLOOKUP($A354,'[1]daily coal, energy reqd'!$C$2:$T$599,17,FALSE)</f>
        <v>Telangana</v>
      </c>
      <c r="C354" s="2" t="str">
        <f>VLOOKUP(B354,'Target PLF'!$I$2:$J$19,2,FALSE)</f>
        <v>SR</v>
      </c>
      <c r="D354" s="2" t="s">
        <v>571</v>
      </c>
      <c r="E354" s="2" t="s">
        <v>549</v>
      </c>
      <c r="F354" s="12">
        <v>36.008213552361397</v>
      </c>
      <c r="G354" s="2">
        <v>200</v>
      </c>
      <c r="H354">
        <f>VLOOKUP(A354,'Coal savings'!$A$3:$AB$543,26,FALSE)</f>
        <v>0</v>
      </c>
      <c r="I354" t="s">
        <v>694</v>
      </c>
      <c r="J354" s="38">
        <v>105.88</v>
      </c>
      <c r="O354" s="2" t="s">
        <v>476</v>
      </c>
      <c r="Q354" s="96"/>
      <c r="R354" s="96"/>
      <c r="S354" s="96"/>
      <c r="T354" s="96"/>
      <c r="U354" s="96"/>
      <c r="V354" s="96"/>
      <c r="AH354" s="2" t="str">
        <f t="shared" si="127"/>
        <v>2019</v>
      </c>
      <c r="AI354" s="2">
        <f t="shared" si="128"/>
        <v>76.381701828394199</v>
      </c>
      <c r="AJ354" s="2">
        <f t="shared" si="109"/>
        <v>0.381908509141971</v>
      </c>
      <c r="AK354" s="12">
        <f t="shared" si="110"/>
        <v>32.008213552361397</v>
      </c>
      <c r="AL354" s="2" t="s">
        <v>571</v>
      </c>
      <c r="AM354" s="2" t="str">
        <f>VLOOKUP(A354,'[12]Power plant names'!$C$2:$F$545,4,FALSE)</f>
        <v>Sub critical</v>
      </c>
      <c r="AN354" s="2">
        <v>200</v>
      </c>
      <c r="AO354" s="2">
        <f t="shared" si="111"/>
        <v>0.381908509141971</v>
      </c>
      <c r="AP354" s="2">
        <v>200</v>
      </c>
      <c r="AQ354" s="2">
        <f t="shared" si="112"/>
        <v>0</v>
      </c>
      <c r="AR354" s="2">
        <f t="shared" si="113"/>
        <v>76.381701828394199</v>
      </c>
      <c r="AS354" s="2">
        <f t="shared" si="114"/>
        <v>0</v>
      </c>
      <c r="AU354" s="2">
        <f t="shared" si="125"/>
        <v>105.88</v>
      </c>
      <c r="AV354" s="2">
        <f t="shared" si="115"/>
        <v>0.52939999999999998</v>
      </c>
      <c r="AW354" s="12">
        <f t="shared" si="116"/>
        <v>35.008213552361397</v>
      </c>
      <c r="AX354" s="2">
        <v>200</v>
      </c>
      <c r="AY354" s="3">
        <f t="shared" si="117"/>
        <v>0.52939999999999998</v>
      </c>
      <c r="AZ354" s="2">
        <f t="shared" si="118"/>
        <v>105.88</v>
      </c>
      <c r="BA354" s="2">
        <f t="shared" si="119"/>
        <v>0</v>
      </c>
      <c r="BC354">
        <f t="shared" si="120"/>
        <v>118.05619999999999</v>
      </c>
      <c r="BD354">
        <f t="shared" si="126"/>
        <v>0.59028099999999994</v>
      </c>
      <c r="BE354">
        <f t="shared" si="121"/>
        <v>0.59028099999999994</v>
      </c>
      <c r="BF354">
        <f t="shared" si="122"/>
        <v>118.05619999999999</v>
      </c>
      <c r="BG354">
        <f t="shared" si="123"/>
        <v>0</v>
      </c>
    </row>
    <row r="355" spans="1:59" ht="14.5" hidden="1" customHeight="1" x14ac:dyDescent="0.2">
      <c r="A355" s="2" t="s">
        <v>470</v>
      </c>
      <c r="B355" s="2" t="str">
        <f>VLOOKUP($A355,'[1]daily coal, energy reqd'!$C$2:$T$599,17,FALSE)</f>
        <v>Telangana</v>
      </c>
      <c r="C355" s="2" t="str">
        <f>VLOOKUP(B355,'Target PLF'!$I$2:$J$19,2,FALSE)</f>
        <v>SR</v>
      </c>
      <c r="D355" s="2" t="s">
        <v>571</v>
      </c>
      <c r="E355" s="2" t="s">
        <v>549</v>
      </c>
      <c r="F355" s="12">
        <v>35.422313483915097</v>
      </c>
      <c r="G355" s="2">
        <v>200</v>
      </c>
      <c r="H355">
        <f>VLOOKUP(A355,'Coal savings'!$A$3:$AB$543,26,FALSE)</f>
        <v>0</v>
      </c>
      <c r="I355" t="s">
        <v>694</v>
      </c>
      <c r="J355" s="38">
        <v>105.88</v>
      </c>
      <c r="O355" s="2" t="s">
        <v>470</v>
      </c>
      <c r="Q355" s="96"/>
      <c r="R355" s="96"/>
      <c r="S355" s="96"/>
      <c r="T355" s="96"/>
      <c r="U355" s="96"/>
      <c r="V355" s="96"/>
      <c r="AH355" s="2" t="str">
        <f t="shared" si="127"/>
        <v>2019</v>
      </c>
      <c r="AI355" s="2">
        <f t="shared" si="128"/>
        <v>76.381701828394199</v>
      </c>
      <c r="AJ355" s="2">
        <f t="shared" si="109"/>
        <v>0.381908509141971</v>
      </c>
      <c r="AK355" s="12">
        <f t="shared" si="110"/>
        <v>31.422313483915097</v>
      </c>
      <c r="AL355" s="2" t="s">
        <v>571</v>
      </c>
      <c r="AM355" s="2" t="str">
        <f>VLOOKUP(A355,'[12]Power plant names'!$C$2:$F$545,4,FALSE)</f>
        <v>Sub critical</v>
      </c>
      <c r="AN355" s="2">
        <v>200</v>
      </c>
      <c r="AO355" s="2">
        <f t="shared" si="111"/>
        <v>0.381908509141971</v>
      </c>
      <c r="AP355" s="2">
        <v>200</v>
      </c>
      <c r="AQ355" s="2">
        <f t="shared" si="112"/>
        <v>0</v>
      </c>
      <c r="AR355" s="2">
        <f t="shared" si="113"/>
        <v>76.381701828394199</v>
      </c>
      <c r="AS355" s="2">
        <f t="shared" si="114"/>
        <v>0</v>
      </c>
      <c r="AU355" s="2">
        <f t="shared" si="125"/>
        <v>105.88</v>
      </c>
      <c r="AV355" s="2">
        <f t="shared" si="115"/>
        <v>0.52939999999999998</v>
      </c>
      <c r="AW355" s="12">
        <f t="shared" si="116"/>
        <v>34.422313483915097</v>
      </c>
      <c r="AX355" s="2">
        <v>200</v>
      </c>
      <c r="AY355" s="3">
        <f t="shared" si="117"/>
        <v>0.52939999999999998</v>
      </c>
      <c r="AZ355" s="2">
        <f t="shared" si="118"/>
        <v>105.88</v>
      </c>
      <c r="BA355" s="2">
        <f t="shared" si="119"/>
        <v>0</v>
      </c>
      <c r="BC355">
        <f t="shared" si="120"/>
        <v>118.05619999999999</v>
      </c>
      <c r="BD355">
        <f t="shared" si="126"/>
        <v>0.59028099999999994</v>
      </c>
      <c r="BE355">
        <f t="shared" si="121"/>
        <v>0.59028099999999994</v>
      </c>
      <c r="BF355">
        <f t="shared" si="122"/>
        <v>118.05619999999999</v>
      </c>
      <c r="BG355">
        <f t="shared" si="123"/>
        <v>0</v>
      </c>
    </row>
    <row r="356" spans="1:59" ht="14.5" customHeight="1" x14ac:dyDescent="0.2">
      <c r="A356" s="2" t="s">
        <v>357</v>
      </c>
      <c r="B356" s="2" t="str">
        <f>VLOOKUP($A356,'[1]daily coal, energy reqd'!$C$2:$T$599,17,FALSE)</f>
        <v>Telangana</v>
      </c>
      <c r="C356" s="2" t="str">
        <f>VLOOKUP(B356,'Target PLF'!$I$2:$J$19,2,FALSE)</f>
        <v>SR</v>
      </c>
      <c r="D356" s="2" t="s">
        <v>571</v>
      </c>
      <c r="E356" s="2" t="s">
        <v>548</v>
      </c>
      <c r="F356" s="12">
        <v>31.923340177960299</v>
      </c>
      <c r="G356" s="2">
        <v>500</v>
      </c>
      <c r="H356">
        <f>VLOOKUP(A356,'Coal savings'!$A$3:$AB$543,26,FALSE)</f>
        <v>1528046.3415365142</v>
      </c>
      <c r="I356" t="s">
        <v>694</v>
      </c>
      <c r="J356">
        <v>264.70999999999998</v>
      </c>
      <c r="O356" s="2" t="s">
        <v>357</v>
      </c>
      <c r="Q356" s="96"/>
      <c r="R356" s="96"/>
      <c r="S356" s="96"/>
      <c r="T356" s="96"/>
      <c r="U356" s="96"/>
      <c r="V356" s="96"/>
      <c r="AH356" s="2" t="str">
        <f t="shared" si="127"/>
        <v>2019</v>
      </c>
      <c r="AI356" s="2">
        <f t="shared" si="128"/>
        <v>190.96146855869122</v>
      </c>
      <c r="AJ356" s="2">
        <f t="shared" si="109"/>
        <v>0.38192293711738245</v>
      </c>
      <c r="AK356" s="12">
        <f t="shared" si="110"/>
        <v>27.923340177960299</v>
      </c>
      <c r="AL356" s="2" t="s">
        <v>571</v>
      </c>
      <c r="AM356" s="2" t="str">
        <f>VLOOKUP(A356,'[12]Power plant names'!$C$2:$F$545,4,FALSE)</f>
        <v>Sub critical</v>
      </c>
      <c r="AN356" s="2">
        <v>500</v>
      </c>
      <c r="AO356" s="2">
        <f t="shared" si="111"/>
        <v>0.38192293711738245</v>
      </c>
      <c r="AP356" s="2">
        <v>500</v>
      </c>
      <c r="AQ356" s="2">
        <f t="shared" si="112"/>
        <v>0</v>
      </c>
      <c r="AR356" s="2">
        <f t="shared" si="113"/>
        <v>190.96146855869122</v>
      </c>
      <c r="AS356" s="2">
        <f t="shared" si="114"/>
        <v>0</v>
      </c>
      <c r="AU356" s="2">
        <f t="shared" si="125"/>
        <v>264.70999999999998</v>
      </c>
      <c r="AV356" s="2">
        <f t="shared" si="115"/>
        <v>0.52942</v>
      </c>
      <c r="AW356" s="12">
        <f t="shared" si="116"/>
        <v>30.923340177960299</v>
      </c>
      <c r="AX356" s="2">
        <v>500</v>
      </c>
      <c r="AY356" s="3">
        <f t="shared" si="117"/>
        <v>0.52942</v>
      </c>
      <c r="AZ356" s="2">
        <f t="shared" si="118"/>
        <v>264.70999999999998</v>
      </c>
      <c r="BA356" s="2">
        <f t="shared" si="119"/>
        <v>0</v>
      </c>
      <c r="BC356">
        <f t="shared" si="120"/>
        <v>295.15164999999996</v>
      </c>
      <c r="BD356">
        <f t="shared" si="126"/>
        <v>0.59030329999999998</v>
      </c>
      <c r="BE356">
        <f t="shared" si="121"/>
        <v>0.59030329999999998</v>
      </c>
      <c r="BF356">
        <f t="shared" si="122"/>
        <v>295.15164999999996</v>
      </c>
      <c r="BG356">
        <f t="shared" si="123"/>
        <v>0</v>
      </c>
    </row>
    <row r="357" spans="1:59" ht="14.5" customHeight="1" x14ac:dyDescent="0.2">
      <c r="A357" s="2" t="s">
        <v>355</v>
      </c>
      <c r="B357" s="2" t="str">
        <f>VLOOKUP($A357,'[1]daily coal, energy reqd'!$C$2:$T$599,17,FALSE)</f>
        <v>Telangana</v>
      </c>
      <c r="C357" s="2" t="str">
        <f>VLOOKUP(B357,'Target PLF'!$I$2:$J$19,2,FALSE)</f>
        <v>SR</v>
      </c>
      <c r="D357" s="2" t="s">
        <v>571</v>
      </c>
      <c r="E357" s="2" t="s">
        <v>548</v>
      </c>
      <c r="F357" s="12">
        <v>31.175906913073199</v>
      </c>
      <c r="G357" s="2">
        <v>500</v>
      </c>
      <c r="H357">
        <f>VLOOKUP(A357,'Coal savings'!$A$3:$AB$543,26,FALSE)</f>
        <v>1525172.0919057524</v>
      </c>
      <c r="I357" t="s">
        <v>694</v>
      </c>
      <c r="J357">
        <v>264.70999999999998</v>
      </c>
      <c r="O357" s="2" t="s">
        <v>355</v>
      </c>
      <c r="Q357" s="96"/>
      <c r="R357" s="96"/>
      <c r="S357" s="96"/>
      <c r="T357" s="96"/>
      <c r="U357" s="96"/>
      <c r="V357" s="96"/>
      <c r="AH357" s="2" t="str">
        <f t="shared" si="127"/>
        <v>2019</v>
      </c>
      <c r="AI357" s="2">
        <f t="shared" si="128"/>
        <v>190.96146855869122</v>
      </c>
      <c r="AJ357" s="2">
        <f t="shared" si="109"/>
        <v>0.38192293711738245</v>
      </c>
      <c r="AK357" s="12">
        <f t="shared" si="110"/>
        <v>27.175906913073199</v>
      </c>
      <c r="AL357" s="2" t="s">
        <v>571</v>
      </c>
      <c r="AM357" s="2" t="str">
        <f>VLOOKUP(A357,'[12]Power plant names'!$C$2:$F$545,4,FALSE)</f>
        <v>Sub critical</v>
      </c>
      <c r="AN357" s="2">
        <v>500</v>
      </c>
      <c r="AO357" s="2">
        <f t="shared" si="111"/>
        <v>0.38192293711738245</v>
      </c>
      <c r="AP357" s="2">
        <v>500</v>
      </c>
      <c r="AQ357" s="2">
        <f t="shared" si="112"/>
        <v>0</v>
      </c>
      <c r="AR357" s="2">
        <f t="shared" si="113"/>
        <v>190.96146855869122</v>
      </c>
      <c r="AS357" s="2">
        <f t="shared" si="114"/>
        <v>0</v>
      </c>
      <c r="AU357" s="2">
        <f t="shared" si="125"/>
        <v>264.70999999999998</v>
      </c>
      <c r="AV357" s="2">
        <f t="shared" si="115"/>
        <v>0.52942</v>
      </c>
      <c r="AW357" s="12">
        <f t="shared" si="116"/>
        <v>30.175906913073199</v>
      </c>
      <c r="AX357" s="2">
        <v>500</v>
      </c>
      <c r="AY357" s="3">
        <f t="shared" si="117"/>
        <v>0.52942</v>
      </c>
      <c r="AZ357" s="2">
        <f t="shared" si="118"/>
        <v>264.70999999999998</v>
      </c>
      <c r="BA357" s="2">
        <f t="shared" si="119"/>
        <v>0</v>
      </c>
      <c r="BC357">
        <f t="shared" si="120"/>
        <v>295.15164999999996</v>
      </c>
      <c r="BD357">
        <f t="shared" si="126"/>
        <v>0.59030329999999998</v>
      </c>
      <c r="BE357">
        <f t="shared" si="121"/>
        <v>0.59030329999999998</v>
      </c>
      <c r="BF357">
        <f t="shared" si="122"/>
        <v>295.15164999999996</v>
      </c>
      <c r="BG357">
        <f t="shared" si="123"/>
        <v>0</v>
      </c>
    </row>
    <row r="358" spans="1:59" ht="14.5" customHeight="1" x14ac:dyDescent="0.2">
      <c r="A358" s="2" t="s">
        <v>352</v>
      </c>
      <c r="B358" s="2" t="str">
        <f>VLOOKUP($A358,'[1]daily coal, energy reqd'!$C$2:$T$599,17,FALSE)</f>
        <v>Telangana</v>
      </c>
      <c r="C358" s="2" t="str">
        <f>VLOOKUP(B358,'Target PLF'!$I$2:$J$19,2,FALSE)</f>
        <v>SR</v>
      </c>
      <c r="D358" s="2" t="s">
        <v>571</v>
      </c>
      <c r="E358" s="2" t="s">
        <v>548</v>
      </c>
      <c r="F358" s="12">
        <v>30.590006844626899</v>
      </c>
      <c r="G358" s="2">
        <v>500</v>
      </c>
      <c r="H358">
        <f>VLOOKUP(A358,'Coal savings'!$A$3:$AB$543,26,FALSE)</f>
        <v>1522919.0171036164</v>
      </c>
      <c r="I358" t="s">
        <v>694</v>
      </c>
      <c r="J358">
        <v>264.70999999999998</v>
      </c>
      <c r="O358" s="2" t="s">
        <v>352</v>
      </c>
      <c r="Q358" s="96"/>
      <c r="R358" s="96"/>
      <c r="S358" s="96"/>
      <c r="T358" s="96"/>
      <c r="U358" s="96"/>
      <c r="V358" s="96"/>
      <c r="AH358" s="2" t="str">
        <f t="shared" si="127"/>
        <v>2019</v>
      </c>
      <c r="AI358" s="2">
        <f t="shared" si="128"/>
        <v>190.96146855869122</v>
      </c>
      <c r="AJ358" s="2">
        <f t="shared" si="109"/>
        <v>0.38192293711738245</v>
      </c>
      <c r="AK358" s="12">
        <f t="shared" si="110"/>
        <v>26.590006844626899</v>
      </c>
      <c r="AL358" s="2" t="s">
        <v>571</v>
      </c>
      <c r="AM358" s="2" t="str">
        <f>VLOOKUP(A358,'[12]Power plant names'!$C$2:$F$545,4,FALSE)</f>
        <v>Sub critical</v>
      </c>
      <c r="AN358" s="2">
        <v>500</v>
      </c>
      <c r="AO358" s="2">
        <f t="shared" si="111"/>
        <v>0.38192293711738245</v>
      </c>
      <c r="AP358" s="2">
        <v>500</v>
      </c>
      <c r="AQ358" s="2">
        <f t="shared" si="112"/>
        <v>0</v>
      </c>
      <c r="AR358" s="2">
        <f t="shared" si="113"/>
        <v>190.96146855869122</v>
      </c>
      <c r="AS358" s="2">
        <f t="shared" si="114"/>
        <v>0</v>
      </c>
      <c r="AU358" s="2">
        <f t="shared" si="125"/>
        <v>264.70999999999998</v>
      </c>
      <c r="AV358" s="2">
        <f t="shared" si="115"/>
        <v>0.52942</v>
      </c>
      <c r="AW358" s="12">
        <f t="shared" si="116"/>
        <v>29.590006844626899</v>
      </c>
      <c r="AX358" s="2">
        <v>500</v>
      </c>
      <c r="AY358" s="3">
        <f t="shared" si="117"/>
        <v>0.52942</v>
      </c>
      <c r="AZ358" s="2">
        <f t="shared" si="118"/>
        <v>264.70999999999998</v>
      </c>
      <c r="BA358" s="2">
        <f t="shared" si="119"/>
        <v>0</v>
      </c>
      <c r="BC358">
        <f t="shared" si="120"/>
        <v>295.15164999999996</v>
      </c>
      <c r="BD358">
        <f t="shared" si="126"/>
        <v>0.59030329999999998</v>
      </c>
      <c r="BE358">
        <f t="shared" si="121"/>
        <v>0.59030329999999998</v>
      </c>
      <c r="BF358">
        <f t="shared" si="122"/>
        <v>295.15164999999996</v>
      </c>
      <c r="BG358">
        <f t="shared" si="123"/>
        <v>0</v>
      </c>
    </row>
    <row r="359" spans="1:59" ht="14.5" customHeight="1" x14ac:dyDescent="0.2">
      <c r="A359" s="2" t="s">
        <v>216</v>
      </c>
      <c r="B359" s="2" t="str">
        <f>VLOOKUP($A359,'[1]daily coal, energy reqd'!$C$2:$T$599,17,FALSE)</f>
        <v>Telangana</v>
      </c>
      <c r="C359" s="2" t="str">
        <f>VLOOKUP(B359,'Target PLF'!$I$2:$J$19,2,FALSE)</f>
        <v>SR</v>
      </c>
      <c r="D359" s="2" t="s">
        <v>571</v>
      </c>
      <c r="E359" s="2" t="s">
        <v>545</v>
      </c>
      <c r="F359" s="12">
        <v>15.6714579055441</v>
      </c>
      <c r="G359" s="2">
        <v>500</v>
      </c>
      <c r="H359">
        <f>VLOOKUP(A359,'Coal savings'!$A$3:$AB$543,26,FALSE)</f>
        <v>2166560.0539070377</v>
      </c>
      <c r="I359" t="s">
        <v>694</v>
      </c>
      <c r="J359" s="37">
        <v>336.22</v>
      </c>
      <c r="O359" s="2" t="s">
        <v>216</v>
      </c>
      <c r="P359">
        <v>2019</v>
      </c>
      <c r="Q359">
        <v>22.57</v>
      </c>
      <c r="R359" t="s">
        <v>614</v>
      </c>
      <c r="S359">
        <v>63</v>
      </c>
      <c r="T359" s="96"/>
      <c r="U359" s="96"/>
      <c r="V359" s="96"/>
      <c r="AH359" s="2" t="str">
        <f t="shared" si="127"/>
        <v>2019</v>
      </c>
      <c r="AI359" s="2">
        <f t="shared" si="128"/>
        <v>242.54869464245087</v>
      </c>
      <c r="AJ359" s="2">
        <f t="shared" si="109"/>
        <v>0.48509738928490176</v>
      </c>
      <c r="AK359" s="12">
        <f t="shared" si="110"/>
        <v>11.6714579055441</v>
      </c>
      <c r="AL359" s="2" t="s">
        <v>571</v>
      </c>
      <c r="AM359" s="2" t="str">
        <f>VLOOKUP(A359,'[12]Power plant names'!$C$2:$F$545,4,FALSE)</f>
        <v>Sub critical</v>
      </c>
      <c r="AN359" s="2">
        <v>500</v>
      </c>
      <c r="AO359" s="2">
        <f t="shared" si="111"/>
        <v>0.48509738928490176</v>
      </c>
      <c r="AP359" s="2">
        <v>500</v>
      </c>
      <c r="AQ359" s="2">
        <f t="shared" si="112"/>
        <v>0</v>
      </c>
      <c r="AR359" s="2">
        <f t="shared" si="113"/>
        <v>242.54869464245087</v>
      </c>
      <c r="AS359" s="2">
        <f t="shared" si="114"/>
        <v>0</v>
      </c>
      <c r="AU359" s="2">
        <f t="shared" si="125"/>
        <v>336.22</v>
      </c>
      <c r="AV359" s="2">
        <f t="shared" si="115"/>
        <v>0.67244000000000004</v>
      </c>
      <c r="AW359" s="12">
        <f t="shared" si="116"/>
        <v>14.6714579055441</v>
      </c>
      <c r="AX359" s="2">
        <v>500</v>
      </c>
      <c r="AY359" s="3">
        <f t="shared" si="117"/>
        <v>0.67244000000000004</v>
      </c>
      <c r="AZ359" s="2">
        <f t="shared" si="118"/>
        <v>336.22</v>
      </c>
      <c r="BA359" s="2">
        <f t="shared" si="119"/>
        <v>0</v>
      </c>
      <c r="BC359">
        <f t="shared" si="120"/>
        <v>374.88530000000003</v>
      </c>
      <c r="BD359">
        <f t="shared" si="126"/>
        <v>0.74977060000000006</v>
      </c>
      <c r="BE359">
        <f t="shared" si="121"/>
        <v>0.74977060000000006</v>
      </c>
      <c r="BF359">
        <f t="shared" si="122"/>
        <v>374.88530000000003</v>
      </c>
      <c r="BG359">
        <f t="shared" si="123"/>
        <v>0</v>
      </c>
    </row>
    <row r="360" spans="1:59" ht="14.5" hidden="1" customHeight="1" x14ac:dyDescent="0.2">
      <c r="A360" s="2" t="s">
        <v>329</v>
      </c>
      <c r="B360" s="2" t="str">
        <f>VLOOKUP($A360,'[1]daily coal, energy reqd'!$C$2:$T$599,17,FALSE)</f>
        <v>Chhatisgarh</v>
      </c>
      <c r="C360" s="2" t="str">
        <f>VLOOKUP(B360,'Target PLF'!$I$2:$J$19,2,FALSE)</f>
        <v>WR</v>
      </c>
      <c r="D360" s="2" t="s">
        <v>572</v>
      </c>
      <c r="E360" s="2" t="s">
        <v>543</v>
      </c>
      <c r="F360" s="12">
        <v>7.2525667351129304</v>
      </c>
      <c r="G360" s="2">
        <v>50</v>
      </c>
      <c r="H360">
        <f>VLOOKUP(A360,'Coal savings'!$A$3:$AB$543,26,FALSE)</f>
        <v>0</v>
      </c>
      <c r="O360" s="2" t="s">
        <v>329</v>
      </c>
      <c r="AH360" s="2" t="str">
        <f t="shared" si="127"/>
        <v/>
      </c>
      <c r="AI360" s="2"/>
      <c r="AJ360" s="2" t="str">
        <f t="shared" si="109"/>
        <v/>
      </c>
      <c r="AK360" s="12">
        <f t="shared" si="110"/>
        <v>3.2525667351129304</v>
      </c>
      <c r="AL360" s="2" t="s">
        <v>572</v>
      </c>
      <c r="AM360" s="2" t="str">
        <f>VLOOKUP(A360,'[12]Power plant names'!$C$2:$F$545,4,FALSE)</f>
        <v>Sub critical</v>
      </c>
      <c r="AN360" s="2">
        <v>50</v>
      </c>
      <c r="AO360" s="2">
        <f t="shared" si="111"/>
        <v>1.0138447363449694</v>
      </c>
      <c r="AP360" s="2">
        <v>50</v>
      </c>
      <c r="AQ360" s="2">
        <f t="shared" si="112"/>
        <v>0</v>
      </c>
      <c r="AR360" s="2">
        <f t="shared" si="113"/>
        <v>50.692236817248471</v>
      </c>
      <c r="AS360" s="2">
        <f t="shared" si="114"/>
        <v>0</v>
      </c>
      <c r="AU360" s="2"/>
      <c r="AV360" s="2" t="str">
        <f t="shared" si="115"/>
        <v/>
      </c>
      <c r="AW360" s="12">
        <f t="shared" si="116"/>
        <v>7.2525667351129304</v>
      </c>
      <c r="AX360" s="2">
        <v>50</v>
      </c>
      <c r="AY360" s="3">
        <f t="shared" si="117"/>
        <v>1.258877284188912</v>
      </c>
      <c r="AZ360" s="2">
        <f t="shared" si="118"/>
        <v>62.9438642094456</v>
      </c>
      <c r="BA360" s="2">
        <f t="shared" si="119"/>
        <v>0</v>
      </c>
      <c r="BC360" t="str">
        <f t="shared" si="120"/>
        <v/>
      </c>
      <c r="BE360">
        <f t="shared" si="121"/>
        <v>1.4436623798767969</v>
      </c>
      <c r="BF360">
        <f t="shared" si="122"/>
        <v>72.183118993839841</v>
      </c>
      <c r="BG360">
        <f t="shared" si="123"/>
        <v>0</v>
      </c>
    </row>
    <row r="361" spans="1:59" ht="14.5" hidden="1" customHeight="1" x14ac:dyDescent="0.2">
      <c r="A361" s="2" t="s">
        <v>295</v>
      </c>
      <c r="B361" s="2" t="str">
        <f>VLOOKUP($A361,'[1]daily coal, energy reqd'!$C$2:$T$599,17,FALSE)</f>
        <v>Chhatisgarh</v>
      </c>
      <c r="C361" s="2" t="str">
        <f>VLOOKUP(B361,'Target PLF'!$I$2:$J$19,2,FALSE)</f>
        <v>WR</v>
      </c>
      <c r="D361" s="2" t="s">
        <v>572</v>
      </c>
      <c r="E361" s="2" t="s">
        <v>542</v>
      </c>
      <c r="F361" s="12">
        <v>3.5044490075290802</v>
      </c>
      <c r="G361" s="2">
        <v>50</v>
      </c>
      <c r="H361">
        <f>VLOOKUP(A361,'Coal savings'!$A$3:$AB$543,26,FALSE)</f>
        <v>0</v>
      </c>
      <c r="O361" s="2" t="s">
        <v>295</v>
      </c>
      <c r="AH361" s="2" t="str">
        <f t="shared" si="127"/>
        <v/>
      </c>
      <c r="AI361" s="2"/>
      <c r="AJ361" s="2" t="str">
        <f t="shared" si="109"/>
        <v/>
      </c>
      <c r="AK361" s="12">
        <f t="shared" si="110"/>
        <v>1</v>
      </c>
      <c r="AL361" s="2" t="s">
        <v>572</v>
      </c>
      <c r="AM361" s="2" t="str">
        <f>VLOOKUP(A361,'[12]Power plant names'!$C$2:$F$545,4,FALSE)</f>
        <v>Sub critical</v>
      </c>
      <c r="AN361" s="2">
        <v>50</v>
      </c>
      <c r="AO361" s="2">
        <f t="shared" si="111"/>
        <v>1.0450554000000001</v>
      </c>
      <c r="AP361" s="2"/>
      <c r="AQ361" s="2">
        <f t="shared" si="112"/>
        <v>50</v>
      </c>
      <c r="AR361" s="2">
        <f t="shared" si="113"/>
        <v>0</v>
      </c>
      <c r="AS361" s="2">
        <f t="shared" si="114"/>
        <v>52.252770000000005</v>
      </c>
      <c r="AU361" s="2"/>
      <c r="AV361" s="2" t="str">
        <f t="shared" si="115"/>
        <v/>
      </c>
      <c r="AW361" s="12">
        <f t="shared" si="116"/>
        <v>3.5044490075290802</v>
      </c>
      <c r="AX361" s="2">
        <v>50</v>
      </c>
      <c r="AY361" s="3">
        <f t="shared" si="117"/>
        <v>1.3268392792607806</v>
      </c>
      <c r="AZ361" s="2">
        <f t="shared" si="118"/>
        <v>0</v>
      </c>
      <c r="BA361" s="2">
        <f t="shared" si="119"/>
        <v>66.341963963039035</v>
      </c>
      <c r="BC361" t="str">
        <f t="shared" si="120"/>
        <v/>
      </c>
      <c r="BE361">
        <f t="shared" si="121"/>
        <v>1.5243349917864479</v>
      </c>
      <c r="BF361">
        <f t="shared" si="122"/>
        <v>0</v>
      </c>
      <c r="BG361">
        <f t="shared" si="123"/>
        <v>76.21674958932239</v>
      </c>
    </row>
    <row r="362" spans="1:59" ht="14.5" hidden="1" customHeight="1" x14ac:dyDescent="0.2">
      <c r="A362" s="2" t="s">
        <v>407</v>
      </c>
      <c r="B362" s="2" t="str">
        <f>VLOOKUP($A362,'[1]daily coal, energy reqd'!$C$2:$T$599,17,FALSE)</f>
        <v>Andhra Pradesh</v>
      </c>
      <c r="C362" s="2" t="str">
        <f>VLOOKUP(B362,'Target PLF'!$I$2:$J$19,2,FALSE)</f>
        <v>SR</v>
      </c>
      <c r="D362" s="2" t="s">
        <v>570</v>
      </c>
      <c r="E362" s="2" t="s">
        <v>547</v>
      </c>
      <c r="F362" s="12">
        <v>26.176591375769998</v>
      </c>
      <c r="G362" s="2">
        <v>210</v>
      </c>
      <c r="H362">
        <f>VLOOKUP(A362,'Coal savings'!$A$3:$AB$543,26,FALSE)</f>
        <v>0</v>
      </c>
      <c r="I362" t="s">
        <v>694</v>
      </c>
      <c r="J362">
        <v>127.46</v>
      </c>
      <c r="O362" s="2" t="s">
        <v>407</v>
      </c>
      <c r="P362">
        <v>2019</v>
      </c>
      <c r="Q362">
        <v>79.275000000000006</v>
      </c>
      <c r="R362" t="s">
        <v>614</v>
      </c>
      <c r="S362" s="2">
        <v>210</v>
      </c>
      <c r="AH362" s="2" t="str">
        <f t="shared" si="127"/>
        <v>2019</v>
      </c>
      <c r="AI362" s="2">
        <f>(J362)/(1+0.115)^(AH362-2016)</f>
        <v>91.949487297385005</v>
      </c>
      <c r="AJ362" s="2">
        <f t="shared" si="109"/>
        <v>0.4378547014161191</v>
      </c>
      <c r="AK362" s="12">
        <f t="shared" si="110"/>
        <v>22.176591375769998</v>
      </c>
      <c r="AL362" s="2" t="s">
        <v>570</v>
      </c>
      <c r="AM362" s="2" t="str">
        <f>VLOOKUP(A362,'[12]Power plant names'!$C$2:$F$545,4,FALSE)</f>
        <v>Sub critical</v>
      </c>
      <c r="AN362" s="2">
        <v>210</v>
      </c>
      <c r="AO362" s="2">
        <f t="shared" si="111"/>
        <v>0.4378547014161191</v>
      </c>
      <c r="AP362" s="2">
        <v>210</v>
      </c>
      <c r="AQ362" s="2">
        <f t="shared" si="112"/>
        <v>0</v>
      </c>
      <c r="AR362" s="2">
        <f t="shared" si="113"/>
        <v>91.949487297385005</v>
      </c>
      <c r="AS362" s="2">
        <f t="shared" si="114"/>
        <v>0</v>
      </c>
      <c r="AU362" s="2">
        <f t="shared" si="125"/>
        <v>127.46</v>
      </c>
      <c r="AV362" s="2">
        <f t="shared" si="115"/>
        <v>0.60695238095238091</v>
      </c>
      <c r="AW362" s="12">
        <f t="shared" si="116"/>
        <v>25.176591375769998</v>
      </c>
      <c r="AX362" s="2">
        <v>210</v>
      </c>
      <c r="AY362" s="3">
        <f t="shared" si="117"/>
        <v>0.60695238095238091</v>
      </c>
      <c r="AZ362" s="2">
        <f t="shared" si="118"/>
        <v>127.46</v>
      </c>
      <c r="BA362" s="2">
        <f t="shared" si="119"/>
        <v>0</v>
      </c>
      <c r="BC362">
        <f t="shared" si="120"/>
        <v>142.11789999999999</v>
      </c>
      <c r="BD362">
        <f t="shared" si="126"/>
        <v>0.67675190476190472</v>
      </c>
      <c r="BE362">
        <f t="shared" si="121"/>
        <v>0.67675190476190472</v>
      </c>
      <c r="BF362">
        <f t="shared" si="122"/>
        <v>142.11789999999999</v>
      </c>
      <c r="BG362">
        <f t="shared" si="123"/>
        <v>0</v>
      </c>
    </row>
    <row r="363" spans="1:59" ht="14.5" hidden="1" customHeight="1" x14ac:dyDescent="0.2">
      <c r="A363" s="2" t="s">
        <v>401</v>
      </c>
      <c r="B363" s="2" t="str">
        <f>VLOOKUP($A363,'[1]daily coal, energy reqd'!$C$2:$T$599,17,FALSE)</f>
        <v>Andhra Pradesh</v>
      </c>
      <c r="C363" s="2" t="str">
        <f>VLOOKUP(B363,'Target PLF'!$I$2:$J$19,2,FALSE)</f>
        <v>SR</v>
      </c>
      <c r="D363" s="2" t="s">
        <v>570</v>
      </c>
      <c r="E363" s="2" t="s">
        <v>547</v>
      </c>
      <c r="F363" s="12">
        <v>25.2539356605065</v>
      </c>
      <c r="G363" s="2">
        <v>210</v>
      </c>
      <c r="H363">
        <f>VLOOKUP(A363,'Coal savings'!$A$3:$AB$543,26,FALSE)</f>
        <v>0</v>
      </c>
      <c r="I363" t="s">
        <v>694</v>
      </c>
      <c r="J363">
        <v>127.46</v>
      </c>
      <c r="O363" s="2" t="s">
        <v>401</v>
      </c>
      <c r="P363">
        <v>2019</v>
      </c>
      <c r="Q363">
        <v>79.275000000000006</v>
      </c>
      <c r="R363" t="s">
        <v>614</v>
      </c>
      <c r="S363" s="2">
        <v>210</v>
      </c>
      <c r="AH363" s="2" t="str">
        <f t="shared" si="127"/>
        <v>2019</v>
      </c>
      <c r="AI363" s="2">
        <f>(J363)/(1+0.115)^(AH363-2016)</f>
        <v>91.949487297385005</v>
      </c>
      <c r="AJ363" s="2">
        <f t="shared" si="109"/>
        <v>0.4378547014161191</v>
      </c>
      <c r="AK363" s="12">
        <f t="shared" si="110"/>
        <v>21.2539356605065</v>
      </c>
      <c r="AL363" s="2" t="s">
        <v>570</v>
      </c>
      <c r="AM363" s="2" t="str">
        <f>VLOOKUP(A363,'[12]Power plant names'!$C$2:$F$545,4,FALSE)</f>
        <v>Sub critical</v>
      </c>
      <c r="AN363" s="2">
        <v>210</v>
      </c>
      <c r="AO363" s="2">
        <f t="shared" si="111"/>
        <v>0.4378547014161191</v>
      </c>
      <c r="AP363" s="2">
        <v>210</v>
      </c>
      <c r="AQ363" s="2">
        <f t="shared" si="112"/>
        <v>0</v>
      </c>
      <c r="AR363" s="2">
        <f t="shared" si="113"/>
        <v>91.949487297385005</v>
      </c>
      <c r="AS363" s="2">
        <f t="shared" si="114"/>
        <v>0</v>
      </c>
      <c r="AU363" s="2">
        <f t="shared" si="125"/>
        <v>127.46</v>
      </c>
      <c r="AV363" s="2">
        <f t="shared" si="115"/>
        <v>0.60695238095238091</v>
      </c>
      <c r="AW363" s="12">
        <f t="shared" si="116"/>
        <v>24.2539356605065</v>
      </c>
      <c r="AX363" s="2">
        <v>210</v>
      </c>
      <c r="AY363" s="3">
        <f t="shared" si="117"/>
        <v>0.60695238095238091</v>
      </c>
      <c r="AZ363" s="2">
        <f t="shared" si="118"/>
        <v>127.46</v>
      </c>
      <c r="BA363" s="2">
        <f t="shared" si="119"/>
        <v>0</v>
      </c>
      <c r="BC363">
        <f t="shared" si="120"/>
        <v>142.11789999999999</v>
      </c>
      <c r="BD363">
        <f t="shared" si="126"/>
        <v>0.67675190476190472</v>
      </c>
      <c r="BE363">
        <f t="shared" si="121"/>
        <v>0.67675190476190472</v>
      </c>
      <c r="BF363">
        <f t="shared" si="122"/>
        <v>142.11789999999999</v>
      </c>
      <c r="BG363">
        <f t="shared" si="123"/>
        <v>0</v>
      </c>
    </row>
    <row r="364" spans="1:59" ht="14.5" hidden="1" customHeight="1" x14ac:dyDescent="0.2">
      <c r="A364" s="2" t="s">
        <v>319</v>
      </c>
      <c r="B364" s="2" t="str">
        <f>VLOOKUP($A364,'[1]daily coal, energy reqd'!$C$2:$T$599,17,FALSE)</f>
        <v>Andhra Pradesh</v>
      </c>
      <c r="C364" s="2" t="str">
        <f>VLOOKUP(B364,'Target PLF'!$I$2:$J$19,2,FALSE)</f>
        <v>SR</v>
      </c>
      <c r="D364" s="2" t="s">
        <v>570</v>
      </c>
      <c r="E364" s="2" t="s">
        <v>544</v>
      </c>
      <c r="F364" s="12">
        <v>13.3388090349075</v>
      </c>
      <c r="G364" s="2">
        <v>210</v>
      </c>
      <c r="H364">
        <f>VLOOKUP(A364,'Coal savings'!$A$3:$AB$543,26,FALSE)</f>
        <v>0</v>
      </c>
      <c r="I364" t="s">
        <v>694</v>
      </c>
      <c r="J364">
        <v>123.73</v>
      </c>
      <c r="O364" s="2" t="s">
        <v>319</v>
      </c>
      <c r="P364">
        <v>2019</v>
      </c>
      <c r="Q364">
        <v>116.23</v>
      </c>
      <c r="R364" t="s">
        <v>614</v>
      </c>
      <c r="S364" s="2">
        <v>210</v>
      </c>
      <c r="AH364" s="2" t="str">
        <f t="shared" si="127"/>
        <v>2019</v>
      </c>
      <c r="AI364" s="2">
        <f>(J364)/(1+0.115)^(AH364-2016)</f>
        <v>89.258669883143313</v>
      </c>
      <c r="AJ364" s="2">
        <f t="shared" si="109"/>
        <v>0.4250412851578253</v>
      </c>
      <c r="AK364" s="12">
        <f t="shared" si="110"/>
        <v>9.3388090349075004</v>
      </c>
      <c r="AL364" s="2" t="s">
        <v>570</v>
      </c>
      <c r="AM364" s="2" t="str">
        <f>VLOOKUP(A364,'[12]Power plant names'!$C$2:$F$545,4,FALSE)</f>
        <v>Sub critical</v>
      </c>
      <c r="AN364" s="2">
        <v>210</v>
      </c>
      <c r="AO364" s="2">
        <f t="shared" si="111"/>
        <v>0.4250412851578253</v>
      </c>
      <c r="AP364" s="2">
        <v>210</v>
      </c>
      <c r="AQ364" s="2">
        <f t="shared" si="112"/>
        <v>0</v>
      </c>
      <c r="AR364" s="2">
        <f t="shared" si="113"/>
        <v>89.258669883143313</v>
      </c>
      <c r="AS364" s="2">
        <f t="shared" si="114"/>
        <v>0</v>
      </c>
      <c r="AU364" s="2">
        <f t="shared" si="125"/>
        <v>123.73</v>
      </c>
      <c r="AV364" s="2">
        <f t="shared" si="115"/>
        <v>0.58919047619047626</v>
      </c>
      <c r="AW364" s="12">
        <f t="shared" si="116"/>
        <v>12.3388090349075</v>
      </c>
      <c r="AX364" s="2">
        <v>210</v>
      </c>
      <c r="AY364" s="3">
        <f t="shared" si="117"/>
        <v>0.58919047619047626</v>
      </c>
      <c r="AZ364" s="2">
        <f t="shared" si="118"/>
        <v>123.73000000000002</v>
      </c>
      <c r="BA364" s="2">
        <f t="shared" si="119"/>
        <v>0</v>
      </c>
      <c r="BC364">
        <f t="shared" si="120"/>
        <v>137.95895000000002</v>
      </c>
      <c r="BD364">
        <f t="shared" si="126"/>
        <v>0.65694738095238103</v>
      </c>
      <c r="BE364">
        <f t="shared" si="121"/>
        <v>0.65694738095238103</v>
      </c>
      <c r="BF364">
        <f t="shared" si="122"/>
        <v>137.95895000000002</v>
      </c>
      <c r="BG364">
        <f t="shared" si="123"/>
        <v>0</v>
      </c>
    </row>
    <row r="365" spans="1:59" ht="14.5" hidden="1" customHeight="1" x14ac:dyDescent="0.2">
      <c r="A365" s="2" t="s">
        <v>315</v>
      </c>
      <c r="B365" s="2" t="str">
        <f>VLOOKUP($A365,'[1]daily coal, energy reqd'!$C$2:$T$599,17,FALSE)</f>
        <v>Andhra Pradesh</v>
      </c>
      <c r="C365" s="2" t="str">
        <f>VLOOKUP(B365,'Target PLF'!$I$2:$J$19,2,FALSE)</f>
        <v>SR</v>
      </c>
      <c r="D365" s="2" t="s">
        <v>570</v>
      </c>
      <c r="E365" s="2" t="s">
        <v>544</v>
      </c>
      <c r="F365" s="12">
        <v>12.5065023956194</v>
      </c>
      <c r="G365" s="2">
        <v>210</v>
      </c>
      <c r="H365">
        <f>VLOOKUP(A365,'Coal savings'!$A$3:$AB$543,26,FALSE)</f>
        <v>0</v>
      </c>
      <c r="I365" t="s">
        <v>694</v>
      </c>
      <c r="J365">
        <v>123.73</v>
      </c>
      <c r="O365" s="2" t="s">
        <v>315</v>
      </c>
      <c r="P365">
        <v>2019</v>
      </c>
      <c r="Q365">
        <v>116.23</v>
      </c>
      <c r="R365" t="s">
        <v>614</v>
      </c>
      <c r="S365" s="2">
        <v>210</v>
      </c>
      <c r="AH365" s="2" t="str">
        <f t="shared" si="127"/>
        <v>2019</v>
      </c>
      <c r="AI365" s="2">
        <f>(J365)/(1+0.115)^(AH365-2016)</f>
        <v>89.258669883143313</v>
      </c>
      <c r="AJ365" s="2">
        <f t="shared" si="109"/>
        <v>0.4250412851578253</v>
      </c>
      <c r="AK365" s="12">
        <f t="shared" si="110"/>
        <v>8.5065023956193997</v>
      </c>
      <c r="AL365" s="2" t="s">
        <v>570</v>
      </c>
      <c r="AM365" s="2" t="str">
        <f>VLOOKUP(A365,'[12]Power plant names'!$C$2:$F$545,4,FALSE)</f>
        <v>Sub critical</v>
      </c>
      <c r="AN365" s="2">
        <v>210</v>
      </c>
      <c r="AO365" s="2">
        <f t="shared" si="111"/>
        <v>0.4250412851578253</v>
      </c>
      <c r="AP365" s="2">
        <v>210</v>
      </c>
      <c r="AQ365" s="2">
        <f t="shared" si="112"/>
        <v>0</v>
      </c>
      <c r="AR365" s="2">
        <f t="shared" si="113"/>
        <v>89.258669883143313</v>
      </c>
      <c r="AS365" s="2">
        <f t="shared" si="114"/>
        <v>0</v>
      </c>
      <c r="AU365" s="2">
        <f t="shared" si="125"/>
        <v>123.73</v>
      </c>
      <c r="AV365" s="2">
        <f t="shared" si="115"/>
        <v>0.58919047619047626</v>
      </c>
      <c r="AW365" s="12">
        <f t="shared" si="116"/>
        <v>11.5065023956194</v>
      </c>
      <c r="AX365" s="2">
        <v>210</v>
      </c>
      <c r="AY365" s="3">
        <f t="shared" si="117"/>
        <v>0.58919047619047626</v>
      </c>
      <c r="AZ365" s="2">
        <f t="shared" si="118"/>
        <v>123.73000000000002</v>
      </c>
      <c r="BA365" s="2">
        <f t="shared" si="119"/>
        <v>0</v>
      </c>
      <c r="BC365">
        <f t="shared" si="120"/>
        <v>137.95895000000002</v>
      </c>
      <c r="BD365">
        <f t="shared" si="126"/>
        <v>0.65694738095238103</v>
      </c>
      <c r="BE365">
        <f t="shared" si="121"/>
        <v>0.65694738095238103</v>
      </c>
      <c r="BF365">
        <f t="shared" si="122"/>
        <v>137.95895000000002</v>
      </c>
      <c r="BG365">
        <f t="shared" si="123"/>
        <v>0</v>
      </c>
    </row>
    <row r="366" spans="1:59" ht="14.5" hidden="1" customHeight="1" x14ac:dyDescent="0.2">
      <c r="A366" s="2" t="s">
        <v>285</v>
      </c>
      <c r="B366" s="2" t="str">
        <f>VLOOKUP($A366,'[1]daily coal, energy reqd'!$C$2:$T$599,17,FALSE)</f>
        <v>Andhra Pradesh</v>
      </c>
      <c r="C366" s="2" t="str">
        <f>VLOOKUP(B366,'Target PLF'!$I$2:$J$19,2,FALSE)</f>
        <v>SR</v>
      </c>
      <c r="D366" s="2" t="s">
        <v>570</v>
      </c>
      <c r="E366" s="2" t="s">
        <v>543</v>
      </c>
      <c r="F366" s="12">
        <v>9.4236824093086895</v>
      </c>
      <c r="G366" s="2">
        <v>210</v>
      </c>
      <c r="H366">
        <f>VLOOKUP(A366,'Coal savings'!$A$3:$AB$543,26,FALSE)</f>
        <v>0</v>
      </c>
      <c r="I366" t="s">
        <v>694</v>
      </c>
      <c r="J366">
        <v>253.09</v>
      </c>
      <c r="O366" s="2" t="s">
        <v>285</v>
      </c>
      <c r="P366">
        <v>2019</v>
      </c>
      <c r="Q366">
        <v>154.84</v>
      </c>
      <c r="R366" t="s">
        <v>614</v>
      </c>
      <c r="S366" s="2">
        <v>210</v>
      </c>
      <c r="AH366" s="2" t="str">
        <f t="shared" si="127"/>
        <v>2019</v>
      </c>
      <c r="AI366" s="2">
        <f>(J366)/(1+0.115)^(AH366-2016)</f>
        <v>182.57881484461927</v>
      </c>
      <c r="AJ366" s="2">
        <f t="shared" si="109"/>
        <v>0.86942292783152031</v>
      </c>
      <c r="AK366" s="12">
        <f t="shared" si="110"/>
        <v>5.4236824093086895</v>
      </c>
      <c r="AL366" s="2" t="s">
        <v>570</v>
      </c>
      <c r="AM366" s="2" t="str">
        <f>VLOOKUP(A366,'[12]Power plant names'!$C$2:$F$545,4,FALSE)</f>
        <v>Sub critical</v>
      </c>
      <c r="AN366" s="2">
        <v>210</v>
      </c>
      <c r="AO366" s="2">
        <f t="shared" si="111"/>
        <v>0.86942292783152031</v>
      </c>
      <c r="AP366" s="2">
        <v>210</v>
      </c>
      <c r="AQ366" s="2">
        <f t="shared" si="112"/>
        <v>0</v>
      </c>
      <c r="AR366" s="2">
        <f t="shared" si="113"/>
        <v>182.57881484461927</v>
      </c>
      <c r="AS366" s="2">
        <f t="shared" si="114"/>
        <v>0</v>
      </c>
      <c r="AU366" s="2">
        <f t="shared" si="125"/>
        <v>253.09</v>
      </c>
      <c r="AV366" s="2">
        <f t="shared" si="115"/>
        <v>1.2051904761904761</v>
      </c>
      <c r="AW366" s="12">
        <f t="shared" si="116"/>
        <v>8.4236824093086895</v>
      </c>
      <c r="AX366" s="2">
        <v>210</v>
      </c>
      <c r="AY366" s="3">
        <f t="shared" si="117"/>
        <v>1.2051904761904761</v>
      </c>
      <c r="AZ366" s="2">
        <f t="shared" si="118"/>
        <v>253.09</v>
      </c>
      <c r="BA366" s="2">
        <f t="shared" si="119"/>
        <v>0</v>
      </c>
      <c r="BC366">
        <f t="shared" si="120"/>
        <v>282.19535000000002</v>
      </c>
      <c r="BD366">
        <f t="shared" si="126"/>
        <v>1.343787380952381</v>
      </c>
      <c r="BE366">
        <f t="shared" si="121"/>
        <v>1.343787380952381</v>
      </c>
      <c r="BF366">
        <f t="shared" si="122"/>
        <v>282.19535000000002</v>
      </c>
      <c r="BG366">
        <f t="shared" si="123"/>
        <v>0</v>
      </c>
    </row>
    <row r="367" spans="1:59" ht="14.5" customHeight="1" x14ac:dyDescent="0.2">
      <c r="A367" s="2" t="s">
        <v>50</v>
      </c>
      <c r="B367" s="2" t="str">
        <f>VLOOKUP($A367,'[1]daily coal, energy reqd'!$C$2:$T$599,17,FALSE)</f>
        <v>Andhra Pradesh</v>
      </c>
      <c r="C367" s="2" t="str">
        <f>VLOOKUP(B367,'Target PLF'!$I$2:$J$19,2,FALSE)</f>
        <v>SR</v>
      </c>
      <c r="D367" s="2" t="s">
        <v>570</v>
      </c>
      <c r="E367" s="2" t="s">
        <v>542</v>
      </c>
      <c r="F367" s="13">
        <v>2.1163586584531102</v>
      </c>
      <c r="G367" s="2">
        <v>600</v>
      </c>
      <c r="H367">
        <f>VLOOKUP(A367,'Coal savings'!$A$3:$AB$543,26,FALSE)</f>
        <v>3131467.5788996727</v>
      </c>
      <c r="O367" s="2" t="s">
        <v>50</v>
      </c>
      <c r="P367">
        <v>2019</v>
      </c>
      <c r="Q367">
        <v>59.74</v>
      </c>
      <c r="R367" t="s">
        <v>614</v>
      </c>
      <c r="S367" s="2">
        <v>600</v>
      </c>
      <c r="AH367" s="2" t="str">
        <f>RIGHT(I367,4)</f>
        <v/>
      </c>
      <c r="AI367" s="2"/>
      <c r="AJ367" s="2" t="str">
        <f t="shared" si="109"/>
        <v/>
      </c>
      <c r="AK367" s="12">
        <f t="shared" si="110"/>
        <v>1</v>
      </c>
      <c r="AL367" s="2" t="s">
        <v>570</v>
      </c>
      <c r="AM367" s="2" t="str">
        <f>VLOOKUP(A367,'[12]Power plant names'!$C$2:$F$545,4,FALSE)</f>
        <v>Sub critical</v>
      </c>
      <c r="AN367" s="2">
        <v>600</v>
      </c>
      <c r="AO367" s="2">
        <f t="shared" si="111"/>
        <v>0.79651040000000006</v>
      </c>
      <c r="AP367" s="2">
        <v>600</v>
      </c>
      <c r="AQ367" s="2">
        <f t="shared" si="112"/>
        <v>0</v>
      </c>
      <c r="AR367" s="2">
        <f t="shared" si="113"/>
        <v>477.90624000000003</v>
      </c>
      <c r="AS367" s="2">
        <f t="shared" si="114"/>
        <v>0</v>
      </c>
      <c r="AU367" s="2"/>
      <c r="AV367" s="2" t="str">
        <f t="shared" si="115"/>
        <v/>
      </c>
      <c r="AW367" s="12">
        <f t="shared" si="116"/>
        <v>2.1163586584531102</v>
      </c>
      <c r="AX367" s="2">
        <v>600</v>
      </c>
      <c r="AY367" s="3">
        <f t="shared" si="117"/>
        <v>1.0448885498973308</v>
      </c>
      <c r="AZ367" s="2">
        <f t="shared" si="118"/>
        <v>626.93312993839845</v>
      </c>
      <c r="BA367" s="2">
        <f t="shared" si="119"/>
        <v>0</v>
      </c>
      <c r="BC367" t="str">
        <f t="shared" si="120"/>
        <v/>
      </c>
      <c r="BE367">
        <f t="shared" si="121"/>
        <v>1.1680015544147846</v>
      </c>
      <c r="BF367">
        <f t="shared" si="122"/>
        <v>700.8009326488708</v>
      </c>
      <c r="BG367">
        <f t="shared" si="123"/>
        <v>0</v>
      </c>
    </row>
    <row r="368" spans="1:59" ht="14.5" customHeight="1" x14ac:dyDescent="0.2">
      <c r="A368" s="2" t="s">
        <v>362</v>
      </c>
      <c r="B368" s="2" t="str">
        <f>VLOOKUP($A368,'[1]daily coal, energy reqd'!$C$2:$T$599,17,FALSE)</f>
        <v>Uttar Pradesh</v>
      </c>
      <c r="C368" s="2" t="str">
        <f>VLOOKUP(B368,'Target PLF'!$I$2:$J$19,2,FALSE)</f>
        <v>NR</v>
      </c>
      <c r="D368" s="2" t="s">
        <v>571</v>
      </c>
      <c r="E368" s="2" t="s">
        <v>548</v>
      </c>
      <c r="F368" s="12">
        <v>32.175222450376403</v>
      </c>
      <c r="G368" s="2">
        <v>500</v>
      </c>
      <c r="H368">
        <f>VLOOKUP(A368,'Coal savings'!$A$3:$AB$543,26,FALSE)</f>
        <v>1472006.9291053379</v>
      </c>
      <c r="I368" t="s">
        <v>694</v>
      </c>
      <c r="J368">
        <f>562.54/2</f>
        <v>281.27</v>
      </c>
      <c r="O368" s="2" t="s">
        <v>362</v>
      </c>
      <c r="P368">
        <v>2019</v>
      </c>
      <c r="Q368" s="96">
        <v>58.36</v>
      </c>
      <c r="R368" s="96" t="s">
        <v>678</v>
      </c>
      <c r="S368" s="97">
        <v>100</v>
      </c>
      <c r="T368" s="96">
        <v>39.11</v>
      </c>
      <c r="U368" s="96" t="s">
        <v>619</v>
      </c>
      <c r="V368" s="96"/>
      <c r="W368" s="96">
        <v>20.52</v>
      </c>
      <c r="X368" s="96" t="s">
        <v>684</v>
      </c>
      <c r="Y368" s="96">
        <v>1.9</v>
      </c>
      <c r="AC368">
        <v>224.5</v>
      </c>
      <c r="AD368" t="s">
        <v>689</v>
      </c>
      <c r="AH368" s="2" t="str">
        <f t="shared" ref="AH368:AH384" si="129">RIGHT(I368,4)</f>
        <v>2019</v>
      </c>
      <c r="AI368" s="2">
        <f t="shared" ref="AI368:AI377" si="130">(J368)/(1+0.115)^(AH368-2016)</f>
        <v>202.90783219939965</v>
      </c>
      <c r="AJ368" s="2">
        <f t="shared" si="109"/>
        <v>0.40581566439879929</v>
      </c>
      <c r="AK368" s="12">
        <f t="shared" si="110"/>
        <v>28.175222450376403</v>
      </c>
      <c r="AL368" s="2" t="s">
        <v>571</v>
      </c>
      <c r="AM368" s="2" t="str">
        <f>VLOOKUP(A368,'[12]Power plant names'!$C$2:$F$545,4,FALSE)</f>
        <v>Sub critical</v>
      </c>
      <c r="AN368" s="2">
        <v>500</v>
      </c>
      <c r="AO368" s="2">
        <f t="shared" si="111"/>
        <v>0.40581566439879929</v>
      </c>
      <c r="AP368" s="2">
        <v>500</v>
      </c>
      <c r="AQ368" s="2">
        <f t="shared" si="112"/>
        <v>0</v>
      </c>
      <c r="AR368" s="2">
        <f t="shared" si="113"/>
        <v>202.90783219939965</v>
      </c>
      <c r="AS368" s="2">
        <f t="shared" si="114"/>
        <v>0</v>
      </c>
      <c r="AU368" s="2">
        <f t="shared" si="125"/>
        <v>281.27</v>
      </c>
      <c r="AV368" s="2">
        <f t="shared" si="115"/>
        <v>0.56253999999999993</v>
      </c>
      <c r="AW368" s="12">
        <f t="shared" si="116"/>
        <v>31.175222450376403</v>
      </c>
      <c r="AX368" s="2">
        <v>500</v>
      </c>
      <c r="AY368" s="3">
        <f t="shared" si="117"/>
        <v>0.56253999999999993</v>
      </c>
      <c r="AZ368" s="2">
        <f t="shared" si="118"/>
        <v>281.27</v>
      </c>
      <c r="BA368" s="2">
        <f t="shared" si="119"/>
        <v>0</v>
      </c>
      <c r="BC368">
        <f t="shared" si="120"/>
        <v>313.61604999999997</v>
      </c>
      <c r="BD368">
        <f t="shared" si="126"/>
        <v>0.62723209999999996</v>
      </c>
      <c r="BE368">
        <f t="shared" si="121"/>
        <v>0.62723209999999996</v>
      </c>
      <c r="BF368">
        <f t="shared" si="122"/>
        <v>313.61604999999997</v>
      </c>
      <c r="BG368">
        <f t="shared" si="123"/>
        <v>0</v>
      </c>
    </row>
    <row r="369" spans="1:59" ht="14.5" customHeight="1" x14ac:dyDescent="0.2">
      <c r="A369" s="2" t="s">
        <v>353</v>
      </c>
      <c r="B369" s="2" t="str">
        <f>VLOOKUP($A369,'[1]daily coal, energy reqd'!$C$2:$T$599,17,FALSE)</f>
        <v>Uttar Pradesh</v>
      </c>
      <c r="C369" s="2" t="str">
        <f>VLOOKUP(B369,'Target PLF'!$I$2:$J$19,2,FALSE)</f>
        <v>NR</v>
      </c>
      <c r="D369" s="2" t="s">
        <v>571</v>
      </c>
      <c r="E369" s="2" t="s">
        <v>548</v>
      </c>
      <c r="F369" s="12">
        <v>30.841889117043099</v>
      </c>
      <c r="G369" s="2">
        <v>500</v>
      </c>
      <c r="H369">
        <f>VLOOKUP(A369,'Coal savings'!$A$3:$AB$543,26,FALSE)</f>
        <v>1467070.7726095964</v>
      </c>
      <c r="I369" t="s">
        <v>694</v>
      </c>
      <c r="J369">
        <f>562.54/2</f>
        <v>281.27</v>
      </c>
      <c r="O369" s="2" t="s">
        <v>353</v>
      </c>
      <c r="Q369" s="96"/>
      <c r="R369" s="96"/>
      <c r="S369" s="96"/>
      <c r="T369" s="96"/>
      <c r="U369" s="96"/>
      <c r="V369" s="96"/>
      <c r="W369" s="96"/>
      <c r="X369" s="96"/>
      <c r="Y369" s="96"/>
      <c r="Z369">
        <v>53</v>
      </c>
      <c r="AA369" t="s">
        <v>616</v>
      </c>
      <c r="AC369">
        <v>170.53</v>
      </c>
      <c r="AD369" t="s">
        <v>689</v>
      </c>
      <c r="AH369" s="2" t="str">
        <f t="shared" si="129"/>
        <v>2019</v>
      </c>
      <c r="AI369" s="2">
        <f t="shared" si="130"/>
        <v>202.90783219939965</v>
      </c>
      <c r="AJ369" s="2">
        <f t="shared" si="109"/>
        <v>0.40581566439879929</v>
      </c>
      <c r="AK369" s="12">
        <f t="shared" si="110"/>
        <v>26.841889117043099</v>
      </c>
      <c r="AL369" s="2" t="s">
        <v>571</v>
      </c>
      <c r="AM369" s="2" t="str">
        <f>VLOOKUP(A369,'[12]Power plant names'!$C$2:$F$545,4,FALSE)</f>
        <v>Sub critical</v>
      </c>
      <c r="AN369" s="2">
        <v>500</v>
      </c>
      <c r="AO369" s="2">
        <f t="shared" si="111"/>
        <v>0.40581566439879929</v>
      </c>
      <c r="AP369" s="2">
        <v>500</v>
      </c>
      <c r="AQ369" s="2">
        <f t="shared" si="112"/>
        <v>0</v>
      </c>
      <c r="AR369" s="2">
        <f t="shared" si="113"/>
        <v>202.90783219939965</v>
      </c>
      <c r="AS369" s="2">
        <f t="shared" si="114"/>
        <v>0</v>
      </c>
      <c r="AU369" s="2">
        <f t="shared" si="125"/>
        <v>281.27</v>
      </c>
      <c r="AV369" s="2">
        <f t="shared" si="115"/>
        <v>0.56253999999999993</v>
      </c>
      <c r="AW369" s="12">
        <f t="shared" si="116"/>
        <v>29.841889117043099</v>
      </c>
      <c r="AX369" s="2">
        <v>500</v>
      </c>
      <c r="AY369" s="3">
        <f t="shared" si="117"/>
        <v>0.56253999999999993</v>
      </c>
      <c r="AZ369" s="2">
        <f t="shared" si="118"/>
        <v>281.27</v>
      </c>
      <c r="BA369" s="2">
        <f t="shared" si="119"/>
        <v>0</v>
      </c>
      <c r="BC369">
        <f t="shared" si="120"/>
        <v>313.61604999999997</v>
      </c>
      <c r="BD369">
        <f t="shared" si="126"/>
        <v>0.62723209999999996</v>
      </c>
      <c r="BE369">
        <f t="shared" si="121"/>
        <v>0.62723209999999996</v>
      </c>
      <c r="BF369">
        <f t="shared" si="122"/>
        <v>313.61604999999997</v>
      </c>
      <c r="BG369">
        <f t="shared" si="123"/>
        <v>0</v>
      </c>
    </row>
    <row r="370" spans="1:59" ht="14.5" customHeight="1" x14ac:dyDescent="0.2">
      <c r="A370" s="2" t="s">
        <v>212</v>
      </c>
      <c r="B370" s="2" t="str">
        <f>VLOOKUP($A370,'[1]daily coal, energy reqd'!$C$2:$T$599,17,FALSE)</f>
        <v>Uttar Pradesh</v>
      </c>
      <c r="C370" s="2" t="str">
        <f>VLOOKUP(B370,'Target PLF'!$I$2:$J$19,2,FALSE)</f>
        <v>NR</v>
      </c>
      <c r="D370" s="2" t="s">
        <v>571</v>
      </c>
      <c r="E370" s="2" t="s">
        <v>545</v>
      </c>
      <c r="F370" s="12">
        <v>15.337440109514</v>
      </c>
      <c r="G370" s="2">
        <v>500</v>
      </c>
      <c r="H370">
        <f>VLOOKUP(A370,'Coal savings'!$A$3:$AB$543,26,FALSE)</f>
        <v>2083898.5960034754</v>
      </c>
      <c r="I370" t="s">
        <v>694</v>
      </c>
      <c r="J370">
        <f>660.21/2</f>
        <v>330.10500000000002</v>
      </c>
      <c r="O370" s="2" t="s">
        <v>212</v>
      </c>
      <c r="P370">
        <v>2019</v>
      </c>
      <c r="Q370" s="96">
        <v>62.570000000000007</v>
      </c>
      <c r="R370" s="96" t="s">
        <v>678</v>
      </c>
      <c r="S370" s="96">
        <v>126</v>
      </c>
      <c r="T370" s="96">
        <v>35.6</v>
      </c>
      <c r="U370" s="96" t="s">
        <v>619</v>
      </c>
      <c r="V370" s="96"/>
      <c r="W370" s="96">
        <v>16.39</v>
      </c>
      <c r="X370" s="96" t="s">
        <v>684</v>
      </c>
      <c r="Y370" s="96">
        <v>2.1</v>
      </c>
      <c r="Z370">
        <v>106</v>
      </c>
      <c r="AA370" t="s">
        <v>616</v>
      </c>
      <c r="AC370">
        <v>347.91</v>
      </c>
      <c r="AD370" t="s">
        <v>689</v>
      </c>
      <c r="AH370" s="2" t="str">
        <f t="shared" si="129"/>
        <v>2019</v>
      </c>
      <c r="AI370" s="2">
        <f t="shared" si="130"/>
        <v>238.13734116038975</v>
      </c>
      <c r="AJ370" s="2">
        <f t="shared" si="109"/>
        <v>0.47627468232077952</v>
      </c>
      <c r="AK370" s="12">
        <f t="shared" si="110"/>
        <v>11.337440109514</v>
      </c>
      <c r="AL370" s="2" t="s">
        <v>571</v>
      </c>
      <c r="AM370" s="2" t="str">
        <f>VLOOKUP(A370,'[12]Power plant names'!$C$2:$F$545,4,FALSE)</f>
        <v>Sub critical</v>
      </c>
      <c r="AN370" s="2">
        <v>500</v>
      </c>
      <c r="AO370" s="2">
        <f t="shared" si="111"/>
        <v>0.47627468232077952</v>
      </c>
      <c r="AP370" s="2">
        <v>500</v>
      </c>
      <c r="AQ370" s="2">
        <f t="shared" si="112"/>
        <v>0</v>
      </c>
      <c r="AR370" s="2">
        <f t="shared" si="113"/>
        <v>238.13734116038975</v>
      </c>
      <c r="AS370" s="2">
        <f t="shared" si="114"/>
        <v>0</v>
      </c>
      <c r="AU370" s="2">
        <f t="shared" si="125"/>
        <v>330.10500000000002</v>
      </c>
      <c r="AV370" s="2">
        <f t="shared" si="115"/>
        <v>0.66021000000000007</v>
      </c>
      <c r="AW370" s="12">
        <f t="shared" si="116"/>
        <v>14.337440109514</v>
      </c>
      <c r="AX370" s="2">
        <v>500</v>
      </c>
      <c r="AY370" s="3">
        <f t="shared" si="117"/>
        <v>0.66021000000000007</v>
      </c>
      <c r="AZ370" s="2">
        <f t="shared" si="118"/>
        <v>330.10500000000002</v>
      </c>
      <c r="BA370" s="2">
        <f t="shared" si="119"/>
        <v>0</v>
      </c>
      <c r="BC370">
        <f t="shared" si="120"/>
        <v>368.06707500000005</v>
      </c>
      <c r="BD370">
        <f t="shared" si="126"/>
        <v>0.73613415000000004</v>
      </c>
      <c r="BE370">
        <f t="shared" si="121"/>
        <v>0.73613415000000004</v>
      </c>
      <c r="BF370">
        <f t="shared" si="122"/>
        <v>368.06707500000005</v>
      </c>
      <c r="BG370">
        <f t="shared" si="123"/>
        <v>0</v>
      </c>
    </row>
    <row r="371" spans="1:59" ht="14.5" customHeight="1" x14ac:dyDescent="0.2">
      <c r="A371" s="2" t="s">
        <v>204</v>
      </c>
      <c r="B371" s="2" t="str">
        <f>VLOOKUP($A371,'[1]daily coal, energy reqd'!$C$2:$T$599,17,FALSE)</f>
        <v>Uttar Pradesh</v>
      </c>
      <c r="C371" s="2" t="str">
        <f>VLOOKUP(B371,'Target PLF'!$I$2:$J$19,2,FALSE)</f>
        <v>NR</v>
      </c>
      <c r="D371" s="2" t="s">
        <v>571</v>
      </c>
      <c r="E371" s="2" t="s">
        <v>544</v>
      </c>
      <c r="F371" s="12">
        <v>14.6721423682409</v>
      </c>
      <c r="G371" s="2">
        <v>500</v>
      </c>
      <c r="H371">
        <f>VLOOKUP(A371,'Coal savings'!$A$3:$AB$543,26,FALSE)</f>
        <v>2205815.3054452064</v>
      </c>
      <c r="I371" t="s">
        <v>694</v>
      </c>
      <c r="J371">
        <f>660.21/2</f>
        <v>330.10500000000002</v>
      </c>
      <c r="O371" s="2" t="s">
        <v>204</v>
      </c>
      <c r="Q371" s="96"/>
      <c r="R371" s="96"/>
      <c r="S371" s="96"/>
      <c r="T371" s="96"/>
      <c r="U371" s="96"/>
      <c r="V371" s="96"/>
      <c r="W371" s="96"/>
      <c r="X371" s="96"/>
      <c r="Y371" s="96"/>
      <c r="AH371" s="2" t="str">
        <f t="shared" si="129"/>
        <v>2019</v>
      </c>
      <c r="AI371" s="2">
        <f t="shared" si="130"/>
        <v>238.13734116038975</v>
      </c>
      <c r="AJ371" s="2">
        <f t="shared" si="109"/>
        <v>0.47627468232077952</v>
      </c>
      <c r="AK371" s="12">
        <f t="shared" si="110"/>
        <v>10.6721423682409</v>
      </c>
      <c r="AL371" s="2" t="s">
        <v>571</v>
      </c>
      <c r="AM371" s="2" t="str">
        <f>VLOOKUP(A371,'[12]Power plant names'!$C$2:$F$545,4,FALSE)</f>
        <v>Sub critical</v>
      </c>
      <c r="AN371" s="2">
        <v>500</v>
      </c>
      <c r="AO371" s="2">
        <f t="shared" si="111"/>
        <v>0.47627468232077952</v>
      </c>
      <c r="AP371" s="2">
        <v>500</v>
      </c>
      <c r="AQ371" s="2">
        <f t="shared" si="112"/>
        <v>0</v>
      </c>
      <c r="AR371" s="2">
        <f t="shared" si="113"/>
        <v>238.13734116038975</v>
      </c>
      <c r="AS371" s="2">
        <f t="shared" si="114"/>
        <v>0</v>
      </c>
      <c r="AU371" s="2">
        <f t="shared" si="125"/>
        <v>330.10500000000002</v>
      </c>
      <c r="AV371" s="2">
        <f t="shared" si="115"/>
        <v>0.66021000000000007</v>
      </c>
      <c r="AW371" s="12">
        <f t="shared" si="116"/>
        <v>13.6721423682409</v>
      </c>
      <c r="AX371" s="2">
        <v>500</v>
      </c>
      <c r="AY371" s="3">
        <f t="shared" si="117"/>
        <v>0.66021000000000007</v>
      </c>
      <c r="AZ371" s="2">
        <f t="shared" si="118"/>
        <v>330.10500000000002</v>
      </c>
      <c r="BA371" s="2">
        <f t="shared" si="119"/>
        <v>0</v>
      </c>
      <c r="BC371">
        <f t="shared" si="120"/>
        <v>368.06707500000005</v>
      </c>
      <c r="BD371">
        <f t="shared" si="126"/>
        <v>0.73613415000000004</v>
      </c>
      <c r="BE371">
        <f t="shared" si="121"/>
        <v>0.73613415000000004</v>
      </c>
      <c r="BF371">
        <f t="shared" si="122"/>
        <v>368.06707500000005</v>
      </c>
      <c r="BG371">
        <f t="shared" si="123"/>
        <v>0</v>
      </c>
    </row>
    <row r="372" spans="1:59" ht="14.5" customHeight="1" x14ac:dyDescent="0.2">
      <c r="A372" s="2" t="s">
        <v>150</v>
      </c>
      <c r="B372" s="2" t="str">
        <f>VLOOKUP($A372,'[1]daily coal, energy reqd'!$C$2:$T$599,17,FALSE)</f>
        <v>Uttar Pradesh</v>
      </c>
      <c r="C372" s="2" t="str">
        <f>VLOOKUP(B372,'Target PLF'!$I$2:$J$19,2,FALSE)</f>
        <v>NR</v>
      </c>
      <c r="D372" s="2" t="s">
        <v>571</v>
      </c>
      <c r="E372" s="2" t="s">
        <v>543</v>
      </c>
      <c r="F372" s="12">
        <v>8.00821355236139</v>
      </c>
      <c r="G372" s="2">
        <v>500</v>
      </c>
      <c r="H372">
        <f>VLOOKUP(A372,'Coal savings'!$A$3:$AB$543,26,FALSE)</f>
        <v>2287277.8817061726</v>
      </c>
      <c r="I372" t="s">
        <v>694</v>
      </c>
      <c r="J372">
        <f>1019.12/2</f>
        <v>509.56</v>
      </c>
      <c r="O372" s="2" t="s">
        <v>150</v>
      </c>
      <c r="P372">
        <v>2019</v>
      </c>
      <c r="Q372" s="96">
        <v>134.41999999999999</v>
      </c>
      <c r="R372" s="96" t="s">
        <v>678</v>
      </c>
      <c r="S372" s="96">
        <v>132</v>
      </c>
      <c r="T372" s="96">
        <v>62.1</v>
      </c>
      <c r="U372" s="96" t="s">
        <v>619</v>
      </c>
      <c r="V372" s="96"/>
      <c r="W372" s="96">
        <v>34.35</v>
      </c>
      <c r="X372" s="96" t="s">
        <v>684</v>
      </c>
      <c r="Y372" s="96">
        <v>2.2999999999999998</v>
      </c>
      <c r="AH372" s="2" t="str">
        <f t="shared" si="129"/>
        <v>2019</v>
      </c>
      <c r="AI372" s="2">
        <f t="shared" si="130"/>
        <v>367.59595753377926</v>
      </c>
      <c r="AJ372" s="2">
        <f t="shared" si="109"/>
        <v>0.73519191506755854</v>
      </c>
      <c r="AK372" s="12">
        <f t="shared" si="110"/>
        <v>4.00821355236139</v>
      </c>
      <c r="AL372" s="2" t="s">
        <v>571</v>
      </c>
      <c r="AM372" s="2" t="str">
        <f>VLOOKUP(A372,'[12]Power plant names'!$C$2:$F$545,4,FALSE)</f>
        <v>Sub critical</v>
      </c>
      <c r="AN372" s="2">
        <v>500</v>
      </c>
      <c r="AO372" s="2">
        <f t="shared" si="111"/>
        <v>0.73519191506755854</v>
      </c>
      <c r="AP372" s="2">
        <v>500</v>
      </c>
      <c r="AQ372" s="2">
        <f t="shared" si="112"/>
        <v>0</v>
      </c>
      <c r="AR372" s="2">
        <f t="shared" si="113"/>
        <v>367.59595753377926</v>
      </c>
      <c r="AS372" s="2">
        <f t="shared" si="114"/>
        <v>0</v>
      </c>
      <c r="AU372" s="2">
        <f t="shared" si="125"/>
        <v>509.56</v>
      </c>
      <c r="AV372" s="2">
        <f t="shared" si="115"/>
        <v>1.01912</v>
      </c>
      <c r="AW372" s="12">
        <f t="shared" si="116"/>
        <v>7.00821355236139</v>
      </c>
      <c r="AX372" s="2">
        <v>500</v>
      </c>
      <c r="AY372" s="3">
        <f t="shared" si="117"/>
        <v>1.01912</v>
      </c>
      <c r="AZ372" s="2">
        <f t="shared" si="118"/>
        <v>509.56</v>
      </c>
      <c r="BA372" s="2">
        <f t="shared" si="119"/>
        <v>0</v>
      </c>
      <c r="BC372">
        <f t="shared" si="120"/>
        <v>568.15940000000001</v>
      </c>
      <c r="BD372">
        <f t="shared" si="126"/>
        <v>1.1363188</v>
      </c>
      <c r="BE372">
        <f t="shared" si="121"/>
        <v>1.1363188</v>
      </c>
      <c r="BF372">
        <f t="shared" si="122"/>
        <v>568.15940000000001</v>
      </c>
      <c r="BG372">
        <f t="shared" si="123"/>
        <v>0</v>
      </c>
    </row>
    <row r="373" spans="1:59" ht="14.5" customHeight="1" x14ac:dyDescent="0.2">
      <c r="A373" s="2" t="s">
        <v>139</v>
      </c>
      <c r="B373" s="2" t="str">
        <f>VLOOKUP($A373,'[1]daily coal, energy reqd'!$C$2:$T$599,17,FALSE)</f>
        <v>Uttar Pradesh</v>
      </c>
      <c r="C373" s="2" t="str">
        <f>VLOOKUP(B373,'Target PLF'!$I$2:$J$19,2,FALSE)</f>
        <v>NR</v>
      </c>
      <c r="D373" s="2" t="s">
        <v>571</v>
      </c>
      <c r="E373" s="2" t="s">
        <v>543</v>
      </c>
      <c r="F373" s="12">
        <v>6.5900068446269602</v>
      </c>
      <c r="G373" s="2">
        <v>500</v>
      </c>
      <c r="H373">
        <f>VLOOKUP(A373,'Coal savings'!$A$3:$AB$543,26,FALSE)</f>
        <v>2278216.3334095469</v>
      </c>
      <c r="I373" t="s">
        <v>694</v>
      </c>
      <c r="J373">
        <f>1019.12/2</f>
        <v>509.56</v>
      </c>
      <c r="O373" s="2" t="s">
        <v>139</v>
      </c>
      <c r="Q373" s="96"/>
      <c r="R373" s="96"/>
      <c r="S373" s="96"/>
      <c r="T373" s="96"/>
      <c r="U373" s="96"/>
      <c r="V373" s="96"/>
      <c r="W373" s="96"/>
      <c r="X373" s="96"/>
      <c r="Y373" s="96"/>
      <c r="AH373" s="2" t="str">
        <f t="shared" si="129"/>
        <v>2019</v>
      </c>
      <c r="AI373" s="2">
        <f t="shared" si="130"/>
        <v>367.59595753377926</v>
      </c>
      <c r="AJ373" s="2">
        <f t="shared" si="109"/>
        <v>0.73519191506755854</v>
      </c>
      <c r="AK373" s="12">
        <f t="shared" si="110"/>
        <v>2.5900068446269602</v>
      </c>
      <c r="AL373" s="2" t="s">
        <v>571</v>
      </c>
      <c r="AM373" s="2" t="str">
        <f>VLOOKUP(A373,'[12]Power plant names'!$C$2:$F$545,4,FALSE)</f>
        <v>Sub critical</v>
      </c>
      <c r="AN373" s="2">
        <v>500</v>
      </c>
      <c r="AO373" s="2">
        <f t="shared" si="111"/>
        <v>0.73519191506755854</v>
      </c>
      <c r="AP373" s="2">
        <v>500</v>
      </c>
      <c r="AQ373" s="2">
        <f t="shared" si="112"/>
        <v>0</v>
      </c>
      <c r="AR373" s="2">
        <f t="shared" si="113"/>
        <v>367.59595753377926</v>
      </c>
      <c r="AS373" s="2">
        <f t="shared" si="114"/>
        <v>0</v>
      </c>
      <c r="AU373" s="2">
        <f t="shared" si="125"/>
        <v>509.56</v>
      </c>
      <c r="AV373" s="2">
        <f t="shared" si="115"/>
        <v>1.01912</v>
      </c>
      <c r="AW373" s="12">
        <f t="shared" si="116"/>
        <v>5.5900068446269602</v>
      </c>
      <c r="AX373" s="2">
        <v>500</v>
      </c>
      <c r="AY373" s="3">
        <f t="shared" si="117"/>
        <v>1.01912</v>
      </c>
      <c r="AZ373" s="2">
        <f t="shared" si="118"/>
        <v>509.56</v>
      </c>
      <c r="BA373" s="2">
        <f t="shared" si="119"/>
        <v>0</v>
      </c>
      <c r="BC373">
        <f t="shared" si="120"/>
        <v>568.15940000000001</v>
      </c>
      <c r="BD373">
        <f t="shared" si="126"/>
        <v>1.1363188</v>
      </c>
      <c r="BE373">
        <f t="shared" si="121"/>
        <v>1.1363188</v>
      </c>
      <c r="BF373">
        <f t="shared" si="122"/>
        <v>568.15940000000001</v>
      </c>
      <c r="BG373">
        <f t="shared" si="123"/>
        <v>0</v>
      </c>
    </row>
    <row r="374" spans="1:59" ht="14.5" hidden="1" customHeight="1" x14ac:dyDescent="0.2">
      <c r="A374" s="2" t="s">
        <v>446</v>
      </c>
      <c r="B374" s="2" t="str">
        <f>VLOOKUP($A374,'[1]daily coal, energy reqd'!$C$2:$T$599,17,FALSE)</f>
        <v>Punjab</v>
      </c>
      <c r="C374" s="2" t="str">
        <f>VLOOKUP(B374,'Target PLF'!$I$2:$J$19,2,FALSE)</f>
        <v>NR</v>
      </c>
      <c r="D374" s="2" t="s">
        <v>570</v>
      </c>
      <c r="E374" s="2" t="s">
        <v>548</v>
      </c>
      <c r="F374" s="12">
        <v>32.175222450376403</v>
      </c>
      <c r="G374" s="2">
        <v>210</v>
      </c>
      <c r="H374">
        <f>VLOOKUP(A374,'Coal savings'!$A$3:$AB$543,26,FALSE)</f>
        <v>0</v>
      </c>
      <c r="I374" t="s">
        <v>697</v>
      </c>
      <c r="J374">
        <f>570.89/4</f>
        <v>142.7225</v>
      </c>
      <c r="O374" s="2" t="s">
        <v>446</v>
      </c>
      <c r="Q374" s="38"/>
      <c r="S374" s="96"/>
      <c r="AH374" s="2" t="str">
        <f t="shared" si="129"/>
        <v>2020</v>
      </c>
      <c r="AI374" s="2">
        <f t="shared" si="130"/>
        <v>92.34066011952774</v>
      </c>
      <c r="AJ374" s="2">
        <f t="shared" si="109"/>
        <v>0.4397174291406083</v>
      </c>
      <c r="AK374" s="12">
        <f t="shared" si="110"/>
        <v>28.175222450376403</v>
      </c>
      <c r="AL374" s="2" t="s">
        <v>570</v>
      </c>
      <c r="AM374" s="2" t="str">
        <f>VLOOKUP(A374,'[12]Power plant names'!$C$2:$F$545,4,FALSE)</f>
        <v>Sub critical</v>
      </c>
      <c r="AN374" s="2">
        <v>210</v>
      </c>
      <c r="AO374" s="2">
        <f t="shared" si="111"/>
        <v>0.4397174291406083</v>
      </c>
      <c r="AP374" s="2">
        <f>(1153/6)</f>
        <v>192.16666666666666</v>
      </c>
      <c r="AQ374" s="2">
        <f t="shared" si="112"/>
        <v>17.833333333333343</v>
      </c>
      <c r="AR374" s="2">
        <f t="shared" si="113"/>
        <v>84.499032633186886</v>
      </c>
      <c r="AS374" s="2">
        <f t="shared" si="114"/>
        <v>7.8416274863408519</v>
      </c>
      <c r="AU374" s="2">
        <f t="shared" si="125"/>
        <v>142.7225</v>
      </c>
      <c r="AV374" s="2">
        <f t="shared" si="115"/>
        <v>0.67963095238095239</v>
      </c>
      <c r="AW374" s="12">
        <f t="shared" si="116"/>
        <v>32.175222450376403</v>
      </c>
      <c r="AX374" s="2">
        <v>210</v>
      </c>
      <c r="AY374" s="3">
        <f t="shared" si="117"/>
        <v>0.67963095238095239</v>
      </c>
      <c r="AZ374" s="2">
        <f t="shared" si="118"/>
        <v>130.60241468253969</v>
      </c>
      <c r="BA374" s="2">
        <f t="shared" si="119"/>
        <v>12.120085317460324</v>
      </c>
      <c r="BC374">
        <f t="shared" si="120"/>
        <v>142.7225</v>
      </c>
      <c r="BD374">
        <f t="shared" si="126"/>
        <v>0.67963095238095239</v>
      </c>
      <c r="BE374">
        <f t="shared" si="121"/>
        <v>0.67963095238095239</v>
      </c>
      <c r="BF374">
        <f t="shared" si="122"/>
        <v>130.60241468253969</v>
      </c>
      <c r="BG374">
        <f t="shared" si="123"/>
        <v>12.120085317460324</v>
      </c>
    </row>
    <row r="375" spans="1:59" ht="14.5" hidden="1" customHeight="1" x14ac:dyDescent="0.2">
      <c r="A375" s="2" t="s">
        <v>441</v>
      </c>
      <c r="B375" s="2" t="str">
        <f>VLOOKUP($A375,'[1]daily coal, energy reqd'!$C$2:$T$599,17,FALSE)</f>
        <v>Punjab</v>
      </c>
      <c r="C375" s="2" t="str">
        <f>VLOOKUP(B375,'Target PLF'!$I$2:$J$19,2,FALSE)</f>
        <v>NR</v>
      </c>
      <c r="D375" s="2" t="s">
        <v>570</v>
      </c>
      <c r="E375" s="2" t="s">
        <v>548</v>
      </c>
      <c r="F375" s="12">
        <v>31.337440109513999</v>
      </c>
      <c r="G375" s="2">
        <v>210</v>
      </c>
      <c r="H375">
        <f>VLOOKUP(A375,'Coal savings'!$A$3:$AB$543,26,FALSE)</f>
        <v>0</v>
      </c>
      <c r="I375" t="s">
        <v>697</v>
      </c>
      <c r="J375">
        <f>570.89/4</f>
        <v>142.7225</v>
      </c>
      <c r="O375" s="2" t="s">
        <v>441</v>
      </c>
      <c r="Q375" s="38"/>
      <c r="S375" s="96"/>
      <c r="AH375" s="2" t="str">
        <f t="shared" si="129"/>
        <v>2020</v>
      </c>
      <c r="AI375" s="2">
        <f t="shared" si="130"/>
        <v>92.34066011952774</v>
      </c>
      <c r="AJ375" s="2">
        <f t="shared" si="109"/>
        <v>0.4397174291406083</v>
      </c>
      <c r="AK375" s="12">
        <f t="shared" si="110"/>
        <v>27.337440109513999</v>
      </c>
      <c r="AL375" s="2" t="s">
        <v>570</v>
      </c>
      <c r="AM375" s="2" t="str">
        <f>VLOOKUP(A375,'[12]Power plant names'!$C$2:$F$545,4,FALSE)</f>
        <v>Sub critical</v>
      </c>
      <c r="AN375" s="2">
        <v>210</v>
      </c>
      <c r="AO375" s="2">
        <f t="shared" si="111"/>
        <v>0.4397174291406083</v>
      </c>
      <c r="AP375" s="2">
        <f>(1153/6)</f>
        <v>192.16666666666666</v>
      </c>
      <c r="AQ375" s="2">
        <f t="shared" si="112"/>
        <v>17.833333333333343</v>
      </c>
      <c r="AR375" s="2">
        <f t="shared" si="113"/>
        <v>84.499032633186886</v>
      </c>
      <c r="AS375" s="2">
        <f t="shared" si="114"/>
        <v>7.8416274863408519</v>
      </c>
      <c r="AU375" s="2">
        <f t="shared" si="125"/>
        <v>142.7225</v>
      </c>
      <c r="AV375" s="2">
        <f t="shared" si="115"/>
        <v>0.67963095238095239</v>
      </c>
      <c r="AW375" s="12">
        <f t="shared" si="116"/>
        <v>31.337440109513999</v>
      </c>
      <c r="AX375" s="2">
        <v>210</v>
      </c>
      <c r="AY375" s="3">
        <f t="shared" si="117"/>
        <v>0.67963095238095239</v>
      </c>
      <c r="AZ375" s="2">
        <f t="shared" si="118"/>
        <v>130.60241468253969</v>
      </c>
      <c r="BA375" s="2">
        <f t="shared" si="119"/>
        <v>12.120085317460324</v>
      </c>
      <c r="BC375">
        <f t="shared" si="120"/>
        <v>142.7225</v>
      </c>
      <c r="BD375">
        <f t="shared" si="126"/>
        <v>0.67963095238095239</v>
      </c>
      <c r="BE375">
        <f t="shared" si="121"/>
        <v>0.67963095238095239</v>
      </c>
      <c r="BF375">
        <f t="shared" si="122"/>
        <v>130.60241468253969</v>
      </c>
      <c r="BG375">
        <f t="shared" si="123"/>
        <v>12.120085317460324</v>
      </c>
    </row>
    <row r="376" spans="1:59" ht="14.5" hidden="1" customHeight="1" x14ac:dyDescent="0.2">
      <c r="A376" s="2" t="s">
        <v>418</v>
      </c>
      <c r="B376" s="2" t="str">
        <f>VLOOKUP($A376,'[1]daily coal, energy reqd'!$C$2:$T$599,17,FALSE)</f>
        <v>Punjab</v>
      </c>
      <c r="C376" s="2" t="str">
        <f>VLOOKUP(B376,'Target PLF'!$I$2:$J$19,2,FALSE)</f>
        <v>NR</v>
      </c>
      <c r="D376" s="2" t="s">
        <v>570</v>
      </c>
      <c r="E376" s="2" t="s">
        <v>547</v>
      </c>
      <c r="F376" s="12">
        <v>28.175222450376399</v>
      </c>
      <c r="G376" s="2">
        <v>210</v>
      </c>
      <c r="H376">
        <f>VLOOKUP(A376,'Coal savings'!$A$3:$AB$543,26,FALSE)</f>
        <v>0</v>
      </c>
      <c r="I376" t="s">
        <v>697</v>
      </c>
      <c r="J376">
        <f>570.89/4</f>
        <v>142.7225</v>
      </c>
      <c r="O376" s="2" t="s">
        <v>418</v>
      </c>
      <c r="Q376" s="38"/>
      <c r="S376" s="96"/>
      <c r="AH376" s="2" t="str">
        <f t="shared" si="129"/>
        <v>2020</v>
      </c>
      <c r="AI376" s="2">
        <f t="shared" si="130"/>
        <v>92.34066011952774</v>
      </c>
      <c r="AJ376" s="2">
        <f t="shared" si="109"/>
        <v>0.4397174291406083</v>
      </c>
      <c r="AK376" s="12">
        <f t="shared" si="110"/>
        <v>24.175222450376399</v>
      </c>
      <c r="AL376" s="2" t="s">
        <v>570</v>
      </c>
      <c r="AM376" s="2" t="str">
        <f>VLOOKUP(A376,'[12]Power plant names'!$C$2:$F$545,4,FALSE)</f>
        <v>Sub critical</v>
      </c>
      <c r="AN376" s="2">
        <v>210</v>
      </c>
      <c r="AO376" s="2">
        <f t="shared" si="111"/>
        <v>0.4397174291406083</v>
      </c>
      <c r="AP376" s="2">
        <f>(1153/6)</f>
        <v>192.16666666666666</v>
      </c>
      <c r="AQ376" s="2">
        <f t="shared" si="112"/>
        <v>17.833333333333343</v>
      </c>
      <c r="AR376" s="2">
        <f t="shared" si="113"/>
        <v>84.499032633186886</v>
      </c>
      <c r="AS376" s="2">
        <f t="shared" si="114"/>
        <v>7.8416274863408519</v>
      </c>
      <c r="AU376" s="2">
        <f t="shared" si="125"/>
        <v>142.7225</v>
      </c>
      <c r="AV376" s="2">
        <f t="shared" si="115"/>
        <v>0.67963095238095239</v>
      </c>
      <c r="AW376" s="12">
        <f t="shared" si="116"/>
        <v>28.175222450376399</v>
      </c>
      <c r="AX376" s="2">
        <v>210</v>
      </c>
      <c r="AY376" s="3">
        <f t="shared" si="117"/>
        <v>0.67963095238095239</v>
      </c>
      <c r="AZ376" s="2">
        <f t="shared" si="118"/>
        <v>130.60241468253969</v>
      </c>
      <c r="BA376" s="2">
        <f t="shared" si="119"/>
        <v>12.120085317460324</v>
      </c>
      <c r="BC376">
        <f t="shared" si="120"/>
        <v>142.7225</v>
      </c>
      <c r="BD376">
        <f t="shared" si="126"/>
        <v>0.67963095238095239</v>
      </c>
      <c r="BE376">
        <f t="shared" si="121"/>
        <v>0.67963095238095239</v>
      </c>
      <c r="BF376">
        <f t="shared" si="122"/>
        <v>130.60241468253969</v>
      </c>
      <c r="BG376">
        <f t="shared" si="123"/>
        <v>12.120085317460324</v>
      </c>
    </row>
    <row r="377" spans="1:59" ht="14.5" hidden="1" customHeight="1" x14ac:dyDescent="0.2">
      <c r="A377" s="2" t="s">
        <v>415</v>
      </c>
      <c r="B377" s="2" t="str">
        <f>VLOOKUP($A377,'[1]daily coal, energy reqd'!$C$2:$T$599,17,FALSE)</f>
        <v>Punjab</v>
      </c>
      <c r="C377" s="2" t="str">
        <f>VLOOKUP(B377,'Target PLF'!$I$2:$J$19,2,FALSE)</f>
        <v>NR</v>
      </c>
      <c r="D377" s="2" t="s">
        <v>570</v>
      </c>
      <c r="E377" s="2" t="s">
        <v>547</v>
      </c>
      <c r="F377" s="12">
        <v>27.175906913073199</v>
      </c>
      <c r="G377" s="2">
        <v>210</v>
      </c>
      <c r="H377">
        <f>VLOOKUP(A377,'Coal savings'!$A$3:$AB$543,26,FALSE)</f>
        <v>0</v>
      </c>
      <c r="I377" t="s">
        <v>697</v>
      </c>
      <c r="J377">
        <f>570.89/4</f>
        <v>142.7225</v>
      </c>
      <c r="O377" s="2" t="s">
        <v>415</v>
      </c>
      <c r="Q377" s="38"/>
      <c r="S377" s="96"/>
      <c r="AH377" s="2" t="str">
        <f t="shared" si="129"/>
        <v>2020</v>
      </c>
      <c r="AI377" s="2">
        <f t="shared" si="130"/>
        <v>92.34066011952774</v>
      </c>
      <c r="AJ377" s="2">
        <f t="shared" si="109"/>
        <v>0.4397174291406083</v>
      </c>
      <c r="AK377" s="12">
        <f t="shared" si="110"/>
        <v>23.175906913073199</v>
      </c>
      <c r="AL377" s="2" t="s">
        <v>570</v>
      </c>
      <c r="AM377" s="2" t="str">
        <f>VLOOKUP(A377,'[12]Power plant names'!$C$2:$F$545,4,FALSE)</f>
        <v>Sub critical</v>
      </c>
      <c r="AN377" s="2">
        <v>210</v>
      </c>
      <c r="AO377" s="2">
        <f t="shared" si="111"/>
        <v>0.4397174291406083</v>
      </c>
      <c r="AP377" s="2">
        <f>(1153/6)</f>
        <v>192.16666666666666</v>
      </c>
      <c r="AQ377" s="2">
        <f t="shared" si="112"/>
        <v>17.833333333333343</v>
      </c>
      <c r="AR377" s="2">
        <f t="shared" si="113"/>
        <v>84.499032633186886</v>
      </c>
      <c r="AS377" s="2">
        <f t="shared" si="114"/>
        <v>7.8416274863408519</v>
      </c>
      <c r="AU377" s="2">
        <f t="shared" si="125"/>
        <v>142.7225</v>
      </c>
      <c r="AV377" s="2">
        <f t="shared" si="115"/>
        <v>0.67963095238095239</v>
      </c>
      <c r="AW377" s="12">
        <f t="shared" si="116"/>
        <v>27.175906913073199</v>
      </c>
      <c r="AX377" s="2">
        <v>210</v>
      </c>
      <c r="AY377" s="3">
        <f t="shared" si="117"/>
        <v>0.67963095238095239</v>
      </c>
      <c r="AZ377" s="2">
        <f t="shared" si="118"/>
        <v>130.60241468253969</v>
      </c>
      <c r="BA377" s="2">
        <f t="shared" si="119"/>
        <v>12.120085317460324</v>
      </c>
      <c r="BC377">
        <f t="shared" si="120"/>
        <v>142.7225</v>
      </c>
      <c r="BD377">
        <f t="shared" si="126"/>
        <v>0.67963095238095239</v>
      </c>
      <c r="BE377">
        <f t="shared" si="121"/>
        <v>0.67963095238095239</v>
      </c>
      <c r="BF377">
        <f t="shared" si="122"/>
        <v>130.60241468253969</v>
      </c>
      <c r="BG377">
        <f t="shared" si="123"/>
        <v>12.120085317460324</v>
      </c>
    </row>
    <row r="378" spans="1:59" ht="14.5" customHeight="1" x14ac:dyDescent="0.2">
      <c r="A378" s="2" t="s">
        <v>257</v>
      </c>
      <c r="B378" s="2" t="str">
        <f>VLOOKUP($A378,'[1]daily coal, energy reqd'!$C$2:$T$599,17,FALSE)</f>
        <v>Uttar Pradesh</v>
      </c>
      <c r="C378" s="2" t="str">
        <f>VLOOKUP(B378,'Target PLF'!$I$2:$J$19,2,FALSE)</f>
        <v>NR</v>
      </c>
      <c r="D378" s="2" t="s">
        <v>572</v>
      </c>
      <c r="E378" s="2" t="s">
        <v>544</v>
      </c>
      <c r="F378" s="12">
        <v>10.2532511978097</v>
      </c>
      <c r="G378" s="2">
        <v>300</v>
      </c>
      <c r="H378">
        <f>VLOOKUP(A378,'Coal savings'!$A$3:$AB$543,26,FALSE)</f>
        <v>894177.95537321235</v>
      </c>
      <c r="O378" s="2" t="s">
        <v>257</v>
      </c>
      <c r="AH378" s="2" t="str">
        <f t="shared" si="129"/>
        <v/>
      </c>
      <c r="AI378" s="2"/>
      <c r="AJ378" s="2" t="str">
        <f t="shared" si="109"/>
        <v/>
      </c>
      <c r="AK378" s="12">
        <f t="shared" si="110"/>
        <v>6.2532511978096998</v>
      </c>
      <c r="AL378" s="2" t="s">
        <v>572</v>
      </c>
      <c r="AM378" s="2" t="str">
        <f>VLOOKUP(A378,'[12]Power plant names'!$C$2:$F$545,4,FALSE)</f>
        <v>Sub critical</v>
      </c>
      <c r="AN378" s="2">
        <v>300</v>
      </c>
      <c r="AO378" s="2">
        <f t="shared" si="111"/>
        <v>0.859293452703628</v>
      </c>
      <c r="AP378" s="2">
        <f>570/2</f>
        <v>285</v>
      </c>
      <c r="AQ378" s="2">
        <f t="shared" si="112"/>
        <v>15</v>
      </c>
      <c r="AR378" s="2">
        <f t="shared" si="113"/>
        <v>244.89863402053399</v>
      </c>
      <c r="AS378" s="2">
        <f t="shared" si="114"/>
        <v>12.88940179055442</v>
      </c>
      <c r="AU378" s="2"/>
      <c r="AV378" s="2" t="str">
        <f t="shared" si="115"/>
        <v/>
      </c>
      <c r="AW378" s="12">
        <f t="shared" si="116"/>
        <v>10.2532511978097</v>
      </c>
      <c r="AX378" s="2">
        <v>300</v>
      </c>
      <c r="AY378" s="3">
        <f t="shared" si="117"/>
        <v>1.0648679733059554</v>
      </c>
      <c r="AZ378" s="2">
        <f t="shared" si="118"/>
        <v>303.4873723921973</v>
      </c>
      <c r="BA378" s="2">
        <f t="shared" si="119"/>
        <v>15.973019599589332</v>
      </c>
      <c r="BC378" t="str">
        <f t="shared" si="120"/>
        <v/>
      </c>
      <c r="BE378">
        <f t="shared" si="121"/>
        <v>1.2035271478439429</v>
      </c>
      <c r="BF378">
        <f t="shared" si="122"/>
        <v>343.00523713552371</v>
      </c>
      <c r="BG378">
        <f t="shared" si="123"/>
        <v>18.052907217659143</v>
      </c>
    </row>
    <row r="379" spans="1:59" ht="14.5" customHeight="1" x14ac:dyDescent="0.2">
      <c r="A379" s="2" t="s">
        <v>252</v>
      </c>
      <c r="B379" s="2" t="str">
        <f>VLOOKUP($A379,'[1]daily coal, energy reqd'!$C$2:$T$599,17,FALSE)</f>
        <v>Uttar Pradesh</v>
      </c>
      <c r="C379" s="2" t="str">
        <f>VLOOKUP(B379,'Target PLF'!$I$2:$J$19,2,FALSE)</f>
        <v>NR</v>
      </c>
      <c r="D379" s="2" t="s">
        <v>572</v>
      </c>
      <c r="E379" s="2" t="s">
        <v>543</v>
      </c>
      <c r="F379" s="12">
        <v>9.9247091033538606</v>
      </c>
      <c r="G379" s="2">
        <v>300</v>
      </c>
      <c r="H379">
        <f>VLOOKUP(A379,'Coal savings'!$A$3:$AB$543,26,FALSE)</f>
        <v>893443.37546629494</v>
      </c>
      <c r="O379" s="2" t="s">
        <v>252</v>
      </c>
      <c r="AH379" s="2" t="str">
        <f t="shared" si="129"/>
        <v/>
      </c>
      <c r="AI379" s="2"/>
      <c r="AJ379" s="2" t="str">
        <f t="shared" si="109"/>
        <v/>
      </c>
      <c r="AK379" s="12">
        <f t="shared" si="110"/>
        <v>5.9247091033538606</v>
      </c>
      <c r="AL379" s="2" t="s">
        <v>572</v>
      </c>
      <c r="AM379" s="2" t="str">
        <f>VLOOKUP(A379,'[12]Power plant names'!$C$2:$F$545,4,FALSE)</f>
        <v>Sub critical</v>
      </c>
      <c r="AN379" s="2">
        <v>300</v>
      </c>
      <c r="AO379" s="2">
        <f t="shared" si="111"/>
        <v>0.86384560054757031</v>
      </c>
      <c r="AP379" s="2">
        <f>570/2</f>
        <v>285</v>
      </c>
      <c r="AQ379" s="2">
        <f t="shared" si="112"/>
        <v>15</v>
      </c>
      <c r="AR379" s="2">
        <f t="shared" si="113"/>
        <v>246.19599615605753</v>
      </c>
      <c r="AS379" s="2">
        <f t="shared" si="114"/>
        <v>12.957684008213555</v>
      </c>
      <c r="AU379" s="2"/>
      <c r="AV379" s="2" t="str">
        <f t="shared" si="115"/>
        <v/>
      </c>
      <c r="AW379" s="12">
        <f t="shared" si="116"/>
        <v>9.9247091033538606</v>
      </c>
      <c r="AX379" s="2">
        <v>300</v>
      </c>
      <c r="AY379" s="3">
        <f t="shared" si="117"/>
        <v>1.0708251971252569</v>
      </c>
      <c r="AZ379" s="2">
        <f t="shared" si="118"/>
        <v>305.18518118069824</v>
      </c>
      <c r="BA379" s="2">
        <f t="shared" si="119"/>
        <v>16.062377956878855</v>
      </c>
      <c r="BC379" t="str">
        <f t="shared" si="120"/>
        <v/>
      </c>
      <c r="BE379">
        <f t="shared" si="121"/>
        <v>1.2105985236139631</v>
      </c>
      <c r="BF379">
        <f t="shared" si="122"/>
        <v>345.02057922997949</v>
      </c>
      <c r="BG379">
        <f t="shared" si="123"/>
        <v>18.158977854209446</v>
      </c>
    </row>
    <row r="380" spans="1:59" ht="14.5" customHeight="1" x14ac:dyDescent="0.2">
      <c r="A380" s="2" t="s">
        <v>230</v>
      </c>
      <c r="B380" s="2" t="str">
        <f>VLOOKUP($A380,'[1]daily coal, energy reqd'!$C$2:$T$599,17,FALSE)</f>
        <v>Uttar Pradesh</v>
      </c>
      <c r="C380" s="2" t="str">
        <f>VLOOKUP(B380,'Target PLF'!$I$2:$J$19,2,FALSE)</f>
        <v>NR</v>
      </c>
      <c r="D380" s="2" t="s">
        <v>572</v>
      </c>
      <c r="E380" s="2" t="s">
        <v>543</v>
      </c>
      <c r="F380" s="12">
        <v>8.4243668720054696</v>
      </c>
      <c r="G380" s="2">
        <v>300</v>
      </c>
      <c r="H380">
        <f>VLOOKUP(A380,'Coal savings'!$A$3:$AB$543,26,FALSE)</f>
        <v>890088.79389137193</v>
      </c>
      <c r="O380" s="2" t="s">
        <v>230</v>
      </c>
      <c r="AH380" s="2" t="str">
        <f t="shared" si="129"/>
        <v/>
      </c>
      <c r="AI380" s="2"/>
      <c r="AJ380" s="2" t="str">
        <f t="shared" si="109"/>
        <v/>
      </c>
      <c r="AK380" s="12">
        <f t="shared" si="110"/>
        <v>4.4243668720054696</v>
      </c>
      <c r="AL380" s="2" t="s">
        <v>572</v>
      </c>
      <c r="AM380" s="2" t="str">
        <f>VLOOKUP(A380,'[12]Power plant names'!$C$2:$F$545,4,FALSE)</f>
        <v>Sub critical</v>
      </c>
      <c r="AN380" s="2">
        <v>300</v>
      </c>
      <c r="AO380" s="2">
        <f t="shared" si="111"/>
        <v>0.8846337423682411</v>
      </c>
      <c r="AP380" s="2">
        <f>570/2</f>
        <v>285</v>
      </c>
      <c r="AQ380" s="2">
        <f t="shared" si="112"/>
        <v>15</v>
      </c>
      <c r="AR380" s="2">
        <f t="shared" si="113"/>
        <v>252.12061657494871</v>
      </c>
      <c r="AS380" s="2">
        <f t="shared" si="114"/>
        <v>13.269506135523617</v>
      </c>
      <c r="AU380" s="2"/>
      <c r="AV380" s="2" t="str">
        <f t="shared" si="115"/>
        <v/>
      </c>
      <c r="AW380" s="12">
        <f t="shared" si="116"/>
        <v>8.4243668720054696</v>
      </c>
      <c r="AX380" s="2">
        <v>300</v>
      </c>
      <c r="AY380" s="3">
        <f t="shared" si="117"/>
        <v>1.0980298525667354</v>
      </c>
      <c r="AZ380" s="2">
        <f t="shared" si="118"/>
        <v>312.93850798151959</v>
      </c>
      <c r="BA380" s="2">
        <f t="shared" si="119"/>
        <v>16.47044778850103</v>
      </c>
      <c r="BC380" t="str">
        <f t="shared" si="120"/>
        <v/>
      </c>
      <c r="BE380">
        <f t="shared" si="121"/>
        <v>1.2428911396303903</v>
      </c>
      <c r="BF380">
        <f t="shared" si="122"/>
        <v>354.22397479466122</v>
      </c>
      <c r="BG380">
        <f t="shared" si="123"/>
        <v>18.643367094455854</v>
      </c>
    </row>
    <row r="381" spans="1:59" ht="14.5" customHeight="1" x14ac:dyDescent="0.2">
      <c r="A381" s="2" t="s">
        <v>228</v>
      </c>
      <c r="B381" s="2" t="str">
        <f>VLOOKUP($A381,'[1]daily coal, energy reqd'!$C$2:$T$599,17,FALSE)</f>
        <v>Uttar Pradesh</v>
      </c>
      <c r="C381" s="2" t="str">
        <f>VLOOKUP(B381,'Target PLF'!$I$2:$J$19,2,FALSE)</f>
        <v>NR</v>
      </c>
      <c r="D381" s="2" t="s">
        <v>572</v>
      </c>
      <c r="E381" s="2" t="s">
        <v>543</v>
      </c>
      <c r="F381" s="12">
        <v>8.1752224503764506</v>
      </c>
      <c r="G381" s="2">
        <v>300</v>
      </c>
      <c r="H381">
        <f>VLOOKUP(A381,'Coal savings'!$A$3:$AB$543,26,FALSE)</f>
        <v>889531.73746195959</v>
      </c>
      <c r="O381" s="2" t="s">
        <v>228</v>
      </c>
      <c r="AH381" s="2" t="str">
        <f t="shared" si="129"/>
        <v/>
      </c>
      <c r="AI381" s="2"/>
      <c r="AJ381" s="2" t="str">
        <f t="shared" si="109"/>
        <v/>
      </c>
      <c r="AK381" s="12">
        <f t="shared" si="110"/>
        <v>4.1752224503764506</v>
      </c>
      <c r="AL381" s="2" t="s">
        <v>572</v>
      </c>
      <c r="AM381" s="2" t="str">
        <f>VLOOKUP(A381,'[12]Power plant names'!$C$2:$F$545,4,FALSE)</f>
        <v>Sub critical</v>
      </c>
      <c r="AN381" s="2">
        <v>300</v>
      </c>
      <c r="AO381" s="2">
        <f t="shared" si="111"/>
        <v>0.88808578781656411</v>
      </c>
      <c r="AP381" s="2">
        <f>570/2</f>
        <v>285</v>
      </c>
      <c r="AQ381" s="2">
        <f t="shared" si="112"/>
        <v>15</v>
      </c>
      <c r="AR381" s="2">
        <f t="shared" si="113"/>
        <v>253.10444952772076</v>
      </c>
      <c r="AS381" s="2">
        <f t="shared" si="114"/>
        <v>13.321286817248462</v>
      </c>
      <c r="AU381" s="2"/>
      <c r="AV381" s="2" t="str">
        <f t="shared" si="115"/>
        <v/>
      </c>
      <c r="AW381" s="12">
        <f t="shared" si="116"/>
        <v>8.1752224503764506</v>
      </c>
      <c r="AX381" s="2">
        <v>300</v>
      </c>
      <c r="AY381" s="3">
        <f t="shared" si="117"/>
        <v>1.1025474139630391</v>
      </c>
      <c r="AZ381" s="2">
        <f t="shared" si="118"/>
        <v>314.22601297946613</v>
      </c>
      <c r="BA381" s="2">
        <f t="shared" si="119"/>
        <v>16.538211209445588</v>
      </c>
      <c r="BC381" t="str">
        <f t="shared" si="120"/>
        <v/>
      </c>
      <c r="BE381">
        <f t="shared" si="121"/>
        <v>1.2482535995893225</v>
      </c>
      <c r="BF381">
        <f t="shared" si="122"/>
        <v>355.75227588295689</v>
      </c>
      <c r="BG381">
        <f t="shared" si="123"/>
        <v>18.723803993839837</v>
      </c>
    </row>
    <row r="382" spans="1:59" ht="14.5" hidden="1" customHeight="1" x14ac:dyDescent="0.2">
      <c r="A382" s="2" t="s">
        <v>518</v>
      </c>
      <c r="B382" s="2" t="str">
        <f>VLOOKUP($A382,'[1]daily coal, energy reqd'!$C$2:$T$599,17,FALSE)</f>
        <v>Gujarat</v>
      </c>
      <c r="C382" s="2" t="str">
        <f>VLOOKUP(B382,'Target PLF'!$I$2:$J$19,2,FALSE)</f>
        <v>WR</v>
      </c>
      <c r="D382" s="2" t="s">
        <v>572</v>
      </c>
      <c r="E382" s="2" t="s">
        <v>550</v>
      </c>
      <c r="F382" s="12">
        <v>41.590691307323702</v>
      </c>
      <c r="G382" s="2">
        <v>120</v>
      </c>
      <c r="H382">
        <f>VLOOKUP(A382,'Coal savings'!$A$3:$AB$543,26,FALSE)</f>
        <v>0</v>
      </c>
      <c r="I382" t="s">
        <v>695</v>
      </c>
      <c r="J382" s="40">
        <v>87.677664737684836</v>
      </c>
      <c r="O382" s="2" t="s">
        <v>518</v>
      </c>
      <c r="AH382" s="2" t="str">
        <f t="shared" si="129"/>
        <v>2018</v>
      </c>
      <c r="AI382" s="2">
        <f>(J382)/(1+0.115)^(AH382-2016)</f>
        <v>70.524373896667811</v>
      </c>
      <c r="AJ382" s="2">
        <f t="shared" si="109"/>
        <v>0.58770311580556511</v>
      </c>
      <c r="AK382" s="12">
        <f t="shared" si="110"/>
        <v>37.590691307323702</v>
      </c>
      <c r="AL382" s="2" t="s">
        <v>572</v>
      </c>
      <c r="AM382" s="2" t="str">
        <f>VLOOKUP(A382,'[12]Power plant names'!$C$2:$F$545,4,FALSE)</f>
        <v>Sub critical</v>
      </c>
      <c r="AN382" s="2">
        <v>120</v>
      </c>
      <c r="AO382" s="2">
        <f t="shared" si="111"/>
        <v>0.58770311580556511</v>
      </c>
      <c r="AP382" s="2">
        <v>120</v>
      </c>
      <c r="AQ382" s="2">
        <f t="shared" si="112"/>
        <v>0</v>
      </c>
      <c r="AR382" s="2">
        <f t="shared" si="113"/>
        <v>70.524373896667811</v>
      </c>
      <c r="AS382" s="2">
        <f t="shared" si="114"/>
        <v>0</v>
      </c>
      <c r="AU382" s="2">
        <f t="shared" si="125"/>
        <v>87.677664737684836</v>
      </c>
      <c r="AV382" s="2">
        <f t="shared" si="115"/>
        <v>0.73064720614737366</v>
      </c>
      <c r="AW382" s="12">
        <f t="shared" si="116"/>
        <v>39.590691307323702</v>
      </c>
      <c r="AX382" s="2">
        <v>120</v>
      </c>
      <c r="AY382" s="3">
        <f t="shared" si="117"/>
        <v>0.73064720614737366</v>
      </c>
      <c r="AZ382" s="2">
        <f t="shared" si="118"/>
        <v>87.677664737684836</v>
      </c>
      <c r="BA382" s="2">
        <f t="shared" si="119"/>
        <v>0</v>
      </c>
      <c r="BC382">
        <f t="shared" si="120"/>
        <v>109.00306474350823</v>
      </c>
      <c r="BD382">
        <f t="shared" si="126"/>
        <v>0.90835887286256856</v>
      </c>
      <c r="BE382">
        <f t="shared" si="121"/>
        <v>0.90835887286256856</v>
      </c>
      <c r="BF382">
        <f t="shared" si="122"/>
        <v>109.00306474350823</v>
      </c>
      <c r="BG382">
        <f t="shared" si="123"/>
        <v>0</v>
      </c>
    </row>
    <row r="383" spans="1:59" ht="14.5" hidden="1" customHeight="1" x14ac:dyDescent="0.2">
      <c r="A383" s="2" t="s">
        <v>498</v>
      </c>
      <c r="B383" s="2" t="str">
        <f>VLOOKUP($A383,'[1]daily coal, energy reqd'!$C$2:$T$599,17,FALSE)</f>
        <v>Gujarat</v>
      </c>
      <c r="C383" s="2" t="str">
        <f>VLOOKUP(B383,'Target PLF'!$I$2:$J$19,2,FALSE)</f>
        <v>WR</v>
      </c>
      <c r="D383" s="2" t="s">
        <v>572</v>
      </c>
      <c r="E383" s="2" t="s">
        <v>549</v>
      </c>
      <c r="F383" s="12">
        <v>35.422313483915097</v>
      </c>
      <c r="G383" s="2">
        <v>121</v>
      </c>
      <c r="H383">
        <f>VLOOKUP(A383,'Coal savings'!$A$3:$AB$543,26,FALSE)</f>
        <v>0</v>
      </c>
      <c r="I383" t="s">
        <v>695</v>
      </c>
      <c r="J383" s="40">
        <v>91.849836580358868</v>
      </c>
      <c r="O383" s="2" t="s">
        <v>498</v>
      </c>
      <c r="AH383" s="2" t="str">
        <f t="shared" si="129"/>
        <v>2018</v>
      </c>
      <c r="AI383" s="2">
        <f>(J383)/(1+0.115)^(AH383-2016)</f>
        <v>73.880300492958924</v>
      </c>
      <c r="AJ383" s="2">
        <f t="shared" si="109"/>
        <v>0.61058099580957792</v>
      </c>
      <c r="AK383" s="12">
        <f t="shared" si="110"/>
        <v>31.422313483915097</v>
      </c>
      <c r="AL383" s="2" t="s">
        <v>572</v>
      </c>
      <c r="AM383" s="2" t="str">
        <f>VLOOKUP(A383,'[12]Power plant names'!$C$2:$F$545,4,FALSE)</f>
        <v>Sub critical</v>
      </c>
      <c r="AN383" s="2">
        <v>121</v>
      </c>
      <c r="AO383" s="2">
        <f t="shared" si="111"/>
        <v>0.61058099580957792</v>
      </c>
      <c r="AP383" s="2">
        <v>121</v>
      </c>
      <c r="AQ383" s="2">
        <f t="shared" si="112"/>
        <v>0</v>
      </c>
      <c r="AR383" s="2">
        <f t="shared" si="113"/>
        <v>73.880300492958924</v>
      </c>
      <c r="AS383" s="2">
        <f t="shared" si="114"/>
        <v>0</v>
      </c>
      <c r="AU383" s="2">
        <f t="shared" si="125"/>
        <v>91.849836580358854</v>
      </c>
      <c r="AV383" s="2">
        <f t="shared" si="115"/>
        <v>0.75908955851536242</v>
      </c>
      <c r="AW383" s="12">
        <f t="shared" si="116"/>
        <v>33.422313483915097</v>
      </c>
      <c r="AX383" s="2">
        <v>121</v>
      </c>
      <c r="AY383" s="3">
        <f t="shared" si="117"/>
        <v>0.75908955851536242</v>
      </c>
      <c r="AZ383" s="2">
        <f t="shared" si="118"/>
        <v>91.849836580358854</v>
      </c>
      <c r="BA383" s="2">
        <f t="shared" si="119"/>
        <v>0</v>
      </c>
      <c r="BC383">
        <f t="shared" si="120"/>
        <v>114.19001308261664</v>
      </c>
      <c r="BD383">
        <f t="shared" si="126"/>
        <v>0.94371911638526151</v>
      </c>
      <c r="BE383">
        <f t="shared" si="121"/>
        <v>0.94371911638526151</v>
      </c>
      <c r="BF383">
        <f t="shared" si="122"/>
        <v>114.19001308261664</v>
      </c>
      <c r="BG383">
        <f t="shared" si="123"/>
        <v>0</v>
      </c>
    </row>
    <row r="384" spans="1:59" ht="14.5" hidden="1" customHeight="1" x14ac:dyDescent="0.2">
      <c r="A384" s="2" t="s">
        <v>469</v>
      </c>
      <c r="B384" s="2" t="str">
        <f>VLOOKUP($A384,'[1]daily coal, energy reqd'!$C$2:$T$599,17,FALSE)</f>
        <v>Gujarat</v>
      </c>
      <c r="C384" s="2" t="str">
        <f>VLOOKUP(B384,'Target PLF'!$I$2:$J$19,2,FALSE)</f>
        <v>WR</v>
      </c>
      <c r="D384" s="2" t="s">
        <v>572</v>
      </c>
      <c r="E384" s="2" t="s">
        <v>548</v>
      </c>
      <c r="F384" s="12">
        <v>31.671457905544099</v>
      </c>
      <c r="G384" s="2">
        <v>121</v>
      </c>
      <c r="H384">
        <f>VLOOKUP(A384,'Coal savings'!$A$3:$AB$543,26,FALSE)</f>
        <v>0</v>
      </c>
      <c r="I384" t="s">
        <v>695</v>
      </c>
      <c r="J384" s="40">
        <v>84.862498681956268</v>
      </c>
      <c r="O384" s="2" t="s">
        <v>469</v>
      </c>
      <c r="AH384" s="2" t="str">
        <f t="shared" si="129"/>
        <v>2018</v>
      </c>
      <c r="AI384" s="2">
        <f>(J384)/(1+0.115)^(AH384-2016)</f>
        <v>68.259967971973111</v>
      </c>
      <c r="AJ384" s="2">
        <f t="shared" si="109"/>
        <v>0.56413196671052157</v>
      </c>
      <c r="AK384" s="12">
        <f t="shared" si="110"/>
        <v>27.671457905544099</v>
      </c>
      <c r="AL384" s="2" t="s">
        <v>572</v>
      </c>
      <c r="AM384" s="2" t="str">
        <f>VLOOKUP(A384,'[12]Power plant names'!$C$2:$F$545,4,FALSE)</f>
        <v>Sub critical</v>
      </c>
      <c r="AN384" s="2">
        <v>121</v>
      </c>
      <c r="AO384" s="2">
        <f t="shared" si="111"/>
        <v>0.56413196671052157</v>
      </c>
      <c r="AP384" s="2">
        <v>121</v>
      </c>
      <c r="AQ384" s="2">
        <f t="shared" si="112"/>
        <v>0</v>
      </c>
      <c r="AR384" s="2">
        <f t="shared" si="113"/>
        <v>68.259967971973111</v>
      </c>
      <c r="AS384" s="2">
        <f t="shared" si="114"/>
        <v>0</v>
      </c>
      <c r="AU384" s="2">
        <f t="shared" si="125"/>
        <v>84.862498681956268</v>
      </c>
      <c r="AV384" s="2">
        <f t="shared" si="115"/>
        <v>0.70134296431368814</v>
      </c>
      <c r="AW384" s="12">
        <f t="shared" si="116"/>
        <v>29.671457905544099</v>
      </c>
      <c r="AX384" s="2">
        <v>121</v>
      </c>
      <c r="AY384" s="3">
        <f t="shared" si="117"/>
        <v>0.70134296431368814</v>
      </c>
      <c r="AZ384" s="2">
        <f t="shared" si="118"/>
        <v>84.862498681956268</v>
      </c>
      <c r="BA384" s="2">
        <f t="shared" si="119"/>
        <v>0</v>
      </c>
      <c r="BC384">
        <f t="shared" si="120"/>
        <v>105.50317992387508</v>
      </c>
      <c r="BD384">
        <f t="shared" si="126"/>
        <v>0.87192710680888497</v>
      </c>
      <c r="BE384">
        <f t="shared" si="121"/>
        <v>0.87192710680888497</v>
      </c>
      <c r="BF384">
        <f t="shared" si="122"/>
        <v>105.50317992387508</v>
      </c>
      <c r="BG384">
        <f t="shared" si="123"/>
        <v>0</v>
      </c>
    </row>
    <row r="385" spans="1:59" ht="14.5" customHeight="1" x14ac:dyDescent="0.2">
      <c r="A385" s="2" t="s">
        <v>264</v>
      </c>
      <c r="B385" s="2" t="str">
        <f>VLOOKUP($A385,'[1]daily coal, energy reqd'!$C$2:$T$599,17,FALSE)</f>
        <v>West Bengal</v>
      </c>
      <c r="C385" s="2" t="str">
        <f>VLOOKUP(B385,'Target PLF'!$I$2:$J$19,2,FALSE)</f>
        <v>ER</v>
      </c>
      <c r="D385" s="2" t="s">
        <v>570</v>
      </c>
      <c r="E385" s="2" t="s">
        <v>544</v>
      </c>
      <c r="F385" s="12">
        <v>11.841204654346299</v>
      </c>
      <c r="G385" s="2">
        <v>300</v>
      </c>
      <c r="H385">
        <f>VLOOKUP(A385,'Coal savings'!$A$3:$AB$543,26,FALSE)</f>
        <v>679235.10129849322</v>
      </c>
      <c r="O385" s="2" t="s">
        <v>264</v>
      </c>
      <c r="P385">
        <v>2019</v>
      </c>
      <c r="Q385" s="96">
        <v>287.19</v>
      </c>
      <c r="R385" t="s">
        <v>621</v>
      </c>
      <c r="S385" s="96">
        <v>600</v>
      </c>
      <c r="AH385" s="2" t="str">
        <f t="shared" ref="AH385:AH390" si="131">RIGHT(I385,4)</f>
        <v/>
      </c>
      <c r="AI385" s="2"/>
      <c r="AJ385" s="2" t="str">
        <f t="shared" si="109"/>
        <v/>
      </c>
      <c r="AK385" s="12">
        <f t="shared" si="110"/>
        <v>7.8412046543462992</v>
      </c>
      <c r="AL385" s="2" t="s">
        <v>570</v>
      </c>
      <c r="AM385" s="2" t="str">
        <f>VLOOKUP(A385,'[12]Power plant names'!$C$2:$F$545,4,FALSE)</f>
        <v>Sub critical</v>
      </c>
      <c r="AN385" s="2">
        <v>300</v>
      </c>
      <c r="AO385" s="2">
        <f t="shared" si="111"/>
        <v>0.83729140479123954</v>
      </c>
      <c r="AP385" s="2">
        <v>300</v>
      </c>
      <c r="AQ385" s="2">
        <f t="shared" si="112"/>
        <v>0</v>
      </c>
      <c r="AR385" s="2">
        <f t="shared" si="113"/>
        <v>251.18742143737185</v>
      </c>
      <c r="AS385" s="2">
        <f t="shared" si="114"/>
        <v>0</v>
      </c>
      <c r="AU385" s="2"/>
      <c r="AV385" s="2" t="str">
        <f t="shared" si="115"/>
        <v/>
      </c>
      <c r="AW385" s="12">
        <f t="shared" si="116"/>
        <v>11.841204654346299</v>
      </c>
      <c r="AX385" s="2">
        <v>300</v>
      </c>
      <c r="AY385" s="3">
        <f t="shared" si="117"/>
        <v>1.0360747248459967</v>
      </c>
      <c r="AZ385" s="2">
        <f t="shared" si="118"/>
        <v>310.82241745379901</v>
      </c>
      <c r="BA385" s="2">
        <f t="shared" si="119"/>
        <v>0</v>
      </c>
      <c r="BC385" t="str">
        <f t="shared" si="120"/>
        <v/>
      </c>
      <c r="BE385">
        <f t="shared" si="121"/>
        <v>1.1693488316221774</v>
      </c>
      <c r="BF385">
        <f t="shared" si="122"/>
        <v>350.8046494866532</v>
      </c>
      <c r="BG385">
        <f t="shared" si="123"/>
        <v>0</v>
      </c>
    </row>
    <row r="386" spans="1:59" ht="14.5" customHeight="1" x14ac:dyDescent="0.2">
      <c r="A386" s="2" t="s">
        <v>273</v>
      </c>
      <c r="B386" s="2" t="str">
        <f>VLOOKUP($A386,'[1]daily coal, energy reqd'!$C$2:$T$599,17,FALSE)</f>
        <v>West Bengal</v>
      </c>
      <c r="C386" s="2" t="str">
        <f>VLOOKUP(B386,'Target PLF'!$I$2:$J$19,2,FALSE)</f>
        <v>ER</v>
      </c>
      <c r="D386" s="2" t="s">
        <v>570</v>
      </c>
      <c r="E386" s="2" t="s">
        <v>544</v>
      </c>
      <c r="F386" s="12">
        <v>12.4243668720054</v>
      </c>
      <c r="G386" s="2">
        <v>300</v>
      </c>
      <c r="H386">
        <f>VLOOKUP(A386,'Coal savings'!$A$3:$AB$543,26,FALSE)</f>
        <v>680221.58901653078</v>
      </c>
      <c r="O386" s="2" t="s">
        <v>273</v>
      </c>
      <c r="Q386" s="96"/>
      <c r="R386" t="s">
        <v>621</v>
      </c>
      <c r="S386" s="96"/>
      <c r="AH386" s="2" t="str">
        <f t="shared" si="131"/>
        <v/>
      </c>
      <c r="AI386" s="2"/>
      <c r="AJ386" s="2" t="str">
        <f t="shared" ref="AJ386:AJ449" si="132">IF(AI386/G386=0,"",AI386/G386)</f>
        <v/>
      </c>
      <c r="AK386" s="12">
        <f t="shared" ref="AK386:AK449" si="133">IF(F386-4&lt;0,1,F386-4)</f>
        <v>8.4243668720054004</v>
      </c>
      <c r="AL386" s="2" t="s">
        <v>570</v>
      </c>
      <c r="AM386" s="2" t="str">
        <f>VLOOKUP(A386,'[12]Power plant names'!$C$2:$F$545,4,FALSE)</f>
        <v>Sub critical</v>
      </c>
      <c r="AN386" s="2">
        <v>300</v>
      </c>
      <c r="AO386" s="2">
        <f t="shared" si="111"/>
        <v>0.82921134236824212</v>
      </c>
      <c r="AP386" s="2">
        <v>300</v>
      </c>
      <c r="AQ386" s="2">
        <f t="shared" si="112"/>
        <v>0</v>
      </c>
      <c r="AR386" s="2">
        <f t="shared" si="113"/>
        <v>248.76340271047263</v>
      </c>
      <c r="AS386" s="2">
        <f t="shared" si="114"/>
        <v>0</v>
      </c>
      <c r="AU386" s="2"/>
      <c r="AV386" s="2" t="str">
        <f t="shared" si="115"/>
        <v/>
      </c>
      <c r="AW386" s="12">
        <f t="shared" si="116"/>
        <v>12.4243668720054</v>
      </c>
      <c r="AX386" s="2">
        <v>300</v>
      </c>
      <c r="AY386" s="3">
        <f t="shared" si="117"/>
        <v>1.0255006525667365</v>
      </c>
      <c r="AZ386" s="2">
        <f t="shared" si="118"/>
        <v>307.65019577002096</v>
      </c>
      <c r="BA386" s="2">
        <f t="shared" si="119"/>
        <v>0</v>
      </c>
      <c r="BC386" t="str">
        <f t="shared" si="120"/>
        <v/>
      </c>
      <c r="BE386">
        <f t="shared" si="121"/>
        <v>1.1567971396303918</v>
      </c>
      <c r="BF386">
        <f t="shared" si="122"/>
        <v>347.03914188911756</v>
      </c>
      <c r="BG386">
        <f t="shared" si="123"/>
        <v>0</v>
      </c>
    </row>
    <row r="387" spans="1:59" ht="14.5" customHeight="1" x14ac:dyDescent="0.2">
      <c r="A387" s="2" t="s">
        <v>128</v>
      </c>
      <c r="B387" s="2" t="str">
        <f>VLOOKUP($A387,'[1]daily coal, energy reqd'!$C$2:$T$599,17,FALSE)</f>
        <v>West Bengal</v>
      </c>
      <c r="C387" s="2" t="str">
        <f>VLOOKUP(B387,'Target PLF'!$I$2:$J$19,2,FALSE)</f>
        <v>ER</v>
      </c>
      <c r="D387" s="2" t="s">
        <v>570</v>
      </c>
      <c r="E387" s="2" t="s">
        <v>542</v>
      </c>
      <c r="F387" s="12">
        <v>4.4243668720054696</v>
      </c>
      <c r="G387" s="2">
        <v>500</v>
      </c>
      <c r="H387">
        <f>VLOOKUP(A387,'Coal savings'!$A$3:$AB$543,26,FALSE)</f>
        <v>1724541.4867545841</v>
      </c>
      <c r="O387" s="2" t="s">
        <v>128</v>
      </c>
      <c r="P387">
        <v>2019</v>
      </c>
      <c r="Q387" s="96">
        <v>548.88</v>
      </c>
      <c r="R387" t="s">
        <v>621</v>
      </c>
      <c r="S387" s="96">
        <v>1000</v>
      </c>
      <c r="AH387" s="2" t="str">
        <f t="shared" si="131"/>
        <v/>
      </c>
      <c r="AI387" s="2"/>
      <c r="AJ387" s="2" t="str">
        <f t="shared" si="132"/>
        <v/>
      </c>
      <c r="AK387" s="12">
        <f t="shared" si="133"/>
        <v>0.42436687200546963</v>
      </c>
      <c r="AL387" s="2" t="s">
        <v>570</v>
      </c>
      <c r="AM387" s="2" t="str">
        <f>VLOOKUP(A387,'[12]Power plant names'!$C$2:$F$545,4,FALSE)</f>
        <v>Sub critical</v>
      </c>
      <c r="AN387" s="2">
        <v>500</v>
      </c>
      <c r="AO387" s="2">
        <f t="shared" ref="AO387:AO450" si="134">IF(AJ387="",((-0.0138556*AK387)+(-0.0004519*AN387)+1.081506),AJ387)</f>
        <v>0.84967614236824107</v>
      </c>
      <c r="AP387" s="2">
        <v>500</v>
      </c>
      <c r="AQ387" s="2">
        <f t="shared" ref="AQ387:AQ450" si="135">G387-AP387</f>
        <v>0</v>
      </c>
      <c r="AR387" s="2">
        <f t="shared" ref="AR387:AR450" si="136">AP387*AO387</f>
        <v>424.83807118412051</v>
      </c>
      <c r="AS387" s="2">
        <f t="shared" ref="AS387:AS450" si="137">AQ387*AO387</f>
        <v>0</v>
      </c>
      <c r="AU387" s="2"/>
      <c r="AV387" s="2" t="str">
        <f t="shared" ref="AV387:AV450" si="138">IF(AU387/AN387=0,"",AU387/AN387)</f>
        <v/>
      </c>
      <c r="AW387" s="12">
        <f t="shared" ref="AW387:AW450" si="139">(F387-IF(AH387="",0,(2020-AH387)))</f>
        <v>4.4243668720054696</v>
      </c>
      <c r="AX387" s="2">
        <v>500</v>
      </c>
      <c r="AY387" s="3">
        <f t="shared" ref="AY387:AY450" si="140">IF(AV387="",(( -0.0181323 *AW387)+(-0.0005584 *AN387)+  1.418303),AV387)</f>
        <v>1.0588790525667353</v>
      </c>
      <c r="AZ387" s="2">
        <f t="shared" ref="AZ387:AZ450" si="141">AY387*AP387</f>
        <v>529.43952628336763</v>
      </c>
      <c r="BA387" s="2">
        <f t="shared" ref="BA387:BA450" si="142">AY387*AQ387</f>
        <v>0</v>
      </c>
      <c r="BC387" t="str">
        <f t="shared" ref="BC387:BC450" si="143">IF(AU387="","",(AU387)*(1+0.115)^(2020-AH387))</f>
        <v/>
      </c>
      <c r="BE387">
        <f t="shared" ref="BE387:BE450" si="144">IF(BD387="",(-0.0215235 *AW387)+(-0.0007022*AX387)+1.634873,BD387)</f>
        <v>1.1885451396303903</v>
      </c>
      <c r="BF387">
        <f t="shared" ref="BF387:BF450" si="145">BE387*AP387</f>
        <v>594.2725698151952</v>
      </c>
      <c r="BG387">
        <f t="shared" ref="BG387:BG450" si="146">BE387*AQ387</f>
        <v>0</v>
      </c>
    </row>
    <row r="388" spans="1:59" ht="14.5" customHeight="1" x14ac:dyDescent="0.2">
      <c r="A388" s="2" t="s">
        <v>117</v>
      </c>
      <c r="B388" s="2" t="str">
        <f>VLOOKUP($A388,'[1]daily coal, energy reqd'!$C$2:$T$599,17,FALSE)</f>
        <v>West Bengal</v>
      </c>
      <c r="C388" s="2" t="str">
        <f>VLOOKUP(B388,'Target PLF'!$I$2:$J$19,2,FALSE)</f>
        <v>ER</v>
      </c>
      <c r="D388" s="2" t="s">
        <v>570</v>
      </c>
      <c r="E388" s="2" t="s">
        <v>542</v>
      </c>
      <c r="F388" s="12">
        <v>3.4223134839151199</v>
      </c>
      <c r="G388" s="2">
        <v>500</v>
      </c>
      <c r="H388">
        <f>VLOOKUP(A388,'Coal savings'!$A$3:$AB$543,26,FALSE)</f>
        <v>1719665.5888322038</v>
      </c>
      <c r="O388" s="2" t="s">
        <v>117</v>
      </c>
      <c r="Q388" s="96"/>
      <c r="R388" t="s">
        <v>621</v>
      </c>
      <c r="S388" s="96"/>
      <c r="AH388" s="2" t="str">
        <f t="shared" si="131"/>
        <v/>
      </c>
      <c r="AI388" s="2"/>
      <c r="AJ388" s="2" t="str">
        <f t="shared" si="132"/>
        <v/>
      </c>
      <c r="AK388" s="12">
        <f t="shared" si="133"/>
        <v>1</v>
      </c>
      <c r="AL388" s="2" t="s">
        <v>570</v>
      </c>
      <c r="AM388" s="2" t="str">
        <f>VLOOKUP(A388,'[12]Power plant names'!$C$2:$F$545,4,FALSE)</f>
        <v>Sub critical</v>
      </c>
      <c r="AN388" s="2">
        <v>500</v>
      </c>
      <c r="AO388" s="2">
        <f t="shared" si="134"/>
        <v>0.84170040000000013</v>
      </c>
      <c r="AP388" s="2">
        <v>500</v>
      </c>
      <c r="AQ388" s="2">
        <f t="shared" si="135"/>
        <v>0</v>
      </c>
      <c r="AR388" s="2">
        <f t="shared" si="136"/>
        <v>420.85020000000009</v>
      </c>
      <c r="AS388" s="2">
        <f t="shared" si="137"/>
        <v>0</v>
      </c>
      <c r="AU388" s="2"/>
      <c r="AV388" s="2" t="str">
        <f t="shared" si="138"/>
        <v/>
      </c>
      <c r="AW388" s="12">
        <f t="shared" si="139"/>
        <v>3.4223134839151199</v>
      </c>
      <c r="AX388" s="2">
        <v>500</v>
      </c>
      <c r="AY388" s="3">
        <f t="shared" si="140"/>
        <v>1.077048585215606</v>
      </c>
      <c r="AZ388" s="2">
        <f t="shared" si="141"/>
        <v>538.52429260780298</v>
      </c>
      <c r="BA388" s="2">
        <f t="shared" si="142"/>
        <v>0</v>
      </c>
      <c r="BC388" t="str">
        <f t="shared" si="143"/>
        <v/>
      </c>
      <c r="BE388">
        <f t="shared" si="144"/>
        <v>1.2101128357289528</v>
      </c>
      <c r="BF388">
        <f t="shared" si="145"/>
        <v>605.05641786447643</v>
      </c>
      <c r="BG388">
        <f t="shared" si="146"/>
        <v>0</v>
      </c>
    </row>
    <row r="389" spans="1:59" ht="14.5" customHeight="1" x14ac:dyDescent="0.2">
      <c r="A389" s="2" t="s">
        <v>123</v>
      </c>
      <c r="B389" s="2" t="str">
        <f>VLOOKUP($A389,'[1]daily coal, energy reqd'!$C$2:$T$599,17,FALSE)</f>
        <v>Gujarat</v>
      </c>
      <c r="C389" s="2" t="str">
        <f>VLOOKUP(B389,'Target PLF'!$I$2:$J$19,2,FALSE)</f>
        <v>WR</v>
      </c>
      <c r="D389" s="2" t="s">
        <v>572</v>
      </c>
      <c r="E389" s="2" t="s">
        <v>543</v>
      </c>
      <c r="F389" s="12">
        <v>8.33949349760438</v>
      </c>
      <c r="G389" s="2">
        <v>600</v>
      </c>
      <c r="H389">
        <f>VLOOKUP(A389,'Coal savings'!$A$3:$AB$543,26,FALSE)</f>
        <v>2992181.7801666069</v>
      </c>
      <c r="O389" s="2" t="s">
        <v>123</v>
      </c>
      <c r="AH389" s="2" t="str">
        <f t="shared" si="131"/>
        <v/>
      </c>
      <c r="AI389" s="2"/>
      <c r="AJ389" s="2" t="str">
        <f t="shared" si="132"/>
        <v/>
      </c>
      <c r="AK389" s="12">
        <f t="shared" si="133"/>
        <v>4.33949349760438</v>
      </c>
      <c r="AL389" s="2" t="s">
        <v>572</v>
      </c>
      <c r="AM389" s="2" t="str">
        <f>VLOOKUP(A389,'[12]Power plant names'!$C$2:$F$545,4,FALSE)</f>
        <v>Sub critical</v>
      </c>
      <c r="AN389" s="2">
        <v>600</v>
      </c>
      <c r="AO389" s="2">
        <f t="shared" si="134"/>
        <v>0.75023971389459287</v>
      </c>
      <c r="AP389" s="2">
        <v>600</v>
      </c>
      <c r="AQ389" s="2">
        <f t="shared" si="135"/>
        <v>0</v>
      </c>
      <c r="AR389" s="2">
        <f t="shared" si="136"/>
        <v>450.14382833675575</v>
      </c>
      <c r="AS389" s="2">
        <f t="shared" si="137"/>
        <v>0</v>
      </c>
      <c r="AU389" s="2"/>
      <c r="AV389" s="2" t="str">
        <f t="shared" si="138"/>
        <v/>
      </c>
      <c r="AW389" s="12">
        <f t="shared" si="139"/>
        <v>8.33949349760438</v>
      </c>
      <c r="AX389" s="2">
        <v>600</v>
      </c>
      <c r="AY389" s="3">
        <f t="shared" si="140"/>
        <v>0.93204880205338814</v>
      </c>
      <c r="AZ389" s="2">
        <f t="shared" si="141"/>
        <v>559.22928123203292</v>
      </c>
      <c r="BA389" s="2">
        <f t="shared" si="142"/>
        <v>0</v>
      </c>
      <c r="BC389" t="str">
        <f t="shared" si="143"/>
        <v/>
      </c>
      <c r="BE389">
        <f t="shared" si="144"/>
        <v>1.034057911704312</v>
      </c>
      <c r="BF389">
        <f t="shared" si="145"/>
        <v>620.4347470225872</v>
      </c>
      <c r="BG389">
        <f t="shared" si="146"/>
        <v>0</v>
      </c>
    </row>
    <row r="390" spans="1:59" ht="14.5" customHeight="1" x14ac:dyDescent="0.2">
      <c r="A390" s="2" t="s">
        <v>118</v>
      </c>
      <c r="B390" s="2" t="str">
        <f>VLOOKUP($A390,'[1]daily coal, energy reqd'!$C$2:$T$599,17,FALSE)</f>
        <v>Gujarat</v>
      </c>
      <c r="C390" s="2" t="str">
        <f>VLOOKUP(B390,'Target PLF'!$I$2:$J$19,2,FALSE)</f>
        <v>WR</v>
      </c>
      <c r="D390" s="2" t="s">
        <v>572</v>
      </c>
      <c r="E390" s="2" t="s">
        <v>543</v>
      </c>
      <c r="F390" s="12">
        <v>7.9233401779603003</v>
      </c>
      <c r="G390" s="2">
        <v>600</v>
      </c>
      <c r="H390">
        <f>VLOOKUP(A390,'Coal savings'!$A$3:$AB$543,26,FALSE)</f>
        <v>2988867.4225849081</v>
      </c>
      <c r="O390" s="2" t="s">
        <v>118</v>
      </c>
      <c r="AH390" s="2" t="str">
        <f t="shared" si="131"/>
        <v/>
      </c>
      <c r="AI390" s="2"/>
      <c r="AJ390" s="2" t="str">
        <f t="shared" si="132"/>
        <v/>
      </c>
      <c r="AK390" s="12">
        <f t="shared" si="133"/>
        <v>3.9233401779603003</v>
      </c>
      <c r="AL390" s="2" t="s">
        <v>572</v>
      </c>
      <c r="AM390" s="2" t="str">
        <f>VLOOKUP(A390,'[12]Power plant names'!$C$2:$F$545,4,FALSE)</f>
        <v>Sub critical</v>
      </c>
      <c r="AN390" s="2">
        <v>600</v>
      </c>
      <c r="AO390" s="2">
        <f t="shared" si="134"/>
        <v>0.75600576783025342</v>
      </c>
      <c r="AP390" s="2">
        <v>600</v>
      </c>
      <c r="AQ390" s="2">
        <f t="shared" si="135"/>
        <v>0</v>
      </c>
      <c r="AR390" s="2">
        <f t="shared" si="136"/>
        <v>453.60346069815205</v>
      </c>
      <c r="AS390" s="2">
        <f t="shared" si="137"/>
        <v>0</v>
      </c>
      <c r="AU390" s="2"/>
      <c r="AV390" s="2" t="str">
        <f t="shared" si="138"/>
        <v/>
      </c>
      <c r="AW390" s="12">
        <f t="shared" si="139"/>
        <v>7.9233401779603003</v>
      </c>
      <c r="AX390" s="2">
        <v>600</v>
      </c>
      <c r="AY390" s="3">
        <f t="shared" si="140"/>
        <v>0.93959461889117057</v>
      </c>
      <c r="AZ390" s="2">
        <f t="shared" si="141"/>
        <v>563.75677133470231</v>
      </c>
      <c r="BA390" s="2">
        <f t="shared" si="142"/>
        <v>0</v>
      </c>
      <c r="BC390" t="str">
        <f t="shared" si="143"/>
        <v/>
      </c>
      <c r="BE390">
        <f t="shared" si="144"/>
        <v>1.0430149876796715</v>
      </c>
      <c r="BF390">
        <f t="shared" si="145"/>
        <v>625.80899260780291</v>
      </c>
      <c r="BG390">
        <f t="shared" si="146"/>
        <v>0</v>
      </c>
    </row>
    <row r="391" spans="1:59" hidden="1" x14ac:dyDescent="0.2">
      <c r="A391" s="2" t="s">
        <v>413</v>
      </c>
      <c r="B391" s="2" t="str">
        <f>VLOOKUP($A391,'[1]daily coal, energy reqd'!$C$2:$T$599,17,FALSE)</f>
        <v>Madhya Pradesh</v>
      </c>
      <c r="C391" s="2" t="str">
        <f>VLOOKUP(B391,'Target PLF'!$I$2:$J$19,2,FALSE)</f>
        <v>WR</v>
      </c>
      <c r="D391" s="2" t="s">
        <v>570</v>
      </c>
      <c r="E391" s="2" t="s">
        <v>547</v>
      </c>
      <c r="F391" s="12">
        <v>27.175906913073199</v>
      </c>
      <c r="G391" s="2">
        <v>210</v>
      </c>
      <c r="H391">
        <f>VLOOKUP(A391,'Coal savings'!$A$3:$AB$543,26,FALSE)</f>
        <v>0</v>
      </c>
      <c r="O391" s="2" t="s">
        <v>413</v>
      </c>
      <c r="P391">
        <v>2019</v>
      </c>
      <c r="Q391">
        <v>94.197500000000005</v>
      </c>
      <c r="R391" t="s">
        <v>609</v>
      </c>
      <c r="S391">
        <v>210</v>
      </c>
      <c r="AH391" s="2">
        <v>2019</v>
      </c>
      <c r="AI391" s="2">
        <f>(Q391)/(1+0.115)^(AH391-2016)</f>
        <v>67.953960691161342</v>
      </c>
      <c r="AJ391" s="2">
        <f t="shared" si="132"/>
        <v>0.32359028900553022</v>
      </c>
      <c r="AK391" s="12">
        <f t="shared" si="133"/>
        <v>23.175906913073199</v>
      </c>
      <c r="AL391" s="2" t="s">
        <v>570</v>
      </c>
      <c r="AM391" s="2" t="str">
        <f>VLOOKUP(A391,'[12]Power plant names'!$C$2:$F$545,4,FALSE)</f>
        <v>Sub critical</v>
      </c>
      <c r="AN391" s="2">
        <v>210</v>
      </c>
      <c r="AO391" s="2">
        <f t="shared" si="134"/>
        <v>0.32359028900553022</v>
      </c>
      <c r="AP391" s="2">
        <v>210</v>
      </c>
      <c r="AQ391" s="2">
        <f t="shared" si="135"/>
        <v>0</v>
      </c>
      <c r="AR391" s="2">
        <f t="shared" si="136"/>
        <v>67.953960691161342</v>
      </c>
      <c r="AS391" s="2">
        <f t="shared" si="137"/>
        <v>0</v>
      </c>
      <c r="AU391" s="2">
        <f t="shared" ref="AU391:AU443" si="147">AI391*(1.115)^(AH391-2016)</f>
        <v>94.197500000000005</v>
      </c>
      <c r="AV391" s="2">
        <f t="shared" si="138"/>
        <v>0.44855952380952385</v>
      </c>
      <c r="AW391" s="12">
        <f t="shared" si="139"/>
        <v>26.175906913073199</v>
      </c>
      <c r="AX391" s="2">
        <v>210</v>
      </c>
      <c r="AY391" s="3">
        <f t="shared" si="140"/>
        <v>0.44855952380952385</v>
      </c>
      <c r="AZ391" s="2">
        <f t="shared" si="141"/>
        <v>94.197500000000005</v>
      </c>
      <c r="BA391" s="2">
        <f t="shared" si="142"/>
        <v>0</v>
      </c>
      <c r="BC391">
        <f t="shared" si="143"/>
        <v>105.0302125</v>
      </c>
      <c r="BD391">
        <f t="shared" ref="BD391:BD443" si="148">BC391/AN391</f>
        <v>0.50014386904761909</v>
      </c>
      <c r="BE391">
        <f t="shared" si="144"/>
        <v>0.50014386904761909</v>
      </c>
      <c r="BF391">
        <f t="shared" si="145"/>
        <v>105.0302125</v>
      </c>
      <c r="BG391">
        <f t="shared" si="146"/>
        <v>0</v>
      </c>
    </row>
    <row r="392" spans="1:59" hidden="1" x14ac:dyDescent="0.2">
      <c r="A392" s="2" t="s">
        <v>414</v>
      </c>
      <c r="B392" s="2" t="str">
        <f>VLOOKUP($A392,'[1]daily coal, energy reqd'!$C$2:$T$599,17,FALSE)</f>
        <v>Madhya Pradesh</v>
      </c>
      <c r="C392" s="2" t="str">
        <f>VLOOKUP(B392,'Target PLF'!$I$2:$J$19,2,FALSE)</f>
        <v>WR</v>
      </c>
      <c r="D392" s="2" t="s">
        <v>570</v>
      </c>
      <c r="E392" s="2" t="s">
        <v>547</v>
      </c>
      <c r="F392" s="12">
        <v>27.175906913073199</v>
      </c>
      <c r="G392" s="2">
        <v>210</v>
      </c>
      <c r="H392">
        <f>VLOOKUP(A392,'Coal savings'!$A$3:$AB$543,26,FALSE)</f>
        <v>0</v>
      </c>
      <c r="O392" s="2" t="s">
        <v>414</v>
      </c>
      <c r="P392">
        <v>2019</v>
      </c>
      <c r="Q392">
        <v>94.197500000000005</v>
      </c>
      <c r="R392" t="s">
        <v>609</v>
      </c>
      <c r="S392">
        <v>210</v>
      </c>
      <c r="AH392" s="2">
        <v>2019</v>
      </c>
      <c r="AI392" s="2">
        <f>(Q392)/(1+0.115)^(AH392-2016)</f>
        <v>67.953960691161342</v>
      </c>
      <c r="AJ392" s="2">
        <f t="shared" si="132"/>
        <v>0.32359028900553022</v>
      </c>
      <c r="AK392" s="12">
        <f t="shared" si="133"/>
        <v>23.175906913073199</v>
      </c>
      <c r="AL392" s="2" t="s">
        <v>570</v>
      </c>
      <c r="AM392" s="2" t="str">
        <f>VLOOKUP(A392,'[12]Power plant names'!$C$2:$F$545,4,FALSE)</f>
        <v>Sub critical</v>
      </c>
      <c r="AN392" s="2">
        <v>210</v>
      </c>
      <c r="AO392" s="2">
        <f t="shared" si="134"/>
        <v>0.32359028900553022</v>
      </c>
      <c r="AP392" s="2">
        <v>210</v>
      </c>
      <c r="AQ392" s="2">
        <f t="shared" si="135"/>
        <v>0</v>
      </c>
      <c r="AR392" s="2">
        <f t="shared" si="136"/>
        <v>67.953960691161342</v>
      </c>
      <c r="AS392" s="2">
        <f t="shared" si="137"/>
        <v>0</v>
      </c>
      <c r="AU392" s="2">
        <f t="shared" si="147"/>
        <v>94.197500000000005</v>
      </c>
      <c r="AV392" s="2">
        <f t="shared" si="138"/>
        <v>0.44855952380952385</v>
      </c>
      <c r="AW392" s="12">
        <f t="shared" si="139"/>
        <v>26.175906913073199</v>
      </c>
      <c r="AX392" s="2">
        <v>210</v>
      </c>
      <c r="AY392" s="3">
        <f t="shared" si="140"/>
        <v>0.44855952380952385</v>
      </c>
      <c r="AZ392" s="2">
        <f t="shared" si="141"/>
        <v>94.197500000000005</v>
      </c>
      <c r="BA392" s="2">
        <f t="shared" si="142"/>
        <v>0</v>
      </c>
      <c r="BC392">
        <f t="shared" si="143"/>
        <v>105.0302125</v>
      </c>
      <c r="BD392">
        <f t="shared" si="148"/>
        <v>0.50014386904761909</v>
      </c>
      <c r="BE392">
        <f t="shared" si="144"/>
        <v>0.50014386904761909</v>
      </c>
      <c r="BF392">
        <f t="shared" si="145"/>
        <v>105.0302125</v>
      </c>
      <c r="BG392">
        <f t="shared" si="146"/>
        <v>0</v>
      </c>
    </row>
    <row r="393" spans="1:59" hidden="1" x14ac:dyDescent="0.2">
      <c r="A393" s="2" t="s">
        <v>376</v>
      </c>
      <c r="B393" s="2" t="str">
        <f>VLOOKUP($A393,'[1]daily coal, energy reqd'!$C$2:$T$599,17,FALSE)</f>
        <v>Madhya Pradesh</v>
      </c>
      <c r="C393" s="2" t="str">
        <f>VLOOKUP(B393,'Target PLF'!$I$2:$J$19,2,FALSE)</f>
        <v>WR</v>
      </c>
      <c r="D393" s="2" t="s">
        <v>570</v>
      </c>
      <c r="E393" s="2" t="s">
        <v>546</v>
      </c>
      <c r="F393" s="12">
        <v>21.2539356605065</v>
      </c>
      <c r="G393" s="2">
        <v>210</v>
      </c>
      <c r="H393">
        <f>VLOOKUP(A393,'Coal savings'!$A$3:$AB$543,26,FALSE)</f>
        <v>0</v>
      </c>
      <c r="O393" s="2" t="s">
        <v>376</v>
      </c>
      <c r="P393">
        <v>2019</v>
      </c>
      <c r="Q393">
        <v>94.197500000000005</v>
      </c>
      <c r="R393" t="s">
        <v>609</v>
      </c>
      <c r="S393">
        <v>210</v>
      </c>
      <c r="AH393" s="2">
        <v>2019</v>
      </c>
      <c r="AI393" s="2">
        <f>(Q393)/(1+0.115)^(AH393-2016)</f>
        <v>67.953960691161342</v>
      </c>
      <c r="AJ393" s="2">
        <f t="shared" si="132"/>
        <v>0.32359028900553022</v>
      </c>
      <c r="AK393" s="12">
        <f t="shared" si="133"/>
        <v>17.2539356605065</v>
      </c>
      <c r="AL393" s="2" t="s">
        <v>570</v>
      </c>
      <c r="AM393" s="2" t="str">
        <f>VLOOKUP(A393,'[12]Power plant names'!$C$2:$F$545,4,FALSE)</f>
        <v>Sub critical</v>
      </c>
      <c r="AN393" s="2">
        <v>210</v>
      </c>
      <c r="AO393" s="2">
        <f t="shared" si="134"/>
        <v>0.32359028900553022</v>
      </c>
      <c r="AP393" s="2">
        <v>210</v>
      </c>
      <c r="AQ393" s="2">
        <f t="shared" si="135"/>
        <v>0</v>
      </c>
      <c r="AR393" s="2">
        <f t="shared" si="136"/>
        <v>67.953960691161342</v>
      </c>
      <c r="AS393" s="2">
        <f t="shared" si="137"/>
        <v>0</v>
      </c>
      <c r="AU393" s="2">
        <f t="shared" si="147"/>
        <v>94.197500000000005</v>
      </c>
      <c r="AV393" s="2">
        <f t="shared" si="138"/>
        <v>0.44855952380952385</v>
      </c>
      <c r="AW393" s="12">
        <f t="shared" si="139"/>
        <v>20.2539356605065</v>
      </c>
      <c r="AX393" s="2">
        <v>210</v>
      </c>
      <c r="AY393" s="3">
        <f t="shared" si="140"/>
        <v>0.44855952380952385</v>
      </c>
      <c r="AZ393" s="2">
        <f t="shared" si="141"/>
        <v>94.197500000000005</v>
      </c>
      <c r="BA393" s="2">
        <f t="shared" si="142"/>
        <v>0</v>
      </c>
      <c r="BC393">
        <f t="shared" si="143"/>
        <v>105.0302125</v>
      </c>
      <c r="BD393">
        <f t="shared" si="148"/>
        <v>0.50014386904761909</v>
      </c>
      <c r="BE393">
        <f t="shared" si="144"/>
        <v>0.50014386904761909</v>
      </c>
      <c r="BF393">
        <f t="shared" si="145"/>
        <v>105.0302125</v>
      </c>
      <c r="BG393">
        <f t="shared" si="146"/>
        <v>0</v>
      </c>
    </row>
    <row r="394" spans="1:59" hidden="1" x14ac:dyDescent="0.2">
      <c r="A394" s="2" t="s">
        <v>370</v>
      </c>
      <c r="B394" s="2" t="str">
        <f>VLOOKUP($A394,'[1]daily coal, energy reqd'!$C$2:$T$599,17,FALSE)</f>
        <v>Madhya Pradesh</v>
      </c>
      <c r="C394" s="2" t="str">
        <f>VLOOKUP(B394,'Target PLF'!$I$2:$J$19,2,FALSE)</f>
        <v>WR</v>
      </c>
      <c r="D394" s="2" t="s">
        <v>570</v>
      </c>
      <c r="E394" s="2" t="s">
        <v>546</v>
      </c>
      <c r="F394" s="12">
        <v>20.5065023956194</v>
      </c>
      <c r="G394" s="2">
        <v>210</v>
      </c>
      <c r="H394">
        <f>VLOOKUP(A394,'Coal savings'!$A$3:$AB$543,26,FALSE)</f>
        <v>0</v>
      </c>
      <c r="O394" s="2" t="s">
        <v>370</v>
      </c>
      <c r="P394">
        <v>2019</v>
      </c>
      <c r="Q394">
        <v>94.197500000000005</v>
      </c>
      <c r="R394" t="s">
        <v>609</v>
      </c>
      <c r="S394">
        <v>210</v>
      </c>
      <c r="AH394" s="2">
        <v>2019</v>
      </c>
      <c r="AI394" s="2">
        <f>(Q394)/(1+0.115)^(AH394-2016)</f>
        <v>67.953960691161342</v>
      </c>
      <c r="AJ394" s="2">
        <f t="shared" si="132"/>
        <v>0.32359028900553022</v>
      </c>
      <c r="AK394" s="12">
        <f t="shared" si="133"/>
        <v>16.5065023956194</v>
      </c>
      <c r="AL394" s="2" t="s">
        <v>570</v>
      </c>
      <c r="AM394" s="2" t="str">
        <f>VLOOKUP(A394,'[12]Power plant names'!$C$2:$F$545,4,FALSE)</f>
        <v>Sub critical</v>
      </c>
      <c r="AN394" s="2">
        <v>210</v>
      </c>
      <c r="AO394" s="2">
        <f t="shared" si="134"/>
        <v>0.32359028900553022</v>
      </c>
      <c r="AP394" s="2">
        <v>210</v>
      </c>
      <c r="AQ394" s="2">
        <f t="shared" si="135"/>
        <v>0</v>
      </c>
      <c r="AR394" s="2">
        <f t="shared" si="136"/>
        <v>67.953960691161342</v>
      </c>
      <c r="AS394" s="2">
        <f t="shared" si="137"/>
        <v>0</v>
      </c>
      <c r="AU394" s="2">
        <f t="shared" si="147"/>
        <v>94.197500000000005</v>
      </c>
      <c r="AV394" s="2">
        <f t="shared" si="138"/>
        <v>0.44855952380952385</v>
      </c>
      <c r="AW394" s="12">
        <f t="shared" si="139"/>
        <v>19.5065023956194</v>
      </c>
      <c r="AX394" s="2">
        <v>210</v>
      </c>
      <c r="AY394" s="3">
        <f t="shared" si="140"/>
        <v>0.44855952380952385</v>
      </c>
      <c r="AZ394" s="2">
        <f t="shared" si="141"/>
        <v>94.197500000000005</v>
      </c>
      <c r="BA394" s="2">
        <f t="shared" si="142"/>
        <v>0</v>
      </c>
      <c r="BC394">
        <f t="shared" si="143"/>
        <v>105.0302125</v>
      </c>
      <c r="BD394">
        <f t="shared" si="148"/>
        <v>0.50014386904761909</v>
      </c>
      <c r="BE394">
        <f t="shared" si="144"/>
        <v>0.50014386904761909</v>
      </c>
      <c r="BF394">
        <f t="shared" si="145"/>
        <v>105.0302125</v>
      </c>
      <c r="BG394">
        <f t="shared" si="146"/>
        <v>0</v>
      </c>
    </row>
    <row r="395" spans="1:59" x14ac:dyDescent="0.2">
      <c r="A395" s="2" t="s">
        <v>188</v>
      </c>
      <c r="B395" s="2" t="str">
        <f>VLOOKUP($A395,'[1]daily coal, energy reqd'!$C$2:$T$599,17,FALSE)</f>
        <v>Madhya Pradesh</v>
      </c>
      <c r="C395" s="2" t="str">
        <f>VLOOKUP(B395,'Target PLF'!$I$2:$J$19,2,FALSE)</f>
        <v>WR</v>
      </c>
      <c r="D395" s="2" t="s">
        <v>570</v>
      </c>
      <c r="E395" s="2" t="s">
        <v>544</v>
      </c>
      <c r="F395" s="12">
        <v>12.9253935660506</v>
      </c>
      <c r="G395" s="2">
        <v>500</v>
      </c>
      <c r="H395">
        <f>VLOOKUP(A395,'Coal savings'!$A$3:$AB$543,26,FALSE)</f>
        <v>2006252.4879903155</v>
      </c>
      <c r="O395" s="2" t="s">
        <v>188</v>
      </c>
      <c r="P395">
        <v>2019</v>
      </c>
      <c r="Q395">
        <v>390.62</v>
      </c>
      <c r="R395" t="s">
        <v>609</v>
      </c>
      <c r="S395">
        <v>500</v>
      </c>
      <c r="AH395" s="2">
        <v>2019</v>
      </c>
      <c r="AI395" s="2">
        <f>(Q395)/(1+0.115)^(AH395-2016)</f>
        <v>281.79278776168627</v>
      </c>
      <c r="AJ395" s="2">
        <f t="shared" si="132"/>
        <v>0.56358557552337252</v>
      </c>
      <c r="AK395" s="12">
        <f t="shared" si="133"/>
        <v>8.9253935660505999</v>
      </c>
      <c r="AL395" s="2" t="s">
        <v>570</v>
      </c>
      <c r="AM395" s="2" t="str">
        <f>VLOOKUP(A395,'[12]Power plant names'!$C$2:$F$545,4,FALSE)</f>
        <v>Sub critical</v>
      </c>
      <c r="AN395" s="2">
        <v>500</v>
      </c>
      <c r="AO395" s="2">
        <f t="shared" si="134"/>
        <v>0.56358557552337252</v>
      </c>
      <c r="AP395" s="2">
        <v>500</v>
      </c>
      <c r="AQ395" s="2">
        <f t="shared" si="135"/>
        <v>0</v>
      </c>
      <c r="AR395" s="2">
        <f t="shared" si="136"/>
        <v>281.79278776168627</v>
      </c>
      <c r="AS395" s="2">
        <f t="shared" si="137"/>
        <v>0</v>
      </c>
      <c r="AU395" s="2">
        <f t="shared" si="147"/>
        <v>390.62</v>
      </c>
      <c r="AV395" s="2">
        <f t="shared" si="138"/>
        <v>0.78124000000000005</v>
      </c>
      <c r="AW395" s="12">
        <f t="shared" si="139"/>
        <v>11.9253935660506</v>
      </c>
      <c r="AX395" s="2">
        <v>500</v>
      </c>
      <c r="AY395" s="3">
        <f t="shared" si="140"/>
        <v>0.78124000000000005</v>
      </c>
      <c r="AZ395" s="2">
        <f t="shared" si="141"/>
        <v>390.62</v>
      </c>
      <c r="BA395" s="2">
        <f t="shared" si="142"/>
        <v>0</v>
      </c>
      <c r="BC395">
        <f t="shared" si="143"/>
        <v>435.54129999999998</v>
      </c>
      <c r="BD395">
        <f t="shared" si="148"/>
        <v>0.87108259999999993</v>
      </c>
      <c r="BE395">
        <f t="shared" si="144"/>
        <v>0.87108259999999993</v>
      </c>
      <c r="BF395">
        <f t="shared" si="145"/>
        <v>435.54129999999998</v>
      </c>
      <c r="BG395">
        <f t="shared" si="146"/>
        <v>0</v>
      </c>
    </row>
    <row r="396" spans="1:59" ht="14.5" hidden="1" customHeight="1" x14ac:dyDescent="0.2">
      <c r="A396" s="2" t="s">
        <v>283</v>
      </c>
      <c r="B396" s="2" t="str">
        <f>VLOOKUP($A396,'[1]daily coal, energy reqd'!$C$2:$T$599,17,FALSE)</f>
        <v>West Bengal</v>
      </c>
      <c r="C396" s="2" t="str">
        <f>VLOOKUP(B396,'Target PLF'!$I$2:$J$19,2,FALSE)</f>
        <v>ER</v>
      </c>
      <c r="D396" s="2" t="s">
        <v>570</v>
      </c>
      <c r="E396" s="2" t="s">
        <v>544</v>
      </c>
      <c r="F396" s="12">
        <v>11.0910335386721</v>
      </c>
      <c r="G396" s="2">
        <v>250</v>
      </c>
      <c r="H396">
        <f>VLOOKUP(A396,'Coal savings'!$A$3:$AB$543,26,FALSE)</f>
        <v>0</v>
      </c>
      <c r="O396" s="2" t="s">
        <v>283</v>
      </c>
      <c r="P396">
        <v>2019</v>
      </c>
      <c r="Q396" s="96">
        <v>465.52</v>
      </c>
      <c r="R396" t="s">
        <v>621</v>
      </c>
      <c r="S396" s="96">
        <v>500</v>
      </c>
      <c r="AH396" s="2" t="str">
        <f t="shared" ref="AH396:AH403" si="149">RIGHT(I396,4)</f>
        <v/>
      </c>
      <c r="AI396" s="2"/>
      <c r="AJ396" s="2" t="str">
        <f t="shared" si="132"/>
        <v/>
      </c>
      <c r="AK396" s="12">
        <f t="shared" si="133"/>
        <v>7.0910335386721002</v>
      </c>
      <c r="AL396" s="2" t="s">
        <v>570</v>
      </c>
      <c r="AM396" s="2" t="str">
        <f>VLOOKUP(A396,'[12]Power plant names'!$C$2:$F$545,4,FALSE)</f>
        <v>Sub critical</v>
      </c>
      <c r="AN396" s="2">
        <v>250</v>
      </c>
      <c r="AO396" s="2">
        <f t="shared" si="134"/>
        <v>0.87028047570157496</v>
      </c>
      <c r="AP396" s="2">
        <v>250</v>
      </c>
      <c r="AQ396" s="2">
        <f t="shared" si="135"/>
        <v>0</v>
      </c>
      <c r="AR396" s="2">
        <f t="shared" si="136"/>
        <v>217.57011892539373</v>
      </c>
      <c r="AS396" s="2">
        <f t="shared" si="137"/>
        <v>0</v>
      </c>
      <c r="AU396" s="2"/>
      <c r="AV396" s="2" t="str">
        <f t="shared" si="138"/>
        <v/>
      </c>
      <c r="AW396" s="12">
        <f t="shared" si="139"/>
        <v>11.0910335386721</v>
      </c>
      <c r="AX396" s="2">
        <v>250</v>
      </c>
      <c r="AY396" s="3">
        <f t="shared" si="140"/>
        <v>1.077597052566736</v>
      </c>
      <c r="AZ396" s="2">
        <f t="shared" si="141"/>
        <v>269.399263141684</v>
      </c>
      <c r="BA396" s="2">
        <f t="shared" si="142"/>
        <v>0</v>
      </c>
      <c r="BC396" t="str">
        <f t="shared" si="143"/>
        <v/>
      </c>
      <c r="BE396">
        <f t="shared" si="144"/>
        <v>1.2206051396303912</v>
      </c>
      <c r="BF396">
        <f t="shared" si="145"/>
        <v>305.15128490759781</v>
      </c>
      <c r="BG396">
        <f t="shared" si="146"/>
        <v>0</v>
      </c>
    </row>
    <row r="397" spans="1:59" ht="14.5" customHeight="1" x14ac:dyDescent="0.2">
      <c r="A397" s="2" t="s">
        <v>259</v>
      </c>
      <c r="B397" s="2" t="str">
        <f>VLOOKUP($A397,'[1]daily coal, energy reqd'!$C$2:$T$599,17,FALSE)</f>
        <v>West Bengal</v>
      </c>
      <c r="C397" s="2" t="str">
        <f>VLOOKUP(B397,'Target PLF'!$I$2:$J$19,2,FALSE)</f>
        <v>ER</v>
      </c>
      <c r="D397" s="2" t="s">
        <v>570</v>
      </c>
      <c r="E397" s="2" t="s">
        <v>543</v>
      </c>
      <c r="F397" s="12">
        <v>8.5941136208076596</v>
      </c>
      <c r="G397" s="2">
        <v>250</v>
      </c>
      <c r="H397">
        <f>VLOOKUP(A397,'Coal savings'!$A$3:$AB$543,26,FALSE)</f>
        <v>770307.51868317276</v>
      </c>
      <c r="O397" s="2" t="s">
        <v>259</v>
      </c>
      <c r="Q397" s="96"/>
      <c r="R397" t="s">
        <v>621</v>
      </c>
      <c r="S397" s="96"/>
      <c r="AH397" s="2" t="str">
        <f t="shared" si="149"/>
        <v/>
      </c>
      <c r="AI397" s="2"/>
      <c r="AJ397" s="2" t="str">
        <f t="shared" si="132"/>
        <v/>
      </c>
      <c r="AK397" s="12">
        <f t="shared" si="133"/>
        <v>4.5941136208076596</v>
      </c>
      <c r="AL397" s="2" t="s">
        <v>570</v>
      </c>
      <c r="AM397" s="2" t="str">
        <f>VLOOKUP(A397,'[12]Power plant names'!$C$2:$F$545,4,FALSE)</f>
        <v>Sub critical</v>
      </c>
      <c r="AN397" s="2">
        <v>250</v>
      </c>
      <c r="AO397" s="2">
        <f t="shared" si="134"/>
        <v>0.90487679931553755</v>
      </c>
      <c r="AP397" s="2">
        <v>250</v>
      </c>
      <c r="AQ397" s="2">
        <f t="shared" si="135"/>
        <v>0</v>
      </c>
      <c r="AR397" s="2">
        <f t="shared" si="136"/>
        <v>226.2191998288844</v>
      </c>
      <c r="AS397" s="2">
        <f t="shared" si="137"/>
        <v>0</v>
      </c>
      <c r="AU397" s="2"/>
      <c r="AV397" s="2" t="str">
        <f t="shared" si="138"/>
        <v/>
      </c>
      <c r="AW397" s="12">
        <f t="shared" si="139"/>
        <v>8.5941136208076596</v>
      </c>
      <c r="AX397" s="2">
        <v>250</v>
      </c>
      <c r="AY397" s="3">
        <f t="shared" si="140"/>
        <v>1.1228719535934295</v>
      </c>
      <c r="AZ397" s="2">
        <f t="shared" si="141"/>
        <v>280.71798839835736</v>
      </c>
      <c r="BA397" s="2">
        <f t="shared" si="142"/>
        <v>0</v>
      </c>
      <c r="BC397" t="str">
        <f t="shared" si="143"/>
        <v/>
      </c>
      <c r="BE397">
        <f t="shared" si="144"/>
        <v>1.2743475954825463</v>
      </c>
      <c r="BF397">
        <f t="shared" si="145"/>
        <v>318.58689887063656</v>
      </c>
      <c r="BG397">
        <f t="shared" si="146"/>
        <v>0</v>
      </c>
    </row>
    <row r="398" spans="1:59" ht="15" customHeight="1" x14ac:dyDescent="0.2">
      <c r="A398" s="2" t="s">
        <v>76</v>
      </c>
      <c r="B398" s="2" t="str">
        <f>VLOOKUP($A398,'[1]daily coal, energy reqd'!$C$2:$T$599,17,FALSE)</f>
        <v>Madhya Pradesh</v>
      </c>
      <c r="C398" s="2" t="str">
        <f>VLOOKUP(B398,'Target PLF'!$I$2:$J$19,2,FALSE)</f>
        <v>WR</v>
      </c>
      <c r="D398" s="2" t="s">
        <v>572</v>
      </c>
      <c r="E398" s="2" t="s">
        <v>543</v>
      </c>
      <c r="F398" s="12">
        <v>7.0088980150581701</v>
      </c>
      <c r="G398" s="2">
        <v>660</v>
      </c>
      <c r="H398">
        <f>VLOOKUP(A398,'Coal savings'!$A$3:$AB$543,26,FALSE)</f>
        <v>2957546.1312384582</v>
      </c>
      <c r="O398" s="2" t="s">
        <v>76</v>
      </c>
      <c r="P398">
        <v>2019</v>
      </c>
      <c r="Q398" s="96">
        <v>53.77</v>
      </c>
      <c r="R398" s="96" t="s">
        <v>619</v>
      </c>
      <c r="T398">
        <v>31.27</v>
      </c>
      <c r="U398" t="s">
        <v>609</v>
      </c>
      <c r="V398">
        <v>250.8</v>
      </c>
      <c r="X398" t="s">
        <v>618</v>
      </c>
      <c r="Y398" s="55">
        <v>2000</v>
      </c>
      <c r="AH398" s="2" t="str">
        <f t="shared" si="149"/>
        <v/>
      </c>
      <c r="AI398" s="2"/>
      <c r="AJ398" s="2" t="str">
        <f t="shared" si="132"/>
        <v/>
      </c>
      <c r="AK398" s="12">
        <f t="shared" si="133"/>
        <v>3.0088980150581701</v>
      </c>
      <c r="AL398" s="2" t="s">
        <v>572</v>
      </c>
      <c r="AM398" s="2" t="str">
        <f>VLOOKUP(A398,'[12]Power plant names'!$C$2:$F$545,4,FALSE)</f>
        <v>Super critical</v>
      </c>
      <c r="AN398" s="2">
        <v>660</v>
      </c>
      <c r="AO398" s="2">
        <f t="shared" si="134"/>
        <v>0.74156191266256011</v>
      </c>
      <c r="AP398" s="2">
        <v>660</v>
      </c>
      <c r="AQ398" s="2">
        <f t="shared" si="135"/>
        <v>0</v>
      </c>
      <c r="AR398" s="2">
        <f t="shared" si="136"/>
        <v>489.4308623572897</v>
      </c>
      <c r="AS398" s="2">
        <f t="shared" si="137"/>
        <v>0</v>
      </c>
      <c r="AU398" s="2"/>
      <c r="AV398" s="2" t="str">
        <f t="shared" si="138"/>
        <v/>
      </c>
      <c r="AW398" s="12">
        <f t="shared" si="139"/>
        <v>7.0088980150581701</v>
      </c>
      <c r="AX398" s="2">
        <v>660</v>
      </c>
      <c r="AY398" s="3">
        <f t="shared" si="140"/>
        <v>0.9226715585215608</v>
      </c>
      <c r="AZ398" s="2">
        <f t="shared" si="141"/>
        <v>608.96322862423017</v>
      </c>
      <c r="BA398" s="2">
        <f t="shared" si="142"/>
        <v>0</v>
      </c>
      <c r="BC398" t="str">
        <f t="shared" si="143"/>
        <v/>
      </c>
      <c r="BE398">
        <f t="shared" si="144"/>
        <v>1.0205649835728954</v>
      </c>
      <c r="BF398">
        <f t="shared" si="145"/>
        <v>673.57288915811091</v>
      </c>
      <c r="BG398">
        <f t="shared" si="146"/>
        <v>0</v>
      </c>
    </row>
    <row r="399" spans="1:59" ht="15" customHeight="1" x14ac:dyDescent="0.2">
      <c r="A399" s="2" t="s">
        <v>65</v>
      </c>
      <c r="B399" s="2" t="str">
        <f>VLOOKUP($A399,'[1]daily coal, energy reqd'!$C$2:$T$599,17,FALSE)</f>
        <v>Madhya Pradesh</v>
      </c>
      <c r="C399" s="2" t="str">
        <f>VLOOKUP(B399,'Target PLF'!$I$2:$J$19,2,FALSE)</f>
        <v>WR</v>
      </c>
      <c r="D399" s="2" t="s">
        <v>572</v>
      </c>
      <c r="E399" s="2" t="s">
        <v>543</v>
      </c>
      <c r="F399" s="12">
        <v>6.4229979466118996</v>
      </c>
      <c r="G399" s="2">
        <v>660</v>
      </c>
      <c r="H399">
        <f>VLOOKUP(A399,'Coal savings'!$A$3:$AB$543,26,FALSE)</f>
        <v>2952413.2379836426</v>
      </c>
      <c r="O399" s="2" t="s">
        <v>65</v>
      </c>
      <c r="Q399" s="96"/>
      <c r="R399" s="96"/>
      <c r="T399">
        <v>31.39</v>
      </c>
      <c r="U399" t="s">
        <v>609</v>
      </c>
      <c r="V399">
        <v>250.8</v>
      </c>
      <c r="AH399" s="2" t="str">
        <f t="shared" si="149"/>
        <v/>
      </c>
      <c r="AI399" s="2"/>
      <c r="AJ399" s="2" t="str">
        <f t="shared" si="132"/>
        <v/>
      </c>
      <c r="AK399" s="12">
        <f t="shared" si="133"/>
        <v>2.4229979466118996</v>
      </c>
      <c r="AL399" s="2" t="s">
        <v>572</v>
      </c>
      <c r="AM399" s="2" t="str">
        <f>VLOOKUP(A399,'[12]Power plant names'!$C$2:$F$545,4,FALSE)</f>
        <v>Super critical</v>
      </c>
      <c r="AN399" s="2">
        <v>660</v>
      </c>
      <c r="AO399" s="2">
        <f t="shared" si="134"/>
        <v>0.74967990965092435</v>
      </c>
      <c r="AP399" s="2">
        <v>660</v>
      </c>
      <c r="AQ399" s="2">
        <f t="shared" si="135"/>
        <v>0</v>
      </c>
      <c r="AR399" s="2">
        <f t="shared" si="136"/>
        <v>494.78874036961008</v>
      </c>
      <c r="AS399" s="2">
        <f t="shared" si="137"/>
        <v>0</v>
      </c>
      <c r="AU399" s="2"/>
      <c r="AV399" s="2" t="str">
        <f t="shared" si="138"/>
        <v/>
      </c>
      <c r="AW399" s="12">
        <f t="shared" si="139"/>
        <v>6.4229979466118996</v>
      </c>
      <c r="AX399" s="2">
        <v>660</v>
      </c>
      <c r="AY399" s="3">
        <f t="shared" si="140"/>
        <v>0.93329527433264903</v>
      </c>
      <c r="AZ399" s="2">
        <f t="shared" si="141"/>
        <v>615.97488105954835</v>
      </c>
      <c r="BA399" s="2">
        <f t="shared" si="142"/>
        <v>0</v>
      </c>
      <c r="BC399" t="str">
        <f t="shared" si="143"/>
        <v/>
      </c>
      <c r="BE399">
        <f t="shared" si="144"/>
        <v>1.0331756036960988</v>
      </c>
      <c r="BF399">
        <f t="shared" si="145"/>
        <v>681.8958984394252</v>
      </c>
      <c r="BG399">
        <f t="shared" si="146"/>
        <v>0</v>
      </c>
    </row>
    <row r="400" spans="1:59" ht="15" customHeight="1" x14ac:dyDescent="0.2">
      <c r="A400" s="2" t="s">
        <v>61</v>
      </c>
      <c r="B400" s="2" t="str">
        <f>VLOOKUP($A400,'[1]daily coal, energy reqd'!$C$2:$T$599,17,FALSE)</f>
        <v>Madhya Pradesh</v>
      </c>
      <c r="C400" s="2" t="str">
        <f>VLOOKUP(B400,'Target PLF'!$I$2:$J$19,2,FALSE)</f>
        <v>WR</v>
      </c>
      <c r="D400" s="2" t="s">
        <v>572</v>
      </c>
      <c r="E400" s="2" t="s">
        <v>543</v>
      </c>
      <c r="F400" s="12">
        <v>6.00958247775496</v>
      </c>
      <c r="G400" s="2">
        <v>660</v>
      </c>
      <c r="H400">
        <f>VLOOKUP(A400,'Coal savings'!$A$3:$AB$543,26,FALSE)</f>
        <v>2948791.4301262735</v>
      </c>
      <c r="O400" s="2" t="s">
        <v>61</v>
      </c>
      <c r="Q400" s="96"/>
      <c r="R400" s="96"/>
      <c r="T400">
        <v>31.33</v>
      </c>
      <c r="U400" t="s">
        <v>609</v>
      </c>
      <c r="V400">
        <v>250.8</v>
      </c>
      <c r="AH400" s="2" t="str">
        <f t="shared" si="149"/>
        <v/>
      </c>
      <c r="AI400" s="2"/>
      <c r="AJ400" s="2" t="str">
        <f t="shared" si="132"/>
        <v/>
      </c>
      <c r="AK400" s="12">
        <f t="shared" si="133"/>
        <v>2.00958247775496</v>
      </c>
      <c r="AL400" s="2" t="s">
        <v>572</v>
      </c>
      <c r="AM400" s="2" t="str">
        <f>VLOOKUP(A400,'[12]Power plant names'!$C$2:$F$545,4,FALSE)</f>
        <v>Super critical</v>
      </c>
      <c r="AN400" s="2">
        <v>660</v>
      </c>
      <c r="AO400" s="2">
        <f t="shared" si="134"/>
        <v>0.75540802902121851</v>
      </c>
      <c r="AP400" s="2">
        <v>660</v>
      </c>
      <c r="AQ400" s="2">
        <f t="shared" si="135"/>
        <v>0</v>
      </c>
      <c r="AR400" s="2">
        <f t="shared" si="136"/>
        <v>498.56929915400423</v>
      </c>
      <c r="AS400" s="2">
        <f t="shared" si="137"/>
        <v>0</v>
      </c>
      <c r="AU400" s="2"/>
      <c r="AV400" s="2" t="str">
        <f t="shared" si="138"/>
        <v/>
      </c>
      <c r="AW400" s="12">
        <f t="shared" si="139"/>
        <v>6.00958247775496</v>
      </c>
      <c r="AX400" s="2">
        <v>660</v>
      </c>
      <c r="AY400" s="3">
        <f t="shared" si="140"/>
        <v>0.94079144763860378</v>
      </c>
      <c r="AZ400" s="2">
        <f t="shared" si="141"/>
        <v>620.92235544147854</v>
      </c>
      <c r="BA400" s="2">
        <f t="shared" si="142"/>
        <v>0</v>
      </c>
      <c r="BC400" t="str">
        <f t="shared" si="143"/>
        <v/>
      </c>
      <c r="BE400">
        <f t="shared" si="144"/>
        <v>1.0420737515400411</v>
      </c>
      <c r="BF400">
        <f t="shared" si="145"/>
        <v>687.76867601642709</v>
      </c>
      <c r="BG400">
        <f t="shared" si="146"/>
        <v>0</v>
      </c>
    </row>
    <row r="401" spans="1:59" ht="15" customHeight="1" x14ac:dyDescent="0.2">
      <c r="A401" s="2" t="s">
        <v>63</v>
      </c>
      <c r="B401" s="2" t="str">
        <f>VLOOKUP($A401,'[1]daily coal, energy reqd'!$C$2:$T$599,17,FALSE)</f>
        <v>Madhya Pradesh</v>
      </c>
      <c r="C401" s="2" t="str">
        <f>VLOOKUP(B401,'Target PLF'!$I$2:$J$19,2,FALSE)</f>
        <v>WR</v>
      </c>
      <c r="D401" s="2" t="s">
        <v>572</v>
      </c>
      <c r="E401" s="2" t="s">
        <v>543</v>
      </c>
      <c r="F401" s="12">
        <v>6.1765913757700197</v>
      </c>
      <c r="G401" s="2">
        <v>660</v>
      </c>
      <c r="H401">
        <f>VLOOKUP(A401,'Coal savings'!$A$3:$AB$543,26,FALSE)</f>
        <v>2950254.5445587202</v>
      </c>
      <c r="O401" s="2" t="s">
        <v>63</v>
      </c>
      <c r="Q401" s="96"/>
      <c r="R401" s="96"/>
      <c r="T401">
        <v>31.33</v>
      </c>
      <c r="U401" t="s">
        <v>609</v>
      </c>
      <c r="V401">
        <v>250.8</v>
      </c>
      <c r="AH401" s="2" t="str">
        <f t="shared" si="149"/>
        <v/>
      </c>
      <c r="AI401" s="2"/>
      <c r="AJ401" s="2" t="str">
        <f t="shared" si="132"/>
        <v/>
      </c>
      <c r="AK401" s="12">
        <f t="shared" si="133"/>
        <v>2.1765913757700197</v>
      </c>
      <c r="AL401" s="2" t="s">
        <v>572</v>
      </c>
      <c r="AM401" s="2" t="str">
        <f>VLOOKUP(A401,'[12]Power plant names'!$C$2:$F$545,4,FALSE)</f>
        <v>Super critical</v>
      </c>
      <c r="AN401" s="2">
        <v>660</v>
      </c>
      <c r="AO401" s="2">
        <f t="shared" si="134"/>
        <v>0.75309402053388097</v>
      </c>
      <c r="AP401" s="2">
        <v>660</v>
      </c>
      <c r="AQ401" s="2">
        <f t="shared" si="135"/>
        <v>0</v>
      </c>
      <c r="AR401" s="2">
        <f t="shared" si="136"/>
        <v>497.04205355236144</v>
      </c>
      <c r="AS401" s="2">
        <f t="shared" si="137"/>
        <v>0</v>
      </c>
      <c r="AU401" s="2"/>
      <c r="AV401" s="2" t="str">
        <f t="shared" si="138"/>
        <v/>
      </c>
      <c r="AW401" s="12">
        <f t="shared" si="139"/>
        <v>6.1765913757700197</v>
      </c>
      <c r="AX401" s="2">
        <v>660</v>
      </c>
      <c r="AY401" s="3">
        <f t="shared" si="140"/>
        <v>0.93776319219712534</v>
      </c>
      <c r="AZ401" s="2">
        <f t="shared" si="141"/>
        <v>618.92370685010269</v>
      </c>
      <c r="BA401" s="2">
        <f t="shared" si="142"/>
        <v>0</v>
      </c>
      <c r="BC401" t="str">
        <f t="shared" si="143"/>
        <v/>
      </c>
      <c r="BE401">
        <f t="shared" si="144"/>
        <v>1.0384791355236138</v>
      </c>
      <c r="BF401">
        <f t="shared" si="145"/>
        <v>685.39622944558516</v>
      </c>
      <c r="BG401">
        <f t="shared" si="146"/>
        <v>0</v>
      </c>
    </row>
    <row r="402" spans="1:59" ht="15" customHeight="1" x14ac:dyDescent="0.2">
      <c r="A402" s="2" t="s">
        <v>58</v>
      </c>
      <c r="B402" s="2" t="str">
        <f>VLOOKUP($A402,'[1]daily coal, energy reqd'!$C$2:$T$599,17,FALSE)</f>
        <v>Madhya Pradesh</v>
      </c>
      <c r="C402" s="2" t="str">
        <f>VLOOKUP(B402,'Target PLF'!$I$2:$J$19,2,FALSE)</f>
        <v>WR</v>
      </c>
      <c r="D402" s="2" t="s">
        <v>572</v>
      </c>
      <c r="E402" s="2" t="s">
        <v>543</v>
      </c>
      <c r="F402" s="12">
        <v>5.7577002053388</v>
      </c>
      <c r="G402" s="2">
        <v>660</v>
      </c>
      <c r="H402">
        <f>VLOOKUP(A402,'Coal savings'!$A$3:$AB$543,26,FALSE)</f>
        <v>2946584.7657363531</v>
      </c>
      <c r="O402" s="2" t="s">
        <v>58</v>
      </c>
      <c r="Q402" s="96"/>
      <c r="R402" s="96"/>
      <c r="T402">
        <v>31.33</v>
      </c>
      <c r="U402" t="s">
        <v>609</v>
      </c>
      <c r="V402">
        <v>250.8</v>
      </c>
      <c r="AH402" s="2" t="str">
        <f t="shared" si="149"/>
        <v/>
      </c>
      <c r="AI402" s="2"/>
      <c r="AJ402" s="2" t="str">
        <f t="shared" si="132"/>
        <v/>
      </c>
      <c r="AK402" s="12">
        <f t="shared" si="133"/>
        <v>1.7577002053388</v>
      </c>
      <c r="AL402" s="2" t="s">
        <v>572</v>
      </c>
      <c r="AM402" s="2" t="str">
        <f>VLOOKUP(A402,'[12]Power plant names'!$C$2:$F$545,4,FALSE)</f>
        <v>Super critical</v>
      </c>
      <c r="AN402" s="2">
        <v>660</v>
      </c>
      <c r="AO402" s="2">
        <f t="shared" si="134"/>
        <v>0.75889800903490778</v>
      </c>
      <c r="AP402" s="2">
        <v>660</v>
      </c>
      <c r="AQ402" s="2">
        <f t="shared" si="135"/>
        <v>0</v>
      </c>
      <c r="AR402" s="2">
        <f t="shared" si="136"/>
        <v>500.87268596303915</v>
      </c>
      <c r="AS402" s="2">
        <f t="shared" si="137"/>
        <v>0</v>
      </c>
      <c r="AU402" s="2"/>
      <c r="AV402" s="2" t="str">
        <f t="shared" si="138"/>
        <v/>
      </c>
      <c r="AW402" s="12">
        <f t="shared" si="139"/>
        <v>5.7577002053388</v>
      </c>
      <c r="AX402" s="2">
        <v>660</v>
      </c>
      <c r="AY402" s="3">
        <f t="shared" si="140"/>
        <v>0.94535865256673535</v>
      </c>
      <c r="AZ402" s="2">
        <f t="shared" si="141"/>
        <v>623.93671069404536</v>
      </c>
      <c r="BA402" s="2">
        <f t="shared" si="142"/>
        <v>0</v>
      </c>
      <c r="BC402" t="str">
        <f t="shared" si="143"/>
        <v/>
      </c>
      <c r="BE402">
        <f t="shared" si="144"/>
        <v>1.0474951396303904</v>
      </c>
      <c r="BF402">
        <f t="shared" si="145"/>
        <v>691.34679215605763</v>
      </c>
      <c r="BG402">
        <f t="shared" si="146"/>
        <v>0</v>
      </c>
    </row>
    <row r="403" spans="1:59" ht="15" customHeight="1" x14ac:dyDescent="0.2">
      <c r="A403" s="2" t="s">
        <v>52</v>
      </c>
      <c r="B403" s="2" t="str">
        <f>VLOOKUP($A403,'[1]daily coal, energy reqd'!$C$2:$T$599,17,FALSE)</f>
        <v>Madhya Pradesh</v>
      </c>
      <c r="C403" s="2" t="str">
        <f>VLOOKUP(B403,'Target PLF'!$I$2:$J$19,2,FALSE)</f>
        <v>WR</v>
      </c>
      <c r="D403" s="2" t="s">
        <v>572</v>
      </c>
      <c r="E403" s="2" t="s">
        <v>543</v>
      </c>
      <c r="F403" s="12">
        <v>5.1772758384667998</v>
      </c>
      <c r="G403" s="2">
        <v>660</v>
      </c>
      <c r="H403">
        <f>VLOOKUP(A403,'Coal savings'!$A$3:$AB$543,26,FALSE)</f>
        <v>2941499.8434465365</v>
      </c>
      <c r="O403" s="2" t="s">
        <v>52</v>
      </c>
      <c r="Q403" s="96"/>
      <c r="R403" s="96"/>
      <c r="T403">
        <v>31.33</v>
      </c>
      <c r="U403" t="s">
        <v>609</v>
      </c>
      <c r="V403">
        <v>250.8</v>
      </c>
      <c r="AH403" s="2" t="str">
        <f t="shared" si="149"/>
        <v/>
      </c>
      <c r="AI403" s="2"/>
      <c r="AJ403" s="2" t="str">
        <f t="shared" si="132"/>
        <v/>
      </c>
      <c r="AK403" s="12">
        <f t="shared" si="133"/>
        <v>1.1772758384667998</v>
      </c>
      <c r="AL403" s="2" t="s">
        <v>572</v>
      </c>
      <c r="AM403" s="2" t="str">
        <f>VLOOKUP(A403,'[12]Power plant names'!$C$2:$F$545,4,FALSE)</f>
        <v>Super critical</v>
      </c>
      <c r="AN403" s="2">
        <v>660</v>
      </c>
      <c r="AO403" s="2">
        <f t="shared" si="134"/>
        <v>0.76694013689253948</v>
      </c>
      <c r="AP403" s="2">
        <v>660</v>
      </c>
      <c r="AQ403" s="2">
        <f t="shared" si="135"/>
        <v>0</v>
      </c>
      <c r="AR403" s="2">
        <f t="shared" si="136"/>
        <v>506.18049034907608</v>
      </c>
      <c r="AS403" s="2">
        <f t="shared" si="137"/>
        <v>0</v>
      </c>
      <c r="AU403" s="2"/>
      <c r="AV403" s="2" t="str">
        <f t="shared" si="138"/>
        <v/>
      </c>
      <c r="AW403" s="12">
        <f t="shared" si="139"/>
        <v>5.1772758384667998</v>
      </c>
      <c r="AX403" s="2">
        <v>660</v>
      </c>
      <c r="AY403" s="3">
        <f t="shared" si="140"/>
        <v>0.95588308131416855</v>
      </c>
      <c r="AZ403" s="2">
        <f t="shared" si="141"/>
        <v>630.88283366735129</v>
      </c>
      <c r="BA403" s="2">
        <f t="shared" si="142"/>
        <v>0</v>
      </c>
      <c r="BC403" t="str">
        <f t="shared" si="143"/>
        <v/>
      </c>
      <c r="BE403">
        <f t="shared" si="144"/>
        <v>1.0599879034907598</v>
      </c>
      <c r="BF403">
        <f t="shared" si="145"/>
        <v>699.59201630390146</v>
      </c>
      <c r="BG403">
        <f t="shared" si="146"/>
        <v>0</v>
      </c>
    </row>
    <row r="404" spans="1:59" ht="15" customHeight="1" x14ac:dyDescent="0.2">
      <c r="A404" s="2" t="s">
        <v>244</v>
      </c>
      <c r="B404" s="2" t="str">
        <f>VLOOKUP($A404,'[1]daily coal, energy reqd'!$C$2:$T$599,17,FALSE)</f>
        <v>Madhya Pradesh</v>
      </c>
      <c r="C404" s="2" t="str">
        <f>VLOOKUP(B404,'Target PLF'!$I$2:$J$19,2,FALSE)</f>
        <v>WR</v>
      </c>
      <c r="D404" s="2" t="s">
        <v>570</v>
      </c>
      <c r="E404" s="2" t="s">
        <v>543</v>
      </c>
      <c r="F404" s="12">
        <v>7.1759069130732298</v>
      </c>
      <c r="G404" s="2">
        <v>250</v>
      </c>
      <c r="H404">
        <f>VLOOKUP(A404,'Coal savings'!$A$3:$AB$543,26,FALSE)</f>
        <v>754061.81785982347</v>
      </c>
      <c r="O404" s="2" t="s">
        <v>244</v>
      </c>
      <c r="P404">
        <v>2019</v>
      </c>
      <c r="Q404">
        <v>323.64</v>
      </c>
      <c r="R404" t="s">
        <v>609</v>
      </c>
      <c r="S404">
        <v>250</v>
      </c>
      <c r="Y404" s="55"/>
      <c r="AH404" s="2">
        <v>2019</v>
      </c>
      <c r="AI404" s="2">
        <f t="shared" ref="AI404:AI409" si="150">(Q404)/(1+0.115)^(AH404-2016)</f>
        <v>233.47349810862767</v>
      </c>
      <c r="AJ404" s="2">
        <f t="shared" si="132"/>
        <v>0.93389399243451066</v>
      </c>
      <c r="AK404" s="12">
        <f t="shared" si="133"/>
        <v>3.1759069130732298</v>
      </c>
      <c r="AL404" s="2" t="s">
        <v>570</v>
      </c>
      <c r="AM404" s="2" t="str">
        <f>VLOOKUP(A404,'[12]Power plant names'!$C$2:$F$545,4,FALSE)</f>
        <v>Sub critical</v>
      </c>
      <c r="AN404" s="2">
        <v>250</v>
      </c>
      <c r="AO404" s="2">
        <f t="shared" si="134"/>
        <v>0.93389399243451066</v>
      </c>
      <c r="AP404" s="2">
        <v>250</v>
      </c>
      <c r="AQ404" s="2">
        <f t="shared" si="135"/>
        <v>0</v>
      </c>
      <c r="AR404" s="2">
        <f t="shared" si="136"/>
        <v>233.47349810862767</v>
      </c>
      <c r="AS404" s="2">
        <f t="shared" si="137"/>
        <v>0</v>
      </c>
      <c r="AU404" s="2">
        <f t="shared" si="147"/>
        <v>323.64</v>
      </c>
      <c r="AV404" s="2">
        <f t="shared" si="138"/>
        <v>1.2945599999999999</v>
      </c>
      <c r="AW404" s="12">
        <f t="shared" si="139"/>
        <v>6.1759069130732298</v>
      </c>
      <c r="AX404" s="2">
        <v>250</v>
      </c>
      <c r="AY404" s="3">
        <f t="shared" si="140"/>
        <v>1.2945599999999999</v>
      </c>
      <c r="AZ404" s="2">
        <f t="shared" si="141"/>
        <v>323.64</v>
      </c>
      <c r="BA404" s="2">
        <f t="shared" si="142"/>
        <v>0</v>
      </c>
      <c r="BC404">
        <f t="shared" si="143"/>
        <v>360.85859999999997</v>
      </c>
      <c r="BD404">
        <f t="shared" si="148"/>
        <v>1.4434343999999999</v>
      </c>
      <c r="BE404">
        <f t="shared" si="144"/>
        <v>1.4434343999999999</v>
      </c>
      <c r="BF404">
        <f t="shared" si="145"/>
        <v>360.85859999999997</v>
      </c>
      <c r="BG404">
        <f t="shared" si="146"/>
        <v>0</v>
      </c>
    </row>
    <row r="405" spans="1:59" x14ac:dyDescent="0.2">
      <c r="A405" s="2" t="s">
        <v>237</v>
      </c>
      <c r="B405" s="2" t="str">
        <f>VLOOKUP($A405,'[1]daily coal, energy reqd'!$C$2:$T$599,17,FALSE)</f>
        <v>Madhya Pradesh</v>
      </c>
      <c r="C405" s="2" t="str">
        <f>VLOOKUP(B405,'Target PLF'!$I$2:$J$19,2,FALSE)</f>
        <v>WR</v>
      </c>
      <c r="D405" s="2" t="s">
        <v>570</v>
      </c>
      <c r="E405" s="2" t="s">
        <v>543</v>
      </c>
      <c r="F405" s="12">
        <v>6.4229979466118996</v>
      </c>
      <c r="G405" s="2">
        <v>250</v>
      </c>
      <c r="H405">
        <f>VLOOKUP(A405,'Coal savings'!$A$3:$AB$543,26,FALSE)</f>
        <v>752652.69600632112</v>
      </c>
      <c r="O405" s="2" t="s">
        <v>237</v>
      </c>
      <c r="P405">
        <v>2019</v>
      </c>
      <c r="Q405">
        <v>323.64</v>
      </c>
      <c r="R405" t="s">
        <v>609</v>
      </c>
      <c r="S405">
        <v>250</v>
      </c>
      <c r="AH405" s="2">
        <v>2019</v>
      </c>
      <c r="AI405" s="2">
        <f t="shared" si="150"/>
        <v>233.47349810862767</v>
      </c>
      <c r="AJ405" s="2">
        <f t="shared" si="132"/>
        <v>0.93389399243451066</v>
      </c>
      <c r="AK405" s="12">
        <f t="shared" si="133"/>
        <v>2.4229979466118996</v>
      </c>
      <c r="AL405" s="2" t="s">
        <v>570</v>
      </c>
      <c r="AM405" s="2" t="str">
        <f>VLOOKUP(A405,'[12]Power plant names'!$C$2:$F$545,4,FALSE)</f>
        <v>Sub critical</v>
      </c>
      <c r="AN405" s="2">
        <v>250</v>
      </c>
      <c r="AO405" s="2">
        <f t="shared" si="134"/>
        <v>0.93389399243451066</v>
      </c>
      <c r="AP405" s="2">
        <v>250</v>
      </c>
      <c r="AQ405" s="2">
        <f t="shared" si="135"/>
        <v>0</v>
      </c>
      <c r="AR405" s="2">
        <f t="shared" si="136"/>
        <v>233.47349810862767</v>
      </c>
      <c r="AS405" s="2">
        <f t="shared" si="137"/>
        <v>0</v>
      </c>
      <c r="AU405" s="2">
        <f t="shared" si="147"/>
        <v>323.64</v>
      </c>
      <c r="AV405" s="2">
        <f t="shared" si="138"/>
        <v>1.2945599999999999</v>
      </c>
      <c r="AW405" s="12">
        <f t="shared" si="139"/>
        <v>5.4229979466118996</v>
      </c>
      <c r="AX405" s="2">
        <v>250</v>
      </c>
      <c r="AY405" s="3">
        <f t="shared" si="140"/>
        <v>1.2945599999999999</v>
      </c>
      <c r="AZ405" s="2">
        <f t="shared" si="141"/>
        <v>323.64</v>
      </c>
      <c r="BA405" s="2">
        <f t="shared" si="142"/>
        <v>0</v>
      </c>
      <c r="BC405">
        <f t="shared" si="143"/>
        <v>360.85859999999997</v>
      </c>
      <c r="BD405">
        <f t="shared" si="148"/>
        <v>1.4434343999999999</v>
      </c>
      <c r="BE405">
        <f t="shared" si="144"/>
        <v>1.4434343999999999</v>
      </c>
      <c r="BF405">
        <f t="shared" si="145"/>
        <v>360.85859999999997</v>
      </c>
      <c r="BG405">
        <f t="shared" si="146"/>
        <v>0</v>
      </c>
    </row>
    <row r="406" spans="1:59" hidden="1" x14ac:dyDescent="0.2">
      <c r="A406" s="2" t="s">
        <v>511</v>
      </c>
      <c r="B406" s="2" t="str">
        <f>VLOOKUP($A406,'[1]daily coal, energy reqd'!$C$2:$T$599,17,FALSE)</f>
        <v>Madhya Pradesh</v>
      </c>
      <c r="C406" s="2" t="str">
        <f>VLOOKUP(B406,'Target PLF'!$I$2:$J$19,2,FALSE)</f>
        <v>WR</v>
      </c>
      <c r="D406" s="2" t="s">
        <v>570</v>
      </c>
      <c r="E406" s="2" t="s">
        <v>550</v>
      </c>
      <c r="F406" s="12">
        <v>40.843258042436602</v>
      </c>
      <c r="G406" s="2">
        <v>200</v>
      </c>
      <c r="H406">
        <f>VLOOKUP(A406,'Coal savings'!$A$3:$AB$543,26,FALSE)</f>
        <v>0</v>
      </c>
      <c r="O406" s="2" t="s">
        <v>511</v>
      </c>
      <c r="P406">
        <v>2019</v>
      </c>
      <c r="Q406">
        <v>78.778313253012044</v>
      </c>
      <c r="R406" t="s">
        <v>609</v>
      </c>
      <c r="S406">
        <v>200</v>
      </c>
      <c r="AH406" s="2">
        <v>2019</v>
      </c>
      <c r="AI406" s="2">
        <f t="shared" si="150"/>
        <v>56.83057832863053</v>
      </c>
      <c r="AJ406" s="2">
        <f t="shared" si="132"/>
        <v>0.28415289164315266</v>
      </c>
      <c r="AK406" s="12">
        <f t="shared" si="133"/>
        <v>36.843258042436602</v>
      </c>
      <c r="AL406" s="2" t="s">
        <v>570</v>
      </c>
      <c r="AM406" s="2" t="str">
        <f>VLOOKUP(A406,'[12]Power plant names'!$C$2:$F$545,4,FALSE)</f>
        <v>Sub critical</v>
      </c>
      <c r="AN406" s="2">
        <v>200</v>
      </c>
      <c r="AO406" s="2">
        <f t="shared" si="134"/>
        <v>0.28415289164315266</v>
      </c>
      <c r="AP406" s="2">
        <v>200</v>
      </c>
      <c r="AQ406" s="2">
        <f t="shared" si="135"/>
        <v>0</v>
      </c>
      <c r="AR406" s="2">
        <f t="shared" si="136"/>
        <v>56.83057832863053</v>
      </c>
      <c r="AS406" s="2">
        <f t="shared" si="137"/>
        <v>0</v>
      </c>
      <c r="AU406" s="2">
        <f t="shared" si="147"/>
        <v>78.778313253012044</v>
      </c>
      <c r="AV406" s="2">
        <f t="shared" si="138"/>
        <v>0.39389156626506022</v>
      </c>
      <c r="AW406" s="12">
        <f t="shared" si="139"/>
        <v>39.843258042436602</v>
      </c>
      <c r="AX406" s="2">
        <v>200</v>
      </c>
      <c r="AY406" s="3">
        <f t="shared" si="140"/>
        <v>0.39389156626506022</v>
      </c>
      <c r="AZ406" s="2">
        <f t="shared" si="141"/>
        <v>78.778313253012044</v>
      </c>
      <c r="BA406" s="2">
        <f t="shared" si="142"/>
        <v>0</v>
      </c>
      <c r="BC406">
        <f t="shared" si="143"/>
        <v>87.837819277108423</v>
      </c>
      <c r="BD406">
        <f t="shared" si="148"/>
        <v>0.4391890963855421</v>
      </c>
      <c r="BE406">
        <f t="shared" si="144"/>
        <v>0.4391890963855421</v>
      </c>
      <c r="BF406">
        <f t="shared" si="145"/>
        <v>87.837819277108423</v>
      </c>
      <c r="BG406">
        <f t="shared" si="146"/>
        <v>0</v>
      </c>
    </row>
    <row r="407" spans="1:59" hidden="1" x14ac:dyDescent="0.2">
      <c r="A407" s="2" t="s">
        <v>504</v>
      </c>
      <c r="B407" s="2" t="str">
        <f>VLOOKUP($A407,'[1]daily coal, energy reqd'!$C$2:$T$599,17,FALSE)</f>
        <v>Madhya Pradesh</v>
      </c>
      <c r="C407" s="2" t="str">
        <f>VLOOKUP(B407,'Target PLF'!$I$2:$J$19,2,FALSE)</f>
        <v>WR</v>
      </c>
      <c r="D407" s="2" t="s">
        <v>570</v>
      </c>
      <c r="E407" s="2" t="s">
        <v>549</v>
      </c>
      <c r="F407" s="12">
        <v>39.671457905544102</v>
      </c>
      <c r="G407" s="2">
        <v>210</v>
      </c>
      <c r="H407">
        <f>VLOOKUP(A407,'Coal savings'!$A$3:$AB$543,26,FALSE)</f>
        <v>0</v>
      </c>
      <c r="O407" s="2" t="s">
        <v>504</v>
      </c>
      <c r="P407">
        <v>2019</v>
      </c>
      <c r="Q407">
        <v>82.717228915662659</v>
      </c>
      <c r="R407" t="s">
        <v>609</v>
      </c>
      <c r="S407">
        <v>210</v>
      </c>
      <c r="AH407" s="2">
        <v>2019</v>
      </c>
      <c r="AI407" s="2">
        <f t="shared" si="150"/>
        <v>59.672107245062072</v>
      </c>
      <c r="AJ407" s="2">
        <f t="shared" si="132"/>
        <v>0.28415289164315272</v>
      </c>
      <c r="AK407" s="12">
        <f t="shared" si="133"/>
        <v>35.671457905544102</v>
      </c>
      <c r="AL407" s="2" t="s">
        <v>570</v>
      </c>
      <c r="AM407" s="2" t="str">
        <f>VLOOKUP(A407,'[12]Power plant names'!$C$2:$F$545,4,FALSE)</f>
        <v>Sub critical</v>
      </c>
      <c r="AN407" s="2">
        <v>210</v>
      </c>
      <c r="AO407" s="2">
        <f t="shared" si="134"/>
        <v>0.28415289164315272</v>
      </c>
      <c r="AP407" s="2">
        <v>210</v>
      </c>
      <c r="AQ407" s="2">
        <f t="shared" si="135"/>
        <v>0</v>
      </c>
      <c r="AR407" s="2">
        <f t="shared" si="136"/>
        <v>59.672107245062072</v>
      </c>
      <c r="AS407" s="2">
        <f t="shared" si="137"/>
        <v>0</v>
      </c>
      <c r="AU407" s="2">
        <f t="shared" si="147"/>
        <v>82.717228915662659</v>
      </c>
      <c r="AV407" s="2">
        <f t="shared" si="138"/>
        <v>0.39389156626506028</v>
      </c>
      <c r="AW407" s="12">
        <f t="shared" si="139"/>
        <v>38.671457905544102</v>
      </c>
      <c r="AX407" s="2">
        <v>210</v>
      </c>
      <c r="AY407" s="3">
        <f t="shared" si="140"/>
        <v>0.39389156626506028</v>
      </c>
      <c r="AZ407" s="2">
        <f t="shared" si="141"/>
        <v>82.717228915662659</v>
      </c>
      <c r="BA407" s="2">
        <f t="shared" si="142"/>
        <v>0</v>
      </c>
      <c r="BC407">
        <f t="shared" si="143"/>
        <v>92.229710240963868</v>
      </c>
      <c r="BD407">
        <f t="shared" si="148"/>
        <v>0.43918909638554221</v>
      </c>
      <c r="BE407">
        <f t="shared" si="144"/>
        <v>0.43918909638554221</v>
      </c>
      <c r="BF407">
        <f t="shared" si="145"/>
        <v>92.229710240963868</v>
      </c>
      <c r="BG407">
        <f t="shared" si="146"/>
        <v>0</v>
      </c>
    </row>
    <row r="408" spans="1:59" hidden="1" x14ac:dyDescent="0.2">
      <c r="A408" s="2" t="s">
        <v>486</v>
      </c>
      <c r="B408" s="2" t="str">
        <f>VLOOKUP($A408,'[1]daily coal, energy reqd'!$C$2:$T$599,17,FALSE)</f>
        <v>Madhya Pradesh</v>
      </c>
      <c r="C408" s="2" t="str">
        <f>VLOOKUP(B408,'Target PLF'!$I$2:$J$19,2,FALSE)</f>
        <v>WR</v>
      </c>
      <c r="D408" s="2" t="s">
        <v>570</v>
      </c>
      <c r="E408" s="2" t="s">
        <v>549</v>
      </c>
      <c r="F408" s="12">
        <v>37.338809034907598</v>
      </c>
      <c r="G408" s="2">
        <v>210</v>
      </c>
      <c r="H408">
        <f>VLOOKUP(A408,'Coal savings'!$A$3:$AB$543,26,FALSE)</f>
        <v>0</v>
      </c>
      <c r="O408" s="2" t="s">
        <v>486</v>
      </c>
      <c r="P408">
        <v>2019</v>
      </c>
      <c r="Q408">
        <v>82.717228915662659</v>
      </c>
      <c r="R408" t="s">
        <v>609</v>
      </c>
      <c r="S408">
        <v>210</v>
      </c>
      <c r="AH408" s="2">
        <v>2019</v>
      </c>
      <c r="AI408" s="2">
        <f t="shared" si="150"/>
        <v>59.672107245062072</v>
      </c>
      <c r="AJ408" s="2">
        <f t="shared" si="132"/>
        <v>0.28415289164315272</v>
      </c>
      <c r="AK408" s="12">
        <f t="shared" si="133"/>
        <v>33.338809034907598</v>
      </c>
      <c r="AL408" s="2" t="s">
        <v>570</v>
      </c>
      <c r="AM408" s="2" t="str">
        <f>VLOOKUP(A408,'[12]Power plant names'!$C$2:$F$545,4,FALSE)</f>
        <v>Sub critical</v>
      </c>
      <c r="AN408" s="2">
        <v>210</v>
      </c>
      <c r="AO408" s="2">
        <f t="shared" si="134"/>
        <v>0.28415289164315272</v>
      </c>
      <c r="AP408" s="2">
        <v>210</v>
      </c>
      <c r="AQ408" s="2">
        <f t="shared" si="135"/>
        <v>0</v>
      </c>
      <c r="AR408" s="2">
        <f t="shared" si="136"/>
        <v>59.672107245062072</v>
      </c>
      <c r="AS408" s="2">
        <f t="shared" si="137"/>
        <v>0</v>
      </c>
      <c r="AU408" s="2">
        <f t="shared" si="147"/>
        <v>82.717228915662659</v>
      </c>
      <c r="AV408" s="2">
        <f t="shared" si="138"/>
        <v>0.39389156626506028</v>
      </c>
      <c r="AW408" s="12">
        <f t="shared" si="139"/>
        <v>36.338809034907598</v>
      </c>
      <c r="AX408" s="2">
        <v>210</v>
      </c>
      <c r="AY408" s="3">
        <f t="shared" si="140"/>
        <v>0.39389156626506028</v>
      </c>
      <c r="AZ408" s="2">
        <f t="shared" si="141"/>
        <v>82.717228915662659</v>
      </c>
      <c r="BA408" s="2">
        <f t="shared" si="142"/>
        <v>0</v>
      </c>
      <c r="BC408">
        <f t="shared" si="143"/>
        <v>92.229710240963868</v>
      </c>
      <c r="BD408">
        <f t="shared" si="148"/>
        <v>0.43918909638554221</v>
      </c>
      <c r="BE408">
        <f t="shared" si="144"/>
        <v>0.43918909638554221</v>
      </c>
      <c r="BF408">
        <f t="shared" si="145"/>
        <v>92.229710240963868</v>
      </c>
      <c r="BG408">
        <f t="shared" si="146"/>
        <v>0</v>
      </c>
    </row>
    <row r="409" spans="1:59" hidden="1" x14ac:dyDescent="0.2">
      <c r="A409" s="2" t="s">
        <v>474</v>
      </c>
      <c r="B409" s="2" t="str">
        <f>VLOOKUP($A409,'[1]daily coal, energy reqd'!$C$2:$T$599,17,FALSE)</f>
        <v>Madhya Pradesh</v>
      </c>
      <c r="C409" s="2" t="str">
        <f>VLOOKUP(B409,'Target PLF'!$I$2:$J$19,2,FALSE)</f>
        <v>WR</v>
      </c>
      <c r="D409" s="2" t="s">
        <v>570</v>
      </c>
      <c r="E409" s="2" t="s">
        <v>549</v>
      </c>
      <c r="F409" s="12">
        <v>36.254620123203203</v>
      </c>
      <c r="G409" s="2">
        <v>210</v>
      </c>
      <c r="H409">
        <f>VLOOKUP(A409,'Coal savings'!$A$3:$AB$543,26,FALSE)</f>
        <v>0</v>
      </c>
      <c r="O409" s="2" t="s">
        <v>474</v>
      </c>
      <c r="P409">
        <v>2019</v>
      </c>
      <c r="Q409">
        <v>82.717228915662659</v>
      </c>
      <c r="R409" t="s">
        <v>609</v>
      </c>
      <c r="S409">
        <v>210</v>
      </c>
      <c r="AH409" s="2">
        <v>2019</v>
      </c>
      <c r="AI409" s="2">
        <f t="shared" si="150"/>
        <v>59.672107245062072</v>
      </c>
      <c r="AJ409" s="2">
        <f t="shared" si="132"/>
        <v>0.28415289164315272</v>
      </c>
      <c r="AK409" s="12">
        <f t="shared" si="133"/>
        <v>32.254620123203203</v>
      </c>
      <c r="AL409" s="2" t="s">
        <v>570</v>
      </c>
      <c r="AM409" s="2" t="str">
        <f>VLOOKUP(A409,'[12]Power plant names'!$C$2:$F$545,4,FALSE)</f>
        <v>Sub critical</v>
      </c>
      <c r="AN409" s="2">
        <v>210</v>
      </c>
      <c r="AO409" s="2">
        <f t="shared" si="134"/>
        <v>0.28415289164315272</v>
      </c>
      <c r="AP409" s="2">
        <v>210</v>
      </c>
      <c r="AQ409" s="2">
        <f t="shared" si="135"/>
        <v>0</v>
      </c>
      <c r="AR409" s="2">
        <f t="shared" si="136"/>
        <v>59.672107245062072</v>
      </c>
      <c r="AS409" s="2">
        <f t="shared" si="137"/>
        <v>0</v>
      </c>
      <c r="AU409" s="2">
        <f t="shared" si="147"/>
        <v>82.717228915662659</v>
      </c>
      <c r="AV409" s="2">
        <f t="shared" si="138"/>
        <v>0.39389156626506028</v>
      </c>
      <c r="AW409" s="12">
        <f t="shared" si="139"/>
        <v>35.254620123203203</v>
      </c>
      <c r="AX409" s="2">
        <v>210</v>
      </c>
      <c r="AY409" s="3">
        <f t="shared" si="140"/>
        <v>0.39389156626506028</v>
      </c>
      <c r="AZ409" s="2">
        <f t="shared" si="141"/>
        <v>82.717228915662659</v>
      </c>
      <c r="BA409" s="2">
        <f t="shared" si="142"/>
        <v>0</v>
      </c>
      <c r="BC409">
        <f t="shared" si="143"/>
        <v>92.229710240963868</v>
      </c>
      <c r="BD409">
        <f t="shared" si="148"/>
        <v>0.43918909638554221</v>
      </c>
      <c r="BE409">
        <f t="shared" si="144"/>
        <v>0.43918909638554221</v>
      </c>
      <c r="BF409">
        <f t="shared" si="145"/>
        <v>92.229710240963868</v>
      </c>
      <c r="BG409">
        <f t="shared" si="146"/>
        <v>0</v>
      </c>
    </row>
    <row r="410" spans="1:59" x14ac:dyDescent="0.2">
      <c r="A410" s="2" t="s">
        <v>72</v>
      </c>
      <c r="B410" s="2" t="str">
        <f>VLOOKUP($A410,'[1]daily coal, energy reqd'!$C$2:$T$599,17,FALSE)</f>
        <v>Madhya Pradesh</v>
      </c>
      <c r="C410" s="2" t="str">
        <f>VLOOKUP(B410,'Target PLF'!$I$2:$J$19,2,FALSE)</f>
        <v>WR</v>
      </c>
      <c r="D410" s="2" t="s">
        <v>572</v>
      </c>
      <c r="E410" s="2" t="s">
        <v>542</v>
      </c>
      <c r="F410" s="12">
        <v>4.1752224503764497</v>
      </c>
      <c r="G410" s="2">
        <v>600</v>
      </c>
      <c r="H410">
        <f>VLOOKUP(A410,'Coal savings'!$A$3:$AB$543,26,FALSE)</f>
        <v>2993135.0046919421</v>
      </c>
      <c r="I410" t="s">
        <v>694</v>
      </c>
      <c r="J410">
        <v>1204.74</v>
      </c>
      <c r="O410" s="2" t="s">
        <v>72</v>
      </c>
      <c r="P410">
        <v>2019</v>
      </c>
      <c r="Q410">
        <v>177.7</v>
      </c>
      <c r="R410" t="s">
        <v>609</v>
      </c>
      <c r="S410">
        <v>210</v>
      </c>
      <c r="AH410" s="2" t="str">
        <f>RIGHT(I410,4)</f>
        <v>2019</v>
      </c>
      <c r="AI410" s="2">
        <f>(J410)/(1+0.115)^(AH410-2016)</f>
        <v>869.0979548615378</v>
      </c>
      <c r="AJ410" s="2">
        <f t="shared" si="132"/>
        <v>1.4484965914358963</v>
      </c>
      <c r="AK410" s="12">
        <f t="shared" si="133"/>
        <v>0.17522245037644968</v>
      </c>
      <c r="AL410" s="2" t="s">
        <v>572</v>
      </c>
      <c r="AM410" s="2" t="str">
        <f>VLOOKUP(A410,'[12]Power plant names'!$C$2:$F$545,4,FALSE)</f>
        <v>Sub critical</v>
      </c>
      <c r="AN410" s="2">
        <v>600</v>
      </c>
      <c r="AO410" s="2">
        <f t="shared" si="134"/>
        <v>1.4484965914358963</v>
      </c>
      <c r="AP410" s="2">
        <v>600</v>
      </c>
      <c r="AQ410" s="2">
        <f t="shared" si="135"/>
        <v>0</v>
      </c>
      <c r="AR410" s="2">
        <f t="shared" si="136"/>
        <v>869.0979548615378</v>
      </c>
      <c r="AS410" s="2">
        <f t="shared" si="137"/>
        <v>0</v>
      </c>
      <c r="AU410" s="2">
        <f t="shared" si="147"/>
        <v>1204.74</v>
      </c>
      <c r="AV410" s="2">
        <f t="shared" si="138"/>
        <v>2.0078999999999998</v>
      </c>
      <c r="AW410" s="12">
        <f t="shared" si="139"/>
        <v>3.1752224503764497</v>
      </c>
      <c r="AX410" s="2">
        <v>600</v>
      </c>
      <c r="AY410" s="3">
        <f t="shared" si="140"/>
        <v>2.0078999999999998</v>
      </c>
      <c r="AZ410" s="2">
        <f t="shared" si="141"/>
        <v>1204.7399999999998</v>
      </c>
      <c r="BA410" s="2">
        <f t="shared" si="142"/>
        <v>0</v>
      </c>
      <c r="BC410">
        <f t="shared" si="143"/>
        <v>1343.2851000000001</v>
      </c>
      <c r="BD410">
        <f t="shared" si="148"/>
        <v>2.2388085000000002</v>
      </c>
      <c r="BE410">
        <f t="shared" si="144"/>
        <v>2.2388085000000002</v>
      </c>
      <c r="BF410">
        <f t="shared" si="145"/>
        <v>1343.2851000000001</v>
      </c>
      <c r="BG410">
        <f t="shared" si="146"/>
        <v>0</v>
      </c>
    </row>
    <row r="411" spans="1:59" ht="14.5" customHeight="1" x14ac:dyDescent="0.2">
      <c r="A411" s="2" t="s">
        <v>36</v>
      </c>
      <c r="B411" s="2" t="str">
        <f>VLOOKUP($A411,'[1]daily coal, energy reqd'!$C$2:$T$599,17,FALSE)</f>
        <v>Andhra Pradesh</v>
      </c>
      <c r="C411" s="2" t="str">
        <f>VLOOKUP(B411,'Target PLF'!$I$2:$J$19,2,FALSE)</f>
        <v>SR</v>
      </c>
      <c r="D411" s="2" t="s">
        <v>572</v>
      </c>
      <c r="E411" s="2" t="s">
        <v>542</v>
      </c>
      <c r="F411" s="12">
        <v>3.5044490075290802</v>
      </c>
      <c r="G411" s="2">
        <v>660</v>
      </c>
      <c r="H411">
        <f>VLOOKUP(A411,'Coal savings'!$A$3:$AB$543,26,FALSE)</f>
        <v>3185353.8089302788</v>
      </c>
      <c r="O411" s="2" t="s">
        <v>36</v>
      </c>
      <c r="P411">
        <v>2019</v>
      </c>
      <c r="Q411" s="96">
        <v>197.2</v>
      </c>
      <c r="R411" s="96" t="s">
        <v>614</v>
      </c>
      <c r="S411" s="96">
        <v>230.55</v>
      </c>
      <c r="AH411" s="2" t="str">
        <f>RIGHT(I411,4)</f>
        <v/>
      </c>
      <c r="AI411" s="2"/>
      <c r="AJ411" s="2" t="str">
        <f t="shared" si="132"/>
        <v/>
      </c>
      <c r="AK411" s="12">
        <f t="shared" si="133"/>
        <v>1</v>
      </c>
      <c r="AL411" s="2" t="s">
        <v>572</v>
      </c>
      <c r="AM411" s="2" t="str">
        <f>VLOOKUP(A411,'[12]Power plant names'!$C$2:$F$545,4,FALSE)</f>
        <v>Super critical</v>
      </c>
      <c r="AN411" s="2">
        <v>660</v>
      </c>
      <c r="AO411" s="2">
        <f t="shared" si="134"/>
        <v>0.76939640000000009</v>
      </c>
      <c r="AP411" s="2"/>
      <c r="AQ411" s="2">
        <f t="shared" si="135"/>
        <v>660</v>
      </c>
      <c r="AR411" s="2">
        <f t="shared" si="136"/>
        <v>0</v>
      </c>
      <c r="AS411" s="2">
        <f t="shared" si="137"/>
        <v>507.80162400000006</v>
      </c>
      <c r="AU411" s="2"/>
      <c r="AV411" s="2" t="str">
        <f t="shared" si="138"/>
        <v/>
      </c>
      <c r="AW411" s="12">
        <f t="shared" si="139"/>
        <v>3.5044490075290802</v>
      </c>
      <c r="AX411" s="2">
        <v>660</v>
      </c>
      <c r="AY411" s="3">
        <f t="shared" si="140"/>
        <v>0.98621527926078056</v>
      </c>
      <c r="AZ411" s="2">
        <f t="shared" si="141"/>
        <v>0</v>
      </c>
      <c r="BA411" s="2">
        <f t="shared" si="142"/>
        <v>650.90208431211522</v>
      </c>
      <c r="BC411" t="str">
        <f t="shared" si="143"/>
        <v/>
      </c>
      <c r="BE411">
        <f t="shared" si="144"/>
        <v>1.0959929917864479</v>
      </c>
      <c r="BF411">
        <f t="shared" si="145"/>
        <v>0</v>
      </c>
      <c r="BG411">
        <f t="shared" si="146"/>
        <v>723.35537457905559</v>
      </c>
    </row>
    <row r="412" spans="1:59" ht="14.5" customHeight="1" x14ac:dyDescent="0.2">
      <c r="A412" s="2" t="s">
        <v>32</v>
      </c>
      <c r="B412" s="2" t="str">
        <f>VLOOKUP($A412,'[1]daily coal, energy reqd'!$C$2:$T$599,17,FALSE)</f>
        <v>Andhra Pradesh</v>
      </c>
      <c r="C412" s="2" t="str">
        <f>VLOOKUP(B412,'Target PLF'!$I$2:$J$19,2,FALSE)</f>
        <v>SR</v>
      </c>
      <c r="D412" s="2" t="s">
        <v>572</v>
      </c>
      <c r="E412" s="2" t="s">
        <v>542</v>
      </c>
      <c r="F412" s="12">
        <v>3.1649555099247002</v>
      </c>
      <c r="G412" s="2">
        <v>660</v>
      </c>
      <c r="H412">
        <f>VLOOKUP(A412,'Coal savings'!$A$3:$AB$543,26,FALSE)</f>
        <v>3182379.6091003865</v>
      </c>
      <c r="O412" s="2" t="s">
        <v>32</v>
      </c>
      <c r="Q412" s="96"/>
      <c r="R412" s="96"/>
      <c r="S412" s="96"/>
      <c r="AH412" s="2" t="str">
        <f>RIGHT(I412,4)</f>
        <v/>
      </c>
      <c r="AI412" s="2"/>
      <c r="AJ412" s="2" t="str">
        <f t="shared" si="132"/>
        <v/>
      </c>
      <c r="AK412" s="12">
        <f t="shared" si="133"/>
        <v>1</v>
      </c>
      <c r="AL412" s="2" t="s">
        <v>572</v>
      </c>
      <c r="AM412" s="2" t="str">
        <f>VLOOKUP(A412,'[12]Power plant names'!$C$2:$F$545,4,FALSE)</f>
        <v>Super critical</v>
      </c>
      <c r="AN412" s="2">
        <v>660</v>
      </c>
      <c r="AO412" s="2">
        <f t="shared" si="134"/>
        <v>0.76939640000000009</v>
      </c>
      <c r="AP412" s="2"/>
      <c r="AQ412" s="2">
        <f t="shared" si="135"/>
        <v>660</v>
      </c>
      <c r="AR412" s="2">
        <f t="shared" si="136"/>
        <v>0</v>
      </c>
      <c r="AS412" s="2">
        <f t="shared" si="137"/>
        <v>507.80162400000006</v>
      </c>
      <c r="AU412" s="2"/>
      <c r="AV412" s="2" t="str">
        <f t="shared" si="138"/>
        <v/>
      </c>
      <c r="AW412" s="12">
        <f t="shared" si="139"/>
        <v>3.1649555099247002</v>
      </c>
      <c r="AX412" s="2">
        <v>660</v>
      </c>
      <c r="AY412" s="3">
        <f t="shared" si="140"/>
        <v>0.99237107720739237</v>
      </c>
      <c r="AZ412" s="2">
        <f t="shared" si="141"/>
        <v>0</v>
      </c>
      <c r="BA412" s="2">
        <f t="shared" si="142"/>
        <v>654.96491095687895</v>
      </c>
      <c r="BC412" t="str">
        <f t="shared" si="143"/>
        <v/>
      </c>
      <c r="BE412">
        <f t="shared" si="144"/>
        <v>1.1033000800821358</v>
      </c>
      <c r="BF412">
        <f t="shared" si="145"/>
        <v>0</v>
      </c>
      <c r="BG412">
        <f t="shared" si="146"/>
        <v>728.17805285420957</v>
      </c>
    </row>
    <row r="413" spans="1:59" hidden="1" x14ac:dyDescent="0.2">
      <c r="A413" s="2" t="s">
        <v>243</v>
      </c>
      <c r="B413" s="2" t="str">
        <f>VLOOKUP($A413,'[1]daily coal, energy reqd'!$C$2:$T$599,17,FALSE)</f>
        <v>Maharashtra</v>
      </c>
      <c r="C413" s="2" t="str">
        <f>VLOOKUP(B413,'Target PLF'!$I$2:$J$19,2,FALSE)</f>
        <v>WR</v>
      </c>
      <c r="D413" s="2" t="s">
        <v>572</v>
      </c>
      <c r="E413" s="2" t="s">
        <v>542</v>
      </c>
      <c r="F413" s="12">
        <v>2.6036960985626201</v>
      </c>
      <c r="G413" s="2">
        <v>150</v>
      </c>
      <c r="H413">
        <f>VLOOKUP(A413,'Coal savings'!$A$3:$AB$543,26,FALSE)</f>
        <v>0</v>
      </c>
      <c r="O413" s="2" t="s">
        <v>243</v>
      </c>
      <c r="AH413" s="2" t="str">
        <f>RIGHT(I413,4)</f>
        <v/>
      </c>
      <c r="AI413" s="2"/>
      <c r="AJ413" s="2" t="str">
        <f t="shared" si="132"/>
        <v/>
      </c>
      <c r="AK413" s="12">
        <f t="shared" si="133"/>
        <v>1</v>
      </c>
      <c r="AL413" s="2" t="s">
        <v>572</v>
      </c>
      <c r="AM413" s="2" t="str">
        <f>VLOOKUP(A413,'[12]Power plant names'!$C$2:$F$545,4,FALSE)</f>
        <v>Sub critical</v>
      </c>
      <c r="AN413" s="2">
        <v>150</v>
      </c>
      <c r="AO413" s="2">
        <f t="shared" si="134"/>
        <v>0.99986540000000013</v>
      </c>
      <c r="AP413" s="2"/>
      <c r="AQ413" s="2">
        <f t="shared" si="135"/>
        <v>150</v>
      </c>
      <c r="AR413" s="2">
        <f t="shared" si="136"/>
        <v>0</v>
      </c>
      <c r="AS413" s="2">
        <f t="shared" si="137"/>
        <v>149.97981000000001</v>
      </c>
      <c r="AU413" s="2"/>
      <c r="AV413" s="2" t="str">
        <f t="shared" si="138"/>
        <v/>
      </c>
      <c r="AW413" s="12">
        <f t="shared" si="139"/>
        <v>2.6036960985626201</v>
      </c>
      <c r="AX413" s="2">
        <v>150</v>
      </c>
      <c r="AY413" s="3">
        <f t="shared" si="140"/>
        <v>1.2873320012320331</v>
      </c>
      <c r="AZ413" s="2">
        <f t="shared" si="141"/>
        <v>0</v>
      </c>
      <c r="BA413" s="2">
        <f t="shared" si="142"/>
        <v>193.09980018480496</v>
      </c>
      <c r="BC413" t="str">
        <f t="shared" si="143"/>
        <v/>
      </c>
      <c r="BE413">
        <f t="shared" si="144"/>
        <v>1.4735023470225874</v>
      </c>
      <c r="BF413">
        <f t="shared" si="145"/>
        <v>0</v>
      </c>
      <c r="BG413">
        <f t="shared" si="146"/>
        <v>221.0253520533881</v>
      </c>
    </row>
    <row r="414" spans="1:59" x14ac:dyDescent="0.2">
      <c r="A414" s="2" t="s">
        <v>108</v>
      </c>
      <c r="B414" s="2" t="str">
        <f>VLOOKUP($A414,'[1]daily coal, energy reqd'!$C$2:$T$599,17,FALSE)</f>
        <v>Madhya Pradesh</v>
      </c>
      <c r="C414" s="2" t="str">
        <f>VLOOKUP(B414,'Target PLF'!$I$2:$J$19,2,FALSE)</f>
        <v>WR</v>
      </c>
      <c r="D414" s="2" t="s">
        <v>570</v>
      </c>
      <c r="E414" s="2" t="s">
        <v>543</v>
      </c>
      <c r="F414" s="12">
        <v>6.5051334702258696</v>
      </c>
      <c r="G414" s="2">
        <v>600</v>
      </c>
      <c r="H414">
        <f>VLOOKUP(A414,'Coal savings'!$A$3:$AB$543,26,FALSE)</f>
        <v>2733627.4440309554</v>
      </c>
      <c r="O414" s="2" t="s">
        <v>108</v>
      </c>
      <c r="P414">
        <v>2019</v>
      </c>
      <c r="Q414">
        <v>522.08000000000004</v>
      </c>
      <c r="R414" t="s">
        <v>609</v>
      </c>
      <c r="S414">
        <v>600</v>
      </c>
      <c r="AH414" s="2">
        <v>2019</v>
      </c>
      <c r="AI414" s="2">
        <f>(Q414)/(1+0.115)^(AH414-2016)</f>
        <v>376.62787014136802</v>
      </c>
      <c r="AJ414" s="2">
        <f t="shared" si="132"/>
        <v>0.62771311690228004</v>
      </c>
      <c r="AK414" s="12">
        <f t="shared" si="133"/>
        <v>2.5051334702258696</v>
      </c>
      <c r="AL414" s="2" t="s">
        <v>570</v>
      </c>
      <c r="AM414" s="2" t="str">
        <f>VLOOKUP(A414,'[12]Power plant names'!$C$2:$F$545,4,FALSE)</f>
        <v>Sub critical</v>
      </c>
      <c r="AN414" s="2">
        <v>600</v>
      </c>
      <c r="AO414" s="2">
        <f t="shared" si="134"/>
        <v>0.62771311690228004</v>
      </c>
      <c r="AP414" s="2">
        <v>600</v>
      </c>
      <c r="AQ414" s="2">
        <f t="shared" si="135"/>
        <v>0</v>
      </c>
      <c r="AR414" s="2">
        <f t="shared" si="136"/>
        <v>376.62787014136802</v>
      </c>
      <c r="AS414" s="2">
        <f t="shared" si="137"/>
        <v>0</v>
      </c>
      <c r="AU414" s="2">
        <f t="shared" si="147"/>
        <v>522.08000000000004</v>
      </c>
      <c r="AV414" s="2">
        <f t="shared" si="138"/>
        <v>0.87013333333333343</v>
      </c>
      <c r="AW414" s="12">
        <f t="shared" si="139"/>
        <v>5.5051334702258696</v>
      </c>
      <c r="AX414" s="2">
        <v>600</v>
      </c>
      <c r="AY414" s="3">
        <f t="shared" si="140"/>
        <v>0.87013333333333343</v>
      </c>
      <c r="AZ414" s="2">
        <f t="shared" si="141"/>
        <v>522.08000000000004</v>
      </c>
      <c r="BA414" s="2">
        <f t="shared" si="142"/>
        <v>0</v>
      </c>
      <c r="BC414">
        <f t="shared" si="143"/>
        <v>582.11920000000009</v>
      </c>
      <c r="BD414">
        <f t="shared" si="148"/>
        <v>0.97019866666666676</v>
      </c>
      <c r="BE414">
        <f t="shared" si="144"/>
        <v>0.97019866666666676</v>
      </c>
      <c r="BF414">
        <f t="shared" si="145"/>
        <v>582.11920000000009</v>
      </c>
      <c r="BG414">
        <f t="shared" si="146"/>
        <v>0</v>
      </c>
    </row>
    <row r="415" spans="1:59" x14ac:dyDescent="0.2">
      <c r="A415" s="2" t="s">
        <v>95</v>
      </c>
      <c r="B415" s="2" t="str">
        <f>VLOOKUP($A415,'[1]daily coal, energy reqd'!$C$2:$T$599,17,FALSE)</f>
        <v>Madhya Pradesh</v>
      </c>
      <c r="C415" s="2" t="str">
        <f>VLOOKUP(B415,'Target PLF'!$I$2:$J$19,2,FALSE)</f>
        <v>WR</v>
      </c>
      <c r="D415" s="2" t="s">
        <v>570</v>
      </c>
      <c r="E415" s="2" t="s">
        <v>543</v>
      </c>
      <c r="F415" s="12">
        <v>5.5906913073237501</v>
      </c>
      <c r="G415" s="2">
        <v>600</v>
      </c>
      <c r="H415">
        <f>VLOOKUP(A415,'Coal savings'!$A$3:$AB$543,26,FALSE)</f>
        <v>2726369.8137431587</v>
      </c>
      <c r="O415" s="2" t="s">
        <v>95</v>
      </c>
      <c r="P415">
        <v>2019</v>
      </c>
      <c r="Q415">
        <v>522.08000000000004</v>
      </c>
      <c r="R415" t="s">
        <v>609</v>
      </c>
      <c r="S415">
        <v>600</v>
      </c>
      <c r="AH415" s="2">
        <v>2019</v>
      </c>
      <c r="AI415" s="2">
        <f>(Q415)/(1+0.115)^(AH415-2016)</f>
        <v>376.62787014136802</v>
      </c>
      <c r="AJ415" s="2">
        <f t="shared" si="132"/>
        <v>0.62771311690228004</v>
      </c>
      <c r="AK415" s="12">
        <f t="shared" si="133"/>
        <v>1.5906913073237501</v>
      </c>
      <c r="AL415" s="2" t="s">
        <v>570</v>
      </c>
      <c r="AM415" s="2" t="str">
        <f>VLOOKUP(A415,'[12]Power plant names'!$C$2:$F$545,4,FALSE)</f>
        <v>Sub critical</v>
      </c>
      <c r="AN415" s="2">
        <v>600</v>
      </c>
      <c r="AO415" s="2">
        <f t="shared" si="134"/>
        <v>0.62771311690228004</v>
      </c>
      <c r="AP415" s="2">
        <v>600</v>
      </c>
      <c r="AQ415" s="2">
        <f t="shared" si="135"/>
        <v>0</v>
      </c>
      <c r="AR415" s="2">
        <f t="shared" si="136"/>
        <v>376.62787014136802</v>
      </c>
      <c r="AS415" s="2">
        <f t="shared" si="137"/>
        <v>0</v>
      </c>
      <c r="AU415" s="2">
        <f t="shared" si="147"/>
        <v>522.08000000000004</v>
      </c>
      <c r="AV415" s="2">
        <f t="shared" si="138"/>
        <v>0.87013333333333343</v>
      </c>
      <c r="AW415" s="12">
        <f t="shared" si="139"/>
        <v>4.5906913073237501</v>
      </c>
      <c r="AX415" s="2">
        <v>600</v>
      </c>
      <c r="AY415" s="3">
        <f t="shared" si="140"/>
        <v>0.87013333333333343</v>
      </c>
      <c r="AZ415" s="2">
        <f t="shared" si="141"/>
        <v>522.08000000000004</v>
      </c>
      <c r="BA415" s="2">
        <f t="shared" si="142"/>
        <v>0</v>
      </c>
      <c r="BC415">
        <f t="shared" si="143"/>
        <v>582.11920000000009</v>
      </c>
      <c r="BD415">
        <f t="shared" si="148"/>
        <v>0.97019866666666676</v>
      </c>
      <c r="BE415">
        <f t="shared" si="144"/>
        <v>0.97019866666666676</v>
      </c>
      <c r="BF415">
        <f t="shared" si="145"/>
        <v>582.11920000000009</v>
      </c>
      <c r="BG415">
        <f t="shared" si="146"/>
        <v>0</v>
      </c>
    </row>
    <row r="416" spans="1:59" x14ac:dyDescent="0.2">
      <c r="A416" s="2" t="s">
        <v>23</v>
      </c>
      <c r="B416" s="2" t="str">
        <f>VLOOKUP($A416,'[1]daily coal, energy reqd'!$C$2:$T$599,17,FALSE)</f>
        <v>Madhya Pradesh</v>
      </c>
      <c r="C416" s="2" t="str">
        <f>VLOOKUP(B416,'Target PLF'!$I$2:$J$19,2,FALSE)</f>
        <v>WR</v>
      </c>
      <c r="D416" s="2" t="s">
        <v>570</v>
      </c>
      <c r="E416" s="2" t="s">
        <v>542</v>
      </c>
      <c r="F416" s="13">
        <v>1.45379876796714</v>
      </c>
      <c r="G416" s="2">
        <v>660</v>
      </c>
      <c r="H416">
        <f>VLOOKUP(A416,'Coal savings'!$A$3:$AB$543,26,FALSE)</f>
        <v>2899423.1908494746</v>
      </c>
      <c r="O416" s="2" t="s">
        <v>23</v>
      </c>
      <c r="P416">
        <v>2019</v>
      </c>
      <c r="Q416">
        <v>238.99</v>
      </c>
      <c r="R416" t="s">
        <v>609</v>
      </c>
      <c r="S416">
        <v>594</v>
      </c>
      <c r="AH416" s="2">
        <v>2019</v>
      </c>
      <c r="AI416" s="2">
        <f>(Q416)/(1+0.115)^(AH416-2016)</f>
        <v>172.40709217952332</v>
      </c>
      <c r="AJ416" s="2">
        <f t="shared" si="132"/>
        <v>0.26122286693867169</v>
      </c>
      <c r="AK416" s="12">
        <f t="shared" si="133"/>
        <v>1</v>
      </c>
      <c r="AL416" s="2" t="s">
        <v>570</v>
      </c>
      <c r="AM416" s="2" t="str">
        <f>VLOOKUP(A416,'[12]Power plant names'!$C$2:$F$545,4,FALSE)</f>
        <v>Super critical</v>
      </c>
      <c r="AN416" s="2">
        <v>660</v>
      </c>
      <c r="AO416" s="2">
        <f t="shared" si="134"/>
        <v>0.26122286693867169</v>
      </c>
      <c r="AP416" s="2">
        <v>660</v>
      </c>
      <c r="AQ416" s="2">
        <f t="shared" si="135"/>
        <v>0</v>
      </c>
      <c r="AR416" s="2">
        <f t="shared" si="136"/>
        <v>172.40709217952332</v>
      </c>
      <c r="AS416" s="2">
        <f t="shared" si="137"/>
        <v>0</v>
      </c>
      <c r="AU416" s="2">
        <f t="shared" si="147"/>
        <v>238.99</v>
      </c>
      <c r="AV416" s="2">
        <f t="shared" si="138"/>
        <v>0.3621060606060606</v>
      </c>
      <c r="AW416" s="12">
        <f t="shared" si="139"/>
        <v>0.45379876796714003</v>
      </c>
      <c r="AX416" s="2">
        <v>660</v>
      </c>
      <c r="AY416" s="3">
        <f t="shared" si="140"/>
        <v>0.3621060606060606</v>
      </c>
      <c r="AZ416" s="2">
        <f t="shared" si="141"/>
        <v>238.98999999999998</v>
      </c>
      <c r="BA416" s="2">
        <f t="shared" si="142"/>
        <v>0</v>
      </c>
      <c r="BC416">
        <f t="shared" si="143"/>
        <v>266.47385000000003</v>
      </c>
      <c r="BD416">
        <f t="shared" si="148"/>
        <v>0.40374825757575761</v>
      </c>
      <c r="BE416">
        <f t="shared" si="144"/>
        <v>0.40374825757575761</v>
      </c>
      <c r="BF416">
        <f t="shared" si="145"/>
        <v>266.47385000000003</v>
      </c>
      <c r="BG416">
        <f t="shared" si="146"/>
        <v>0</v>
      </c>
    </row>
    <row r="417" spans="1:59" x14ac:dyDescent="0.2">
      <c r="A417" s="2" t="s">
        <v>19</v>
      </c>
      <c r="B417" s="2" t="str">
        <f>VLOOKUP($A417,'[1]daily coal, energy reqd'!$C$2:$T$599,17,FALSE)</f>
        <v>Madhya Pradesh</v>
      </c>
      <c r="C417" s="2" t="str">
        <f>VLOOKUP(B417,'Target PLF'!$I$2:$J$19,2,FALSE)</f>
        <v>WR</v>
      </c>
      <c r="D417" s="2" t="s">
        <v>570</v>
      </c>
      <c r="E417" s="2" t="s">
        <v>542</v>
      </c>
      <c r="F417" s="13">
        <v>1.06776180698151</v>
      </c>
      <c r="G417" s="2">
        <v>660</v>
      </c>
      <c r="H417">
        <f>VLOOKUP(A417,'Coal savings'!$A$3:$AB$543,26,FALSE)</f>
        <v>2896052.9559463691</v>
      </c>
      <c r="O417" s="2" t="s">
        <v>19</v>
      </c>
      <c r="P417">
        <v>2019</v>
      </c>
      <c r="Q417">
        <v>112.42</v>
      </c>
      <c r="R417" t="s">
        <v>609</v>
      </c>
      <c r="S417">
        <v>594</v>
      </c>
      <c r="AH417" s="2">
        <v>2019</v>
      </c>
      <c r="AI417" s="2">
        <f>(Q417)/(1+0.115)^(AH417-2016)</f>
        <v>81.099649787949332</v>
      </c>
      <c r="AJ417" s="2">
        <f t="shared" si="132"/>
        <v>0.12287825725446869</v>
      </c>
      <c r="AK417" s="12">
        <f t="shared" si="133"/>
        <v>1</v>
      </c>
      <c r="AL417" s="2" t="s">
        <v>570</v>
      </c>
      <c r="AM417" s="2" t="str">
        <f>VLOOKUP(A417,'[12]Power plant names'!$C$2:$F$545,4,FALSE)</f>
        <v>Super critical</v>
      </c>
      <c r="AN417" s="2">
        <v>660</v>
      </c>
      <c r="AO417" s="2">
        <f t="shared" si="134"/>
        <v>0.12287825725446869</v>
      </c>
      <c r="AP417" s="2">
        <v>660</v>
      </c>
      <c r="AQ417" s="2">
        <f t="shared" si="135"/>
        <v>0</v>
      </c>
      <c r="AR417" s="2">
        <f t="shared" si="136"/>
        <v>81.099649787949332</v>
      </c>
      <c r="AS417" s="2">
        <f t="shared" si="137"/>
        <v>0</v>
      </c>
      <c r="AU417" s="2">
        <f t="shared" si="147"/>
        <v>112.42</v>
      </c>
      <c r="AV417" s="2">
        <f t="shared" si="138"/>
        <v>0.17033333333333334</v>
      </c>
      <c r="AW417" s="12">
        <f t="shared" si="139"/>
        <v>6.776180698151002E-2</v>
      </c>
      <c r="AX417" s="2">
        <v>660</v>
      </c>
      <c r="AY417" s="3">
        <f t="shared" si="140"/>
        <v>0.17033333333333334</v>
      </c>
      <c r="AZ417" s="2">
        <f t="shared" si="141"/>
        <v>112.42</v>
      </c>
      <c r="BA417" s="2">
        <f t="shared" si="142"/>
        <v>0</v>
      </c>
      <c r="BC417">
        <f t="shared" si="143"/>
        <v>125.34829999999999</v>
      </c>
      <c r="BD417">
        <f t="shared" si="148"/>
        <v>0.18992166666666666</v>
      </c>
      <c r="BE417">
        <f t="shared" si="144"/>
        <v>0.18992166666666666</v>
      </c>
      <c r="BF417">
        <f t="shared" si="145"/>
        <v>125.34829999999999</v>
      </c>
      <c r="BG417">
        <f t="shared" si="146"/>
        <v>0</v>
      </c>
    </row>
    <row r="418" spans="1:59" ht="14.5" hidden="1" customHeight="1" x14ac:dyDescent="0.2">
      <c r="A418" s="2" t="s">
        <v>221</v>
      </c>
      <c r="B418" s="2" t="str">
        <f>VLOOKUP($A418,'[1]daily coal, energy reqd'!$C$2:$T$599,17,FALSE)</f>
        <v>Gujarat</v>
      </c>
      <c r="C418" s="2" t="str">
        <f>VLOOKUP(B418,'Target PLF'!$I$2:$J$19,2,FALSE)</f>
        <v>WR</v>
      </c>
      <c r="D418" s="2" t="s">
        <v>570</v>
      </c>
      <c r="E418" s="2" t="s">
        <v>543</v>
      </c>
      <c r="F418" s="12">
        <v>5.1772758384667998</v>
      </c>
      <c r="G418" s="2">
        <v>250</v>
      </c>
      <c r="H418">
        <f>VLOOKUP(A418,'Coal savings'!$A$3:$AB$543,26,FALSE)</f>
        <v>0</v>
      </c>
      <c r="I418" t="s">
        <v>695</v>
      </c>
      <c r="J418">
        <v>318.06</v>
      </c>
      <c r="O418" s="2" t="s">
        <v>221</v>
      </c>
      <c r="AH418" s="2" t="str">
        <f t="shared" ref="AH418:AH445" si="151">RIGHT(I418,4)</f>
        <v>2018</v>
      </c>
      <c r="AI418" s="2">
        <f t="shared" ref="AI418:AI423" si="152">(J418)/(1+0.115)^(AH418-2016)</f>
        <v>255.83462366023849</v>
      </c>
      <c r="AJ418" s="2">
        <f t="shared" si="132"/>
        <v>1.0233384946409541</v>
      </c>
      <c r="AK418" s="12">
        <f t="shared" si="133"/>
        <v>1.1772758384667998</v>
      </c>
      <c r="AL418" s="2" t="s">
        <v>570</v>
      </c>
      <c r="AM418" s="2" t="str">
        <f>VLOOKUP(A418,'[12]Power plant names'!$C$2:$F$545,4,FALSE)</f>
        <v>Sub critical</v>
      </c>
      <c r="AN418" s="2">
        <v>250</v>
      </c>
      <c r="AO418" s="2">
        <f t="shared" si="134"/>
        <v>1.0233384946409541</v>
      </c>
      <c r="AP418" s="2">
        <v>250</v>
      </c>
      <c r="AQ418" s="2">
        <f t="shared" si="135"/>
        <v>0</v>
      </c>
      <c r="AR418" s="2">
        <f t="shared" si="136"/>
        <v>255.83462366023852</v>
      </c>
      <c r="AS418" s="2">
        <f t="shared" si="137"/>
        <v>0</v>
      </c>
      <c r="AU418" s="2">
        <f t="shared" si="147"/>
        <v>318.06</v>
      </c>
      <c r="AV418" s="2">
        <f t="shared" si="138"/>
        <v>1.27224</v>
      </c>
      <c r="AW418" s="12">
        <f t="shared" si="139"/>
        <v>3.1772758384667998</v>
      </c>
      <c r="AX418" s="2">
        <v>250</v>
      </c>
      <c r="AY418" s="3">
        <f t="shared" si="140"/>
        <v>1.27224</v>
      </c>
      <c r="AZ418" s="2">
        <f t="shared" si="141"/>
        <v>318.06</v>
      </c>
      <c r="BA418" s="2">
        <f t="shared" si="142"/>
        <v>0</v>
      </c>
      <c r="BC418">
        <f t="shared" si="143"/>
        <v>395.42014349999999</v>
      </c>
      <c r="BD418">
        <f t="shared" si="148"/>
        <v>1.581680574</v>
      </c>
      <c r="BE418">
        <f t="shared" si="144"/>
        <v>1.581680574</v>
      </c>
      <c r="BF418">
        <f t="shared" si="145"/>
        <v>395.42014349999999</v>
      </c>
      <c r="BG418">
        <f t="shared" si="146"/>
        <v>0</v>
      </c>
    </row>
    <row r="419" spans="1:59" ht="14.5" hidden="1" customHeight="1" x14ac:dyDescent="0.2">
      <c r="A419" s="2" t="s">
        <v>215</v>
      </c>
      <c r="B419" s="2" t="str">
        <f>VLOOKUP($A419,'[1]daily coal, energy reqd'!$C$2:$T$599,17,FALSE)</f>
        <v>Gujarat</v>
      </c>
      <c r="C419" s="2" t="str">
        <f>VLOOKUP(B419,'Target PLF'!$I$2:$J$19,2,FALSE)</f>
        <v>WR</v>
      </c>
      <c r="D419" s="2" t="s">
        <v>570</v>
      </c>
      <c r="E419" s="2" t="s">
        <v>542</v>
      </c>
      <c r="F419" s="12">
        <v>4.6735112936344896</v>
      </c>
      <c r="G419" s="2">
        <v>250</v>
      </c>
      <c r="H419">
        <f>VLOOKUP(A419,'Coal savings'!$A$3:$AB$543,26,FALSE)</f>
        <v>0</v>
      </c>
      <c r="I419" t="s">
        <v>695</v>
      </c>
      <c r="J419">
        <v>318.06</v>
      </c>
      <c r="O419" s="2" t="s">
        <v>215</v>
      </c>
      <c r="AH419" s="2" t="str">
        <f t="shared" si="151"/>
        <v>2018</v>
      </c>
      <c r="AI419" s="2">
        <f t="shared" si="152"/>
        <v>255.83462366023849</v>
      </c>
      <c r="AJ419" s="2">
        <f t="shared" si="132"/>
        <v>1.0233384946409541</v>
      </c>
      <c r="AK419" s="12">
        <f t="shared" si="133"/>
        <v>0.67351129363448958</v>
      </c>
      <c r="AL419" s="2" t="s">
        <v>570</v>
      </c>
      <c r="AM419" s="2" t="str">
        <f>VLOOKUP(A419,'[12]Power plant names'!$C$2:$F$545,4,FALSE)</f>
        <v>Sub critical</v>
      </c>
      <c r="AN419" s="2">
        <v>250</v>
      </c>
      <c r="AO419" s="2">
        <f t="shared" si="134"/>
        <v>1.0233384946409541</v>
      </c>
      <c r="AP419" s="2">
        <v>250</v>
      </c>
      <c r="AQ419" s="2">
        <f t="shared" si="135"/>
        <v>0</v>
      </c>
      <c r="AR419" s="2">
        <f t="shared" si="136"/>
        <v>255.83462366023852</v>
      </c>
      <c r="AS419" s="2">
        <f t="shared" si="137"/>
        <v>0</v>
      </c>
      <c r="AU419" s="2">
        <f t="shared" si="147"/>
        <v>318.06</v>
      </c>
      <c r="AV419" s="2">
        <f t="shared" si="138"/>
        <v>1.27224</v>
      </c>
      <c r="AW419" s="12">
        <f t="shared" si="139"/>
        <v>2.6735112936344896</v>
      </c>
      <c r="AX419" s="2">
        <v>250</v>
      </c>
      <c r="AY419" s="3">
        <f t="shared" si="140"/>
        <v>1.27224</v>
      </c>
      <c r="AZ419" s="2">
        <f t="shared" si="141"/>
        <v>318.06</v>
      </c>
      <c r="BA419" s="2">
        <f t="shared" si="142"/>
        <v>0</v>
      </c>
      <c r="BC419">
        <f t="shared" si="143"/>
        <v>395.42014349999999</v>
      </c>
      <c r="BD419">
        <f t="shared" si="148"/>
        <v>1.581680574</v>
      </c>
      <c r="BE419">
        <f t="shared" si="144"/>
        <v>1.581680574</v>
      </c>
      <c r="BF419">
        <f t="shared" si="145"/>
        <v>395.42014349999999</v>
      </c>
      <c r="BG419">
        <f t="shared" si="146"/>
        <v>0</v>
      </c>
    </row>
    <row r="420" spans="1:59" ht="14.5" customHeight="1" x14ac:dyDescent="0.2">
      <c r="A420" s="2" t="s">
        <v>249</v>
      </c>
      <c r="B420" s="2" t="str">
        <f>VLOOKUP($A420,'[1]daily coal, energy reqd'!$C$2:$T$599,17,FALSE)</f>
        <v>Andhra Pradesh</v>
      </c>
      <c r="C420" s="2" t="str">
        <f>VLOOKUP(B420,'Target PLF'!$I$2:$J$19,2,FALSE)</f>
        <v>SR</v>
      </c>
      <c r="D420" s="2" t="s">
        <v>571</v>
      </c>
      <c r="E420" s="2" t="s">
        <v>545</v>
      </c>
      <c r="F420" s="12">
        <v>18.2532511978097</v>
      </c>
      <c r="G420" s="2">
        <v>500</v>
      </c>
      <c r="H420">
        <f>VLOOKUP(A420,'Coal savings'!$A$3:$AB$543,26,FALSE)</f>
        <v>2172832.0156035786</v>
      </c>
      <c r="I420" t="s">
        <v>694</v>
      </c>
      <c r="J420">
        <f>688.95/2</f>
        <v>344.47500000000002</v>
      </c>
      <c r="O420" s="2" t="s">
        <v>249</v>
      </c>
      <c r="P420">
        <v>2019</v>
      </c>
      <c r="Q420" s="96">
        <v>203.39</v>
      </c>
      <c r="R420" s="96" t="s">
        <v>614</v>
      </c>
      <c r="S420" s="96">
        <v>461.1</v>
      </c>
      <c r="AH420" s="2" t="str">
        <f t="shared" si="151"/>
        <v>2019</v>
      </c>
      <c r="AI420" s="2">
        <f t="shared" si="152"/>
        <v>248.50384149354073</v>
      </c>
      <c r="AJ420" s="2">
        <f t="shared" si="132"/>
        <v>0.49700768298708148</v>
      </c>
      <c r="AK420" s="12">
        <f t="shared" si="133"/>
        <v>14.2532511978097</v>
      </c>
      <c r="AL420" s="2" t="s">
        <v>571</v>
      </c>
      <c r="AM420" s="2" t="str">
        <f>VLOOKUP(A420,'[12]Power plant names'!$C$2:$F$545,4,FALSE)</f>
        <v>Sub critical</v>
      </c>
      <c r="AN420" s="2">
        <v>500</v>
      </c>
      <c r="AO420" s="2">
        <f t="shared" si="134"/>
        <v>0.49700768298708148</v>
      </c>
      <c r="AP420" s="2">
        <v>500</v>
      </c>
      <c r="AQ420" s="2">
        <f t="shared" si="135"/>
        <v>0</v>
      </c>
      <c r="AR420" s="2">
        <f t="shared" si="136"/>
        <v>248.50384149354073</v>
      </c>
      <c r="AS420" s="2">
        <f t="shared" si="137"/>
        <v>0</v>
      </c>
      <c r="AU420" s="2">
        <f t="shared" si="147"/>
        <v>344.47500000000002</v>
      </c>
      <c r="AV420" s="2">
        <f t="shared" si="138"/>
        <v>0.68895000000000006</v>
      </c>
      <c r="AW420" s="12">
        <f t="shared" si="139"/>
        <v>17.2532511978097</v>
      </c>
      <c r="AX420" s="2">
        <v>500</v>
      </c>
      <c r="AY420" s="3">
        <f t="shared" si="140"/>
        <v>0.68895000000000006</v>
      </c>
      <c r="AZ420" s="2">
        <f t="shared" si="141"/>
        <v>344.47500000000002</v>
      </c>
      <c r="BA420" s="2">
        <f t="shared" si="142"/>
        <v>0</v>
      </c>
      <c r="BC420">
        <f t="shared" si="143"/>
        <v>384.08962500000001</v>
      </c>
      <c r="BD420">
        <f t="shared" si="148"/>
        <v>0.76817924999999998</v>
      </c>
      <c r="BE420">
        <f t="shared" si="144"/>
        <v>0.76817924999999998</v>
      </c>
      <c r="BF420">
        <f t="shared" si="145"/>
        <v>384.08962500000001</v>
      </c>
      <c r="BG420">
        <f t="shared" si="146"/>
        <v>0</v>
      </c>
    </row>
    <row r="421" spans="1:59" ht="14.5" customHeight="1" x14ac:dyDescent="0.2">
      <c r="A421" s="2" t="s">
        <v>241</v>
      </c>
      <c r="B421" s="2" t="str">
        <f>VLOOKUP($A421,'[1]daily coal, energy reqd'!$C$2:$T$599,17,FALSE)</f>
        <v>Andhra Pradesh</v>
      </c>
      <c r="C421" s="2" t="str">
        <f>VLOOKUP(B421,'Target PLF'!$I$2:$J$19,2,FALSE)</f>
        <v>SR</v>
      </c>
      <c r="D421" s="2" t="s">
        <v>571</v>
      </c>
      <c r="E421" s="2" t="s">
        <v>545</v>
      </c>
      <c r="F421" s="12">
        <v>17.7577002053388</v>
      </c>
      <c r="G421" s="2">
        <v>500</v>
      </c>
      <c r="H421">
        <f>VLOOKUP(A421,'Coal savings'!$A$3:$AB$543,26,FALSE)</f>
        <v>2169945.499534247</v>
      </c>
      <c r="I421" t="s">
        <v>694</v>
      </c>
      <c r="J421">
        <f>688.95/2</f>
        <v>344.47500000000002</v>
      </c>
      <c r="O421" s="2" t="s">
        <v>241</v>
      </c>
      <c r="Q421" s="96"/>
      <c r="R421" s="96"/>
      <c r="S421" s="96"/>
      <c r="AH421" s="2" t="str">
        <f t="shared" si="151"/>
        <v>2019</v>
      </c>
      <c r="AI421" s="2">
        <f t="shared" si="152"/>
        <v>248.50384149354073</v>
      </c>
      <c r="AJ421" s="2">
        <f t="shared" si="132"/>
        <v>0.49700768298708148</v>
      </c>
      <c r="AK421" s="12">
        <f t="shared" si="133"/>
        <v>13.7577002053388</v>
      </c>
      <c r="AL421" s="2" t="s">
        <v>571</v>
      </c>
      <c r="AM421" s="2" t="str">
        <f>VLOOKUP(A421,'[12]Power plant names'!$C$2:$F$545,4,FALSE)</f>
        <v>Sub critical</v>
      </c>
      <c r="AN421" s="2">
        <v>500</v>
      </c>
      <c r="AO421" s="2">
        <f t="shared" si="134"/>
        <v>0.49700768298708148</v>
      </c>
      <c r="AP421" s="2">
        <v>500</v>
      </c>
      <c r="AQ421" s="2">
        <f t="shared" si="135"/>
        <v>0</v>
      </c>
      <c r="AR421" s="2">
        <f t="shared" si="136"/>
        <v>248.50384149354073</v>
      </c>
      <c r="AS421" s="2">
        <f t="shared" si="137"/>
        <v>0</v>
      </c>
      <c r="AU421" s="2">
        <f t="shared" si="147"/>
        <v>344.47500000000002</v>
      </c>
      <c r="AV421" s="2">
        <f t="shared" si="138"/>
        <v>0.68895000000000006</v>
      </c>
      <c r="AW421" s="12">
        <f t="shared" si="139"/>
        <v>16.7577002053388</v>
      </c>
      <c r="AX421" s="2">
        <v>500</v>
      </c>
      <c r="AY421" s="3">
        <f t="shared" si="140"/>
        <v>0.68895000000000006</v>
      </c>
      <c r="AZ421" s="2">
        <f t="shared" si="141"/>
        <v>344.47500000000002</v>
      </c>
      <c r="BA421" s="2">
        <f t="shared" si="142"/>
        <v>0</v>
      </c>
      <c r="BC421">
        <f t="shared" si="143"/>
        <v>384.08962500000001</v>
      </c>
      <c r="BD421">
        <f t="shared" si="148"/>
        <v>0.76817924999999998</v>
      </c>
      <c r="BE421">
        <f t="shared" si="144"/>
        <v>0.76817924999999998</v>
      </c>
      <c r="BF421">
        <f t="shared" si="145"/>
        <v>384.08962500000001</v>
      </c>
      <c r="BG421">
        <f t="shared" si="146"/>
        <v>0</v>
      </c>
    </row>
    <row r="422" spans="1:59" ht="14.5" customHeight="1" x14ac:dyDescent="0.2">
      <c r="A422" s="2" t="s">
        <v>163</v>
      </c>
      <c r="B422" s="2" t="str">
        <f>VLOOKUP($A422,'[1]daily coal, energy reqd'!$C$2:$T$599,17,FALSE)</f>
        <v>Andhra Pradesh</v>
      </c>
      <c r="C422" s="2" t="str">
        <f>VLOOKUP(B422,'Target PLF'!$I$2:$J$19,2,FALSE)</f>
        <v>SR</v>
      </c>
      <c r="D422" s="2" t="s">
        <v>571</v>
      </c>
      <c r="E422" s="2" t="s">
        <v>543</v>
      </c>
      <c r="F422" s="12">
        <v>9.1772758384667998</v>
      </c>
      <c r="G422" s="2">
        <v>500</v>
      </c>
      <c r="H422">
        <f>VLOOKUP(A422,'Coal savings'!$A$3:$AB$543,26,FALSE)</f>
        <v>2374066.0837702998</v>
      </c>
      <c r="I422" t="s">
        <v>694</v>
      </c>
      <c r="J422">
        <f>1118.13/2</f>
        <v>559.06500000000005</v>
      </c>
      <c r="O422" s="2" t="s">
        <v>163</v>
      </c>
      <c r="P422">
        <v>2019</v>
      </c>
      <c r="Q422" s="96">
        <v>132.68</v>
      </c>
      <c r="R422" s="96" t="s">
        <v>614</v>
      </c>
      <c r="S422" s="96">
        <v>184.4</v>
      </c>
      <c r="AH422" s="2" t="str">
        <f t="shared" si="151"/>
        <v>2019</v>
      </c>
      <c r="AI422" s="2">
        <f t="shared" si="152"/>
        <v>403.30880367105408</v>
      </c>
      <c r="AJ422" s="2">
        <f t="shared" si="132"/>
        <v>0.80661760734210819</v>
      </c>
      <c r="AK422" s="12">
        <f t="shared" si="133"/>
        <v>5.1772758384667998</v>
      </c>
      <c r="AL422" s="2" t="s">
        <v>571</v>
      </c>
      <c r="AM422" s="2" t="str">
        <f>VLOOKUP(A422,'[12]Power plant names'!$C$2:$F$545,4,FALSE)</f>
        <v>Sub critical</v>
      </c>
      <c r="AN422" s="2">
        <v>500</v>
      </c>
      <c r="AO422" s="2">
        <f t="shared" si="134"/>
        <v>0.80661760734210819</v>
      </c>
      <c r="AP422" s="2">
        <v>500</v>
      </c>
      <c r="AQ422" s="2">
        <f t="shared" si="135"/>
        <v>0</v>
      </c>
      <c r="AR422" s="2">
        <f t="shared" si="136"/>
        <v>403.30880367105408</v>
      </c>
      <c r="AS422" s="2">
        <f t="shared" si="137"/>
        <v>0</v>
      </c>
      <c r="AU422" s="2">
        <f t="shared" si="147"/>
        <v>559.06500000000005</v>
      </c>
      <c r="AV422" s="2">
        <f t="shared" si="138"/>
        <v>1.1181300000000001</v>
      </c>
      <c r="AW422" s="12">
        <f t="shared" si="139"/>
        <v>8.1772758384667998</v>
      </c>
      <c r="AX422" s="2">
        <v>500</v>
      </c>
      <c r="AY422" s="3">
        <f t="shared" si="140"/>
        <v>1.1181300000000001</v>
      </c>
      <c r="AZ422" s="2">
        <f t="shared" si="141"/>
        <v>559.06500000000005</v>
      </c>
      <c r="BA422" s="2">
        <f t="shared" si="142"/>
        <v>0</v>
      </c>
      <c r="BC422">
        <f t="shared" si="143"/>
        <v>623.35747500000002</v>
      </c>
      <c r="BD422">
        <f t="shared" si="148"/>
        <v>1.2467149500000001</v>
      </c>
      <c r="BE422">
        <f t="shared" si="144"/>
        <v>1.2467149500000001</v>
      </c>
      <c r="BF422">
        <f t="shared" si="145"/>
        <v>623.35747500000002</v>
      </c>
      <c r="BG422">
        <f t="shared" si="146"/>
        <v>0</v>
      </c>
    </row>
    <row r="423" spans="1:59" ht="14.5" customHeight="1" x14ac:dyDescent="0.2">
      <c r="A423" s="2" t="s">
        <v>153</v>
      </c>
      <c r="B423" s="2" t="str">
        <f>VLOOKUP($A423,'[1]daily coal, energy reqd'!$C$2:$T$599,17,FALSE)</f>
        <v>Andhra Pradesh</v>
      </c>
      <c r="C423" s="2" t="str">
        <f>VLOOKUP(B423,'Target PLF'!$I$2:$J$19,2,FALSE)</f>
        <v>SR</v>
      </c>
      <c r="D423" s="2" t="s">
        <v>571</v>
      </c>
      <c r="E423" s="2" t="s">
        <v>543</v>
      </c>
      <c r="F423" s="12">
        <v>8.1752224503764506</v>
      </c>
      <c r="G423" s="2">
        <v>500</v>
      </c>
      <c r="H423">
        <f>VLOOKUP(A423,'Coal savings'!$A$3:$AB$543,26,FALSE)</f>
        <v>2367451.018214725</v>
      </c>
      <c r="I423" t="s">
        <v>694</v>
      </c>
      <c r="J423">
        <f>1118.13/2</f>
        <v>559.06500000000005</v>
      </c>
      <c r="O423" s="2" t="s">
        <v>153</v>
      </c>
      <c r="Q423" s="96"/>
      <c r="R423" s="96"/>
      <c r="S423" s="96"/>
      <c r="AH423" s="2" t="str">
        <f t="shared" si="151"/>
        <v>2019</v>
      </c>
      <c r="AI423" s="2">
        <f t="shared" si="152"/>
        <v>403.30880367105408</v>
      </c>
      <c r="AJ423" s="2">
        <f t="shared" si="132"/>
        <v>0.80661760734210819</v>
      </c>
      <c r="AK423" s="12">
        <f t="shared" si="133"/>
        <v>4.1752224503764506</v>
      </c>
      <c r="AL423" s="2" t="s">
        <v>571</v>
      </c>
      <c r="AM423" s="2" t="str">
        <f>VLOOKUP(A423,'[12]Power plant names'!$C$2:$F$545,4,FALSE)</f>
        <v>Sub critical</v>
      </c>
      <c r="AN423" s="2">
        <v>500</v>
      </c>
      <c r="AO423" s="2">
        <f t="shared" si="134"/>
        <v>0.80661760734210819</v>
      </c>
      <c r="AP423" s="2">
        <v>500</v>
      </c>
      <c r="AQ423" s="2">
        <f t="shared" si="135"/>
        <v>0</v>
      </c>
      <c r="AR423" s="2">
        <f t="shared" si="136"/>
        <v>403.30880367105408</v>
      </c>
      <c r="AS423" s="2">
        <f t="shared" si="137"/>
        <v>0</v>
      </c>
      <c r="AU423" s="2">
        <f t="shared" si="147"/>
        <v>559.06500000000005</v>
      </c>
      <c r="AV423" s="2">
        <f t="shared" si="138"/>
        <v>1.1181300000000001</v>
      </c>
      <c r="AW423" s="12">
        <f t="shared" si="139"/>
        <v>7.1752224503764506</v>
      </c>
      <c r="AX423" s="2">
        <v>500</v>
      </c>
      <c r="AY423" s="3">
        <f t="shared" si="140"/>
        <v>1.1181300000000001</v>
      </c>
      <c r="AZ423" s="2">
        <f t="shared" si="141"/>
        <v>559.06500000000005</v>
      </c>
      <c r="BA423" s="2">
        <f t="shared" si="142"/>
        <v>0</v>
      </c>
      <c r="BC423">
        <f t="shared" si="143"/>
        <v>623.35747500000002</v>
      </c>
      <c r="BD423">
        <f t="shared" si="148"/>
        <v>1.2467149500000001</v>
      </c>
      <c r="BE423">
        <f t="shared" si="144"/>
        <v>1.2467149500000001</v>
      </c>
      <c r="BF423">
        <f t="shared" si="145"/>
        <v>623.35747500000002</v>
      </c>
      <c r="BG423">
        <f t="shared" si="146"/>
        <v>0</v>
      </c>
    </row>
    <row r="424" spans="1:59" ht="14.5" hidden="1" customHeight="1" x14ac:dyDescent="0.2">
      <c r="A424" s="2" t="s">
        <v>292</v>
      </c>
      <c r="B424" s="2" t="str">
        <f>VLOOKUP($A424,'[1]daily coal, energy reqd'!$C$2:$T$599,17,FALSE)</f>
        <v>Andhra Pradesh</v>
      </c>
      <c r="C424" s="2" t="str">
        <f>VLOOKUP(B424,'Target PLF'!$I$2:$J$19,2,FALSE)</f>
        <v>SR</v>
      </c>
      <c r="D424" s="2" t="s">
        <v>572</v>
      </c>
      <c r="E424" s="2" t="s">
        <v>543</v>
      </c>
      <c r="F424" s="12">
        <v>7.8412046543463303</v>
      </c>
      <c r="G424" s="2">
        <v>150</v>
      </c>
      <c r="H424">
        <f>VLOOKUP(A424,'Coal savings'!$A$3:$AB$543,26,FALSE)</f>
        <v>0</v>
      </c>
      <c r="O424" s="2" t="s">
        <v>292</v>
      </c>
      <c r="AH424" s="2" t="str">
        <f t="shared" si="151"/>
        <v/>
      </c>
      <c r="AI424" s="2"/>
      <c r="AJ424" s="2" t="str">
        <f t="shared" si="132"/>
        <v/>
      </c>
      <c r="AK424" s="12">
        <f t="shared" si="133"/>
        <v>3.8412046543463303</v>
      </c>
      <c r="AL424" s="2" t="s">
        <v>572</v>
      </c>
      <c r="AM424" s="2" t="str">
        <f>VLOOKUP(A424,'[12]Power plant names'!$C$2:$F$545,4,FALSE)</f>
        <v>Sub critical</v>
      </c>
      <c r="AN424" s="2">
        <v>150</v>
      </c>
      <c r="AO424" s="2">
        <f t="shared" si="134"/>
        <v>0.96049880479123906</v>
      </c>
      <c r="AP424" s="2"/>
      <c r="AQ424" s="2">
        <f t="shared" si="135"/>
        <v>150</v>
      </c>
      <c r="AR424" s="2">
        <f t="shared" si="136"/>
        <v>0</v>
      </c>
      <c r="AS424" s="2">
        <f t="shared" si="137"/>
        <v>144.07482071868586</v>
      </c>
      <c r="AU424" s="2"/>
      <c r="AV424" s="2" t="str">
        <f t="shared" si="138"/>
        <v/>
      </c>
      <c r="AW424" s="12">
        <f t="shared" si="139"/>
        <v>7.8412046543463303</v>
      </c>
      <c r="AX424" s="2">
        <v>150</v>
      </c>
      <c r="AY424" s="3">
        <f t="shared" si="140"/>
        <v>1.1923639248459961</v>
      </c>
      <c r="AZ424" s="2">
        <f t="shared" si="141"/>
        <v>0</v>
      </c>
      <c r="BA424" s="2">
        <f t="shared" si="142"/>
        <v>178.85458872689941</v>
      </c>
      <c r="BC424" t="str">
        <f t="shared" si="143"/>
        <v/>
      </c>
      <c r="BE424">
        <f t="shared" si="144"/>
        <v>1.3607728316221768</v>
      </c>
      <c r="BF424">
        <f t="shared" si="145"/>
        <v>0</v>
      </c>
      <c r="BG424">
        <f t="shared" si="146"/>
        <v>204.1159247433265</v>
      </c>
    </row>
    <row r="425" spans="1:59" ht="14.5" hidden="1" customHeight="1" x14ac:dyDescent="0.2">
      <c r="A425" s="2" t="s">
        <v>279</v>
      </c>
      <c r="B425" s="2" t="str">
        <f>VLOOKUP($A425,'[1]daily coal, energy reqd'!$C$2:$T$599,17,FALSE)</f>
        <v>Andhra Pradesh</v>
      </c>
      <c r="C425" s="2" t="str">
        <f>VLOOKUP(B425,'Target PLF'!$I$2:$J$19,2,FALSE)</f>
        <v>SR</v>
      </c>
      <c r="D425" s="2" t="s">
        <v>572</v>
      </c>
      <c r="E425" s="2" t="s">
        <v>543</v>
      </c>
      <c r="F425" s="12">
        <v>6.2532511978097096</v>
      </c>
      <c r="G425" s="2">
        <v>150</v>
      </c>
      <c r="H425">
        <f>VLOOKUP(A425,'Coal savings'!$A$3:$AB$543,26,FALSE)</f>
        <v>0</v>
      </c>
      <c r="O425" s="2" t="s">
        <v>279</v>
      </c>
      <c r="AH425" s="2" t="str">
        <f t="shared" si="151"/>
        <v/>
      </c>
      <c r="AI425" s="2"/>
      <c r="AJ425" s="2" t="str">
        <f t="shared" si="132"/>
        <v/>
      </c>
      <c r="AK425" s="12">
        <f t="shared" si="133"/>
        <v>2.2532511978097096</v>
      </c>
      <c r="AL425" s="2" t="s">
        <v>572</v>
      </c>
      <c r="AM425" s="2" t="str">
        <f>VLOOKUP(A425,'[12]Power plant names'!$C$2:$F$545,4,FALSE)</f>
        <v>Sub critical</v>
      </c>
      <c r="AN425" s="2">
        <v>150</v>
      </c>
      <c r="AO425" s="2">
        <f t="shared" si="134"/>
        <v>0.98250085270362786</v>
      </c>
      <c r="AP425" s="2"/>
      <c r="AQ425" s="2">
        <f t="shared" si="135"/>
        <v>150</v>
      </c>
      <c r="AR425" s="2">
        <f t="shared" si="136"/>
        <v>0</v>
      </c>
      <c r="AS425" s="2">
        <f t="shared" si="137"/>
        <v>147.37512790554419</v>
      </c>
      <c r="AU425" s="2"/>
      <c r="AV425" s="2" t="str">
        <f t="shared" si="138"/>
        <v/>
      </c>
      <c r="AW425" s="12">
        <f t="shared" si="139"/>
        <v>6.2532511978097096</v>
      </c>
      <c r="AX425" s="2">
        <v>150</v>
      </c>
      <c r="AY425" s="3">
        <f t="shared" si="140"/>
        <v>1.2211571733059552</v>
      </c>
      <c r="AZ425" s="2">
        <f t="shared" si="141"/>
        <v>0</v>
      </c>
      <c r="BA425" s="2">
        <f t="shared" si="142"/>
        <v>183.17357599589329</v>
      </c>
      <c r="BC425" t="str">
        <f t="shared" si="143"/>
        <v/>
      </c>
      <c r="BE425">
        <f t="shared" si="144"/>
        <v>1.3949511478439427</v>
      </c>
      <c r="BF425">
        <f t="shared" si="145"/>
        <v>0</v>
      </c>
      <c r="BG425">
        <f t="shared" si="146"/>
        <v>209.24267217659141</v>
      </c>
    </row>
    <row r="426" spans="1:59" ht="14.5" customHeight="1" x14ac:dyDescent="0.2">
      <c r="A426" s="2" t="s">
        <v>69</v>
      </c>
      <c r="B426" s="2" t="s">
        <v>610</v>
      </c>
      <c r="C426" s="2" t="str">
        <f>VLOOKUP(B426,'Target PLF'!$I$2:$J$19,2,FALSE)</f>
        <v>SR</v>
      </c>
      <c r="D426" s="2" t="s">
        <v>570</v>
      </c>
      <c r="E426" s="2" t="s">
        <v>542</v>
      </c>
      <c r="F426" s="12">
        <v>4.1752224503764497</v>
      </c>
      <c r="G426" s="2">
        <v>600</v>
      </c>
      <c r="H426">
        <f>VLOOKUP(A426,'Coal savings'!$A$3:$AB$543,26,FALSE)</f>
        <v>2724008.1309194253</v>
      </c>
      <c r="I426" t="s">
        <v>694</v>
      </c>
      <c r="J426">
        <f>1514.92/2</f>
        <v>757.46</v>
      </c>
      <c r="O426" s="2" t="s">
        <v>69</v>
      </c>
      <c r="AH426" s="2" t="str">
        <f t="shared" si="151"/>
        <v>2019</v>
      </c>
      <c r="AI426" s="2">
        <f t="shared" ref="AI426:AI443" si="153">(J426)/(1+0.115)^(AH426-2016)</f>
        <v>546.43071275911859</v>
      </c>
      <c r="AJ426" s="2">
        <f t="shared" si="132"/>
        <v>0.91071785459853094</v>
      </c>
      <c r="AK426" s="12">
        <f t="shared" si="133"/>
        <v>0.17522245037644968</v>
      </c>
      <c r="AL426" s="2" t="s">
        <v>570</v>
      </c>
      <c r="AM426" s="2" t="str">
        <f>VLOOKUP(A426,'[12]Power plant names'!$C$2:$F$545,4,FALSE)</f>
        <v>Sub critical</v>
      </c>
      <c r="AN426" s="2">
        <v>600</v>
      </c>
      <c r="AO426" s="2">
        <f t="shared" si="134"/>
        <v>0.91071785459853094</v>
      </c>
      <c r="AP426" s="2">
        <v>600</v>
      </c>
      <c r="AQ426" s="2">
        <f t="shared" si="135"/>
        <v>0</v>
      </c>
      <c r="AR426" s="2">
        <f t="shared" si="136"/>
        <v>546.43071275911859</v>
      </c>
      <c r="AS426" s="2">
        <f t="shared" si="137"/>
        <v>0</v>
      </c>
      <c r="AU426" s="2">
        <f t="shared" si="147"/>
        <v>757.46000000000015</v>
      </c>
      <c r="AV426" s="2">
        <f t="shared" si="138"/>
        <v>1.2624333333333335</v>
      </c>
      <c r="AW426" s="12">
        <f t="shared" si="139"/>
        <v>3.1752224503764497</v>
      </c>
      <c r="AX426" s="2">
        <v>600</v>
      </c>
      <c r="AY426" s="3">
        <f t="shared" si="140"/>
        <v>1.2624333333333335</v>
      </c>
      <c r="AZ426" s="2">
        <f t="shared" si="141"/>
        <v>757.46000000000015</v>
      </c>
      <c r="BA426" s="2">
        <f t="shared" si="142"/>
        <v>0</v>
      </c>
      <c r="BC426">
        <f t="shared" si="143"/>
        <v>844.56790000000012</v>
      </c>
      <c r="BD426">
        <f t="shared" si="148"/>
        <v>1.4076131666666669</v>
      </c>
      <c r="BE426">
        <f t="shared" si="144"/>
        <v>1.4076131666666669</v>
      </c>
      <c r="BF426">
        <f t="shared" si="145"/>
        <v>844.56790000000012</v>
      </c>
      <c r="BG426">
        <f t="shared" si="146"/>
        <v>0</v>
      </c>
    </row>
    <row r="427" spans="1:59" ht="14.5" customHeight="1" x14ac:dyDescent="0.2">
      <c r="A427" s="2" t="s">
        <v>62</v>
      </c>
      <c r="B427" s="2" t="s">
        <v>610</v>
      </c>
      <c r="C427" s="2" t="str">
        <f>VLOOKUP(B427,'Target PLF'!$I$2:$J$19,2,FALSE)</f>
        <v>SR</v>
      </c>
      <c r="D427" s="2" t="s">
        <v>570</v>
      </c>
      <c r="E427" s="2" t="s">
        <v>542</v>
      </c>
      <c r="F427" s="12">
        <v>3.4250513347022502</v>
      </c>
      <c r="G427" s="2">
        <v>600</v>
      </c>
      <c r="H427">
        <f>VLOOKUP(A427,'Coal savings'!$A$3:$AB$543,26,FALSE)</f>
        <v>2718033.5652787318</v>
      </c>
      <c r="I427" t="s">
        <v>694</v>
      </c>
      <c r="J427">
        <f>1514.92/2</f>
        <v>757.46</v>
      </c>
      <c r="O427" s="2" t="s">
        <v>62</v>
      </c>
      <c r="AH427" s="2" t="str">
        <f t="shared" si="151"/>
        <v>2019</v>
      </c>
      <c r="AI427" s="2">
        <f t="shared" si="153"/>
        <v>546.43071275911859</v>
      </c>
      <c r="AJ427" s="2">
        <f t="shared" si="132"/>
        <v>0.91071785459853094</v>
      </c>
      <c r="AK427" s="12">
        <f t="shared" si="133"/>
        <v>1</v>
      </c>
      <c r="AL427" s="2" t="s">
        <v>570</v>
      </c>
      <c r="AM427" s="2" t="str">
        <f>VLOOKUP(A427,'[12]Power plant names'!$C$2:$F$545,4,FALSE)</f>
        <v>Sub critical</v>
      </c>
      <c r="AN427" s="2">
        <v>600</v>
      </c>
      <c r="AO427" s="2">
        <f t="shared" si="134"/>
        <v>0.91071785459853094</v>
      </c>
      <c r="AP427" s="2">
        <v>600</v>
      </c>
      <c r="AQ427" s="2">
        <f t="shared" si="135"/>
        <v>0</v>
      </c>
      <c r="AR427" s="2">
        <f t="shared" si="136"/>
        <v>546.43071275911859</v>
      </c>
      <c r="AS427" s="2">
        <f t="shared" si="137"/>
        <v>0</v>
      </c>
      <c r="AU427" s="2">
        <f t="shared" si="147"/>
        <v>757.46000000000015</v>
      </c>
      <c r="AV427" s="2">
        <f t="shared" si="138"/>
        <v>1.2624333333333335</v>
      </c>
      <c r="AW427" s="12">
        <f t="shared" si="139"/>
        <v>2.4250513347022502</v>
      </c>
      <c r="AX427" s="2">
        <v>600</v>
      </c>
      <c r="AY427" s="3">
        <f t="shared" si="140"/>
        <v>1.2624333333333335</v>
      </c>
      <c r="AZ427" s="2">
        <f t="shared" si="141"/>
        <v>757.46000000000015</v>
      </c>
      <c r="BA427" s="2">
        <f t="shared" si="142"/>
        <v>0</v>
      </c>
      <c r="BC427">
        <f t="shared" si="143"/>
        <v>844.56790000000012</v>
      </c>
      <c r="BD427">
        <f t="shared" si="148"/>
        <v>1.4076131666666669</v>
      </c>
      <c r="BE427">
        <f t="shared" si="144"/>
        <v>1.4076131666666669</v>
      </c>
      <c r="BF427">
        <f t="shared" si="145"/>
        <v>844.56790000000012</v>
      </c>
      <c r="BG427">
        <f t="shared" si="146"/>
        <v>0</v>
      </c>
    </row>
    <row r="428" spans="1:59" ht="14.5" hidden="1" customHeight="1" x14ac:dyDescent="0.2">
      <c r="A428" s="39" t="s">
        <v>497</v>
      </c>
      <c r="B428" s="2" t="str">
        <f>VLOOKUP($A428,'[1]daily coal, energy reqd'!$C$2:$T$599,17,FALSE)</f>
        <v>Uttar Pradesh</v>
      </c>
      <c r="C428" s="2" t="str">
        <f>VLOOKUP(B428,'Target PLF'!$I$2:$J$19,2,FALSE)</f>
        <v>NR</v>
      </c>
      <c r="D428" s="2" t="s">
        <v>571</v>
      </c>
      <c r="E428" s="2" t="s">
        <v>549</v>
      </c>
      <c r="F428" s="12">
        <v>38.253251197809703</v>
      </c>
      <c r="G428" s="2">
        <v>200</v>
      </c>
      <c r="H428">
        <f>VLOOKUP(A428,'Coal savings'!$A$3:$AB$543,26,FALSE)</f>
        <v>0</v>
      </c>
      <c r="I428" t="s">
        <v>694</v>
      </c>
      <c r="J428">
        <v>74.349999999999994</v>
      </c>
      <c r="O428" s="39" t="s">
        <v>497</v>
      </c>
      <c r="P428">
        <v>2019</v>
      </c>
      <c r="Q428" s="96">
        <v>67.990000000000009</v>
      </c>
      <c r="R428" s="96" t="s">
        <v>678</v>
      </c>
      <c r="S428" s="96">
        <v>150</v>
      </c>
      <c r="T428" s="96">
        <v>92.88</v>
      </c>
      <c r="U428" s="96" t="s">
        <v>619</v>
      </c>
      <c r="V428" s="96"/>
      <c r="AH428" s="2" t="str">
        <f t="shared" si="151"/>
        <v>2019</v>
      </c>
      <c r="AI428" s="2">
        <f t="shared" si="153"/>
        <v>53.63599859219029</v>
      </c>
      <c r="AJ428" s="2">
        <f t="shared" si="132"/>
        <v>0.26817999296095146</v>
      </c>
      <c r="AK428" s="12">
        <f t="shared" si="133"/>
        <v>34.253251197809703</v>
      </c>
      <c r="AL428" s="2" t="s">
        <v>571</v>
      </c>
      <c r="AM428" s="2" t="str">
        <f>VLOOKUP(A428,'[12]Power plant names'!$C$2:$F$545,4,FALSE)</f>
        <v>Sub critical</v>
      </c>
      <c r="AN428" s="2">
        <v>200</v>
      </c>
      <c r="AO428" s="2">
        <f t="shared" si="134"/>
        <v>0.26817999296095146</v>
      </c>
      <c r="AP428" s="2">
        <v>200</v>
      </c>
      <c r="AQ428" s="2">
        <f t="shared" si="135"/>
        <v>0</v>
      </c>
      <c r="AR428" s="2">
        <f t="shared" si="136"/>
        <v>53.63599859219029</v>
      </c>
      <c r="AS428" s="2">
        <f t="shared" si="137"/>
        <v>0</v>
      </c>
      <c r="AU428" s="2">
        <f t="shared" si="147"/>
        <v>74.349999999999994</v>
      </c>
      <c r="AV428" s="2">
        <f t="shared" si="138"/>
        <v>0.37174999999999997</v>
      </c>
      <c r="AW428" s="12">
        <f t="shared" si="139"/>
        <v>37.253251197809703</v>
      </c>
      <c r="AX428" s="2">
        <v>200</v>
      </c>
      <c r="AY428" s="3">
        <f t="shared" si="140"/>
        <v>0.37174999999999997</v>
      </c>
      <c r="AZ428" s="2">
        <f t="shared" si="141"/>
        <v>74.349999999999994</v>
      </c>
      <c r="BA428" s="2">
        <f t="shared" si="142"/>
        <v>0</v>
      </c>
      <c r="BC428">
        <f t="shared" si="143"/>
        <v>82.90025</v>
      </c>
      <c r="BD428">
        <f t="shared" si="148"/>
        <v>0.41450124999999999</v>
      </c>
      <c r="BE428">
        <f t="shared" si="144"/>
        <v>0.41450124999999999</v>
      </c>
      <c r="BF428">
        <f t="shared" si="145"/>
        <v>82.90025</v>
      </c>
      <c r="BG428">
        <f t="shared" si="146"/>
        <v>0</v>
      </c>
    </row>
    <row r="429" spans="1:59" ht="14.5" hidden="1" customHeight="1" x14ac:dyDescent="0.2">
      <c r="A429" s="39" t="s">
        <v>492</v>
      </c>
      <c r="B429" s="2" t="str">
        <f>VLOOKUP($A429,'[1]daily coal, energy reqd'!$C$2:$T$599,17,FALSE)</f>
        <v>Uttar Pradesh</v>
      </c>
      <c r="C429" s="2" t="str">
        <f>VLOOKUP(B429,'Target PLF'!$I$2:$J$19,2,FALSE)</f>
        <v>NR</v>
      </c>
      <c r="D429" s="2" t="s">
        <v>571</v>
      </c>
      <c r="E429" s="2" t="s">
        <v>549</v>
      </c>
      <c r="F429" s="12">
        <v>37.505817932922596</v>
      </c>
      <c r="G429" s="2">
        <v>200</v>
      </c>
      <c r="H429">
        <f>VLOOKUP(A429,'Coal savings'!$A$3:$AB$543,26,FALSE)</f>
        <v>0</v>
      </c>
      <c r="I429" t="s">
        <v>694</v>
      </c>
      <c r="J429">
        <v>74.349999999999994</v>
      </c>
      <c r="O429" s="39" t="s">
        <v>492</v>
      </c>
      <c r="Q429" s="96"/>
      <c r="R429" s="96"/>
      <c r="S429" s="96"/>
      <c r="T429" s="96"/>
      <c r="U429" s="96"/>
      <c r="V429" s="96"/>
      <c r="X429" t="s">
        <v>618</v>
      </c>
      <c r="AH429" s="2" t="str">
        <f t="shared" si="151"/>
        <v>2019</v>
      </c>
      <c r="AI429" s="2">
        <f t="shared" si="153"/>
        <v>53.63599859219029</v>
      </c>
      <c r="AJ429" s="2">
        <f t="shared" si="132"/>
        <v>0.26817999296095146</v>
      </c>
      <c r="AK429" s="12">
        <f t="shared" si="133"/>
        <v>33.505817932922596</v>
      </c>
      <c r="AL429" s="2" t="s">
        <v>571</v>
      </c>
      <c r="AM429" s="2" t="str">
        <f>VLOOKUP(A429,'[12]Power plant names'!$C$2:$F$545,4,FALSE)</f>
        <v>Sub critical</v>
      </c>
      <c r="AN429" s="2">
        <v>200</v>
      </c>
      <c r="AO429" s="2">
        <f t="shared" si="134"/>
        <v>0.26817999296095146</v>
      </c>
      <c r="AP429" s="2">
        <v>200</v>
      </c>
      <c r="AQ429" s="2">
        <f t="shared" si="135"/>
        <v>0</v>
      </c>
      <c r="AR429" s="2">
        <f t="shared" si="136"/>
        <v>53.63599859219029</v>
      </c>
      <c r="AS429" s="2">
        <f t="shared" si="137"/>
        <v>0</v>
      </c>
      <c r="AU429" s="2">
        <f t="shared" si="147"/>
        <v>74.349999999999994</v>
      </c>
      <c r="AV429" s="2">
        <f t="shared" si="138"/>
        <v>0.37174999999999997</v>
      </c>
      <c r="AW429" s="12">
        <f t="shared" si="139"/>
        <v>36.505817932922596</v>
      </c>
      <c r="AX429" s="2">
        <v>200</v>
      </c>
      <c r="AY429" s="3">
        <f t="shared" si="140"/>
        <v>0.37174999999999997</v>
      </c>
      <c r="AZ429" s="2">
        <f t="shared" si="141"/>
        <v>74.349999999999994</v>
      </c>
      <c r="BA429" s="2">
        <f t="shared" si="142"/>
        <v>0</v>
      </c>
      <c r="BC429">
        <f t="shared" si="143"/>
        <v>82.90025</v>
      </c>
      <c r="BD429">
        <f t="shared" si="148"/>
        <v>0.41450124999999999</v>
      </c>
      <c r="BE429">
        <f t="shared" si="144"/>
        <v>0.41450124999999999</v>
      </c>
      <c r="BF429">
        <f t="shared" si="145"/>
        <v>82.90025</v>
      </c>
      <c r="BG429">
        <f t="shared" si="146"/>
        <v>0</v>
      </c>
    </row>
    <row r="430" spans="1:59" ht="14.5" hidden="1" customHeight="1" x14ac:dyDescent="0.2">
      <c r="A430" s="39" t="s">
        <v>489</v>
      </c>
      <c r="B430" s="2" t="str">
        <f>VLOOKUP($A430,'[1]daily coal, energy reqd'!$C$2:$T$599,17,FALSE)</f>
        <v>Uttar Pradesh</v>
      </c>
      <c r="C430" s="2" t="str">
        <f>VLOOKUP(B430,'Target PLF'!$I$2:$J$19,2,FALSE)</f>
        <v>NR</v>
      </c>
      <c r="D430" s="2" t="s">
        <v>571</v>
      </c>
      <c r="E430" s="2" t="s">
        <v>549</v>
      </c>
      <c r="F430" s="12">
        <v>37.177275838466798</v>
      </c>
      <c r="G430" s="2">
        <v>200</v>
      </c>
      <c r="H430">
        <f>VLOOKUP(A430,'Coal savings'!$A$3:$AB$543,26,FALSE)</f>
        <v>0</v>
      </c>
      <c r="I430" t="s">
        <v>694</v>
      </c>
      <c r="J430">
        <v>74.349999999999994</v>
      </c>
      <c r="O430" s="39" t="s">
        <v>489</v>
      </c>
      <c r="Q430" s="96"/>
      <c r="R430" s="96"/>
      <c r="S430" s="96"/>
      <c r="T430" s="96"/>
      <c r="U430" s="96"/>
      <c r="V430" s="96"/>
      <c r="X430" t="s">
        <v>618</v>
      </c>
      <c r="AH430" s="2" t="str">
        <f t="shared" si="151"/>
        <v>2019</v>
      </c>
      <c r="AI430" s="2">
        <f t="shared" si="153"/>
        <v>53.63599859219029</v>
      </c>
      <c r="AJ430" s="2">
        <f t="shared" si="132"/>
        <v>0.26817999296095146</v>
      </c>
      <c r="AK430" s="12">
        <f t="shared" si="133"/>
        <v>33.177275838466798</v>
      </c>
      <c r="AL430" s="2" t="s">
        <v>571</v>
      </c>
      <c r="AM430" s="2" t="str">
        <f>VLOOKUP(A430,'[12]Power plant names'!$C$2:$F$545,4,FALSE)</f>
        <v>Sub critical</v>
      </c>
      <c r="AN430" s="2">
        <v>200</v>
      </c>
      <c r="AO430" s="2">
        <f t="shared" si="134"/>
        <v>0.26817999296095146</v>
      </c>
      <c r="AP430" s="2">
        <v>200</v>
      </c>
      <c r="AQ430" s="2">
        <f t="shared" si="135"/>
        <v>0</v>
      </c>
      <c r="AR430" s="2">
        <f t="shared" si="136"/>
        <v>53.63599859219029</v>
      </c>
      <c r="AS430" s="2">
        <f t="shared" si="137"/>
        <v>0</v>
      </c>
      <c r="AU430" s="2">
        <f t="shared" si="147"/>
        <v>74.349999999999994</v>
      </c>
      <c r="AV430" s="2">
        <f t="shared" si="138"/>
        <v>0.37174999999999997</v>
      </c>
      <c r="AW430" s="12">
        <f t="shared" si="139"/>
        <v>36.177275838466798</v>
      </c>
      <c r="AX430" s="2">
        <v>200</v>
      </c>
      <c r="AY430" s="3">
        <f t="shared" si="140"/>
        <v>0.37174999999999997</v>
      </c>
      <c r="AZ430" s="2">
        <f t="shared" si="141"/>
        <v>74.349999999999994</v>
      </c>
      <c r="BA430" s="2">
        <f t="shared" si="142"/>
        <v>0</v>
      </c>
      <c r="BC430">
        <f t="shared" si="143"/>
        <v>82.90025</v>
      </c>
      <c r="BD430">
        <f t="shared" si="148"/>
        <v>0.41450124999999999</v>
      </c>
      <c r="BE430">
        <f t="shared" si="144"/>
        <v>0.41450124999999999</v>
      </c>
      <c r="BF430">
        <f t="shared" si="145"/>
        <v>82.90025</v>
      </c>
      <c r="BG430">
        <f t="shared" si="146"/>
        <v>0</v>
      </c>
    </row>
    <row r="431" spans="1:59" ht="14.5" hidden="1" customHeight="1" x14ac:dyDescent="0.2">
      <c r="A431" s="39" t="s">
        <v>481</v>
      </c>
      <c r="B431" s="2" t="str">
        <f>VLOOKUP($A431,'[1]daily coal, energy reqd'!$C$2:$T$599,17,FALSE)</f>
        <v>Uttar Pradesh</v>
      </c>
      <c r="C431" s="2" t="str">
        <f>VLOOKUP(B431,'Target PLF'!$I$2:$J$19,2,FALSE)</f>
        <v>NR</v>
      </c>
      <c r="D431" s="2" t="s">
        <v>571</v>
      </c>
      <c r="E431" s="2" t="s">
        <v>549</v>
      </c>
      <c r="F431" s="12">
        <v>36.5065023956194</v>
      </c>
      <c r="G431" s="2">
        <v>200</v>
      </c>
      <c r="H431">
        <f>VLOOKUP(A431,'Coal savings'!$A$3:$AB$543,26,FALSE)</f>
        <v>0</v>
      </c>
      <c r="I431" t="s">
        <v>694</v>
      </c>
      <c r="J431">
        <v>74.349999999999994</v>
      </c>
      <c r="O431" s="39" t="s">
        <v>481</v>
      </c>
      <c r="Q431" s="96"/>
      <c r="R431" s="96"/>
      <c r="S431" s="96"/>
      <c r="T431" s="96"/>
      <c r="U431" s="96"/>
      <c r="V431" s="96"/>
      <c r="X431" t="s">
        <v>618</v>
      </c>
      <c r="AH431" s="2" t="str">
        <f t="shared" si="151"/>
        <v>2019</v>
      </c>
      <c r="AI431" s="2">
        <f t="shared" si="153"/>
        <v>53.63599859219029</v>
      </c>
      <c r="AJ431" s="2">
        <f t="shared" si="132"/>
        <v>0.26817999296095146</v>
      </c>
      <c r="AK431" s="12">
        <f t="shared" si="133"/>
        <v>32.5065023956194</v>
      </c>
      <c r="AL431" s="2" t="s">
        <v>571</v>
      </c>
      <c r="AM431" s="2" t="str">
        <f>VLOOKUP(A431,'[12]Power plant names'!$C$2:$F$545,4,FALSE)</f>
        <v>Sub critical</v>
      </c>
      <c r="AN431" s="2">
        <v>200</v>
      </c>
      <c r="AO431" s="2">
        <f t="shared" si="134"/>
        <v>0.26817999296095146</v>
      </c>
      <c r="AP431" s="2">
        <v>200</v>
      </c>
      <c r="AQ431" s="2">
        <f t="shared" si="135"/>
        <v>0</v>
      </c>
      <c r="AR431" s="2">
        <f t="shared" si="136"/>
        <v>53.63599859219029</v>
      </c>
      <c r="AS431" s="2">
        <f t="shared" si="137"/>
        <v>0</v>
      </c>
      <c r="AU431" s="2">
        <f t="shared" si="147"/>
        <v>74.349999999999994</v>
      </c>
      <c r="AV431" s="2">
        <f t="shared" si="138"/>
        <v>0.37174999999999997</v>
      </c>
      <c r="AW431" s="12">
        <f t="shared" si="139"/>
        <v>35.5065023956194</v>
      </c>
      <c r="AX431" s="2">
        <v>200</v>
      </c>
      <c r="AY431" s="3">
        <f t="shared" si="140"/>
        <v>0.37174999999999997</v>
      </c>
      <c r="AZ431" s="2">
        <f t="shared" si="141"/>
        <v>74.349999999999994</v>
      </c>
      <c r="BA431" s="2">
        <f t="shared" si="142"/>
        <v>0</v>
      </c>
      <c r="BC431">
        <f t="shared" si="143"/>
        <v>82.90025</v>
      </c>
      <c r="BD431">
        <f t="shared" si="148"/>
        <v>0.41450124999999999</v>
      </c>
      <c r="BE431">
        <f t="shared" si="144"/>
        <v>0.41450124999999999</v>
      </c>
      <c r="BF431">
        <f t="shared" si="145"/>
        <v>82.90025</v>
      </c>
      <c r="BG431">
        <f t="shared" si="146"/>
        <v>0</v>
      </c>
    </row>
    <row r="432" spans="1:59" ht="14.5" hidden="1" customHeight="1" x14ac:dyDescent="0.2">
      <c r="A432" s="39" t="s">
        <v>480</v>
      </c>
      <c r="B432" s="2" t="str">
        <f>VLOOKUP($A432,'[1]daily coal, energy reqd'!$C$2:$T$599,17,FALSE)</f>
        <v>Uttar Pradesh</v>
      </c>
      <c r="C432" s="2" t="str">
        <f>VLOOKUP(B432,'Target PLF'!$I$2:$J$19,2,FALSE)</f>
        <v>NR</v>
      </c>
      <c r="D432" s="2" t="s">
        <v>571</v>
      </c>
      <c r="E432" s="2" t="s">
        <v>549</v>
      </c>
      <c r="F432" s="12">
        <v>36.254620123203203</v>
      </c>
      <c r="G432" s="2">
        <v>200</v>
      </c>
      <c r="H432">
        <f>VLOOKUP(A432,'Coal savings'!$A$3:$AB$543,26,FALSE)</f>
        <v>0</v>
      </c>
      <c r="I432" t="s">
        <v>694</v>
      </c>
      <c r="J432">
        <v>74.349999999999994</v>
      </c>
      <c r="O432" s="39" t="s">
        <v>480</v>
      </c>
      <c r="Q432" s="96"/>
      <c r="R432" s="96"/>
      <c r="S432" s="96"/>
      <c r="T432" s="96"/>
      <c r="U432" s="96"/>
      <c r="V432" s="96"/>
      <c r="X432" t="s">
        <v>618</v>
      </c>
      <c r="AH432" s="2" t="str">
        <f t="shared" si="151"/>
        <v>2019</v>
      </c>
      <c r="AI432" s="2">
        <f t="shared" si="153"/>
        <v>53.63599859219029</v>
      </c>
      <c r="AJ432" s="2">
        <f t="shared" si="132"/>
        <v>0.26817999296095146</v>
      </c>
      <c r="AK432" s="12">
        <f t="shared" si="133"/>
        <v>32.254620123203203</v>
      </c>
      <c r="AL432" s="2" t="s">
        <v>571</v>
      </c>
      <c r="AM432" s="2" t="str">
        <f>VLOOKUP(A432,'[12]Power plant names'!$C$2:$F$545,4,FALSE)</f>
        <v>Sub critical</v>
      </c>
      <c r="AN432" s="2">
        <v>200</v>
      </c>
      <c r="AO432" s="2">
        <f t="shared" si="134"/>
        <v>0.26817999296095146</v>
      </c>
      <c r="AP432" s="2">
        <v>200</v>
      </c>
      <c r="AQ432" s="2">
        <f t="shared" si="135"/>
        <v>0</v>
      </c>
      <c r="AR432" s="2">
        <f t="shared" si="136"/>
        <v>53.63599859219029</v>
      </c>
      <c r="AS432" s="2">
        <f t="shared" si="137"/>
        <v>0</v>
      </c>
      <c r="AU432" s="2">
        <f t="shared" si="147"/>
        <v>74.349999999999994</v>
      </c>
      <c r="AV432" s="2">
        <f t="shared" si="138"/>
        <v>0.37174999999999997</v>
      </c>
      <c r="AW432" s="12">
        <f t="shared" si="139"/>
        <v>35.254620123203203</v>
      </c>
      <c r="AX432" s="2">
        <v>200</v>
      </c>
      <c r="AY432" s="3">
        <f t="shared" si="140"/>
        <v>0.37174999999999997</v>
      </c>
      <c r="AZ432" s="2">
        <f t="shared" si="141"/>
        <v>74.349999999999994</v>
      </c>
      <c r="BA432" s="2">
        <f t="shared" si="142"/>
        <v>0</v>
      </c>
      <c r="BC432">
        <f t="shared" si="143"/>
        <v>82.90025</v>
      </c>
      <c r="BD432">
        <f t="shared" si="148"/>
        <v>0.41450124999999999</v>
      </c>
      <c r="BE432">
        <f t="shared" si="144"/>
        <v>0.41450124999999999</v>
      </c>
      <c r="BF432">
        <f t="shared" si="145"/>
        <v>82.90025</v>
      </c>
      <c r="BG432">
        <f t="shared" si="146"/>
        <v>0</v>
      </c>
    </row>
    <row r="433" spans="1:59" ht="14.5" customHeight="1" x14ac:dyDescent="0.2">
      <c r="A433" s="2" t="s">
        <v>372</v>
      </c>
      <c r="B433" s="2" t="str">
        <f>VLOOKUP($A433,'[1]daily coal, energy reqd'!$C$2:$T$599,17,FALSE)</f>
        <v>Uttar Pradesh</v>
      </c>
      <c r="C433" s="2" t="str">
        <f>VLOOKUP(B433,'Target PLF'!$I$2:$J$19,2,FALSE)</f>
        <v>NR</v>
      </c>
      <c r="D433" s="2" t="s">
        <v>571</v>
      </c>
      <c r="E433" s="2" t="s">
        <v>548</v>
      </c>
      <c r="F433" s="12">
        <v>33.423682409308597</v>
      </c>
      <c r="G433" s="2">
        <v>500</v>
      </c>
      <c r="H433">
        <f>VLOOKUP(A433,'Coal savings'!$A$3:$AB$543,26,FALSE)</f>
        <v>1477408.8327111194</v>
      </c>
      <c r="I433" t="s">
        <v>694</v>
      </c>
      <c r="J433">
        <v>185.88</v>
      </c>
      <c r="O433" s="2" t="s">
        <v>372</v>
      </c>
      <c r="Q433" s="96"/>
      <c r="R433" s="96"/>
      <c r="S433" s="96"/>
      <c r="T433" s="96"/>
      <c r="U433" s="96"/>
      <c r="V433" s="96"/>
      <c r="X433" t="s">
        <v>618</v>
      </c>
      <c r="AH433" s="2" t="str">
        <f t="shared" si="151"/>
        <v>2019</v>
      </c>
      <c r="AI433" s="2">
        <f t="shared" si="153"/>
        <v>134.0936034743286</v>
      </c>
      <c r="AJ433" s="2">
        <f t="shared" si="132"/>
        <v>0.26818720694865722</v>
      </c>
      <c r="AK433" s="12">
        <f t="shared" si="133"/>
        <v>29.423682409308597</v>
      </c>
      <c r="AL433" s="2" t="s">
        <v>571</v>
      </c>
      <c r="AM433" s="2" t="str">
        <f>VLOOKUP(A433,'[12]Power plant names'!$C$2:$F$545,4,FALSE)</f>
        <v>Sub critical</v>
      </c>
      <c r="AN433" s="2">
        <v>500</v>
      </c>
      <c r="AO433" s="2">
        <f t="shared" si="134"/>
        <v>0.26818720694865722</v>
      </c>
      <c r="AP433" s="2">
        <v>500</v>
      </c>
      <c r="AQ433" s="2">
        <f t="shared" si="135"/>
        <v>0</v>
      </c>
      <c r="AR433" s="2">
        <f t="shared" si="136"/>
        <v>134.0936034743286</v>
      </c>
      <c r="AS433" s="2">
        <f t="shared" si="137"/>
        <v>0</v>
      </c>
      <c r="AU433" s="2">
        <f t="shared" si="147"/>
        <v>185.88</v>
      </c>
      <c r="AV433" s="2">
        <f t="shared" si="138"/>
        <v>0.37175999999999998</v>
      </c>
      <c r="AW433" s="12">
        <f t="shared" si="139"/>
        <v>32.423682409308597</v>
      </c>
      <c r="AX433" s="2">
        <v>500</v>
      </c>
      <c r="AY433" s="3">
        <f t="shared" si="140"/>
        <v>0.37175999999999998</v>
      </c>
      <c r="AZ433" s="2">
        <f t="shared" si="141"/>
        <v>185.88</v>
      </c>
      <c r="BA433" s="2">
        <f t="shared" si="142"/>
        <v>0</v>
      </c>
      <c r="BC433">
        <f t="shared" si="143"/>
        <v>207.25620000000001</v>
      </c>
      <c r="BD433">
        <f t="shared" si="148"/>
        <v>0.4145124</v>
      </c>
      <c r="BE433">
        <f t="shared" si="144"/>
        <v>0.4145124</v>
      </c>
      <c r="BF433">
        <f t="shared" si="145"/>
        <v>207.25620000000001</v>
      </c>
      <c r="BG433">
        <f t="shared" si="146"/>
        <v>0</v>
      </c>
    </row>
    <row r="434" spans="1:59" ht="14.5" customHeight="1" x14ac:dyDescent="0.2">
      <c r="A434" s="2" t="s">
        <v>364</v>
      </c>
      <c r="B434" s="2" t="str">
        <f>VLOOKUP($A434,'[1]daily coal, energy reqd'!$C$2:$T$599,17,FALSE)</f>
        <v>Uttar Pradesh</v>
      </c>
      <c r="C434" s="2" t="str">
        <f>VLOOKUP(B434,'Target PLF'!$I$2:$J$19,2,FALSE)</f>
        <v>NR</v>
      </c>
      <c r="D434" s="2" t="s">
        <v>571</v>
      </c>
      <c r="E434" s="2" t="s">
        <v>548</v>
      </c>
      <c r="F434" s="12">
        <v>32.5065023956194</v>
      </c>
      <c r="G434" s="2">
        <v>500</v>
      </c>
      <c r="H434">
        <f>VLOOKUP(A434,'Coal savings'!$A$3:$AB$543,26,FALSE)</f>
        <v>1474011.5311352664</v>
      </c>
      <c r="I434" t="s">
        <v>694</v>
      </c>
      <c r="J434">
        <v>185.88</v>
      </c>
      <c r="O434" s="2" t="s">
        <v>364</v>
      </c>
      <c r="Q434" s="96"/>
      <c r="R434" s="96"/>
      <c r="S434" s="96"/>
      <c r="T434" s="96"/>
      <c r="U434" s="96"/>
      <c r="V434" s="96"/>
      <c r="X434" t="s">
        <v>618</v>
      </c>
      <c r="AH434" s="2" t="str">
        <f t="shared" si="151"/>
        <v>2019</v>
      </c>
      <c r="AI434" s="2">
        <f t="shared" si="153"/>
        <v>134.0936034743286</v>
      </c>
      <c r="AJ434" s="2">
        <f t="shared" si="132"/>
        <v>0.26818720694865722</v>
      </c>
      <c r="AK434" s="12">
        <f t="shared" si="133"/>
        <v>28.5065023956194</v>
      </c>
      <c r="AL434" s="2" t="s">
        <v>571</v>
      </c>
      <c r="AM434" s="2" t="str">
        <f>VLOOKUP(A434,'[12]Power plant names'!$C$2:$F$545,4,FALSE)</f>
        <v>Sub critical</v>
      </c>
      <c r="AN434" s="2">
        <v>500</v>
      </c>
      <c r="AO434" s="2">
        <f t="shared" si="134"/>
        <v>0.26818720694865722</v>
      </c>
      <c r="AP434" s="2">
        <v>500</v>
      </c>
      <c r="AQ434" s="2">
        <f t="shared" si="135"/>
        <v>0</v>
      </c>
      <c r="AR434" s="2">
        <f t="shared" si="136"/>
        <v>134.0936034743286</v>
      </c>
      <c r="AS434" s="2">
        <f t="shared" si="137"/>
        <v>0</v>
      </c>
      <c r="AU434" s="2">
        <f t="shared" si="147"/>
        <v>185.88</v>
      </c>
      <c r="AV434" s="2">
        <f t="shared" si="138"/>
        <v>0.37175999999999998</v>
      </c>
      <c r="AW434" s="12">
        <f t="shared" si="139"/>
        <v>31.5065023956194</v>
      </c>
      <c r="AX434" s="2">
        <v>500</v>
      </c>
      <c r="AY434" s="3">
        <f t="shared" si="140"/>
        <v>0.37175999999999998</v>
      </c>
      <c r="AZ434" s="2">
        <f t="shared" si="141"/>
        <v>185.88</v>
      </c>
      <c r="BA434" s="2">
        <f t="shared" si="142"/>
        <v>0</v>
      </c>
      <c r="BC434">
        <f t="shared" si="143"/>
        <v>207.25620000000001</v>
      </c>
      <c r="BD434">
        <f t="shared" si="148"/>
        <v>0.4145124</v>
      </c>
      <c r="BE434">
        <f t="shared" si="144"/>
        <v>0.4145124</v>
      </c>
      <c r="BF434">
        <f t="shared" si="145"/>
        <v>207.25620000000001</v>
      </c>
      <c r="BG434">
        <f t="shared" si="146"/>
        <v>0</v>
      </c>
    </row>
    <row r="435" spans="1:59" ht="14.5" customHeight="1" x14ac:dyDescent="0.2">
      <c r="A435" s="2" t="s">
        <v>100</v>
      </c>
      <c r="B435" s="2" t="str">
        <f>VLOOKUP($A435,'[1]daily coal, energy reqd'!$C$2:$T$599,17,FALSE)</f>
        <v>Chhatisgarh</v>
      </c>
      <c r="C435" s="2" t="str">
        <f>VLOOKUP(B435,'Target PLF'!$I$2:$J$19,2,FALSE)</f>
        <v>WR</v>
      </c>
      <c r="D435" s="2" t="s">
        <v>571</v>
      </c>
      <c r="E435" s="2" t="s">
        <v>543</v>
      </c>
      <c r="F435" s="12">
        <v>8.5913757700205302</v>
      </c>
      <c r="G435" s="2">
        <v>660</v>
      </c>
      <c r="H435">
        <f>VLOOKUP(A435,'Coal savings'!$A$3:$AB$543,26,FALSE)</f>
        <v>3033419.6337108579</v>
      </c>
      <c r="I435" t="s">
        <v>694</v>
      </c>
      <c r="J435">
        <f>1908.95/3</f>
        <v>636.31666666666672</v>
      </c>
      <c r="O435" s="2" t="s">
        <v>100</v>
      </c>
      <c r="P435">
        <v>2019</v>
      </c>
      <c r="Q435" s="96">
        <v>426.13</v>
      </c>
      <c r="R435" s="96" t="s">
        <v>611</v>
      </c>
      <c r="S435" s="96"/>
      <c r="T435" s="96">
        <v>23.35</v>
      </c>
      <c r="U435" s="96" t="s">
        <v>681</v>
      </c>
      <c r="V435" s="96"/>
      <c r="AH435" s="2" t="str">
        <f t="shared" si="151"/>
        <v>2019</v>
      </c>
      <c r="AI435" s="2">
        <f t="shared" si="153"/>
        <v>459.03806102919378</v>
      </c>
      <c r="AJ435" s="2">
        <f t="shared" si="132"/>
        <v>0.69551221368059668</v>
      </c>
      <c r="AK435" s="12">
        <f t="shared" si="133"/>
        <v>4.5913757700205302</v>
      </c>
      <c r="AL435" s="2" t="s">
        <v>571</v>
      </c>
      <c r="AM435" s="2" t="str">
        <f>VLOOKUP(A435,'[12]Power plant names'!$C$2:$F$545,4,FALSE)</f>
        <v>Super critical</v>
      </c>
      <c r="AN435" s="2">
        <v>660</v>
      </c>
      <c r="AO435" s="2">
        <f t="shared" si="134"/>
        <v>0.69551221368059668</v>
      </c>
      <c r="AP435" s="2">
        <v>660</v>
      </c>
      <c r="AQ435" s="2">
        <f t="shared" si="135"/>
        <v>0</v>
      </c>
      <c r="AR435" s="2">
        <f t="shared" si="136"/>
        <v>459.03806102919378</v>
      </c>
      <c r="AS435" s="2">
        <f t="shared" si="137"/>
        <v>0</v>
      </c>
      <c r="AU435" s="2">
        <f t="shared" si="147"/>
        <v>636.31666666666672</v>
      </c>
      <c r="AV435" s="2">
        <f t="shared" si="138"/>
        <v>0.96411616161616165</v>
      </c>
      <c r="AW435" s="12">
        <f t="shared" si="139"/>
        <v>7.5913757700205302</v>
      </c>
      <c r="AX435" s="2">
        <v>660</v>
      </c>
      <c r="AY435" s="3">
        <f t="shared" si="140"/>
        <v>0.96411616161616165</v>
      </c>
      <c r="AZ435" s="2">
        <f t="shared" si="141"/>
        <v>636.31666666666672</v>
      </c>
      <c r="BA435" s="2">
        <f t="shared" si="142"/>
        <v>0</v>
      </c>
      <c r="BC435">
        <f t="shared" si="143"/>
        <v>709.4930833333334</v>
      </c>
      <c r="BD435">
        <f t="shared" si="148"/>
        <v>1.0749895202020203</v>
      </c>
      <c r="BE435">
        <f t="shared" si="144"/>
        <v>1.0749895202020203</v>
      </c>
      <c r="BF435">
        <f t="shared" si="145"/>
        <v>709.4930833333334</v>
      </c>
      <c r="BG435">
        <f t="shared" si="146"/>
        <v>0</v>
      </c>
    </row>
    <row r="436" spans="1:59" ht="14.5" customHeight="1" x14ac:dyDescent="0.2">
      <c r="A436" s="2" t="s">
        <v>90</v>
      </c>
      <c r="B436" s="2" t="str">
        <f>VLOOKUP($A436,'[1]daily coal, energy reqd'!$C$2:$T$599,17,FALSE)</f>
        <v>Chhatisgarh</v>
      </c>
      <c r="C436" s="2" t="str">
        <f>VLOOKUP(B436,'Target PLF'!$I$2:$J$19,2,FALSE)</f>
        <v>WR</v>
      </c>
      <c r="D436" s="2" t="s">
        <v>571</v>
      </c>
      <c r="E436" s="2" t="s">
        <v>543</v>
      </c>
      <c r="F436" s="12">
        <v>8.00821355236139</v>
      </c>
      <c r="G436" s="2">
        <v>660</v>
      </c>
      <c r="H436">
        <f>VLOOKUP(A436,'Coal savings'!$A$3:$AB$543,26,FALSE)</f>
        <v>3028205.4614195595</v>
      </c>
      <c r="I436" t="s">
        <v>694</v>
      </c>
      <c r="J436">
        <f>1908.95/3</f>
        <v>636.31666666666672</v>
      </c>
      <c r="O436" s="2" t="s">
        <v>90</v>
      </c>
      <c r="Q436" s="96"/>
      <c r="R436" s="96"/>
      <c r="S436" s="96"/>
      <c r="T436" s="96"/>
      <c r="U436" s="96"/>
      <c r="V436" s="96"/>
      <c r="AH436" s="2" t="str">
        <f t="shared" si="151"/>
        <v>2019</v>
      </c>
      <c r="AI436" s="2">
        <f t="shared" si="153"/>
        <v>459.03806102919378</v>
      </c>
      <c r="AJ436" s="2">
        <f t="shared" si="132"/>
        <v>0.69551221368059668</v>
      </c>
      <c r="AK436" s="12">
        <f t="shared" si="133"/>
        <v>4.00821355236139</v>
      </c>
      <c r="AL436" s="2" t="s">
        <v>571</v>
      </c>
      <c r="AM436" s="2" t="str">
        <f>VLOOKUP(A436,'[12]Power plant names'!$C$2:$F$545,4,FALSE)</f>
        <v>Super critical</v>
      </c>
      <c r="AN436" s="2">
        <v>660</v>
      </c>
      <c r="AO436" s="2">
        <f t="shared" si="134"/>
        <v>0.69551221368059668</v>
      </c>
      <c r="AP436" s="2">
        <v>660</v>
      </c>
      <c r="AQ436" s="2">
        <f t="shared" si="135"/>
        <v>0</v>
      </c>
      <c r="AR436" s="2">
        <f t="shared" si="136"/>
        <v>459.03806102919378</v>
      </c>
      <c r="AS436" s="2">
        <f t="shared" si="137"/>
        <v>0</v>
      </c>
      <c r="AU436" s="2">
        <f t="shared" si="147"/>
        <v>636.31666666666672</v>
      </c>
      <c r="AV436" s="2">
        <f t="shared" si="138"/>
        <v>0.96411616161616165</v>
      </c>
      <c r="AW436" s="12">
        <f t="shared" si="139"/>
        <v>7.00821355236139</v>
      </c>
      <c r="AX436" s="2">
        <v>660</v>
      </c>
      <c r="AY436" s="3">
        <f t="shared" si="140"/>
        <v>0.96411616161616165</v>
      </c>
      <c r="AZ436" s="2">
        <f t="shared" si="141"/>
        <v>636.31666666666672</v>
      </c>
      <c r="BA436" s="2">
        <f t="shared" si="142"/>
        <v>0</v>
      </c>
      <c r="BC436">
        <f t="shared" si="143"/>
        <v>709.4930833333334</v>
      </c>
      <c r="BD436">
        <f t="shared" si="148"/>
        <v>1.0749895202020203</v>
      </c>
      <c r="BE436">
        <f t="shared" si="144"/>
        <v>1.0749895202020203</v>
      </c>
      <c r="BF436">
        <f t="shared" si="145"/>
        <v>709.4930833333334</v>
      </c>
      <c r="BG436">
        <f t="shared" si="146"/>
        <v>0</v>
      </c>
    </row>
    <row r="437" spans="1:59" ht="14.5" customHeight="1" x14ac:dyDescent="0.2">
      <c r="A437" s="2" t="s">
        <v>85</v>
      </c>
      <c r="B437" s="2" t="str">
        <f>VLOOKUP($A437,'[1]daily coal, energy reqd'!$C$2:$T$599,17,FALSE)</f>
        <v>Chhatisgarh</v>
      </c>
      <c r="C437" s="2" t="str">
        <f>VLOOKUP(B437,'Target PLF'!$I$2:$J$19,2,FALSE)</f>
        <v>WR</v>
      </c>
      <c r="D437" s="2" t="s">
        <v>571</v>
      </c>
      <c r="E437" s="2" t="s">
        <v>543</v>
      </c>
      <c r="F437" s="12">
        <v>7.7563312799452397</v>
      </c>
      <c r="G437" s="2">
        <v>660</v>
      </c>
      <c r="H437">
        <f>VLOOKUP(A437,'Coal savings'!$A$3:$AB$543,26,FALSE)</f>
        <v>3025953.3306646324</v>
      </c>
      <c r="I437" t="s">
        <v>694</v>
      </c>
      <c r="J437">
        <f>1908.95/3</f>
        <v>636.31666666666672</v>
      </c>
      <c r="O437" s="2" t="s">
        <v>85</v>
      </c>
      <c r="Q437" s="96"/>
      <c r="R437" s="96"/>
      <c r="S437" s="96"/>
      <c r="T437" s="96"/>
      <c r="U437" s="96"/>
      <c r="V437" s="96"/>
      <c r="AH437" s="2" t="str">
        <f t="shared" si="151"/>
        <v>2019</v>
      </c>
      <c r="AI437" s="2">
        <f t="shared" si="153"/>
        <v>459.03806102919378</v>
      </c>
      <c r="AJ437" s="2">
        <f t="shared" si="132"/>
        <v>0.69551221368059668</v>
      </c>
      <c r="AK437" s="12">
        <f t="shared" si="133"/>
        <v>3.7563312799452397</v>
      </c>
      <c r="AL437" s="2" t="s">
        <v>571</v>
      </c>
      <c r="AM437" s="2" t="str">
        <f>VLOOKUP(A437,'[12]Power plant names'!$C$2:$F$545,4,FALSE)</f>
        <v>Super critical</v>
      </c>
      <c r="AN437" s="2">
        <v>660</v>
      </c>
      <c r="AO437" s="2">
        <f t="shared" si="134"/>
        <v>0.69551221368059668</v>
      </c>
      <c r="AP437" s="2">
        <v>660</v>
      </c>
      <c r="AQ437" s="2">
        <f t="shared" si="135"/>
        <v>0</v>
      </c>
      <c r="AR437" s="2">
        <f t="shared" si="136"/>
        <v>459.03806102919378</v>
      </c>
      <c r="AS437" s="2">
        <f t="shared" si="137"/>
        <v>0</v>
      </c>
      <c r="AU437" s="2">
        <f t="shared" si="147"/>
        <v>636.31666666666672</v>
      </c>
      <c r="AV437" s="2">
        <f t="shared" si="138"/>
        <v>0.96411616161616165</v>
      </c>
      <c r="AW437" s="12">
        <f t="shared" si="139"/>
        <v>6.7563312799452397</v>
      </c>
      <c r="AX437" s="2">
        <v>660</v>
      </c>
      <c r="AY437" s="3">
        <f t="shared" si="140"/>
        <v>0.96411616161616165</v>
      </c>
      <c r="AZ437" s="2">
        <f t="shared" si="141"/>
        <v>636.31666666666672</v>
      </c>
      <c r="BA437" s="2">
        <f t="shared" si="142"/>
        <v>0</v>
      </c>
      <c r="BC437">
        <f t="shared" si="143"/>
        <v>709.4930833333334</v>
      </c>
      <c r="BD437">
        <f t="shared" si="148"/>
        <v>1.0749895202020203</v>
      </c>
      <c r="BE437">
        <f t="shared" si="144"/>
        <v>1.0749895202020203</v>
      </c>
      <c r="BF437">
        <f t="shared" si="145"/>
        <v>709.4930833333334</v>
      </c>
      <c r="BG437">
        <f t="shared" si="146"/>
        <v>0</v>
      </c>
    </row>
    <row r="438" spans="1:59" ht="14.5" customHeight="1" x14ac:dyDescent="0.2">
      <c r="A438" s="2" t="s">
        <v>181</v>
      </c>
      <c r="B438" s="2" t="str">
        <f>VLOOKUP($A438,'[1]daily coal, energy reqd'!$C$2:$T$599,17,FALSE)</f>
        <v>Chhatisgarh</v>
      </c>
      <c r="C438" s="2" t="str">
        <f>VLOOKUP(B438,'Target PLF'!$I$2:$J$19,2,FALSE)</f>
        <v>WR</v>
      </c>
      <c r="D438" s="2" t="s">
        <v>571</v>
      </c>
      <c r="E438" s="2" t="s">
        <v>544</v>
      </c>
      <c r="F438" s="12">
        <v>11.9233401779603</v>
      </c>
      <c r="G438" s="2">
        <v>500</v>
      </c>
      <c r="H438">
        <f>VLOOKUP(A438,'Coal savings'!$A$3:$AB$543,26,FALSE)</f>
        <v>2321488.0880013732</v>
      </c>
      <c r="I438" t="s">
        <v>694</v>
      </c>
      <c r="J438">
        <f>911.21/2</f>
        <v>455.60500000000002</v>
      </c>
      <c r="O438" s="2" t="s">
        <v>181</v>
      </c>
      <c r="Q438" s="96"/>
      <c r="R438" s="96"/>
      <c r="S438" s="96"/>
      <c r="T438" s="96">
        <v>10.38</v>
      </c>
      <c r="U438" s="96" t="s">
        <v>681</v>
      </c>
      <c r="AH438" s="2" t="str">
        <f t="shared" si="151"/>
        <v>2019</v>
      </c>
      <c r="AI438" s="2">
        <f t="shared" si="153"/>
        <v>328.67288686744939</v>
      </c>
      <c r="AJ438" s="2">
        <f t="shared" si="132"/>
        <v>0.65734577373489878</v>
      </c>
      <c r="AK438" s="12">
        <f t="shared" si="133"/>
        <v>7.9233401779603003</v>
      </c>
      <c r="AL438" s="2" t="s">
        <v>571</v>
      </c>
      <c r="AM438" s="2" t="str">
        <f>VLOOKUP(A438,'[12]Power plant names'!$C$2:$F$545,4,FALSE)</f>
        <v>Sub critical</v>
      </c>
      <c r="AN438" s="2">
        <v>500</v>
      </c>
      <c r="AO438" s="2">
        <f t="shared" si="134"/>
        <v>0.65734577373489878</v>
      </c>
      <c r="AP438" s="2">
        <v>500</v>
      </c>
      <c r="AQ438" s="2">
        <f t="shared" si="135"/>
        <v>0</v>
      </c>
      <c r="AR438" s="2">
        <f t="shared" si="136"/>
        <v>328.67288686744939</v>
      </c>
      <c r="AS438" s="2">
        <f t="shared" si="137"/>
        <v>0</v>
      </c>
      <c r="AU438" s="2">
        <f t="shared" si="147"/>
        <v>455.60500000000002</v>
      </c>
      <c r="AV438" s="2">
        <f t="shared" si="138"/>
        <v>0.91121000000000008</v>
      </c>
      <c r="AW438" s="12">
        <f t="shared" si="139"/>
        <v>10.9233401779603</v>
      </c>
      <c r="AX438" s="2">
        <v>500</v>
      </c>
      <c r="AY438" s="3">
        <f t="shared" si="140"/>
        <v>0.91121000000000008</v>
      </c>
      <c r="AZ438" s="2">
        <f t="shared" si="141"/>
        <v>455.60500000000002</v>
      </c>
      <c r="BA438" s="2">
        <f t="shared" si="142"/>
        <v>0</v>
      </c>
      <c r="BC438">
        <f t="shared" si="143"/>
        <v>507.99957499999999</v>
      </c>
      <c r="BD438">
        <f t="shared" si="148"/>
        <v>1.0159991500000001</v>
      </c>
      <c r="BE438">
        <f t="shared" si="144"/>
        <v>1.0159991500000001</v>
      </c>
      <c r="BF438">
        <f t="shared" si="145"/>
        <v>507.99957500000005</v>
      </c>
      <c r="BG438">
        <f t="shared" si="146"/>
        <v>0</v>
      </c>
    </row>
    <row r="439" spans="1:59" ht="14.5" customHeight="1" x14ac:dyDescent="0.2">
      <c r="A439" s="2" t="s">
        <v>178</v>
      </c>
      <c r="B439" s="2" t="str">
        <f>VLOOKUP($A439,'[1]daily coal, energy reqd'!$C$2:$T$599,17,FALSE)</f>
        <v>Chhatisgarh</v>
      </c>
      <c r="C439" s="2" t="str">
        <f>VLOOKUP(B439,'Target PLF'!$I$2:$J$19,2,FALSE)</f>
        <v>WR</v>
      </c>
      <c r="D439" s="2" t="s">
        <v>571</v>
      </c>
      <c r="E439" s="2" t="s">
        <v>544</v>
      </c>
      <c r="F439" s="12">
        <v>11.337440109514</v>
      </c>
      <c r="G439" s="2">
        <v>500</v>
      </c>
      <c r="H439">
        <f>VLOOKUP(A439,'Coal savings'!$A$3:$AB$543,26,FALSE)</f>
        <v>2317752.863777902</v>
      </c>
      <c r="I439" t="s">
        <v>694</v>
      </c>
      <c r="J439">
        <f>911.21/2</f>
        <v>455.60500000000002</v>
      </c>
      <c r="O439" s="2" t="s">
        <v>178</v>
      </c>
      <c r="Q439" s="96"/>
      <c r="R439" s="96"/>
      <c r="S439" s="96"/>
      <c r="T439" s="96"/>
      <c r="U439" s="96"/>
      <c r="AH439" s="2" t="str">
        <f t="shared" si="151"/>
        <v>2019</v>
      </c>
      <c r="AI439" s="2">
        <f t="shared" si="153"/>
        <v>328.67288686744939</v>
      </c>
      <c r="AJ439" s="2">
        <f t="shared" si="132"/>
        <v>0.65734577373489878</v>
      </c>
      <c r="AK439" s="12">
        <f t="shared" si="133"/>
        <v>7.3374401095140005</v>
      </c>
      <c r="AL439" s="2" t="s">
        <v>571</v>
      </c>
      <c r="AM439" s="2" t="str">
        <f>VLOOKUP(A439,'[12]Power plant names'!$C$2:$F$545,4,FALSE)</f>
        <v>Sub critical</v>
      </c>
      <c r="AN439" s="2">
        <v>500</v>
      </c>
      <c r="AO439" s="2">
        <f t="shared" si="134"/>
        <v>0.65734577373489878</v>
      </c>
      <c r="AP439" s="2">
        <v>500</v>
      </c>
      <c r="AQ439" s="2">
        <f t="shared" si="135"/>
        <v>0</v>
      </c>
      <c r="AR439" s="2">
        <f t="shared" si="136"/>
        <v>328.67288686744939</v>
      </c>
      <c r="AS439" s="2">
        <f t="shared" si="137"/>
        <v>0</v>
      </c>
      <c r="AU439" s="2">
        <f t="shared" si="147"/>
        <v>455.60500000000002</v>
      </c>
      <c r="AV439" s="2">
        <f t="shared" si="138"/>
        <v>0.91121000000000008</v>
      </c>
      <c r="AW439" s="12">
        <f t="shared" si="139"/>
        <v>10.337440109514</v>
      </c>
      <c r="AX439" s="2">
        <v>500</v>
      </c>
      <c r="AY439" s="3">
        <f t="shared" si="140"/>
        <v>0.91121000000000008</v>
      </c>
      <c r="AZ439" s="2">
        <f t="shared" si="141"/>
        <v>455.60500000000002</v>
      </c>
      <c r="BA439" s="2">
        <f t="shared" si="142"/>
        <v>0</v>
      </c>
      <c r="BC439">
        <f t="shared" si="143"/>
        <v>507.99957499999999</v>
      </c>
      <c r="BD439">
        <f t="shared" si="148"/>
        <v>1.0159991500000001</v>
      </c>
      <c r="BE439">
        <f t="shared" si="144"/>
        <v>1.0159991500000001</v>
      </c>
      <c r="BF439">
        <f t="shared" si="145"/>
        <v>507.99957500000005</v>
      </c>
      <c r="BG439">
        <f t="shared" si="146"/>
        <v>0</v>
      </c>
    </row>
    <row r="440" spans="1:59" x14ac:dyDescent="0.2">
      <c r="A440" s="2" t="s">
        <v>31</v>
      </c>
      <c r="B440" s="2" t="str">
        <f>VLOOKUP($A440,'[1]daily coal, energy reqd'!$C$2:$T$599,17,FALSE)</f>
        <v>Maharashtra</v>
      </c>
      <c r="C440" s="2" t="str">
        <f>VLOOKUP(B440,'Target PLF'!$I$2:$J$19,2,FALSE)</f>
        <v>WR</v>
      </c>
      <c r="D440" s="2" t="s">
        <v>571</v>
      </c>
      <c r="E440" s="2" t="s">
        <v>542</v>
      </c>
      <c r="F440" s="12">
        <v>3.0910335386721401</v>
      </c>
      <c r="G440" s="2">
        <v>660</v>
      </c>
      <c r="H440">
        <f>VLOOKUP(A440,'Coal savings'!$A$3:$AB$543,26,FALSE)</f>
        <v>3245845.0980364685</v>
      </c>
      <c r="I440" t="s">
        <v>694</v>
      </c>
      <c r="J440">
        <f>1060.99/2</f>
        <v>530.495</v>
      </c>
      <c r="O440" s="2" t="s">
        <v>31</v>
      </c>
      <c r="P440">
        <v>2019</v>
      </c>
      <c r="Q440" s="96">
        <v>19.63</v>
      </c>
      <c r="R440" s="96" t="s">
        <v>611</v>
      </c>
      <c r="S440" s="96"/>
      <c r="T440" s="96">
        <v>17.47</v>
      </c>
      <c r="U440" s="96" t="s">
        <v>681</v>
      </c>
      <c r="V440" s="96"/>
      <c r="AH440" s="2" t="str">
        <f t="shared" si="151"/>
        <v>2019</v>
      </c>
      <c r="AI440" s="2">
        <f t="shared" si="153"/>
        <v>382.69844079574972</v>
      </c>
      <c r="AJ440" s="2">
        <f t="shared" si="132"/>
        <v>0.57984612241780265</v>
      </c>
      <c r="AK440" s="12">
        <f t="shared" si="133"/>
        <v>1</v>
      </c>
      <c r="AL440" s="2" t="s">
        <v>571</v>
      </c>
      <c r="AM440" s="2" t="str">
        <f>VLOOKUP(A440,'[12]Power plant names'!$C$2:$F$545,4,FALSE)</f>
        <v>Super critical</v>
      </c>
      <c r="AN440" s="2">
        <v>660</v>
      </c>
      <c r="AO440" s="2">
        <f t="shared" si="134"/>
        <v>0.57984612241780265</v>
      </c>
      <c r="AP440" s="2">
        <v>660</v>
      </c>
      <c r="AQ440" s="2">
        <f t="shared" si="135"/>
        <v>0</v>
      </c>
      <c r="AR440" s="2">
        <f t="shared" si="136"/>
        <v>382.69844079574972</v>
      </c>
      <c r="AS440" s="2">
        <f t="shared" si="137"/>
        <v>0</v>
      </c>
      <c r="AU440" s="2">
        <f t="shared" si="147"/>
        <v>530.495</v>
      </c>
      <c r="AV440" s="2">
        <f t="shared" si="138"/>
        <v>0.80378030303030301</v>
      </c>
      <c r="AW440" s="12">
        <f t="shared" si="139"/>
        <v>2.0910335386721401</v>
      </c>
      <c r="AX440" s="2">
        <v>660</v>
      </c>
      <c r="AY440" s="3">
        <f t="shared" si="140"/>
        <v>0.80378030303030301</v>
      </c>
      <c r="AZ440" s="2">
        <f t="shared" si="141"/>
        <v>530.495</v>
      </c>
      <c r="BA440" s="2">
        <f t="shared" si="142"/>
        <v>0</v>
      </c>
      <c r="BC440">
        <f t="shared" si="143"/>
        <v>591.50192500000003</v>
      </c>
      <c r="BD440">
        <f t="shared" si="148"/>
        <v>0.89621503787878787</v>
      </c>
      <c r="BE440">
        <f t="shared" si="144"/>
        <v>0.89621503787878787</v>
      </c>
      <c r="BF440">
        <f t="shared" si="145"/>
        <v>591.50192500000003</v>
      </c>
      <c r="BG440">
        <f t="shared" si="146"/>
        <v>0</v>
      </c>
    </row>
    <row r="441" spans="1:59" x14ac:dyDescent="0.2">
      <c r="A441" s="2" t="s">
        <v>20</v>
      </c>
      <c r="B441" s="2" t="str">
        <f>VLOOKUP($A441,'[1]daily coal, energy reqd'!$C$2:$T$599,17,FALSE)</f>
        <v>Maharashtra</v>
      </c>
      <c r="C441" s="2" t="str">
        <f>VLOOKUP(B441,'Target PLF'!$I$2:$J$19,2,FALSE)</f>
        <v>WR</v>
      </c>
      <c r="D441" s="2" t="s">
        <v>571</v>
      </c>
      <c r="E441" s="2" t="s">
        <v>542</v>
      </c>
      <c r="F441" s="13">
        <v>1.06776180698151</v>
      </c>
      <c r="G441" s="2">
        <v>660</v>
      </c>
      <c r="H441">
        <f>VLOOKUP(A441,'Coal savings'!$A$3:$AB$543,26,FALSE)</f>
        <v>3226271.8042369694</v>
      </c>
      <c r="I441" t="s">
        <v>694</v>
      </c>
      <c r="J441">
        <f>1060.99/2</f>
        <v>530.495</v>
      </c>
      <c r="O441" s="2" t="s">
        <v>20</v>
      </c>
      <c r="Q441" s="96"/>
      <c r="R441" s="96"/>
      <c r="S441" s="96"/>
      <c r="T441" s="96"/>
      <c r="U441" s="96"/>
      <c r="V441" s="96"/>
      <c r="AH441" s="2" t="str">
        <f t="shared" si="151"/>
        <v>2019</v>
      </c>
      <c r="AI441" s="2">
        <f t="shared" si="153"/>
        <v>382.69844079574972</v>
      </c>
      <c r="AJ441" s="2">
        <f t="shared" si="132"/>
        <v>0.57984612241780265</v>
      </c>
      <c r="AK441" s="12">
        <f t="shared" si="133"/>
        <v>1</v>
      </c>
      <c r="AL441" s="2" t="s">
        <v>571</v>
      </c>
      <c r="AM441" s="2" t="str">
        <f>VLOOKUP(A441,'[12]Power plant names'!$C$2:$F$545,4,FALSE)</f>
        <v>Super critical</v>
      </c>
      <c r="AN441" s="2">
        <v>660</v>
      </c>
      <c r="AO441" s="2">
        <f t="shared" si="134"/>
        <v>0.57984612241780265</v>
      </c>
      <c r="AP441" s="2">
        <v>660</v>
      </c>
      <c r="AQ441" s="2">
        <f t="shared" si="135"/>
        <v>0</v>
      </c>
      <c r="AR441" s="2">
        <f t="shared" si="136"/>
        <v>382.69844079574972</v>
      </c>
      <c r="AS441" s="2">
        <f t="shared" si="137"/>
        <v>0</v>
      </c>
      <c r="AU441" s="2">
        <f t="shared" si="147"/>
        <v>530.495</v>
      </c>
      <c r="AV441" s="2">
        <f t="shared" si="138"/>
        <v>0.80378030303030301</v>
      </c>
      <c r="AW441" s="12">
        <f t="shared" si="139"/>
        <v>6.776180698151002E-2</v>
      </c>
      <c r="AX441" s="2">
        <v>660</v>
      </c>
      <c r="AY441" s="3">
        <f t="shared" si="140"/>
        <v>0.80378030303030301</v>
      </c>
      <c r="AZ441" s="2">
        <f t="shared" si="141"/>
        <v>530.495</v>
      </c>
      <c r="BA441" s="2">
        <f t="shared" si="142"/>
        <v>0</v>
      </c>
      <c r="BC441">
        <f t="shared" si="143"/>
        <v>591.50192500000003</v>
      </c>
      <c r="BD441">
        <f t="shared" si="148"/>
        <v>0.89621503787878787</v>
      </c>
      <c r="BE441">
        <f t="shared" si="144"/>
        <v>0.89621503787878787</v>
      </c>
      <c r="BF441">
        <f t="shared" si="145"/>
        <v>591.50192500000003</v>
      </c>
      <c r="BG441">
        <f t="shared" si="146"/>
        <v>0</v>
      </c>
    </row>
    <row r="442" spans="1:59" ht="14.5" hidden="1" customHeight="1" x14ac:dyDescent="0.2">
      <c r="A442" s="2" t="s">
        <v>467</v>
      </c>
      <c r="B442" s="2" t="str">
        <f>VLOOKUP($A442,'[1]daily coal, energy reqd'!$C$2:$T$599,17,FALSE)</f>
        <v>West Bengal</v>
      </c>
      <c r="C442" s="2" t="str">
        <f>VLOOKUP(B442,'Target PLF'!$I$2:$J$19,2,FALSE)</f>
        <v>ER</v>
      </c>
      <c r="D442" s="2" t="s">
        <v>572</v>
      </c>
      <c r="E442" s="2" t="s">
        <v>547</v>
      </c>
      <c r="F442" s="12">
        <v>29.0924024640657</v>
      </c>
      <c r="G442" s="2">
        <v>68</v>
      </c>
      <c r="H442">
        <f>VLOOKUP(A442,'Coal savings'!$A$3:$AB$543,26,FALSE)</f>
        <v>0</v>
      </c>
      <c r="I442" t="s">
        <v>695</v>
      </c>
      <c r="J442">
        <f>41.6/2</f>
        <v>20.8</v>
      </c>
      <c r="O442" s="2" t="s">
        <v>467</v>
      </c>
      <c r="AH442" s="2" t="str">
        <f t="shared" si="151"/>
        <v>2018</v>
      </c>
      <c r="AI442" s="2">
        <f t="shared" si="153"/>
        <v>16.730680287156389</v>
      </c>
      <c r="AJ442" s="2">
        <f t="shared" si="132"/>
        <v>0.24603941598759396</v>
      </c>
      <c r="AK442" s="12">
        <f t="shared" si="133"/>
        <v>25.0924024640657</v>
      </c>
      <c r="AL442" s="2" t="s">
        <v>572</v>
      </c>
      <c r="AM442" s="2" t="str">
        <f>VLOOKUP(A442,'[12]Power plant names'!$C$2:$F$545,4,FALSE)</f>
        <v>Sub critical</v>
      </c>
      <c r="AN442" s="2">
        <v>68</v>
      </c>
      <c r="AO442" s="2">
        <f t="shared" si="134"/>
        <v>0.24603941598759396</v>
      </c>
      <c r="AP442" s="2">
        <v>68</v>
      </c>
      <c r="AQ442" s="2">
        <f t="shared" si="135"/>
        <v>0</v>
      </c>
      <c r="AR442" s="2">
        <f t="shared" si="136"/>
        <v>16.730680287156389</v>
      </c>
      <c r="AS442" s="2">
        <f t="shared" si="137"/>
        <v>0</v>
      </c>
      <c r="AU442" s="2">
        <f t="shared" si="147"/>
        <v>20.8</v>
      </c>
      <c r="AV442" s="2">
        <f t="shared" si="138"/>
        <v>0.30588235294117649</v>
      </c>
      <c r="AW442" s="12">
        <f t="shared" si="139"/>
        <v>27.0924024640657</v>
      </c>
      <c r="AX442" s="2">
        <v>68</v>
      </c>
      <c r="AY442" s="3">
        <f t="shared" si="140"/>
        <v>0.30588235294117649</v>
      </c>
      <c r="AZ442" s="2">
        <f t="shared" si="141"/>
        <v>20.8</v>
      </c>
      <c r="BA442" s="2">
        <f t="shared" si="142"/>
        <v>0</v>
      </c>
      <c r="BC442">
        <f t="shared" si="143"/>
        <v>25.859080000000002</v>
      </c>
      <c r="BD442">
        <f t="shared" si="148"/>
        <v>0.38028058823529415</v>
      </c>
      <c r="BE442">
        <f t="shared" si="144"/>
        <v>0.38028058823529415</v>
      </c>
      <c r="BF442">
        <f t="shared" si="145"/>
        <v>25.859080000000002</v>
      </c>
      <c r="BG442">
        <f t="shared" si="146"/>
        <v>0</v>
      </c>
    </row>
    <row r="443" spans="1:59" ht="14.5" hidden="1" customHeight="1" x14ac:dyDescent="0.2">
      <c r="A443" s="2" t="s">
        <v>471</v>
      </c>
      <c r="B443" s="2" t="str">
        <f>VLOOKUP($A443,'[1]daily coal, energy reqd'!$C$2:$T$599,17,FALSE)</f>
        <v>West Bengal</v>
      </c>
      <c r="C443" s="2" t="str">
        <f>VLOOKUP(B443,'Target PLF'!$I$2:$J$19,2,FALSE)</f>
        <v>ER</v>
      </c>
      <c r="D443" s="2" t="s">
        <v>572</v>
      </c>
      <c r="E443" s="2" t="s">
        <v>547</v>
      </c>
      <c r="F443" s="12">
        <v>29.7577002053388</v>
      </c>
      <c r="G443" s="2">
        <v>68</v>
      </c>
      <c r="H443">
        <f>VLOOKUP(A443,'Coal savings'!$A$3:$AB$543,26,FALSE)</f>
        <v>0</v>
      </c>
      <c r="I443" t="s">
        <v>695</v>
      </c>
      <c r="J443">
        <f>41.6/2</f>
        <v>20.8</v>
      </c>
      <c r="O443" s="2" t="s">
        <v>471</v>
      </c>
      <c r="AH443" s="2" t="str">
        <f t="shared" si="151"/>
        <v>2018</v>
      </c>
      <c r="AI443" s="2">
        <f t="shared" si="153"/>
        <v>16.730680287156389</v>
      </c>
      <c r="AJ443" s="2">
        <f t="shared" si="132"/>
        <v>0.24603941598759396</v>
      </c>
      <c r="AK443" s="12">
        <f t="shared" si="133"/>
        <v>25.7577002053388</v>
      </c>
      <c r="AL443" s="2" t="s">
        <v>572</v>
      </c>
      <c r="AM443" s="2" t="str">
        <f>VLOOKUP(A443,'[12]Power plant names'!$C$2:$F$545,4,FALSE)</f>
        <v>Sub critical</v>
      </c>
      <c r="AN443" s="2">
        <v>68</v>
      </c>
      <c r="AO443" s="2">
        <f t="shared" si="134"/>
        <v>0.24603941598759396</v>
      </c>
      <c r="AP443" s="2">
        <v>68</v>
      </c>
      <c r="AQ443" s="2">
        <f t="shared" si="135"/>
        <v>0</v>
      </c>
      <c r="AR443" s="2">
        <f t="shared" si="136"/>
        <v>16.730680287156389</v>
      </c>
      <c r="AS443" s="2">
        <f t="shared" si="137"/>
        <v>0</v>
      </c>
      <c r="AU443" s="2">
        <f t="shared" si="147"/>
        <v>20.8</v>
      </c>
      <c r="AV443" s="2">
        <f t="shared" si="138"/>
        <v>0.30588235294117649</v>
      </c>
      <c r="AW443" s="12">
        <f t="shared" si="139"/>
        <v>27.7577002053388</v>
      </c>
      <c r="AX443" s="2">
        <v>68</v>
      </c>
      <c r="AY443" s="3">
        <f t="shared" si="140"/>
        <v>0.30588235294117649</v>
      </c>
      <c r="AZ443" s="2">
        <f t="shared" si="141"/>
        <v>20.8</v>
      </c>
      <c r="BA443" s="2">
        <f t="shared" si="142"/>
        <v>0</v>
      </c>
      <c r="BC443">
        <f t="shared" si="143"/>
        <v>25.859080000000002</v>
      </c>
      <c r="BD443">
        <f t="shared" si="148"/>
        <v>0.38028058823529415</v>
      </c>
      <c r="BE443">
        <f t="shared" si="144"/>
        <v>0.38028058823529415</v>
      </c>
      <c r="BF443">
        <f t="shared" si="145"/>
        <v>25.859080000000002</v>
      </c>
      <c r="BG443">
        <f t="shared" si="146"/>
        <v>0</v>
      </c>
    </row>
    <row r="444" spans="1:59" x14ac:dyDescent="0.2">
      <c r="A444" s="2" t="s">
        <v>136</v>
      </c>
      <c r="B444" s="2" t="str">
        <f>VLOOKUP($A444,'[1]daily coal, energy reqd'!$C$2:$T$599,17,FALSE)</f>
        <v>Odisha</v>
      </c>
      <c r="C444" s="2" t="str">
        <f>VLOOKUP(B444,'Target PLF'!$I$2:$J$19,2,FALSE)</f>
        <v>ER</v>
      </c>
      <c r="D444" s="2" t="s">
        <v>572</v>
      </c>
      <c r="E444" s="2" t="s">
        <v>544</v>
      </c>
      <c r="F444" s="12">
        <v>10.17659137577</v>
      </c>
      <c r="G444" s="2">
        <v>600</v>
      </c>
      <c r="H444">
        <f>VLOOKUP(A444,'Coal savings'!$A$3:$AB$543,26,FALSE)</f>
        <v>3208529.5205049063</v>
      </c>
      <c r="O444" s="2" t="s">
        <v>136</v>
      </c>
      <c r="AH444" s="2" t="str">
        <f t="shared" si="151"/>
        <v/>
      </c>
      <c r="AI444" s="2"/>
      <c r="AJ444" s="2" t="str">
        <f t="shared" si="132"/>
        <v/>
      </c>
      <c r="AK444" s="12">
        <f t="shared" si="133"/>
        <v>6.1765913757700002</v>
      </c>
      <c r="AL444" s="2" t="s">
        <v>572</v>
      </c>
      <c r="AM444" s="2" t="str">
        <f>VLOOKUP(A444,'[12]Power plant names'!$C$2:$F$545,4,FALSE)</f>
        <v>Sub critical</v>
      </c>
      <c r="AN444" s="2">
        <v>600</v>
      </c>
      <c r="AO444" s="2">
        <f t="shared" si="134"/>
        <v>0.72478562053388129</v>
      </c>
      <c r="AP444" s="2">
        <v>300</v>
      </c>
      <c r="AQ444" s="2">
        <f t="shared" si="135"/>
        <v>300</v>
      </c>
      <c r="AR444" s="2">
        <f t="shared" si="136"/>
        <v>217.43568616016438</v>
      </c>
      <c r="AS444" s="2">
        <f t="shared" si="137"/>
        <v>217.43568616016438</v>
      </c>
      <c r="AU444" s="2"/>
      <c r="AV444" s="2" t="str">
        <f t="shared" si="138"/>
        <v/>
      </c>
      <c r="AW444" s="12">
        <f t="shared" si="139"/>
        <v>10.17659137577</v>
      </c>
      <c r="AX444" s="2">
        <v>600</v>
      </c>
      <c r="AY444" s="3">
        <f t="shared" si="140"/>
        <v>0.89873799219712569</v>
      </c>
      <c r="AZ444" s="2">
        <f t="shared" si="141"/>
        <v>269.6213976591377</v>
      </c>
      <c r="BA444" s="2">
        <f t="shared" si="142"/>
        <v>269.6213976591377</v>
      </c>
      <c r="BC444" t="str">
        <f t="shared" si="143"/>
        <v/>
      </c>
      <c r="BE444">
        <f t="shared" si="144"/>
        <v>0.99451713552361443</v>
      </c>
      <c r="BF444">
        <f t="shared" si="145"/>
        <v>298.35514065708435</v>
      </c>
      <c r="BG444">
        <f t="shared" si="146"/>
        <v>298.35514065708435</v>
      </c>
    </row>
    <row r="445" spans="1:59" x14ac:dyDescent="0.2">
      <c r="A445" s="2" t="s">
        <v>131</v>
      </c>
      <c r="B445" s="2" t="str">
        <f>VLOOKUP($A445,'[1]daily coal, energy reqd'!$C$2:$T$599,17,FALSE)</f>
        <v>Odisha</v>
      </c>
      <c r="C445" s="2" t="str">
        <f>VLOOKUP(B445,'Target PLF'!$I$2:$J$19,2,FALSE)</f>
        <v>ER</v>
      </c>
      <c r="D445" s="2" t="s">
        <v>572</v>
      </c>
      <c r="E445" s="2" t="s">
        <v>543</v>
      </c>
      <c r="F445" s="12">
        <v>9.4236824093086895</v>
      </c>
      <c r="G445" s="2">
        <v>600</v>
      </c>
      <c r="H445">
        <f>VLOOKUP(A445,'Coal savings'!$A$3:$AB$543,26,FALSE)</f>
        <v>3380839.2706011459</v>
      </c>
      <c r="O445" s="2" t="s">
        <v>131</v>
      </c>
      <c r="AH445" s="2" t="str">
        <f t="shared" si="151"/>
        <v/>
      </c>
      <c r="AI445" s="2"/>
      <c r="AJ445" s="2" t="str">
        <f t="shared" si="132"/>
        <v/>
      </c>
      <c r="AK445" s="12">
        <f t="shared" si="133"/>
        <v>5.4236824093086895</v>
      </c>
      <c r="AL445" s="2" t="s">
        <v>572</v>
      </c>
      <c r="AM445" s="2" t="str">
        <f>VLOOKUP(A445,'[12]Power plant names'!$C$2:$F$545,4,FALSE)</f>
        <v>Sub critical</v>
      </c>
      <c r="AN445" s="2">
        <v>600</v>
      </c>
      <c r="AO445" s="2">
        <f t="shared" si="134"/>
        <v>0.73521762600958263</v>
      </c>
      <c r="AP445" s="2">
        <v>300</v>
      </c>
      <c r="AQ445" s="2">
        <f t="shared" si="135"/>
        <v>300</v>
      </c>
      <c r="AR445" s="2">
        <f t="shared" si="136"/>
        <v>220.56528780287479</v>
      </c>
      <c r="AS445" s="2">
        <f t="shared" si="137"/>
        <v>220.56528780287479</v>
      </c>
      <c r="AU445" s="2"/>
      <c r="AV445" s="2" t="str">
        <f t="shared" si="138"/>
        <v/>
      </c>
      <c r="AW445" s="12">
        <f t="shared" si="139"/>
        <v>9.4236824093086895</v>
      </c>
      <c r="AX445" s="2">
        <v>600</v>
      </c>
      <c r="AY445" s="3">
        <f t="shared" si="140"/>
        <v>0.91238996344969214</v>
      </c>
      <c r="AZ445" s="2">
        <f t="shared" si="141"/>
        <v>273.71698903490767</v>
      </c>
      <c r="BA445" s="2">
        <f t="shared" si="142"/>
        <v>273.71698903490767</v>
      </c>
      <c r="BC445" t="str">
        <f t="shared" si="143"/>
        <v/>
      </c>
      <c r="BE445">
        <f t="shared" si="144"/>
        <v>1.0107223716632445</v>
      </c>
      <c r="BF445">
        <f t="shared" si="145"/>
        <v>303.21671149897338</v>
      </c>
      <c r="BG445">
        <f t="shared" si="146"/>
        <v>303.21671149897338</v>
      </c>
    </row>
    <row r="446" spans="1:59" ht="14.5" hidden="1" customHeight="1" x14ac:dyDescent="0.2">
      <c r="A446" s="2" t="s">
        <v>367</v>
      </c>
      <c r="B446" s="2" t="str">
        <f>VLOOKUP($A446,'[1]daily coal, energy reqd'!$C$2:$T$599,17,FALSE)</f>
        <v>Rajasthan</v>
      </c>
      <c r="C446" s="2" t="str">
        <f>VLOOKUP(B446,'Target PLF'!$I$2:$J$19,2,FALSE)</f>
        <v>NR</v>
      </c>
      <c r="D446" s="2" t="s">
        <v>570</v>
      </c>
      <c r="E446" s="2" t="s">
        <v>546</v>
      </c>
      <c r="F446" s="12">
        <v>22.009582477754901</v>
      </c>
      <c r="G446" s="2">
        <v>250</v>
      </c>
      <c r="H446">
        <f>VLOOKUP(A446,'Coal savings'!$A$3:$AB$543,26,FALSE)</f>
        <v>0</v>
      </c>
      <c r="O446" s="2" t="s">
        <v>367</v>
      </c>
      <c r="P446">
        <v>2019</v>
      </c>
      <c r="Q446" s="96">
        <v>371</v>
      </c>
      <c r="R446" s="96" t="s">
        <v>616</v>
      </c>
      <c r="S446" s="96">
        <v>1500</v>
      </c>
      <c r="AH446" s="2"/>
      <c r="AI446" s="2"/>
      <c r="AJ446" s="2" t="str">
        <f t="shared" si="132"/>
        <v/>
      </c>
      <c r="AK446" s="12">
        <f t="shared" si="133"/>
        <v>18.009582477754901</v>
      </c>
      <c r="AL446" s="2" t="s">
        <v>570</v>
      </c>
      <c r="AM446" s="2" t="str">
        <f>VLOOKUP(A446,'[12]Power plant names'!$C$2:$F$545,4,FALSE)</f>
        <v>Sub critical</v>
      </c>
      <c r="AN446" s="2">
        <v>250</v>
      </c>
      <c r="AO446" s="2">
        <f t="shared" si="134"/>
        <v>0.71899742902121933</v>
      </c>
      <c r="AP446" s="2">
        <v>250</v>
      </c>
      <c r="AQ446" s="2">
        <f t="shared" si="135"/>
        <v>0</v>
      </c>
      <c r="AR446" s="2">
        <f t="shared" si="136"/>
        <v>179.74935725530483</v>
      </c>
      <c r="AS446" s="2">
        <f t="shared" si="137"/>
        <v>0</v>
      </c>
      <c r="AU446" s="2"/>
      <c r="AV446" s="2" t="str">
        <f t="shared" si="138"/>
        <v/>
      </c>
      <c r="AW446" s="12">
        <f t="shared" si="139"/>
        <v>22.009582477754901</v>
      </c>
      <c r="AX446" s="2">
        <v>250</v>
      </c>
      <c r="AY446" s="3">
        <f t="shared" si="140"/>
        <v>0.87961864763860498</v>
      </c>
      <c r="AZ446" s="2">
        <f t="shared" si="141"/>
        <v>219.90466190965125</v>
      </c>
      <c r="BA446" s="2">
        <f t="shared" si="142"/>
        <v>0</v>
      </c>
      <c r="BC446" t="str">
        <f t="shared" si="143"/>
        <v/>
      </c>
      <c r="BE446">
        <f t="shared" si="144"/>
        <v>0.98559975154004242</v>
      </c>
      <c r="BF446">
        <f t="shared" si="145"/>
        <v>246.39993788501062</v>
      </c>
      <c r="BG446">
        <f t="shared" si="146"/>
        <v>0</v>
      </c>
    </row>
    <row r="447" spans="1:59" ht="14.5" hidden="1" customHeight="1" x14ac:dyDescent="0.2">
      <c r="A447" s="2" t="s">
        <v>354</v>
      </c>
      <c r="B447" s="2" t="str">
        <f>VLOOKUP($A447,'[1]daily coal, energy reqd'!$C$2:$T$599,17,FALSE)</f>
        <v>Rajasthan</v>
      </c>
      <c r="C447" s="2" t="str">
        <f>VLOOKUP(B447,'Target PLF'!$I$2:$J$19,2,FALSE)</f>
        <v>NR</v>
      </c>
      <c r="D447" s="2" t="s">
        <v>570</v>
      </c>
      <c r="E447" s="2" t="s">
        <v>546</v>
      </c>
      <c r="F447" s="12">
        <v>20.175222450376399</v>
      </c>
      <c r="G447" s="2">
        <v>250</v>
      </c>
      <c r="H447">
        <f>VLOOKUP(A447,'Coal savings'!$A$3:$AB$543,26,FALSE)</f>
        <v>0</v>
      </c>
      <c r="O447" s="2" t="s">
        <v>354</v>
      </c>
      <c r="Q447" s="96"/>
      <c r="R447" s="96"/>
      <c r="S447" s="96"/>
      <c r="AH447" s="2" t="str">
        <f>RIGHT(I447,4)</f>
        <v/>
      </c>
      <c r="AI447" s="2"/>
      <c r="AJ447" s="2" t="str">
        <f t="shared" si="132"/>
        <v/>
      </c>
      <c r="AK447" s="12">
        <f t="shared" si="133"/>
        <v>16.175222450376399</v>
      </c>
      <c r="AL447" s="2" t="s">
        <v>570</v>
      </c>
      <c r="AM447" s="2" t="str">
        <f>VLOOKUP(A447,'[12]Power plant names'!$C$2:$F$545,4,FALSE)</f>
        <v>Sub critical</v>
      </c>
      <c r="AN447" s="2">
        <v>250</v>
      </c>
      <c r="AO447" s="2">
        <f t="shared" si="134"/>
        <v>0.74441358781656486</v>
      </c>
      <c r="AP447" s="2">
        <v>250</v>
      </c>
      <c r="AQ447" s="2">
        <f t="shared" si="135"/>
        <v>0</v>
      </c>
      <c r="AR447" s="2">
        <f t="shared" si="136"/>
        <v>186.1033969541412</v>
      </c>
      <c r="AS447" s="2">
        <f t="shared" si="137"/>
        <v>0</v>
      </c>
      <c r="AU447" s="2"/>
      <c r="AV447" s="2" t="str">
        <f t="shared" si="138"/>
        <v/>
      </c>
      <c r="AW447" s="12">
        <f t="shared" si="139"/>
        <v>20.175222450376399</v>
      </c>
      <c r="AX447" s="2">
        <v>250</v>
      </c>
      <c r="AY447" s="3">
        <f t="shared" si="140"/>
        <v>0.91287981396304008</v>
      </c>
      <c r="AZ447" s="2">
        <f t="shared" si="141"/>
        <v>228.21995349076002</v>
      </c>
      <c r="BA447" s="2">
        <f t="shared" si="142"/>
        <v>0</v>
      </c>
      <c r="BC447" t="str">
        <f t="shared" si="143"/>
        <v/>
      </c>
      <c r="BE447">
        <f t="shared" si="144"/>
        <v>1.0250815995893237</v>
      </c>
      <c r="BF447">
        <f t="shared" si="145"/>
        <v>256.27039989733089</v>
      </c>
      <c r="BG447">
        <f t="shared" si="146"/>
        <v>0</v>
      </c>
    </row>
    <row r="448" spans="1:59" ht="14.5" hidden="1" customHeight="1" x14ac:dyDescent="0.2">
      <c r="A448" s="2" t="s">
        <v>349</v>
      </c>
      <c r="B448" s="2" t="str">
        <f>VLOOKUP($A448,'[1]daily coal, energy reqd'!$C$2:$T$599,17,FALSE)</f>
        <v>Rajasthan</v>
      </c>
      <c r="C448" s="2" t="str">
        <f>VLOOKUP(B448,'Target PLF'!$I$2:$J$19,2,FALSE)</f>
        <v>NR</v>
      </c>
      <c r="D448" s="2" t="s">
        <v>570</v>
      </c>
      <c r="E448" s="2" t="s">
        <v>545</v>
      </c>
      <c r="F448" s="12">
        <v>18.590006844626899</v>
      </c>
      <c r="G448" s="2">
        <v>250</v>
      </c>
      <c r="H448">
        <f>VLOOKUP(A448,'Coal savings'!$A$3:$AB$543,26,FALSE)</f>
        <v>0</v>
      </c>
      <c r="O448" s="2" t="s">
        <v>349</v>
      </c>
      <c r="Q448" s="96"/>
      <c r="R448" s="96"/>
      <c r="S448" s="96"/>
      <c r="AH448" s="2" t="str">
        <f>RIGHT(I448,4)</f>
        <v/>
      </c>
      <c r="AI448" s="2"/>
      <c r="AJ448" s="2" t="str">
        <f t="shared" si="132"/>
        <v/>
      </c>
      <c r="AK448" s="12">
        <f t="shared" si="133"/>
        <v>14.590006844626899</v>
      </c>
      <c r="AL448" s="2" t="s">
        <v>570</v>
      </c>
      <c r="AM448" s="2" t="str">
        <f>VLOOKUP(A448,'[12]Power plant names'!$C$2:$F$545,4,FALSE)</f>
        <v>Sub critical</v>
      </c>
      <c r="AN448" s="2">
        <v>250</v>
      </c>
      <c r="AO448" s="2">
        <f t="shared" si="134"/>
        <v>0.76637770116358761</v>
      </c>
      <c r="AP448" s="2">
        <v>250</v>
      </c>
      <c r="AQ448" s="2">
        <f t="shared" si="135"/>
        <v>0</v>
      </c>
      <c r="AR448" s="2">
        <f t="shared" si="136"/>
        <v>191.59442529089691</v>
      </c>
      <c r="AS448" s="2">
        <f t="shared" si="137"/>
        <v>0</v>
      </c>
      <c r="AU448" s="2"/>
      <c r="AV448" s="2" t="str">
        <f t="shared" si="138"/>
        <v/>
      </c>
      <c r="AW448" s="12">
        <f t="shared" si="139"/>
        <v>18.590006844626899</v>
      </c>
      <c r="AX448" s="2">
        <v>250</v>
      </c>
      <c r="AY448" s="3">
        <f t="shared" si="140"/>
        <v>0.94162341889117174</v>
      </c>
      <c r="AZ448" s="2">
        <f t="shared" si="141"/>
        <v>235.40585472279292</v>
      </c>
      <c r="BA448" s="2">
        <f t="shared" si="142"/>
        <v>0</v>
      </c>
      <c r="BC448" t="str">
        <f t="shared" si="143"/>
        <v/>
      </c>
      <c r="BE448">
        <f t="shared" si="144"/>
        <v>1.0592009876796729</v>
      </c>
      <c r="BF448">
        <f t="shared" si="145"/>
        <v>264.80024691991821</v>
      </c>
      <c r="BG448">
        <f t="shared" si="146"/>
        <v>0</v>
      </c>
    </row>
    <row r="449" spans="1:59" ht="14.5" hidden="1" customHeight="1" x14ac:dyDescent="0.2">
      <c r="A449" s="2" t="s">
        <v>347</v>
      </c>
      <c r="B449" s="2" t="str">
        <f>VLOOKUP($A449,'[1]daily coal, energy reqd'!$C$2:$T$599,17,FALSE)</f>
        <v>Rajasthan</v>
      </c>
      <c r="C449" s="2" t="str">
        <f>VLOOKUP(B449,'Target PLF'!$I$2:$J$19,2,FALSE)</f>
        <v>NR</v>
      </c>
      <c r="D449" s="2" t="s">
        <v>570</v>
      </c>
      <c r="E449" s="2" t="s">
        <v>545</v>
      </c>
      <c r="F449" s="12">
        <v>18.176591375769998</v>
      </c>
      <c r="G449" s="2">
        <v>250</v>
      </c>
      <c r="H449">
        <f>VLOOKUP(A449,'Coal savings'!$A$3:$AB$543,26,FALSE)</f>
        <v>0</v>
      </c>
      <c r="O449" s="2" t="s">
        <v>347</v>
      </c>
      <c r="Q449" s="96"/>
      <c r="R449" s="96"/>
      <c r="S449" s="96"/>
      <c r="AH449" s="2" t="str">
        <f>RIGHT(I449,4)</f>
        <v/>
      </c>
      <c r="AI449" s="2"/>
      <c r="AJ449" s="2" t="str">
        <f t="shared" si="132"/>
        <v/>
      </c>
      <c r="AK449" s="12">
        <f t="shared" si="133"/>
        <v>14.176591375769998</v>
      </c>
      <c r="AL449" s="2" t="s">
        <v>570</v>
      </c>
      <c r="AM449" s="2" t="str">
        <f>VLOOKUP(A449,'[12]Power plant names'!$C$2:$F$545,4,FALSE)</f>
        <v>Sub critical</v>
      </c>
      <c r="AN449" s="2">
        <v>250</v>
      </c>
      <c r="AO449" s="2">
        <f t="shared" si="134"/>
        <v>0.77210582053388133</v>
      </c>
      <c r="AP449" s="2">
        <v>250</v>
      </c>
      <c r="AQ449" s="2">
        <f t="shared" si="135"/>
        <v>0</v>
      </c>
      <c r="AR449" s="2">
        <f t="shared" si="136"/>
        <v>193.02645513347034</v>
      </c>
      <c r="AS449" s="2">
        <f t="shared" si="137"/>
        <v>0</v>
      </c>
      <c r="AU449" s="2"/>
      <c r="AV449" s="2" t="str">
        <f t="shared" si="138"/>
        <v/>
      </c>
      <c r="AW449" s="12">
        <f t="shared" si="139"/>
        <v>18.176591375769998</v>
      </c>
      <c r="AX449" s="2">
        <v>250</v>
      </c>
      <c r="AY449" s="3">
        <f t="shared" si="140"/>
        <v>0.94911959219712572</v>
      </c>
      <c r="AZ449" s="2">
        <f t="shared" si="141"/>
        <v>237.27989804928143</v>
      </c>
      <c r="BA449" s="2">
        <f t="shared" si="142"/>
        <v>0</v>
      </c>
      <c r="BC449" t="str">
        <f t="shared" si="143"/>
        <v/>
      </c>
      <c r="BE449">
        <f t="shared" si="144"/>
        <v>1.0680991355236145</v>
      </c>
      <c r="BF449">
        <f t="shared" si="145"/>
        <v>267.02478388090361</v>
      </c>
      <c r="BG449">
        <f t="shared" si="146"/>
        <v>0</v>
      </c>
    </row>
    <row r="450" spans="1:59" ht="14.5" hidden="1" customHeight="1" x14ac:dyDescent="0.2">
      <c r="A450" s="2" t="s">
        <v>332</v>
      </c>
      <c r="B450" s="2" t="str">
        <f>VLOOKUP($A450,'[1]daily coal, energy reqd'!$C$2:$T$599,17,FALSE)</f>
        <v>Rajasthan</v>
      </c>
      <c r="C450" s="2" t="str">
        <f>VLOOKUP(B450,'Target PLF'!$I$2:$J$19,2,FALSE)</f>
        <v>NR</v>
      </c>
      <c r="D450" s="2" t="s">
        <v>570</v>
      </c>
      <c r="E450" s="2" t="s">
        <v>545</v>
      </c>
      <c r="F450" s="12">
        <v>16.925393566050602</v>
      </c>
      <c r="G450" s="2">
        <v>250</v>
      </c>
      <c r="H450">
        <f>VLOOKUP(A450,'Coal savings'!$A$3:$AB$543,26,FALSE)</f>
        <v>0</v>
      </c>
      <c r="O450" s="2" t="s">
        <v>332</v>
      </c>
      <c r="Q450" s="96"/>
      <c r="R450" s="96"/>
      <c r="S450" s="96"/>
      <c r="AH450" s="2" t="str">
        <f>RIGHT(I450,4)</f>
        <v/>
      </c>
      <c r="AI450" s="2"/>
      <c r="AJ450" s="2" t="str">
        <f t="shared" ref="AJ450:AJ513" si="154">IF(AI450/G450=0,"",AI450/G450)</f>
        <v/>
      </c>
      <c r="AK450" s="12">
        <f t="shared" ref="AK450:AK513" si="155">IF(F450-4&lt;0,1,F450-4)</f>
        <v>12.925393566050602</v>
      </c>
      <c r="AL450" s="2" t="s">
        <v>570</v>
      </c>
      <c r="AM450" s="2" t="str">
        <f>VLOOKUP(A450,'[12]Power plant names'!$C$2:$F$545,4,FALSE)</f>
        <v>Sub critical</v>
      </c>
      <c r="AN450" s="2">
        <v>250</v>
      </c>
      <c r="AO450" s="2">
        <f t="shared" si="134"/>
        <v>0.78944191690622945</v>
      </c>
      <c r="AP450" s="2">
        <v>250</v>
      </c>
      <c r="AQ450" s="2">
        <f t="shared" si="135"/>
        <v>0</v>
      </c>
      <c r="AR450" s="2">
        <f t="shared" si="136"/>
        <v>197.36047922655737</v>
      </c>
      <c r="AS450" s="2">
        <f t="shared" si="137"/>
        <v>0</v>
      </c>
      <c r="AU450" s="2"/>
      <c r="AV450" s="2" t="str">
        <f t="shared" si="138"/>
        <v/>
      </c>
      <c r="AW450" s="12">
        <f t="shared" si="139"/>
        <v>16.925393566050602</v>
      </c>
      <c r="AX450" s="2">
        <v>250</v>
      </c>
      <c r="AY450" s="3">
        <f t="shared" si="140"/>
        <v>0.97180668624230071</v>
      </c>
      <c r="AZ450" s="2">
        <f t="shared" si="141"/>
        <v>242.95167156057516</v>
      </c>
      <c r="BA450" s="2">
        <f t="shared" si="142"/>
        <v>0</v>
      </c>
      <c r="BC450" t="str">
        <f t="shared" si="143"/>
        <v/>
      </c>
      <c r="BE450">
        <f t="shared" si="144"/>
        <v>1.0950292915811097</v>
      </c>
      <c r="BF450">
        <f t="shared" si="145"/>
        <v>273.75732289527741</v>
      </c>
      <c r="BG450">
        <f t="shared" si="146"/>
        <v>0</v>
      </c>
    </row>
    <row r="451" spans="1:59" ht="14.5" hidden="1" customHeight="1" x14ac:dyDescent="0.2">
      <c r="A451" s="2" t="s">
        <v>281</v>
      </c>
      <c r="B451" s="2" t="str">
        <f>VLOOKUP($A451,'[1]daily coal, energy reqd'!$C$2:$T$599,17,FALSE)</f>
        <v>Rajasthan</v>
      </c>
      <c r="C451" s="2" t="str">
        <f>VLOOKUP(B451,'Target PLF'!$I$2:$J$19,2,FALSE)</f>
        <v>NR</v>
      </c>
      <c r="D451" s="2" t="s">
        <v>570</v>
      </c>
      <c r="E451" s="2" t="s">
        <v>544</v>
      </c>
      <c r="F451" s="12">
        <v>10.757015742642</v>
      </c>
      <c r="G451" s="2">
        <v>250</v>
      </c>
      <c r="H451">
        <f>VLOOKUP(A451,'Coal savings'!$A$3:$AB$543,26,FALSE)</f>
        <v>0</v>
      </c>
      <c r="O451" s="2" t="s">
        <v>281</v>
      </c>
      <c r="Q451" s="96"/>
      <c r="R451" s="96"/>
      <c r="S451" s="96"/>
      <c r="AH451" s="2" t="str">
        <f t="shared" ref="AH451:AH514" si="156">RIGHT(I451,4)</f>
        <v/>
      </c>
      <c r="AI451" s="2"/>
      <c r="AJ451" s="2" t="str">
        <f t="shared" si="154"/>
        <v/>
      </c>
      <c r="AK451" s="12">
        <f t="shared" si="155"/>
        <v>6.7570157426420003</v>
      </c>
      <c r="AL451" s="2" t="s">
        <v>570</v>
      </c>
      <c r="AM451" s="2" t="str">
        <f>VLOOKUP(A451,'[12]Power plant names'!$C$2:$F$545,4,FALSE)</f>
        <v>Sub critical</v>
      </c>
      <c r="AN451" s="2">
        <v>250</v>
      </c>
      <c r="AO451" s="2">
        <f t="shared" ref="AO451:AO514" si="157">IF(AJ451="",((-0.0138556*AK451)+(-0.0004519*AN451)+1.081506),AJ451)</f>
        <v>0.87490849267624959</v>
      </c>
      <c r="AP451" s="2">
        <v>250</v>
      </c>
      <c r="AQ451" s="2">
        <f t="shared" ref="AQ451:AQ514" si="158">G451-AP451</f>
        <v>0</v>
      </c>
      <c r="AR451" s="2">
        <f t="shared" ref="AR451:AR514" si="159">AP451*AO451</f>
        <v>218.72712316906239</v>
      </c>
      <c r="AS451" s="2">
        <f t="shared" ref="AS451:AS514" si="160">AQ451*AO451</f>
        <v>0</v>
      </c>
      <c r="AU451" s="2"/>
      <c r="AV451" s="2" t="str">
        <f t="shared" ref="AV451:AV514" si="161">IF(AU451/AN451=0,"",AU451/AN451)</f>
        <v/>
      </c>
      <c r="AW451" s="12">
        <f t="shared" ref="AW451:AW514" si="162">(F451-IF(AH451="",0,(2020-AH451)))</f>
        <v>10.757015742642</v>
      </c>
      <c r="AX451" s="2">
        <v>250</v>
      </c>
      <c r="AY451" s="3">
        <f t="shared" ref="AY451:AY514" si="163">IF(AV451="",(( -0.0181323 *AW451)+(-0.0005584 *AN451)+  1.418303),AV451)</f>
        <v>1.0836535634496927</v>
      </c>
      <c r="AZ451" s="2">
        <f t="shared" ref="AZ451:AZ514" si="164">AY451*AP451</f>
        <v>270.91339086242317</v>
      </c>
      <c r="BA451" s="2">
        <f t="shared" ref="BA451:BA514" si="165">AY451*AQ451</f>
        <v>0</v>
      </c>
      <c r="BC451" t="str">
        <f t="shared" ref="BC451:BC514" si="166">IF(AU451="","",(AU451)*(1+0.115)^(2020-AH451))</f>
        <v/>
      </c>
      <c r="BE451">
        <f t="shared" ref="BE451:BE514" si="167">IF(BD451="",(-0.0215235 *AW451)+(-0.0007022*AX451)+1.634873,BD451)</f>
        <v>1.2277943716632449</v>
      </c>
      <c r="BF451">
        <f t="shared" ref="BF451:BF514" si="168">BE451*AP451</f>
        <v>306.94859291581122</v>
      </c>
      <c r="BG451">
        <f t="shared" ref="BG451:BG514" si="169">BE451*AQ451</f>
        <v>0</v>
      </c>
    </row>
    <row r="452" spans="1:59" ht="14.5" hidden="1" customHeight="1" x14ac:dyDescent="0.2">
      <c r="A452" s="2" t="s">
        <v>330</v>
      </c>
      <c r="B452" s="2" t="str">
        <f>VLOOKUP($A452,'[1]daily coal, energy reqd'!$C$2:$T$599,17,FALSE)</f>
        <v>Chhatisgarh</v>
      </c>
      <c r="C452" s="2" t="str">
        <f>VLOOKUP(B452,'Target PLF'!$I$2:$J$19,2,FALSE)</f>
        <v>WR</v>
      </c>
      <c r="D452" s="2" t="s">
        <v>572</v>
      </c>
      <c r="E452" s="2" t="s">
        <v>543</v>
      </c>
      <c r="F452" s="12">
        <v>8.4243668720054696</v>
      </c>
      <c r="G452" s="2">
        <v>63</v>
      </c>
      <c r="H452">
        <f>VLOOKUP(A452,'Coal savings'!$A$3:$AB$543,26,FALSE)</f>
        <v>0</v>
      </c>
      <c r="O452" s="2" t="s">
        <v>330</v>
      </c>
      <c r="AH452" s="2" t="str">
        <f t="shared" si="156"/>
        <v/>
      </c>
      <c r="AI452" s="2"/>
      <c r="AJ452" s="2" t="str">
        <f t="shared" si="154"/>
        <v/>
      </c>
      <c r="AK452" s="12">
        <f t="shared" si="155"/>
        <v>4.4243668720054696</v>
      </c>
      <c r="AL452" s="2" t="s">
        <v>572</v>
      </c>
      <c r="AM452" s="2" t="str">
        <f>VLOOKUP(A452,'[12]Power plant names'!$C$2:$F$545,4,FALSE)</f>
        <v>Sub critical</v>
      </c>
      <c r="AN452" s="2">
        <v>63</v>
      </c>
      <c r="AO452" s="2">
        <f t="shared" si="157"/>
        <v>0.99173404236824114</v>
      </c>
      <c r="AP452" s="2">
        <v>63</v>
      </c>
      <c r="AQ452" s="2">
        <f t="shared" si="158"/>
        <v>0</v>
      </c>
      <c r="AR452" s="2">
        <f t="shared" si="159"/>
        <v>62.47924466919919</v>
      </c>
      <c r="AS452" s="2">
        <f t="shared" si="160"/>
        <v>0</v>
      </c>
      <c r="AU452" s="2"/>
      <c r="AV452" s="2" t="str">
        <f t="shared" si="161"/>
        <v/>
      </c>
      <c r="AW452" s="12">
        <f t="shared" si="162"/>
        <v>8.4243668720054696</v>
      </c>
      <c r="AX452" s="2">
        <v>63</v>
      </c>
      <c r="AY452" s="3">
        <f t="shared" si="163"/>
        <v>1.2303706525667353</v>
      </c>
      <c r="AZ452" s="2">
        <f t="shared" si="164"/>
        <v>77.513351111704324</v>
      </c>
      <c r="BA452" s="2">
        <f t="shared" si="165"/>
        <v>0</v>
      </c>
      <c r="BC452" t="str">
        <f t="shared" si="166"/>
        <v/>
      </c>
      <c r="BE452">
        <f t="shared" si="167"/>
        <v>1.4093125396303903</v>
      </c>
      <c r="BF452">
        <f t="shared" si="168"/>
        <v>88.786689996714586</v>
      </c>
      <c r="BG452">
        <f t="shared" si="169"/>
        <v>0</v>
      </c>
    </row>
    <row r="453" spans="1:59" hidden="1" x14ac:dyDescent="0.2">
      <c r="A453" s="2" t="s">
        <v>531</v>
      </c>
      <c r="B453" s="2" t="str">
        <f>VLOOKUP($A453,'[1]daily coal, energy reqd'!$C$2:$T$599,17,FALSE)</f>
        <v>Odisha</v>
      </c>
      <c r="C453" s="2" t="str">
        <f>VLOOKUP(B453,'Target PLF'!$I$2:$J$19,2,FALSE)</f>
        <v>ER</v>
      </c>
      <c r="D453" s="2" t="s">
        <v>571</v>
      </c>
      <c r="E453" s="2" t="s">
        <v>551</v>
      </c>
      <c r="F453" s="12">
        <v>49.338809034907598</v>
      </c>
      <c r="G453" s="2">
        <v>60</v>
      </c>
      <c r="H453">
        <f>VLOOKUP(A453,'Coal savings'!$A$3:$AB$543,26,FALSE)</f>
        <v>0</v>
      </c>
      <c r="I453" t="s">
        <v>694</v>
      </c>
      <c r="J453">
        <v>58</v>
      </c>
      <c r="O453" s="2" t="s">
        <v>531</v>
      </c>
      <c r="AH453" s="2" t="str">
        <f t="shared" si="156"/>
        <v>2019</v>
      </c>
      <c r="AI453" s="2">
        <f t="shared" ref="AI453:AI464" si="170">(J453)/(1+0.115)^(AH453-2016)</f>
        <v>41.841128693302451</v>
      </c>
      <c r="AJ453" s="2">
        <f t="shared" si="154"/>
        <v>0.69735214488837416</v>
      </c>
      <c r="AK453" s="12">
        <f t="shared" si="155"/>
        <v>45.338809034907598</v>
      </c>
      <c r="AL453" s="2" t="s">
        <v>571</v>
      </c>
      <c r="AM453" s="2" t="str">
        <f>VLOOKUP(A453,'[12]Power plant names'!$C$2:$F$545,4,FALSE)</f>
        <v>Sub critical</v>
      </c>
      <c r="AN453" s="2">
        <v>60</v>
      </c>
      <c r="AO453" s="2">
        <f t="shared" si="157"/>
        <v>0.69735214488837416</v>
      </c>
      <c r="AP453" s="2">
        <v>60</v>
      </c>
      <c r="AQ453" s="2">
        <f t="shared" si="158"/>
        <v>0</v>
      </c>
      <c r="AR453" s="2">
        <f t="shared" si="159"/>
        <v>41.841128693302451</v>
      </c>
      <c r="AS453" s="2">
        <f t="shared" si="160"/>
        <v>0</v>
      </c>
      <c r="AU453" s="2">
        <f t="shared" ref="AU453:AU514" si="171">AI453*(1.115)^(AH453-2016)</f>
        <v>58</v>
      </c>
      <c r="AV453" s="2">
        <f t="shared" si="161"/>
        <v>0.96666666666666667</v>
      </c>
      <c r="AW453" s="12">
        <f t="shared" si="162"/>
        <v>48.338809034907598</v>
      </c>
      <c r="AX453" s="2">
        <v>60</v>
      </c>
      <c r="AY453" s="3">
        <f t="shared" si="163"/>
        <v>0.96666666666666667</v>
      </c>
      <c r="AZ453" s="2">
        <f t="shared" si="164"/>
        <v>58</v>
      </c>
      <c r="BA453" s="2">
        <f t="shared" si="165"/>
        <v>0</v>
      </c>
      <c r="BC453">
        <f t="shared" si="166"/>
        <v>64.67</v>
      </c>
      <c r="BD453">
        <f t="shared" ref="BD453:BD514" si="172">BC453/AN453</f>
        <v>1.0778333333333334</v>
      </c>
      <c r="BE453">
        <f t="shared" si="167"/>
        <v>1.0778333333333334</v>
      </c>
      <c r="BF453">
        <f t="shared" si="168"/>
        <v>64.67</v>
      </c>
      <c r="BG453">
        <f t="shared" si="169"/>
        <v>0</v>
      </c>
    </row>
    <row r="454" spans="1:59" hidden="1" x14ac:dyDescent="0.2">
      <c r="A454" s="2" t="s">
        <v>530</v>
      </c>
      <c r="B454" s="2" t="str">
        <f>VLOOKUP($A454,'[1]daily coal, energy reqd'!$C$2:$T$599,17,FALSE)</f>
        <v>Odisha</v>
      </c>
      <c r="C454" s="2" t="str">
        <f>VLOOKUP(B454,'Target PLF'!$I$2:$J$19,2,FALSE)</f>
        <v>ER</v>
      </c>
      <c r="D454" s="2" t="s">
        <v>571</v>
      </c>
      <c r="E454" s="2" t="s">
        <v>551</v>
      </c>
      <c r="F454" s="12">
        <v>48.925393566050602</v>
      </c>
      <c r="G454" s="2">
        <v>60</v>
      </c>
      <c r="H454">
        <f>VLOOKUP(A454,'Coal savings'!$A$3:$AB$543,26,FALSE)</f>
        <v>0</v>
      </c>
      <c r="I454" t="s">
        <v>694</v>
      </c>
      <c r="J454">
        <v>58</v>
      </c>
      <c r="O454" s="2" t="s">
        <v>530</v>
      </c>
      <c r="AH454" s="2" t="str">
        <f t="shared" si="156"/>
        <v>2019</v>
      </c>
      <c r="AI454" s="2">
        <f t="shared" si="170"/>
        <v>41.841128693302451</v>
      </c>
      <c r="AJ454" s="2">
        <f t="shared" si="154"/>
        <v>0.69735214488837416</v>
      </c>
      <c r="AK454" s="12">
        <f t="shared" si="155"/>
        <v>44.925393566050602</v>
      </c>
      <c r="AL454" s="2" t="s">
        <v>571</v>
      </c>
      <c r="AM454" s="2" t="str">
        <f>VLOOKUP(A454,'[12]Power plant names'!$C$2:$F$545,4,FALSE)</f>
        <v>Sub critical</v>
      </c>
      <c r="AN454" s="2">
        <v>60</v>
      </c>
      <c r="AO454" s="2">
        <f t="shared" si="157"/>
        <v>0.69735214488837416</v>
      </c>
      <c r="AP454" s="2">
        <v>60</v>
      </c>
      <c r="AQ454" s="2">
        <f t="shared" si="158"/>
        <v>0</v>
      </c>
      <c r="AR454" s="2">
        <f t="shared" si="159"/>
        <v>41.841128693302451</v>
      </c>
      <c r="AS454" s="2">
        <f t="shared" si="160"/>
        <v>0</v>
      </c>
      <c r="AU454" s="2">
        <f t="shared" si="171"/>
        <v>58</v>
      </c>
      <c r="AV454" s="2">
        <f t="shared" si="161"/>
        <v>0.96666666666666667</v>
      </c>
      <c r="AW454" s="12">
        <f t="shared" si="162"/>
        <v>47.925393566050602</v>
      </c>
      <c r="AX454" s="2">
        <v>60</v>
      </c>
      <c r="AY454" s="3">
        <f t="shared" si="163"/>
        <v>0.96666666666666667</v>
      </c>
      <c r="AZ454" s="2">
        <f t="shared" si="164"/>
        <v>58</v>
      </c>
      <c r="BA454" s="2">
        <f t="shared" si="165"/>
        <v>0</v>
      </c>
      <c r="BC454">
        <f t="shared" si="166"/>
        <v>64.67</v>
      </c>
      <c r="BD454">
        <f t="shared" si="172"/>
        <v>1.0778333333333334</v>
      </c>
      <c r="BE454">
        <f t="shared" si="167"/>
        <v>1.0778333333333334</v>
      </c>
      <c r="BF454">
        <f t="shared" si="168"/>
        <v>64.67</v>
      </c>
      <c r="BG454">
        <f t="shared" si="169"/>
        <v>0</v>
      </c>
    </row>
    <row r="455" spans="1:59" hidden="1" x14ac:dyDescent="0.2">
      <c r="A455" s="2" t="s">
        <v>528</v>
      </c>
      <c r="B455" s="2" t="str">
        <f>VLOOKUP($A455,'[1]daily coal, energy reqd'!$C$2:$T$599,17,FALSE)</f>
        <v>Odisha</v>
      </c>
      <c r="C455" s="2" t="str">
        <f>VLOOKUP(B455,'Target PLF'!$I$2:$J$19,2,FALSE)</f>
        <v>ER</v>
      </c>
      <c r="D455" s="2" t="s">
        <v>571</v>
      </c>
      <c r="E455" s="2" t="s">
        <v>551</v>
      </c>
      <c r="F455" s="12">
        <v>48.339493497604302</v>
      </c>
      <c r="G455" s="2">
        <v>60</v>
      </c>
      <c r="H455">
        <f>VLOOKUP(A455,'Coal savings'!$A$3:$AB$543,26,FALSE)</f>
        <v>0</v>
      </c>
      <c r="I455" t="s">
        <v>694</v>
      </c>
      <c r="J455">
        <v>58</v>
      </c>
      <c r="O455" s="2" t="s">
        <v>528</v>
      </c>
      <c r="AH455" s="2" t="str">
        <f t="shared" si="156"/>
        <v>2019</v>
      </c>
      <c r="AI455" s="2">
        <f t="shared" si="170"/>
        <v>41.841128693302451</v>
      </c>
      <c r="AJ455" s="2">
        <f t="shared" si="154"/>
        <v>0.69735214488837416</v>
      </c>
      <c r="AK455" s="12">
        <f t="shared" si="155"/>
        <v>44.339493497604302</v>
      </c>
      <c r="AL455" s="2" t="s">
        <v>571</v>
      </c>
      <c r="AM455" s="2" t="str">
        <f>VLOOKUP(A455,'[12]Power plant names'!$C$2:$F$545,4,FALSE)</f>
        <v>Sub critical</v>
      </c>
      <c r="AN455" s="2">
        <v>60</v>
      </c>
      <c r="AO455" s="2">
        <f t="shared" si="157"/>
        <v>0.69735214488837416</v>
      </c>
      <c r="AP455" s="2">
        <v>60</v>
      </c>
      <c r="AQ455" s="2">
        <f t="shared" si="158"/>
        <v>0</v>
      </c>
      <c r="AR455" s="2">
        <f t="shared" si="159"/>
        <v>41.841128693302451</v>
      </c>
      <c r="AS455" s="2">
        <f t="shared" si="160"/>
        <v>0</v>
      </c>
      <c r="AU455" s="2">
        <f t="shared" si="171"/>
        <v>58</v>
      </c>
      <c r="AV455" s="2">
        <f t="shared" si="161"/>
        <v>0.96666666666666667</v>
      </c>
      <c r="AW455" s="12">
        <f t="shared" si="162"/>
        <v>47.339493497604302</v>
      </c>
      <c r="AX455" s="2">
        <v>60</v>
      </c>
      <c r="AY455" s="3">
        <f t="shared" si="163"/>
        <v>0.96666666666666667</v>
      </c>
      <c r="AZ455" s="2">
        <f t="shared" si="164"/>
        <v>58</v>
      </c>
      <c r="BA455" s="2">
        <f t="shared" si="165"/>
        <v>0</v>
      </c>
      <c r="BC455">
        <f t="shared" si="166"/>
        <v>64.67</v>
      </c>
      <c r="BD455">
        <f t="shared" si="172"/>
        <v>1.0778333333333334</v>
      </c>
      <c r="BE455">
        <f t="shared" si="167"/>
        <v>1.0778333333333334</v>
      </c>
      <c r="BF455">
        <f t="shared" si="168"/>
        <v>64.67</v>
      </c>
      <c r="BG455">
        <f t="shared" si="169"/>
        <v>0</v>
      </c>
    </row>
    <row r="456" spans="1:59" hidden="1" x14ac:dyDescent="0.2">
      <c r="A456" s="2" t="s">
        <v>527</v>
      </c>
      <c r="B456" s="2" t="str">
        <f>VLOOKUP($A456,'[1]daily coal, energy reqd'!$C$2:$T$599,17,FALSE)</f>
        <v>Odisha</v>
      </c>
      <c r="C456" s="2" t="str">
        <f>VLOOKUP(B456,'Target PLF'!$I$2:$J$19,2,FALSE)</f>
        <v>ER</v>
      </c>
      <c r="D456" s="2" t="s">
        <v>571</v>
      </c>
      <c r="E456" s="2" t="s">
        <v>551</v>
      </c>
      <c r="F456" s="12">
        <v>47.923340177960299</v>
      </c>
      <c r="G456" s="2">
        <v>60</v>
      </c>
      <c r="H456">
        <f>VLOOKUP(A456,'Coal savings'!$A$3:$AB$543,26,FALSE)</f>
        <v>0</v>
      </c>
      <c r="I456" t="s">
        <v>694</v>
      </c>
      <c r="J456">
        <v>58</v>
      </c>
      <c r="O456" s="2" t="s">
        <v>527</v>
      </c>
      <c r="AH456" s="2" t="str">
        <f t="shared" si="156"/>
        <v>2019</v>
      </c>
      <c r="AI456" s="2">
        <f t="shared" si="170"/>
        <v>41.841128693302451</v>
      </c>
      <c r="AJ456" s="2">
        <f t="shared" si="154"/>
        <v>0.69735214488837416</v>
      </c>
      <c r="AK456" s="12">
        <f t="shared" si="155"/>
        <v>43.923340177960299</v>
      </c>
      <c r="AL456" s="2" t="s">
        <v>571</v>
      </c>
      <c r="AM456" s="2" t="str">
        <f>VLOOKUP(A456,'[12]Power plant names'!$C$2:$F$545,4,FALSE)</f>
        <v>Sub critical</v>
      </c>
      <c r="AN456" s="2">
        <v>60</v>
      </c>
      <c r="AO456" s="2">
        <f t="shared" si="157"/>
        <v>0.69735214488837416</v>
      </c>
      <c r="AP456" s="2">
        <v>60</v>
      </c>
      <c r="AQ456" s="2">
        <f t="shared" si="158"/>
        <v>0</v>
      </c>
      <c r="AR456" s="2">
        <f t="shared" si="159"/>
        <v>41.841128693302451</v>
      </c>
      <c r="AS456" s="2">
        <f t="shared" si="160"/>
        <v>0</v>
      </c>
      <c r="AU456" s="2">
        <f t="shared" si="171"/>
        <v>58</v>
      </c>
      <c r="AV456" s="2">
        <f t="shared" si="161"/>
        <v>0.96666666666666667</v>
      </c>
      <c r="AW456" s="12">
        <f t="shared" si="162"/>
        <v>46.923340177960299</v>
      </c>
      <c r="AX456" s="2">
        <v>60</v>
      </c>
      <c r="AY456" s="3">
        <f t="shared" si="163"/>
        <v>0.96666666666666667</v>
      </c>
      <c r="AZ456" s="2">
        <f t="shared" si="164"/>
        <v>58</v>
      </c>
      <c r="BA456" s="2">
        <f t="shared" si="165"/>
        <v>0</v>
      </c>
      <c r="BC456">
        <f t="shared" si="166"/>
        <v>64.67</v>
      </c>
      <c r="BD456">
        <f t="shared" si="172"/>
        <v>1.0778333333333334</v>
      </c>
      <c r="BE456">
        <f t="shared" si="167"/>
        <v>1.0778333333333334</v>
      </c>
      <c r="BF456">
        <f t="shared" si="168"/>
        <v>64.67</v>
      </c>
      <c r="BG456">
        <f t="shared" si="169"/>
        <v>0</v>
      </c>
    </row>
    <row r="457" spans="1:59" hidden="1" x14ac:dyDescent="0.2">
      <c r="A457" s="2" t="s">
        <v>526</v>
      </c>
      <c r="B457" s="2" t="str">
        <f>VLOOKUP($A457,'[1]daily coal, energy reqd'!$C$2:$T$599,17,FALSE)</f>
        <v>Odisha</v>
      </c>
      <c r="C457" s="2" t="str">
        <f>VLOOKUP(B457,'Target PLF'!$I$2:$J$19,2,FALSE)</f>
        <v>ER</v>
      </c>
      <c r="D457" s="2" t="s">
        <v>571</v>
      </c>
      <c r="E457" s="2" t="s">
        <v>551</v>
      </c>
      <c r="F457" s="12">
        <v>47.337440109513999</v>
      </c>
      <c r="G457" s="2">
        <v>110</v>
      </c>
      <c r="H457">
        <f>VLOOKUP(A457,'Coal savings'!$A$3:$AB$543,26,FALSE)</f>
        <v>0</v>
      </c>
      <c r="I457" t="s">
        <v>694</v>
      </c>
      <c r="J457">
        <v>106.34</v>
      </c>
      <c r="O457" s="2" t="s">
        <v>526</v>
      </c>
      <c r="P457">
        <v>2019</v>
      </c>
      <c r="Q457">
        <v>54.73</v>
      </c>
      <c r="R457" t="s">
        <v>608</v>
      </c>
      <c r="S457">
        <v>164.4</v>
      </c>
      <c r="AH457" s="2" t="str">
        <f t="shared" si="156"/>
        <v>2019</v>
      </c>
      <c r="AI457" s="2">
        <f t="shared" si="170"/>
        <v>76.713545262858318</v>
      </c>
      <c r="AJ457" s="2">
        <f t="shared" si="154"/>
        <v>0.69739586602598469</v>
      </c>
      <c r="AK457" s="12">
        <f t="shared" si="155"/>
        <v>43.337440109513999</v>
      </c>
      <c r="AL457" s="2" t="s">
        <v>571</v>
      </c>
      <c r="AM457" s="2" t="str">
        <f>VLOOKUP(A457,'[12]Power plant names'!$C$2:$F$545,4,FALSE)</f>
        <v>Sub critical</v>
      </c>
      <c r="AN457" s="2">
        <v>110</v>
      </c>
      <c r="AO457" s="2">
        <f t="shared" si="157"/>
        <v>0.69739586602598469</v>
      </c>
      <c r="AP457" s="2">
        <v>110</v>
      </c>
      <c r="AQ457" s="2">
        <f t="shared" si="158"/>
        <v>0</v>
      </c>
      <c r="AR457" s="2">
        <f t="shared" si="159"/>
        <v>76.713545262858318</v>
      </c>
      <c r="AS457" s="2">
        <f t="shared" si="160"/>
        <v>0</v>
      </c>
      <c r="AU457" s="2">
        <f t="shared" si="171"/>
        <v>106.34</v>
      </c>
      <c r="AV457" s="2">
        <f t="shared" si="161"/>
        <v>0.96672727272727277</v>
      </c>
      <c r="AW457" s="12">
        <f t="shared" si="162"/>
        <v>46.337440109513999</v>
      </c>
      <c r="AX457" s="2">
        <v>110</v>
      </c>
      <c r="AY457" s="3">
        <f t="shared" si="163"/>
        <v>0.96672727272727277</v>
      </c>
      <c r="AZ457" s="2">
        <f t="shared" si="164"/>
        <v>106.34</v>
      </c>
      <c r="BA457" s="2">
        <f t="shared" si="165"/>
        <v>0</v>
      </c>
      <c r="BC457">
        <f t="shared" si="166"/>
        <v>118.56910000000001</v>
      </c>
      <c r="BD457">
        <f t="shared" si="172"/>
        <v>1.0779009090909091</v>
      </c>
      <c r="BE457">
        <f t="shared" si="167"/>
        <v>1.0779009090909091</v>
      </c>
      <c r="BF457">
        <f t="shared" si="168"/>
        <v>118.56909999999999</v>
      </c>
      <c r="BG457">
        <f t="shared" si="169"/>
        <v>0</v>
      </c>
    </row>
    <row r="458" spans="1:59" hidden="1" x14ac:dyDescent="0.2">
      <c r="A458" s="2" t="s">
        <v>525</v>
      </c>
      <c r="B458" s="2" t="str">
        <f>VLOOKUP($A458,'[1]daily coal, energy reqd'!$C$2:$T$599,17,FALSE)</f>
        <v>Odisha</v>
      </c>
      <c r="C458" s="2" t="str">
        <f>VLOOKUP(B458,'Target PLF'!$I$2:$J$19,2,FALSE)</f>
        <v>ER</v>
      </c>
      <c r="D458" s="2" t="s">
        <v>571</v>
      </c>
      <c r="E458" s="2" t="s">
        <v>551</v>
      </c>
      <c r="F458" s="12">
        <v>46.924024640657002</v>
      </c>
      <c r="G458" s="2">
        <v>110</v>
      </c>
      <c r="H458">
        <f>VLOOKUP(A458,'Coal savings'!$A$3:$AB$543,26,FALSE)</f>
        <v>0</v>
      </c>
      <c r="I458" t="s">
        <v>694</v>
      </c>
      <c r="J458">
        <v>106.34</v>
      </c>
      <c r="O458" s="2" t="s">
        <v>525</v>
      </c>
      <c r="AH458" s="2" t="str">
        <f t="shared" si="156"/>
        <v>2019</v>
      </c>
      <c r="AI458" s="2">
        <f t="shared" si="170"/>
        <v>76.713545262858318</v>
      </c>
      <c r="AJ458" s="2">
        <f t="shared" si="154"/>
        <v>0.69739586602598469</v>
      </c>
      <c r="AK458" s="12">
        <f t="shared" si="155"/>
        <v>42.924024640657002</v>
      </c>
      <c r="AL458" s="2" t="s">
        <v>571</v>
      </c>
      <c r="AM458" s="2" t="str">
        <f>VLOOKUP(A458,'[12]Power plant names'!$C$2:$F$545,4,FALSE)</f>
        <v>Sub critical</v>
      </c>
      <c r="AN458" s="2">
        <v>110</v>
      </c>
      <c r="AO458" s="2">
        <f t="shared" si="157"/>
        <v>0.69739586602598469</v>
      </c>
      <c r="AP458" s="2">
        <v>110</v>
      </c>
      <c r="AQ458" s="2">
        <f t="shared" si="158"/>
        <v>0</v>
      </c>
      <c r="AR458" s="2">
        <f t="shared" si="159"/>
        <v>76.713545262858318</v>
      </c>
      <c r="AS458" s="2">
        <f t="shared" si="160"/>
        <v>0</v>
      </c>
      <c r="AU458" s="2">
        <f t="shared" si="171"/>
        <v>106.34</v>
      </c>
      <c r="AV458" s="2">
        <f t="shared" si="161"/>
        <v>0.96672727272727277</v>
      </c>
      <c r="AW458" s="12">
        <f t="shared" si="162"/>
        <v>45.924024640657002</v>
      </c>
      <c r="AX458" s="2">
        <v>110</v>
      </c>
      <c r="AY458" s="3">
        <f t="shared" si="163"/>
        <v>0.96672727272727277</v>
      </c>
      <c r="AZ458" s="2">
        <f t="shared" si="164"/>
        <v>106.34</v>
      </c>
      <c r="BA458" s="2">
        <f t="shared" si="165"/>
        <v>0</v>
      </c>
      <c r="BC458">
        <f t="shared" si="166"/>
        <v>118.56910000000001</v>
      </c>
      <c r="BD458">
        <f t="shared" si="172"/>
        <v>1.0779009090909091</v>
      </c>
      <c r="BE458">
        <f t="shared" si="167"/>
        <v>1.0779009090909091</v>
      </c>
      <c r="BF458">
        <f t="shared" si="168"/>
        <v>118.56909999999999</v>
      </c>
      <c r="BG458">
        <f t="shared" si="169"/>
        <v>0</v>
      </c>
    </row>
    <row r="459" spans="1:59" x14ac:dyDescent="0.2">
      <c r="A459" s="2" t="s">
        <v>314</v>
      </c>
      <c r="B459" s="2" t="str">
        <f>VLOOKUP($A459,'[1]daily coal, energy reqd'!$C$2:$T$599,17,FALSE)</f>
        <v>Odisha</v>
      </c>
      <c r="C459" s="2" t="str">
        <f>VLOOKUP(B459,'Target PLF'!$I$2:$J$19,2,FALSE)</f>
        <v>ER</v>
      </c>
      <c r="D459" s="2" t="s">
        <v>571</v>
      </c>
      <c r="E459" s="2" t="s">
        <v>547</v>
      </c>
      <c r="F459" s="12">
        <v>25.2539356605065</v>
      </c>
      <c r="G459" s="2">
        <v>500</v>
      </c>
      <c r="H459">
        <f>VLOOKUP(A459,'Coal savings'!$A$3:$AB$543,26,FALSE)</f>
        <v>1867229.4038669558</v>
      </c>
      <c r="I459" t="s">
        <v>694</v>
      </c>
      <c r="J459">
        <f>673.99/2</f>
        <v>336.995</v>
      </c>
      <c r="O459" s="2" t="s">
        <v>314</v>
      </c>
      <c r="P459">
        <v>2019</v>
      </c>
      <c r="Q459" s="96">
        <v>142.41999999999999</v>
      </c>
      <c r="R459" s="96" t="s">
        <v>615</v>
      </c>
      <c r="S459" s="96">
        <v>222.73</v>
      </c>
      <c r="T459">
        <v>15.07</v>
      </c>
      <c r="U459" t="s">
        <v>688</v>
      </c>
      <c r="W459" s="96">
        <v>594.12900000000002</v>
      </c>
      <c r="X459" t="s">
        <v>621</v>
      </c>
      <c r="AH459" s="2" t="str">
        <f t="shared" si="156"/>
        <v>2019</v>
      </c>
      <c r="AI459" s="2">
        <f t="shared" si="170"/>
        <v>243.10777868964584</v>
      </c>
      <c r="AJ459" s="2">
        <f t="shared" si="154"/>
        <v>0.48621555737929167</v>
      </c>
      <c r="AK459" s="12">
        <f t="shared" si="155"/>
        <v>21.2539356605065</v>
      </c>
      <c r="AL459" s="2" t="s">
        <v>571</v>
      </c>
      <c r="AM459" s="2" t="str">
        <f>VLOOKUP(A459,'[12]Power plant names'!$C$2:$F$545,4,FALSE)</f>
        <v>Sub critical</v>
      </c>
      <c r="AN459" s="2">
        <v>500</v>
      </c>
      <c r="AO459" s="2">
        <f t="shared" si="157"/>
        <v>0.48621555737929167</v>
      </c>
      <c r="AP459" s="2">
        <v>500</v>
      </c>
      <c r="AQ459" s="2">
        <f t="shared" si="158"/>
        <v>0</v>
      </c>
      <c r="AR459" s="2">
        <f t="shared" si="159"/>
        <v>243.10777868964584</v>
      </c>
      <c r="AS459" s="2">
        <f t="shared" si="160"/>
        <v>0</v>
      </c>
      <c r="AU459" s="2">
        <f t="shared" si="171"/>
        <v>336.995</v>
      </c>
      <c r="AV459" s="2">
        <f t="shared" si="161"/>
        <v>0.67398999999999998</v>
      </c>
      <c r="AW459" s="12">
        <f t="shared" si="162"/>
        <v>24.2539356605065</v>
      </c>
      <c r="AX459" s="2">
        <v>500</v>
      </c>
      <c r="AY459" s="3">
        <f t="shared" si="163"/>
        <v>0.67398999999999998</v>
      </c>
      <c r="AZ459" s="2">
        <f t="shared" si="164"/>
        <v>336.995</v>
      </c>
      <c r="BA459" s="2">
        <f t="shared" si="165"/>
        <v>0</v>
      </c>
      <c r="BC459">
        <f t="shared" si="166"/>
        <v>375.74942499999997</v>
      </c>
      <c r="BD459">
        <f t="shared" si="172"/>
        <v>0.75149884999999994</v>
      </c>
      <c r="BE459">
        <f t="shared" si="167"/>
        <v>0.75149884999999994</v>
      </c>
      <c r="BF459">
        <f t="shared" si="168"/>
        <v>375.74942499999997</v>
      </c>
      <c r="BG459">
        <f t="shared" si="169"/>
        <v>0</v>
      </c>
    </row>
    <row r="460" spans="1:59" x14ac:dyDescent="0.2">
      <c r="A460" s="2" t="s">
        <v>308</v>
      </c>
      <c r="B460" s="2" t="str">
        <f>VLOOKUP($A460,'[1]daily coal, energy reqd'!$C$2:$T$599,17,FALSE)</f>
        <v>Odisha</v>
      </c>
      <c r="C460" s="2" t="str">
        <f>VLOOKUP(B460,'Target PLF'!$I$2:$J$19,2,FALSE)</f>
        <v>ER</v>
      </c>
      <c r="D460" s="2" t="s">
        <v>571</v>
      </c>
      <c r="E460" s="2" t="s">
        <v>546</v>
      </c>
      <c r="F460" s="12">
        <v>24.175222450376399</v>
      </c>
      <c r="G460" s="2">
        <v>500</v>
      </c>
      <c r="H460">
        <f>VLOOKUP(A460,'Coal savings'!$A$3:$AB$543,26,FALSE)</f>
        <v>2585739.1009199051</v>
      </c>
      <c r="I460" t="s">
        <v>694</v>
      </c>
      <c r="J460">
        <f>673.99/2</f>
        <v>336.995</v>
      </c>
      <c r="O460" s="2" t="s">
        <v>308</v>
      </c>
      <c r="Q460" s="96"/>
      <c r="R460" s="96"/>
      <c r="S460" s="96"/>
      <c r="W460" s="96"/>
      <c r="X460" t="s">
        <v>621</v>
      </c>
      <c r="AH460" s="2" t="str">
        <f t="shared" si="156"/>
        <v>2019</v>
      </c>
      <c r="AI460" s="2">
        <f t="shared" si="170"/>
        <v>243.10777868964584</v>
      </c>
      <c r="AJ460" s="2">
        <f t="shared" si="154"/>
        <v>0.48621555737929167</v>
      </c>
      <c r="AK460" s="12">
        <f t="shared" si="155"/>
        <v>20.175222450376399</v>
      </c>
      <c r="AL460" s="2" t="s">
        <v>571</v>
      </c>
      <c r="AM460" s="2" t="str">
        <f>VLOOKUP(A460,'[12]Power plant names'!$C$2:$F$545,4,FALSE)</f>
        <v>Sub critical</v>
      </c>
      <c r="AN460" s="2">
        <v>500</v>
      </c>
      <c r="AO460" s="2">
        <f t="shared" si="157"/>
        <v>0.48621555737929167</v>
      </c>
      <c r="AP460" s="2">
        <v>500</v>
      </c>
      <c r="AQ460" s="2">
        <f t="shared" si="158"/>
        <v>0</v>
      </c>
      <c r="AR460" s="2">
        <f t="shared" si="159"/>
        <v>243.10777868964584</v>
      </c>
      <c r="AS460" s="2">
        <f t="shared" si="160"/>
        <v>0</v>
      </c>
      <c r="AU460" s="2">
        <f t="shared" si="171"/>
        <v>336.995</v>
      </c>
      <c r="AV460" s="2">
        <f t="shared" si="161"/>
        <v>0.67398999999999998</v>
      </c>
      <c r="AW460" s="12">
        <f t="shared" si="162"/>
        <v>23.175222450376399</v>
      </c>
      <c r="AX460" s="2">
        <v>500</v>
      </c>
      <c r="AY460" s="3">
        <f t="shared" si="163"/>
        <v>0.67398999999999998</v>
      </c>
      <c r="AZ460" s="2">
        <f t="shared" si="164"/>
        <v>336.995</v>
      </c>
      <c r="BA460" s="2">
        <f t="shared" si="165"/>
        <v>0</v>
      </c>
      <c r="BC460">
        <f t="shared" si="166"/>
        <v>375.74942499999997</v>
      </c>
      <c r="BD460">
        <f t="shared" si="172"/>
        <v>0.75149884999999994</v>
      </c>
      <c r="BE460">
        <f t="shared" si="167"/>
        <v>0.75149884999999994</v>
      </c>
      <c r="BF460">
        <f t="shared" si="168"/>
        <v>375.74942499999997</v>
      </c>
      <c r="BG460">
        <f t="shared" si="169"/>
        <v>0</v>
      </c>
    </row>
    <row r="461" spans="1:59" x14ac:dyDescent="0.2">
      <c r="A461" s="2" t="s">
        <v>232</v>
      </c>
      <c r="B461" s="2" t="str">
        <f>VLOOKUP($A461,'[1]daily coal, energy reqd'!$C$2:$T$599,17,FALSE)</f>
        <v>Odisha</v>
      </c>
      <c r="C461" s="2" t="str">
        <f>VLOOKUP(B461,'Target PLF'!$I$2:$J$19,2,FALSE)</f>
        <v>ER</v>
      </c>
      <c r="D461" s="2" t="s">
        <v>571</v>
      </c>
      <c r="E461" s="2" t="s">
        <v>545</v>
      </c>
      <c r="F461" s="12">
        <v>17.2539356605065</v>
      </c>
      <c r="G461" s="2">
        <v>500</v>
      </c>
      <c r="H461">
        <f>VLOOKUP(A461,'Coal savings'!$A$3:$AB$543,26,FALSE)</f>
        <v>2704432.864928409</v>
      </c>
      <c r="I461" t="s">
        <v>694</v>
      </c>
      <c r="J461">
        <f>1007.22/4</f>
        <v>251.80500000000001</v>
      </c>
      <c r="O461" s="2" t="s">
        <v>232</v>
      </c>
      <c r="P461">
        <v>2019</v>
      </c>
      <c r="Q461" s="96">
        <v>54.73</v>
      </c>
      <c r="R461" s="96" t="s">
        <v>614</v>
      </c>
      <c r="S461" s="96">
        <v>164.4</v>
      </c>
      <c r="W461" s="96"/>
      <c r="X461" t="s">
        <v>621</v>
      </c>
      <c r="AH461" s="2" t="str">
        <f t="shared" si="156"/>
        <v>2019</v>
      </c>
      <c r="AI461" s="2">
        <f t="shared" si="170"/>
        <v>181.65181742443144</v>
      </c>
      <c r="AJ461" s="2">
        <f t="shared" si="154"/>
        <v>0.36330363484886291</v>
      </c>
      <c r="AK461" s="12">
        <f t="shared" si="155"/>
        <v>13.2539356605065</v>
      </c>
      <c r="AL461" s="2" t="s">
        <v>571</v>
      </c>
      <c r="AM461" s="2" t="str">
        <f>VLOOKUP(A461,'[12]Power plant names'!$C$2:$F$545,4,FALSE)</f>
        <v>Sub critical</v>
      </c>
      <c r="AN461" s="2">
        <v>500</v>
      </c>
      <c r="AO461" s="2">
        <f t="shared" si="157"/>
        <v>0.36330363484886291</v>
      </c>
      <c r="AP461" s="2">
        <v>500</v>
      </c>
      <c r="AQ461" s="2">
        <f t="shared" si="158"/>
        <v>0</v>
      </c>
      <c r="AR461" s="2">
        <f t="shared" si="159"/>
        <v>181.65181742443144</v>
      </c>
      <c r="AS461" s="2">
        <f t="shared" si="160"/>
        <v>0</v>
      </c>
      <c r="AU461" s="2">
        <f t="shared" si="171"/>
        <v>251.80500000000001</v>
      </c>
      <c r="AV461" s="2">
        <f t="shared" si="161"/>
        <v>0.50361</v>
      </c>
      <c r="AW461" s="12">
        <f t="shared" si="162"/>
        <v>16.2539356605065</v>
      </c>
      <c r="AX461" s="2">
        <v>500</v>
      </c>
      <c r="AY461" s="3">
        <f t="shared" si="163"/>
        <v>0.50361</v>
      </c>
      <c r="AZ461" s="2">
        <f t="shared" si="164"/>
        <v>251.80500000000001</v>
      </c>
      <c r="BA461" s="2">
        <f t="shared" si="165"/>
        <v>0</v>
      </c>
      <c r="BC461">
        <f t="shared" si="166"/>
        <v>280.76257500000003</v>
      </c>
      <c r="BD461">
        <f t="shared" si="172"/>
        <v>0.56152515000000003</v>
      </c>
      <c r="BE461">
        <f t="shared" si="167"/>
        <v>0.56152515000000003</v>
      </c>
      <c r="BF461">
        <f t="shared" si="168"/>
        <v>280.76257500000003</v>
      </c>
      <c r="BG461">
        <f t="shared" si="169"/>
        <v>0</v>
      </c>
    </row>
    <row r="462" spans="1:59" x14ac:dyDescent="0.2">
      <c r="A462" s="2" t="s">
        <v>225</v>
      </c>
      <c r="B462" s="2" t="str">
        <f>VLOOKUP($A462,'[1]daily coal, energy reqd'!$C$2:$T$599,17,FALSE)</f>
        <v>Odisha</v>
      </c>
      <c r="C462" s="2" t="str">
        <f>VLOOKUP(B462,'Target PLF'!$I$2:$J$19,2,FALSE)</f>
        <v>ER</v>
      </c>
      <c r="D462" s="2" t="s">
        <v>571</v>
      </c>
      <c r="E462" s="2" t="s">
        <v>545</v>
      </c>
      <c r="F462" s="12">
        <v>16.591375770020498</v>
      </c>
      <c r="G462" s="2">
        <v>500</v>
      </c>
      <c r="H462">
        <f>VLOOKUP(A462,'Coal savings'!$A$3:$AB$543,26,FALSE)</f>
        <v>2699619.1801632629</v>
      </c>
      <c r="I462" t="s">
        <v>694</v>
      </c>
      <c r="J462">
        <f>1007.22/4</f>
        <v>251.80500000000001</v>
      </c>
      <c r="O462" s="2" t="s">
        <v>225</v>
      </c>
      <c r="Q462" s="96"/>
      <c r="R462" s="96"/>
      <c r="S462" s="96"/>
      <c r="W462" s="96"/>
      <c r="X462" t="s">
        <v>621</v>
      </c>
      <c r="AH462" s="2" t="str">
        <f t="shared" si="156"/>
        <v>2019</v>
      </c>
      <c r="AI462" s="2">
        <f t="shared" si="170"/>
        <v>181.65181742443144</v>
      </c>
      <c r="AJ462" s="2">
        <f t="shared" si="154"/>
        <v>0.36330363484886291</v>
      </c>
      <c r="AK462" s="12">
        <f t="shared" si="155"/>
        <v>12.591375770020498</v>
      </c>
      <c r="AL462" s="2" t="s">
        <v>571</v>
      </c>
      <c r="AM462" s="2" t="str">
        <f>VLOOKUP(A462,'[12]Power plant names'!$C$2:$F$545,4,FALSE)</f>
        <v>Sub critical</v>
      </c>
      <c r="AN462" s="2">
        <v>500</v>
      </c>
      <c r="AO462" s="2">
        <f t="shared" si="157"/>
        <v>0.36330363484886291</v>
      </c>
      <c r="AP462" s="2">
        <v>500</v>
      </c>
      <c r="AQ462" s="2">
        <f t="shared" si="158"/>
        <v>0</v>
      </c>
      <c r="AR462" s="2">
        <f t="shared" si="159"/>
        <v>181.65181742443144</v>
      </c>
      <c r="AS462" s="2">
        <f t="shared" si="160"/>
        <v>0</v>
      </c>
      <c r="AU462" s="2">
        <f t="shared" si="171"/>
        <v>251.80500000000001</v>
      </c>
      <c r="AV462" s="2">
        <f t="shared" si="161"/>
        <v>0.50361</v>
      </c>
      <c r="AW462" s="12">
        <f t="shared" si="162"/>
        <v>15.591375770020498</v>
      </c>
      <c r="AX462" s="2">
        <v>500</v>
      </c>
      <c r="AY462" s="3">
        <f t="shared" si="163"/>
        <v>0.50361</v>
      </c>
      <c r="AZ462" s="2">
        <f t="shared" si="164"/>
        <v>251.80500000000001</v>
      </c>
      <c r="BA462" s="2">
        <f t="shared" si="165"/>
        <v>0</v>
      </c>
      <c r="BC462">
        <f t="shared" si="166"/>
        <v>280.76257500000003</v>
      </c>
      <c r="BD462">
        <f t="shared" si="172"/>
        <v>0.56152515000000003</v>
      </c>
      <c r="BE462">
        <f t="shared" si="167"/>
        <v>0.56152515000000003</v>
      </c>
      <c r="BF462">
        <f t="shared" si="168"/>
        <v>280.76257500000003</v>
      </c>
      <c r="BG462">
        <f t="shared" si="169"/>
        <v>0</v>
      </c>
    </row>
    <row r="463" spans="1:59" x14ac:dyDescent="0.2">
      <c r="A463" s="2" t="s">
        <v>219</v>
      </c>
      <c r="B463" s="2" t="str">
        <f>VLOOKUP($A463,'[1]daily coal, energy reqd'!$C$2:$T$599,17,FALSE)</f>
        <v>Odisha</v>
      </c>
      <c r="C463" s="2" t="str">
        <f>VLOOKUP(B463,'Target PLF'!$I$2:$J$19,2,FALSE)</f>
        <v>ER</v>
      </c>
      <c r="D463" s="2" t="s">
        <v>571</v>
      </c>
      <c r="E463" s="2" t="s">
        <v>545</v>
      </c>
      <c r="F463" s="12">
        <v>16.008213552361301</v>
      </c>
      <c r="G463" s="2">
        <v>500</v>
      </c>
      <c r="H463">
        <f>VLOOKUP(A463,'Coal savings'!$A$3:$AB$543,26,FALSE)</f>
        <v>2695382.3419195595</v>
      </c>
      <c r="I463" t="s">
        <v>694</v>
      </c>
      <c r="J463">
        <f>1007.22/4</f>
        <v>251.80500000000001</v>
      </c>
      <c r="O463" s="2" t="s">
        <v>219</v>
      </c>
      <c r="W463" s="96"/>
      <c r="X463" t="s">
        <v>621</v>
      </c>
      <c r="AH463" s="2" t="str">
        <f t="shared" si="156"/>
        <v>2019</v>
      </c>
      <c r="AI463" s="2">
        <f t="shared" si="170"/>
        <v>181.65181742443144</v>
      </c>
      <c r="AJ463" s="2">
        <f t="shared" si="154"/>
        <v>0.36330363484886291</v>
      </c>
      <c r="AK463" s="12">
        <f t="shared" si="155"/>
        <v>12.008213552361301</v>
      </c>
      <c r="AL463" s="2" t="s">
        <v>571</v>
      </c>
      <c r="AM463" s="2" t="str">
        <f>VLOOKUP(A463,'[12]Power plant names'!$C$2:$F$545,4,FALSE)</f>
        <v>Sub critical</v>
      </c>
      <c r="AN463" s="2">
        <v>500</v>
      </c>
      <c r="AO463" s="2">
        <f t="shared" si="157"/>
        <v>0.36330363484886291</v>
      </c>
      <c r="AP463" s="2">
        <v>500</v>
      </c>
      <c r="AQ463" s="2">
        <f t="shared" si="158"/>
        <v>0</v>
      </c>
      <c r="AR463" s="2">
        <f t="shared" si="159"/>
        <v>181.65181742443144</v>
      </c>
      <c r="AS463" s="2">
        <f t="shared" si="160"/>
        <v>0</v>
      </c>
      <c r="AU463" s="2">
        <f t="shared" si="171"/>
        <v>251.80500000000001</v>
      </c>
      <c r="AV463" s="2">
        <f t="shared" si="161"/>
        <v>0.50361</v>
      </c>
      <c r="AW463" s="12">
        <f t="shared" si="162"/>
        <v>15.008213552361301</v>
      </c>
      <c r="AX463" s="2">
        <v>500</v>
      </c>
      <c r="AY463" s="3">
        <f t="shared" si="163"/>
        <v>0.50361</v>
      </c>
      <c r="AZ463" s="2">
        <f t="shared" si="164"/>
        <v>251.80500000000001</v>
      </c>
      <c r="BA463" s="2">
        <f t="shared" si="165"/>
        <v>0</v>
      </c>
      <c r="BC463">
        <f t="shared" si="166"/>
        <v>280.76257500000003</v>
      </c>
      <c r="BD463">
        <f t="shared" si="172"/>
        <v>0.56152515000000003</v>
      </c>
      <c r="BE463">
        <f t="shared" si="167"/>
        <v>0.56152515000000003</v>
      </c>
      <c r="BF463">
        <f t="shared" si="168"/>
        <v>280.76257500000003</v>
      </c>
      <c r="BG463">
        <f t="shared" si="169"/>
        <v>0</v>
      </c>
    </row>
    <row r="464" spans="1:59" x14ac:dyDescent="0.2">
      <c r="A464" s="2" t="s">
        <v>208</v>
      </c>
      <c r="B464" s="2" t="str">
        <f>VLOOKUP($A464,'[1]daily coal, energy reqd'!$C$2:$T$599,17,FALSE)</f>
        <v>Odisha</v>
      </c>
      <c r="C464" s="2" t="str">
        <f>VLOOKUP(B464,'Target PLF'!$I$2:$J$19,2,FALSE)</f>
        <v>ER</v>
      </c>
      <c r="D464" s="2" t="s">
        <v>571</v>
      </c>
      <c r="E464" s="2" t="s">
        <v>545</v>
      </c>
      <c r="F464" s="12">
        <v>15.2525667351129</v>
      </c>
      <c r="G464" s="2">
        <v>500</v>
      </c>
      <c r="H464">
        <f>VLOOKUP(A464,'Coal savings'!$A$3:$AB$543,26,FALSE)</f>
        <v>2689892.3543361695</v>
      </c>
      <c r="I464" t="s">
        <v>694</v>
      </c>
      <c r="J464">
        <f>1007.22/4</f>
        <v>251.80500000000001</v>
      </c>
      <c r="O464" s="2" t="s">
        <v>208</v>
      </c>
      <c r="W464" s="96"/>
      <c r="X464" t="s">
        <v>621</v>
      </c>
      <c r="AH464" s="2" t="str">
        <f t="shared" si="156"/>
        <v>2019</v>
      </c>
      <c r="AI464" s="2">
        <f t="shared" si="170"/>
        <v>181.65181742443144</v>
      </c>
      <c r="AJ464" s="2">
        <f t="shared" si="154"/>
        <v>0.36330363484886291</v>
      </c>
      <c r="AK464" s="12">
        <f t="shared" si="155"/>
        <v>11.2525667351129</v>
      </c>
      <c r="AL464" s="2" t="s">
        <v>571</v>
      </c>
      <c r="AM464" s="2" t="str">
        <f>VLOOKUP(A464,'[12]Power plant names'!$C$2:$F$545,4,FALSE)</f>
        <v>Sub critical</v>
      </c>
      <c r="AN464" s="2">
        <v>500</v>
      </c>
      <c r="AO464" s="2">
        <f t="shared" si="157"/>
        <v>0.36330363484886291</v>
      </c>
      <c r="AP464" s="2">
        <v>500</v>
      </c>
      <c r="AQ464" s="2">
        <f t="shared" si="158"/>
        <v>0</v>
      </c>
      <c r="AR464" s="2">
        <f t="shared" si="159"/>
        <v>181.65181742443144</v>
      </c>
      <c r="AS464" s="2">
        <f t="shared" si="160"/>
        <v>0</v>
      </c>
      <c r="AU464" s="2">
        <f t="shared" si="171"/>
        <v>251.80500000000001</v>
      </c>
      <c r="AV464" s="2">
        <f t="shared" si="161"/>
        <v>0.50361</v>
      </c>
      <c r="AW464" s="12">
        <f t="shared" si="162"/>
        <v>14.2525667351129</v>
      </c>
      <c r="AX464" s="2">
        <v>500</v>
      </c>
      <c r="AY464" s="3">
        <f t="shared" si="163"/>
        <v>0.50361</v>
      </c>
      <c r="AZ464" s="2">
        <f t="shared" si="164"/>
        <v>251.80500000000001</v>
      </c>
      <c r="BA464" s="2">
        <f t="shared" si="165"/>
        <v>0</v>
      </c>
      <c r="BC464">
        <f t="shared" si="166"/>
        <v>280.76257500000003</v>
      </c>
      <c r="BD464">
        <f t="shared" si="172"/>
        <v>0.56152515000000003</v>
      </c>
      <c r="BE464">
        <f t="shared" si="167"/>
        <v>0.56152515000000003</v>
      </c>
      <c r="BF464">
        <f t="shared" si="168"/>
        <v>280.76257500000003</v>
      </c>
      <c r="BG464">
        <f t="shared" si="169"/>
        <v>0</v>
      </c>
    </row>
    <row r="465" spans="1:59" ht="14.5" customHeight="1" x14ac:dyDescent="0.2">
      <c r="A465" s="2" t="s">
        <v>60</v>
      </c>
      <c r="B465" s="2" t="str">
        <f>VLOOKUP($A465,'[1]daily coal, energy reqd'!$C$2:$T$599,17,FALSE)</f>
        <v>Punjab</v>
      </c>
      <c r="C465" s="2" t="str">
        <f>VLOOKUP(B465,'Target PLF'!$I$2:$J$19,2,FALSE)</f>
        <v>NR</v>
      </c>
      <c r="D465" s="2" t="s">
        <v>572</v>
      </c>
      <c r="E465" s="2" t="s">
        <v>543</v>
      </c>
      <c r="F465" s="12">
        <v>5.9247091033538597</v>
      </c>
      <c r="G465" s="2">
        <v>660</v>
      </c>
      <c r="H465">
        <f>VLOOKUP(A465,'Coal savings'!$A$3:$AB$543,26,FALSE)</f>
        <v>3793811.2431487162</v>
      </c>
      <c r="O465" s="2" t="s">
        <v>60</v>
      </c>
      <c r="AH465" s="2" t="str">
        <f t="shared" si="156"/>
        <v/>
      </c>
      <c r="AI465" s="2"/>
      <c r="AJ465" s="2" t="str">
        <f t="shared" si="154"/>
        <v/>
      </c>
      <c r="AK465" s="12">
        <f t="shared" si="155"/>
        <v>1.9247091033538597</v>
      </c>
      <c r="AL465" s="2" t="s">
        <v>572</v>
      </c>
      <c r="AM465" s="2" t="str">
        <f>VLOOKUP(A465,'[12]Power plant names'!$C$2:$F$545,4,FALSE)</f>
        <v>Super critical</v>
      </c>
      <c r="AN465" s="2">
        <v>660</v>
      </c>
      <c r="AO465" s="2">
        <f t="shared" si="157"/>
        <v>0.75658400054757036</v>
      </c>
      <c r="AP465" s="2">
        <v>660</v>
      </c>
      <c r="AQ465" s="2">
        <f t="shared" si="158"/>
        <v>0</v>
      </c>
      <c r="AR465" s="2">
        <f t="shared" si="159"/>
        <v>499.34544036139641</v>
      </c>
      <c r="AS465" s="2">
        <f t="shared" si="160"/>
        <v>0</v>
      </c>
      <c r="AU465" s="2"/>
      <c r="AV465" s="2" t="str">
        <f t="shared" si="161"/>
        <v/>
      </c>
      <c r="AW465" s="12">
        <f t="shared" si="162"/>
        <v>5.9247091033538597</v>
      </c>
      <c r="AX465" s="2">
        <v>660</v>
      </c>
      <c r="AY465" s="3">
        <f t="shared" si="163"/>
        <v>0.94233039712525679</v>
      </c>
      <c r="AZ465" s="2">
        <f t="shared" si="164"/>
        <v>621.93806210266951</v>
      </c>
      <c r="BA465" s="2">
        <f t="shared" si="165"/>
        <v>0</v>
      </c>
      <c r="BC465" t="str">
        <f t="shared" si="166"/>
        <v/>
      </c>
      <c r="BE465">
        <f t="shared" si="167"/>
        <v>1.0439005236139631</v>
      </c>
      <c r="BF465">
        <f t="shared" si="168"/>
        <v>688.9743455852157</v>
      </c>
      <c r="BG465">
        <f t="shared" si="169"/>
        <v>0</v>
      </c>
    </row>
    <row r="466" spans="1:59" ht="14.5" customHeight="1" x14ac:dyDescent="0.2">
      <c r="A466" s="2" t="s">
        <v>47</v>
      </c>
      <c r="B466" s="2" t="str">
        <f>VLOOKUP($A466,'[1]daily coal, energy reqd'!$C$2:$T$599,17,FALSE)</f>
        <v>Punjab</v>
      </c>
      <c r="C466" s="2" t="str">
        <f>VLOOKUP(B466,'Target PLF'!$I$2:$J$19,2,FALSE)</f>
        <v>NR</v>
      </c>
      <c r="D466" s="2" t="s">
        <v>572</v>
      </c>
      <c r="E466" s="2" t="s">
        <v>542</v>
      </c>
      <c r="F466" s="12">
        <v>4.5913757700205302</v>
      </c>
      <c r="G466" s="2">
        <v>660</v>
      </c>
      <c r="H466">
        <f>VLOOKUP(A466,'Coal savings'!$A$3:$AB$543,26,FALSE)</f>
        <v>3778984.2365036244</v>
      </c>
      <c r="O466" s="2" t="s">
        <v>47</v>
      </c>
      <c r="AH466" s="2" t="str">
        <f t="shared" si="156"/>
        <v/>
      </c>
      <c r="AI466" s="2"/>
      <c r="AJ466" s="2" t="str">
        <f t="shared" si="154"/>
        <v/>
      </c>
      <c r="AK466" s="12">
        <f t="shared" si="155"/>
        <v>0.59137577002053021</v>
      </c>
      <c r="AL466" s="2" t="s">
        <v>572</v>
      </c>
      <c r="AM466" s="2" t="str">
        <f>VLOOKUP(A466,'[12]Power plant names'!$C$2:$F$545,4,FALSE)</f>
        <v>Super critical</v>
      </c>
      <c r="AN466" s="2">
        <v>660</v>
      </c>
      <c r="AO466" s="2">
        <f t="shared" si="157"/>
        <v>0.77505813388090372</v>
      </c>
      <c r="AP466" s="2">
        <v>660</v>
      </c>
      <c r="AQ466" s="2">
        <f t="shared" si="158"/>
        <v>0</v>
      </c>
      <c r="AR466" s="2">
        <f t="shared" si="159"/>
        <v>511.53836836139646</v>
      </c>
      <c r="AS466" s="2">
        <f t="shared" si="160"/>
        <v>0</v>
      </c>
      <c r="AU466" s="2"/>
      <c r="AV466" s="2" t="str">
        <f t="shared" si="161"/>
        <v/>
      </c>
      <c r="AW466" s="12">
        <f t="shared" si="162"/>
        <v>4.5913757700205302</v>
      </c>
      <c r="AX466" s="2">
        <v>660</v>
      </c>
      <c r="AY466" s="3">
        <f t="shared" si="163"/>
        <v>0.96650679712525678</v>
      </c>
      <c r="AZ466" s="2">
        <f t="shared" si="164"/>
        <v>637.89448610266948</v>
      </c>
      <c r="BA466" s="2">
        <f t="shared" si="165"/>
        <v>0</v>
      </c>
      <c r="BC466" t="str">
        <f t="shared" si="166"/>
        <v/>
      </c>
      <c r="BE466">
        <f t="shared" si="167"/>
        <v>1.072598523613963</v>
      </c>
      <c r="BF466">
        <f t="shared" si="168"/>
        <v>707.91502558521563</v>
      </c>
      <c r="BG466">
        <f t="shared" si="169"/>
        <v>0</v>
      </c>
    </row>
    <row r="467" spans="1:59" ht="14.5" customHeight="1" x14ac:dyDescent="0.2">
      <c r="A467" s="2" t="s">
        <v>42</v>
      </c>
      <c r="B467" s="2" t="str">
        <f>VLOOKUP($A467,'[1]daily coal, energy reqd'!$C$2:$T$599,17,FALSE)</f>
        <v>Punjab</v>
      </c>
      <c r="C467" s="2" t="str">
        <f>VLOOKUP(B467,'Target PLF'!$I$2:$J$19,2,FALSE)</f>
        <v>NR</v>
      </c>
      <c r="D467" s="2" t="s">
        <v>572</v>
      </c>
      <c r="E467" s="2" t="s">
        <v>542</v>
      </c>
      <c r="F467" s="12">
        <v>4.1752224503764497</v>
      </c>
      <c r="G467" s="2">
        <v>660</v>
      </c>
      <c r="H467">
        <f>VLOOKUP(A467,'Coal savings'!$A$3:$AB$543,26,FALSE)</f>
        <v>3774356.5054768198</v>
      </c>
      <c r="O467" s="2" t="s">
        <v>42</v>
      </c>
      <c r="AH467" s="2" t="str">
        <f t="shared" si="156"/>
        <v/>
      </c>
      <c r="AI467" s="2"/>
      <c r="AJ467" s="2" t="str">
        <f t="shared" si="154"/>
        <v/>
      </c>
      <c r="AK467" s="12">
        <f t="shared" si="155"/>
        <v>0.17522245037644968</v>
      </c>
      <c r="AL467" s="2" t="s">
        <v>572</v>
      </c>
      <c r="AM467" s="2" t="str">
        <f>VLOOKUP(A467,'[12]Power plant names'!$C$2:$F$545,4,FALSE)</f>
        <v>Super critical</v>
      </c>
      <c r="AN467" s="2">
        <v>660</v>
      </c>
      <c r="AO467" s="2">
        <f t="shared" si="157"/>
        <v>0.78082418781656415</v>
      </c>
      <c r="AP467" s="2">
        <v>660</v>
      </c>
      <c r="AQ467" s="2">
        <f t="shared" si="158"/>
        <v>0</v>
      </c>
      <c r="AR467" s="2">
        <f t="shared" si="159"/>
        <v>515.34396395893236</v>
      </c>
      <c r="AS467" s="2">
        <f t="shared" si="160"/>
        <v>0</v>
      </c>
      <c r="AU467" s="2"/>
      <c r="AV467" s="2" t="str">
        <f t="shared" si="161"/>
        <v/>
      </c>
      <c r="AW467" s="12">
        <f t="shared" si="162"/>
        <v>4.1752224503764497</v>
      </c>
      <c r="AX467" s="2">
        <v>660</v>
      </c>
      <c r="AY467" s="3">
        <f t="shared" si="163"/>
        <v>0.97405261396303922</v>
      </c>
      <c r="AZ467" s="2">
        <f t="shared" si="164"/>
        <v>642.87472521560585</v>
      </c>
      <c r="BA467" s="2">
        <f t="shared" si="165"/>
        <v>0</v>
      </c>
      <c r="BC467" t="str">
        <f t="shared" si="166"/>
        <v/>
      </c>
      <c r="BE467">
        <f t="shared" si="167"/>
        <v>1.0815555995893225</v>
      </c>
      <c r="BF467">
        <f t="shared" si="168"/>
        <v>713.82669572895281</v>
      </c>
      <c r="BG467">
        <f t="shared" si="169"/>
        <v>0</v>
      </c>
    </row>
    <row r="468" spans="1:59" ht="14.5" hidden="1" customHeight="1" x14ac:dyDescent="0.2">
      <c r="A468" s="2" t="s">
        <v>478</v>
      </c>
      <c r="B468" s="2" t="str">
        <f>VLOOKUP($A468,'[1]daily coal, energy reqd'!$C$2:$T$599,17,FALSE)</f>
        <v>Uttar Pradesh</v>
      </c>
      <c r="C468" s="2" t="str">
        <f>VLOOKUP(B468,'Target PLF'!$I$2:$J$19,2,FALSE)</f>
        <v>NR</v>
      </c>
      <c r="D468" s="2" t="s">
        <v>571</v>
      </c>
      <c r="E468" s="2" t="s">
        <v>548</v>
      </c>
      <c r="F468" s="12">
        <v>32.175222450376403</v>
      </c>
      <c r="G468" s="2">
        <v>110</v>
      </c>
      <c r="H468">
        <f>VLOOKUP(A468,'Coal savings'!$A$3:$AB$543,26,FALSE)</f>
        <v>0</v>
      </c>
      <c r="I468" t="s">
        <v>694</v>
      </c>
      <c r="J468">
        <v>91.6</v>
      </c>
      <c r="O468" s="2" t="s">
        <v>478</v>
      </c>
      <c r="P468">
        <v>2019</v>
      </c>
      <c r="Q468" s="96">
        <v>369.97</v>
      </c>
      <c r="R468" t="s">
        <v>689</v>
      </c>
      <c r="S468" s="96">
        <v>396</v>
      </c>
      <c r="AH468" s="2" t="str">
        <f t="shared" si="156"/>
        <v>2019</v>
      </c>
      <c r="AI468" s="2">
        <f>(J468)/(1+0.115)^(AH468-2016)</f>
        <v>66.080127384594903</v>
      </c>
      <c r="AJ468" s="2">
        <f t="shared" si="154"/>
        <v>0.60072843076904459</v>
      </c>
      <c r="AK468" s="12">
        <f t="shared" si="155"/>
        <v>28.175222450376403</v>
      </c>
      <c r="AL468" s="2" t="s">
        <v>571</v>
      </c>
      <c r="AM468" s="2" t="str">
        <f>VLOOKUP(A468,'[12]Power plant names'!$C$2:$F$545,4,FALSE)</f>
        <v>Sub critical</v>
      </c>
      <c r="AN468" s="2">
        <v>110</v>
      </c>
      <c r="AO468" s="2">
        <f t="shared" si="157"/>
        <v>0.60072843076904459</v>
      </c>
      <c r="AP468" s="2">
        <f>396/4</f>
        <v>99</v>
      </c>
      <c r="AQ468" s="2">
        <f t="shared" si="158"/>
        <v>11</v>
      </c>
      <c r="AR468" s="2">
        <f t="shared" si="159"/>
        <v>59.472114646135417</v>
      </c>
      <c r="AS468" s="2">
        <f t="shared" si="160"/>
        <v>6.6080127384594904</v>
      </c>
      <c r="AU468" s="2">
        <f t="shared" si="171"/>
        <v>91.6</v>
      </c>
      <c r="AV468" s="2">
        <f t="shared" si="161"/>
        <v>0.83272727272727265</v>
      </c>
      <c r="AW468" s="12">
        <f t="shared" si="162"/>
        <v>31.175222450376403</v>
      </c>
      <c r="AX468" s="2">
        <v>110</v>
      </c>
      <c r="AY468" s="3">
        <f t="shared" si="163"/>
        <v>0.83272727272727265</v>
      </c>
      <c r="AZ468" s="2">
        <f t="shared" si="164"/>
        <v>82.44</v>
      </c>
      <c r="BA468" s="2">
        <f t="shared" si="165"/>
        <v>9.1599999999999984</v>
      </c>
      <c r="BC468">
        <f t="shared" si="166"/>
        <v>102.13399999999999</v>
      </c>
      <c r="BD468">
        <f t="shared" si="172"/>
        <v>0.92849090909090892</v>
      </c>
      <c r="BE468">
        <f t="shared" si="167"/>
        <v>0.92849090909090892</v>
      </c>
      <c r="BF468">
        <f t="shared" si="168"/>
        <v>91.920599999999979</v>
      </c>
      <c r="BG468">
        <f t="shared" si="169"/>
        <v>10.213399999999998</v>
      </c>
    </row>
    <row r="469" spans="1:59" ht="14.5" hidden="1" customHeight="1" x14ac:dyDescent="0.2">
      <c r="A469" s="2" t="s">
        <v>468</v>
      </c>
      <c r="B469" s="2" t="str">
        <f>VLOOKUP($A469,'[1]daily coal, energy reqd'!$C$2:$T$599,17,FALSE)</f>
        <v>Uttar Pradesh</v>
      </c>
      <c r="C469" s="2" t="str">
        <f>VLOOKUP(B469,'Target PLF'!$I$2:$J$19,2,FALSE)</f>
        <v>NR</v>
      </c>
      <c r="D469" s="2" t="s">
        <v>571</v>
      </c>
      <c r="E469" s="2" t="s">
        <v>548</v>
      </c>
      <c r="F469" s="12">
        <v>31.175906913073199</v>
      </c>
      <c r="G469" s="2">
        <v>110</v>
      </c>
      <c r="H469">
        <f>VLOOKUP(A469,'Coal savings'!$A$3:$AB$543,26,FALSE)</f>
        <v>0</v>
      </c>
      <c r="I469" t="s">
        <v>694</v>
      </c>
      <c r="J469">
        <v>91.6</v>
      </c>
      <c r="O469" s="2" t="s">
        <v>468</v>
      </c>
      <c r="Q469" s="96"/>
      <c r="R469" t="s">
        <v>689</v>
      </c>
      <c r="S469" s="96"/>
      <c r="AH469" s="2" t="str">
        <f t="shared" si="156"/>
        <v>2019</v>
      </c>
      <c r="AI469" s="2">
        <f>(J469)/(1+0.115)^(AH469-2016)</f>
        <v>66.080127384594903</v>
      </c>
      <c r="AJ469" s="2">
        <f t="shared" si="154"/>
        <v>0.60072843076904459</v>
      </c>
      <c r="AK469" s="12">
        <f t="shared" si="155"/>
        <v>27.175906913073199</v>
      </c>
      <c r="AL469" s="2" t="s">
        <v>571</v>
      </c>
      <c r="AM469" s="2" t="str">
        <f>VLOOKUP(A469,'[12]Power plant names'!$C$2:$F$545,4,FALSE)</f>
        <v>Sub critical</v>
      </c>
      <c r="AN469" s="2">
        <v>110</v>
      </c>
      <c r="AO469" s="2">
        <f t="shared" si="157"/>
        <v>0.60072843076904459</v>
      </c>
      <c r="AP469" s="2">
        <f>396/4</f>
        <v>99</v>
      </c>
      <c r="AQ469" s="2">
        <f t="shared" si="158"/>
        <v>11</v>
      </c>
      <c r="AR469" s="2">
        <f t="shared" si="159"/>
        <v>59.472114646135417</v>
      </c>
      <c r="AS469" s="2">
        <f t="shared" si="160"/>
        <v>6.6080127384594904</v>
      </c>
      <c r="AU469" s="2">
        <f t="shared" si="171"/>
        <v>91.6</v>
      </c>
      <c r="AV469" s="2">
        <f t="shared" si="161"/>
        <v>0.83272727272727265</v>
      </c>
      <c r="AW469" s="12">
        <f t="shared" si="162"/>
        <v>30.175906913073199</v>
      </c>
      <c r="AX469" s="2">
        <v>110</v>
      </c>
      <c r="AY469" s="3">
        <f t="shared" si="163"/>
        <v>0.83272727272727265</v>
      </c>
      <c r="AZ469" s="2">
        <f t="shared" si="164"/>
        <v>82.44</v>
      </c>
      <c r="BA469" s="2">
        <f t="shared" si="165"/>
        <v>9.1599999999999984</v>
      </c>
      <c r="BC469">
        <f t="shared" si="166"/>
        <v>102.13399999999999</v>
      </c>
      <c r="BD469">
        <f t="shared" si="172"/>
        <v>0.92849090909090892</v>
      </c>
      <c r="BE469">
        <f t="shared" si="167"/>
        <v>0.92849090909090892</v>
      </c>
      <c r="BF469">
        <f t="shared" si="168"/>
        <v>91.920599999999979</v>
      </c>
      <c r="BG469">
        <f t="shared" si="169"/>
        <v>10.213399999999998</v>
      </c>
    </row>
    <row r="470" spans="1:59" ht="14.5" hidden="1" customHeight="1" x14ac:dyDescent="0.2">
      <c r="A470" s="2" t="s">
        <v>461</v>
      </c>
      <c r="B470" s="2" t="str">
        <f>VLOOKUP($A470,'[1]daily coal, energy reqd'!$C$2:$T$599,17,FALSE)</f>
        <v>Uttar Pradesh</v>
      </c>
      <c r="C470" s="2" t="str">
        <f>VLOOKUP(B470,'Target PLF'!$I$2:$J$19,2,FALSE)</f>
        <v>NR</v>
      </c>
      <c r="D470" s="2" t="s">
        <v>571</v>
      </c>
      <c r="E470" s="2" t="s">
        <v>548</v>
      </c>
      <c r="F470" s="12">
        <v>30.176591375769998</v>
      </c>
      <c r="G470" s="2">
        <v>110</v>
      </c>
      <c r="H470">
        <f>VLOOKUP(A470,'Coal savings'!$A$3:$AB$543,26,FALSE)</f>
        <v>0</v>
      </c>
      <c r="I470" t="s">
        <v>694</v>
      </c>
      <c r="J470">
        <v>91.6</v>
      </c>
      <c r="O470" s="2" t="s">
        <v>461</v>
      </c>
      <c r="Q470" s="96"/>
      <c r="R470" t="s">
        <v>689</v>
      </c>
      <c r="S470" s="96"/>
      <c r="AH470" s="2" t="str">
        <f t="shared" si="156"/>
        <v>2019</v>
      </c>
      <c r="AI470" s="2">
        <f>(J470)/(1+0.115)^(AH470-2016)</f>
        <v>66.080127384594903</v>
      </c>
      <c r="AJ470" s="2">
        <f t="shared" si="154"/>
        <v>0.60072843076904459</v>
      </c>
      <c r="AK470" s="12">
        <f t="shared" si="155"/>
        <v>26.176591375769998</v>
      </c>
      <c r="AL470" s="2" t="s">
        <v>571</v>
      </c>
      <c r="AM470" s="2" t="str">
        <f>VLOOKUP(A470,'[12]Power plant names'!$C$2:$F$545,4,FALSE)</f>
        <v>Sub critical</v>
      </c>
      <c r="AN470" s="2">
        <v>110</v>
      </c>
      <c r="AO470" s="2">
        <f t="shared" si="157"/>
        <v>0.60072843076904459</v>
      </c>
      <c r="AP470" s="2">
        <f>396/4</f>
        <v>99</v>
      </c>
      <c r="AQ470" s="2">
        <f t="shared" si="158"/>
        <v>11</v>
      </c>
      <c r="AR470" s="2">
        <f t="shared" si="159"/>
        <v>59.472114646135417</v>
      </c>
      <c r="AS470" s="2">
        <f t="shared" si="160"/>
        <v>6.6080127384594904</v>
      </c>
      <c r="AU470" s="2">
        <f t="shared" si="171"/>
        <v>91.6</v>
      </c>
      <c r="AV470" s="2">
        <f t="shared" si="161"/>
        <v>0.83272727272727265</v>
      </c>
      <c r="AW470" s="12">
        <f t="shared" si="162"/>
        <v>29.176591375769998</v>
      </c>
      <c r="AX470" s="2">
        <v>110</v>
      </c>
      <c r="AY470" s="3">
        <f t="shared" si="163"/>
        <v>0.83272727272727265</v>
      </c>
      <c r="AZ470" s="2">
        <f t="shared" si="164"/>
        <v>82.44</v>
      </c>
      <c r="BA470" s="2">
        <f t="shared" si="165"/>
        <v>9.1599999999999984</v>
      </c>
      <c r="BC470">
        <f t="shared" si="166"/>
        <v>102.13399999999999</v>
      </c>
      <c r="BD470">
        <f t="shared" si="172"/>
        <v>0.92849090909090892</v>
      </c>
      <c r="BE470">
        <f t="shared" si="167"/>
        <v>0.92849090909090892</v>
      </c>
      <c r="BF470">
        <f t="shared" si="168"/>
        <v>91.920599999999979</v>
      </c>
      <c r="BG470">
        <f t="shared" si="169"/>
        <v>10.213399999999998</v>
      </c>
    </row>
    <row r="471" spans="1:59" ht="14.5" hidden="1" customHeight="1" x14ac:dyDescent="0.2">
      <c r="A471" s="2" t="s">
        <v>410</v>
      </c>
      <c r="B471" s="2" t="str">
        <f>VLOOKUP($A471,'[1]daily coal, energy reqd'!$C$2:$T$599,17,FALSE)</f>
        <v>Uttar Pradesh</v>
      </c>
      <c r="C471" s="2" t="str">
        <f>VLOOKUP(B471,'Target PLF'!$I$2:$J$19,2,FALSE)</f>
        <v>NR</v>
      </c>
      <c r="D471" s="2" t="s">
        <v>571</v>
      </c>
      <c r="E471" s="2" t="s">
        <v>546</v>
      </c>
      <c r="F471" s="12">
        <v>22.2532511978097</v>
      </c>
      <c r="G471" s="2">
        <v>110</v>
      </c>
      <c r="H471">
        <f>VLOOKUP(A471,'Coal savings'!$A$3:$AB$543,26,FALSE)</f>
        <v>0</v>
      </c>
      <c r="I471" t="s">
        <v>694</v>
      </c>
      <c r="J471">
        <v>91.6</v>
      </c>
      <c r="O471" s="2" t="s">
        <v>410</v>
      </c>
      <c r="Q471" s="96"/>
      <c r="R471" t="s">
        <v>689</v>
      </c>
      <c r="S471" s="96"/>
      <c r="AH471" s="2" t="str">
        <f t="shared" si="156"/>
        <v>2019</v>
      </c>
      <c r="AI471" s="2">
        <f>(J471)/(1+0.115)^(AH471-2016)</f>
        <v>66.080127384594903</v>
      </c>
      <c r="AJ471" s="2">
        <f t="shared" si="154"/>
        <v>0.60072843076904459</v>
      </c>
      <c r="AK471" s="12">
        <f t="shared" si="155"/>
        <v>18.2532511978097</v>
      </c>
      <c r="AL471" s="2" t="s">
        <v>571</v>
      </c>
      <c r="AM471" s="2" t="str">
        <f>VLOOKUP(A471,'[12]Power plant names'!$C$2:$F$545,4,FALSE)</f>
        <v>Sub critical</v>
      </c>
      <c r="AN471" s="2">
        <v>110</v>
      </c>
      <c r="AO471" s="2">
        <f t="shared" si="157"/>
        <v>0.60072843076904459</v>
      </c>
      <c r="AP471" s="2">
        <f>396/4</f>
        <v>99</v>
      </c>
      <c r="AQ471" s="2">
        <f t="shared" si="158"/>
        <v>11</v>
      </c>
      <c r="AR471" s="2">
        <f t="shared" si="159"/>
        <v>59.472114646135417</v>
      </c>
      <c r="AS471" s="2">
        <f t="shared" si="160"/>
        <v>6.6080127384594904</v>
      </c>
      <c r="AU471" s="2">
        <f t="shared" si="171"/>
        <v>91.6</v>
      </c>
      <c r="AV471" s="2">
        <f t="shared" si="161"/>
        <v>0.83272727272727265</v>
      </c>
      <c r="AW471" s="12">
        <f t="shared" si="162"/>
        <v>21.2532511978097</v>
      </c>
      <c r="AX471" s="2">
        <v>110</v>
      </c>
      <c r="AY471" s="3">
        <f t="shared" si="163"/>
        <v>0.83272727272727265</v>
      </c>
      <c r="AZ471" s="2">
        <f t="shared" si="164"/>
        <v>82.44</v>
      </c>
      <c r="BA471" s="2">
        <f t="shared" si="165"/>
        <v>9.1599999999999984</v>
      </c>
      <c r="BC471">
        <f t="shared" si="166"/>
        <v>102.13399999999999</v>
      </c>
      <c r="BD471">
        <f t="shared" si="172"/>
        <v>0.92849090909090892</v>
      </c>
      <c r="BE471">
        <f t="shared" si="167"/>
        <v>0.92849090909090892</v>
      </c>
      <c r="BF471">
        <f t="shared" si="168"/>
        <v>91.920599999999979</v>
      </c>
      <c r="BG471">
        <f t="shared" si="169"/>
        <v>10.213399999999998</v>
      </c>
    </row>
    <row r="472" spans="1:59" ht="14.5" customHeight="1" x14ac:dyDescent="0.2">
      <c r="A472" s="2" t="s">
        <v>12</v>
      </c>
      <c r="B472" s="2" t="str">
        <f>VLOOKUP($A472,'[1]daily coal, energy reqd'!$C$2:$T$599,17,FALSE)</f>
        <v>Uttar Pradesh</v>
      </c>
      <c r="C472" s="2" t="str">
        <f>VLOOKUP(B472,'Target PLF'!$I$2:$J$19,2,FALSE)</f>
        <v>NR</v>
      </c>
      <c r="D472" s="2" t="s">
        <v>571</v>
      </c>
      <c r="E472" s="2" t="s">
        <v>542</v>
      </c>
      <c r="F472" s="13">
        <v>0.60232717316906204</v>
      </c>
      <c r="G472" s="2">
        <v>660</v>
      </c>
      <c r="H472">
        <f>VLOOKUP(A472,'Coal savings'!$A$3:$AB$543,26,FALSE)</f>
        <v>2857686.5259743878</v>
      </c>
      <c r="O472" s="2" t="s">
        <v>12</v>
      </c>
      <c r="Q472" s="96"/>
      <c r="R472" t="s">
        <v>689</v>
      </c>
      <c r="S472" s="38"/>
      <c r="AH472" s="2" t="str">
        <f t="shared" si="156"/>
        <v/>
      </c>
      <c r="AI472" s="2"/>
      <c r="AJ472" s="2" t="str">
        <f t="shared" si="154"/>
        <v/>
      </c>
      <c r="AK472" s="12">
        <f t="shared" si="155"/>
        <v>1</v>
      </c>
      <c r="AL472" s="2" t="s">
        <v>571</v>
      </c>
      <c r="AM472" s="2" t="str">
        <f>VLOOKUP(A472,'[12]Power plant names'!$C$2:$F$545,4,FALSE)</f>
        <v>Super critical</v>
      </c>
      <c r="AN472" s="2">
        <v>660</v>
      </c>
      <c r="AO472" s="2">
        <f t="shared" si="157"/>
        <v>0.76939640000000009</v>
      </c>
      <c r="AP472" s="2">
        <v>660</v>
      </c>
      <c r="AQ472" s="2">
        <f t="shared" si="158"/>
        <v>0</v>
      </c>
      <c r="AR472" s="2">
        <f t="shared" si="159"/>
        <v>507.80162400000006</v>
      </c>
      <c r="AS472" s="2">
        <f t="shared" si="160"/>
        <v>0</v>
      </c>
      <c r="AU472" s="2"/>
      <c r="AV472" s="2" t="str">
        <f t="shared" si="161"/>
        <v/>
      </c>
      <c r="AW472" s="12">
        <f t="shared" si="162"/>
        <v>0.60232717316906204</v>
      </c>
      <c r="AX472" s="2">
        <v>660</v>
      </c>
      <c r="AY472" s="3">
        <f t="shared" si="163"/>
        <v>1.0388374229979467</v>
      </c>
      <c r="AZ472" s="2">
        <f t="shared" si="164"/>
        <v>685.63269917864477</v>
      </c>
      <c r="BA472" s="2">
        <f t="shared" si="165"/>
        <v>0</v>
      </c>
      <c r="BC472" t="str">
        <f t="shared" si="166"/>
        <v/>
      </c>
      <c r="BE472">
        <f t="shared" si="167"/>
        <v>1.1584568110882958</v>
      </c>
      <c r="BF472">
        <f t="shared" si="168"/>
        <v>764.58149531827519</v>
      </c>
      <c r="BG472">
        <f t="shared" si="169"/>
        <v>0</v>
      </c>
    </row>
    <row r="473" spans="1:59" hidden="1" x14ac:dyDescent="0.2">
      <c r="A473" s="2" t="s">
        <v>392</v>
      </c>
      <c r="B473" s="2" t="str">
        <f>VLOOKUP($A473,'[1]daily coal, energy reqd'!$C$2:$T$599,17,FALSE)</f>
        <v>Jharkhand</v>
      </c>
      <c r="C473" s="2" t="str">
        <f>VLOOKUP(B473,'Target PLF'!$I$2:$J$19,2,FALSE)</f>
        <v>ER</v>
      </c>
      <c r="D473" s="2" t="s">
        <v>570</v>
      </c>
      <c r="E473" s="2" t="s">
        <v>546</v>
      </c>
      <c r="F473" s="12">
        <v>23.671457905544099</v>
      </c>
      <c r="G473" s="2">
        <v>210</v>
      </c>
      <c r="H473">
        <f>VLOOKUP(A473,'Coal savings'!$A$3:$AB$543,26,FALSE)</f>
        <v>0</v>
      </c>
      <c r="O473" s="2" t="s">
        <v>392</v>
      </c>
      <c r="AH473" s="2" t="str">
        <f t="shared" si="156"/>
        <v/>
      </c>
      <c r="AI473" s="2"/>
      <c r="AJ473" s="2" t="str">
        <f t="shared" si="154"/>
        <v/>
      </c>
      <c r="AK473" s="12">
        <f t="shared" si="155"/>
        <v>19.671457905544099</v>
      </c>
      <c r="AL473" s="2" t="s">
        <v>570</v>
      </c>
      <c r="AM473" s="2" t="str">
        <f>VLOOKUP(A473,'[12]Power plant names'!$C$2:$F$545,4,FALSE)</f>
        <v>Sub critical</v>
      </c>
      <c r="AN473" s="2">
        <v>210</v>
      </c>
      <c r="AO473" s="2">
        <f t="shared" si="157"/>
        <v>0.7140471478439433</v>
      </c>
      <c r="AP473" s="2">
        <v>210</v>
      </c>
      <c r="AQ473" s="2">
        <f t="shared" si="158"/>
        <v>0</v>
      </c>
      <c r="AR473" s="2">
        <f t="shared" si="159"/>
        <v>149.94990104722808</v>
      </c>
      <c r="AS473" s="2">
        <f t="shared" si="160"/>
        <v>0</v>
      </c>
      <c r="AU473" s="2"/>
      <c r="AV473" s="2" t="str">
        <f t="shared" si="161"/>
        <v/>
      </c>
      <c r="AW473" s="12">
        <f t="shared" si="162"/>
        <v>23.671457905544099</v>
      </c>
      <c r="AX473" s="2">
        <v>210</v>
      </c>
      <c r="AY473" s="3">
        <f t="shared" si="163"/>
        <v>0.87182102381930282</v>
      </c>
      <c r="AZ473" s="2">
        <f t="shared" si="164"/>
        <v>183.08241500205358</v>
      </c>
      <c r="BA473" s="2">
        <f t="shared" si="165"/>
        <v>0</v>
      </c>
      <c r="BC473" t="str">
        <f t="shared" si="166"/>
        <v/>
      </c>
      <c r="BE473">
        <f t="shared" si="167"/>
        <v>0.97791837577002161</v>
      </c>
      <c r="BF473">
        <f t="shared" si="168"/>
        <v>205.36285891170454</v>
      </c>
      <c r="BG473">
        <f t="shared" si="169"/>
        <v>0</v>
      </c>
    </row>
    <row r="474" spans="1:59" hidden="1" x14ac:dyDescent="0.2">
      <c r="A474" s="2" t="s">
        <v>386</v>
      </c>
      <c r="B474" s="2" t="str">
        <f>VLOOKUP($A474,'[1]daily coal, energy reqd'!$C$2:$T$599,17,FALSE)</f>
        <v>Jharkhand</v>
      </c>
      <c r="C474" s="2" t="str">
        <f>VLOOKUP(B474,'Target PLF'!$I$2:$J$19,2,FALSE)</f>
        <v>ER</v>
      </c>
      <c r="D474" s="2" t="s">
        <v>570</v>
      </c>
      <c r="E474" s="2" t="s">
        <v>546</v>
      </c>
      <c r="F474" s="12">
        <v>22.672142368240898</v>
      </c>
      <c r="G474" s="2">
        <v>210</v>
      </c>
      <c r="H474">
        <f>VLOOKUP(A474,'Coal savings'!$A$3:$AB$543,26,FALSE)</f>
        <v>0</v>
      </c>
      <c r="O474" s="2" t="s">
        <v>386</v>
      </c>
      <c r="AH474" s="2" t="str">
        <f t="shared" si="156"/>
        <v/>
      </c>
      <c r="AI474" s="2"/>
      <c r="AJ474" s="2" t="str">
        <f t="shared" si="154"/>
        <v/>
      </c>
      <c r="AK474" s="12">
        <f t="shared" si="155"/>
        <v>18.672142368240898</v>
      </c>
      <c r="AL474" s="2" t="s">
        <v>570</v>
      </c>
      <c r="AM474" s="2" t="str">
        <f>VLOOKUP(A474,'[12]Power plant names'!$C$2:$F$545,4,FALSE)</f>
        <v>Sub critical</v>
      </c>
      <c r="AN474" s="2">
        <v>210</v>
      </c>
      <c r="AO474" s="2">
        <f t="shared" si="157"/>
        <v>0.72789326420260148</v>
      </c>
      <c r="AP474" s="2">
        <v>210</v>
      </c>
      <c r="AQ474" s="2">
        <f t="shared" si="158"/>
        <v>0</v>
      </c>
      <c r="AR474" s="2">
        <f t="shared" si="159"/>
        <v>152.85758548254631</v>
      </c>
      <c r="AS474" s="2">
        <f t="shared" si="160"/>
        <v>0</v>
      </c>
      <c r="AU474" s="2"/>
      <c r="AV474" s="2" t="str">
        <f t="shared" si="161"/>
        <v/>
      </c>
      <c r="AW474" s="12">
        <f t="shared" si="162"/>
        <v>22.672142368240898</v>
      </c>
      <c r="AX474" s="2">
        <v>210</v>
      </c>
      <c r="AY474" s="3">
        <f t="shared" si="163"/>
        <v>0.88994091293634559</v>
      </c>
      <c r="AZ474" s="2">
        <f t="shared" si="164"/>
        <v>186.88759171663258</v>
      </c>
      <c r="BA474" s="2">
        <f t="shared" si="165"/>
        <v>0</v>
      </c>
      <c r="BC474" t="str">
        <f t="shared" si="166"/>
        <v/>
      </c>
      <c r="BE474">
        <f t="shared" si="167"/>
        <v>0.99942714373716701</v>
      </c>
      <c r="BF474">
        <f t="shared" si="168"/>
        <v>209.87970018480507</v>
      </c>
      <c r="BG474">
        <f t="shared" si="169"/>
        <v>0</v>
      </c>
    </row>
    <row r="475" spans="1:59" ht="14.5" hidden="1" customHeight="1" x14ac:dyDescent="0.2">
      <c r="A475" s="2" t="s">
        <v>298</v>
      </c>
      <c r="B475" s="2" t="str">
        <f>VLOOKUP($A475,'[1]daily coal, energy reqd'!$C$2:$T$599,17,FALSE)</f>
        <v>Andhra Pradesh</v>
      </c>
      <c r="C475" s="2" t="str">
        <f>VLOOKUP(B475,'Target PLF'!$I$2:$J$19,2,FALSE)</f>
        <v>SR</v>
      </c>
      <c r="D475" s="2" t="s">
        <v>572</v>
      </c>
      <c r="E475" s="2" t="s">
        <v>543</v>
      </c>
      <c r="F475" s="12">
        <v>8.1752224503764506</v>
      </c>
      <c r="G475" s="2">
        <v>150</v>
      </c>
      <c r="H475">
        <f>VLOOKUP(A475,'Coal savings'!$A$3:$AB$543,26,FALSE)</f>
        <v>0</v>
      </c>
      <c r="O475" s="2" t="s">
        <v>298</v>
      </c>
      <c r="AH475" s="2" t="str">
        <f t="shared" si="156"/>
        <v/>
      </c>
      <c r="AI475" s="2"/>
      <c r="AJ475" s="2" t="str">
        <f t="shared" si="154"/>
        <v/>
      </c>
      <c r="AK475" s="12">
        <f t="shared" si="155"/>
        <v>4.1752224503764506</v>
      </c>
      <c r="AL475" s="2" t="s">
        <v>572</v>
      </c>
      <c r="AM475" s="2" t="str">
        <f>VLOOKUP(A475,'[12]Power plant names'!$C$2:$F$545,4,FALSE)</f>
        <v>Sub critical</v>
      </c>
      <c r="AN475" s="2">
        <v>150</v>
      </c>
      <c r="AO475" s="2">
        <f t="shared" si="157"/>
        <v>0.9558707878165642</v>
      </c>
      <c r="AP475" s="2"/>
      <c r="AQ475" s="2">
        <f t="shared" si="158"/>
        <v>150</v>
      </c>
      <c r="AR475" s="2">
        <f t="shared" si="159"/>
        <v>0</v>
      </c>
      <c r="AS475" s="2">
        <f t="shared" si="160"/>
        <v>143.38061817248462</v>
      </c>
      <c r="AU475" s="2"/>
      <c r="AV475" s="2" t="str">
        <f t="shared" si="161"/>
        <v/>
      </c>
      <c r="AW475" s="12">
        <f t="shared" si="162"/>
        <v>8.1752224503764506</v>
      </c>
      <c r="AX475" s="2">
        <v>150</v>
      </c>
      <c r="AY475" s="3">
        <f t="shared" si="163"/>
        <v>1.1863074139630392</v>
      </c>
      <c r="AZ475" s="2">
        <f t="shared" si="164"/>
        <v>0</v>
      </c>
      <c r="BA475" s="2">
        <f t="shared" si="165"/>
        <v>177.94611209445588</v>
      </c>
      <c r="BC475" t="str">
        <f t="shared" si="166"/>
        <v/>
      </c>
      <c r="BE475">
        <f t="shared" si="167"/>
        <v>1.3535835995893226</v>
      </c>
      <c r="BF475">
        <f t="shared" si="168"/>
        <v>0</v>
      </c>
      <c r="BG475">
        <f t="shared" si="169"/>
        <v>203.0375399383984</v>
      </c>
    </row>
    <row r="476" spans="1:59" ht="14.5" hidden="1" customHeight="1" x14ac:dyDescent="0.2">
      <c r="A476" s="2" t="s">
        <v>293</v>
      </c>
      <c r="B476" s="2" t="str">
        <f>VLOOKUP($A476,'[1]daily coal, energy reqd'!$C$2:$T$599,17,FALSE)</f>
        <v>Andhra Pradesh</v>
      </c>
      <c r="C476" s="2" t="str">
        <f>VLOOKUP(B476,'Target PLF'!$I$2:$J$19,2,FALSE)</f>
        <v>SR</v>
      </c>
      <c r="D476" s="2" t="s">
        <v>572</v>
      </c>
      <c r="E476" s="2" t="s">
        <v>543</v>
      </c>
      <c r="F476" s="12">
        <v>7.8412046543463303</v>
      </c>
      <c r="G476" s="2">
        <v>150</v>
      </c>
      <c r="H476">
        <f>VLOOKUP(A476,'Coal savings'!$A$3:$AB$543,26,FALSE)</f>
        <v>0</v>
      </c>
      <c r="O476" s="2" t="s">
        <v>293</v>
      </c>
      <c r="AH476" s="2" t="str">
        <f t="shared" si="156"/>
        <v/>
      </c>
      <c r="AI476" s="2"/>
      <c r="AJ476" s="2" t="str">
        <f t="shared" si="154"/>
        <v/>
      </c>
      <c r="AK476" s="12">
        <f t="shared" si="155"/>
        <v>3.8412046543463303</v>
      </c>
      <c r="AL476" s="2" t="s">
        <v>572</v>
      </c>
      <c r="AM476" s="2" t="str">
        <f>VLOOKUP(A476,'[12]Power plant names'!$C$2:$F$545,4,FALSE)</f>
        <v>Sub critical</v>
      </c>
      <c r="AN476" s="2">
        <v>150</v>
      </c>
      <c r="AO476" s="2">
        <f t="shared" si="157"/>
        <v>0.96049880479123906</v>
      </c>
      <c r="AP476" s="2"/>
      <c r="AQ476" s="2">
        <f t="shared" si="158"/>
        <v>150</v>
      </c>
      <c r="AR476" s="2">
        <f t="shared" si="159"/>
        <v>0</v>
      </c>
      <c r="AS476" s="2">
        <f t="shared" si="160"/>
        <v>144.07482071868586</v>
      </c>
      <c r="AU476" s="2"/>
      <c r="AV476" s="2" t="str">
        <f t="shared" si="161"/>
        <v/>
      </c>
      <c r="AW476" s="12">
        <f t="shared" si="162"/>
        <v>7.8412046543463303</v>
      </c>
      <c r="AX476" s="2">
        <v>150</v>
      </c>
      <c r="AY476" s="3">
        <f t="shared" si="163"/>
        <v>1.1923639248459961</v>
      </c>
      <c r="AZ476" s="2">
        <f t="shared" si="164"/>
        <v>0</v>
      </c>
      <c r="BA476" s="2">
        <f t="shared" si="165"/>
        <v>178.85458872689941</v>
      </c>
      <c r="BC476" t="str">
        <f t="shared" si="166"/>
        <v/>
      </c>
      <c r="BE476">
        <f t="shared" si="167"/>
        <v>1.3607728316221768</v>
      </c>
      <c r="BF476">
        <f t="shared" si="168"/>
        <v>0</v>
      </c>
      <c r="BG476">
        <f t="shared" si="169"/>
        <v>204.1159247433265</v>
      </c>
    </row>
    <row r="477" spans="1:59" x14ac:dyDescent="0.2">
      <c r="A477" s="2" t="s">
        <v>83</v>
      </c>
      <c r="B477" s="2" t="str">
        <f>VLOOKUP($A477,'[1]daily coal, energy reqd'!$C$2:$T$599,17,FALSE)</f>
        <v>Maharashtra</v>
      </c>
      <c r="C477" s="2" t="str">
        <f>VLOOKUP(B477,'Target PLF'!$I$2:$J$19,2,FALSE)</f>
        <v>WR</v>
      </c>
      <c r="D477" s="2" t="s">
        <v>572</v>
      </c>
      <c r="E477" s="2" t="s">
        <v>543</v>
      </c>
      <c r="F477" s="12">
        <v>7.6714579055441403</v>
      </c>
      <c r="G477" s="2">
        <v>660</v>
      </c>
      <c r="H477">
        <f>VLOOKUP(A477,'Coal savings'!$A$3:$AB$543,26,FALSE)</f>
        <v>2998785.5062436694</v>
      </c>
      <c r="O477" s="2" t="s">
        <v>83</v>
      </c>
      <c r="AH477" s="2" t="str">
        <f t="shared" si="156"/>
        <v/>
      </c>
      <c r="AI477" s="2"/>
      <c r="AJ477" s="2" t="str">
        <f t="shared" si="154"/>
        <v/>
      </c>
      <c r="AK477" s="12">
        <f t="shared" si="155"/>
        <v>3.6714579055441403</v>
      </c>
      <c r="AL477" s="2" t="s">
        <v>572</v>
      </c>
      <c r="AM477" s="2" t="str">
        <f>VLOOKUP(A477,'[12]Power plant names'!$C$2:$F$545,4,FALSE)</f>
        <v>Super critical</v>
      </c>
      <c r="AN477" s="2">
        <v>660</v>
      </c>
      <c r="AO477" s="2">
        <f t="shared" si="157"/>
        <v>0.73238174784394272</v>
      </c>
      <c r="AP477" s="2">
        <v>660</v>
      </c>
      <c r="AQ477" s="2">
        <f t="shared" si="158"/>
        <v>0</v>
      </c>
      <c r="AR477" s="2">
        <f t="shared" si="159"/>
        <v>483.37195357700222</v>
      </c>
      <c r="AS477" s="2">
        <f t="shared" si="160"/>
        <v>0</v>
      </c>
      <c r="AU477" s="2"/>
      <c r="AV477" s="2" t="str">
        <f t="shared" si="161"/>
        <v/>
      </c>
      <c r="AW477" s="12">
        <f t="shared" si="162"/>
        <v>7.6714579055441403</v>
      </c>
      <c r="AX477" s="2">
        <v>660</v>
      </c>
      <c r="AY477" s="3">
        <f t="shared" si="163"/>
        <v>0.91065782381930205</v>
      </c>
      <c r="AZ477" s="2">
        <f t="shared" si="164"/>
        <v>601.03416372073934</v>
      </c>
      <c r="BA477" s="2">
        <f t="shared" si="165"/>
        <v>0</v>
      </c>
      <c r="BC477" t="str">
        <f t="shared" si="166"/>
        <v/>
      </c>
      <c r="BE477">
        <f t="shared" si="167"/>
        <v>1.0063043757700207</v>
      </c>
      <c r="BF477">
        <f t="shared" si="168"/>
        <v>664.16088800821365</v>
      </c>
      <c r="BG477">
        <f t="shared" si="169"/>
        <v>0</v>
      </c>
    </row>
    <row r="478" spans="1:59" x14ac:dyDescent="0.2">
      <c r="A478" s="2" t="s">
        <v>79</v>
      </c>
      <c r="B478" s="2" t="str">
        <f>VLOOKUP($A478,'[1]daily coal, energy reqd'!$C$2:$T$599,17,FALSE)</f>
        <v>Maharashtra</v>
      </c>
      <c r="C478" s="2" t="str">
        <f>VLOOKUP(B478,'Target PLF'!$I$2:$J$19,2,FALSE)</f>
        <v>WR</v>
      </c>
      <c r="D478" s="2" t="s">
        <v>572</v>
      </c>
      <c r="E478" s="2" t="s">
        <v>543</v>
      </c>
      <c r="F478" s="12">
        <v>7.1759069130732298</v>
      </c>
      <c r="G478" s="2">
        <v>660</v>
      </c>
      <c r="H478">
        <f>VLOOKUP(A478,'Coal savings'!$A$3:$AB$543,26,FALSE)</f>
        <v>2994409.4461764968</v>
      </c>
      <c r="O478" s="2" t="s">
        <v>79</v>
      </c>
      <c r="AH478" s="2" t="str">
        <f t="shared" si="156"/>
        <v/>
      </c>
      <c r="AI478" s="2"/>
      <c r="AJ478" s="2" t="str">
        <f t="shared" si="154"/>
        <v/>
      </c>
      <c r="AK478" s="12">
        <f t="shared" si="155"/>
        <v>3.1759069130732298</v>
      </c>
      <c r="AL478" s="2" t="s">
        <v>572</v>
      </c>
      <c r="AM478" s="2" t="str">
        <f>VLOOKUP(A478,'[12]Power plant names'!$C$2:$F$545,4,FALSE)</f>
        <v>Super critical</v>
      </c>
      <c r="AN478" s="2">
        <v>660</v>
      </c>
      <c r="AO478" s="2">
        <f t="shared" si="157"/>
        <v>0.73924790417522268</v>
      </c>
      <c r="AP478" s="2">
        <v>660</v>
      </c>
      <c r="AQ478" s="2">
        <f t="shared" si="158"/>
        <v>0</v>
      </c>
      <c r="AR478" s="2">
        <f t="shared" si="159"/>
        <v>487.90361675564696</v>
      </c>
      <c r="AS478" s="2">
        <f t="shared" si="160"/>
        <v>0</v>
      </c>
      <c r="AU478" s="2"/>
      <c r="AV478" s="2" t="str">
        <f t="shared" si="161"/>
        <v/>
      </c>
      <c r="AW478" s="12">
        <f t="shared" si="162"/>
        <v>7.1759069130732298</v>
      </c>
      <c r="AX478" s="2">
        <v>660</v>
      </c>
      <c r="AY478" s="3">
        <f t="shared" si="163"/>
        <v>0.91964330308008235</v>
      </c>
      <c r="AZ478" s="2">
        <f t="shared" si="164"/>
        <v>606.96458003285431</v>
      </c>
      <c r="BA478" s="2">
        <f t="shared" si="165"/>
        <v>0</v>
      </c>
      <c r="BC478" t="str">
        <f t="shared" si="166"/>
        <v/>
      </c>
      <c r="BE478">
        <f t="shared" si="167"/>
        <v>1.0169703675564683</v>
      </c>
      <c r="BF478">
        <f t="shared" si="168"/>
        <v>671.20044258726909</v>
      </c>
      <c r="BG478">
        <f t="shared" si="169"/>
        <v>0</v>
      </c>
    </row>
    <row r="479" spans="1:59" x14ac:dyDescent="0.2">
      <c r="A479" s="2" t="s">
        <v>73</v>
      </c>
      <c r="B479" s="2" t="str">
        <f>VLOOKUP($A479,'[1]daily coal, energy reqd'!$C$2:$T$599,17,FALSE)</f>
        <v>Maharashtra</v>
      </c>
      <c r="C479" s="2" t="str">
        <f>VLOOKUP(B479,'Target PLF'!$I$2:$J$19,2,FALSE)</f>
        <v>WR</v>
      </c>
      <c r="D479" s="2" t="s">
        <v>572</v>
      </c>
      <c r="E479" s="2" t="s">
        <v>543</v>
      </c>
      <c r="F479" s="12">
        <v>6.9240246406570796</v>
      </c>
      <c r="G479" s="2">
        <v>660</v>
      </c>
      <c r="H479">
        <f>VLOOKUP(A479,'Coal savings'!$A$3:$AB$543,26,FALSE)</f>
        <v>2992185.1504517463</v>
      </c>
      <c r="O479" s="2" t="s">
        <v>73</v>
      </c>
      <c r="AH479" s="2" t="str">
        <f t="shared" si="156"/>
        <v/>
      </c>
      <c r="AI479" s="2"/>
      <c r="AJ479" s="2" t="str">
        <f t="shared" si="154"/>
        <v/>
      </c>
      <c r="AK479" s="12">
        <f t="shared" si="155"/>
        <v>2.9240246406570796</v>
      </c>
      <c r="AL479" s="2" t="s">
        <v>572</v>
      </c>
      <c r="AM479" s="2" t="str">
        <f>VLOOKUP(A479,'[12]Power plant names'!$C$2:$F$545,4,FALSE)</f>
        <v>Super critical</v>
      </c>
      <c r="AN479" s="2">
        <v>660</v>
      </c>
      <c r="AO479" s="2">
        <f t="shared" si="157"/>
        <v>0.74273788418891185</v>
      </c>
      <c r="AP479" s="2">
        <v>660</v>
      </c>
      <c r="AQ479" s="2">
        <f t="shared" si="158"/>
        <v>0</v>
      </c>
      <c r="AR479" s="2">
        <f t="shared" si="159"/>
        <v>490.20700356468183</v>
      </c>
      <c r="AS479" s="2">
        <f t="shared" si="160"/>
        <v>0</v>
      </c>
      <c r="AU479" s="2"/>
      <c r="AV479" s="2" t="str">
        <f t="shared" si="161"/>
        <v/>
      </c>
      <c r="AW479" s="12">
        <f t="shared" si="162"/>
        <v>6.9240246406570796</v>
      </c>
      <c r="AX479" s="2">
        <v>660</v>
      </c>
      <c r="AY479" s="3">
        <f t="shared" si="163"/>
        <v>0.92421050800821369</v>
      </c>
      <c r="AZ479" s="2">
        <f t="shared" si="164"/>
        <v>609.97893528542102</v>
      </c>
      <c r="BA479" s="2">
        <f t="shared" si="165"/>
        <v>0</v>
      </c>
      <c r="BC479" t="str">
        <f t="shared" si="166"/>
        <v/>
      </c>
      <c r="BE479">
        <f t="shared" si="167"/>
        <v>1.0223917556468174</v>
      </c>
      <c r="BF479">
        <f t="shared" si="168"/>
        <v>674.77855872689952</v>
      </c>
      <c r="BG479">
        <f t="shared" si="169"/>
        <v>0</v>
      </c>
    </row>
    <row r="480" spans="1:59" x14ac:dyDescent="0.2">
      <c r="A480" s="2" t="s">
        <v>64</v>
      </c>
      <c r="B480" s="2" t="str">
        <f>VLOOKUP($A480,'[1]daily coal, energy reqd'!$C$2:$T$599,17,FALSE)</f>
        <v>Maharashtra</v>
      </c>
      <c r="C480" s="2" t="str">
        <f>VLOOKUP(B480,'Target PLF'!$I$2:$J$19,2,FALSE)</f>
        <v>WR</v>
      </c>
      <c r="D480" s="2" t="s">
        <v>572</v>
      </c>
      <c r="E480" s="2" t="s">
        <v>543</v>
      </c>
      <c r="F480" s="12">
        <v>6.1765913757700197</v>
      </c>
      <c r="G480" s="2">
        <v>660</v>
      </c>
      <c r="H480">
        <f>VLOOKUP(A480,'Coal savings'!$A$3:$AB$543,26,FALSE)</f>
        <v>2985584.7946598222</v>
      </c>
      <c r="O480" s="2" t="s">
        <v>64</v>
      </c>
      <c r="AH480" s="2" t="str">
        <f t="shared" si="156"/>
        <v/>
      </c>
      <c r="AI480" s="2"/>
      <c r="AJ480" s="2" t="str">
        <f t="shared" si="154"/>
        <v/>
      </c>
      <c r="AK480" s="12">
        <f t="shared" si="155"/>
        <v>2.1765913757700197</v>
      </c>
      <c r="AL480" s="2" t="s">
        <v>572</v>
      </c>
      <c r="AM480" s="2" t="str">
        <f>VLOOKUP(A480,'[12]Power plant names'!$C$2:$F$545,4,FALSE)</f>
        <v>Super critical</v>
      </c>
      <c r="AN480" s="2">
        <v>660</v>
      </c>
      <c r="AO480" s="2">
        <f t="shared" si="157"/>
        <v>0.75309402053388097</v>
      </c>
      <c r="AP480" s="2">
        <v>660</v>
      </c>
      <c r="AQ480" s="2">
        <f t="shared" si="158"/>
        <v>0</v>
      </c>
      <c r="AR480" s="2">
        <f t="shared" si="159"/>
        <v>497.04205355236144</v>
      </c>
      <c r="AS480" s="2">
        <f t="shared" si="160"/>
        <v>0</v>
      </c>
      <c r="AU480" s="2"/>
      <c r="AV480" s="2" t="str">
        <f t="shared" si="161"/>
        <v/>
      </c>
      <c r="AW480" s="12">
        <f t="shared" si="162"/>
        <v>6.1765913757700197</v>
      </c>
      <c r="AX480" s="2">
        <v>660</v>
      </c>
      <c r="AY480" s="3">
        <f t="shared" si="163"/>
        <v>0.93776319219712534</v>
      </c>
      <c r="AZ480" s="2">
        <f t="shared" si="164"/>
        <v>618.92370685010269</v>
      </c>
      <c r="BA480" s="2">
        <f t="shared" si="165"/>
        <v>0</v>
      </c>
      <c r="BC480" t="str">
        <f t="shared" si="166"/>
        <v/>
      </c>
      <c r="BE480">
        <f t="shared" si="167"/>
        <v>1.0384791355236138</v>
      </c>
      <c r="BF480">
        <f t="shared" si="168"/>
        <v>685.39622944558516</v>
      </c>
      <c r="BG480">
        <f t="shared" si="169"/>
        <v>0</v>
      </c>
    </row>
    <row r="481" spans="1:59" x14ac:dyDescent="0.2">
      <c r="A481" s="2" t="s">
        <v>57</v>
      </c>
      <c r="B481" s="2" t="str">
        <f>VLOOKUP($A481,'[1]daily coal, energy reqd'!$C$2:$T$599,17,FALSE)</f>
        <v>Maharashtra</v>
      </c>
      <c r="C481" s="2" t="str">
        <f>VLOOKUP(B481,'Target PLF'!$I$2:$J$19,2,FALSE)</f>
        <v>WR</v>
      </c>
      <c r="D481" s="2" t="s">
        <v>572</v>
      </c>
      <c r="E481" s="2" t="s">
        <v>543</v>
      </c>
      <c r="F481" s="12">
        <v>5.6728268309377103</v>
      </c>
      <c r="G481" s="2">
        <v>660</v>
      </c>
      <c r="H481">
        <f>VLOOKUP(A481,'Coal savings'!$A$3:$AB$543,26,FALSE)</f>
        <v>2981136.2032103208</v>
      </c>
      <c r="O481" s="2" t="s">
        <v>57</v>
      </c>
      <c r="AH481" s="2" t="str">
        <f t="shared" si="156"/>
        <v/>
      </c>
      <c r="AI481" s="2"/>
      <c r="AJ481" s="2" t="str">
        <f t="shared" si="154"/>
        <v/>
      </c>
      <c r="AK481" s="12">
        <f t="shared" si="155"/>
        <v>1.6728268309377103</v>
      </c>
      <c r="AL481" s="2" t="s">
        <v>572</v>
      </c>
      <c r="AM481" s="2" t="str">
        <f>VLOOKUP(A481,'[12]Power plant names'!$C$2:$F$545,4,FALSE)</f>
        <v>Super critical</v>
      </c>
      <c r="AN481" s="2">
        <v>660</v>
      </c>
      <c r="AO481" s="2">
        <f t="shared" si="157"/>
        <v>0.76007398056125952</v>
      </c>
      <c r="AP481" s="2">
        <v>660</v>
      </c>
      <c r="AQ481" s="2">
        <f t="shared" si="158"/>
        <v>0</v>
      </c>
      <c r="AR481" s="2">
        <f t="shared" si="159"/>
        <v>501.64882717043128</v>
      </c>
      <c r="AS481" s="2">
        <f t="shared" si="160"/>
        <v>0</v>
      </c>
      <c r="AU481" s="2"/>
      <c r="AV481" s="2" t="str">
        <f t="shared" si="161"/>
        <v/>
      </c>
      <c r="AW481" s="12">
        <f t="shared" si="162"/>
        <v>5.6728268309377103</v>
      </c>
      <c r="AX481" s="2">
        <v>660</v>
      </c>
      <c r="AY481" s="3">
        <f t="shared" si="163"/>
        <v>0.94689760205338813</v>
      </c>
      <c r="AZ481" s="2">
        <f t="shared" si="164"/>
        <v>624.95241735523621</v>
      </c>
      <c r="BA481" s="2">
        <f t="shared" si="165"/>
        <v>0</v>
      </c>
      <c r="BC481" t="str">
        <f t="shared" si="166"/>
        <v/>
      </c>
      <c r="BE481">
        <f t="shared" si="167"/>
        <v>1.0493219117043122</v>
      </c>
      <c r="BF481">
        <f t="shared" si="168"/>
        <v>692.55246172484601</v>
      </c>
      <c r="BG481">
        <f t="shared" si="169"/>
        <v>0</v>
      </c>
    </row>
    <row r="482" spans="1:59" hidden="1" x14ac:dyDescent="0.2">
      <c r="A482" s="2" t="s">
        <v>398</v>
      </c>
      <c r="B482" s="2" t="str">
        <f>VLOOKUP($A482,'[1]daily coal, energy reqd'!$C$2:$T$599,17,FALSE)</f>
        <v>Karnataka</v>
      </c>
      <c r="C482" s="2" t="str">
        <f>VLOOKUP(B482,'Target PLF'!$I$2:$J$19,2,FALSE)</f>
        <v>SR</v>
      </c>
      <c r="D482" s="2" t="s">
        <v>572</v>
      </c>
      <c r="E482" s="2" t="s">
        <v>546</v>
      </c>
      <c r="F482" s="12">
        <v>21.338809034907499</v>
      </c>
      <c r="G482" s="2">
        <v>130</v>
      </c>
      <c r="H482">
        <f>VLOOKUP(A482,'Coal savings'!$A$3:$AB$543,26,FALSE)</f>
        <v>0</v>
      </c>
      <c r="O482" s="2" t="s">
        <v>398</v>
      </c>
      <c r="AH482" s="2" t="str">
        <f t="shared" si="156"/>
        <v/>
      </c>
      <c r="AI482" s="2"/>
      <c r="AJ482" s="2" t="str">
        <f t="shared" si="154"/>
        <v/>
      </c>
      <c r="AK482" s="12">
        <f t="shared" si="155"/>
        <v>17.338809034907499</v>
      </c>
      <c r="AL482" s="2" t="s">
        <v>572</v>
      </c>
      <c r="AM482" s="2" t="str">
        <f>VLOOKUP(A482,'[12]Power plant names'!$C$2:$F$545,4,FALSE)</f>
        <v>Sub critical</v>
      </c>
      <c r="AN482" s="2">
        <v>130</v>
      </c>
      <c r="AO482" s="2">
        <f t="shared" si="157"/>
        <v>0.78251939753593569</v>
      </c>
      <c r="AP482" s="2"/>
      <c r="AQ482" s="2">
        <f t="shared" si="158"/>
        <v>130</v>
      </c>
      <c r="AR482" s="2">
        <f t="shared" si="159"/>
        <v>0</v>
      </c>
      <c r="AS482" s="2">
        <f t="shared" si="160"/>
        <v>101.72752167967164</v>
      </c>
      <c r="AU482" s="2"/>
      <c r="AV482" s="2" t="str">
        <f t="shared" si="161"/>
        <v/>
      </c>
      <c r="AW482" s="12">
        <f t="shared" si="162"/>
        <v>21.338809034907499</v>
      </c>
      <c r="AX482" s="2">
        <v>130</v>
      </c>
      <c r="AY482" s="3">
        <f t="shared" si="163"/>
        <v>0.95878931293634684</v>
      </c>
      <c r="AZ482" s="2">
        <f t="shared" si="164"/>
        <v>0</v>
      </c>
      <c r="BA482" s="2">
        <f t="shared" si="165"/>
        <v>124.64261068172509</v>
      </c>
      <c r="BC482" t="str">
        <f t="shared" si="166"/>
        <v/>
      </c>
      <c r="BE482">
        <f t="shared" si="167"/>
        <v>1.0843011437371683</v>
      </c>
      <c r="BF482">
        <f t="shared" si="168"/>
        <v>0</v>
      </c>
      <c r="BG482">
        <f t="shared" si="169"/>
        <v>140.95914868583188</v>
      </c>
    </row>
    <row r="483" spans="1:59" hidden="1" x14ac:dyDescent="0.2">
      <c r="A483" s="2" t="s">
        <v>396</v>
      </c>
      <c r="B483" s="2" t="str">
        <f>VLOOKUP($A483,'[1]daily coal, energy reqd'!$C$2:$T$599,17,FALSE)</f>
        <v>Karnataka</v>
      </c>
      <c r="C483" s="2" t="str">
        <f>VLOOKUP(B483,'Target PLF'!$I$2:$J$19,2,FALSE)</f>
        <v>SR</v>
      </c>
      <c r="D483" s="2" t="s">
        <v>572</v>
      </c>
      <c r="E483" s="2" t="s">
        <v>546</v>
      </c>
      <c r="F483" s="12">
        <v>21.0102669404517</v>
      </c>
      <c r="G483" s="2">
        <v>130</v>
      </c>
      <c r="H483">
        <f>VLOOKUP(A483,'Coal savings'!$A$3:$AB$543,26,FALSE)</f>
        <v>0</v>
      </c>
      <c r="O483" s="2" t="s">
        <v>396</v>
      </c>
      <c r="AH483" s="2" t="str">
        <f t="shared" si="156"/>
        <v/>
      </c>
      <c r="AI483" s="2"/>
      <c r="AJ483" s="2" t="str">
        <f t="shared" si="154"/>
        <v/>
      </c>
      <c r="AK483" s="12">
        <f t="shared" si="155"/>
        <v>17.0102669404517</v>
      </c>
      <c r="AL483" s="2" t="s">
        <v>572</v>
      </c>
      <c r="AM483" s="2" t="str">
        <f>VLOOKUP(A483,'[12]Power plant names'!$C$2:$F$545,4,FALSE)</f>
        <v>Sub critical</v>
      </c>
      <c r="AN483" s="2">
        <v>130</v>
      </c>
      <c r="AO483" s="2">
        <f t="shared" si="157"/>
        <v>0.78707154537987756</v>
      </c>
      <c r="AP483" s="2"/>
      <c r="AQ483" s="2">
        <f t="shared" si="158"/>
        <v>130</v>
      </c>
      <c r="AR483" s="2">
        <f t="shared" si="159"/>
        <v>0</v>
      </c>
      <c r="AS483" s="2">
        <f t="shared" si="160"/>
        <v>102.31930089938409</v>
      </c>
      <c r="AU483" s="2"/>
      <c r="AV483" s="2" t="str">
        <f t="shared" si="161"/>
        <v/>
      </c>
      <c r="AW483" s="12">
        <f t="shared" si="162"/>
        <v>21.0102669404517</v>
      </c>
      <c r="AX483" s="2">
        <v>130</v>
      </c>
      <c r="AY483" s="3">
        <f t="shared" si="163"/>
        <v>0.96474653675564781</v>
      </c>
      <c r="AZ483" s="2">
        <f t="shared" si="164"/>
        <v>0</v>
      </c>
      <c r="BA483" s="2">
        <f t="shared" si="165"/>
        <v>125.41704977823422</v>
      </c>
      <c r="BC483" t="str">
        <f t="shared" si="166"/>
        <v/>
      </c>
      <c r="BE483">
        <f t="shared" si="167"/>
        <v>1.0913725195071877</v>
      </c>
      <c r="BF483">
        <f t="shared" si="168"/>
        <v>0</v>
      </c>
      <c r="BG483">
        <f t="shared" si="169"/>
        <v>141.87842753593441</v>
      </c>
    </row>
    <row r="484" spans="1:59" hidden="1" x14ac:dyDescent="0.2">
      <c r="A484" s="2" t="s">
        <v>262</v>
      </c>
      <c r="B484" s="2" t="str">
        <f>VLOOKUP($A484,'[1]daily coal, energy reqd'!$C$2:$T$599,17,FALSE)</f>
        <v>Karnataka</v>
      </c>
      <c r="C484" s="2" t="str">
        <f>VLOOKUP(B484,'Target PLF'!$I$2:$J$19,2,FALSE)</f>
        <v>SR</v>
      </c>
      <c r="D484" s="2" t="s">
        <v>572</v>
      </c>
      <c r="E484" s="2" t="s">
        <v>544</v>
      </c>
      <c r="F484" s="12">
        <v>11.0910335386721</v>
      </c>
      <c r="G484" s="2">
        <v>300</v>
      </c>
      <c r="H484">
        <f>VLOOKUP(A484,'Coal savings'!$A$3:$AB$543,26,FALSE)</f>
        <v>0</v>
      </c>
      <c r="O484" s="2" t="s">
        <v>262</v>
      </c>
      <c r="AH484" s="2" t="str">
        <f t="shared" si="156"/>
        <v/>
      </c>
      <c r="AI484" s="2"/>
      <c r="AJ484" s="2" t="str">
        <f t="shared" si="154"/>
        <v/>
      </c>
      <c r="AK484" s="12">
        <f t="shared" si="155"/>
        <v>7.0910335386721002</v>
      </c>
      <c r="AL484" s="2" t="s">
        <v>572</v>
      </c>
      <c r="AM484" s="2" t="str">
        <f>VLOOKUP(A484,'[12]Power plant names'!$C$2:$F$545,4,FALSE)</f>
        <v>Sub critical</v>
      </c>
      <c r="AN484" s="2">
        <v>300</v>
      </c>
      <c r="AO484" s="2">
        <f t="shared" si="157"/>
        <v>0.84768547570157493</v>
      </c>
      <c r="AP484" s="2"/>
      <c r="AQ484" s="2">
        <f t="shared" si="158"/>
        <v>300</v>
      </c>
      <c r="AR484" s="2">
        <f t="shared" si="159"/>
        <v>0</v>
      </c>
      <c r="AS484" s="2">
        <f t="shared" si="160"/>
        <v>254.30564271047248</v>
      </c>
      <c r="AU484" s="2"/>
      <c r="AV484" s="2" t="str">
        <f t="shared" si="161"/>
        <v/>
      </c>
      <c r="AW484" s="12">
        <f t="shared" si="162"/>
        <v>11.0910335386721</v>
      </c>
      <c r="AX484" s="2">
        <v>300</v>
      </c>
      <c r="AY484" s="3">
        <f t="shared" si="163"/>
        <v>1.0496770525667358</v>
      </c>
      <c r="AZ484" s="2">
        <f t="shared" si="164"/>
        <v>0</v>
      </c>
      <c r="BA484" s="2">
        <f t="shared" si="165"/>
        <v>314.90311577002075</v>
      </c>
      <c r="BC484" t="str">
        <f t="shared" si="166"/>
        <v/>
      </c>
      <c r="BE484">
        <f t="shared" si="167"/>
        <v>1.185495139630391</v>
      </c>
      <c r="BF484">
        <f t="shared" si="168"/>
        <v>0</v>
      </c>
      <c r="BG484">
        <f t="shared" si="169"/>
        <v>355.64854188911733</v>
      </c>
    </row>
    <row r="485" spans="1:59" hidden="1" x14ac:dyDescent="0.2">
      <c r="A485" s="2" t="s">
        <v>258</v>
      </c>
      <c r="B485" s="2" t="str">
        <f>VLOOKUP($A485,'[1]daily coal, energy reqd'!$C$2:$T$599,17,FALSE)</f>
        <v>Karnataka</v>
      </c>
      <c r="C485" s="2" t="str">
        <f>VLOOKUP(B485,'Target PLF'!$I$2:$J$19,2,FALSE)</f>
        <v>SR</v>
      </c>
      <c r="D485" s="2" t="s">
        <v>572</v>
      </c>
      <c r="E485" s="2" t="s">
        <v>544</v>
      </c>
      <c r="F485" s="12">
        <v>10.757015742642</v>
      </c>
      <c r="G485" s="2">
        <v>300</v>
      </c>
      <c r="H485">
        <f>VLOOKUP(A485,'Coal savings'!$A$3:$AB$543,26,FALSE)</f>
        <v>0</v>
      </c>
      <c r="O485" s="2" t="s">
        <v>258</v>
      </c>
      <c r="AH485" s="2" t="str">
        <f t="shared" si="156"/>
        <v/>
      </c>
      <c r="AI485" s="2"/>
      <c r="AJ485" s="2" t="str">
        <f t="shared" si="154"/>
        <v/>
      </c>
      <c r="AK485" s="12">
        <f t="shared" si="155"/>
        <v>6.7570157426420003</v>
      </c>
      <c r="AL485" s="2" t="s">
        <v>572</v>
      </c>
      <c r="AM485" s="2" t="str">
        <f>VLOOKUP(A485,'[12]Power plant names'!$C$2:$F$545,4,FALSE)</f>
        <v>Sub critical</v>
      </c>
      <c r="AN485" s="2">
        <v>300</v>
      </c>
      <c r="AO485" s="2">
        <f t="shared" si="157"/>
        <v>0.85231349267624956</v>
      </c>
      <c r="AP485" s="2"/>
      <c r="AQ485" s="2">
        <f t="shared" si="158"/>
        <v>300</v>
      </c>
      <c r="AR485" s="2">
        <f t="shared" si="159"/>
        <v>0</v>
      </c>
      <c r="AS485" s="2">
        <f t="shared" si="160"/>
        <v>255.69404780287488</v>
      </c>
      <c r="AU485" s="2"/>
      <c r="AV485" s="2" t="str">
        <f t="shared" si="161"/>
        <v/>
      </c>
      <c r="AW485" s="12">
        <f t="shared" si="162"/>
        <v>10.757015742642</v>
      </c>
      <c r="AX485" s="2">
        <v>300</v>
      </c>
      <c r="AY485" s="3">
        <f t="shared" si="163"/>
        <v>1.0557335634496925</v>
      </c>
      <c r="AZ485" s="2">
        <f t="shared" si="164"/>
        <v>0</v>
      </c>
      <c r="BA485" s="2">
        <f t="shared" si="165"/>
        <v>316.72006903490774</v>
      </c>
      <c r="BC485" t="str">
        <f t="shared" si="166"/>
        <v/>
      </c>
      <c r="BE485">
        <f t="shared" si="167"/>
        <v>1.1926843716632449</v>
      </c>
      <c r="BF485">
        <f t="shared" si="168"/>
        <v>0</v>
      </c>
      <c r="BG485">
        <f t="shared" si="169"/>
        <v>357.80531149897348</v>
      </c>
    </row>
    <row r="486" spans="1:59" hidden="1" x14ac:dyDescent="0.2">
      <c r="A486" s="2" t="s">
        <v>391</v>
      </c>
      <c r="B486" s="2" t="str">
        <f>VLOOKUP($A486,'[1]daily coal, energy reqd'!$C$2:$T$599,17,FALSE)</f>
        <v>Maharashtra</v>
      </c>
      <c r="C486" s="2" t="str">
        <f>VLOOKUP(B486,'Target PLF'!$I$2:$J$19,2,FALSE)</f>
        <v>WR</v>
      </c>
      <c r="D486" s="2" t="s">
        <v>572</v>
      </c>
      <c r="E486" s="2" t="s">
        <v>549</v>
      </c>
      <c r="F486" s="12">
        <v>36.339493497604302</v>
      </c>
      <c r="G486" s="2">
        <v>500</v>
      </c>
      <c r="H486">
        <f>VLOOKUP(A486,'Coal savings'!$A$3:$AB$543,26,FALSE)</f>
        <v>0</v>
      </c>
      <c r="I486" t="s">
        <v>698</v>
      </c>
      <c r="J486">
        <v>435.49</v>
      </c>
      <c r="O486" s="2" t="s">
        <v>391</v>
      </c>
      <c r="AH486" s="2" t="str">
        <f t="shared" si="156"/>
        <v>2017</v>
      </c>
      <c r="AI486" s="2">
        <f t="shared" ref="AI486:AI492" si="173">(J486)/(1+0.115)^(AH486-2016)</f>
        <v>390.57399103139016</v>
      </c>
      <c r="AJ486" s="2">
        <f t="shared" si="154"/>
        <v>0.78114798206278035</v>
      </c>
      <c r="AK486" s="12">
        <f t="shared" si="155"/>
        <v>32.339493497604302</v>
      </c>
      <c r="AL486" s="2" t="s">
        <v>572</v>
      </c>
      <c r="AM486" s="2" t="str">
        <f>VLOOKUP(A486,'[12]Power plant names'!$C$2:$F$545,4,FALSE)</f>
        <v>Sub critical</v>
      </c>
      <c r="AN486" s="2">
        <v>500</v>
      </c>
      <c r="AO486" s="2">
        <f t="shared" si="157"/>
        <v>0.78114798206278035</v>
      </c>
      <c r="AP486" s="2">
        <v>500</v>
      </c>
      <c r="AQ486" s="2">
        <f t="shared" si="158"/>
        <v>0</v>
      </c>
      <c r="AR486" s="2">
        <f t="shared" si="159"/>
        <v>390.57399103139016</v>
      </c>
      <c r="AS486" s="2">
        <f t="shared" si="160"/>
        <v>0</v>
      </c>
      <c r="AU486" s="2">
        <f t="shared" si="171"/>
        <v>435.49</v>
      </c>
      <c r="AV486" s="2">
        <f t="shared" si="161"/>
        <v>0.87097999999999998</v>
      </c>
      <c r="AW486" s="12">
        <f t="shared" si="162"/>
        <v>33.339493497604302</v>
      </c>
      <c r="AX486" s="2">
        <v>500</v>
      </c>
      <c r="AY486" s="3">
        <f t="shared" si="163"/>
        <v>0.87097999999999998</v>
      </c>
      <c r="AZ486" s="2">
        <f t="shared" si="164"/>
        <v>435.49</v>
      </c>
      <c r="BA486" s="2">
        <f t="shared" si="165"/>
        <v>0</v>
      </c>
      <c r="BC486">
        <f t="shared" si="166"/>
        <v>603.6744416037501</v>
      </c>
      <c r="BD486">
        <f t="shared" si="172"/>
        <v>1.2073488832075001</v>
      </c>
      <c r="BE486">
        <f t="shared" si="167"/>
        <v>1.2073488832075001</v>
      </c>
      <c r="BF486">
        <f t="shared" si="168"/>
        <v>603.6744416037501</v>
      </c>
      <c r="BG486">
        <f t="shared" si="169"/>
        <v>0</v>
      </c>
    </row>
    <row r="487" spans="1:59" hidden="1" x14ac:dyDescent="0.2">
      <c r="A487" s="2" t="s">
        <v>284</v>
      </c>
      <c r="B487" s="2" t="str">
        <f>VLOOKUP($A487,'[1]daily coal, energy reqd'!$C$2:$T$599,17,FALSE)</f>
        <v>Maharashtra</v>
      </c>
      <c r="C487" s="2" t="str">
        <f>VLOOKUP(B487,'Target PLF'!$I$2:$J$19,2,FALSE)</f>
        <v>WR</v>
      </c>
      <c r="D487" s="2" t="s">
        <v>572</v>
      </c>
      <c r="E487" s="2" t="s">
        <v>544</v>
      </c>
      <c r="F487" s="12">
        <v>11.1759069130732</v>
      </c>
      <c r="G487" s="2">
        <v>250</v>
      </c>
      <c r="H487">
        <f>VLOOKUP(A487,'Coal savings'!$A$3:$AB$543,26,FALSE)</f>
        <v>0</v>
      </c>
      <c r="I487" t="s">
        <v>698</v>
      </c>
      <c r="J487">
        <v>269.13</v>
      </c>
      <c r="O487" s="2" t="s">
        <v>284</v>
      </c>
      <c r="AH487" s="2" t="str">
        <f t="shared" si="156"/>
        <v>2017</v>
      </c>
      <c r="AI487" s="2">
        <f t="shared" si="173"/>
        <v>241.37219730941703</v>
      </c>
      <c r="AJ487" s="2">
        <f t="shared" si="154"/>
        <v>0.96548878923766812</v>
      </c>
      <c r="AK487" s="12">
        <f t="shared" si="155"/>
        <v>7.1759069130732005</v>
      </c>
      <c r="AL487" s="2" t="s">
        <v>572</v>
      </c>
      <c r="AM487" s="2" t="str">
        <f>VLOOKUP(A487,'[12]Power plant names'!$C$2:$F$545,4,FALSE)</f>
        <v>Sub critical</v>
      </c>
      <c r="AN487" s="2">
        <v>250</v>
      </c>
      <c r="AO487" s="2">
        <f t="shared" si="157"/>
        <v>0.96548878923766812</v>
      </c>
      <c r="AP487" s="2">
        <v>250</v>
      </c>
      <c r="AQ487" s="2">
        <f t="shared" si="158"/>
        <v>0</v>
      </c>
      <c r="AR487" s="2">
        <f t="shared" si="159"/>
        <v>241.37219730941703</v>
      </c>
      <c r="AS487" s="2">
        <f t="shared" si="160"/>
        <v>0</v>
      </c>
      <c r="AU487" s="2">
        <f t="shared" si="171"/>
        <v>269.13</v>
      </c>
      <c r="AV487" s="2">
        <f t="shared" si="161"/>
        <v>1.0765199999999999</v>
      </c>
      <c r="AW487" s="12">
        <f t="shared" si="162"/>
        <v>8.1759069130732005</v>
      </c>
      <c r="AX487" s="2">
        <v>250</v>
      </c>
      <c r="AY487" s="3">
        <f t="shared" si="163"/>
        <v>1.0765199999999999</v>
      </c>
      <c r="AZ487" s="2">
        <f t="shared" si="164"/>
        <v>269.13</v>
      </c>
      <c r="BA487" s="2">
        <f t="shared" si="165"/>
        <v>0</v>
      </c>
      <c r="BC487">
        <f t="shared" si="166"/>
        <v>373.06689583875004</v>
      </c>
      <c r="BD487">
        <f t="shared" si="172"/>
        <v>1.4922675833550001</v>
      </c>
      <c r="BE487">
        <f t="shared" si="167"/>
        <v>1.4922675833550001</v>
      </c>
      <c r="BF487">
        <f t="shared" si="168"/>
        <v>373.06689583875004</v>
      </c>
      <c r="BG487">
        <f t="shared" si="169"/>
        <v>0</v>
      </c>
    </row>
    <row r="488" spans="1:59" ht="14.5" hidden="1" customHeight="1" x14ac:dyDescent="0.2">
      <c r="A488" s="2" t="s">
        <v>508</v>
      </c>
      <c r="B488" s="2" t="str">
        <f>VLOOKUP($A488,'[1]daily coal, energy reqd'!$C$2:$T$599,17,FALSE)</f>
        <v>Tamil Nadu</v>
      </c>
      <c r="C488" s="2" t="str">
        <f>VLOOKUP(B488,'Target PLF'!$I$2:$J$19,2,FALSE)</f>
        <v>SR</v>
      </c>
      <c r="D488" s="2" t="s">
        <v>570</v>
      </c>
      <c r="E488" s="2" t="s">
        <v>550</v>
      </c>
      <c r="F488" s="12">
        <v>40.821355236139603</v>
      </c>
      <c r="G488" s="2">
        <v>210</v>
      </c>
      <c r="H488">
        <f>VLOOKUP(A488,'Coal savings'!$A$3:$AB$543,26,FALSE)</f>
        <v>0</v>
      </c>
      <c r="I488" t="s">
        <v>694</v>
      </c>
      <c r="J488" s="38">
        <f>1090.14/5</f>
        <v>218.02800000000002</v>
      </c>
      <c r="O488" s="2" t="s">
        <v>508</v>
      </c>
      <c r="P488">
        <v>2019</v>
      </c>
      <c r="Q488" s="96">
        <v>100.5</v>
      </c>
      <c r="R488" s="96" t="s">
        <v>614</v>
      </c>
      <c r="S488" s="96">
        <v>139.1</v>
      </c>
      <c r="AH488" s="2" t="str">
        <f t="shared" si="156"/>
        <v>2019</v>
      </c>
      <c r="AI488" s="2">
        <f t="shared" si="173"/>
        <v>157.28513115074736</v>
      </c>
      <c r="AJ488" s="2">
        <f t="shared" si="154"/>
        <v>0.74897681500355884</v>
      </c>
      <c r="AK488" s="12">
        <f t="shared" si="155"/>
        <v>36.821355236139603</v>
      </c>
      <c r="AL488" s="2" t="s">
        <v>570</v>
      </c>
      <c r="AM488" s="2" t="str">
        <f>VLOOKUP(A488,'[12]Power plant names'!$C$2:$F$545,4,FALSE)</f>
        <v>Sub critical</v>
      </c>
      <c r="AN488" s="2">
        <v>210</v>
      </c>
      <c r="AO488" s="2">
        <f t="shared" si="157"/>
        <v>0.74897681500355884</v>
      </c>
      <c r="AP488" s="2">
        <v>210</v>
      </c>
      <c r="AQ488" s="2">
        <f t="shared" si="158"/>
        <v>0</v>
      </c>
      <c r="AR488" s="2">
        <f t="shared" si="159"/>
        <v>157.28513115074736</v>
      </c>
      <c r="AS488" s="2">
        <f t="shared" si="160"/>
        <v>0</v>
      </c>
      <c r="AU488" s="2">
        <f t="shared" si="171"/>
        <v>218.02800000000002</v>
      </c>
      <c r="AV488" s="2">
        <f t="shared" si="161"/>
        <v>1.0382285714285715</v>
      </c>
      <c r="AW488" s="12">
        <f t="shared" si="162"/>
        <v>39.821355236139603</v>
      </c>
      <c r="AX488" s="2">
        <v>210</v>
      </c>
      <c r="AY488" s="3">
        <f t="shared" si="163"/>
        <v>1.0382285714285715</v>
      </c>
      <c r="AZ488" s="2">
        <f t="shared" si="164"/>
        <v>218.02800000000002</v>
      </c>
      <c r="BA488" s="2">
        <f t="shared" si="165"/>
        <v>0</v>
      </c>
      <c r="BC488">
        <f t="shared" si="166"/>
        <v>243.10122000000001</v>
      </c>
      <c r="BD488">
        <f t="shared" si="172"/>
        <v>1.1576248571428571</v>
      </c>
      <c r="BE488">
        <f t="shared" si="167"/>
        <v>1.1576248571428571</v>
      </c>
      <c r="BF488">
        <f t="shared" si="168"/>
        <v>243.10121999999998</v>
      </c>
      <c r="BG488">
        <f t="shared" si="169"/>
        <v>0</v>
      </c>
    </row>
    <row r="489" spans="1:59" ht="14.5" hidden="1" customHeight="1" x14ac:dyDescent="0.2">
      <c r="A489" s="2" t="s">
        <v>500</v>
      </c>
      <c r="B489" s="2" t="str">
        <f>VLOOKUP($A489,'[1]daily coal, energy reqd'!$C$2:$T$599,17,FALSE)</f>
        <v>Tamil Nadu</v>
      </c>
      <c r="C489" s="2" t="str">
        <f>VLOOKUP(B489,'Target PLF'!$I$2:$J$19,2,FALSE)</f>
        <v>SR</v>
      </c>
      <c r="D489" s="2" t="s">
        <v>570</v>
      </c>
      <c r="E489" s="2" t="s">
        <v>549</v>
      </c>
      <c r="F489" s="12">
        <v>39.378507871320998</v>
      </c>
      <c r="G489" s="2">
        <v>210</v>
      </c>
      <c r="H489">
        <f>VLOOKUP(A489,'Coal savings'!$A$3:$AB$543,26,FALSE)</f>
        <v>0</v>
      </c>
      <c r="I489" t="s">
        <v>694</v>
      </c>
      <c r="J489">
        <f>1090.14/5</f>
        <v>218.02800000000002</v>
      </c>
      <c r="O489" s="2" t="s">
        <v>500</v>
      </c>
      <c r="Q489" s="96"/>
      <c r="R489" s="96"/>
      <c r="S489" s="96"/>
      <c r="AH489" s="2" t="str">
        <f t="shared" si="156"/>
        <v>2019</v>
      </c>
      <c r="AI489" s="2">
        <f t="shared" si="173"/>
        <v>157.28513115074736</v>
      </c>
      <c r="AJ489" s="2">
        <f t="shared" si="154"/>
        <v>0.74897681500355884</v>
      </c>
      <c r="AK489" s="12">
        <f t="shared" si="155"/>
        <v>35.378507871320998</v>
      </c>
      <c r="AL489" s="2" t="s">
        <v>570</v>
      </c>
      <c r="AM489" s="2" t="str">
        <f>VLOOKUP(A489,'[12]Power plant names'!$C$2:$F$545,4,FALSE)</f>
        <v>Sub critical</v>
      </c>
      <c r="AN489" s="2">
        <v>210</v>
      </c>
      <c r="AO489" s="2">
        <f t="shared" si="157"/>
        <v>0.74897681500355884</v>
      </c>
      <c r="AP489" s="2">
        <v>210</v>
      </c>
      <c r="AQ489" s="2">
        <f t="shared" si="158"/>
        <v>0</v>
      </c>
      <c r="AR489" s="2">
        <f t="shared" si="159"/>
        <v>157.28513115074736</v>
      </c>
      <c r="AS489" s="2">
        <f t="shared" si="160"/>
        <v>0</v>
      </c>
      <c r="AU489" s="2">
        <f t="shared" si="171"/>
        <v>218.02800000000002</v>
      </c>
      <c r="AV489" s="2">
        <f t="shared" si="161"/>
        <v>1.0382285714285715</v>
      </c>
      <c r="AW489" s="12">
        <f t="shared" si="162"/>
        <v>38.378507871320998</v>
      </c>
      <c r="AX489" s="2">
        <v>210</v>
      </c>
      <c r="AY489" s="3">
        <f t="shared" si="163"/>
        <v>1.0382285714285715</v>
      </c>
      <c r="AZ489" s="2">
        <f t="shared" si="164"/>
        <v>218.02800000000002</v>
      </c>
      <c r="BA489" s="2">
        <f t="shared" si="165"/>
        <v>0</v>
      </c>
      <c r="BC489">
        <f t="shared" si="166"/>
        <v>243.10122000000001</v>
      </c>
      <c r="BD489">
        <f t="shared" si="172"/>
        <v>1.1576248571428571</v>
      </c>
      <c r="BE489">
        <f t="shared" si="167"/>
        <v>1.1576248571428571</v>
      </c>
      <c r="BF489">
        <f t="shared" si="168"/>
        <v>243.10121999999998</v>
      </c>
      <c r="BG489">
        <f t="shared" si="169"/>
        <v>0</v>
      </c>
    </row>
    <row r="490" spans="1:59" ht="14.5" hidden="1" customHeight="1" x14ac:dyDescent="0.2">
      <c r="A490" s="2" t="s">
        <v>493</v>
      </c>
      <c r="B490" s="2" t="str">
        <f>VLOOKUP($A490,'[1]daily coal, energy reqd'!$C$2:$T$599,17,FALSE)</f>
        <v>Tamil Nadu</v>
      </c>
      <c r="C490" s="2" t="str">
        <f>VLOOKUP(B490,'Target PLF'!$I$2:$J$19,2,FALSE)</f>
        <v>SR</v>
      </c>
      <c r="D490" s="2" t="s">
        <v>570</v>
      </c>
      <c r="E490" s="2" t="s">
        <v>549</v>
      </c>
      <c r="F490" s="12">
        <v>38.050650239561897</v>
      </c>
      <c r="G490" s="2">
        <v>210</v>
      </c>
      <c r="H490">
        <f>VLOOKUP(A490,'Coal savings'!$A$3:$AB$543,26,FALSE)</f>
        <v>0</v>
      </c>
      <c r="I490" t="s">
        <v>694</v>
      </c>
      <c r="J490">
        <f>1090.14/5</f>
        <v>218.02800000000002</v>
      </c>
      <c r="O490" s="2" t="s">
        <v>493</v>
      </c>
      <c r="Q490" s="96"/>
      <c r="R490" s="96"/>
      <c r="S490" s="96"/>
      <c r="AH490" s="2" t="str">
        <f t="shared" si="156"/>
        <v>2019</v>
      </c>
      <c r="AI490" s="2">
        <f t="shared" si="173"/>
        <v>157.28513115074736</v>
      </c>
      <c r="AJ490" s="2">
        <f t="shared" si="154"/>
        <v>0.74897681500355884</v>
      </c>
      <c r="AK490" s="12">
        <f t="shared" si="155"/>
        <v>34.050650239561897</v>
      </c>
      <c r="AL490" s="2" t="s">
        <v>570</v>
      </c>
      <c r="AM490" s="2" t="str">
        <f>VLOOKUP(A490,'[12]Power plant names'!$C$2:$F$545,4,FALSE)</f>
        <v>Sub critical</v>
      </c>
      <c r="AN490" s="2">
        <v>210</v>
      </c>
      <c r="AO490" s="2">
        <f t="shared" si="157"/>
        <v>0.74897681500355884</v>
      </c>
      <c r="AP490" s="2">
        <v>210</v>
      </c>
      <c r="AQ490" s="2">
        <f t="shared" si="158"/>
        <v>0</v>
      </c>
      <c r="AR490" s="2">
        <f t="shared" si="159"/>
        <v>157.28513115074736</v>
      </c>
      <c r="AS490" s="2">
        <f t="shared" si="160"/>
        <v>0</v>
      </c>
      <c r="AU490" s="2">
        <f t="shared" si="171"/>
        <v>218.02800000000002</v>
      </c>
      <c r="AV490" s="2">
        <f t="shared" si="161"/>
        <v>1.0382285714285715</v>
      </c>
      <c r="AW490" s="12">
        <f t="shared" si="162"/>
        <v>37.050650239561897</v>
      </c>
      <c r="AX490" s="2">
        <v>210</v>
      </c>
      <c r="AY490" s="3">
        <f t="shared" si="163"/>
        <v>1.0382285714285715</v>
      </c>
      <c r="AZ490" s="2">
        <f t="shared" si="164"/>
        <v>218.02800000000002</v>
      </c>
      <c r="BA490" s="2">
        <f t="shared" si="165"/>
        <v>0</v>
      </c>
      <c r="BC490">
        <f t="shared" si="166"/>
        <v>243.10122000000001</v>
      </c>
      <c r="BD490">
        <f t="shared" si="172"/>
        <v>1.1576248571428571</v>
      </c>
      <c r="BE490">
        <f t="shared" si="167"/>
        <v>1.1576248571428571</v>
      </c>
      <c r="BF490">
        <f t="shared" si="168"/>
        <v>243.10121999999998</v>
      </c>
      <c r="BG490">
        <f t="shared" si="169"/>
        <v>0</v>
      </c>
    </row>
    <row r="491" spans="1:59" ht="14.5" hidden="1" customHeight="1" x14ac:dyDescent="0.2">
      <c r="A491" s="2" t="s">
        <v>420</v>
      </c>
      <c r="B491" s="2" t="str">
        <f>VLOOKUP($A491,'[1]daily coal, energy reqd'!$C$2:$T$599,17,FALSE)</f>
        <v>Tamil Nadu</v>
      </c>
      <c r="C491" s="2" t="str">
        <f>VLOOKUP(B491,'Target PLF'!$I$2:$J$19,2,FALSE)</f>
        <v>SR</v>
      </c>
      <c r="D491" s="2" t="s">
        <v>570</v>
      </c>
      <c r="E491" s="2" t="s">
        <v>547</v>
      </c>
      <c r="F491" s="12">
        <v>28.227241615331899</v>
      </c>
      <c r="G491" s="2">
        <v>210</v>
      </c>
      <c r="H491">
        <f>VLOOKUP(A491,'Coal savings'!$A$3:$AB$543,26,FALSE)</f>
        <v>0</v>
      </c>
      <c r="I491" t="s">
        <v>694</v>
      </c>
      <c r="J491">
        <f>1090.14/5</f>
        <v>218.02800000000002</v>
      </c>
      <c r="O491" s="2" t="s">
        <v>420</v>
      </c>
      <c r="Q491" s="96"/>
      <c r="R491" s="96"/>
      <c r="S491" s="96"/>
      <c r="AH491" s="2" t="str">
        <f t="shared" si="156"/>
        <v>2019</v>
      </c>
      <c r="AI491" s="2">
        <f t="shared" si="173"/>
        <v>157.28513115074736</v>
      </c>
      <c r="AJ491" s="2">
        <f t="shared" si="154"/>
        <v>0.74897681500355884</v>
      </c>
      <c r="AK491" s="12">
        <f t="shared" si="155"/>
        <v>24.227241615331899</v>
      </c>
      <c r="AL491" s="2" t="s">
        <v>570</v>
      </c>
      <c r="AM491" s="2" t="str">
        <f>VLOOKUP(A491,'[12]Power plant names'!$C$2:$F$545,4,FALSE)</f>
        <v>Sub critical</v>
      </c>
      <c r="AN491" s="2">
        <v>210</v>
      </c>
      <c r="AO491" s="2">
        <f t="shared" si="157"/>
        <v>0.74897681500355884</v>
      </c>
      <c r="AP491" s="2">
        <v>210</v>
      </c>
      <c r="AQ491" s="2">
        <f t="shared" si="158"/>
        <v>0</v>
      </c>
      <c r="AR491" s="2">
        <f t="shared" si="159"/>
        <v>157.28513115074736</v>
      </c>
      <c r="AS491" s="2">
        <f t="shared" si="160"/>
        <v>0</v>
      </c>
      <c r="AU491" s="2">
        <f t="shared" si="171"/>
        <v>218.02800000000002</v>
      </c>
      <c r="AV491" s="2">
        <f t="shared" si="161"/>
        <v>1.0382285714285715</v>
      </c>
      <c r="AW491" s="12">
        <f t="shared" si="162"/>
        <v>27.227241615331899</v>
      </c>
      <c r="AX491" s="2">
        <v>210</v>
      </c>
      <c r="AY491" s="3">
        <f t="shared" si="163"/>
        <v>1.0382285714285715</v>
      </c>
      <c r="AZ491" s="2">
        <f t="shared" si="164"/>
        <v>218.02800000000002</v>
      </c>
      <c r="BA491" s="2">
        <f t="shared" si="165"/>
        <v>0</v>
      </c>
      <c r="BC491">
        <f t="shared" si="166"/>
        <v>243.10122000000001</v>
      </c>
      <c r="BD491">
        <f t="shared" si="172"/>
        <v>1.1576248571428571</v>
      </c>
      <c r="BE491">
        <f t="shared" si="167"/>
        <v>1.1576248571428571</v>
      </c>
      <c r="BF491">
        <f t="shared" si="168"/>
        <v>243.10121999999998</v>
      </c>
      <c r="BG491">
        <f t="shared" si="169"/>
        <v>0</v>
      </c>
    </row>
    <row r="492" spans="1:59" ht="14.5" hidden="1" customHeight="1" x14ac:dyDescent="0.2">
      <c r="A492" s="2" t="s">
        <v>423</v>
      </c>
      <c r="B492" s="2" t="str">
        <f>VLOOKUP($A492,'[1]daily coal, energy reqd'!$C$2:$T$599,17,FALSE)</f>
        <v>Tamil Nadu</v>
      </c>
      <c r="C492" s="2" t="str">
        <f>VLOOKUP(B492,'Target PLF'!$I$2:$J$19,2,FALSE)</f>
        <v>SR</v>
      </c>
      <c r="D492" s="2" t="s">
        <v>570</v>
      </c>
      <c r="E492" s="2" t="s">
        <v>547</v>
      </c>
      <c r="F492" s="12">
        <v>29.095140314852799</v>
      </c>
      <c r="G492" s="2">
        <v>210</v>
      </c>
      <c r="H492">
        <f>VLOOKUP(A492,'Coal savings'!$A$3:$AB$543,26,FALSE)</f>
        <v>0</v>
      </c>
      <c r="I492" t="s">
        <v>694</v>
      </c>
      <c r="J492">
        <f>1090.14/5</f>
        <v>218.02800000000002</v>
      </c>
      <c r="O492" s="2" t="s">
        <v>423</v>
      </c>
      <c r="Q492" s="96"/>
      <c r="R492" s="96"/>
      <c r="S492" s="96"/>
      <c r="AH492" s="2" t="str">
        <f t="shared" si="156"/>
        <v>2019</v>
      </c>
      <c r="AI492" s="2">
        <f t="shared" si="173"/>
        <v>157.28513115074736</v>
      </c>
      <c r="AJ492" s="2">
        <f t="shared" si="154"/>
        <v>0.74897681500355884</v>
      </c>
      <c r="AK492" s="12">
        <f t="shared" si="155"/>
        <v>25.095140314852799</v>
      </c>
      <c r="AL492" s="2" t="s">
        <v>570</v>
      </c>
      <c r="AM492" s="2" t="str">
        <f>VLOOKUP(A492,'[12]Power plant names'!$C$2:$F$545,4,FALSE)</f>
        <v>Sub critical</v>
      </c>
      <c r="AN492" s="2">
        <v>210</v>
      </c>
      <c r="AO492" s="2">
        <f t="shared" si="157"/>
        <v>0.74897681500355884</v>
      </c>
      <c r="AP492" s="2">
        <v>210</v>
      </c>
      <c r="AQ492" s="2">
        <f t="shared" si="158"/>
        <v>0</v>
      </c>
      <c r="AR492" s="2">
        <f t="shared" si="159"/>
        <v>157.28513115074736</v>
      </c>
      <c r="AS492" s="2">
        <f t="shared" si="160"/>
        <v>0</v>
      </c>
      <c r="AU492" s="2">
        <f t="shared" si="171"/>
        <v>218.02800000000002</v>
      </c>
      <c r="AV492" s="2">
        <f t="shared" si="161"/>
        <v>1.0382285714285715</v>
      </c>
      <c r="AW492" s="12">
        <f t="shared" si="162"/>
        <v>28.095140314852799</v>
      </c>
      <c r="AX492" s="2">
        <v>210</v>
      </c>
      <c r="AY492" s="3">
        <f t="shared" si="163"/>
        <v>1.0382285714285715</v>
      </c>
      <c r="AZ492" s="2">
        <f t="shared" si="164"/>
        <v>218.02800000000002</v>
      </c>
      <c r="BA492" s="2">
        <f t="shared" si="165"/>
        <v>0</v>
      </c>
      <c r="BC492">
        <f t="shared" si="166"/>
        <v>243.10122000000001</v>
      </c>
      <c r="BD492">
        <f t="shared" si="172"/>
        <v>1.1576248571428571</v>
      </c>
      <c r="BE492">
        <f t="shared" si="167"/>
        <v>1.1576248571428571</v>
      </c>
      <c r="BF492">
        <f t="shared" si="168"/>
        <v>243.10121999999998</v>
      </c>
      <c r="BG492">
        <f t="shared" si="169"/>
        <v>0</v>
      </c>
    </row>
    <row r="493" spans="1:59" ht="14.5" customHeight="1" x14ac:dyDescent="0.2">
      <c r="A493" s="2" t="s">
        <v>173</v>
      </c>
      <c r="B493" s="2" t="str">
        <f>VLOOKUP($A493,'[1]daily coal, energy reqd'!$C$2:$T$599,17,FALSE)</f>
        <v>Chhatisgarh</v>
      </c>
      <c r="C493" s="2" t="str">
        <f>VLOOKUP(B493,'Target PLF'!$I$2:$J$19,2,FALSE)</f>
        <v>WR</v>
      </c>
      <c r="D493" s="2" t="s">
        <v>572</v>
      </c>
      <c r="E493" s="2" t="s">
        <v>542</v>
      </c>
      <c r="F493" s="12">
        <v>4.5913757700205302</v>
      </c>
      <c r="G493" s="2">
        <v>360</v>
      </c>
      <c r="H493">
        <f>VLOOKUP(A493,'Coal savings'!$A$3:$AB$543,26,FALSE)</f>
        <v>1835342.6357442678</v>
      </c>
      <c r="O493" s="2" t="s">
        <v>173</v>
      </c>
      <c r="AH493" s="2" t="str">
        <f t="shared" si="156"/>
        <v/>
      </c>
      <c r="AI493" s="2"/>
      <c r="AJ493" s="2" t="str">
        <f t="shared" si="154"/>
        <v/>
      </c>
      <c r="AK493" s="12">
        <f t="shared" si="155"/>
        <v>0.59137577002053021</v>
      </c>
      <c r="AL493" s="2" t="s">
        <v>572</v>
      </c>
      <c r="AM493" s="2" t="str">
        <f>VLOOKUP(A493,'[12]Power plant names'!$C$2:$F$545,4,FALSE)</f>
        <v>Sub critical</v>
      </c>
      <c r="AN493" s="2">
        <v>360</v>
      </c>
      <c r="AO493" s="2">
        <f t="shared" si="157"/>
        <v>0.91062813388090369</v>
      </c>
      <c r="AP493" s="2">
        <v>360</v>
      </c>
      <c r="AQ493" s="2">
        <f t="shared" si="158"/>
        <v>0</v>
      </c>
      <c r="AR493" s="2">
        <f t="shared" si="159"/>
        <v>327.82612819712534</v>
      </c>
      <c r="AS493" s="2">
        <f t="shared" si="160"/>
        <v>0</v>
      </c>
      <c r="AU493" s="2"/>
      <c r="AV493" s="2" t="str">
        <f t="shared" si="161"/>
        <v/>
      </c>
      <c r="AW493" s="12">
        <f t="shared" si="162"/>
        <v>4.5913757700205302</v>
      </c>
      <c r="AX493" s="2">
        <v>360</v>
      </c>
      <c r="AY493" s="3">
        <f t="shared" si="163"/>
        <v>1.1340267971252569</v>
      </c>
      <c r="AZ493" s="2">
        <f t="shared" si="164"/>
        <v>408.2496469650925</v>
      </c>
      <c r="BA493" s="2">
        <f t="shared" si="165"/>
        <v>0</v>
      </c>
      <c r="BC493" t="str">
        <f t="shared" si="166"/>
        <v/>
      </c>
      <c r="BE493">
        <f t="shared" si="167"/>
        <v>1.2832585236139631</v>
      </c>
      <c r="BF493">
        <f t="shared" si="168"/>
        <v>461.97306850102672</v>
      </c>
      <c r="BG493">
        <f t="shared" si="169"/>
        <v>0</v>
      </c>
    </row>
    <row r="494" spans="1:59" ht="14.5" customHeight="1" x14ac:dyDescent="0.2">
      <c r="A494" s="2" t="s">
        <v>177</v>
      </c>
      <c r="B494" s="2" t="str">
        <f>VLOOKUP($A494,'[1]daily coal, energy reqd'!$C$2:$T$599,17,FALSE)</f>
        <v>Chhatisgarh</v>
      </c>
      <c r="C494" s="2" t="str">
        <f>VLOOKUP(B494,'Target PLF'!$I$2:$J$19,2,FALSE)</f>
        <v>WR</v>
      </c>
      <c r="D494" s="2" t="s">
        <v>572</v>
      </c>
      <c r="E494" s="2" t="s">
        <v>542</v>
      </c>
      <c r="F494" s="12">
        <v>4.8240930869267604</v>
      </c>
      <c r="G494" s="2">
        <v>360</v>
      </c>
      <c r="H494">
        <f>VLOOKUP(A494,'Coal savings'!$A$3:$AB$543,26,FALSE)</f>
        <v>1836492.2693377857</v>
      </c>
      <c r="O494" s="2" t="s">
        <v>177</v>
      </c>
      <c r="AH494" s="2" t="str">
        <f t="shared" si="156"/>
        <v/>
      </c>
      <c r="AI494" s="2"/>
      <c r="AJ494" s="2" t="str">
        <f t="shared" si="154"/>
        <v/>
      </c>
      <c r="AK494" s="12">
        <f t="shared" si="155"/>
        <v>0.82409308692676042</v>
      </c>
      <c r="AL494" s="2" t="s">
        <v>572</v>
      </c>
      <c r="AM494" s="2" t="str">
        <f>VLOOKUP(A494,'[12]Power plant names'!$C$2:$F$545,4,FALSE)</f>
        <v>Sub critical</v>
      </c>
      <c r="AN494" s="2">
        <v>360</v>
      </c>
      <c r="AO494" s="2">
        <f t="shared" si="157"/>
        <v>0.90740369582477765</v>
      </c>
      <c r="AP494" s="2">
        <v>360</v>
      </c>
      <c r="AQ494" s="2">
        <f t="shared" si="158"/>
        <v>0</v>
      </c>
      <c r="AR494" s="2">
        <f t="shared" si="159"/>
        <v>326.66533049691998</v>
      </c>
      <c r="AS494" s="2">
        <f t="shared" si="160"/>
        <v>0</v>
      </c>
      <c r="AU494" s="2"/>
      <c r="AV494" s="2" t="str">
        <f t="shared" si="161"/>
        <v/>
      </c>
      <c r="AW494" s="12">
        <f t="shared" si="162"/>
        <v>4.8240930869267604</v>
      </c>
      <c r="AX494" s="2">
        <v>360</v>
      </c>
      <c r="AY494" s="3">
        <f t="shared" si="163"/>
        <v>1.1298070969199179</v>
      </c>
      <c r="AZ494" s="2">
        <f t="shared" si="164"/>
        <v>406.73055489117041</v>
      </c>
      <c r="BA494" s="2">
        <f t="shared" si="165"/>
        <v>0</v>
      </c>
      <c r="BC494" t="str">
        <f t="shared" si="166"/>
        <v/>
      </c>
      <c r="BE494">
        <f t="shared" si="167"/>
        <v>1.278249632443532</v>
      </c>
      <c r="BF494">
        <f t="shared" si="168"/>
        <v>460.16986767967148</v>
      </c>
      <c r="BG494">
        <f t="shared" si="169"/>
        <v>0</v>
      </c>
    </row>
    <row r="495" spans="1:59" ht="14.5" customHeight="1" x14ac:dyDescent="0.2">
      <c r="A495" s="2" t="s">
        <v>171</v>
      </c>
      <c r="B495" s="2" t="str">
        <f>VLOOKUP($A495,'[1]daily coal, energy reqd'!$C$2:$T$599,17,FALSE)</f>
        <v>Chhatisgarh</v>
      </c>
      <c r="C495" s="2" t="str">
        <f>VLOOKUP(B495,'Target PLF'!$I$2:$J$19,2,FALSE)</f>
        <v>WR</v>
      </c>
      <c r="D495" s="2" t="s">
        <v>572</v>
      </c>
      <c r="E495" s="2" t="s">
        <v>542</v>
      </c>
      <c r="F495" s="12">
        <v>4.33949349760438</v>
      </c>
      <c r="G495" s="2">
        <v>360</v>
      </c>
      <c r="H495">
        <f>VLOOKUP(A495,'Coal savings'!$A$3:$AB$543,26,FALSE)</f>
        <v>1834098.326443048</v>
      </c>
      <c r="O495" s="2" t="s">
        <v>171</v>
      </c>
      <c r="AH495" s="2" t="str">
        <f t="shared" si="156"/>
        <v/>
      </c>
      <c r="AI495" s="2"/>
      <c r="AJ495" s="2" t="str">
        <f t="shared" si="154"/>
        <v/>
      </c>
      <c r="AK495" s="12">
        <f t="shared" si="155"/>
        <v>0.33949349760437997</v>
      </c>
      <c r="AL495" s="2" t="s">
        <v>572</v>
      </c>
      <c r="AM495" s="2" t="str">
        <f>VLOOKUP(A495,'[12]Power plant names'!$C$2:$F$545,4,FALSE)</f>
        <v>Sub critical</v>
      </c>
      <c r="AN495" s="2">
        <v>360</v>
      </c>
      <c r="AO495" s="2">
        <f t="shared" si="157"/>
        <v>0.91411811389459285</v>
      </c>
      <c r="AP495" s="2"/>
      <c r="AQ495" s="2">
        <f t="shared" si="158"/>
        <v>360</v>
      </c>
      <c r="AR495" s="2">
        <f t="shared" si="159"/>
        <v>0</v>
      </c>
      <c r="AS495" s="2">
        <f t="shared" si="160"/>
        <v>329.08252100205345</v>
      </c>
      <c r="AU495" s="2"/>
      <c r="AV495" s="2" t="str">
        <f t="shared" si="161"/>
        <v/>
      </c>
      <c r="AW495" s="12">
        <f t="shared" si="162"/>
        <v>4.33949349760438</v>
      </c>
      <c r="AX495" s="2">
        <v>360</v>
      </c>
      <c r="AY495" s="3">
        <f t="shared" si="163"/>
        <v>1.1385940020533882</v>
      </c>
      <c r="AZ495" s="2">
        <f t="shared" si="164"/>
        <v>0</v>
      </c>
      <c r="BA495" s="2">
        <f t="shared" si="165"/>
        <v>409.89384073921974</v>
      </c>
      <c r="BC495" t="str">
        <f t="shared" si="166"/>
        <v/>
      </c>
      <c r="BE495">
        <f t="shared" si="167"/>
        <v>1.2886799117043122</v>
      </c>
      <c r="BF495">
        <f t="shared" si="168"/>
        <v>0</v>
      </c>
      <c r="BG495">
        <f t="shared" si="169"/>
        <v>463.9247682135524</v>
      </c>
    </row>
    <row r="496" spans="1:59" x14ac:dyDescent="0.2">
      <c r="A496" s="2" t="s">
        <v>121</v>
      </c>
      <c r="B496" s="2" t="str">
        <f>VLOOKUP($A496,'[1]daily coal, energy reqd'!$C$2:$T$599,17,FALSE)</f>
        <v>Karnataka</v>
      </c>
      <c r="C496" s="2" t="str">
        <f>VLOOKUP(B496,'Target PLF'!$I$2:$J$19,2,FALSE)</f>
        <v>SR</v>
      </c>
      <c r="D496" s="2" t="s">
        <v>572</v>
      </c>
      <c r="E496" s="2" t="s">
        <v>543</v>
      </c>
      <c r="F496" s="12">
        <v>8.1752224503764506</v>
      </c>
      <c r="G496" s="2">
        <v>600</v>
      </c>
      <c r="H496">
        <f>VLOOKUP(A496,'Coal savings'!$A$3:$AB$543,26,FALSE)</f>
        <v>2990873.4811211992</v>
      </c>
      <c r="I496" t="s">
        <v>694</v>
      </c>
      <c r="J496">
        <f>1212.73/2</f>
        <v>606.36500000000001</v>
      </c>
      <c r="O496" s="2" t="s">
        <v>121</v>
      </c>
      <c r="AH496" s="2" t="str">
        <f t="shared" si="156"/>
        <v>2019</v>
      </c>
      <c r="AI496" s="2">
        <f t="shared" ref="AI496:AI507" si="174">(J496)/(1+0.115)^(AH496-2016)</f>
        <v>437.43096551921275</v>
      </c>
      <c r="AJ496" s="2">
        <f t="shared" si="154"/>
        <v>0.72905160919868794</v>
      </c>
      <c r="AK496" s="12">
        <f t="shared" si="155"/>
        <v>4.1752224503764506</v>
      </c>
      <c r="AL496" s="2" t="s">
        <v>572</v>
      </c>
      <c r="AM496" s="2" t="str">
        <f>VLOOKUP(A496,'[12]Power plant names'!$C$2:$F$545,4,FALSE)</f>
        <v>Sub critical</v>
      </c>
      <c r="AN496" s="2">
        <v>600</v>
      </c>
      <c r="AO496" s="2">
        <f t="shared" si="157"/>
        <v>0.72905160919868794</v>
      </c>
      <c r="AP496" s="2">
        <v>600</v>
      </c>
      <c r="AQ496" s="2">
        <f t="shared" si="158"/>
        <v>0</v>
      </c>
      <c r="AR496" s="2">
        <f t="shared" si="159"/>
        <v>437.43096551921275</v>
      </c>
      <c r="AS496" s="2">
        <f t="shared" si="160"/>
        <v>0</v>
      </c>
      <c r="AU496" s="2">
        <f t="shared" si="171"/>
        <v>606.36500000000001</v>
      </c>
      <c r="AV496" s="2">
        <f t="shared" si="161"/>
        <v>1.0106083333333333</v>
      </c>
      <c r="AW496" s="12">
        <f t="shared" si="162"/>
        <v>7.1752224503764506</v>
      </c>
      <c r="AX496" s="2">
        <v>600</v>
      </c>
      <c r="AY496" s="3">
        <f t="shared" si="163"/>
        <v>1.0106083333333333</v>
      </c>
      <c r="AZ496" s="2">
        <f t="shared" si="164"/>
        <v>606.36500000000001</v>
      </c>
      <c r="BA496" s="2">
        <f t="shared" si="165"/>
        <v>0</v>
      </c>
      <c r="BC496">
        <f t="shared" si="166"/>
        <v>676.09697500000004</v>
      </c>
      <c r="BD496">
        <f t="shared" si="172"/>
        <v>1.1268282916666668</v>
      </c>
      <c r="BE496">
        <f t="shared" si="167"/>
        <v>1.1268282916666668</v>
      </c>
      <c r="BF496">
        <f t="shared" si="168"/>
        <v>676.09697500000004</v>
      </c>
      <c r="BG496">
        <f t="shared" si="169"/>
        <v>0</v>
      </c>
    </row>
    <row r="497" spans="1:59" x14ac:dyDescent="0.2">
      <c r="A497" s="2" t="s">
        <v>120</v>
      </c>
      <c r="B497" s="2" t="str">
        <f>VLOOKUP($A497,'[1]daily coal, energy reqd'!$C$2:$T$599,17,FALSE)</f>
        <v>Karnataka</v>
      </c>
      <c r="C497" s="2" t="str">
        <f>VLOOKUP(B497,'Target PLF'!$I$2:$J$19,2,FALSE)</f>
        <v>SR</v>
      </c>
      <c r="D497" s="2" t="s">
        <v>572</v>
      </c>
      <c r="E497" s="2" t="s">
        <v>543</v>
      </c>
      <c r="F497" s="12">
        <v>8.1752224503764506</v>
      </c>
      <c r="G497" s="2">
        <v>600</v>
      </c>
      <c r="H497">
        <f>VLOOKUP(A497,'Coal savings'!$A$3:$AB$543,26,FALSE)</f>
        <v>2990873.4811211992</v>
      </c>
      <c r="I497" t="s">
        <v>694</v>
      </c>
      <c r="J497">
        <f>1212.73/2</f>
        <v>606.36500000000001</v>
      </c>
      <c r="O497" s="2" t="s">
        <v>120</v>
      </c>
      <c r="AH497" s="2" t="str">
        <f t="shared" si="156"/>
        <v>2019</v>
      </c>
      <c r="AI497" s="2">
        <f t="shared" si="174"/>
        <v>437.43096551921275</v>
      </c>
      <c r="AJ497" s="2">
        <f t="shared" si="154"/>
        <v>0.72905160919868794</v>
      </c>
      <c r="AK497" s="12">
        <f t="shared" si="155"/>
        <v>4.1752224503764506</v>
      </c>
      <c r="AL497" s="2" t="s">
        <v>572</v>
      </c>
      <c r="AM497" s="2" t="str">
        <f>VLOOKUP(A497,'[12]Power plant names'!$C$2:$F$545,4,FALSE)</f>
        <v>Sub critical</v>
      </c>
      <c r="AN497" s="2">
        <v>600</v>
      </c>
      <c r="AO497" s="2">
        <f t="shared" si="157"/>
        <v>0.72905160919868794</v>
      </c>
      <c r="AP497" s="2">
        <v>600</v>
      </c>
      <c r="AQ497" s="2">
        <f t="shared" si="158"/>
        <v>0</v>
      </c>
      <c r="AR497" s="2">
        <f t="shared" si="159"/>
        <v>437.43096551921275</v>
      </c>
      <c r="AS497" s="2">
        <f t="shared" si="160"/>
        <v>0</v>
      </c>
      <c r="AU497" s="2">
        <f t="shared" si="171"/>
        <v>606.36500000000001</v>
      </c>
      <c r="AV497" s="2">
        <f t="shared" si="161"/>
        <v>1.0106083333333333</v>
      </c>
      <c r="AW497" s="12">
        <f t="shared" si="162"/>
        <v>7.1752224503764506</v>
      </c>
      <c r="AX497" s="2">
        <v>600</v>
      </c>
      <c r="AY497" s="3">
        <f t="shared" si="163"/>
        <v>1.0106083333333333</v>
      </c>
      <c r="AZ497" s="2">
        <f t="shared" si="164"/>
        <v>606.36500000000001</v>
      </c>
      <c r="BA497" s="2">
        <f t="shared" si="165"/>
        <v>0</v>
      </c>
      <c r="BC497">
        <f t="shared" si="166"/>
        <v>676.09697500000004</v>
      </c>
      <c r="BD497">
        <f t="shared" si="172"/>
        <v>1.1268282916666668</v>
      </c>
      <c r="BE497">
        <f t="shared" si="167"/>
        <v>1.1268282916666668</v>
      </c>
      <c r="BF497">
        <f t="shared" si="168"/>
        <v>676.09697500000004</v>
      </c>
      <c r="BG497">
        <f t="shared" si="169"/>
        <v>0</v>
      </c>
    </row>
    <row r="498" spans="1:59" ht="14.5" hidden="1" customHeight="1" x14ac:dyDescent="0.2">
      <c r="A498" s="2" t="s">
        <v>514</v>
      </c>
      <c r="B498" s="2" t="str">
        <f>VLOOKUP($A498,'[1]daily coal, energy reqd'!$C$2:$T$599,17,FALSE)</f>
        <v>Gujarat</v>
      </c>
      <c r="C498" s="2" t="str">
        <f>VLOOKUP(B498,'Target PLF'!$I$2:$J$19,2,FALSE)</f>
        <v>WR</v>
      </c>
      <c r="D498" s="2" t="s">
        <v>570</v>
      </c>
      <c r="E498" s="2" t="s">
        <v>550</v>
      </c>
      <c r="F498" s="12">
        <v>41.338809034907598</v>
      </c>
      <c r="G498" s="2">
        <v>200</v>
      </c>
      <c r="H498">
        <f>VLOOKUP(A498,'Coal savings'!$A$3:$AB$543,26,FALSE)</f>
        <v>0</v>
      </c>
      <c r="I498" t="s">
        <v>695</v>
      </c>
      <c r="J498">
        <v>98.12</v>
      </c>
      <c r="O498" s="2" t="s">
        <v>514</v>
      </c>
      <c r="S498" s="96"/>
      <c r="AH498" s="2" t="str">
        <f t="shared" si="156"/>
        <v>2018</v>
      </c>
      <c r="AI498" s="2">
        <f t="shared" si="174"/>
        <v>78.923766816143498</v>
      </c>
      <c r="AJ498" s="2">
        <f t="shared" si="154"/>
        <v>0.39461883408071752</v>
      </c>
      <c r="AK498" s="12">
        <f t="shared" si="155"/>
        <v>37.338809034907598</v>
      </c>
      <c r="AL498" s="2" t="s">
        <v>570</v>
      </c>
      <c r="AM498" s="2" t="str">
        <f>VLOOKUP(A498,'[12]Power plant names'!$C$2:$F$545,4,FALSE)</f>
        <v>Sub critical</v>
      </c>
      <c r="AN498" s="2">
        <v>200</v>
      </c>
      <c r="AO498" s="2">
        <f t="shared" si="157"/>
        <v>0.39461883408071752</v>
      </c>
      <c r="AP498" s="2">
        <v>200</v>
      </c>
      <c r="AQ498" s="2">
        <f t="shared" si="158"/>
        <v>0</v>
      </c>
      <c r="AR498" s="2">
        <f t="shared" si="159"/>
        <v>78.923766816143498</v>
      </c>
      <c r="AS498" s="2">
        <f t="shared" si="160"/>
        <v>0</v>
      </c>
      <c r="AU498" s="2">
        <f t="shared" si="171"/>
        <v>98.12</v>
      </c>
      <c r="AV498" s="2">
        <f t="shared" si="161"/>
        <v>0.49060000000000004</v>
      </c>
      <c r="AW498" s="12">
        <f t="shared" si="162"/>
        <v>39.338809034907598</v>
      </c>
      <c r="AX498" s="2">
        <v>200</v>
      </c>
      <c r="AY498" s="3">
        <f t="shared" si="163"/>
        <v>0.49060000000000004</v>
      </c>
      <c r="AZ498" s="2">
        <f t="shared" si="164"/>
        <v>98.12</v>
      </c>
      <c r="BA498" s="2">
        <f t="shared" si="165"/>
        <v>0</v>
      </c>
      <c r="BC498">
        <f t="shared" si="166"/>
        <v>121.98523700000001</v>
      </c>
      <c r="BD498">
        <f t="shared" si="172"/>
        <v>0.60992618500000007</v>
      </c>
      <c r="BE498">
        <f t="shared" si="167"/>
        <v>0.60992618500000007</v>
      </c>
      <c r="BF498">
        <f t="shared" si="168"/>
        <v>121.98523700000001</v>
      </c>
      <c r="BG498">
        <f t="shared" si="169"/>
        <v>0</v>
      </c>
    </row>
    <row r="499" spans="1:59" ht="14.5" hidden="1" customHeight="1" x14ac:dyDescent="0.2">
      <c r="A499" s="2" t="s">
        <v>512</v>
      </c>
      <c r="B499" s="2" t="str">
        <f>VLOOKUP($A499,'[1]daily coal, energy reqd'!$C$2:$T$599,17,FALSE)</f>
        <v>Gujarat</v>
      </c>
      <c r="C499" s="2" t="str">
        <f>VLOOKUP(B499,'Target PLF'!$I$2:$J$19,2,FALSE)</f>
        <v>WR</v>
      </c>
      <c r="D499" s="2" t="s">
        <v>570</v>
      </c>
      <c r="E499" s="2" t="s">
        <v>550</v>
      </c>
      <c r="F499" s="12">
        <v>41.177275838466798</v>
      </c>
      <c r="G499" s="2">
        <v>200</v>
      </c>
      <c r="H499">
        <f>VLOOKUP(A499,'Coal savings'!$A$3:$AB$543,26,FALSE)</f>
        <v>0</v>
      </c>
      <c r="I499" t="s">
        <v>695</v>
      </c>
      <c r="J499">
        <v>98.12</v>
      </c>
      <c r="O499" s="2" t="s">
        <v>512</v>
      </c>
      <c r="S499" s="96"/>
      <c r="AH499" s="2" t="str">
        <f t="shared" si="156"/>
        <v>2018</v>
      </c>
      <c r="AI499" s="2">
        <f t="shared" si="174"/>
        <v>78.923766816143498</v>
      </c>
      <c r="AJ499" s="2">
        <f t="shared" si="154"/>
        <v>0.39461883408071752</v>
      </c>
      <c r="AK499" s="12">
        <f t="shared" si="155"/>
        <v>37.177275838466798</v>
      </c>
      <c r="AL499" s="2" t="s">
        <v>570</v>
      </c>
      <c r="AM499" s="2" t="str">
        <f>VLOOKUP(A499,'[12]Power plant names'!$C$2:$F$545,4,FALSE)</f>
        <v>Sub critical</v>
      </c>
      <c r="AN499" s="2">
        <v>200</v>
      </c>
      <c r="AO499" s="2">
        <f t="shared" si="157"/>
        <v>0.39461883408071752</v>
      </c>
      <c r="AP499" s="2">
        <v>200</v>
      </c>
      <c r="AQ499" s="2">
        <f t="shared" si="158"/>
        <v>0</v>
      </c>
      <c r="AR499" s="2">
        <f t="shared" si="159"/>
        <v>78.923766816143498</v>
      </c>
      <c r="AS499" s="2">
        <f t="shared" si="160"/>
        <v>0</v>
      </c>
      <c r="AU499" s="2">
        <f t="shared" si="171"/>
        <v>98.12</v>
      </c>
      <c r="AV499" s="2">
        <f t="shared" si="161"/>
        <v>0.49060000000000004</v>
      </c>
      <c r="AW499" s="12">
        <f t="shared" si="162"/>
        <v>39.177275838466798</v>
      </c>
      <c r="AX499" s="2">
        <v>200</v>
      </c>
      <c r="AY499" s="3">
        <f t="shared" si="163"/>
        <v>0.49060000000000004</v>
      </c>
      <c r="AZ499" s="2">
        <f t="shared" si="164"/>
        <v>98.12</v>
      </c>
      <c r="BA499" s="2">
        <f t="shared" si="165"/>
        <v>0</v>
      </c>
      <c r="BC499">
        <f t="shared" si="166"/>
        <v>121.98523700000001</v>
      </c>
      <c r="BD499">
        <f t="shared" si="172"/>
        <v>0.60992618500000007</v>
      </c>
      <c r="BE499">
        <f t="shared" si="167"/>
        <v>0.60992618500000007</v>
      </c>
      <c r="BF499">
        <f t="shared" si="168"/>
        <v>121.98523700000001</v>
      </c>
      <c r="BG499">
        <f t="shared" si="169"/>
        <v>0</v>
      </c>
    </row>
    <row r="500" spans="1:59" ht="14.5" hidden="1" customHeight="1" x14ac:dyDescent="0.2">
      <c r="A500" s="2" t="s">
        <v>466</v>
      </c>
      <c r="B500" s="2" t="str">
        <f>VLOOKUP($A500,'[1]daily coal, energy reqd'!$C$2:$T$599,17,FALSE)</f>
        <v>Gujarat</v>
      </c>
      <c r="C500" s="2" t="str">
        <f>VLOOKUP(B500,'Target PLF'!$I$2:$J$19,2,FALSE)</f>
        <v>WR</v>
      </c>
      <c r="D500" s="2" t="s">
        <v>570</v>
      </c>
      <c r="E500" s="2" t="s">
        <v>549</v>
      </c>
      <c r="F500" s="12">
        <v>35.337440109513999</v>
      </c>
      <c r="G500" s="2">
        <v>210</v>
      </c>
      <c r="H500">
        <f>VLOOKUP(A500,'Coal savings'!$A$3:$AB$543,26,FALSE)</f>
        <v>0</v>
      </c>
      <c r="I500" t="s">
        <v>695</v>
      </c>
      <c r="J500">
        <v>103.02</v>
      </c>
      <c r="O500" s="2" t="s">
        <v>466</v>
      </c>
      <c r="S500" s="96"/>
      <c r="AH500" s="2" t="str">
        <f t="shared" si="156"/>
        <v>2018</v>
      </c>
      <c r="AI500" s="2">
        <f t="shared" si="174"/>
        <v>82.865128999175525</v>
      </c>
      <c r="AJ500" s="2">
        <f t="shared" si="154"/>
        <v>0.39459585237702632</v>
      </c>
      <c r="AK500" s="12">
        <f t="shared" si="155"/>
        <v>31.337440109513999</v>
      </c>
      <c r="AL500" s="2" t="s">
        <v>570</v>
      </c>
      <c r="AM500" s="2" t="str">
        <f>VLOOKUP(A500,'[12]Power plant names'!$C$2:$F$545,4,FALSE)</f>
        <v>Sub critical</v>
      </c>
      <c r="AN500" s="2">
        <v>210</v>
      </c>
      <c r="AO500" s="2">
        <f t="shared" si="157"/>
        <v>0.39459585237702632</v>
      </c>
      <c r="AP500" s="2">
        <v>210</v>
      </c>
      <c r="AQ500" s="2">
        <f t="shared" si="158"/>
        <v>0</v>
      </c>
      <c r="AR500" s="2">
        <f t="shared" si="159"/>
        <v>82.865128999175525</v>
      </c>
      <c r="AS500" s="2">
        <f t="shared" si="160"/>
        <v>0</v>
      </c>
      <c r="AU500" s="2">
        <f t="shared" si="171"/>
        <v>103.02</v>
      </c>
      <c r="AV500" s="2">
        <f t="shared" si="161"/>
        <v>0.49057142857142855</v>
      </c>
      <c r="AW500" s="12">
        <f t="shared" si="162"/>
        <v>33.337440109513999</v>
      </c>
      <c r="AX500" s="2">
        <v>210</v>
      </c>
      <c r="AY500" s="3">
        <f t="shared" si="163"/>
        <v>0.49057142857142855</v>
      </c>
      <c r="AZ500" s="2">
        <f t="shared" si="164"/>
        <v>103.02</v>
      </c>
      <c r="BA500" s="2">
        <f t="shared" si="165"/>
        <v>0</v>
      </c>
      <c r="BC500">
        <f t="shared" si="166"/>
        <v>128.07703949999998</v>
      </c>
      <c r="BD500">
        <f t="shared" si="172"/>
        <v>0.60989066428571426</v>
      </c>
      <c r="BE500">
        <f t="shared" si="167"/>
        <v>0.60989066428571426</v>
      </c>
      <c r="BF500">
        <f t="shared" si="168"/>
        <v>128.07703949999998</v>
      </c>
      <c r="BG500">
        <f t="shared" si="169"/>
        <v>0</v>
      </c>
    </row>
    <row r="501" spans="1:59" ht="14.5" customHeight="1" x14ac:dyDescent="0.2">
      <c r="A501" s="2" t="s">
        <v>142</v>
      </c>
      <c r="B501" s="2" t="str">
        <f>VLOOKUP($A501,'[1]daily coal, energy reqd'!$C$2:$T$599,17,FALSE)</f>
        <v>Gujarat</v>
      </c>
      <c r="C501" s="2" t="str">
        <f>VLOOKUP(B501,'Target PLF'!$I$2:$J$19,2,FALSE)</f>
        <v>WR</v>
      </c>
      <c r="D501" s="2" t="s">
        <v>570</v>
      </c>
      <c r="E501" s="2" t="s">
        <v>543</v>
      </c>
      <c r="F501" s="12">
        <v>7.1759069130732298</v>
      </c>
      <c r="G501" s="2">
        <v>500</v>
      </c>
      <c r="H501">
        <f>VLOOKUP(A501,'Coal savings'!$A$3:$AB$543,26,FALSE)</f>
        <v>2414199.8883598265</v>
      </c>
      <c r="I501" t="s">
        <v>695</v>
      </c>
      <c r="J501">
        <v>458.54000000000008</v>
      </c>
      <c r="O501" s="2" t="s">
        <v>142</v>
      </c>
      <c r="AH501" s="2" t="str">
        <f t="shared" si="156"/>
        <v>2018</v>
      </c>
      <c r="AI501" s="2">
        <f t="shared" si="174"/>
        <v>368.83106436887937</v>
      </c>
      <c r="AJ501" s="2">
        <f t="shared" si="154"/>
        <v>0.73766212873775872</v>
      </c>
      <c r="AK501" s="12">
        <f t="shared" si="155"/>
        <v>3.1759069130732298</v>
      </c>
      <c r="AL501" s="2" t="s">
        <v>570</v>
      </c>
      <c r="AM501" s="2" t="str">
        <f>VLOOKUP(A501,'[12]Power plant names'!$C$2:$F$545,4,FALSE)</f>
        <v>Sub critical</v>
      </c>
      <c r="AN501" s="2">
        <v>500</v>
      </c>
      <c r="AO501" s="2">
        <f t="shared" si="157"/>
        <v>0.73766212873775872</v>
      </c>
      <c r="AP501" s="2">
        <v>500</v>
      </c>
      <c r="AQ501" s="2">
        <f t="shared" si="158"/>
        <v>0</v>
      </c>
      <c r="AR501" s="2">
        <f t="shared" si="159"/>
        <v>368.83106436887937</v>
      </c>
      <c r="AS501" s="2">
        <f t="shared" si="160"/>
        <v>0</v>
      </c>
      <c r="AU501" s="2">
        <f t="shared" si="171"/>
        <v>458.54000000000008</v>
      </c>
      <c r="AV501" s="2">
        <f t="shared" si="161"/>
        <v>0.91708000000000012</v>
      </c>
      <c r="AW501" s="12">
        <f t="shared" si="162"/>
        <v>5.1759069130732298</v>
      </c>
      <c r="AX501" s="2">
        <v>500</v>
      </c>
      <c r="AY501" s="3">
        <f t="shared" si="163"/>
        <v>0.91708000000000012</v>
      </c>
      <c r="AZ501" s="2">
        <f t="shared" si="164"/>
        <v>458.54000000000008</v>
      </c>
      <c r="BA501" s="2">
        <f t="shared" si="165"/>
        <v>0</v>
      </c>
      <c r="BC501">
        <f t="shared" si="166"/>
        <v>570.06839150000008</v>
      </c>
      <c r="BD501">
        <f t="shared" si="172"/>
        <v>1.1401367830000002</v>
      </c>
      <c r="BE501">
        <f t="shared" si="167"/>
        <v>1.1401367830000002</v>
      </c>
      <c r="BF501">
        <f t="shared" si="168"/>
        <v>570.06839150000008</v>
      </c>
      <c r="BG501">
        <f t="shared" si="169"/>
        <v>0</v>
      </c>
    </row>
    <row r="502" spans="1:59" ht="14.5" hidden="1" customHeight="1" x14ac:dyDescent="0.2">
      <c r="A502" s="2" t="s">
        <v>442</v>
      </c>
      <c r="B502" s="2" t="str">
        <f>VLOOKUP($A502,'[1]daily coal, energy reqd'!$C$2:$T$599,17,FALSE)</f>
        <v>Uttar Pradesh</v>
      </c>
      <c r="C502" s="2" t="str">
        <f>VLOOKUP(B502,'Target PLF'!$I$2:$J$19,2,FALSE)</f>
        <v>NR</v>
      </c>
      <c r="D502" s="2" t="s">
        <v>571</v>
      </c>
      <c r="E502" s="2" t="s">
        <v>548</v>
      </c>
      <c r="F502" s="12">
        <v>31.504449007529001</v>
      </c>
      <c r="G502" s="2">
        <v>210</v>
      </c>
      <c r="H502">
        <f>VLOOKUP(A502,'Coal savings'!$A$3:$AB$543,26,FALSE)</f>
        <v>0</v>
      </c>
      <c r="I502" t="s">
        <v>694</v>
      </c>
      <c r="J502">
        <v>140.84</v>
      </c>
      <c r="O502" s="2" t="s">
        <v>442</v>
      </c>
      <c r="P502">
        <v>2019</v>
      </c>
      <c r="Q502" s="96">
        <v>16.09</v>
      </c>
      <c r="R502" s="96" t="s">
        <v>678</v>
      </c>
      <c r="S502" s="96">
        <v>24</v>
      </c>
      <c r="T502" s="96">
        <v>8.6300000000000008</v>
      </c>
      <c r="U502" s="96" t="s">
        <v>619</v>
      </c>
      <c r="V502" s="96"/>
      <c r="W502" s="96">
        <v>4.79</v>
      </c>
      <c r="X502" s="96" t="s">
        <v>684</v>
      </c>
      <c r="Y502" s="96">
        <v>0.28999999999999998</v>
      </c>
      <c r="AB502" s="96"/>
      <c r="AH502" s="2" t="str">
        <f t="shared" si="156"/>
        <v>2019</v>
      </c>
      <c r="AI502" s="2">
        <f t="shared" si="174"/>
        <v>101.60180284766754</v>
      </c>
      <c r="AJ502" s="2">
        <f t="shared" si="154"/>
        <v>0.48381810879841686</v>
      </c>
      <c r="AK502" s="12">
        <f t="shared" si="155"/>
        <v>27.504449007529001</v>
      </c>
      <c r="AL502" s="2" t="s">
        <v>571</v>
      </c>
      <c r="AM502" s="2" t="str">
        <f>VLOOKUP(A502,'[12]Power plant names'!$C$2:$F$545,4,FALSE)</f>
        <v>Sub critical</v>
      </c>
      <c r="AN502" s="2">
        <v>210</v>
      </c>
      <c r="AO502" s="2">
        <f t="shared" si="157"/>
        <v>0.48381810879841686</v>
      </c>
      <c r="AP502" s="2">
        <v>210</v>
      </c>
      <c r="AQ502" s="2">
        <f t="shared" si="158"/>
        <v>0</v>
      </c>
      <c r="AR502" s="2">
        <f t="shared" si="159"/>
        <v>101.60180284766754</v>
      </c>
      <c r="AS502" s="2">
        <f t="shared" si="160"/>
        <v>0</v>
      </c>
      <c r="AU502" s="2">
        <f t="shared" si="171"/>
        <v>140.84</v>
      </c>
      <c r="AV502" s="2">
        <f t="shared" si="161"/>
        <v>0.67066666666666663</v>
      </c>
      <c r="AW502" s="12">
        <f t="shared" si="162"/>
        <v>30.504449007529001</v>
      </c>
      <c r="AX502" s="2">
        <v>210</v>
      </c>
      <c r="AY502" s="3">
        <f t="shared" si="163"/>
        <v>0.67066666666666663</v>
      </c>
      <c r="AZ502" s="2">
        <f t="shared" si="164"/>
        <v>140.84</v>
      </c>
      <c r="BA502" s="2">
        <f t="shared" si="165"/>
        <v>0</v>
      </c>
      <c r="BC502">
        <f t="shared" si="166"/>
        <v>157.03659999999999</v>
      </c>
      <c r="BD502">
        <f t="shared" si="172"/>
        <v>0.74779333333333331</v>
      </c>
      <c r="BE502">
        <f t="shared" si="167"/>
        <v>0.74779333333333331</v>
      </c>
      <c r="BF502">
        <f t="shared" si="168"/>
        <v>157.03659999999999</v>
      </c>
      <c r="BG502">
        <f t="shared" si="169"/>
        <v>0</v>
      </c>
    </row>
    <row r="503" spans="1:59" ht="14.5" hidden="1" customHeight="1" x14ac:dyDescent="0.2">
      <c r="A503" s="2" t="s">
        <v>437</v>
      </c>
      <c r="B503" s="2" t="str">
        <f>VLOOKUP($A503,'[1]daily coal, energy reqd'!$C$2:$T$599,17,FALSE)</f>
        <v>Uttar Pradesh</v>
      </c>
      <c r="C503" s="2" t="str">
        <f>VLOOKUP(B503,'Target PLF'!$I$2:$J$19,2,FALSE)</f>
        <v>NR</v>
      </c>
      <c r="D503" s="2" t="s">
        <v>571</v>
      </c>
      <c r="E503" s="2" t="s">
        <v>548</v>
      </c>
      <c r="F503" s="12">
        <v>31.175906913073199</v>
      </c>
      <c r="G503" s="2">
        <v>210</v>
      </c>
      <c r="H503">
        <f>VLOOKUP(A503,'Coal savings'!$A$3:$AB$543,26,FALSE)</f>
        <v>0</v>
      </c>
      <c r="I503" t="s">
        <v>694</v>
      </c>
      <c r="J503">
        <v>140.84</v>
      </c>
      <c r="O503" s="2" t="s">
        <v>437</v>
      </c>
      <c r="Q503" s="96"/>
      <c r="R503" s="96"/>
      <c r="S503" s="96"/>
      <c r="T503" s="96"/>
      <c r="U503" s="96"/>
      <c r="V503" s="96"/>
      <c r="W503" s="96"/>
      <c r="X503" s="96"/>
      <c r="Y503" s="96"/>
      <c r="AB503" s="96"/>
      <c r="AH503" s="2" t="str">
        <f t="shared" si="156"/>
        <v>2019</v>
      </c>
      <c r="AI503" s="2">
        <f t="shared" si="174"/>
        <v>101.60180284766754</v>
      </c>
      <c r="AJ503" s="2">
        <f t="shared" si="154"/>
        <v>0.48381810879841686</v>
      </c>
      <c r="AK503" s="12">
        <f t="shared" si="155"/>
        <v>27.175906913073199</v>
      </c>
      <c r="AL503" s="2" t="s">
        <v>571</v>
      </c>
      <c r="AM503" s="2" t="str">
        <f>VLOOKUP(A503,'[12]Power plant names'!$C$2:$F$545,4,FALSE)</f>
        <v>Sub critical</v>
      </c>
      <c r="AN503" s="2">
        <v>210</v>
      </c>
      <c r="AO503" s="2">
        <f t="shared" si="157"/>
        <v>0.48381810879841686</v>
      </c>
      <c r="AP503" s="2">
        <v>210</v>
      </c>
      <c r="AQ503" s="2">
        <f t="shared" si="158"/>
        <v>0</v>
      </c>
      <c r="AR503" s="2">
        <f t="shared" si="159"/>
        <v>101.60180284766754</v>
      </c>
      <c r="AS503" s="2">
        <f t="shared" si="160"/>
        <v>0</v>
      </c>
      <c r="AU503" s="2">
        <f t="shared" si="171"/>
        <v>140.84</v>
      </c>
      <c r="AV503" s="2">
        <f t="shared" si="161"/>
        <v>0.67066666666666663</v>
      </c>
      <c r="AW503" s="12">
        <f t="shared" si="162"/>
        <v>30.175906913073199</v>
      </c>
      <c r="AX503" s="2">
        <v>210</v>
      </c>
      <c r="AY503" s="3">
        <f t="shared" si="163"/>
        <v>0.67066666666666663</v>
      </c>
      <c r="AZ503" s="2">
        <f t="shared" si="164"/>
        <v>140.84</v>
      </c>
      <c r="BA503" s="2">
        <f t="shared" si="165"/>
        <v>0</v>
      </c>
      <c r="BC503">
        <f t="shared" si="166"/>
        <v>157.03659999999999</v>
      </c>
      <c r="BD503">
        <f t="shared" si="172"/>
        <v>0.74779333333333331</v>
      </c>
      <c r="BE503">
        <f t="shared" si="167"/>
        <v>0.74779333333333331</v>
      </c>
      <c r="BF503">
        <f t="shared" si="168"/>
        <v>157.03659999999999</v>
      </c>
      <c r="BG503">
        <f t="shared" si="169"/>
        <v>0</v>
      </c>
    </row>
    <row r="504" spans="1:59" ht="14.5" hidden="1" customHeight="1" x14ac:dyDescent="0.2">
      <c r="A504" s="2" t="s">
        <v>377</v>
      </c>
      <c r="B504" s="2" t="str">
        <f>VLOOKUP($A504,'[1]daily coal, energy reqd'!$C$2:$T$599,17,FALSE)</f>
        <v>Uttar Pradesh</v>
      </c>
      <c r="C504" s="2" t="str">
        <f>VLOOKUP(B504,'Target PLF'!$I$2:$J$19,2,FALSE)</f>
        <v>NR</v>
      </c>
      <c r="D504" s="2" t="s">
        <v>571</v>
      </c>
      <c r="E504" s="2" t="s">
        <v>546</v>
      </c>
      <c r="F504" s="12">
        <v>21.338809034907499</v>
      </c>
      <c r="G504" s="2">
        <v>210</v>
      </c>
      <c r="H504">
        <f>VLOOKUP(A504,'Coal savings'!$A$3:$AB$543,26,FALSE)</f>
        <v>0</v>
      </c>
      <c r="I504" t="s">
        <v>694</v>
      </c>
      <c r="J504">
        <v>128.53</v>
      </c>
      <c r="O504" s="2" t="s">
        <v>377</v>
      </c>
      <c r="P504">
        <v>2019</v>
      </c>
      <c r="Q504" s="96">
        <v>28.770000000000003</v>
      </c>
      <c r="R504" s="96" t="s">
        <v>678</v>
      </c>
      <c r="S504" s="96">
        <v>47</v>
      </c>
      <c r="T504" s="96">
        <v>16.27</v>
      </c>
      <c r="U504" s="96" t="s">
        <v>619</v>
      </c>
      <c r="V504" s="96"/>
      <c r="W504" s="96">
        <v>7.46</v>
      </c>
      <c r="X504" s="96" t="s">
        <v>684</v>
      </c>
      <c r="Y504" s="96">
        <v>0.97</v>
      </c>
      <c r="AB504" s="96"/>
      <c r="AH504" s="2" t="str">
        <f t="shared" si="156"/>
        <v>2019</v>
      </c>
      <c r="AI504" s="2">
        <f t="shared" si="174"/>
        <v>92.721383981899379</v>
      </c>
      <c r="AJ504" s="2">
        <f t="shared" si="154"/>
        <v>0.44153039991380655</v>
      </c>
      <c r="AK504" s="12">
        <f t="shared" si="155"/>
        <v>17.338809034907499</v>
      </c>
      <c r="AL504" s="2" t="s">
        <v>571</v>
      </c>
      <c r="AM504" s="2" t="str">
        <f>VLOOKUP(A504,'[12]Power plant names'!$C$2:$F$545,4,FALSE)</f>
        <v>Sub critical</v>
      </c>
      <c r="AN504" s="2">
        <v>210</v>
      </c>
      <c r="AO504" s="2">
        <f t="shared" si="157"/>
        <v>0.44153039991380655</v>
      </c>
      <c r="AP504" s="2">
        <v>210</v>
      </c>
      <c r="AQ504" s="2">
        <f t="shared" si="158"/>
        <v>0</v>
      </c>
      <c r="AR504" s="2">
        <f t="shared" si="159"/>
        <v>92.721383981899379</v>
      </c>
      <c r="AS504" s="2">
        <f t="shared" si="160"/>
        <v>0</v>
      </c>
      <c r="AU504" s="2">
        <f t="shared" si="171"/>
        <v>128.53</v>
      </c>
      <c r="AV504" s="2">
        <f t="shared" si="161"/>
        <v>0.61204761904761906</v>
      </c>
      <c r="AW504" s="12">
        <f t="shared" si="162"/>
        <v>20.338809034907499</v>
      </c>
      <c r="AX504" s="2">
        <v>210</v>
      </c>
      <c r="AY504" s="3">
        <f t="shared" si="163"/>
        <v>0.61204761904761906</v>
      </c>
      <c r="AZ504" s="2">
        <f t="shared" si="164"/>
        <v>128.53</v>
      </c>
      <c r="BA504" s="2">
        <f t="shared" si="165"/>
        <v>0</v>
      </c>
      <c r="BC504">
        <f t="shared" si="166"/>
        <v>143.31094999999999</v>
      </c>
      <c r="BD504">
        <f t="shared" si="172"/>
        <v>0.68243309523809514</v>
      </c>
      <c r="BE504">
        <f t="shared" si="167"/>
        <v>0.68243309523809514</v>
      </c>
      <c r="BF504">
        <f t="shared" si="168"/>
        <v>143.31094999999999</v>
      </c>
      <c r="BG504">
        <f t="shared" si="169"/>
        <v>0</v>
      </c>
    </row>
    <row r="505" spans="1:59" ht="14.5" hidden="1" customHeight="1" x14ac:dyDescent="0.2">
      <c r="A505" s="2" t="s">
        <v>371</v>
      </c>
      <c r="B505" s="2" t="str">
        <f>VLOOKUP($A505,'[1]daily coal, energy reqd'!$C$2:$T$599,17,FALSE)</f>
        <v>Uttar Pradesh</v>
      </c>
      <c r="C505" s="2" t="str">
        <f>VLOOKUP(B505,'Target PLF'!$I$2:$J$19,2,FALSE)</f>
        <v>NR</v>
      </c>
      <c r="D505" s="2" t="s">
        <v>571</v>
      </c>
      <c r="E505" s="2" t="s">
        <v>546</v>
      </c>
      <c r="F505" s="12">
        <v>20.591375770020498</v>
      </c>
      <c r="G505" s="2">
        <v>210</v>
      </c>
      <c r="H505">
        <f>VLOOKUP(A505,'Coal savings'!$A$3:$AB$543,26,FALSE)</f>
        <v>0</v>
      </c>
      <c r="I505" t="s">
        <v>694</v>
      </c>
      <c r="J505">
        <v>128.53</v>
      </c>
      <c r="O505" s="2" t="s">
        <v>371</v>
      </c>
      <c r="Q505" s="96"/>
      <c r="R505" s="96"/>
      <c r="S505" s="96"/>
      <c r="T505" s="96"/>
      <c r="U505" s="96"/>
      <c r="V505" s="96"/>
      <c r="W505" s="96"/>
      <c r="X505" s="96"/>
      <c r="Y505" s="96"/>
      <c r="AB505" s="96"/>
      <c r="AH505" s="2" t="str">
        <f t="shared" si="156"/>
        <v>2019</v>
      </c>
      <c r="AI505" s="2">
        <f t="shared" si="174"/>
        <v>92.721383981899379</v>
      </c>
      <c r="AJ505" s="2">
        <f t="shared" si="154"/>
        <v>0.44153039991380655</v>
      </c>
      <c r="AK505" s="12">
        <f t="shared" si="155"/>
        <v>16.591375770020498</v>
      </c>
      <c r="AL505" s="2" t="s">
        <v>571</v>
      </c>
      <c r="AM505" s="2" t="str">
        <f>VLOOKUP(A505,'[12]Power plant names'!$C$2:$F$545,4,FALSE)</f>
        <v>Sub critical</v>
      </c>
      <c r="AN505" s="2">
        <v>210</v>
      </c>
      <c r="AO505" s="2">
        <f t="shared" si="157"/>
        <v>0.44153039991380655</v>
      </c>
      <c r="AP505" s="2">
        <v>210</v>
      </c>
      <c r="AQ505" s="2">
        <f t="shared" si="158"/>
        <v>0</v>
      </c>
      <c r="AR505" s="2">
        <f t="shared" si="159"/>
        <v>92.721383981899379</v>
      </c>
      <c r="AS505" s="2">
        <f t="shared" si="160"/>
        <v>0</v>
      </c>
      <c r="AU505" s="2">
        <f t="shared" si="171"/>
        <v>128.53</v>
      </c>
      <c r="AV505" s="2">
        <f t="shared" si="161"/>
        <v>0.61204761904761906</v>
      </c>
      <c r="AW505" s="12">
        <f t="shared" si="162"/>
        <v>19.591375770020498</v>
      </c>
      <c r="AX505" s="2">
        <v>210</v>
      </c>
      <c r="AY505" s="3">
        <f t="shared" si="163"/>
        <v>0.61204761904761906</v>
      </c>
      <c r="AZ505" s="2">
        <f t="shared" si="164"/>
        <v>128.53</v>
      </c>
      <c r="BA505" s="2">
        <f t="shared" si="165"/>
        <v>0</v>
      </c>
      <c r="BC505">
        <f t="shared" si="166"/>
        <v>143.31094999999999</v>
      </c>
      <c r="BD505">
        <f t="shared" si="172"/>
        <v>0.68243309523809514</v>
      </c>
      <c r="BE505">
        <f t="shared" si="167"/>
        <v>0.68243309523809514</v>
      </c>
      <c r="BF505">
        <f t="shared" si="168"/>
        <v>143.31094999999999</v>
      </c>
      <c r="BG505">
        <f t="shared" si="169"/>
        <v>0</v>
      </c>
    </row>
    <row r="506" spans="1:59" ht="14.5" hidden="1" customHeight="1" x14ac:dyDescent="0.2">
      <c r="A506" s="2" t="s">
        <v>323</v>
      </c>
      <c r="B506" s="2" t="str">
        <f>VLOOKUP($A506,'[1]daily coal, energy reqd'!$C$2:$T$599,17,FALSE)</f>
        <v>Uttar Pradesh</v>
      </c>
      <c r="C506" s="2" t="str">
        <f>VLOOKUP(B506,'Target PLF'!$I$2:$J$19,2,FALSE)</f>
        <v>NR</v>
      </c>
      <c r="D506" s="2" t="s">
        <v>571</v>
      </c>
      <c r="E506" s="2" t="s">
        <v>544</v>
      </c>
      <c r="F506" s="12">
        <v>13.6728268309377</v>
      </c>
      <c r="G506" s="2">
        <v>210</v>
      </c>
      <c r="H506">
        <f>VLOOKUP(A506,'Coal savings'!$A$3:$AB$543,26,FALSE)</f>
        <v>0</v>
      </c>
      <c r="I506" t="s">
        <v>694</v>
      </c>
      <c r="J506">
        <v>178.67</v>
      </c>
      <c r="O506" s="2" t="s">
        <v>323</v>
      </c>
      <c r="P506">
        <v>2019</v>
      </c>
      <c r="Q506">
        <v>24.68</v>
      </c>
      <c r="R506" t="s">
        <v>678</v>
      </c>
      <c r="S506">
        <v>29</v>
      </c>
      <c r="T506">
        <v>11.39</v>
      </c>
      <c r="U506" t="s">
        <v>619</v>
      </c>
      <c r="W506">
        <v>6.81</v>
      </c>
      <c r="X506" t="s">
        <v>684</v>
      </c>
      <c r="Y506">
        <v>0.48</v>
      </c>
      <c r="AH506" s="2" t="str">
        <f t="shared" si="156"/>
        <v>2019</v>
      </c>
      <c r="AI506" s="2">
        <f t="shared" si="174"/>
        <v>128.89231833848876</v>
      </c>
      <c r="AJ506" s="2">
        <f t="shared" si="154"/>
        <v>0.61377294446899411</v>
      </c>
      <c r="AK506" s="12">
        <f t="shared" si="155"/>
        <v>9.6728268309376997</v>
      </c>
      <c r="AL506" s="2" t="s">
        <v>571</v>
      </c>
      <c r="AM506" s="2" t="str">
        <f>VLOOKUP(A506,'[12]Power plant names'!$C$2:$F$545,4,FALSE)</f>
        <v>Sub critical</v>
      </c>
      <c r="AN506" s="2">
        <v>210</v>
      </c>
      <c r="AO506" s="2">
        <f t="shared" si="157"/>
        <v>0.61377294446899411</v>
      </c>
      <c r="AP506" s="2">
        <v>210</v>
      </c>
      <c r="AQ506" s="2">
        <f t="shared" si="158"/>
        <v>0</v>
      </c>
      <c r="AR506" s="2">
        <f t="shared" si="159"/>
        <v>128.89231833848876</v>
      </c>
      <c r="AS506" s="2">
        <f t="shared" si="160"/>
        <v>0</v>
      </c>
      <c r="AU506" s="2">
        <f t="shared" si="171"/>
        <v>178.67</v>
      </c>
      <c r="AV506" s="2">
        <f t="shared" si="161"/>
        <v>0.85080952380952379</v>
      </c>
      <c r="AW506" s="12">
        <f t="shared" si="162"/>
        <v>12.6728268309377</v>
      </c>
      <c r="AX506" s="2">
        <v>210</v>
      </c>
      <c r="AY506" s="3">
        <f t="shared" si="163"/>
        <v>0.85080952380952379</v>
      </c>
      <c r="AZ506" s="2">
        <f t="shared" si="164"/>
        <v>178.67</v>
      </c>
      <c r="BA506" s="2">
        <f t="shared" si="165"/>
        <v>0</v>
      </c>
      <c r="BC506">
        <f t="shared" si="166"/>
        <v>199.21704999999997</v>
      </c>
      <c r="BD506">
        <f t="shared" si="172"/>
        <v>0.94865261904761888</v>
      </c>
      <c r="BE506">
        <f t="shared" si="167"/>
        <v>0.94865261904761888</v>
      </c>
      <c r="BF506">
        <f t="shared" si="168"/>
        <v>199.21704999999997</v>
      </c>
      <c r="BG506">
        <f t="shared" si="169"/>
        <v>0</v>
      </c>
    </row>
    <row r="507" spans="1:59" ht="14.5" customHeight="1" x14ac:dyDescent="0.2">
      <c r="A507" s="2" t="s">
        <v>114</v>
      </c>
      <c r="B507" s="2" t="str">
        <f>VLOOKUP($A507,'[1]daily coal, energy reqd'!$C$2:$T$599,17,FALSE)</f>
        <v>Uttar Pradesh</v>
      </c>
      <c r="C507" s="2" t="str">
        <f>VLOOKUP(B507,'Target PLF'!$I$2:$J$19,2,FALSE)</f>
        <v>NR</v>
      </c>
      <c r="D507" s="2" t="s">
        <v>571</v>
      </c>
      <c r="E507" s="2" t="s">
        <v>542</v>
      </c>
      <c r="F507" s="12">
        <v>3.1759069130732298</v>
      </c>
      <c r="G507" s="2">
        <v>500</v>
      </c>
      <c r="H507">
        <f>VLOOKUP(A507,'Coal savings'!$A$3:$AB$543,26,FALSE)</f>
        <v>2329192.6124893883</v>
      </c>
      <c r="I507" t="s">
        <v>694</v>
      </c>
      <c r="J507">
        <v>551.41999999999996</v>
      </c>
      <c r="O507" s="2" t="s">
        <v>114</v>
      </c>
      <c r="W507">
        <v>23.36</v>
      </c>
      <c r="X507" t="s">
        <v>684</v>
      </c>
      <c r="Y507">
        <v>1.1000000000000001</v>
      </c>
      <c r="AH507" s="2" t="str">
        <f t="shared" si="156"/>
        <v>2019</v>
      </c>
      <c r="AI507" s="2">
        <f t="shared" si="174"/>
        <v>397.79371007001441</v>
      </c>
      <c r="AJ507" s="2">
        <f t="shared" si="154"/>
        <v>0.79558742014002881</v>
      </c>
      <c r="AK507" s="12">
        <f t="shared" si="155"/>
        <v>1</v>
      </c>
      <c r="AL507" s="2" t="s">
        <v>571</v>
      </c>
      <c r="AM507" s="2" t="str">
        <f>VLOOKUP(A507,'[12]Power plant names'!$C$2:$F$545,4,FALSE)</f>
        <v>Sub critical</v>
      </c>
      <c r="AN507" s="2">
        <v>500</v>
      </c>
      <c r="AO507" s="2">
        <f t="shared" si="157"/>
        <v>0.79558742014002881</v>
      </c>
      <c r="AP507" s="2">
        <v>500</v>
      </c>
      <c r="AQ507" s="2">
        <f t="shared" si="158"/>
        <v>0</v>
      </c>
      <c r="AR507" s="2">
        <f t="shared" si="159"/>
        <v>397.79371007001441</v>
      </c>
      <c r="AS507" s="2">
        <f t="shared" si="160"/>
        <v>0</v>
      </c>
      <c r="AU507" s="2">
        <f t="shared" si="171"/>
        <v>551.41999999999996</v>
      </c>
      <c r="AV507" s="2">
        <f t="shared" si="161"/>
        <v>1.1028399999999998</v>
      </c>
      <c r="AW507" s="12">
        <f t="shared" si="162"/>
        <v>2.1759069130732298</v>
      </c>
      <c r="AX507" s="2">
        <v>500</v>
      </c>
      <c r="AY507" s="3">
        <f t="shared" si="163"/>
        <v>1.1028399999999998</v>
      </c>
      <c r="AZ507" s="2">
        <f t="shared" si="164"/>
        <v>551.41999999999996</v>
      </c>
      <c r="BA507" s="2">
        <f t="shared" si="165"/>
        <v>0</v>
      </c>
      <c r="BC507">
        <f t="shared" si="166"/>
        <v>614.83329999999989</v>
      </c>
      <c r="BD507">
        <f t="shared" si="172"/>
        <v>1.2296665999999998</v>
      </c>
      <c r="BE507">
        <f t="shared" si="167"/>
        <v>1.2296665999999998</v>
      </c>
      <c r="BF507">
        <f t="shared" si="168"/>
        <v>614.83329999999989</v>
      </c>
      <c r="BG507">
        <f t="shared" si="169"/>
        <v>0</v>
      </c>
    </row>
    <row r="508" spans="1:59" ht="14.5" hidden="1" customHeight="1" x14ac:dyDescent="0.2">
      <c r="A508" s="2" t="s">
        <v>336</v>
      </c>
      <c r="B508" s="2" t="str">
        <f>VLOOKUP($A508,'[1]daily coal, energy reqd'!$C$2:$T$599,17,FALSE)</f>
        <v>Uttar Pradesh</v>
      </c>
      <c r="C508" s="2" t="str">
        <f>VLOOKUP(B508,'Target PLF'!$I$2:$J$19,2,FALSE)</f>
        <v>NR</v>
      </c>
      <c r="D508" s="2" t="s">
        <v>572</v>
      </c>
      <c r="E508" s="2" t="s">
        <v>543</v>
      </c>
      <c r="F508" s="12">
        <v>8.2546201232032796</v>
      </c>
      <c r="G508" s="2">
        <v>45</v>
      </c>
      <c r="H508">
        <f>VLOOKUP(A508,'Coal savings'!$A$3:$AB$543,26,FALSE)</f>
        <v>0</v>
      </c>
      <c r="O508" s="2" t="s">
        <v>336</v>
      </c>
      <c r="AH508" s="2" t="str">
        <f t="shared" si="156"/>
        <v/>
      </c>
      <c r="AI508" s="2"/>
      <c r="AJ508" s="2" t="str">
        <f t="shared" si="154"/>
        <v/>
      </c>
      <c r="AK508" s="12">
        <f t="shared" si="155"/>
        <v>4.2546201232032796</v>
      </c>
      <c r="AL508" s="2" t="s">
        <v>572</v>
      </c>
      <c r="AM508" s="2" t="str">
        <f>VLOOKUP(A508,'[12]Power plant names'!$C$2:$F$545,4,FALSE)</f>
        <v>Sub critical</v>
      </c>
      <c r="AN508" s="2">
        <v>45</v>
      </c>
      <c r="AO508" s="2">
        <f t="shared" si="157"/>
        <v>1.0022201854209447</v>
      </c>
      <c r="AP508" s="2">
        <v>41</v>
      </c>
      <c r="AQ508" s="2">
        <f t="shared" si="158"/>
        <v>4</v>
      </c>
      <c r="AR508" s="2">
        <f t="shared" si="159"/>
        <v>41.091027602258734</v>
      </c>
      <c r="AS508" s="2">
        <f t="shared" si="160"/>
        <v>4.0088807416837788</v>
      </c>
      <c r="AU508" s="2"/>
      <c r="AV508" s="2" t="str">
        <f t="shared" si="161"/>
        <v/>
      </c>
      <c r="AW508" s="12">
        <f t="shared" si="162"/>
        <v>8.2546201232032796</v>
      </c>
      <c r="AX508" s="2">
        <v>45</v>
      </c>
      <c r="AY508" s="3">
        <f t="shared" si="163"/>
        <v>1.2434997515400412</v>
      </c>
      <c r="AZ508" s="2">
        <f t="shared" si="164"/>
        <v>50.983489813141688</v>
      </c>
      <c r="BA508" s="2">
        <f t="shared" si="165"/>
        <v>4.9739990061601649</v>
      </c>
      <c r="BC508" t="str">
        <f t="shared" si="166"/>
        <v/>
      </c>
      <c r="BE508">
        <f t="shared" si="167"/>
        <v>1.4256056837782343</v>
      </c>
      <c r="BF508">
        <f t="shared" si="168"/>
        <v>58.449833034907606</v>
      </c>
      <c r="BG508">
        <f t="shared" si="169"/>
        <v>5.7024227351129371</v>
      </c>
    </row>
    <row r="509" spans="1:59" ht="14.5" hidden="1" customHeight="1" x14ac:dyDescent="0.2">
      <c r="A509" s="2" t="s">
        <v>334</v>
      </c>
      <c r="B509" s="2" t="str">
        <f>VLOOKUP($A509,'[1]daily coal, energy reqd'!$C$2:$T$599,17,FALSE)</f>
        <v>Uttar Pradesh</v>
      </c>
      <c r="C509" s="2" t="str">
        <f>VLOOKUP(B509,'Target PLF'!$I$2:$J$19,2,FALSE)</f>
        <v>NR</v>
      </c>
      <c r="D509" s="2" t="s">
        <v>572</v>
      </c>
      <c r="E509" s="2" t="s">
        <v>543</v>
      </c>
      <c r="F509" s="12">
        <v>8.1752224503764506</v>
      </c>
      <c r="G509" s="2">
        <v>45</v>
      </c>
      <c r="H509">
        <f>VLOOKUP(A509,'Coal savings'!$A$3:$AB$543,26,FALSE)</f>
        <v>0</v>
      </c>
      <c r="O509" s="2" t="s">
        <v>334</v>
      </c>
      <c r="AH509" s="2" t="str">
        <f t="shared" si="156"/>
        <v/>
      </c>
      <c r="AI509" s="2"/>
      <c r="AJ509" s="2" t="str">
        <f t="shared" si="154"/>
        <v/>
      </c>
      <c r="AK509" s="12">
        <f t="shared" si="155"/>
        <v>4.1752224503764506</v>
      </c>
      <c r="AL509" s="2" t="s">
        <v>572</v>
      </c>
      <c r="AM509" s="2" t="str">
        <f>VLOOKUP(A509,'[12]Power plant names'!$C$2:$F$545,4,FALSE)</f>
        <v>Sub critical</v>
      </c>
      <c r="AN509" s="2">
        <v>45</v>
      </c>
      <c r="AO509" s="2">
        <f t="shared" si="157"/>
        <v>1.0033202878165641</v>
      </c>
      <c r="AP509" s="2">
        <v>41</v>
      </c>
      <c r="AQ509" s="2">
        <f t="shared" si="158"/>
        <v>4</v>
      </c>
      <c r="AR509" s="2">
        <f t="shared" si="159"/>
        <v>41.136131800479127</v>
      </c>
      <c r="AS509" s="2">
        <f t="shared" si="160"/>
        <v>4.0132811512662565</v>
      </c>
      <c r="AU509" s="2"/>
      <c r="AV509" s="2" t="str">
        <f t="shared" si="161"/>
        <v/>
      </c>
      <c r="AW509" s="12">
        <f t="shared" si="162"/>
        <v>8.1752224503764506</v>
      </c>
      <c r="AX509" s="2">
        <v>45</v>
      </c>
      <c r="AY509" s="3">
        <f t="shared" si="163"/>
        <v>1.2449394139630392</v>
      </c>
      <c r="AZ509" s="2">
        <f t="shared" si="164"/>
        <v>51.042515972484608</v>
      </c>
      <c r="BA509" s="2">
        <f t="shared" si="165"/>
        <v>4.9797576558521568</v>
      </c>
      <c r="BC509" t="str">
        <f t="shared" si="166"/>
        <v/>
      </c>
      <c r="BE509">
        <f t="shared" si="167"/>
        <v>1.4273145995893226</v>
      </c>
      <c r="BF509">
        <f t="shared" si="168"/>
        <v>58.519898583162224</v>
      </c>
      <c r="BG509">
        <f t="shared" si="169"/>
        <v>5.7092583983572904</v>
      </c>
    </row>
    <row r="510" spans="1:59" ht="14.5" customHeight="1" x14ac:dyDescent="0.2">
      <c r="A510" s="2" t="s">
        <v>157</v>
      </c>
      <c r="B510" s="2" t="str">
        <f>VLOOKUP($A510,'[1]daily coal, energy reqd'!$C$2:$T$599,17,FALSE)</f>
        <v>Tamil Nadu</v>
      </c>
      <c r="C510" s="2" t="str">
        <f>VLOOKUP(B510,'Target PLF'!$I$2:$J$19,2,FALSE)</f>
        <v>SR</v>
      </c>
      <c r="D510" s="2" t="s">
        <v>571</v>
      </c>
      <c r="E510" s="2" t="s">
        <v>543</v>
      </c>
      <c r="F510" s="12">
        <v>8.1752224503764506</v>
      </c>
      <c r="G510" s="2">
        <v>500</v>
      </c>
      <c r="H510">
        <f>VLOOKUP(A510,'Coal savings'!$A$3:$AB$543,26,FALSE)</f>
        <v>2423389.4548219559</v>
      </c>
      <c r="I510" t="s">
        <v>694</v>
      </c>
      <c r="J510">
        <f>1847.66/3</f>
        <v>615.88666666666666</v>
      </c>
      <c r="O510" s="2" t="s">
        <v>157</v>
      </c>
      <c r="P510">
        <v>2019</v>
      </c>
      <c r="Q510" s="96">
        <v>92.56</v>
      </c>
      <c r="R510" s="96" t="s">
        <v>614</v>
      </c>
      <c r="S510" s="96">
        <v>112.95</v>
      </c>
      <c r="AH510" s="2" t="str">
        <f t="shared" si="156"/>
        <v>2019</v>
      </c>
      <c r="AI510" s="2">
        <f t="shared" ref="AI510:AI525" si="175">(J510)/(1+0.115)^(AH510-2016)</f>
        <v>444.29988414636324</v>
      </c>
      <c r="AJ510" s="2">
        <f t="shared" si="154"/>
        <v>0.88859976829272647</v>
      </c>
      <c r="AK510" s="12">
        <f t="shared" si="155"/>
        <v>4.1752224503764506</v>
      </c>
      <c r="AL510" s="2" t="s">
        <v>571</v>
      </c>
      <c r="AM510" s="2" t="str">
        <f>VLOOKUP(A510,'[12]Power plant names'!$C$2:$F$545,4,FALSE)</f>
        <v>Sub critical</v>
      </c>
      <c r="AN510" s="2">
        <v>500</v>
      </c>
      <c r="AO510" s="2">
        <f t="shared" si="157"/>
        <v>0.88859976829272647</v>
      </c>
      <c r="AP510" s="2">
        <v>500</v>
      </c>
      <c r="AQ510" s="2">
        <f t="shared" si="158"/>
        <v>0</v>
      </c>
      <c r="AR510" s="2">
        <f t="shared" si="159"/>
        <v>444.29988414636324</v>
      </c>
      <c r="AS510" s="2">
        <f t="shared" si="160"/>
        <v>0</v>
      </c>
      <c r="AU510" s="2">
        <f t="shared" si="171"/>
        <v>615.88666666666666</v>
      </c>
      <c r="AV510" s="2">
        <f t="shared" si="161"/>
        <v>1.2317733333333334</v>
      </c>
      <c r="AW510" s="12">
        <f t="shared" si="162"/>
        <v>7.1752224503764506</v>
      </c>
      <c r="AX510" s="2">
        <v>500</v>
      </c>
      <c r="AY510" s="3">
        <f t="shared" si="163"/>
        <v>1.2317733333333334</v>
      </c>
      <c r="AZ510" s="2">
        <f t="shared" si="164"/>
        <v>615.88666666666666</v>
      </c>
      <c r="BA510" s="2">
        <f t="shared" si="165"/>
        <v>0</v>
      </c>
      <c r="BC510">
        <f t="shared" si="166"/>
        <v>686.71363333333329</v>
      </c>
      <c r="BD510">
        <f t="shared" si="172"/>
        <v>1.3734272666666665</v>
      </c>
      <c r="BE510">
        <f t="shared" si="167"/>
        <v>1.3734272666666665</v>
      </c>
      <c r="BF510">
        <f t="shared" si="168"/>
        <v>686.71363333333329</v>
      </c>
      <c r="BG510">
        <f t="shared" si="169"/>
        <v>0</v>
      </c>
    </row>
    <row r="511" spans="1:59" ht="14.5" customHeight="1" x14ac:dyDescent="0.2">
      <c r="A511" s="2" t="s">
        <v>146</v>
      </c>
      <c r="B511" s="2" t="str">
        <f>VLOOKUP($A511,'[1]daily coal, energy reqd'!$C$2:$T$599,17,FALSE)</f>
        <v>Tamil Nadu</v>
      </c>
      <c r="C511" s="2" t="str">
        <f>VLOOKUP(B511,'Target PLF'!$I$2:$J$19,2,FALSE)</f>
        <v>SR</v>
      </c>
      <c r="D511" s="2" t="s">
        <v>571</v>
      </c>
      <c r="E511" s="2" t="s">
        <v>543</v>
      </c>
      <c r="F511" s="12">
        <v>7.2525667351129304</v>
      </c>
      <c r="G511" s="2">
        <v>500</v>
      </c>
      <c r="H511">
        <f>VLOOKUP(A511,'Coal savings'!$A$3:$AB$543,26,FALSE)</f>
        <v>2417146.2976555573</v>
      </c>
      <c r="I511" t="s">
        <v>694</v>
      </c>
      <c r="J511">
        <f>1847.66/3</f>
        <v>615.88666666666666</v>
      </c>
      <c r="O511" s="2" t="s">
        <v>146</v>
      </c>
      <c r="Q511" s="96"/>
      <c r="R511" s="96"/>
      <c r="S511" s="96"/>
      <c r="AH511" s="2" t="str">
        <f t="shared" si="156"/>
        <v>2019</v>
      </c>
      <c r="AI511" s="2">
        <f t="shared" si="175"/>
        <v>444.29988414636324</v>
      </c>
      <c r="AJ511" s="2">
        <f t="shared" si="154"/>
        <v>0.88859976829272647</v>
      </c>
      <c r="AK511" s="12">
        <f t="shared" si="155"/>
        <v>3.2525667351129304</v>
      </c>
      <c r="AL511" s="2" t="s">
        <v>571</v>
      </c>
      <c r="AM511" s="2" t="str">
        <f>VLOOKUP(A511,'[12]Power plant names'!$C$2:$F$545,4,FALSE)</f>
        <v>Sub critical</v>
      </c>
      <c r="AN511" s="2">
        <v>500</v>
      </c>
      <c r="AO511" s="2">
        <f t="shared" si="157"/>
        <v>0.88859976829272647</v>
      </c>
      <c r="AP511" s="2">
        <v>500</v>
      </c>
      <c r="AQ511" s="2">
        <f t="shared" si="158"/>
        <v>0</v>
      </c>
      <c r="AR511" s="2">
        <f t="shared" si="159"/>
        <v>444.29988414636324</v>
      </c>
      <c r="AS511" s="2">
        <f t="shared" si="160"/>
        <v>0</v>
      </c>
      <c r="AU511" s="2">
        <f t="shared" si="171"/>
        <v>615.88666666666666</v>
      </c>
      <c r="AV511" s="2">
        <f t="shared" si="161"/>
        <v>1.2317733333333334</v>
      </c>
      <c r="AW511" s="12">
        <f t="shared" si="162"/>
        <v>6.2525667351129304</v>
      </c>
      <c r="AX511" s="2">
        <v>500</v>
      </c>
      <c r="AY511" s="3">
        <f t="shared" si="163"/>
        <v>1.2317733333333334</v>
      </c>
      <c r="AZ511" s="2">
        <f t="shared" si="164"/>
        <v>615.88666666666666</v>
      </c>
      <c r="BA511" s="2">
        <f t="shared" si="165"/>
        <v>0</v>
      </c>
      <c r="BC511">
        <f t="shared" si="166"/>
        <v>686.71363333333329</v>
      </c>
      <c r="BD511">
        <f t="shared" si="172"/>
        <v>1.3734272666666665</v>
      </c>
      <c r="BE511">
        <f t="shared" si="167"/>
        <v>1.3734272666666665</v>
      </c>
      <c r="BF511">
        <f t="shared" si="168"/>
        <v>686.71363333333329</v>
      </c>
      <c r="BG511">
        <f t="shared" si="169"/>
        <v>0</v>
      </c>
    </row>
    <row r="512" spans="1:59" ht="14.5" customHeight="1" x14ac:dyDescent="0.2">
      <c r="A512" s="2" t="s">
        <v>138</v>
      </c>
      <c r="B512" s="2" t="str">
        <f>VLOOKUP($A512,'[1]daily coal, energy reqd'!$C$2:$T$599,17,FALSE)</f>
        <v>Tamil Nadu</v>
      </c>
      <c r="C512" s="2" t="str">
        <f>VLOOKUP(B512,'Target PLF'!$I$2:$J$19,2,FALSE)</f>
        <v>SR</v>
      </c>
      <c r="D512" s="2" t="s">
        <v>571</v>
      </c>
      <c r="E512" s="2" t="s">
        <v>543</v>
      </c>
      <c r="F512" s="12">
        <v>6.2532511978097096</v>
      </c>
      <c r="G512" s="2">
        <v>500</v>
      </c>
      <c r="H512">
        <f>VLOOKUP(A512,'Coal savings'!$A$3:$AB$543,26,FALSE)</f>
        <v>2410384.4211993683</v>
      </c>
      <c r="I512" t="s">
        <v>694</v>
      </c>
      <c r="J512">
        <f>1847.66/3</f>
        <v>615.88666666666666</v>
      </c>
      <c r="O512" s="2" t="s">
        <v>138</v>
      </c>
      <c r="Q512" s="96"/>
      <c r="R512" s="96"/>
      <c r="S512" s="96"/>
      <c r="AH512" s="2" t="str">
        <f t="shared" si="156"/>
        <v>2019</v>
      </c>
      <c r="AI512" s="2">
        <f t="shared" si="175"/>
        <v>444.29988414636324</v>
      </c>
      <c r="AJ512" s="2">
        <f t="shared" si="154"/>
        <v>0.88859976829272647</v>
      </c>
      <c r="AK512" s="12">
        <f t="shared" si="155"/>
        <v>2.2532511978097096</v>
      </c>
      <c r="AL512" s="2" t="s">
        <v>571</v>
      </c>
      <c r="AM512" s="2" t="str">
        <f>VLOOKUP(A512,'[12]Power plant names'!$C$2:$F$545,4,FALSE)</f>
        <v>Sub critical</v>
      </c>
      <c r="AN512" s="2">
        <v>500</v>
      </c>
      <c r="AO512" s="2">
        <f t="shared" si="157"/>
        <v>0.88859976829272647</v>
      </c>
      <c r="AP512" s="2">
        <v>500</v>
      </c>
      <c r="AQ512" s="2">
        <f t="shared" si="158"/>
        <v>0</v>
      </c>
      <c r="AR512" s="2">
        <f t="shared" si="159"/>
        <v>444.29988414636324</v>
      </c>
      <c r="AS512" s="2">
        <f t="shared" si="160"/>
        <v>0</v>
      </c>
      <c r="AU512" s="2">
        <f t="shared" si="171"/>
        <v>615.88666666666666</v>
      </c>
      <c r="AV512" s="2">
        <f t="shared" si="161"/>
        <v>1.2317733333333334</v>
      </c>
      <c r="AW512" s="12">
        <f t="shared" si="162"/>
        <v>5.2532511978097096</v>
      </c>
      <c r="AX512" s="2">
        <v>500</v>
      </c>
      <c r="AY512" s="3">
        <f t="shared" si="163"/>
        <v>1.2317733333333334</v>
      </c>
      <c r="AZ512" s="2">
        <f t="shared" si="164"/>
        <v>615.88666666666666</v>
      </c>
      <c r="BA512" s="2">
        <f t="shared" si="165"/>
        <v>0</v>
      </c>
      <c r="BC512">
        <f t="shared" si="166"/>
        <v>686.71363333333329</v>
      </c>
      <c r="BD512">
        <f t="shared" si="172"/>
        <v>1.3734272666666665</v>
      </c>
      <c r="BE512">
        <f t="shared" si="167"/>
        <v>1.3734272666666665</v>
      </c>
      <c r="BF512">
        <f t="shared" si="168"/>
        <v>686.71363333333329</v>
      </c>
      <c r="BG512">
        <f t="shared" si="169"/>
        <v>0</v>
      </c>
    </row>
    <row r="513" spans="1:59" hidden="1" x14ac:dyDescent="0.2">
      <c r="A513" s="2" t="s">
        <v>449</v>
      </c>
      <c r="B513" s="2" t="str">
        <f>VLOOKUP($A513,'[1]daily coal, energy reqd'!$C$2:$T$599,17,FALSE)</f>
        <v>Madhya Pradesh</v>
      </c>
      <c r="C513" s="2" t="str">
        <f>VLOOKUP(B513,'Target PLF'!$I$2:$J$19,2,FALSE)</f>
        <v>WR</v>
      </c>
      <c r="D513" s="2" t="s">
        <v>571</v>
      </c>
      <c r="E513" s="2" t="s">
        <v>548</v>
      </c>
      <c r="F513" s="12">
        <v>32.591375770020498</v>
      </c>
      <c r="G513" s="2">
        <v>210</v>
      </c>
      <c r="H513">
        <f>VLOOKUP(A513,'Coal savings'!$A$3:$AB$543,26,FALSE)</f>
        <v>0</v>
      </c>
      <c r="I513" t="s">
        <v>694</v>
      </c>
      <c r="J513">
        <v>122.05</v>
      </c>
      <c r="O513" s="2" t="s">
        <v>449</v>
      </c>
      <c r="P513">
        <v>2019</v>
      </c>
      <c r="Q513" s="96">
        <v>196.63</v>
      </c>
      <c r="R513" s="96" t="s">
        <v>611</v>
      </c>
      <c r="S513" s="96"/>
      <c r="T513">
        <f>21.9-T518</f>
        <v>3.6499999999999986</v>
      </c>
      <c r="U513" t="s">
        <v>681</v>
      </c>
      <c r="AH513" s="2" t="str">
        <f t="shared" si="156"/>
        <v>2019</v>
      </c>
      <c r="AI513" s="2">
        <f t="shared" si="175"/>
        <v>88.046719948578684</v>
      </c>
      <c r="AJ513" s="2">
        <f t="shared" si="154"/>
        <v>0.41927009499323181</v>
      </c>
      <c r="AK513" s="12">
        <f t="shared" si="155"/>
        <v>28.591375770020498</v>
      </c>
      <c r="AL513" s="2" t="s">
        <v>571</v>
      </c>
      <c r="AM513" s="2" t="str">
        <f>VLOOKUP(A513,'[12]Power plant names'!$C$2:$F$545,4,FALSE)</f>
        <v>Sub critical</v>
      </c>
      <c r="AN513" s="2">
        <v>210</v>
      </c>
      <c r="AO513" s="2">
        <f t="shared" si="157"/>
        <v>0.41927009499323181</v>
      </c>
      <c r="AP513" s="2">
        <v>210</v>
      </c>
      <c r="AQ513" s="2">
        <f t="shared" si="158"/>
        <v>0</v>
      </c>
      <c r="AR513" s="2">
        <f t="shared" si="159"/>
        <v>88.046719948578684</v>
      </c>
      <c r="AS513" s="2">
        <f t="shared" si="160"/>
        <v>0</v>
      </c>
      <c r="AU513" s="2">
        <f t="shared" si="171"/>
        <v>122.05</v>
      </c>
      <c r="AV513" s="2">
        <f t="shared" si="161"/>
        <v>0.58119047619047615</v>
      </c>
      <c r="AW513" s="12">
        <f t="shared" si="162"/>
        <v>31.591375770020498</v>
      </c>
      <c r="AX513" s="2">
        <v>210</v>
      </c>
      <c r="AY513" s="3">
        <f t="shared" si="163"/>
        <v>0.58119047619047615</v>
      </c>
      <c r="AZ513" s="2">
        <f t="shared" si="164"/>
        <v>122.05</v>
      </c>
      <c r="BA513" s="2">
        <f t="shared" si="165"/>
        <v>0</v>
      </c>
      <c r="BC513">
        <f t="shared" si="166"/>
        <v>136.08574999999999</v>
      </c>
      <c r="BD513">
        <f t="shared" si="172"/>
        <v>0.64802738095238088</v>
      </c>
      <c r="BE513">
        <f t="shared" si="167"/>
        <v>0.64802738095238088</v>
      </c>
      <c r="BF513">
        <f t="shared" si="168"/>
        <v>136.08574999999999</v>
      </c>
      <c r="BG513">
        <f t="shared" si="169"/>
        <v>0</v>
      </c>
    </row>
    <row r="514" spans="1:59" x14ac:dyDescent="0.2">
      <c r="A514" s="2" t="s">
        <v>190</v>
      </c>
      <c r="B514" s="2" t="str">
        <f>VLOOKUP($A514,'[1]daily coal, energy reqd'!$C$2:$T$599,17,FALSE)</f>
        <v>Madhya Pradesh</v>
      </c>
      <c r="C514" s="2" t="str">
        <f>VLOOKUP(B514,'Target PLF'!$I$2:$J$19,2,FALSE)</f>
        <v>WR</v>
      </c>
      <c r="D514" s="2" t="s">
        <v>571</v>
      </c>
      <c r="E514" s="2" t="s">
        <v>544</v>
      </c>
      <c r="F514" s="12">
        <v>13.1772758384668</v>
      </c>
      <c r="G514" s="2">
        <v>500</v>
      </c>
      <c r="H514">
        <f>VLOOKUP(A514,'Coal savings'!$A$3:$AB$543,26,FALSE)</f>
        <v>2197519.726865964</v>
      </c>
      <c r="I514" t="s">
        <v>694</v>
      </c>
      <c r="J514">
        <f>736.32/2</f>
        <v>368.16</v>
      </c>
      <c r="O514" s="2" t="s">
        <v>190</v>
      </c>
      <c r="Q514" s="96"/>
      <c r="R514" s="96"/>
      <c r="S514" s="96"/>
      <c r="T514">
        <v>4.42</v>
      </c>
      <c r="U514" t="s">
        <v>681</v>
      </c>
      <c r="AH514" s="2" t="str">
        <f t="shared" si="156"/>
        <v>2019</v>
      </c>
      <c r="AI514" s="2">
        <f t="shared" si="175"/>
        <v>265.59017137459017</v>
      </c>
      <c r="AJ514" s="2">
        <f t="shared" ref="AJ514:AJ542" si="176">IF(AI514/G514=0,"",AI514/G514)</f>
        <v>0.53118034274918036</v>
      </c>
      <c r="AK514" s="12">
        <f t="shared" ref="AK514:AK542" si="177">IF(F514-4&lt;0,1,F514-4)</f>
        <v>9.1772758384667998</v>
      </c>
      <c r="AL514" s="2" t="s">
        <v>571</v>
      </c>
      <c r="AM514" s="2" t="str">
        <f>VLOOKUP(A514,'[12]Power plant names'!$C$2:$F$545,4,FALSE)</f>
        <v>Sub critical</v>
      </c>
      <c r="AN514" s="2">
        <v>500</v>
      </c>
      <c r="AO514" s="2">
        <f t="shared" si="157"/>
        <v>0.53118034274918036</v>
      </c>
      <c r="AP514" s="2">
        <v>500</v>
      </c>
      <c r="AQ514" s="2">
        <f t="shared" si="158"/>
        <v>0</v>
      </c>
      <c r="AR514" s="2">
        <f t="shared" si="159"/>
        <v>265.59017137459017</v>
      </c>
      <c r="AS514" s="2">
        <f t="shared" si="160"/>
        <v>0</v>
      </c>
      <c r="AU514" s="2">
        <f t="shared" si="171"/>
        <v>368.15999999999997</v>
      </c>
      <c r="AV514" s="2">
        <f t="shared" si="161"/>
        <v>0.73631999999999997</v>
      </c>
      <c r="AW514" s="12">
        <f t="shared" si="162"/>
        <v>12.1772758384668</v>
      </c>
      <c r="AX514" s="2">
        <v>500</v>
      </c>
      <c r="AY514" s="3">
        <f t="shared" si="163"/>
        <v>0.73631999999999997</v>
      </c>
      <c r="AZ514" s="2">
        <f t="shared" si="164"/>
        <v>368.15999999999997</v>
      </c>
      <c r="BA514" s="2">
        <f t="shared" si="165"/>
        <v>0</v>
      </c>
      <c r="BC514">
        <f t="shared" si="166"/>
        <v>410.49839999999995</v>
      </c>
      <c r="BD514">
        <f t="shared" si="172"/>
        <v>0.82099679999999986</v>
      </c>
      <c r="BE514">
        <f t="shared" si="167"/>
        <v>0.82099679999999986</v>
      </c>
      <c r="BF514">
        <f t="shared" si="168"/>
        <v>410.49839999999995</v>
      </c>
      <c r="BG514">
        <f t="shared" si="169"/>
        <v>0</v>
      </c>
    </row>
    <row r="515" spans="1:59" x14ac:dyDescent="0.2">
      <c r="A515" s="2" t="s">
        <v>149</v>
      </c>
      <c r="B515" s="2" t="str">
        <f>VLOOKUP($A515,'[1]daily coal, energy reqd'!$C$2:$T$599,17,FALSE)</f>
        <v>Madhya Pradesh</v>
      </c>
      <c r="C515" s="2" t="str">
        <f>VLOOKUP(B515,'Target PLF'!$I$2:$J$19,2,FALSE)</f>
        <v>WR</v>
      </c>
      <c r="D515" s="2" t="s">
        <v>571</v>
      </c>
      <c r="E515" s="2" t="s">
        <v>543</v>
      </c>
      <c r="F515" s="12">
        <v>7.9233401779603003</v>
      </c>
      <c r="G515" s="2">
        <v>500</v>
      </c>
      <c r="H515">
        <f>VLOOKUP(A515,'Coal savings'!$A$3:$AB$543,26,FALSE)</f>
        <v>2287457.927519422</v>
      </c>
      <c r="I515" t="s">
        <v>694</v>
      </c>
      <c r="J515">
        <f>1651.32/2</f>
        <v>825.66</v>
      </c>
      <c r="O515" s="2" t="s">
        <v>149</v>
      </c>
      <c r="Q515" s="96"/>
      <c r="R515" s="96"/>
      <c r="S515" s="96"/>
      <c r="T515" s="96">
        <v>15.47</v>
      </c>
      <c r="U515" s="96" t="s">
        <v>681</v>
      </c>
      <c r="AH515" s="2" t="str">
        <f t="shared" ref="AH515:AH542" si="178">RIGHT(I515,4)</f>
        <v>2019</v>
      </c>
      <c r="AI515" s="2">
        <f t="shared" si="175"/>
        <v>595.63010891227759</v>
      </c>
      <c r="AJ515" s="2">
        <f t="shared" si="176"/>
        <v>1.1912602178245553</v>
      </c>
      <c r="AK515" s="12">
        <f t="shared" si="177"/>
        <v>3.9233401779603003</v>
      </c>
      <c r="AL515" s="2" t="s">
        <v>571</v>
      </c>
      <c r="AM515" s="2" t="str">
        <f>VLOOKUP(A515,'[12]Power plant names'!$C$2:$F$545,4,FALSE)</f>
        <v>Sub critical</v>
      </c>
      <c r="AN515" s="2">
        <v>500</v>
      </c>
      <c r="AO515" s="2">
        <f t="shared" ref="AO515:AO542" si="179">IF(AJ515="",((-0.0138556*AK515)+(-0.0004519*AN515)+1.081506),AJ515)</f>
        <v>1.1912602178245553</v>
      </c>
      <c r="AP515" s="2">
        <v>500</v>
      </c>
      <c r="AQ515" s="2">
        <f t="shared" ref="AQ515:AQ542" si="180">G515-AP515</f>
        <v>0</v>
      </c>
      <c r="AR515" s="2">
        <f t="shared" ref="AR515:AR542" si="181">AP515*AO515</f>
        <v>595.63010891227759</v>
      </c>
      <c r="AS515" s="2">
        <f t="shared" ref="AS515:AS542" si="182">AQ515*AO515</f>
        <v>0</v>
      </c>
      <c r="AU515" s="2">
        <f t="shared" ref="AU515:AU534" si="183">AI515*(1.115)^(AH515-2016)</f>
        <v>825.66</v>
      </c>
      <c r="AV515" s="2">
        <f t="shared" ref="AV515:AV542" si="184">IF(AU515/AN515=0,"",AU515/AN515)</f>
        <v>1.6513199999999999</v>
      </c>
      <c r="AW515" s="12">
        <f t="shared" ref="AW515:AW542" si="185">(F515-IF(AH515="",0,(2020-AH515)))</f>
        <v>6.9233401779603003</v>
      </c>
      <c r="AX515" s="2">
        <v>500</v>
      </c>
      <c r="AY515" s="3">
        <f t="shared" ref="AY515:AY542" si="186">IF(AV515="",(( -0.0181323 *AW515)+(-0.0005584 *AN515)+  1.418303),AV515)</f>
        <v>1.6513199999999999</v>
      </c>
      <c r="AZ515" s="2">
        <f t="shared" ref="AZ515:AZ542" si="187">AY515*AP515</f>
        <v>825.66</v>
      </c>
      <c r="BA515" s="2">
        <f t="shared" ref="BA515:BA542" si="188">AY515*AQ515</f>
        <v>0</v>
      </c>
      <c r="BC515">
        <f t="shared" ref="BC515:BC542" si="189">IF(AU515="","",(AU515)*(1+0.115)^(2020-AH515))</f>
        <v>920.6108999999999</v>
      </c>
      <c r="BD515">
        <f t="shared" ref="BD515:BD534" si="190">BC515/AN515</f>
        <v>1.8412217999999998</v>
      </c>
      <c r="BE515">
        <f t="shared" ref="BE515:BE542" si="191">IF(BD515="",(-0.0215235 *AW515)+(-0.0007022*AX515)+1.634873,BD515)</f>
        <v>1.8412217999999998</v>
      </c>
      <c r="BF515">
        <f t="shared" ref="BF515:BF542" si="192">BE515*AP515</f>
        <v>920.6108999999999</v>
      </c>
      <c r="BG515">
        <f t="shared" ref="BG515:BG542" si="193">BE515*AQ515</f>
        <v>0</v>
      </c>
    </row>
    <row r="516" spans="1:59" x14ac:dyDescent="0.2">
      <c r="A516" s="2" t="s">
        <v>143</v>
      </c>
      <c r="B516" s="2" t="str">
        <f>VLOOKUP($A516,'[1]daily coal, energy reqd'!$C$2:$T$599,17,FALSE)</f>
        <v>Madhya Pradesh</v>
      </c>
      <c r="C516" s="2" t="str">
        <f>VLOOKUP(B516,'Target PLF'!$I$2:$J$19,2,FALSE)</f>
        <v>WR</v>
      </c>
      <c r="D516" s="2" t="s">
        <v>571</v>
      </c>
      <c r="E516" s="2" t="s">
        <v>543</v>
      </c>
      <c r="F516" s="12">
        <v>7.1759069130732298</v>
      </c>
      <c r="G516" s="2">
        <v>500</v>
      </c>
      <c r="H516">
        <f>VLOOKUP(A516,'Coal savings'!$A$3:$AB$543,26,FALSE)</f>
        <v>2282680.7381074461</v>
      </c>
      <c r="I516" t="s">
        <v>694</v>
      </c>
      <c r="J516">
        <f>1651.32/2</f>
        <v>825.66</v>
      </c>
      <c r="O516" s="2" t="s">
        <v>143</v>
      </c>
      <c r="Q516" s="96"/>
      <c r="R516" s="96"/>
      <c r="S516" s="96"/>
      <c r="T516" s="96"/>
      <c r="U516" s="96"/>
      <c r="AH516" s="2" t="str">
        <f t="shared" si="178"/>
        <v>2019</v>
      </c>
      <c r="AI516" s="2">
        <f t="shared" si="175"/>
        <v>595.63010891227759</v>
      </c>
      <c r="AJ516" s="2">
        <f t="shared" si="176"/>
        <v>1.1912602178245553</v>
      </c>
      <c r="AK516" s="12">
        <f t="shared" si="177"/>
        <v>3.1759069130732298</v>
      </c>
      <c r="AL516" s="2" t="s">
        <v>571</v>
      </c>
      <c r="AM516" s="2" t="str">
        <f>VLOOKUP(A516,'[12]Power plant names'!$C$2:$F$545,4,FALSE)</f>
        <v>Sub critical</v>
      </c>
      <c r="AN516" s="2">
        <v>500</v>
      </c>
      <c r="AO516" s="2">
        <f t="shared" si="179"/>
        <v>1.1912602178245553</v>
      </c>
      <c r="AP516" s="2">
        <v>500</v>
      </c>
      <c r="AQ516" s="2">
        <f t="shared" si="180"/>
        <v>0</v>
      </c>
      <c r="AR516" s="2">
        <f t="shared" si="181"/>
        <v>595.63010891227759</v>
      </c>
      <c r="AS516" s="2">
        <f t="shared" si="182"/>
        <v>0</v>
      </c>
      <c r="AU516" s="2">
        <f t="shared" si="183"/>
        <v>825.66</v>
      </c>
      <c r="AV516" s="2">
        <f t="shared" si="184"/>
        <v>1.6513199999999999</v>
      </c>
      <c r="AW516" s="12">
        <f t="shared" si="185"/>
        <v>6.1759069130732298</v>
      </c>
      <c r="AX516" s="2">
        <v>500</v>
      </c>
      <c r="AY516" s="3">
        <f t="shared" si="186"/>
        <v>1.6513199999999999</v>
      </c>
      <c r="AZ516" s="2">
        <f t="shared" si="187"/>
        <v>825.66</v>
      </c>
      <c r="BA516" s="2">
        <f t="shared" si="188"/>
        <v>0</v>
      </c>
      <c r="BC516">
        <f t="shared" si="189"/>
        <v>920.6108999999999</v>
      </c>
      <c r="BD516">
        <f t="shared" si="190"/>
        <v>1.8412217999999998</v>
      </c>
      <c r="BE516">
        <f t="shared" si="191"/>
        <v>1.8412217999999998</v>
      </c>
      <c r="BF516">
        <f t="shared" si="192"/>
        <v>920.6108999999999</v>
      </c>
      <c r="BG516">
        <f t="shared" si="193"/>
        <v>0</v>
      </c>
    </row>
    <row r="517" spans="1:59" x14ac:dyDescent="0.2">
      <c r="A517" s="2" t="s">
        <v>129</v>
      </c>
      <c r="B517" s="2" t="str">
        <f>VLOOKUP($A517,'[1]daily coal, energy reqd'!$C$2:$T$599,17,FALSE)</f>
        <v>Madhya Pradesh</v>
      </c>
      <c r="C517" s="2" t="str">
        <f>VLOOKUP(B517,'Target PLF'!$I$2:$J$19,2,FALSE)</f>
        <v>WR</v>
      </c>
      <c r="D517" s="2" t="s">
        <v>571</v>
      </c>
      <c r="E517" s="2" t="s">
        <v>542</v>
      </c>
      <c r="F517" s="12">
        <v>4.7583846680355899</v>
      </c>
      <c r="G517" s="2">
        <v>500</v>
      </c>
      <c r="H517">
        <f>VLOOKUP(A517,'Coal savings'!$A$3:$AB$543,26,FALSE)</f>
        <v>2267229.2426833636</v>
      </c>
      <c r="I517" t="s">
        <v>694</v>
      </c>
      <c r="J517">
        <v>583.39</v>
      </c>
      <c r="O517" s="2" t="s">
        <v>129</v>
      </c>
      <c r="Q517" s="96"/>
      <c r="R517" s="96"/>
      <c r="S517" s="96"/>
      <c r="T517">
        <v>7.7</v>
      </c>
      <c r="U517" t="s">
        <v>681</v>
      </c>
      <c r="AH517" s="2" t="str">
        <f t="shared" si="178"/>
        <v>2019</v>
      </c>
      <c r="AI517" s="2">
        <f t="shared" si="175"/>
        <v>420.85682876527096</v>
      </c>
      <c r="AJ517" s="2">
        <f t="shared" si="176"/>
        <v>0.84171365753054195</v>
      </c>
      <c r="AK517" s="12">
        <f t="shared" si="177"/>
        <v>0.7583846680355899</v>
      </c>
      <c r="AL517" s="2" t="s">
        <v>571</v>
      </c>
      <c r="AM517" s="2" t="str">
        <f>VLOOKUP(A517,'[12]Power plant names'!$C$2:$F$545,4,FALSE)</f>
        <v>Sub critical</v>
      </c>
      <c r="AN517" s="2">
        <v>500</v>
      </c>
      <c r="AO517" s="2">
        <f t="shared" si="179"/>
        <v>0.84171365753054195</v>
      </c>
      <c r="AP517" s="2">
        <v>500</v>
      </c>
      <c r="AQ517" s="2">
        <f t="shared" si="180"/>
        <v>0</v>
      </c>
      <c r="AR517" s="2">
        <f t="shared" si="181"/>
        <v>420.85682876527096</v>
      </c>
      <c r="AS517" s="2">
        <f t="shared" si="182"/>
        <v>0</v>
      </c>
      <c r="AU517" s="2">
        <f t="shared" si="183"/>
        <v>583.39</v>
      </c>
      <c r="AV517" s="2">
        <f t="shared" si="184"/>
        <v>1.1667799999999999</v>
      </c>
      <c r="AW517" s="12">
        <f t="shared" si="185"/>
        <v>3.7583846680355899</v>
      </c>
      <c r="AX517" s="2">
        <v>500</v>
      </c>
      <c r="AY517" s="3">
        <f t="shared" si="186"/>
        <v>1.1667799999999999</v>
      </c>
      <c r="AZ517" s="2">
        <f t="shared" si="187"/>
        <v>583.39</v>
      </c>
      <c r="BA517" s="2">
        <f t="shared" si="188"/>
        <v>0</v>
      </c>
      <c r="BC517">
        <f t="shared" si="189"/>
        <v>650.47984999999994</v>
      </c>
      <c r="BD517">
        <f t="shared" si="190"/>
        <v>1.3009596999999999</v>
      </c>
      <c r="BE517">
        <f t="shared" si="191"/>
        <v>1.3009596999999999</v>
      </c>
      <c r="BF517">
        <f t="shared" si="192"/>
        <v>650.47984999999994</v>
      </c>
      <c r="BG517">
        <f t="shared" si="193"/>
        <v>0</v>
      </c>
    </row>
    <row r="518" spans="1:59" hidden="1" x14ac:dyDescent="0.2">
      <c r="A518" s="2" t="s">
        <v>444</v>
      </c>
      <c r="B518" s="2" t="str">
        <f>VLOOKUP($A518,'[1]daily coal, energy reqd'!$C$2:$T$599,17,FALSE)</f>
        <v>Madhya Pradesh</v>
      </c>
      <c r="C518" s="2" t="str">
        <f>VLOOKUP(B518,'Target PLF'!$I$2:$J$19,2,FALSE)</f>
        <v>WR</v>
      </c>
      <c r="D518" s="2" t="s">
        <v>571</v>
      </c>
      <c r="E518" s="2" t="s">
        <v>548</v>
      </c>
      <c r="F518" s="12">
        <v>31.841204654346299</v>
      </c>
      <c r="G518" s="2">
        <v>210</v>
      </c>
      <c r="H518">
        <f>VLOOKUP(A518,'Coal savings'!$A$3:$AB$543,26,FALSE)</f>
        <v>0</v>
      </c>
      <c r="I518" t="s">
        <v>694</v>
      </c>
      <c r="J518">
        <v>122.05</v>
      </c>
      <c r="O518" s="2" t="s">
        <v>444</v>
      </c>
      <c r="Q518" s="96"/>
      <c r="R518" s="96"/>
      <c r="S518" s="96"/>
      <c r="T518" s="96">
        <f>21.9-(21.9/6)</f>
        <v>18.25</v>
      </c>
      <c r="U518" s="96" t="s">
        <v>681</v>
      </c>
      <c r="V518" s="96"/>
      <c r="AH518" s="2" t="str">
        <f t="shared" si="178"/>
        <v>2019</v>
      </c>
      <c r="AI518" s="2">
        <f t="shared" si="175"/>
        <v>88.046719948578684</v>
      </c>
      <c r="AJ518" s="2">
        <f t="shared" si="176"/>
        <v>0.41927009499323181</v>
      </c>
      <c r="AK518" s="12">
        <f t="shared" si="177"/>
        <v>27.841204654346299</v>
      </c>
      <c r="AL518" s="2" t="s">
        <v>571</v>
      </c>
      <c r="AM518" s="2" t="str">
        <f>VLOOKUP(A518,'[12]Power plant names'!$C$2:$F$545,4,FALSE)</f>
        <v>Sub critical</v>
      </c>
      <c r="AN518" s="2">
        <v>210</v>
      </c>
      <c r="AO518" s="2">
        <f t="shared" si="179"/>
        <v>0.41927009499323181</v>
      </c>
      <c r="AP518" s="2">
        <v>210</v>
      </c>
      <c r="AQ518" s="2">
        <f t="shared" si="180"/>
        <v>0</v>
      </c>
      <c r="AR518" s="2">
        <f t="shared" si="181"/>
        <v>88.046719948578684</v>
      </c>
      <c r="AS518" s="2">
        <f t="shared" si="182"/>
        <v>0</v>
      </c>
      <c r="AU518" s="2">
        <f t="shared" si="183"/>
        <v>122.05</v>
      </c>
      <c r="AV518" s="2">
        <f t="shared" si="184"/>
        <v>0.58119047619047615</v>
      </c>
      <c r="AW518" s="12">
        <f t="shared" si="185"/>
        <v>30.841204654346299</v>
      </c>
      <c r="AX518" s="2">
        <v>210</v>
      </c>
      <c r="AY518" s="3">
        <f t="shared" si="186"/>
        <v>0.58119047619047615</v>
      </c>
      <c r="AZ518" s="2">
        <f t="shared" si="187"/>
        <v>122.05</v>
      </c>
      <c r="BA518" s="2">
        <f t="shared" si="188"/>
        <v>0</v>
      </c>
      <c r="BC518">
        <f t="shared" si="189"/>
        <v>136.08574999999999</v>
      </c>
      <c r="BD518">
        <f t="shared" si="190"/>
        <v>0.64802738095238088</v>
      </c>
      <c r="BE518">
        <f t="shared" si="191"/>
        <v>0.64802738095238088</v>
      </c>
      <c r="BF518">
        <f t="shared" si="192"/>
        <v>136.08574999999999</v>
      </c>
      <c r="BG518">
        <f t="shared" si="193"/>
        <v>0</v>
      </c>
    </row>
    <row r="519" spans="1:59" hidden="1" x14ac:dyDescent="0.2">
      <c r="A519" s="2" t="s">
        <v>440</v>
      </c>
      <c r="B519" s="2" t="str">
        <f>VLOOKUP($A519,'[1]daily coal, energy reqd'!$C$2:$T$599,17,FALSE)</f>
        <v>Madhya Pradesh</v>
      </c>
      <c r="C519" s="2" t="str">
        <f>VLOOKUP(B519,'Target PLF'!$I$2:$J$19,2,FALSE)</f>
        <v>WR</v>
      </c>
      <c r="D519" s="2" t="s">
        <v>571</v>
      </c>
      <c r="E519" s="2" t="s">
        <v>548</v>
      </c>
      <c r="F519" s="12">
        <v>31.2525667351129</v>
      </c>
      <c r="G519" s="2">
        <v>210</v>
      </c>
      <c r="H519">
        <f>VLOOKUP(A519,'Coal savings'!$A$3:$AB$543,26,FALSE)</f>
        <v>0</v>
      </c>
      <c r="I519" t="s">
        <v>694</v>
      </c>
      <c r="J519">
        <v>122.05</v>
      </c>
      <c r="O519" s="2" t="s">
        <v>440</v>
      </c>
      <c r="Q519" s="96"/>
      <c r="R519" s="96"/>
      <c r="S519" s="96"/>
      <c r="T519" s="96"/>
      <c r="U519" s="96"/>
      <c r="V519" s="96"/>
      <c r="AH519" s="2" t="str">
        <f t="shared" si="178"/>
        <v>2019</v>
      </c>
      <c r="AI519" s="2">
        <f t="shared" si="175"/>
        <v>88.046719948578684</v>
      </c>
      <c r="AJ519" s="2">
        <f t="shared" si="176"/>
        <v>0.41927009499323181</v>
      </c>
      <c r="AK519" s="12">
        <f t="shared" si="177"/>
        <v>27.2525667351129</v>
      </c>
      <c r="AL519" s="2" t="s">
        <v>571</v>
      </c>
      <c r="AM519" s="2" t="str">
        <f>VLOOKUP(A519,'[12]Power plant names'!$C$2:$F$545,4,FALSE)</f>
        <v>Sub critical</v>
      </c>
      <c r="AN519" s="2">
        <v>210</v>
      </c>
      <c r="AO519" s="2">
        <f t="shared" si="179"/>
        <v>0.41927009499323181</v>
      </c>
      <c r="AP519" s="2">
        <v>210</v>
      </c>
      <c r="AQ519" s="2">
        <f t="shared" si="180"/>
        <v>0</v>
      </c>
      <c r="AR519" s="2">
        <f t="shared" si="181"/>
        <v>88.046719948578684</v>
      </c>
      <c r="AS519" s="2">
        <f t="shared" si="182"/>
        <v>0</v>
      </c>
      <c r="AU519" s="2">
        <f t="shared" si="183"/>
        <v>122.05</v>
      </c>
      <c r="AV519" s="2">
        <f t="shared" si="184"/>
        <v>0.58119047619047615</v>
      </c>
      <c r="AW519" s="12">
        <f t="shared" si="185"/>
        <v>30.2525667351129</v>
      </c>
      <c r="AX519" s="2">
        <v>210</v>
      </c>
      <c r="AY519" s="3">
        <f t="shared" si="186"/>
        <v>0.58119047619047615</v>
      </c>
      <c r="AZ519" s="2">
        <f t="shared" si="187"/>
        <v>122.05</v>
      </c>
      <c r="BA519" s="2">
        <f t="shared" si="188"/>
        <v>0</v>
      </c>
      <c r="BC519">
        <f t="shared" si="189"/>
        <v>136.08574999999999</v>
      </c>
      <c r="BD519">
        <f t="shared" si="190"/>
        <v>0.64802738095238088</v>
      </c>
      <c r="BE519">
        <f t="shared" si="191"/>
        <v>0.64802738095238088</v>
      </c>
      <c r="BF519">
        <f t="shared" si="192"/>
        <v>136.08574999999999</v>
      </c>
      <c r="BG519">
        <f t="shared" si="193"/>
        <v>0</v>
      </c>
    </row>
    <row r="520" spans="1:59" hidden="1" x14ac:dyDescent="0.2">
      <c r="A520" s="2" t="s">
        <v>433</v>
      </c>
      <c r="B520" s="2" t="str">
        <f>VLOOKUP($A520,'[1]daily coal, energy reqd'!$C$2:$T$599,17,FALSE)</f>
        <v>Madhya Pradesh</v>
      </c>
      <c r="C520" s="2" t="str">
        <f>VLOOKUP(B520,'Target PLF'!$I$2:$J$19,2,FALSE)</f>
        <v>WR</v>
      </c>
      <c r="D520" s="2" t="s">
        <v>571</v>
      </c>
      <c r="E520" s="2" t="s">
        <v>548</v>
      </c>
      <c r="F520" s="12">
        <v>30.4229979466119</v>
      </c>
      <c r="G520" s="2">
        <v>210</v>
      </c>
      <c r="H520">
        <f>VLOOKUP(A520,'Coal savings'!$A$3:$AB$543,26,FALSE)</f>
        <v>0</v>
      </c>
      <c r="I520" t="s">
        <v>694</v>
      </c>
      <c r="J520">
        <v>122.05</v>
      </c>
      <c r="O520" s="2" t="s">
        <v>433</v>
      </c>
      <c r="Q520" s="96"/>
      <c r="R520" s="96"/>
      <c r="S520" s="96"/>
      <c r="T520" s="96"/>
      <c r="U520" s="96"/>
      <c r="V520" s="96"/>
      <c r="AH520" s="2" t="str">
        <f t="shared" si="178"/>
        <v>2019</v>
      </c>
      <c r="AI520" s="2">
        <f t="shared" si="175"/>
        <v>88.046719948578684</v>
      </c>
      <c r="AJ520" s="2">
        <f t="shared" si="176"/>
        <v>0.41927009499323181</v>
      </c>
      <c r="AK520" s="12">
        <f t="shared" si="177"/>
        <v>26.4229979466119</v>
      </c>
      <c r="AL520" s="2" t="s">
        <v>571</v>
      </c>
      <c r="AM520" s="2" t="str">
        <f>VLOOKUP(A520,'[12]Power plant names'!$C$2:$F$545,4,FALSE)</f>
        <v>Sub critical</v>
      </c>
      <c r="AN520" s="2">
        <v>210</v>
      </c>
      <c r="AO520" s="2">
        <f t="shared" si="179"/>
        <v>0.41927009499323181</v>
      </c>
      <c r="AP520" s="2">
        <v>210</v>
      </c>
      <c r="AQ520" s="2">
        <f t="shared" si="180"/>
        <v>0</v>
      </c>
      <c r="AR520" s="2">
        <f t="shared" si="181"/>
        <v>88.046719948578684</v>
      </c>
      <c r="AS520" s="2">
        <f t="shared" si="182"/>
        <v>0</v>
      </c>
      <c r="AU520" s="2">
        <f t="shared" si="183"/>
        <v>122.05</v>
      </c>
      <c r="AV520" s="2">
        <f t="shared" si="184"/>
        <v>0.58119047619047615</v>
      </c>
      <c r="AW520" s="12">
        <f t="shared" si="185"/>
        <v>29.4229979466119</v>
      </c>
      <c r="AX520" s="2">
        <v>210</v>
      </c>
      <c r="AY520" s="3">
        <f t="shared" si="186"/>
        <v>0.58119047619047615</v>
      </c>
      <c r="AZ520" s="2">
        <f t="shared" si="187"/>
        <v>122.05</v>
      </c>
      <c r="BA520" s="2">
        <f t="shared" si="188"/>
        <v>0</v>
      </c>
      <c r="BC520">
        <f t="shared" si="189"/>
        <v>136.08574999999999</v>
      </c>
      <c r="BD520">
        <f t="shared" si="190"/>
        <v>0.64802738095238088</v>
      </c>
      <c r="BE520">
        <f t="shared" si="191"/>
        <v>0.64802738095238088</v>
      </c>
      <c r="BF520">
        <f t="shared" si="192"/>
        <v>136.08574999999999</v>
      </c>
      <c r="BG520">
        <f t="shared" si="193"/>
        <v>0</v>
      </c>
    </row>
    <row r="521" spans="1:59" hidden="1" x14ac:dyDescent="0.2">
      <c r="A521" s="2" t="s">
        <v>431</v>
      </c>
      <c r="B521" s="2" t="str">
        <f>VLOOKUP($A521,'[1]daily coal, energy reqd'!$C$2:$T$599,17,FALSE)</f>
        <v>Madhya Pradesh</v>
      </c>
      <c r="C521" s="2" t="str">
        <f>VLOOKUP(B521,'Target PLF'!$I$2:$J$19,2,FALSE)</f>
        <v>WR</v>
      </c>
      <c r="D521" s="2" t="s">
        <v>571</v>
      </c>
      <c r="E521" s="2" t="s">
        <v>548</v>
      </c>
      <c r="F521" s="12">
        <v>30.176591375769998</v>
      </c>
      <c r="G521" s="2">
        <v>210</v>
      </c>
      <c r="H521">
        <f>VLOOKUP(A521,'Coal savings'!$A$3:$AB$543,26,FALSE)</f>
        <v>0</v>
      </c>
      <c r="I521" t="s">
        <v>694</v>
      </c>
      <c r="J521">
        <v>122.05</v>
      </c>
      <c r="O521" s="2" t="s">
        <v>431</v>
      </c>
      <c r="Q521" s="96"/>
      <c r="R521" s="96"/>
      <c r="S521" s="96"/>
      <c r="T521" s="96"/>
      <c r="U521" s="96"/>
      <c r="V521" s="96"/>
      <c r="AH521" s="2" t="str">
        <f t="shared" si="178"/>
        <v>2019</v>
      </c>
      <c r="AI521" s="2">
        <f t="shared" si="175"/>
        <v>88.046719948578684</v>
      </c>
      <c r="AJ521" s="2">
        <f t="shared" si="176"/>
        <v>0.41927009499323181</v>
      </c>
      <c r="AK521" s="12">
        <f t="shared" si="177"/>
        <v>26.176591375769998</v>
      </c>
      <c r="AL521" s="2" t="s">
        <v>571</v>
      </c>
      <c r="AM521" s="2" t="str">
        <f>VLOOKUP(A521,'[12]Power plant names'!$C$2:$F$545,4,FALSE)</f>
        <v>Sub critical</v>
      </c>
      <c r="AN521" s="2">
        <v>210</v>
      </c>
      <c r="AO521" s="2">
        <f t="shared" si="179"/>
        <v>0.41927009499323181</v>
      </c>
      <c r="AP521" s="2">
        <v>210</v>
      </c>
      <c r="AQ521" s="2">
        <f t="shared" si="180"/>
        <v>0</v>
      </c>
      <c r="AR521" s="2">
        <f t="shared" si="181"/>
        <v>88.046719948578684</v>
      </c>
      <c r="AS521" s="2">
        <f t="shared" si="182"/>
        <v>0</v>
      </c>
      <c r="AU521" s="2">
        <f t="shared" si="183"/>
        <v>122.05</v>
      </c>
      <c r="AV521" s="2">
        <f t="shared" si="184"/>
        <v>0.58119047619047615</v>
      </c>
      <c r="AW521" s="12">
        <f t="shared" si="185"/>
        <v>29.176591375769998</v>
      </c>
      <c r="AX521" s="2">
        <v>210</v>
      </c>
      <c r="AY521" s="3">
        <f t="shared" si="186"/>
        <v>0.58119047619047615</v>
      </c>
      <c r="AZ521" s="2">
        <f t="shared" si="187"/>
        <v>122.05</v>
      </c>
      <c r="BA521" s="2">
        <f t="shared" si="188"/>
        <v>0</v>
      </c>
      <c r="BC521">
        <f t="shared" si="189"/>
        <v>136.08574999999999</v>
      </c>
      <c r="BD521">
        <f t="shared" si="190"/>
        <v>0.64802738095238088</v>
      </c>
      <c r="BE521">
        <f t="shared" si="191"/>
        <v>0.64802738095238088</v>
      </c>
      <c r="BF521">
        <f t="shared" si="192"/>
        <v>136.08574999999999</v>
      </c>
      <c r="BG521">
        <f t="shared" si="193"/>
        <v>0</v>
      </c>
    </row>
    <row r="522" spans="1:59" hidden="1" x14ac:dyDescent="0.2">
      <c r="A522" s="2" t="s">
        <v>426</v>
      </c>
      <c r="B522" s="2" t="str">
        <f>VLOOKUP($A522,'[1]daily coal, energy reqd'!$C$2:$T$599,17,FALSE)</f>
        <v>Madhya Pradesh</v>
      </c>
      <c r="C522" s="2" t="str">
        <f>VLOOKUP(B522,'Target PLF'!$I$2:$J$19,2,FALSE)</f>
        <v>WR</v>
      </c>
      <c r="D522" s="2" t="s">
        <v>571</v>
      </c>
      <c r="E522" s="2" t="s">
        <v>547</v>
      </c>
      <c r="F522" s="12">
        <v>29.2539356605065</v>
      </c>
      <c r="G522" s="2">
        <v>210</v>
      </c>
      <c r="H522">
        <f>VLOOKUP(A522,'Coal savings'!$A$3:$AB$543,26,FALSE)</f>
        <v>0</v>
      </c>
      <c r="I522" t="s">
        <v>694</v>
      </c>
      <c r="J522">
        <v>122.05</v>
      </c>
      <c r="O522" s="2" t="s">
        <v>426</v>
      </c>
      <c r="Q522" s="96"/>
      <c r="R522" s="96"/>
      <c r="S522" s="96"/>
      <c r="T522" s="96"/>
      <c r="U522" s="96"/>
      <c r="V522" s="96"/>
      <c r="AH522" s="2" t="str">
        <f t="shared" si="178"/>
        <v>2019</v>
      </c>
      <c r="AI522" s="2">
        <f t="shared" si="175"/>
        <v>88.046719948578684</v>
      </c>
      <c r="AJ522" s="2">
        <f t="shared" si="176"/>
        <v>0.41927009499323181</v>
      </c>
      <c r="AK522" s="12">
        <f t="shared" si="177"/>
        <v>25.2539356605065</v>
      </c>
      <c r="AL522" s="2" t="s">
        <v>571</v>
      </c>
      <c r="AM522" s="2" t="str">
        <f>VLOOKUP(A522,'[12]Power plant names'!$C$2:$F$545,4,FALSE)</f>
        <v>Sub critical</v>
      </c>
      <c r="AN522" s="2">
        <v>210</v>
      </c>
      <c r="AO522" s="2">
        <f t="shared" si="179"/>
        <v>0.41927009499323181</v>
      </c>
      <c r="AP522" s="2">
        <v>210</v>
      </c>
      <c r="AQ522" s="2">
        <f t="shared" si="180"/>
        <v>0</v>
      </c>
      <c r="AR522" s="2">
        <f t="shared" si="181"/>
        <v>88.046719948578684</v>
      </c>
      <c r="AS522" s="2">
        <f t="shared" si="182"/>
        <v>0</v>
      </c>
      <c r="AU522" s="2">
        <f t="shared" si="183"/>
        <v>122.05</v>
      </c>
      <c r="AV522" s="2">
        <f t="shared" si="184"/>
        <v>0.58119047619047615</v>
      </c>
      <c r="AW522" s="12">
        <f t="shared" si="185"/>
        <v>28.2539356605065</v>
      </c>
      <c r="AX522" s="2">
        <v>210</v>
      </c>
      <c r="AY522" s="3">
        <f t="shared" si="186"/>
        <v>0.58119047619047615</v>
      </c>
      <c r="AZ522" s="2">
        <f t="shared" si="187"/>
        <v>122.05</v>
      </c>
      <c r="BA522" s="2">
        <f t="shared" si="188"/>
        <v>0</v>
      </c>
      <c r="BC522">
        <f t="shared" si="189"/>
        <v>136.08574999999999</v>
      </c>
      <c r="BD522">
        <f t="shared" si="190"/>
        <v>0.64802738095238088</v>
      </c>
      <c r="BE522">
        <f t="shared" si="191"/>
        <v>0.64802738095238088</v>
      </c>
      <c r="BF522">
        <f t="shared" si="192"/>
        <v>136.08574999999999</v>
      </c>
      <c r="BG522">
        <f t="shared" si="193"/>
        <v>0</v>
      </c>
    </row>
    <row r="523" spans="1:59" x14ac:dyDescent="0.2">
      <c r="A523" s="2" t="s">
        <v>272</v>
      </c>
      <c r="B523" s="2" t="str">
        <f>VLOOKUP($A523,'[1]daily coal, energy reqd'!$C$2:$T$599,17,FALSE)</f>
        <v>Madhya Pradesh</v>
      </c>
      <c r="C523" s="2" t="str">
        <f>VLOOKUP(B523,'Target PLF'!$I$2:$J$19,2,FALSE)</f>
        <v>WR</v>
      </c>
      <c r="D523" s="2" t="s">
        <v>571</v>
      </c>
      <c r="E523" s="2" t="s">
        <v>546</v>
      </c>
      <c r="F523" s="12">
        <v>21.177275838466802</v>
      </c>
      <c r="G523" s="2">
        <v>500</v>
      </c>
      <c r="H523">
        <f>VLOOKUP(A523,'Coal savings'!$A$3:$AB$543,26,FALSE)</f>
        <v>1987711.2017954814</v>
      </c>
      <c r="I523" t="s">
        <v>694</v>
      </c>
      <c r="J523">
        <f>488.18/2</f>
        <v>244.09</v>
      </c>
      <c r="O523" s="2" t="s">
        <v>272</v>
      </c>
      <c r="Q523" s="96"/>
      <c r="R523" s="96"/>
      <c r="S523" s="96"/>
      <c r="T523" s="96">
        <v>6.83</v>
      </c>
      <c r="U523" s="96" t="s">
        <v>681</v>
      </c>
      <c r="AH523" s="2" t="str">
        <f t="shared" si="178"/>
        <v>2019</v>
      </c>
      <c r="AI523" s="2">
        <f t="shared" si="175"/>
        <v>176.08622590945166</v>
      </c>
      <c r="AJ523" s="2">
        <f t="shared" si="176"/>
        <v>0.35217245181890333</v>
      </c>
      <c r="AK523" s="12">
        <f t="shared" si="177"/>
        <v>17.177275838466802</v>
      </c>
      <c r="AL523" s="2" t="s">
        <v>571</v>
      </c>
      <c r="AM523" s="2" t="str">
        <f>VLOOKUP(A523,'[12]Power plant names'!$C$2:$F$545,4,FALSE)</f>
        <v>Sub critical</v>
      </c>
      <c r="AN523" s="2">
        <v>500</v>
      </c>
      <c r="AO523" s="2">
        <f t="shared" si="179"/>
        <v>0.35217245181890333</v>
      </c>
      <c r="AP523" s="2">
        <v>500</v>
      </c>
      <c r="AQ523" s="2">
        <f t="shared" si="180"/>
        <v>0</v>
      </c>
      <c r="AR523" s="2">
        <f t="shared" si="181"/>
        <v>176.08622590945166</v>
      </c>
      <c r="AS523" s="2">
        <f t="shared" si="182"/>
        <v>0</v>
      </c>
      <c r="AU523" s="2">
        <f t="shared" si="183"/>
        <v>244.09000000000003</v>
      </c>
      <c r="AV523" s="2">
        <f t="shared" si="184"/>
        <v>0.48818000000000006</v>
      </c>
      <c r="AW523" s="12">
        <f t="shared" si="185"/>
        <v>20.177275838466802</v>
      </c>
      <c r="AX523" s="2">
        <v>500</v>
      </c>
      <c r="AY523" s="3">
        <f t="shared" si="186"/>
        <v>0.48818000000000006</v>
      </c>
      <c r="AZ523" s="2">
        <f t="shared" si="187"/>
        <v>244.09000000000003</v>
      </c>
      <c r="BA523" s="2">
        <f t="shared" si="188"/>
        <v>0</v>
      </c>
      <c r="BC523">
        <f t="shared" si="189"/>
        <v>272.16035000000005</v>
      </c>
      <c r="BD523">
        <f t="shared" si="190"/>
        <v>0.5443207000000001</v>
      </c>
      <c r="BE523">
        <f t="shared" si="191"/>
        <v>0.5443207000000001</v>
      </c>
      <c r="BF523">
        <f t="shared" si="192"/>
        <v>272.16035000000005</v>
      </c>
      <c r="BG523">
        <f t="shared" si="193"/>
        <v>0</v>
      </c>
    </row>
    <row r="524" spans="1:59" x14ac:dyDescent="0.2">
      <c r="A524" s="2" t="s">
        <v>263</v>
      </c>
      <c r="B524" s="2" t="str">
        <f>VLOOKUP($A524,'[1]daily coal, energy reqd'!$C$2:$T$599,17,FALSE)</f>
        <v>Madhya Pradesh</v>
      </c>
      <c r="C524" s="2" t="str">
        <f>VLOOKUP(B524,'Target PLF'!$I$2:$J$19,2,FALSE)</f>
        <v>WR</v>
      </c>
      <c r="D524" s="2" t="s">
        <v>571</v>
      </c>
      <c r="E524" s="2" t="s">
        <v>546</v>
      </c>
      <c r="F524" s="12">
        <v>20.2546201232032</v>
      </c>
      <c r="G524" s="2">
        <v>500</v>
      </c>
      <c r="H524">
        <f>VLOOKUP(A524,'Coal savings'!$A$3:$AB$543,26,FALSE)</f>
        <v>1982854.752830667</v>
      </c>
      <c r="I524" t="s">
        <v>694</v>
      </c>
      <c r="J524">
        <f>488.18/2</f>
        <v>244.09</v>
      </c>
      <c r="O524" s="2" t="s">
        <v>263</v>
      </c>
      <c r="Q524" s="96"/>
      <c r="R524" s="96"/>
      <c r="S524" s="96"/>
      <c r="T524" s="96"/>
      <c r="U524" s="96"/>
      <c r="AH524" s="2" t="str">
        <f t="shared" si="178"/>
        <v>2019</v>
      </c>
      <c r="AI524" s="2">
        <f t="shared" si="175"/>
        <v>176.08622590945166</v>
      </c>
      <c r="AJ524" s="2">
        <f t="shared" si="176"/>
        <v>0.35217245181890333</v>
      </c>
      <c r="AK524" s="12">
        <f t="shared" si="177"/>
        <v>16.2546201232032</v>
      </c>
      <c r="AL524" s="2" t="s">
        <v>571</v>
      </c>
      <c r="AM524" s="2" t="str">
        <f>VLOOKUP(A524,'[12]Power plant names'!$C$2:$F$545,4,FALSE)</f>
        <v>Sub critical</v>
      </c>
      <c r="AN524" s="2">
        <v>500</v>
      </c>
      <c r="AO524" s="2">
        <f t="shared" si="179"/>
        <v>0.35217245181890333</v>
      </c>
      <c r="AP524" s="2">
        <v>500</v>
      </c>
      <c r="AQ524" s="2">
        <f t="shared" si="180"/>
        <v>0</v>
      </c>
      <c r="AR524" s="2">
        <f t="shared" si="181"/>
        <v>176.08622590945166</v>
      </c>
      <c r="AS524" s="2">
        <f t="shared" si="182"/>
        <v>0</v>
      </c>
      <c r="AU524" s="2">
        <f t="shared" si="183"/>
        <v>244.09000000000003</v>
      </c>
      <c r="AV524" s="2">
        <f t="shared" si="184"/>
        <v>0.48818000000000006</v>
      </c>
      <c r="AW524" s="12">
        <f t="shared" si="185"/>
        <v>19.2546201232032</v>
      </c>
      <c r="AX524" s="2">
        <v>500</v>
      </c>
      <c r="AY524" s="3">
        <f t="shared" si="186"/>
        <v>0.48818000000000006</v>
      </c>
      <c r="AZ524" s="2">
        <f t="shared" si="187"/>
        <v>244.09000000000003</v>
      </c>
      <c r="BA524" s="2">
        <f t="shared" si="188"/>
        <v>0</v>
      </c>
      <c r="BC524">
        <f t="shared" si="189"/>
        <v>272.16035000000005</v>
      </c>
      <c r="BD524">
        <f t="shared" si="190"/>
        <v>0.5443207000000001</v>
      </c>
      <c r="BE524">
        <f t="shared" si="191"/>
        <v>0.5443207000000001</v>
      </c>
      <c r="BF524">
        <f t="shared" si="192"/>
        <v>272.16035000000005</v>
      </c>
      <c r="BG524">
        <f t="shared" si="193"/>
        <v>0</v>
      </c>
    </row>
    <row r="525" spans="1:59" x14ac:dyDescent="0.2">
      <c r="A525" s="2" t="s">
        <v>197</v>
      </c>
      <c r="B525" s="2" t="str">
        <f>VLOOKUP($A525,'[1]daily coal, energy reqd'!$C$2:$T$599,17,FALSE)</f>
        <v>Madhya Pradesh</v>
      </c>
      <c r="C525" s="2" t="str">
        <f>VLOOKUP(B525,'Target PLF'!$I$2:$J$19,2,FALSE)</f>
        <v>WR</v>
      </c>
      <c r="D525" s="2" t="s">
        <v>571</v>
      </c>
      <c r="E525" s="2" t="s">
        <v>544</v>
      </c>
      <c r="F525" s="12">
        <v>13.8425735797399</v>
      </c>
      <c r="G525" s="2">
        <v>500</v>
      </c>
      <c r="H525">
        <f>VLOOKUP(A525,'Coal savings'!$A$3:$AB$543,26,FALSE)</f>
        <v>2201521.8196118725</v>
      </c>
      <c r="I525" t="s">
        <v>694</v>
      </c>
      <c r="J525">
        <f>736.32/2</f>
        <v>368.16</v>
      </c>
      <c r="O525" s="2" t="s">
        <v>197</v>
      </c>
      <c r="Q525" s="96"/>
      <c r="R525" s="96"/>
      <c r="S525" s="96"/>
      <c r="T525">
        <v>4.42</v>
      </c>
      <c r="U525" t="s">
        <v>681</v>
      </c>
      <c r="AH525" s="2" t="str">
        <f t="shared" si="178"/>
        <v>2019</v>
      </c>
      <c r="AI525" s="2">
        <f t="shared" si="175"/>
        <v>265.59017137459017</v>
      </c>
      <c r="AJ525" s="2">
        <f t="shared" si="176"/>
        <v>0.53118034274918036</v>
      </c>
      <c r="AK525" s="12">
        <f t="shared" si="177"/>
        <v>9.8425735797399003</v>
      </c>
      <c r="AL525" s="2" t="s">
        <v>571</v>
      </c>
      <c r="AM525" s="2" t="str">
        <f>VLOOKUP(A525,'[12]Power plant names'!$C$2:$F$545,4,FALSE)</f>
        <v>Sub critical</v>
      </c>
      <c r="AN525" s="2">
        <v>500</v>
      </c>
      <c r="AO525" s="2">
        <f t="shared" si="179"/>
        <v>0.53118034274918036</v>
      </c>
      <c r="AP525" s="2">
        <v>500</v>
      </c>
      <c r="AQ525" s="2">
        <f t="shared" si="180"/>
        <v>0</v>
      </c>
      <c r="AR525" s="2">
        <f t="shared" si="181"/>
        <v>265.59017137459017</v>
      </c>
      <c r="AS525" s="2">
        <f t="shared" si="182"/>
        <v>0</v>
      </c>
      <c r="AU525" s="2">
        <f t="shared" si="183"/>
        <v>368.15999999999997</v>
      </c>
      <c r="AV525" s="2">
        <f t="shared" si="184"/>
        <v>0.73631999999999997</v>
      </c>
      <c r="AW525" s="12">
        <f t="shared" si="185"/>
        <v>12.8425735797399</v>
      </c>
      <c r="AX525" s="2">
        <v>500</v>
      </c>
      <c r="AY525" s="3">
        <f t="shared" si="186"/>
        <v>0.73631999999999997</v>
      </c>
      <c r="AZ525" s="2">
        <f t="shared" si="187"/>
        <v>368.15999999999997</v>
      </c>
      <c r="BA525" s="2">
        <f t="shared" si="188"/>
        <v>0</v>
      </c>
      <c r="BC525">
        <f t="shared" si="189"/>
        <v>410.49839999999995</v>
      </c>
      <c r="BD525">
        <f t="shared" si="190"/>
        <v>0.82099679999999986</v>
      </c>
      <c r="BE525">
        <f t="shared" si="191"/>
        <v>0.82099679999999986</v>
      </c>
      <c r="BF525">
        <f t="shared" si="192"/>
        <v>410.49839999999995</v>
      </c>
      <c r="BG525">
        <f t="shared" si="193"/>
        <v>0</v>
      </c>
    </row>
    <row r="526" spans="1:59" ht="14.5" customHeight="1" x14ac:dyDescent="0.2">
      <c r="A526" s="2" t="s">
        <v>119</v>
      </c>
      <c r="B526" s="2" t="str">
        <f>VLOOKUP($A526,'[1]daily coal, energy reqd'!$C$2:$T$599,17,FALSE)</f>
        <v>Andhra Pradesh</v>
      </c>
      <c r="C526" s="2" t="str">
        <f>VLOOKUP(B526,'Target PLF'!$I$2:$J$19,2,FALSE)</f>
        <v>SR</v>
      </c>
      <c r="D526" s="2" t="s">
        <v>572</v>
      </c>
      <c r="E526" s="2" t="s">
        <v>542</v>
      </c>
      <c r="F526" s="12">
        <v>4.4243668720054696</v>
      </c>
      <c r="G526" s="2">
        <v>520</v>
      </c>
      <c r="H526">
        <f>VLOOKUP(A526,'Coal savings'!$A$3:$AB$543,26,FALSE)</f>
        <v>2842474.9314868012</v>
      </c>
      <c r="O526" s="2" t="s">
        <v>119</v>
      </c>
      <c r="AH526" s="2" t="str">
        <f t="shared" si="178"/>
        <v/>
      </c>
      <c r="AI526" s="2"/>
      <c r="AJ526" s="2" t="str">
        <f t="shared" si="176"/>
        <v/>
      </c>
      <c r="AK526" s="12">
        <f t="shared" si="177"/>
        <v>0.42436687200546963</v>
      </c>
      <c r="AL526" s="2" t="s">
        <v>572</v>
      </c>
      <c r="AM526" s="2" t="str">
        <f>VLOOKUP(A526,'[12]Power plant names'!$C$2:$F$545,4,FALSE)</f>
        <v>Sub critical</v>
      </c>
      <c r="AN526" s="2">
        <v>520</v>
      </c>
      <c r="AO526" s="2">
        <f t="shared" si="179"/>
        <v>0.84063814236824108</v>
      </c>
      <c r="AP526" s="2">
        <v>520</v>
      </c>
      <c r="AQ526" s="2">
        <f t="shared" si="180"/>
        <v>0</v>
      </c>
      <c r="AR526" s="2">
        <f t="shared" si="181"/>
        <v>437.13183403148537</v>
      </c>
      <c r="AS526" s="2">
        <f t="shared" si="182"/>
        <v>0</v>
      </c>
      <c r="AU526" s="2"/>
      <c r="AV526" s="2" t="str">
        <f t="shared" si="184"/>
        <v/>
      </c>
      <c r="AW526" s="12">
        <f t="shared" si="185"/>
        <v>4.4243668720054696</v>
      </c>
      <c r="AX526" s="2">
        <v>520</v>
      </c>
      <c r="AY526" s="3">
        <f t="shared" si="186"/>
        <v>1.0477110525667352</v>
      </c>
      <c r="AZ526" s="2">
        <f t="shared" si="187"/>
        <v>544.80974733470237</v>
      </c>
      <c r="BA526" s="2">
        <f t="shared" si="188"/>
        <v>0</v>
      </c>
      <c r="BC526" t="str">
        <f t="shared" si="189"/>
        <v/>
      </c>
      <c r="BE526">
        <f t="shared" si="191"/>
        <v>1.1745011396303902</v>
      </c>
      <c r="BF526">
        <f t="shared" si="192"/>
        <v>610.74059260780291</v>
      </c>
      <c r="BG526">
        <f t="shared" si="193"/>
        <v>0</v>
      </c>
    </row>
    <row r="527" spans="1:59" ht="14.5" customHeight="1" x14ac:dyDescent="0.2">
      <c r="A527" s="2" t="s">
        <v>116</v>
      </c>
      <c r="B527" s="2" t="str">
        <f>VLOOKUP($A527,'[1]daily coal, energy reqd'!$C$2:$T$599,17,FALSE)</f>
        <v>Andhra Pradesh</v>
      </c>
      <c r="C527" s="2" t="str">
        <f>VLOOKUP(B527,'Target PLF'!$I$2:$J$19,2,FALSE)</f>
        <v>SR</v>
      </c>
      <c r="D527" s="2" t="s">
        <v>572</v>
      </c>
      <c r="E527" s="2" t="s">
        <v>542</v>
      </c>
      <c r="F527" s="12">
        <v>4.1752224503764497</v>
      </c>
      <c r="G527" s="2">
        <v>520</v>
      </c>
      <c r="H527">
        <f>VLOOKUP(A527,'Coal savings'!$A$3:$AB$543,26,FALSE)</f>
        <v>2840471.1035635858</v>
      </c>
      <c r="O527" s="2" t="s">
        <v>116</v>
      </c>
      <c r="AH527" s="2" t="str">
        <f t="shared" si="178"/>
        <v/>
      </c>
      <c r="AI527" s="2"/>
      <c r="AJ527" s="2" t="str">
        <f t="shared" si="176"/>
        <v/>
      </c>
      <c r="AK527" s="12">
        <f t="shared" si="177"/>
        <v>0.17522245037644968</v>
      </c>
      <c r="AL527" s="2" t="s">
        <v>572</v>
      </c>
      <c r="AM527" s="2" t="str">
        <f>VLOOKUP(A527,'[12]Power plant names'!$C$2:$F$545,4,FALSE)</f>
        <v>Sub critical</v>
      </c>
      <c r="AN527" s="2">
        <v>520</v>
      </c>
      <c r="AO527" s="2">
        <f t="shared" si="179"/>
        <v>0.84409018781656409</v>
      </c>
      <c r="AP527" s="2">
        <v>520</v>
      </c>
      <c r="AQ527" s="2">
        <f t="shared" si="180"/>
        <v>0</v>
      </c>
      <c r="AR527" s="2">
        <f t="shared" si="181"/>
        <v>438.92689766461331</v>
      </c>
      <c r="AS527" s="2">
        <f t="shared" si="182"/>
        <v>0</v>
      </c>
      <c r="AU527" s="2"/>
      <c r="AV527" s="2" t="str">
        <f t="shared" si="184"/>
        <v/>
      </c>
      <c r="AW527" s="12">
        <f t="shared" si="185"/>
        <v>4.1752224503764497</v>
      </c>
      <c r="AX527" s="2">
        <v>520</v>
      </c>
      <c r="AY527" s="3">
        <f t="shared" si="186"/>
        <v>1.0522286139630392</v>
      </c>
      <c r="AZ527" s="2">
        <f t="shared" si="187"/>
        <v>547.1588792607804</v>
      </c>
      <c r="BA527" s="2">
        <f t="shared" si="188"/>
        <v>0</v>
      </c>
      <c r="BC527" t="str">
        <f t="shared" si="189"/>
        <v/>
      </c>
      <c r="BE527">
        <f t="shared" si="191"/>
        <v>1.1798635995893225</v>
      </c>
      <c r="BF527">
        <f t="shared" si="192"/>
        <v>613.52907178644773</v>
      </c>
      <c r="BG527">
        <f t="shared" si="193"/>
        <v>0</v>
      </c>
    </row>
    <row r="528" spans="1:59" ht="14.5" hidden="1" customHeight="1" x14ac:dyDescent="0.2">
      <c r="A528" s="2" t="s">
        <v>494</v>
      </c>
      <c r="B528" s="2" t="str">
        <f>VLOOKUP($A528,'[1]daily coal, energy reqd'!$C$2:$T$599,17,FALSE)</f>
        <v>Gujarat</v>
      </c>
      <c r="C528" s="2" t="str">
        <f>VLOOKUP(B528,'Target PLF'!$I$2:$J$19,2,FALSE)</f>
        <v>WR</v>
      </c>
      <c r="D528" s="2" t="s">
        <v>570</v>
      </c>
      <c r="E528" s="2" t="s">
        <v>549</v>
      </c>
      <c r="F528" s="12">
        <v>38.176591375770002</v>
      </c>
      <c r="G528" s="2">
        <v>210</v>
      </c>
      <c r="H528">
        <f>VLOOKUP(A528,'Coal savings'!$A$3:$AB$543,26,FALSE)</f>
        <v>0</v>
      </c>
      <c r="I528" t="s">
        <v>695</v>
      </c>
      <c r="J528">
        <v>81.290000000000006</v>
      </c>
      <c r="O528" s="2" t="s">
        <v>494</v>
      </c>
      <c r="AH528" s="2" t="str">
        <f t="shared" si="178"/>
        <v>2018</v>
      </c>
      <c r="AI528" s="2">
        <f t="shared" ref="AI528:AI534" si="194">(J528)/(1+0.115)^(AH528-2016)</f>
        <v>65.386394256872251</v>
      </c>
      <c r="AJ528" s="2">
        <f t="shared" si="176"/>
        <v>0.31136378217558214</v>
      </c>
      <c r="AK528" s="12">
        <f t="shared" si="177"/>
        <v>34.176591375770002</v>
      </c>
      <c r="AL528" s="2" t="s">
        <v>570</v>
      </c>
      <c r="AM528" s="2" t="str">
        <f>VLOOKUP(A528,'[12]Power plant names'!$C$2:$F$545,4,FALSE)</f>
        <v>Sub critical</v>
      </c>
      <c r="AN528" s="2">
        <v>210</v>
      </c>
      <c r="AO528" s="2">
        <f t="shared" si="179"/>
        <v>0.31136378217558214</v>
      </c>
      <c r="AP528" s="2">
        <v>210</v>
      </c>
      <c r="AQ528" s="2">
        <f t="shared" si="180"/>
        <v>0</v>
      </c>
      <c r="AR528" s="2">
        <f t="shared" si="181"/>
        <v>65.386394256872251</v>
      </c>
      <c r="AS528" s="2">
        <f t="shared" si="182"/>
        <v>0</v>
      </c>
      <c r="AU528" s="2">
        <f t="shared" si="183"/>
        <v>81.290000000000006</v>
      </c>
      <c r="AV528" s="2">
        <f t="shared" si="184"/>
        <v>0.3870952380952381</v>
      </c>
      <c r="AW528" s="12">
        <f t="shared" si="185"/>
        <v>36.176591375770002</v>
      </c>
      <c r="AX528" s="2">
        <v>210</v>
      </c>
      <c r="AY528" s="3">
        <f t="shared" si="186"/>
        <v>0.3870952380952381</v>
      </c>
      <c r="AZ528" s="2">
        <f t="shared" si="187"/>
        <v>81.290000000000006</v>
      </c>
      <c r="BA528" s="2">
        <f t="shared" si="188"/>
        <v>0</v>
      </c>
      <c r="BC528">
        <f t="shared" si="189"/>
        <v>101.06176025000001</v>
      </c>
      <c r="BD528">
        <f t="shared" si="190"/>
        <v>0.48124647738095239</v>
      </c>
      <c r="BE528">
        <f t="shared" si="191"/>
        <v>0.48124647738095239</v>
      </c>
      <c r="BF528">
        <f t="shared" si="192"/>
        <v>101.06176025000001</v>
      </c>
      <c r="BG528">
        <f t="shared" si="193"/>
        <v>0</v>
      </c>
    </row>
    <row r="529" spans="1:59" ht="14.5" hidden="1" customHeight="1" x14ac:dyDescent="0.2">
      <c r="A529" s="2" t="s">
        <v>485</v>
      </c>
      <c r="B529" s="2" t="str">
        <f>VLOOKUP($A529,'[1]daily coal, energy reqd'!$C$2:$T$599,17,FALSE)</f>
        <v>Gujarat</v>
      </c>
      <c r="C529" s="2" t="str">
        <f>VLOOKUP(B529,'Target PLF'!$I$2:$J$19,2,FALSE)</f>
        <v>WR</v>
      </c>
      <c r="D529" s="2" t="s">
        <v>570</v>
      </c>
      <c r="E529" s="2" t="s">
        <v>549</v>
      </c>
      <c r="F529" s="12">
        <v>37.338809034907598</v>
      </c>
      <c r="G529" s="2">
        <v>210</v>
      </c>
      <c r="H529">
        <f>VLOOKUP(A529,'Coal savings'!$A$3:$AB$543,26,FALSE)</f>
        <v>0</v>
      </c>
      <c r="I529" t="s">
        <v>695</v>
      </c>
      <c r="J529">
        <v>81.290000000000006</v>
      </c>
      <c r="O529" s="2" t="s">
        <v>485</v>
      </c>
      <c r="AH529" s="2" t="str">
        <f t="shared" si="178"/>
        <v>2018</v>
      </c>
      <c r="AI529" s="2">
        <f t="shared" si="194"/>
        <v>65.386394256872251</v>
      </c>
      <c r="AJ529" s="2">
        <f t="shared" si="176"/>
        <v>0.31136378217558214</v>
      </c>
      <c r="AK529" s="12">
        <f t="shared" si="177"/>
        <v>33.338809034907598</v>
      </c>
      <c r="AL529" s="2" t="s">
        <v>570</v>
      </c>
      <c r="AM529" s="2" t="str">
        <f>VLOOKUP(A529,'[12]Power plant names'!$C$2:$F$545,4,FALSE)</f>
        <v>Sub critical</v>
      </c>
      <c r="AN529" s="2">
        <v>210</v>
      </c>
      <c r="AO529" s="2">
        <f t="shared" si="179"/>
        <v>0.31136378217558214</v>
      </c>
      <c r="AP529" s="2">
        <v>210</v>
      </c>
      <c r="AQ529" s="2">
        <f t="shared" si="180"/>
        <v>0</v>
      </c>
      <c r="AR529" s="2">
        <f t="shared" si="181"/>
        <v>65.386394256872251</v>
      </c>
      <c r="AS529" s="2">
        <f t="shared" si="182"/>
        <v>0</v>
      </c>
      <c r="AU529" s="2">
        <f t="shared" si="183"/>
        <v>81.290000000000006</v>
      </c>
      <c r="AV529" s="2">
        <f t="shared" si="184"/>
        <v>0.3870952380952381</v>
      </c>
      <c r="AW529" s="12">
        <f t="shared" si="185"/>
        <v>35.338809034907598</v>
      </c>
      <c r="AX529" s="2">
        <v>210</v>
      </c>
      <c r="AY529" s="3">
        <f t="shared" si="186"/>
        <v>0.3870952380952381</v>
      </c>
      <c r="AZ529" s="2">
        <f t="shared" si="187"/>
        <v>81.290000000000006</v>
      </c>
      <c r="BA529" s="2">
        <f t="shared" si="188"/>
        <v>0</v>
      </c>
      <c r="BC529">
        <f t="shared" si="189"/>
        <v>101.06176025000001</v>
      </c>
      <c r="BD529">
        <f t="shared" si="190"/>
        <v>0.48124647738095239</v>
      </c>
      <c r="BE529">
        <f t="shared" si="191"/>
        <v>0.48124647738095239</v>
      </c>
      <c r="BF529">
        <f t="shared" si="192"/>
        <v>101.06176025000001</v>
      </c>
      <c r="BG529">
        <f t="shared" si="193"/>
        <v>0</v>
      </c>
    </row>
    <row r="530" spans="1:59" ht="14.5" hidden="1" customHeight="1" x14ac:dyDescent="0.2">
      <c r="A530" s="2" t="s">
        <v>472</v>
      </c>
      <c r="B530" s="2" t="str">
        <f>VLOOKUP($A530,'[1]daily coal, energy reqd'!$C$2:$T$599,17,FALSE)</f>
        <v>Gujarat</v>
      </c>
      <c r="C530" s="2" t="str">
        <f>VLOOKUP(B530,'Target PLF'!$I$2:$J$19,2,FALSE)</f>
        <v>WR</v>
      </c>
      <c r="D530" s="2" t="s">
        <v>570</v>
      </c>
      <c r="E530" s="2" t="s">
        <v>549</v>
      </c>
      <c r="F530" s="12">
        <v>36.175222450376403</v>
      </c>
      <c r="G530" s="2">
        <v>210</v>
      </c>
      <c r="H530">
        <f>VLOOKUP(A530,'Coal savings'!$A$3:$AB$543,26,FALSE)</f>
        <v>0</v>
      </c>
      <c r="I530" t="s">
        <v>695</v>
      </c>
      <c r="J530">
        <v>81.290000000000006</v>
      </c>
      <c r="O530" s="2" t="s">
        <v>472</v>
      </c>
      <c r="AH530" s="2" t="str">
        <f t="shared" si="178"/>
        <v>2018</v>
      </c>
      <c r="AI530" s="2">
        <f t="shared" si="194"/>
        <v>65.386394256872251</v>
      </c>
      <c r="AJ530" s="2">
        <f t="shared" si="176"/>
        <v>0.31136378217558214</v>
      </c>
      <c r="AK530" s="12">
        <f t="shared" si="177"/>
        <v>32.175222450376403</v>
      </c>
      <c r="AL530" s="2" t="s">
        <v>570</v>
      </c>
      <c r="AM530" s="2" t="str">
        <f>VLOOKUP(A530,'[12]Power plant names'!$C$2:$F$545,4,FALSE)</f>
        <v>Sub critical</v>
      </c>
      <c r="AN530" s="2">
        <v>210</v>
      </c>
      <c r="AO530" s="2">
        <f t="shared" si="179"/>
        <v>0.31136378217558214</v>
      </c>
      <c r="AP530" s="2">
        <v>210</v>
      </c>
      <c r="AQ530" s="2">
        <f t="shared" si="180"/>
        <v>0</v>
      </c>
      <c r="AR530" s="2">
        <f t="shared" si="181"/>
        <v>65.386394256872251</v>
      </c>
      <c r="AS530" s="2">
        <f t="shared" si="182"/>
        <v>0</v>
      </c>
      <c r="AU530" s="2">
        <f t="shared" si="183"/>
        <v>81.290000000000006</v>
      </c>
      <c r="AV530" s="2">
        <f t="shared" si="184"/>
        <v>0.3870952380952381</v>
      </c>
      <c r="AW530" s="12">
        <f t="shared" si="185"/>
        <v>34.175222450376403</v>
      </c>
      <c r="AX530" s="2">
        <v>210</v>
      </c>
      <c r="AY530" s="3">
        <f t="shared" si="186"/>
        <v>0.3870952380952381</v>
      </c>
      <c r="AZ530" s="2">
        <f t="shared" si="187"/>
        <v>81.290000000000006</v>
      </c>
      <c r="BA530" s="2">
        <f t="shared" si="188"/>
        <v>0</v>
      </c>
      <c r="BC530">
        <f t="shared" si="189"/>
        <v>101.06176025000001</v>
      </c>
      <c r="BD530">
        <f t="shared" si="190"/>
        <v>0.48124647738095239</v>
      </c>
      <c r="BE530">
        <f t="shared" si="191"/>
        <v>0.48124647738095239</v>
      </c>
      <c r="BF530">
        <f t="shared" si="192"/>
        <v>101.06176025000001</v>
      </c>
      <c r="BG530">
        <f t="shared" si="193"/>
        <v>0</v>
      </c>
    </row>
    <row r="531" spans="1:59" ht="14.5" hidden="1" customHeight="1" x14ac:dyDescent="0.2">
      <c r="A531" s="2" t="s">
        <v>455</v>
      </c>
      <c r="B531" s="2" t="str">
        <f>VLOOKUP($A531,'[1]daily coal, energy reqd'!$C$2:$T$599,17,FALSE)</f>
        <v>Gujarat</v>
      </c>
      <c r="C531" s="2" t="str">
        <f>VLOOKUP(B531,'Target PLF'!$I$2:$J$19,2,FALSE)</f>
        <v>WR</v>
      </c>
      <c r="D531" s="2" t="s">
        <v>570</v>
      </c>
      <c r="E531" s="2" t="s">
        <v>548</v>
      </c>
      <c r="F531" s="12">
        <v>34.176591375770002</v>
      </c>
      <c r="G531" s="2">
        <v>210</v>
      </c>
      <c r="H531">
        <f>VLOOKUP(A531,'Coal savings'!$A$3:$AB$543,26,FALSE)</f>
        <v>0</v>
      </c>
      <c r="I531" t="s">
        <v>695</v>
      </c>
      <c r="J531">
        <v>81.290000000000006</v>
      </c>
      <c r="O531" s="2" t="s">
        <v>455</v>
      </c>
      <c r="AH531" s="2" t="str">
        <f t="shared" si="178"/>
        <v>2018</v>
      </c>
      <c r="AI531" s="2">
        <f t="shared" si="194"/>
        <v>65.386394256872251</v>
      </c>
      <c r="AJ531" s="2">
        <f t="shared" si="176"/>
        <v>0.31136378217558214</v>
      </c>
      <c r="AK531" s="12">
        <f t="shared" si="177"/>
        <v>30.176591375770002</v>
      </c>
      <c r="AL531" s="2" t="s">
        <v>570</v>
      </c>
      <c r="AM531" s="2" t="str">
        <f>VLOOKUP(A531,'[12]Power plant names'!$C$2:$F$545,4,FALSE)</f>
        <v>Sub critical</v>
      </c>
      <c r="AN531" s="2">
        <v>210</v>
      </c>
      <c r="AO531" s="2">
        <f t="shared" si="179"/>
        <v>0.31136378217558214</v>
      </c>
      <c r="AP531" s="2">
        <v>210</v>
      </c>
      <c r="AQ531" s="2">
        <f t="shared" si="180"/>
        <v>0</v>
      </c>
      <c r="AR531" s="2">
        <f t="shared" si="181"/>
        <v>65.386394256872251</v>
      </c>
      <c r="AS531" s="2">
        <f t="shared" si="182"/>
        <v>0</v>
      </c>
      <c r="AU531" s="2">
        <f t="shared" si="183"/>
        <v>81.290000000000006</v>
      </c>
      <c r="AV531" s="2">
        <f t="shared" si="184"/>
        <v>0.3870952380952381</v>
      </c>
      <c r="AW531" s="12">
        <f t="shared" si="185"/>
        <v>32.176591375770002</v>
      </c>
      <c r="AX531" s="2">
        <v>210</v>
      </c>
      <c r="AY531" s="3">
        <f t="shared" si="186"/>
        <v>0.3870952380952381</v>
      </c>
      <c r="AZ531" s="2">
        <f t="shared" si="187"/>
        <v>81.290000000000006</v>
      </c>
      <c r="BA531" s="2">
        <f t="shared" si="188"/>
        <v>0</v>
      </c>
      <c r="BC531">
        <f t="shared" si="189"/>
        <v>101.06176025000001</v>
      </c>
      <c r="BD531">
        <f t="shared" si="190"/>
        <v>0.48124647738095239</v>
      </c>
      <c r="BE531">
        <f t="shared" si="191"/>
        <v>0.48124647738095239</v>
      </c>
      <c r="BF531">
        <f t="shared" si="192"/>
        <v>101.06176025000001</v>
      </c>
      <c r="BG531">
        <f t="shared" si="193"/>
        <v>0</v>
      </c>
    </row>
    <row r="532" spans="1:59" ht="14.5" hidden="1" customHeight="1" x14ac:dyDescent="0.2">
      <c r="A532" s="2" t="s">
        <v>453</v>
      </c>
      <c r="B532" s="2" t="str">
        <f>VLOOKUP($A532,'[1]daily coal, energy reqd'!$C$2:$T$599,17,FALSE)</f>
        <v>Gujarat</v>
      </c>
      <c r="C532" s="2" t="str">
        <f>VLOOKUP(B532,'Target PLF'!$I$2:$J$19,2,FALSE)</f>
        <v>WR</v>
      </c>
      <c r="D532" s="2" t="s">
        <v>570</v>
      </c>
      <c r="E532" s="2" t="s">
        <v>548</v>
      </c>
      <c r="F532" s="12">
        <v>33.672826830937701</v>
      </c>
      <c r="G532" s="2">
        <v>210</v>
      </c>
      <c r="H532">
        <f>VLOOKUP(A532,'Coal savings'!$A$3:$AB$543,26,FALSE)</f>
        <v>0</v>
      </c>
      <c r="I532" t="s">
        <v>695</v>
      </c>
      <c r="J532">
        <v>81.290000000000006</v>
      </c>
      <c r="O532" s="2" t="s">
        <v>453</v>
      </c>
      <c r="AH532" s="2" t="str">
        <f t="shared" si="178"/>
        <v>2018</v>
      </c>
      <c r="AI532" s="2">
        <f t="shared" si="194"/>
        <v>65.386394256872251</v>
      </c>
      <c r="AJ532" s="2">
        <f t="shared" si="176"/>
        <v>0.31136378217558214</v>
      </c>
      <c r="AK532" s="12">
        <f t="shared" si="177"/>
        <v>29.672826830937701</v>
      </c>
      <c r="AL532" s="2" t="s">
        <v>570</v>
      </c>
      <c r="AM532" s="2" t="str">
        <f>VLOOKUP(A532,'[12]Power plant names'!$C$2:$F$545,4,FALSE)</f>
        <v>Sub critical</v>
      </c>
      <c r="AN532" s="2">
        <v>210</v>
      </c>
      <c r="AO532" s="2">
        <f t="shared" si="179"/>
        <v>0.31136378217558214</v>
      </c>
      <c r="AP532" s="2">
        <v>210</v>
      </c>
      <c r="AQ532" s="2">
        <f t="shared" si="180"/>
        <v>0</v>
      </c>
      <c r="AR532" s="2">
        <f>AP532*AO532</f>
        <v>65.386394256872251</v>
      </c>
      <c r="AS532" s="2">
        <f t="shared" si="182"/>
        <v>0</v>
      </c>
      <c r="AU532" s="2">
        <f t="shared" si="183"/>
        <v>81.290000000000006</v>
      </c>
      <c r="AV532" s="2">
        <f t="shared" si="184"/>
        <v>0.3870952380952381</v>
      </c>
      <c r="AW532" s="12">
        <f t="shared" si="185"/>
        <v>31.672826830937701</v>
      </c>
      <c r="AX532" s="2">
        <v>210</v>
      </c>
      <c r="AY532" s="3">
        <f t="shared" si="186"/>
        <v>0.3870952380952381</v>
      </c>
      <c r="AZ532" s="2">
        <f t="shared" si="187"/>
        <v>81.290000000000006</v>
      </c>
      <c r="BA532" s="2">
        <f t="shared" si="188"/>
        <v>0</v>
      </c>
      <c r="BC532">
        <f t="shared" si="189"/>
        <v>101.06176025000001</v>
      </c>
      <c r="BD532">
        <f t="shared" si="190"/>
        <v>0.48124647738095239</v>
      </c>
      <c r="BE532">
        <f t="shared" si="191"/>
        <v>0.48124647738095239</v>
      </c>
      <c r="BF532">
        <f t="shared" si="192"/>
        <v>101.06176025000001</v>
      </c>
      <c r="BG532">
        <f t="shared" si="193"/>
        <v>0</v>
      </c>
    </row>
    <row r="533" spans="1:59" ht="14.5" hidden="1" customHeight="1" x14ac:dyDescent="0.2">
      <c r="A533" s="2" t="s">
        <v>448</v>
      </c>
      <c r="B533" s="2" t="str">
        <f>VLOOKUP($A533,'[1]daily coal, energy reqd'!$C$2:$T$599,17,FALSE)</f>
        <v>Gujarat</v>
      </c>
      <c r="C533" s="2" t="str">
        <f>VLOOKUP(B533,'Target PLF'!$I$2:$J$19,2,FALSE)</f>
        <v>WR</v>
      </c>
      <c r="D533" s="2" t="s">
        <v>570</v>
      </c>
      <c r="E533" s="2" t="s">
        <v>548</v>
      </c>
      <c r="F533" s="12">
        <v>32.5065023956194</v>
      </c>
      <c r="G533" s="2">
        <v>210</v>
      </c>
      <c r="H533">
        <f>VLOOKUP(A533,'Coal savings'!$A$3:$AB$543,26,FALSE)</f>
        <v>0</v>
      </c>
      <c r="I533" t="s">
        <v>695</v>
      </c>
      <c r="J533">
        <v>81.290000000000006</v>
      </c>
      <c r="O533" s="2" t="s">
        <v>448</v>
      </c>
      <c r="AH533" s="2" t="str">
        <f t="shared" si="178"/>
        <v>2018</v>
      </c>
      <c r="AI533" s="2">
        <f t="shared" si="194"/>
        <v>65.386394256872251</v>
      </c>
      <c r="AJ533" s="2">
        <f t="shared" si="176"/>
        <v>0.31136378217558214</v>
      </c>
      <c r="AK533" s="12">
        <f t="shared" si="177"/>
        <v>28.5065023956194</v>
      </c>
      <c r="AL533" s="2" t="s">
        <v>570</v>
      </c>
      <c r="AM533" s="2" t="str">
        <f>VLOOKUP(A533,'[12]Power plant names'!$C$2:$F$545,4,FALSE)</f>
        <v>Sub critical</v>
      </c>
      <c r="AN533" s="2">
        <v>210</v>
      </c>
      <c r="AO533" s="2">
        <f t="shared" si="179"/>
        <v>0.31136378217558214</v>
      </c>
      <c r="AP533" s="2">
        <v>210</v>
      </c>
      <c r="AQ533" s="2">
        <f t="shared" si="180"/>
        <v>0</v>
      </c>
      <c r="AR533" s="2">
        <f t="shared" si="181"/>
        <v>65.386394256872251</v>
      </c>
      <c r="AS533" s="2">
        <f t="shared" si="182"/>
        <v>0</v>
      </c>
      <c r="AU533" s="2">
        <f t="shared" si="183"/>
        <v>81.290000000000006</v>
      </c>
      <c r="AV533" s="2">
        <f t="shared" si="184"/>
        <v>0.3870952380952381</v>
      </c>
      <c r="AW533" s="12">
        <f t="shared" si="185"/>
        <v>30.5065023956194</v>
      </c>
      <c r="AX533" s="2">
        <v>210</v>
      </c>
      <c r="AY533" s="3">
        <f t="shared" si="186"/>
        <v>0.3870952380952381</v>
      </c>
      <c r="AZ533" s="2">
        <f t="shared" si="187"/>
        <v>81.290000000000006</v>
      </c>
      <c r="BA533" s="2">
        <f t="shared" si="188"/>
        <v>0</v>
      </c>
      <c r="BC533">
        <f t="shared" si="189"/>
        <v>101.06176025000001</v>
      </c>
      <c r="BD533">
        <f t="shared" si="190"/>
        <v>0.48124647738095239</v>
      </c>
      <c r="BE533">
        <f t="shared" si="191"/>
        <v>0.48124647738095239</v>
      </c>
      <c r="BF533">
        <f t="shared" si="192"/>
        <v>101.06176025000001</v>
      </c>
      <c r="BG533">
        <f t="shared" si="193"/>
        <v>0</v>
      </c>
    </row>
    <row r="534" spans="1:59" ht="14.5" hidden="1" customHeight="1" x14ac:dyDescent="0.2">
      <c r="A534" s="2" t="s">
        <v>380</v>
      </c>
      <c r="B534" s="2" t="str">
        <f>VLOOKUP($A534,'[1]daily coal, energy reqd'!$C$2:$T$599,17,FALSE)</f>
        <v>Gujarat</v>
      </c>
      <c r="C534" s="2" t="str">
        <f>VLOOKUP(B534,'Target PLF'!$I$2:$J$19,2,FALSE)</f>
        <v>WR</v>
      </c>
      <c r="D534" s="2" t="s">
        <v>570</v>
      </c>
      <c r="E534" s="2" t="s">
        <v>546</v>
      </c>
      <c r="F534" s="12">
        <v>21.423682409308601</v>
      </c>
      <c r="G534" s="2">
        <v>210</v>
      </c>
      <c r="H534">
        <f>VLOOKUP(A534,'Coal savings'!$A$3:$AB$543,26,FALSE)</f>
        <v>0</v>
      </c>
      <c r="I534" t="s">
        <v>695</v>
      </c>
      <c r="J534">
        <v>64.73</v>
      </c>
      <c r="O534" s="2" t="s">
        <v>380</v>
      </c>
      <c r="AH534" s="2" t="str">
        <f t="shared" si="178"/>
        <v>2018</v>
      </c>
      <c r="AI534" s="2">
        <f t="shared" si="194"/>
        <v>52.066198797482357</v>
      </c>
      <c r="AJ534" s="2">
        <f t="shared" si="176"/>
        <v>0.24793427998801124</v>
      </c>
      <c r="AK534" s="12">
        <f t="shared" si="177"/>
        <v>17.423682409308601</v>
      </c>
      <c r="AL534" s="2" t="s">
        <v>570</v>
      </c>
      <c r="AM534" s="2" t="str">
        <f>VLOOKUP(A534,'[12]Power plant names'!$C$2:$F$545,4,FALSE)</f>
        <v>Sub critical</v>
      </c>
      <c r="AN534" s="2">
        <v>210</v>
      </c>
      <c r="AO534" s="2">
        <f t="shared" si="179"/>
        <v>0.24793427998801124</v>
      </c>
      <c r="AP534" s="2">
        <v>210</v>
      </c>
      <c r="AQ534" s="2">
        <f t="shared" si="180"/>
        <v>0</v>
      </c>
      <c r="AR534" s="2">
        <f t="shared" si="181"/>
        <v>52.066198797482357</v>
      </c>
      <c r="AS534" s="2">
        <f t="shared" si="182"/>
        <v>0</v>
      </c>
      <c r="AU534" s="2">
        <f t="shared" si="183"/>
        <v>64.73</v>
      </c>
      <c r="AV534" s="2">
        <f t="shared" si="184"/>
        <v>0.30823809523809526</v>
      </c>
      <c r="AW534" s="12">
        <f t="shared" si="185"/>
        <v>19.423682409308601</v>
      </c>
      <c r="AX534" s="2">
        <v>210</v>
      </c>
      <c r="AY534" s="3">
        <f t="shared" si="186"/>
        <v>0.30823809523809526</v>
      </c>
      <c r="AZ534" s="2">
        <f t="shared" si="187"/>
        <v>64.73</v>
      </c>
      <c r="BA534" s="2">
        <f t="shared" si="188"/>
        <v>0</v>
      </c>
      <c r="BC534">
        <f t="shared" si="189"/>
        <v>80.473954250000006</v>
      </c>
      <c r="BD534">
        <f t="shared" si="190"/>
        <v>0.38320930595238095</v>
      </c>
      <c r="BE534">
        <f t="shared" si="191"/>
        <v>0.38320930595238095</v>
      </c>
      <c r="BF534">
        <f t="shared" si="192"/>
        <v>80.473954250000006</v>
      </c>
      <c r="BG534">
        <f t="shared" si="193"/>
        <v>0</v>
      </c>
    </row>
    <row r="535" spans="1:59" ht="14.5" customHeight="1" x14ac:dyDescent="0.2">
      <c r="A535" s="2" t="s">
        <v>1</v>
      </c>
      <c r="B535" s="2" t="str">
        <f>VLOOKUP($A535,'[1]daily coal, energy reqd'!$C$2:$T$599,17,FALSE)</f>
        <v>Gujarat</v>
      </c>
      <c r="C535" s="2" t="str">
        <f>VLOOKUP(B535,'Target PLF'!$I$2:$J$19,2,FALSE)</f>
        <v>WR</v>
      </c>
      <c r="D535" s="2" t="s">
        <v>570</v>
      </c>
      <c r="E535" s="2" t="s">
        <v>542</v>
      </c>
      <c r="F535" s="10">
        <v>0.53661875427789096</v>
      </c>
      <c r="G535" s="2">
        <v>800</v>
      </c>
      <c r="H535">
        <f>VLOOKUP(A535,'Coal savings'!$A$3:$AB$543,26,FALSE)</f>
        <v>3311967.2693642345</v>
      </c>
      <c r="O535" s="2" t="s">
        <v>1</v>
      </c>
      <c r="AH535" s="2" t="str">
        <f t="shared" si="178"/>
        <v/>
      </c>
      <c r="AI535" s="2"/>
      <c r="AJ535" s="2" t="str">
        <f t="shared" si="176"/>
        <v/>
      </c>
      <c r="AK535" s="12">
        <f t="shared" si="177"/>
        <v>1</v>
      </c>
      <c r="AL535" s="2" t="s">
        <v>570</v>
      </c>
      <c r="AM535" s="2" t="str">
        <f>VLOOKUP(A535,'[12]Power plant names'!$C$2:$F$545,4,FALSE)</f>
        <v>Super critical</v>
      </c>
      <c r="AN535" s="2">
        <v>800</v>
      </c>
      <c r="AO535" s="2">
        <f t="shared" si="179"/>
        <v>0.70613040000000005</v>
      </c>
      <c r="AP535" s="2">
        <v>800</v>
      </c>
      <c r="AQ535" s="2">
        <f t="shared" si="180"/>
        <v>0</v>
      </c>
      <c r="AR535" s="2">
        <f t="shared" si="181"/>
        <v>564.90431999999998</v>
      </c>
      <c r="AS535" s="2">
        <f t="shared" si="182"/>
        <v>0</v>
      </c>
      <c r="AU535" s="2"/>
      <c r="AV535" s="2" t="str">
        <f t="shared" si="184"/>
        <v/>
      </c>
      <c r="AW535" s="12">
        <f t="shared" si="185"/>
        <v>0.53661875427789096</v>
      </c>
      <c r="AX535" s="2">
        <v>800</v>
      </c>
      <c r="AY535" s="3">
        <f t="shared" si="186"/>
        <v>0.96185286776180701</v>
      </c>
      <c r="AZ535" s="2">
        <f t="shared" si="187"/>
        <v>769.48229420944563</v>
      </c>
      <c r="BA535" s="2">
        <f t="shared" si="188"/>
        <v>0</v>
      </c>
      <c r="BC535" t="str">
        <f t="shared" si="189"/>
        <v/>
      </c>
      <c r="BE535">
        <f t="shared" si="191"/>
        <v>1.0615630862422998</v>
      </c>
      <c r="BF535">
        <f t="shared" si="192"/>
        <v>849.25046899383983</v>
      </c>
      <c r="BG535">
        <f t="shared" si="193"/>
        <v>0</v>
      </c>
    </row>
    <row r="536" spans="1:59" hidden="1" x14ac:dyDescent="0.2">
      <c r="A536" s="2" t="s">
        <v>317</v>
      </c>
      <c r="B536" s="2" t="str">
        <f>VLOOKUP($A536,'[1]daily coal, energy reqd'!$C$2:$T$599,17,FALSE)</f>
        <v>Maharashtra</v>
      </c>
      <c r="C536" s="2" t="str">
        <f>VLOOKUP(B536,'Target PLF'!$I$2:$J$19,2,FALSE)</f>
        <v>WR</v>
      </c>
      <c r="D536" s="2" t="s">
        <v>572</v>
      </c>
      <c r="E536" s="2" t="s">
        <v>543</v>
      </c>
      <c r="F536" s="12">
        <v>9.5906913073237501</v>
      </c>
      <c r="G536" s="2">
        <v>135</v>
      </c>
      <c r="H536">
        <f>VLOOKUP(A536,'Coal savings'!$A$3:$AB$543,26,FALSE)</f>
        <v>0</v>
      </c>
      <c r="O536" s="2" t="s">
        <v>317</v>
      </c>
      <c r="AH536" s="2" t="str">
        <f t="shared" si="178"/>
        <v/>
      </c>
      <c r="AI536" s="2"/>
      <c r="AJ536" s="2" t="str">
        <f t="shared" si="176"/>
        <v/>
      </c>
      <c r="AK536" s="12">
        <f t="shared" si="177"/>
        <v>5.5906913073237501</v>
      </c>
      <c r="AL536" s="2" t="s">
        <v>572</v>
      </c>
      <c r="AM536" s="2" t="str">
        <f>VLOOKUP(A536,'[12]Power plant names'!$C$2:$F$545,4,FALSE)</f>
        <v>Sub critical</v>
      </c>
      <c r="AN536" s="2">
        <v>135</v>
      </c>
      <c r="AO536" s="2">
        <f t="shared" si="179"/>
        <v>0.94303711752224517</v>
      </c>
      <c r="AP536" s="2"/>
      <c r="AQ536" s="2">
        <f t="shared" si="180"/>
        <v>135</v>
      </c>
      <c r="AR536" s="2">
        <f t="shared" si="181"/>
        <v>0</v>
      </c>
      <c r="AS536" s="2">
        <f t="shared" si="182"/>
        <v>127.3100108655031</v>
      </c>
      <c r="AU536" s="2"/>
      <c r="AV536" s="2" t="str">
        <f t="shared" si="184"/>
        <v/>
      </c>
      <c r="AW536" s="12">
        <f t="shared" si="185"/>
        <v>9.5906913073237501</v>
      </c>
      <c r="AX536" s="2">
        <v>135</v>
      </c>
      <c r="AY536" s="3">
        <f t="shared" si="186"/>
        <v>1.1690177080082136</v>
      </c>
      <c r="AZ536" s="2">
        <f t="shared" si="187"/>
        <v>0</v>
      </c>
      <c r="BA536" s="2">
        <f t="shared" si="188"/>
        <v>157.81739058110884</v>
      </c>
      <c r="BC536" t="str">
        <f t="shared" si="189"/>
        <v/>
      </c>
      <c r="BE536">
        <f t="shared" si="191"/>
        <v>1.3336507556468173</v>
      </c>
      <c r="BF536">
        <f t="shared" si="192"/>
        <v>0</v>
      </c>
      <c r="BG536">
        <f t="shared" si="193"/>
        <v>180.04285201232034</v>
      </c>
    </row>
    <row r="537" spans="1:59" hidden="1" x14ac:dyDescent="0.2">
      <c r="A537" s="2" t="s">
        <v>316</v>
      </c>
      <c r="B537" s="2" t="str">
        <f>VLOOKUP($A537,'[1]daily coal, energy reqd'!$C$2:$T$599,17,FALSE)</f>
        <v>Maharashtra</v>
      </c>
      <c r="C537" s="2" t="str">
        <f>VLOOKUP(B537,'Target PLF'!$I$2:$J$19,2,FALSE)</f>
        <v>WR</v>
      </c>
      <c r="D537" s="2" t="s">
        <v>572</v>
      </c>
      <c r="E537" s="2" t="s">
        <v>543</v>
      </c>
      <c r="F537" s="12">
        <v>9.3388090349075892</v>
      </c>
      <c r="G537" s="2">
        <v>135</v>
      </c>
      <c r="H537">
        <f>VLOOKUP(A537,'Coal savings'!$A$3:$AB$543,26,FALSE)</f>
        <v>0</v>
      </c>
      <c r="O537" s="2" t="s">
        <v>316</v>
      </c>
      <c r="AH537" s="2" t="str">
        <f t="shared" si="178"/>
        <v/>
      </c>
      <c r="AI537" s="2"/>
      <c r="AJ537" s="2" t="str">
        <f t="shared" si="176"/>
        <v/>
      </c>
      <c r="AK537" s="12">
        <f t="shared" si="177"/>
        <v>5.3388090349075892</v>
      </c>
      <c r="AL537" s="2" t="s">
        <v>572</v>
      </c>
      <c r="AM537" s="2" t="str">
        <f>VLOOKUP(A537,'[12]Power plant names'!$C$2:$F$545,4,FALSE)</f>
        <v>Sub critical</v>
      </c>
      <c r="AN537" s="2">
        <v>135</v>
      </c>
      <c r="AO537" s="2">
        <f t="shared" si="179"/>
        <v>0.94652709753593456</v>
      </c>
      <c r="AP537" s="2"/>
      <c r="AQ537" s="2">
        <f t="shared" si="180"/>
        <v>135</v>
      </c>
      <c r="AR537" s="2">
        <f t="shared" si="181"/>
        <v>0</v>
      </c>
      <c r="AS537" s="2">
        <f t="shared" si="182"/>
        <v>127.78115816735117</v>
      </c>
      <c r="AU537" s="2"/>
      <c r="AV537" s="2" t="str">
        <f t="shared" si="184"/>
        <v/>
      </c>
      <c r="AW537" s="12">
        <f t="shared" si="185"/>
        <v>9.3388090349075892</v>
      </c>
      <c r="AX537" s="2">
        <v>135</v>
      </c>
      <c r="AY537" s="3">
        <f t="shared" si="186"/>
        <v>1.1735849129363451</v>
      </c>
      <c r="AZ537" s="2">
        <f t="shared" si="187"/>
        <v>0</v>
      </c>
      <c r="BA537" s="2">
        <f t="shared" si="188"/>
        <v>158.43396324640659</v>
      </c>
      <c r="BC537" t="str">
        <f t="shared" si="189"/>
        <v/>
      </c>
      <c r="BE537">
        <f t="shared" si="191"/>
        <v>1.3390721437371664</v>
      </c>
      <c r="BF537">
        <f t="shared" si="192"/>
        <v>0</v>
      </c>
      <c r="BG537">
        <f t="shared" si="193"/>
        <v>180.77473940451748</v>
      </c>
    </row>
    <row r="538" spans="1:59" hidden="1" x14ac:dyDescent="0.2">
      <c r="A538" s="2" t="s">
        <v>312</v>
      </c>
      <c r="B538" s="2" t="str">
        <f>VLOOKUP($A538,'[1]daily coal, energy reqd'!$C$2:$T$599,17,FALSE)</f>
        <v>Maharashtra</v>
      </c>
      <c r="C538" s="2" t="str">
        <f>VLOOKUP(B538,'Target PLF'!$I$2:$J$19,2,FALSE)</f>
        <v>WR</v>
      </c>
      <c r="D538" s="2" t="s">
        <v>572</v>
      </c>
      <c r="E538" s="2" t="s">
        <v>543</v>
      </c>
      <c r="F538" s="12">
        <v>9.0924024640656995</v>
      </c>
      <c r="G538" s="2">
        <v>135</v>
      </c>
      <c r="H538">
        <f>VLOOKUP(A538,'Coal savings'!$A$3:$AB$543,26,FALSE)</f>
        <v>0</v>
      </c>
      <c r="O538" s="2" t="s">
        <v>312</v>
      </c>
      <c r="AH538" s="2" t="str">
        <f t="shared" si="178"/>
        <v/>
      </c>
      <c r="AI538" s="2"/>
      <c r="AJ538" s="2" t="str">
        <f t="shared" si="176"/>
        <v/>
      </c>
      <c r="AK538" s="12">
        <f t="shared" si="177"/>
        <v>5.0924024640656995</v>
      </c>
      <c r="AL538" s="2" t="s">
        <v>572</v>
      </c>
      <c r="AM538" s="2" t="str">
        <f>VLOOKUP(A538,'[12]Power plant names'!$C$2:$F$545,4,FALSE)</f>
        <v>Sub critical</v>
      </c>
      <c r="AN538" s="2">
        <v>135</v>
      </c>
      <c r="AO538" s="2">
        <f t="shared" si="179"/>
        <v>0.9499412084188914</v>
      </c>
      <c r="AP538" s="2"/>
      <c r="AQ538" s="2">
        <f t="shared" si="180"/>
        <v>135</v>
      </c>
      <c r="AR538" s="2">
        <f t="shared" si="181"/>
        <v>0</v>
      </c>
      <c r="AS538" s="2">
        <f t="shared" si="182"/>
        <v>128.24206313655034</v>
      </c>
      <c r="AU538" s="2"/>
      <c r="AV538" s="2" t="str">
        <f t="shared" si="184"/>
        <v/>
      </c>
      <c r="AW538" s="12">
        <f t="shared" si="185"/>
        <v>9.0924024640656995</v>
      </c>
      <c r="AX538" s="2">
        <v>135</v>
      </c>
      <c r="AY538" s="3">
        <f t="shared" si="186"/>
        <v>1.1780528308008216</v>
      </c>
      <c r="AZ538" s="2">
        <f t="shared" si="187"/>
        <v>0</v>
      </c>
      <c r="BA538" s="2">
        <f t="shared" si="188"/>
        <v>159.03713215811092</v>
      </c>
      <c r="BC538" t="str">
        <f t="shared" si="189"/>
        <v/>
      </c>
      <c r="BE538">
        <f t="shared" si="191"/>
        <v>1.3443756755646818</v>
      </c>
      <c r="BF538">
        <f t="shared" si="192"/>
        <v>0</v>
      </c>
      <c r="BG538">
        <f t="shared" si="193"/>
        <v>181.49071620123206</v>
      </c>
    </row>
    <row r="539" spans="1:59" ht="14.5" customHeight="1" x14ac:dyDescent="0.2">
      <c r="A539" s="2" t="s">
        <v>276</v>
      </c>
      <c r="B539" s="2" t="str">
        <f>VLOOKUP($A539,'[1]daily coal, energy reqd'!$C$2:$T$599,17,FALSE)</f>
        <v>Haryana</v>
      </c>
      <c r="C539" s="2" t="str">
        <f>VLOOKUP(B539,'Target PLF'!$I$2:$J$19,2,FALSE)</f>
        <v>NR</v>
      </c>
      <c r="D539" s="2" t="s">
        <v>570</v>
      </c>
      <c r="E539" s="2" t="s">
        <v>544</v>
      </c>
      <c r="F539" s="12">
        <v>12.5065023956194</v>
      </c>
      <c r="G539" s="2">
        <v>300</v>
      </c>
      <c r="H539">
        <f>VLOOKUP(A539,'Coal savings'!$A$3:$AB$543,26,FALSE)</f>
        <v>937703.23640778509</v>
      </c>
      <c r="O539" s="2" t="s">
        <v>276</v>
      </c>
      <c r="AH539" s="2" t="str">
        <f t="shared" si="178"/>
        <v/>
      </c>
      <c r="AI539" s="2"/>
      <c r="AJ539" s="2" t="str">
        <f t="shared" si="176"/>
        <v/>
      </c>
      <c r="AK539" s="12">
        <f t="shared" si="177"/>
        <v>8.5065023956193997</v>
      </c>
      <c r="AL539" s="2" t="s">
        <v>570</v>
      </c>
      <c r="AM539" s="2" t="str">
        <f>VLOOKUP(A539,'[12]Power plant names'!$C$2:$F$545,4,FALSE)</f>
        <v>Sub critical</v>
      </c>
      <c r="AN539" s="2">
        <v>300</v>
      </c>
      <c r="AO539" s="2">
        <f t="shared" si="179"/>
        <v>0.82807330540725599</v>
      </c>
      <c r="AP539" s="2">
        <v>300</v>
      </c>
      <c r="AQ539" s="2">
        <f t="shared" si="180"/>
        <v>0</v>
      </c>
      <c r="AR539" s="2">
        <f t="shared" si="181"/>
        <v>248.42199162217679</v>
      </c>
      <c r="AS539" s="2">
        <f t="shared" si="182"/>
        <v>0</v>
      </c>
      <c r="AU539" s="2"/>
      <c r="AV539" s="2" t="str">
        <f t="shared" si="184"/>
        <v/>
      </c>
      <c r="AW539" s="12">
        <f t="shared" si="185"/>
        <v>12.5065023956194</v>
      </c>
      <c r="AX539" s="2">
        <v>300</v>
      </c>
      <c r="AY539" s="3">
        <f t="shared" si="186"/>
        <v>1.0240113466119105</v>
      </c>
      <c r="AZ539" s="2">
        <f t="shared" si="187"/>
        <v>307.20340398357314</v>
      </c>
      <c r="BA539" s="2">
        <f t="shared" si="188"/>
        <v>0</v>
      </c>
      <c r="BC539" t="str">
        <f t="shared" si="189"/>
        <v/>
      </c>
      <c r="BE539">
        <f t="shared" si="191"/>
        <v>1.1550292956878858</v>
      </c>
      <c r="BF539">
        <f t="shared" si="192"/>
        <v>346.50878870636575</v>
      </c>
      <c r="BG539">
        <f t="shared" si="193"/>
        <v>0</v>
      </c>
    </row>
    <row r="540" spans="1:59" ht="14.5" customHeight="1" x14ac:dyDescent="0.2">
      <c r="A540" s="2" t="s">
        <v>268</v>
      </c>
      <c r="B540" s="2" t="str">
        <f>VLOOKUP($A540,'[1]daily coal, energy reqd'!$C$2:$T$599,17,FALSE)</f>
        <v>Haryana</v>
      </c>
      <c r="C540" s="2" t="str">
        <f>VLOOKUP(B540,'Target PLF'!$I$2:$J$19,2,FALSE)</f>
        <v>NR</v>
      </c>
      <c r="D540" s="2" t="s">
        <v>570</v>
      </c>
      <c r="E540" s="2" t="s">
        <v>544</v>
      </c>
      <c r="F540" s="12">
        <v>12.175222450376401</v>
      </c>
      <c r="G540" s="2">
        <v>300</v>
      </c>
      <c r="H540">
        <f>VLOOKUP(A540,'Coal savings'!$A$3:$AB$543,26,FALSE)</f>
        <v>936930.83228579198</v>
      </c>
      <c r="O540" s="2" t="s">
        <v>268</v>
      </c>
      <c r="AH540" s="2" t="str">
        <f t="shared" si="178"/>
        <v/>
      </c>
      <c r="AI540" s="2"/>
      <c r="AJ540" s="2" t="str">
        <f t="shared" si="176"/>
        <v/>
      </c>
      <c r="AK540" s="12">
        <f t="shared" si="177"/>
        <v>8.1752224503764008</v>
      </c>
      <c r="AL540" s="2" t="s">
        <v>570</v>
      </c>
      <c r="AM540" s="2" t="str">
        <f>VLOOKUP(A540,'[12]Power plant names'!$C$2:$F$545,4,FALSE)</f>
        <v>Sub critical</v>
      </c>
      <c r="AN540" s="2">
        <v>300</v>
      </c>
      <c r="AO540" s="2">
        <f t="shared" si="179"/>
        <v>0.83266338781656479</v>
      </c>
      <c r="AP540" s="2">
        <v>300</v>
      </c>
      <c r="AQ540" s="2">
        <f t="shared" si="180"/>
        <v>0</v>
      </c>
      <c r="AR540" s="2">
        <f t="shared" si="181"/>
        <v>249.79901634496943</v>
      </c>
      <c r="AS540" s="2">
        <f t="shared" si="182"/>
        <v>0</v>
      </c>
      <c r="AU540" s="2"/>
      <c r="AV540" s="2" t="str">
        <f t="shared" si="184"/>
        <v/>
      </c>
      <c r="AW540" s="12">
        <f t="shared" si="185"/>
        <v>12.175222450376401</v>
      </c>
      <c r="AX540" s="2">
        <v>300</v>
      </c>
      <c r="AY540" s="3">
        <f t="shared" si="186"/>
        <v>1.0300182139630401</v>
      </c>
      <c r="AZ540" s="2">
        <f t="shared" si="187"/>
        <v>309.00546418891201</v>
      </c>
      <c r="BA540" s="2">
        <f t="shared" si="188"/>
        <v>0</v>
      </c>
      <c r="BC540" t="str">
        <f t="shared" si="189"/>
        <v/>
      </c>
      <c r="BE540">
        <f t="shared" si="191"/>
        <v>1.1621595995893235</v>
      </c>
      <c r="BF540">
        <f t="shared" si="192"/>
        <v>348.64787987679705</v>
      </c>
      <c r="BG540">
        <f t="shared" si="193"/>
        <v>0</v>
      </c>
    </row>
    <row r="541" spans="1:59" x14ac:dyDescent="0.2">
      <c r="A541" s="2" t="s">
        <v>9</v>
      </c>
      <c r="B541" s="2" t="str">
        <f>VLOOKUP($A541,'[1]daily coal, energy reqd'!$C$2:$T$599,17,FALSE)</f>
        <v>Karnataka</v>
      </c>
      <c r="C541" s="2" t="str">
        <f>VLOOKUP(B541,'Target PLF'!$I$2:$J$19,2,FALSE)</f>
        <v>SR</v>
      </c>
      <c r="D541" s="2" t="s">
        <v>570</v>
      </c>
      <c r="E541" s="2" t="s">
        <v>542</v>
      </c>
      <c r="F541" s="12">
        <v>4.1752224503764497</v>
      </c>
      <c r="G541" s="2">
        <v>800</v>
      </c>
      <c r="H541">
        <f>VLOOKUP(A541,'Coal savings'!$A$3:$AB$543,26,FALSE)</f>
        <v>3374686.4486622042</v>
      </c>
      <c r="O541" s="2" t="s">
        <v>9</v>
      </c>
      <c r="AH541" s="2" t="str">
        <f t="shared" si="178"/>
        <v/>
      </c>
      <c r="AI541" s="2"/>
      <c r="AJ541" s="2" t="str">
        <f t="shared" si="176"/>
        <v/>
      </c>
      <c r="AK541" s="12">
        <f t="shared" si="177"/>
        <v>0.17522245037644968</v>
      </c>
      <c r="AL541" s="2" t="s">
        <v>570</v>
      </c>
      <c r="AM541" s="2" t="str">
        <f>VLOOKUP(A541,'[12]Power plant names'!$C$2:$F$545,4,FALSE)</f>
        <v>Super critical</v>
      </c>
      <c r="AN541" s="2">
        <v>800</v>
      </c>
      <c r="AO541" s="2">
        <f t="shared" si="179"/>
        <v>0.71755818781656411</v>
      </c>
      <c r="AP541" s="2">
        <v>800</v>
      </c>
      <c r="AQ541" s="2">
        <f t="shared" si="180"/>
        <v>0</v>
      </c>
      <c r="AR541" s="2">
        <f t="shared" si="181"/>
        <v>574.04655025325133</v>
      </c>
      <c r="AS541" s="2">
        <f t="shared" si="182"/>
        <v>0</v>
      </c>
      <c r="AU541" s="2"/>
      <c r="AV541" s="2" t="str">
        <f t="shared" si="184"/>
        <v/>
      </c>
      <c r="AW541" s="12">
        <f t="shared" si="185"/>
        <v>4.1752224503764497</v>
      </c>
      <c r="AX541" s="2">
        <v>800</v>
      </c>
      <c r="AY541" s="3">
        <f t="shared" si="186"/>
        <v>0.89587661396303919</v>
      </c>
      <c r="AZ541" s="2">
        <f t="shared" si="187"/>
        <v>716.70129117043132</v>
      </c>
      <c r="BA541" s="2">
        <f t="shared" si="188"/>
        <v>0</v>
      </c>
      <c r="BC541" t="str">
        <f t="shared" si="189"/>
        <v/>
      </c>
      <c r="BE541">
        <f t="shared" si="191"/>
        <v>0.98324759958932251</v>
      </c>
      <c r="BF541">
        <f t="shared" si="192"/>
        <v>786.59807967145798</v>
      </c>
      <c r="BG541">
        <f t="shared" si="193"/>
        <v>0</v>
      </c>
    </row>
    <row r="542" spans="1:59" x14ac:dyDescent="0.2">
      <c r="A542" s="2" t="s">
        <v>6</v>
      </c>
      <c r="B542" s="2" t="str">
        <f>VLOOKUP($A542,'[1]daily coal, energy reqd'!$C$2:$T$599,17,FALSE)</f>
        <v>Karnataka</v>
      </c>
      <c r="C542" s="2" t="str">
        <f>VLOOKUP(B542,'Target PLF'!$I$2:$J$19,2,FALSE)</f>
        <v>SR</v>
      </c>
      <c r="D542" s="2" t="s">
        <v>570</v>
      </c>
      <c r="E542" s="2" t="s">
        <v>542</v>
      </c>
      <c r="F542" s="12">
        <v>3.0910335386721401</v>
      </c>
      <c r="G542" s="2">
        <v>800</v>
      </c>
      <c r="H542">
        <f>VLOOKUP(A542,'Coal savings'!$A$3:$AB$543,26,FALSE)</f>
        <v>3363173.4170626197</v>
      </c>
      <c r="O542" s="2" t="s">
        <v>6</v>
      </c>
      <c r="AH542" s="2" t="str">
        <f t="shared" si="178"/>
        <v/>
      </c>
      <c r="AI542" s="2"/>
      <c r="AJ542" s="2" t="str">
        <f t="shared" si="176"/>
        <v/>
      </c>
      <c r="AK542" s="12">
        <f t="shared" si="177"/>
        <v>1</v>
      </c>
      <c r="AL542" s="2" t="s">
        <v>570</v>
      </c>
      <c r="AM542" s="2" t="str">
        <f>VLOOKUP(A542,'[12]Power plant names'!$C$2:$F$545,4,FALSE)</f>
        <v>Super critical</v>
      </c>
      <c r="AN542" s="2">
        <v>800</v>
      </c>
      <c r="AO542" s="2">
        <f t="shared" si="179"/>
        <v>0.70613040000000005</v>
      </c>
      <c r="AP542" s="2">
        <v>800</v>
      </c>
      <c r="AQ542" s="2">
        <f t="shared" si="180"/>
        <v>0</v>
      </c>
      <c r="AR542" s="2">
        <f t="shared" si="181"/>
        <v>564.90431999999998</v>
      </c>
      <c r="AS542" s="2">
        <f t="shared" si="182"/>
        <v>0</v>
      </c>
      <c r="AU542" s="2"/>
      <c r="AV542" s="2" t="str">
        <f t="shared" si="184"/>
        <v/>
      </c>
      <c r="AW542" s="12">
        <f t="shared" si="185"/>
        <v>3.0910335386721401</v>
      </c>
      <c r="AX542" s="2">
        <v>800</v>
      </c>
      <c r="AY542" s="3">
        <f t="shared" si="186"/>
        <v>0.91553545256673519</v>
      </c>
      <c r="AZ542" s="2">
        <f t="shared" si="187"/>
        <v>732.42836205338813</v>
      </c>
      <c r="BA542" s="2">
        <f t="shared" si="188"/>
        <v>0</v>
      </c>
      <c r="BC542" t="str">
        <f t="shared" si="189"/>
        <v/>
      </c>
      <c r="BE542">
        <f t="shared" si="191"/>
        <v>1.0065831396303901</v>
      </c>
      <c r="BF542">
        <f t="shared" si="192"/>
        <v>805.26651170431217</v>
      </c>
      <c r="BG542">
        <f t="shared" si="193"/>
        <v>0</v>
      </c>
    </row>
    <row r="543" spans="1:59" x14ac:dyDescent="0.2">
      <c r="AP543">
        <f>_xlfn.AGGREGATE(9,1,AP2:AP542)</f>
        <v>129455</v>
      </c>
      <c r="AQ543">
        <f>_xlfn.AGGREGATE(9,1,AQ2:AQ542)</f>
        <v>14210</v>
      </c>
      <c r="AR543">
        <f>_xlfn.AGGREGATE(9,1,AR2:AR542)</f>
        <v>94879.255923542878</v>
      </c>
      <c r="AS543">
        <f>_xlfn.AGGREGATE(9,1,AS2:AS542)</f>
        <v>12001.951108458654</v>
      </c>
      <c r="AZ543">
        <f>SUM(AZ2:AZ542)</f>
        <v>157223.4867040129</v>
      </c>
      <c r="BA543">
        <f>_xlfn.AGGREGATE(9,1,BA2:BA542)</f>
        <v>15373.81608439169</v>
      </c>
      <c r="BG543">
        <f>_xlfn.AGGREGATE(9,1,BG2:BG542)</f>
        <v>17399.445605613466</v>
      </c>
    </row>
  </sheetData>
  <autoFilter ref="A1:BG542" xr:uid="{00000000-0009-0000-0000-000004000000}">
    <filterColumn colId="7">
      <filters>
        <filter val="Operational"/>
      </filters>
    </filterColumn>
  </autoFilter>
  <mergeCells count="265">
    <mergeCell ref="T370:T371"/>
    <mergeCell ref="Q13:Q15"/>
    <mergeCell ref="Q16:Q19"/>
    <mergeCell ref="Q304:Q309"/>
    <mergeCell ref="Q133:Q135"/>
    <mergeCell ref="AC113:AC116"/>
    <mergeCell ref="AC117:AC118"/>
    <mergeCell ref="W459:W464"/>
    <mergeCell ref="Q179:Q184"/>
    <mergeCell ref="Q23:Q25"/>
    <mergeCell ref="Q26:Q27"/>
    <mergeCell ref="Q31:Q33"/>
    <mergeCell ref="Q396:Q397"/>
    <mergeCell ref="Q385:Q386"/>
    <mergeCell ref="Q387:Q388"/>
    <mergeCell ref="T353:T359"/>
    <mergeCell ref="U353:U359"/>
    <mergeCell ref="V353:V359"/>
    <mergeCell ref="T246:T247"/>
    <mergeCell ref="T248:T249"/>
    <mergeCell ref="U246:U247"/>
    <mergeCell ref="U248:U249"/>
    <mergeCell ref="V246:V247"/>
    <mergeCell ref="V248:V249"/>
    <mergeCell ref="T502:T503"/>
    <mergeCell ref="T504:T505"/>
    <mergeCell ref="U502:U503"/>
    <mergeCell ref="U504:U505"/>
    <mergeCell ref="V502:V503"/>
    <mergeCell ref="V504:V505"/>
    <mergeCell ref="T372:T373"/>
    <mergeCell ref="T428:T434"/>
    <mergeCell ref="U428:U434"/>
    <mergeCell ref="V428:V434"/>
    <mergeCell ref="V440:V441"/>
    <mergeCell ref="V518:V522"/>
    <mergeCell ref="T523:T524"/>
    <mergeCell ref="U523:U524"/>
    <mergeCell ref="R238:R239"/>
    <mergeCell ref="S238:S239"/>
    <mergeCell ref="T151:T157"/>
    <mergeCell ref="U151:U157"/>
    <mergeCell ref="R202:R205"/>
    <mergeCell ref="R244:R245"/>
    <mergeCell ref="S240:S241"/>
    <mergeCell ref="U368:U369"/>
    <mergeCell ref="U370:U371"/>
    <mergeCell ref="U251:U258"/>
    <mergeCell ref="V251:V258"/>
    <mergeCell ref="T515:T516"/>
    <mergeCell ref="U515:U516"/>
    <mergeCell ref="T435:T437"/>
    <mergeCell ref="U435:U437"/>
    <mergeCell ref="V435:V437"/>
    <mergeCell ref="U438:U439"/>
    <mergeCell ref="T438:T439"/>
    <mergeCell ref="U440:U441"/>
    <mergeCell ref="T440:T441"/>
    <mergeCell ref="U372:U373"/>
    <mergeCell ref="Q468:Q472"/>
    <mergeCell ref="Q284:Q286"/>
    <mergeCell ref="R284:R286"/>
    <mergeCell ref="S284:S286"/>
    <mergeCell ref="Q461:Q462"/>
    <mergeCell ref="R461:R462"/>
    <mergeCell ref="S461:S462"/>
    <mergeCell ref="Q420:Q421"/>
    <mergeCell ref="U518:U522"/>
    <mergeCell ref="T518:T522"/>
    <mergeCell ref="Q459:Q460"/>
    <mergeCell ref="R459:R460"/>
    <mergeCell ref="S459:S460"/>
    <mergeCell ref="Q435:Q439"/>
    <mergeCell ref="Q428:Q434"/>
    <mergeCell ref="R428:R434"/>
    <mergeCell ref="S428:S434"/>
    <mergeCell ref="Q446:Q451"/>
    <mergeCell ref="R446:R451"/>
    <mergeCell ref="Q440:Q441"/>
    <mergeCell ref="R440:R441"/>
    <mergeCell ref="S440:S441"/>
    <mergeCell ref="R435:R439"/>
    <mergeCell ref="S435:S439"/>
    <mergeCell ref="T113:T117"/>
    <mergeCell ref="U113:U117"/>
    <mergeCell ref="V113:V117"/>
    <mergeCell ref="T140:T142"/>
    <mergeCell ref="U140:U142"/>
    <mergeCell ref="V140:V142"/>
    <mergeCell ref="R420:R421"/>
    <mergeCell ref="S420:S421"/>
    <mergeCell ref="Q513:Q525"/>
    <mergeCell ref="Q246:Q249"/>
    <mergeCell ref="R246:R249"/>
    <mergeCell ref="S246:S249"/>
    <mergeCell ref="R513:R525"/>
    <mergeCell ref="S513:S525"/>
    <mergeCell ref="Q190:Q196"/>
    <mergeCell ref="R190:R196"/>
    <mergeCell ref="S190:S196"/>
    <mergeCell ref="Q280:Q283"/>
    <mergeCell ref="R280:R283"/>
    <mergeCell ref="S280:S283"/>
    <mergeCell ref="Q202:Q205"/>
    <mergeCell ref="Q244:Q245"/>
    <mergeCell ref="R240:R241"/>
    <mergeCell ref="Q240:Q241"/>
    <mergeCell ref="Q78:Q79"/>
    <mergeCell ref="R140:R142"/>
    <mergeCell ref="Q140:Q142"/>
    <mergeCell ref="S140:S142"/>
    <mergeCell ref="Q49:Q50"/>
    <mergeCell ref="R49:R50"/>
    <mergeCell ref="S49:S50"/>
    <mergeCell ref="Q108:Q109"/>
    <mergeCell ref="R108:R109"/>
    <mergeCell ref="S108:S109"/>
    <mergeCell ref="S113:S117"/>
    <mergeCell ref="R86:R89"/>
    <mergeCell ref="S86:S89"/>
    <mergeCell ref="R113:R117"/>
    <mergeCell ref="S110:S111"/>
    <mergeCell ref="S123:S126"/>
    <mergeCell ref="Q510:Q512"/>
    <mergeCell ref="R510:R512"/>
    <mergeCell ref="S510:S512"/>
    <mergeCell ref="Q488:Q492"/>
    <mergeCell ref="R488:R492"/>
    <mergeCell ref="S488:S492"/>
    <mergeCell ref="Q502:Q503"/>
    <mergeCell ref="Q504:Q505"/>
    <mergeCell ref="R502:R503"/>
    <mergeCell ref="R504:R505"/>
    <mergeCell ref="S502:S503"/>
    <mergeCell ref="S504:S505"/>
    <mergeCell ref="Q2:Q4"/>
    <mergeCell ref="R2:R4"/>
    <mergeCell ref="S2:S4"/>
    <mergeCell ref="Q422:Q423"/>
    <mergeCell ref="R422:R423"/>
    <mergeCell ref="S422:S423"/>
    <mergeCell ref="R225:R227"/>
    <mergeCell ref="S225:S227"/>
    <mergeCell ref="Q225:Q227"/>
    <mergeCell ref="Q353:Q358"/>
    <mergeCell ref="R353:R358"/>
    <mergeCell ref="S353:S358"/>
    <mergeCell ref="Q411:Q412"/>
    <mergeCell ref="R411:R412"/>
    <mergeCell ref="S411:S412"/>
    <mergeCell ref="Q113:Q117"/>
    <mergeCell ref="R177:R178"/>
    <mergeCell ref="Q177:Q178"/>
    <mergeCell ref="S177:S178"/>
    <mergeCell ref="Q336:Q337"/>
    <mergeCell ref="R336:R337"/>
    <mergeCell ref="R273:R277"/>
    <mergeCell ref="S273:S277"/>
    <mergeCell ref="Q273:Q277"/>
    <mergeCell ref="Z151:Z154"/>
    <mergeCell ref="Z155:Z157"/>
    <mergeCell ref="AA151:AA154"/>
    <mergeCell ref="AB151:AB154"/>
    <mergeCell ref="AA155:AA157"/>
    <mergeCell ref="AB155:AB157"/>
    <mergeCell ref="W151:W154"/>
    <mergeCell ref="X151:X154"/>
    <mergeCell ref="Y151:Y154"/>
    <mergeCell ref="W155:W157"/>
    <mergeCell ref="X155:X157"/>
    <mergeCell ref="Y155:Y157"/>
    <mergeCell ref="W370:W371"/>
    <mergeCell ref="Q398:Q403"/>
    <mergeCell ref="R398:R403"/>
    <mergeCell ref="Q334:Q335"/>
    <mergeCell ref="R334:R335"/>
    <mergeCell ref="S334:S335"/>
    <mergeCell ref="R372:R373"/>
    <mergeCell ref="Q372:Q373"/>
    <mergeCell ref="Q370:Q371"/>
    <mergeCell ref="Q368:Q369"/>
    <mergeCell ref="S368:S369"/>
    <mergeCell ref="S370:S371"/>
    <mergeCell ref="S372:S373"/>
    <mergeCell ref="R368:R369"/>
    <mergeCell ref="R370:R371"/>
    <mergeCell ref="S336:S337"/>
    <mergeCell ref="S374:S377"/>
    <mergeCell ref="S385:S386"/>
    <mergeCell ref="S387:S388"/>
    <mergeCell ref="S396:S397"/>
    <mergeCell ref="V368:V369"/>
    <mergeCell ref="V370:V371"/>
    <mergeCell ref="V372:V373"/>
    <mergeCell ref="T368:T369"/>
    <mergeCell ref="Q270:Q272"/>
    <mergeCell ref="R270:R272"/>
    <mergeCell ref="S270:S272"/>
    <mergeCell ref="T238:T239"/>
    <mergeCell ref="U238:U239"/>
    <mergeCell ref="V238:V239"/>
    <mergeCell ref="Q155:Q157"/>
    <mergeCell ref="R155:R157"/>
    <mergeCell ref="S155:S157"/>
    <mergeCell ref="U190:U195"/>
    <mergeCell ref="T190:T195"/>
    <mergeCell ref="V151:V157"/>
    <mergeCell ref="V190:V195"/>
    <mergeCell ref="T251:T258"/>
    <mergeCell ref="Q207:Q213"/>
    <mergeCell ref="R207:R213"/>
    <mergeCell ref="Q218:Q220"/>
    <mergeCell ref="Q197:Q201"/>
    <mergeCell ref="R197:R201"/>
    <mergeCell ref="S197:S201"/>
    <mergeCell ref="Q238:Q239"/>
    <mergeCell ref="Q151:Q154"/>
    <mergeCell ref="Q6:Q10"/>
    <mergeCell ref="S6:S10"/>
    <mergeCell ref="W372:W373"/>
    <mergeCell ref="X368:X369"/>
    <mergeCell ref="X370:X371"/>
    <mergeCell ref="X372:X373"/>
    <mergeCell ref="Y372:Y373"/>
    <mergeCell ref="Y370:Y371"/>
    <mergeCell ref="Y368:Y369"/>
    <mergeCell ref="W190:W195"/>
    <mergeCell ref="X190:X195"/>
    <mergeCell ref="Y190:Y195"/>
    <mergeCell ref="R151:R154"/>
    <mergeCell ref="S151:S154"/>
    <mergeCell ref="W113:W118"/>
    <mergeCell ref="X113:X118"/>
    <mergeCell ref="Y113:Y118"/>
    <mergeCell ref="Q41:Q42"/>
    <mergeCell ref="R41:R42"/>
    <mergeCell ref="S41:S42"/>
    <mergeCell ref="Q86:Q89"/>
    <mergeCell ref="Q90:Q91"/>
    <mergeCell ref="R90:R91"/>
    <mergeCell ref="S90:S91"/>
    <mergeCell ref="S446:S451"/>
    <mergeCell ref="S468:S471"/>
    <mergeCell ref="S498:S500"/>
    <mergeCell ref="AB502:AB503"/>
    <mergeCell ref="AB504:AB505"/>
    <mergeCell ref="AE151:AE154"/>
    <mergeCell ref="R167:R168"/>
    <mergeCell ref="S167:S168"/>
    <mergeCell ref="S179:S184"/>
    <mergeCell ref="S207:S213"/>
    <mergeCell ref="S264:S267"/>
    <mergeCell ref="S268:S269"/>
    <mergeCell ref="S297:S299"/>
    <mergeCell ref="S327:S328"/>
    <mergeCell ref="AC155:AC157"/>
    <mergeCell ref="AD155:AD157"/>
    <mergeCell ref="AE155:AE157"/>
    <mergeCell ref="W502:W503"/>
    <mergeCell ref="W504:W505"/>
    <mergeCell ref="X502:X503"/>
    <mergeCell ref="Y502:Y503"/>
    <mergeCell ref="X504:X505"/>
    <mergeCell ref="Y504:Y505"/>
    <mergeCell ref="W368:W369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8"/>
  <sheetViews>
    <sheetView workbookViewId="0">
      <selection activeCell="B46" sqref="B46"/>
    </sheetView>
  </sheetViews>
  <sheetFormatPr baseColWidth="10" defaultColWidth="8.83203125" defaultRowHeight="15" x14ac:dyDescent="0.2"/>
  <cols>
    <col min="1" max="1" width="24.5" customWidth="1"/>
    <col min="2" max="2" width="21.83203125" customWidth="1"/>
    <col min="3" max="3" width="16.1640625" customWidth="1"/>
    <col min="4" max="7" width="15.5" bestFit="1" customWidth="1"/>
    <col min="8" max="8" width="13.5" bestFit="1" customWidth="1"/>
    <col min="9" max="10" width="15.5" bestFit="1" customWidth="1"/>
    <col min="11" max="11" width="16.83203125" bestFit="1" customWidth="1"/>
  </cols>
  <sheetData>
    <row r="1" spans="1:11" x14ac:dyDescent="0.2">
      <c r="B1" s="20" t="s">
        <v>574</v>
      </c>
      <c r="C1" s="30" t="s">
        <v>590</v>
      </c>
      <c r="D1" s="30" t="s">
        <v>591</v>
      </c>
      <c r="E1" s="30" t="s">
        <v>592</v>
      </c>
      <c r="F1" s="30" t="s">
        <v>593</v>
      </c>
      <c r="G1" s="30" t="s">
        <v>594</v>
      </c>
      <c r="H1" s="30" t="s">
        <v>595</v>
      </c>
      <c r="I1" s="30" t="s">
        <v>596</v>
      </c>
      <c r="J1" s="30" t="s">
        <v>597</v>
      </c>
      <c r="K1" s="31" t="s">
        <v>658</v>
      </c>
    </row>
    <row r="2" spans="1:11" x14ac:dyDescent="0.2">
      <c r="A2" s="95" t="s">
        <v>567</v>
      </c>
      <c r="B2" s="2" t="s">
        <v>598</v>
      </c>
      <c r="C2" s="17">
        <f>SUM('Coal savings'!AF3:AF277)</f>
        <v>16879015.580462191</v>
      </c>
      <c r="D2" s="17">
        <f>SUM('Coal savings'!AG3:AG277)</f>
        <v>32409247.918265667</v>
      </c>
      <c r="E2" s="17">
        <f>SUM('Coal savings'!AH3:AH277)</f>
        <v>32631923.388851348</v>
      </c>
      <c r="F2" s="17">
        <f>SUM('Coal savings'!AI3:AI277)</f>
        <v>79461149.035509691</v>
      </c>
      <c r="G2" s="17">
        <f>SUM('Coal savings'!AJ3:AJ277)</f>
        <v>69236470.082812965</v>
      </c>
      <c r="H2" s="17">
        <f>SUM('Coal savings'!AK3:AK277)</f>
        <v>1067212.7117973051</v>
      </c>
      <c r="I2" s="17">
        <f>SUM('Coal savings'!AL3:AL277)</f>
        <v>98545979.478109911</v>
      </c>
      <c r="J2" s="17">
        <f>SUM('Coal savings'!AM3:AM277)</f>
        <v>30553776.009885777</v>
      </c>
      <c r="K2" s="17">
        <f>SUM(C2:J2)</f>
        <v>360784774.20569485</v>
      </c>
    </row>
    <row r="3" spans="1:11" x14ac:dyDescent="0.2">
      <c r="A3" s="95"/>
      <c r="B3" s="2" t="s">
        <v>576</v>
      </c>
      <c r="C3" s="8">
        <f>SUM('Coal savings'!AF278:AF543)</f>
        <v>14529893.899292011</v>
      </c>
      <c r="D3" s="8">
        <f>SUM('Coal savings'!AG278:AG543)</f>
        <v>16532979.271136161</v>
      </c>
      <c r="E3" s="8">
        <f>SUM('Coal savings'!AH278:AH543)</f>
        <v>22030305.212173093</v>
      </c>
      <c r="F3" s="8">
        <f>SUM('Coal savings'!AI278:AI543)</f>
        <v>38579172.080503814</v>
      </c>
      <c r="G3" s="8">
        <f>SUM('Coal savings'!AJ278:AJ543)</f>
        <v>24945654.431892194</v>
      </c>
      <c r="H3" s="8">
        <f>SUM('Coal savings'!AK278:AK543)</f>
        <v>57280.138197412001</v>
      </c>
      <c r="I3" s="8">
        <f>SUM('Coal savings'!AL278:AL543)</f>
        <v>41884807.997974135</v>
      </c>
      <c r="J3" s="8">
        <f>SUM('Coal savings'!AM278:AM543)</f>
        <v>15501905.700027423</v>
      </c>
      <c r="K3" s="17">
        <f>SUM(C3:J3)</f>
        <v>174061998.73119625</v>
      </c>
    </row>
    <row r="4" spans="1:11" x14ac:dyDescent="0.2">
      <c r="A4" s="95" t="s">
        <v>600</v>
      </c>
      <c r="B4" s="2" t="s">
        <v>598</v>
      </c>
      <c r="C4" s="6">
        <f>C2/SUM(C$2:C$3)</f>
        <v>0.53739578546470068</v>
      </c>
      <c r="D4" s="6">
        <f t="shared" ref="D4:J4" si="0">D2/SUM(D$2:D$3)</f>
        <v>0.66219397398579594</v>
      </c>
      <c r="E4" s="6">
        <f t="shared" si="0"/>
        <v>0.5969738926495175</v>
      </c>
      <c r="F4" s="6">
        <f t="shared" si="0"/>
        <v>0.67316954312088784</v>
      </c>
      <c r="G4" s="6">
        <f t="shared" si="0"/>
        <v>0.73513387428420884</v>
      </c>
      <c r="H4" s="6">
        <f t="shared" si="0"/>
        <v>0.94906135846245609</v>
      </c>
      <c r="I4" s="6">
        <f t="shared" si="0"/>
        <v>0.7017405602378517</v>
      </c>
      <c r="J4" s="6">
        <f t="shared" si="0"/>
        <v>0.66340948337996841</v>
      </c>
      <c r="K4" s="6">
        <f>K2/SUM(K$2:K$3)</f>
        <v>0.67455726099756319</v>
      </c>
    </row>
    <row r="5" spans="1:11" x14ac:dyDescent="0.2">
      <c r="A5" s="95"/>
      <c r="B5" s="2" t="s">
        <v>576</v>
      </c>
      <c r="C5" s="6">
        <f>C3/SUM(C$2:C$3)</f>
        <v>0.46260421453529937</v>
      </c>
      <c r="D5" s="6">
        <f t="shared" ref="D5:J5" si="1">D3/SUM(D$2:D$3)</f>
        <v>0.33780602601420412</v>
      </c>
      <c r="E5" s="6">
        <f t="shared" si="1"/>
        <v>0.40302610735048255</v>
      </c>
      <c r="F5" s="6">
        <f t="shared" si="1"/>
        <v>0.32683045687911227</v>
      </c>
      <c r="G5" s="6">
        <f t="shared" si="1"/>
        <v>0.26486612571579121</v>
      </c>
      <c r="H5" s="6">
        <f t="shared" si="1"/>
        <v>5.0938641537543884E-2</v>
      </c>
      <c r="I5" s="6">
        <f t="shared" si="1"/>
        <v>0.29825943976214825</v>
      </c>
      <c r="J5" s="6">
        <f t="shared" si="1"/>
        <v>0.33659051662003153</v>
      </c>
      <c r="K5" s="6">
        <f>K3/SUM(K$2:K$3)</f>
        <v>0.32544273900243686</v>
      </c>
    </row>
    <row r="6" spans="1:11" x14ac:dyDescent="0.2">
      <c r="A6" s="95" t="s">
        <v>599</v>
      </c>
      <c r="B6" s="2" t="s">
        <v>598</v>
      </c>
      <c r="C6" s="8">
        <f ca="1">SUMIF('Coal savings'!$AE$3:$AM$277,"Pithead plant",'Coal savings'!AF$3:AF$277)</f>
        <v>399200.79080515867</v>
      </c>
      <c r="D6" s="8">
        <f ca="1">SUMIF('Coal savings'!$AE$3:$AM$277,"Pithead plant",'Coal savings'!AG$3:AG$277)</f>
        <v>0</v>
      </c>
      <c r="E6" s="8">
        <f ca="1">SUMIF('Coal savings'!$AE$3:$AM$277,"Pithead plant",'Coal savings'!AH$3:AH$277)</f>
        <v>13054041.493027518</v>
      </c>
      <c r="F6" s="8">
        <f ca="1">SUMIF('Coal savings'!$AE$3:$AM$277,"Pithead plant",'Coal savings'!AI$3:AI$277)</f>
        <v>16914096.578883413</v>
      </c>
      <c r="G6" s="8">
        <f ca="1">SUMIF('Coal savings'!$AE$3:$AM$277,"Pithead plant",'Coal savings'!AJ$3:AJ$277)</f>
        <v>54504666.877557501</v>
      </c>
      <c r="H6" s="8">
        <f ca="1">SUMIF('Coal savings'!$AE$3:$AM$277,"Pithead plant",'Coal savings'!AK$3:AK$277)</f>
        <v>120210.73025795328</v>
      </c>
      <c r="I6" s="8">
        <f ca="1">SUMIF('Coal savings'!$AE$3:$AM$277,"Pithead plant",'Coal savings'!AL$3:AL$277)</f>
        <v>26393878.784146775</v>
      </c>
      <c r="J6" s="8">
        <f ca="1">SUMIF('Coal savings'!$AE$3:$AM$277,"Pithead plant",'Coal savings'!AM$3:AM$277)</f>
        <v>0</v>
      </c>
      <c r="K6" s="8">
        <f ca="1">SUM(C6:J6)</f>
        <v>111386095.25467832</v>
      </c>
    </row>
    <row r="7" spans="1:11" x14ac:dyDescent="0.2">
      <c r="A7" s="95"/>
      <c r="B7" s="2" t="s">
        <v>576</v>
      </c>
      <c r="C7" s="8">
        <f ca="1">SUMIF('Coal savings'!$AE$278:$AM$543,"Pithead plant",'Coal savings'!AF$278:AF$543)</f>
        <v>119085.73337998908</v>
      </c>
      <c r="D7" s="8">
        <f ca="1">SUMIF('Coal savings'!$AE$278:$AM$543,"Pithead plant",'Coal savings'!AG$278:AG$543)</f>
        <v>2301.910019309963</v>
      </c>
      <c r="E7" s="8">
        <f ca="1">SUMIF('Coal savings'!$AE$278:$AM$543,"Pithead plant",'Coal savings'!AH$278:AH$543)</f>
        <v>7682248.2053006208</v>
      </c>
      <c r="F7" s="8">
        <f ca="1">SUMIF('Coal savings'!$AE$278:$AM$543,"Pithead plant",'Coal savings'!AI$278:AI$543)</f>
        <v>4609803.4716236237</v>
      </c>
      <c r="G7" s="8">
        <f ca="1">SUMIF('Coal savings'!$AE$278:$AM$543,"Pithead plant",'Coal savings'!AJ$278:AJ$543)</f>
        <v>16037652.519613301</v>
      </c>
      <c r="H7" s="8">
        <f ca="1">SUMIF('Coal savings'!$AE$278:$AM$543,"Pithead plant",'Coal savings'!AK$278:AK$543)</f>
        <v>57280.138197412001</v>
      </c>
      <c r="I7" s="8">
        <f ca="1">SUMIF('Coal savings'!$AE$278:$AM$543,"Pithead plant",'Coal savings'!AL$278:AL$543)</f>
        <v>10241996.377044899</v>
      </c>
      <c r="J7" s="8">
        <f ca="1">SUMIF('Coal savings'!$AE$278:$AM$543,"Pithead plant",'Coal savings'!AM$278:AM$543)</f>
        <v>0</v>
      </c>
      <c r="K7" s="8">
        <f ca="1">SUM(C7:J7)</f>
        <v>38750368.355179153</v>
      </c>
    </row>
    <row r="8" spans="1:11" x14ac:dyDescent="0.2">
      <c r="A8" s="95" t="s">
        <v>601</v>
      </c>
      <c r="B8" s="2" t="s">
        <v>598</v>
      </c>
      <c r="C8" s="6">
        <f ca="1">C6/SUM(C$6:C$7)</f>
        <v>0.77023185473090172</v>
      </c>
      <c r="D8" s="6">
        <f ca="1">D6/SUM(D$6:D$7)</f>
        <v>0</v>
      </c>
      <c r="E8" s="6">
        <f t="shared" ref="E8:K8" ca="1" si="2">E6/SUM(E$6:E$7)</f>
        <v>0.62952638504466873</v>
      </c>
      <c r="F8" s="6">
        <f t="shared" ca="1" si="2"/>
        <v>0.78582861559445716</v>
      </c>
      <c r="G8" s="6">
        <f t="shared" ca="1" si="2"/>
        <v>0.77265203842650365</v>
      </c>
      <c r="H8" s="6">
        <f t="shared" ca="1" si="2"/>
        <v>0.67727839355399511</v>
      </c>
      <c r="I8" s="6">
        <f t="shared" ca="1" si="2"/>
        <v>0.72043805881579626</v>
      </c>
      <c r="J8" s="6"/>
      <c r="K8" s="6">
        <f t="shared" ca="1" si="2"/>
        <v>0.74189902024150967</v>
      </c>
    </row>
    <row r="9" spans="1:11" x14ac:dyDescent="0.2">
      <c r="A9" s="95"/>
      <c r="B9" s="2" t="s">
        <v>576</v>
      </c>
      <c r="C9" s="6">
        <f ca="1">C7/SUM(C$6:C$7)</f>
        <v>0.22976814526909836</v>
      </c>
      <c r="D9" s="6">
        <f ca="1">D7/SUM(D$6:D$7)</f>
        <v>1</v>
      </c>
      <c r="E9" s="6">
        <f t="shared" ref="E9:K9" ca="1" si="3">E7/SUM(E$6:E$7)</f>
        <v>0.37047361495533127</v>
      </c>
      <c r="F9" s="6">
        <f t="shared" ca="1" si="3"/>
        <v>0.21417138440554273</v>
      </c>
      <c r="G9" s="6">
        <f t="shared" ca="1" si="3"/>
        <v>0.22734796157349649</v>
      </c>
      <c r="H9" s="6">
        <f t="shared" ca="1" si="3"/>
        <v>0.32272160644600478</v>
      </c>
      <c r="I9" s="6">
        <f t="shared" ca="1" si="3"/>
        <v>0.2795619411842038</v>
      </c>
      <c r="J9" s="6"/>
      <c r="K9" s="6">
        <f t="shared" ca="1" si="3"/>
        <v>0.25810097975849039</v>
      </c>
    </row>
    <row r="12" spans="1:11" x14ac:dyDescent="0.2">
      <c r="A12" s="20" t="s">
        <v>574</v>
      </c>
      <c r="B12" s="20" t="s">
        <v>657</v>
      </c>
      <c r="C12" s="20" t="s">
        <v>604</v>
      </c>
    </row>
    <row r="13" spans="1:11" x14ac:dyDescent="0.2">
      <c r="A13" s="2" t="s">
        <v>598</v>
      </c>
      <c r="B13" s="8">
        <f>SUM('Coal savings'!V3:V277)</f>
        <v>47922464.274737865</v>
      </c>
      <c r="C13" s="2">
        <v>4270</v>
      </c>
    </row>
    <row r="14" spans="1:11" x14ac:dyDescent="0.2">
      <c r="A14" s="2" t="s">
        <v>576</v>
      </c>
      <c r="B14" s="8">
        <f>SUM('Coal savings'!V278:V543)</f>
        <v>24411416.145591769</v>
      </c>
      <c r="C14" s="2">
        <v>4321</v>
      </c>
    </row>
    <row r="18" spans="1:4" x14ac:dyDescent="0.2">
      <c r="A18" s="20" t="s">
        <v>639</v>
      </c>
      <c r="B18" s="20" t="s">
        <v>642</v>
      </c>
      <c r="C18" s="20" t="s">
        <v>641</v>
      </c>
      <c r="D18" s="20" t="s">
        <v>640</v>
      </c>
    </row>
    <row r="19" spans="1:4" x14ac:dyDescent="0.2">
      <c r="A19" s="28" t="s">
        <v>590</v>
      </c>
      <c r="B19" s="12">
        <v>4316.2177383050839</v>
      </c>
      <c r="C19" s="29">
        <v>51704820.531999946</v>
      </c>
      <c r="D19" s="6">
        <f>C19/$C$27</f>
        <v>5.2256226167437185E-2</v>
      </c>
    </row>
    <row r="20" spans="1:4" x14ac:dyDescent="0.2">
      <c r="A20" s="28" t="s">
        <v>591</v>
      </c>
      <c r="B20" s="12">
        <v>4304.8689461390541</v>
      </c>
      <c r="C20" s="29">
        <v>84155033.336999908</v>
      </c>
      <c r="D20" s="6">
        <f t="shared" ref="D20:D27" si="4">C20/$C$27</f>
        <v>8.5052504001339832E-2</v>
      </c>
    </row>
    <row r="21" spans="1:4" x14ac:dyDescent="0.2">
      <c r="A21" s="28" t="s">
        <v>592</v>
      </c>
      <c r="B21" s="12">
        <v>5059.0185181542902</v>
      </c>
      <c r="C21" s="29">
        <v>111115400.8247999</v>
      </c>
      <c r="D21" s="6">
        <f t="shared" si="4"/>
        <v>0.11230039010758336</v>
      </c>
    </row>
    <row r="22" spans="1:4" x14ac:dyDescent="0.2">
      <c r="A22" s="28" t="s">
        <v>593</v>
      </c>
      <c r="B22" s="12">
        <v>3577.0422471690913</v>
      </c>
      <c r="C22" s="29">
        <v>189926508.5991109</v>
      </c>
      <c r="D22" s="6">
        <f t="shared" si="4"/>
        <v>0.19195197829580299</v>
      </c>
    </row>
    <row r="23" spans="1:4" x14ac:dyDescent="0.2">
      <c r="A23" s="28" t="s">
        <v>594</v>
      </c>
      <c r="B23" s="12">
        <v>4503.0962946398622</v>
      </c>
      <c r="C23" s="29">
        <v>208931054.25609976</v>
      </c>
      <c r="D23" s="6">
        <f t="shared" si="4"/>
        <v>0.21115919777442715</v>
      </c>
    </row>
    <row r="24" spans="1:4" x14ac:dyDescent="0.2">
      <c r="A24" s="28" t="s">
        <v>595</v>
      </c>
      <c r="B24" s="12">
        <v>6504.7220533705931</v>
      </c>
      <c r="C24" s="29">
        <v>1292719.3999999999</v>
      </c>
      <c r="D24" s="32">
        <f t="shared" si="4"/>
        <v>1.3065055954623339E-3</v>
      </c>
    </row>
    <row r="25" spans="1:4" x14ac:dyDescent="0.2">
      <c r="A25" s="28" t="s">
        <v>596</v>
      </c>
      <c r="B25" s="12">
        <v>4277.9166493810972</v>
      </c>
      <c r="C25" s="29">
        <v>254533795.19499972</v>
      </c>
      <c r="D25" s="6">
        <f t="shared" si="4"/>
        <v>0.25724826877088008</v>
      </c>
    </row>
    <row r="26" spans="1:4" x14ac:dyDescent="0.2">
      <c r="A26" s="28" t="s">
        <v>597</v>
      </c>
      <c r="B26" s="12">
        <v>4279.0292548546358</v>
      </c>
      <c r="C26" s="29">
        <v>87788707.336099952</v>
      </c>
      <c r="D26" s="6">
        <f t="shared" si="4"/>
        <v>8.8724929287067114E-2</v>
      </c>
    </row>
    <row r="27" spans="1:4" x14ac:dyDescent="0.2">
      <c r="A27" s="28" t="s">
        <v>567</v>
      </c>
      <c r="B27" s="12">
        <v>4286</v>
      </c>
      <c r="C27" s="17">
        <f>SUM(C19:C26)</f>
        <v>989448039.48011005</v>
      </c>
      <c r="D27" s="6">
        <f t="shared" si="4"/>
        <v>1</v>
      </c>
    </row>
    <row r="29" spans="1:4" x14ac:dyDescent="0.2">
      <c r="B29" s="94" t="s">
        <v>643</v>
      </c>
      <c r="C29" s="94"/>
      <c r="D29" s="94"/>
    </row>
    <row r="30" spans="1:4" x14ac:dyDescent="0.2">
      <c r="A30" s="34" t="s">
        <v>555</v>
      </c>
      <c r="B30" s="20" t="s">
        <v>598</v>
      </c>
      <c r="C30" s="20" t="s">
        <v>576</v>
      </c>
      <c r="D30" s="20" t="s">
        <v>644</v>
      </c>
    </row>
    <row r="31" spans="1:4" x14ac:dyDescent="0.2">
      <c r="A31" s="2" t="s">
        <v>542</v>
      </c>
      <c r="B31" s="12">
        <v>4421.1451351909036</v>
      </c>
      <c r="C31" s="12">
        <v>4641.5356116580042</v>
      </c>
      <c r="D31" s="12">
        <v>4423.2145293361345</v>
      </c>
    </row>
    <row r="32" spans="1:4" x14ac:dyDescent="0.2">
      <c r="A32" s="2" t="s">
        <v>543</v>
      </c>
      <c r="B32" s="12">
        <v>4193.1013131310656</v>
      </c>
      <c r="C32" s="12">
        <v>4237.0805460910988</v>
      </c>
      <c r="D32" s="12">
        <v>4194.7330712027715</v>
      </c>
    </row>
    <row r="33" spans="1:4" x14ac:dyDescent="0.2">
      <c r="A33" s="2" t="s">
        <v>544</v>
      </c>
      <c r="B33" s="12">
        <v>4256.5381108574502</v>
      </c>
      <c r="C33" s="12">
        <v>4392.9559932383027</v>
      </c>
      <c r="D33" s="12">
        <v>4311.8243658254405</v>
      </c>
    </row>
    <row r="34" spans="1:4" x14ac:dyDescent="0.2">
      <c r="A34" s="2" t="s">
        <v>545</v>
      </c>
      <c r="B34" s="12">
        <v>3841.2310829783401</v>
      </c>
      <c r="C34" s="12">
        <v>4544.3726260086451</v>
      </c>
      <c r="D34" s="12">
        <v>4174.5761721234367</v>
      </c>
    </row>
    <row r="35" spans="1:4" x14ac:dyDescent="0.2">
      <c r="A35" s="2" t="s">
        <v>546</v>
      </c>
      <c r="B35" s="12">
        <v>4134.4036374919042</v>
      </c>
      <c r="C35" s="12">
        <v>4443.7389447262103</v>
      </c>
      <c r="D35" s="12">
        <v>4356.6022384630278</v>
      </c>
    </row>
    <row r="36" spans="1:4" x14ac:dyDescent="0.2">
      <c r="A36" s="2" t="s">
        <v>547</v>
      </c>
      <c r="B36" s="12">
        <v>4356.9456324883004</v>
      </c>
      <c r="C36" s="12">
        <v>4156.9125858591133</v>
      </c>
      <c r="D36" s="12">
        <v>4223.9991768137088</v>
      </c>
    </row>
    <row r="37" spans="1:4" x14ac:dyDescent="0.2">
      <c r="A37" s="2" t="s">
        <v>548</v>
      </c>
      <c r="B37" s="12">
        <v>4324.4631784392468</v>
      </c>
      <c r="C37" s="12">
        <v>4273.581183565062</v>
      </c>
      <c r="D37" s="12">
        <v>4289.8597011207876</v>
      </c>
    </row>
    <row r="38" spans="1:4" x14ac:dyDescent="0.2">
      <c r="A38" s="2" t="s">
        <v>549</v>
      </c>
      <c r="B38" s="2"/>
      <c r="C38" s="12">
        <v>4331.8834052942721</v>
      </c>
      <c r="D38" s="12">
        <v>4331.8834052942721</v>
      </c>
    </row>
    <row r="39" spans="1:4" x14ac:dyDescent="0.2">
      <c r="A39" s="2" t="s">
        <v>550</v>
      </c>
      <c r="B39" s="2"/>
      <c r="C39" s="12">
        <v>4264.467758275925</v>
      </c>
      <c r="D39" s="12">
        <v>4264.467758275925</v>
      </c>
    </row>
    <row r="40" spans="1:4" x14ac:dyDescent="0.2">
      <c r="A40" s="2" t="s">
        <v>551</v>
      </c>
      <c r="B40" s="2"/>
      <c r="C40" s="12">
        <v>4046.3136597590069</v>
      </c>
      <c r="D40" s="12">
        <v>4046.3136597590069</v>
      </c>
    </row>
    <row r="43" spans="1:4" x14ac:dyDescent="0.2">
      <c r="B43" s="94" t="s">
        <v>643</v>
      </c>
      <c r="C43" s="94"/>
      <c r="D43" s="94"/>
    </row>
    <row r="44" spans="1:4" x14ac:dyDescent="0.2">
      <c r="A44" s="34" t="s">
        <v>559</v>
      </c>
      <c r="B44" s="20" t="s">
        <v>598</v>
      </c>
      <c r="C44" s="20" t="s">
        <v>576</v>
      </c>
      <c r="D44" s="20" t="s">
        <v>644</v>
      </c>
    </row>
    <row r="45" spans="1:4" x14ac:dyDescent="0.2">
      <c r="A45" s="23" t="s">
        <v>571</v>
      </c>
      <c r="B45" s="12">
        <v>4472.7174570522602</v>
      </c>
      <c r="C45" s="12">
        <v>4468.0417845911106</v>
      </c>
      <c r="D45" s="12">
        <v>4471.7827818598835</v>
      </c>
    </row>
    <row r="46" spans="1:4" x14ac:dyDescent="0.2">
      <c r="A46" s="23" t="s">
        <v>572</v>
      </c>
      <c r="B46" s="12">
        <v>4111.1069486617835</v>
      </c>
      <c r="C46" s="12">
        <v>4335.0533785849675</v>
      </c>
      <c r="D46" s="12">
        <v>4126.3009007314449</v>
      </c>
    </row>
    <row r="47" spans="1:4" x14ac:dyDescent="0.2">
      <c r="A47" s="23" t="s">
        <v>570</v>
      </c>
      <c r="B47" s="12">
        <v>4237.6068479857413</v>
      </c>
      <c r="C47" s="12">
        <v>4266.1758466053298</v>
      </c>
      <c r="D47" s="12">
        <v>4251.394804318923</v>
      </c>
    </row>
    <row r="50" spans="1:7" x14ac:dyDescent="0.2">
      <c r="B50" s="94" t="s">
        <v>643</v>
      </c>
      <c r="C50" s="94"/>
      <c r="D50" s="94"/>
    </row>
    <row r="51" spans="1:7" x14ac:dyDescent="0.2">
      <c r="A51" s="34" t="s">
        <v>559</v>
      </c>
      <c r="B51" s="20" t="s">
        <v>598</v>
      </c>
      <c r="C51" s="20" t="s">
        <v>576</v>
      </c>
      <c r="D51" s="20" t="s">
        <v>644</v>
      </c>
    </row>
    <row r="52" spans="1:7" x14ac:dyDescent="0.2">
      <c r="A52" s="23" t="s">
        <v>647</v>
      </c>
      <c r="B52" s="12">
        <v>4203.6874170745696</v>
      </c>
      <c r="C52" s="12">
        <v>4240.436763741086</v>
      </c>
      <c r="D52" s="12">
        <v>4212.3049964285383</v>
      </c>
    </row>
    <row r="53" spans="1:7" x14ac:dyDescent="0.2">
      <c r="A53" s="23" t="s">
        <v>648</v>
      </c>
      <c r="B53" s="12">
        <v>4286.4745557477054</v>
      </c>
      <c r="C53" s="12">
        <v>4338.0661427067671</v>
      </c>
      <c r="D53" s="12">
        <v>4300.3771026669556</v>
      </c>
    </row>
    <row r="54" spans="1:7" x14ac:dyDescent="0.2">
      <c r="B54" s="36"/>
      <c r="C54" s="36"/>
      <c r="D54" s="36"/>
    </row>
    <row r="56" spans="1:7" x14ac:dyDescent="0.2">
      <c r="A56" s="27" t="s">
        <v>667</v>
      </c>
    </row>
    <row r="57" spans="1:7" x14ac:dyDescent="0.2">
      <c r="A57" s="20" t="s">
        <v>665</v>
      </c>
      <c r="B57" s="20" t="s">
        <v>659</v>
      </c>
      <c r="C57" s="20" t="s">
        <v>660</v>
      </c>
      <c r="D57" s="20" t="s">
        <v>661</v>
      </c>
      <c r="E57" s="20" t="s">
        <v>662</v>
      </c>
      <c r="F57" s="20" t="s">
        <v>663</v>
      </c>
      <c r="G57" s="20" t="s">
        <v>664</v>
      </c>
    </row>
    <row r="58" spans="1:7" x14ac:dyDescent="0.2">
      <c r="A58" s="2" t="s">
        <v>666</v>
      </c>
      <c r="B58" s="8">
        <v>435551.75999999978</v>
      </c>
      <c r="C58" s="8">
        <v>43173.499999999964</v>
      </c>
      <c r="D58" s="8">
        <v>32927.059999999983</v>
      </c>
      <c r="E58" s="8">
        <v>5131.4000000000005</v>
      </c>
      <c r="F58" s="8">
        <v>71005.340000000011</v>
      </c>
      <c r="G58" s="8">
        <v>54664.770000000026</v>
      </c>
    </row>
  </sheetData>
  <mergeCells count="7">
    <mergeCell ref="B43:D43"/>
    <mergeCell ref="B50:D50"/>
    <mergeCell ref="A2:A3"/>
    <mergeCell ref="A6:A7"/>
    <mergeCell ref="A4:A5"/>
    <mergeCell ref="A8:A9"/>
    <mergeCell ref="B29:D29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J8"/>
  <sheetViews>
    <sheetView workbookViewId="0">
      <selection activeCell="J9" sqref="J9"/>
    </sheetView>
  </sheetViews>
  <sheetFormatPr baseColWidth="10" defaultColWidth="8.83203125" defaultRowHeight="15" x14ac:dyDescent="0.2"/>
  <cols>
    <col min="1" max="1" width="15.5" bestFit="1" customWidth="1"/>
    <col min="2" max="2" width="15.1640625" bestFit="1" customWidth="1"/>
    <col min="3" max="4" width="14.5" bestFit="1" customWidth="1"/>
    <col min="6" max="6" width="11.5" bestFit="1" customWidth="1"/>
  </cols>
  <sheetData>
    <row r="3" spans="1:10" x14ac:dyDescent="0.2">
      <c r="A3" t="s">
        <v>1231</v>
      </c>
      <c r="B3" t="s">
        <v>654</v>
      </c>
      <c r="C3" t="s">
        <v>1232</v>
      </c>
      <c r="F3" s="69" t="s">
        <v>638</v>
      </c>
      <c r="G3" s="69" t="s">
        <v>1231</v>
      </c>
      <c r="H3" s="69" t="s">
        <v>654</v>
      </c>
      <c r="I3" s="69" t="s">
        <v>1232</v>
      </c>
    </row>
    <row r="4" spans="1:10" x14ac:dyDescent="0.2">
      <c r="A4">
        <v>563800055.37218809</v>
      </c>
      <c r="B4">
        <v>194023.5</v>
      </c>
      <c r="C4">
        <v>485537.66855448438</v>
      </c>
      <c r="F4" s="26" t="s">
        <v>598</v>
      </c>
      <c r="G4">
        <v>400522699.85044646</v>
      </c>
      <c r="H4">
        <v>143665</v>
      </c>
      <c r="I4">
        <v>343694.86050603329</v>
      </c>
      <c r="J4">
        <f>G4/H4</f>
        <v>2787.8933619910658</v>
      </c>
    </row>
    <row r="5" spans="1:10" x14ac:dyDescent="0.2">
      <c r="F5" s="26" t="s">
        <v>576</v>
      </c>
      <c r="G5">
        <v>163277355.52174127</v>
      </c>
      <c r="H5">
        <v>50358.5</v>
      </c>
      <c r="I5">
        <v>141842.80804845097</v>
      </c>
      <c r="J5">
        <f>G5/H5</f>
        <v>3242.2998207202613</v>
      </c>
    </row>
    <row r="6" spans="1:10" x14ac:dyDescent="0.2">
      <c r="F6" t="s">
        <v>567</v>
      </c>
      <c r="G6">
        <v>563800055.37218809</v>
      </c>
      <c r="H6">
        <v>194023.5</v>
      </c>
      <c r="I6">
        <v>485537.66855448438</v>
      </c>
      <c r="J6">
        <f>G6/H6</f>
        <v>2905.8338570955998</v>
      </c>
    </row>
    <row r="8" spans="1:10" x14ac:dyDescent="0.2">
      <c r="J8">
        <f>(J6-J4)/J6</f>
        <v>4.0587487414857321E-2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E15"/>
  <sheetViews>
    <sheetView workbookViewId="0">
      <selection activeCell="K14" sqref="K14"/>
    </sheetView>
  </sheetViews>
  <sheetFormatPr baseColWidth="10" defaultColWidth="8.83203125" defaultRowHeight="15" x14ac:dyDescent="0.2"/>
  <cols>
    <col min="1" max="1" width="14.33203125" bestFit="1" customWidth="1"/>
    <col min="2" max="2" width="16.33203125" bestFit="1" customWidth="1"/>
    <col min="3" max="3" width="12" bestFit="1" customWidth="1"/>
    <col min="4" max="4" width="13.5" bestFit="1" customWidth="1"/>
    <col min="5" max="5" width="12" bestFit="1" customWidth="1"/>
  </cols>
  <sheetData>
    <row r="3" spans="1:5" x14ac:dyDescent="0.2">
      <c r="A3" s="33" t="s">
        <v>1251</v>
      </c>
      <c r="B3" s="33" t="s">
        <v>653</v>
      </c>
    </row>
    <row r="4" spans="1:5" x14ac:dyDescent="0.2">
      <c r="A4" s="33" t="s">
        <v>638</v>
      </c>
      <c r="B4" t="s">
        <v>571</v>
      </c>
      <c r="C4" t="s">
        <v>572</v>
      </c>
      <c r="D4" t="s">
        <v>570</v>
      </c>
      <c r="E4" t="s">
        <v>645</v>
      </c>
    </row>
    <row r="5" spans="1:5" x14ac:dyDescent="0.2">
      <c r="A5" s="26" t="s">
        <v>542</v>
      </c>
      <c r="B5">
        <v>0.34971869976606113</v>
      </c>
      <c r="C5">
        <v>0.48733840788832478</v>
      </c>
      <c r="D5">
        <v>0.4635004493371887</v>
      </c>
      <c r="E5">
        <v>0.43758397429019391</v>
      </c>
    </row>
    <row r="6" spans="1:5" x14ac:dyDescent="0.2">
      <c r="A6" s="26" t="s">
        <v>544</v>
      </c>
      <c r="B6">
        <v>0.80342946065451171</v>
      </c>
      <c r="C6">
        <v>0.48755001152723471</v>
      </c>
      <c r="D6">
        <v>0.58161079202522148</v>
      </c>
      <c r="E6">
        <v>0.63436190545310633</v>
      </c>
    </row>
    <row r="7" spans="1:5" x14ac:dyDescent="0.2">
      <c r="A7" s="26" t="s">
        <v>545</v>
      </c>
      <c r="B7">
        <v>0.78193548503293064</v>
      </c>
      <c r="C7">
        <v>0.72190275523573277</v>
      </c>
      <c r="D7">
        <v>0.55134606918040641</v>
      </c>
      <c r="E7">
        <v>0.69274579599975039</v>
      </c>
    </row>
    <row r="8" spans="1:5" x14ac:dyDescent="0.2">
      <c r="A8" s="26" t="s">
        <v>546</v>
      </c>
      <c r="B8">
        <v>0.7487009761100164</v>
      </c>
      <c r="C8">
        <v>0.76787461591830908</v>
      </c>
      <c r="D8">
        <v>0.61816157918163295</v>
      </c>
      <c r="E8">
        <v>0.68030279764274426</v>
      </c>
    </row>
    <row r="9" spans="1:5" x14ac:dyDescent="0.2">
      <c r="A9" s="26" t="s">
        <v>547</v>
      </c>
      <c r="B9">
        <v>0.68092825644989685</v>
      </c>
      <c r="C9">
        <v>0.66603945227729511</v>
      </c>
      <c r="D9">
        <v>0.61600329950155741</v>
      </c>
      <c r="E9">
        <v>0.63966651547189746</v>
      </c>
    </row>
    <row r="10" spans="1:5" x14ac:dyDescent="0.2">
      <c r="A10" s="26" t="s">
        <v>548</v>
      </c>
      <c r="B10">
        <v>0.82402495092137162</v>
      </c>
      <c r="C10">
        <v>0.8162952483112742</v>
      </c>
      <c r="D10">
        <v>0.54217145116207099</v>
      </c>
      <c r="E10">
        <v>0.71085904591359372</v>
      </c>
    </row>
    <row r="11" spans="1:5" x14ac:dyDescent="0.2">
      <c r="A11" s="26" t="s">
        <v>549</v>
      </c>
      <c r="B11">
        <v>0.80143053940924791</v>
      </c>
      <c r="C11">
        <v>0.7345884960438942</v>
      </c>
      <c r="D11">
        <v>0.45321071402954993</v>
      </c>
      <c r="E11">
        <v>0.57289399600223267</v>
      </c>
    </row>
    <row r="12" spans="1:5" x14ac:dyDescent="0.2">
      <c r="A12" s="26" t="s">
        <v>550</v>
      </c>
      <c r="B12" t="e">
        <v>#DIV/0!</v>
      </c>
      <c r="C12">
        <v>0.80685983753381596</v>
      </c>
      <c r="D12">
        <v>0.56325290385421933</v>
      </c>
      <c r="E12">
        <v>0.57577231800477668</v>
      </c>
    </row>
    <row r="13" spans="1:5" x14ac:dyDescent="0.2">
      <c r="A13" s="26" t="s">
        <v>551</v>
      </c>
      <c r="B13">
        <v>0.88100030605856527</v>
      </c>
      <c r="C13" t="e">
        <v>#DIV/0!</v>
      </c>
      <c r="D13">
        <v>0.52023095637920513</v>
      </c>
      <c r="E13">
        <v>0.66548601182997602</v>
      </c>
    </row>
    <row r="14" spans="1:5" x14ac:dyDescent="0.2">
      <c r="A14" s="26" t="s">
        <v>543</v>
      </c>
      <c r="B14">
        <v>0.68804301677683788</v>
      </c>
      <c r="C14">
        <v>0.58987129300467367</v>
      </c>
      <c r="D14">
        <v>0.62141720502436426</v>
      </c>
      <c r="E14">
        <v>0.61677794724572621</v>
      </c>
    </row>
    <row r="15" spans="1:5" x14ac:dyDescent="0.2">
      <c r="A15" s="26" t="s">
        <v>645</v>
      </c>
      <c r="B15">
        <v>0.64743029404073504</v>
      </c>
      <c r="C15">
        <v>0.5628720467513092</v>
      </c>
      <c r="D15">
        <v>0.55175331576410758</v>
      </c>
      <c r="E15">
        <v>0.5843760481743997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544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G359" sqref="G359"/>
    </sheetView>
  </sheetViews>
  <sheetFormatPr baseColWidth="10" defaultColWidth="8.83203125" defaultRowHeight="15" x14ac:dyDescent="0.2"/>
  <cols>
    <col min="1" max="1" width="31" bestFit="1" customWidth="1"/>
    <col min="2" max="2" width="15.6640625" bestFit="1" customWidth="1"/>
    <col min="4" max="4" width="16.1640625" bestFit="1" customWidth="1"/>
    <col min="5" max="5" width="12.6640625" bestFit="1" customWidth="1"/>
    <col min="14" max="14" width="13.5" bestFit="1" customWidth="1"/>
  </cols>
  <sheetData>
    <row r="1" spans="1:17" x14ac:dyDescent="0.2">
      <c r="A1" s="2" t="s">
        <v>556</v>
      </c>
      <c r="B1" t="s">
        <v>558</v>
      </c>
      <c r="C1" t="s">
        <v>607</v>
      </c>
      <c r="D1" t="s">
        <v>559</v>
      </c>
      <c r="E1" t="s">
        <v>555</v>
      </c>
      <c r="F1" t="s">
        <v>541</v>
      </c>
      <c r="G1" t="s">
        <v>557</v>
      </c>
      <c r="H1" t="s">
        <v>1219</v>
      </c>
      <c r="I1" t="s">
        <v>605</v>
      </c>
      <c r="J1" s="2" t="s">
        <v>586</v>
      </c>
      <c r="K1" t="s">
        <v>1221</v>
      </c>
      <c r="L1" t="s">
        <v>637</v>
      </c>
      <c r="M1" t="s">
        <v>1223</v>
      </c>
      <c r="N1" s="2" t="s">
        <v>646</v>
      </c>
      <c r="O1" s="2" t="s">
        <v>1249</v>
      </c>
      <c r="P1" s="2" t="s">
        <v>1250</v>
      </c>
      <c r="Q1" t="s">
        <v>1255</v>
      </c>
    </row>
    <row r="2" spans="1:17" x14ac:dyDescent="0.2">
      <c r="A2" s="2" t="s">
        <v>0</v>
      </c>
      <c r="B2" t="s">
        <v>608</v>
      </c>
      <c r="C2" t="s">
        <v>625</v>
      </c>
      <c r="D2" t="s">
        <v>571</v>
      </c>
      <c r="E2" t="s">
        <v>542</v>
      </c>
      <c r="F2" s="36">
        <v>0.34223134839151198</v>
      </c>
      <c r="G2">
        <v>800</v>
      </c>
      <c r="H2">
        <v>3.3299311885747009</v>
      </c>
      <c r="I2">
        <f>H2*G2</f>
        <v>2663.9449508597609</v>
      </c>
      <c r="J2" s="2">
        <v>2677.896513484246</v>
      </c>
      <c r="K2">
        <f>J2*G2</f>
        <v>2142317.2107873969</v>
      </c>
      <c r="M2">
        <f>L2*G2</f>
        <v>0</v>
      </c>
      <c r="N2" s="2" t="s">
        <v>598</v>
      </c>
      <c r="O2" s="2">
        <f>VLOOKUP(A2,'Coal savings'!$A$3:$K$543,10,FALSE)</f>
        <v>0</v>
      </c>
      <c r="P2" s="2">
        <f>O2*G2</f>
        <v>0</v>
      </c>
      <c r="Q2">
        <f>VLOOKUP(A2,'[13]Thermal generation Mar 19 - Feb'!$C$2:$D$680,2,FALSE)</f>
        <v>10.46</v>
      </c>
    </row>
    <row r="3" spans="1:17" x14ac:dyDescent="0.2">
      <c r="A3" s="2" t="s">
        <v>2</v>
      </c>
      <c r="B3" t="s">
        <v>609</v>
      </c>
      <c r="C3" t="s">
        <v>626</v>
      </c>
      <c r="D3" t="s">
        <v>571</v>
      </c>
      <c r="E3" t="s">
        <v>542</v>
      </c>
      <c r="F3" s="36">
        <v>1.06776180698151</v>
      </c>
      <c r="G3">
        <v>800</v>
      </c>
      <c r="H3">
        <v>3.37</v>
      </c>
      <c r="I3">
        <f t="shared" ref="I3:I66" si="0">H3*G3</f>
        <v>2696</v>
      </c>
      <c r="J3" s="2">
        <v>2628.5422010575162</v>
      </c>
      <c r="K3">
        <f t="shared" ref="K3:K66" si="1">J3*G3</f>
        <v>2102833.7608460127</v>
      </c>
      <c r="M3">
        <f t="shared" ref="M3:M66" si="2">L3*G3</f>
        <v>0</v>
      </c>
      <c r="N3" s="2" t="s">
        <v>598</v>
      </c>
      <c r="O3" s="2">
        <f>VLOOKUP(A3,'Coal savings'!$A$3:$K$543,10,FALSE)</f>
        <v>0</v>
      </c>
      <c r="P3" s="2">
        <f t="shared" ref="P3:P66" si="3">O3*G3</f>
        <v>0</v>
      </c>
      <c r="Q3">
        <f>VLOOKUP(A3,'[13]Thermal generation Mar 19 - Feb'!$C$2:$D$680,2,FALSE)</f>
        <v>1071.8599999999899</v>
      </c>
    </row>
    <row r="4" spans="1:17" x14ac:dyDescent="0.2">
      <c r="A4" s="2" t="s">
        <v>3</v>
      </c>
      <c r="B4" t="s">
        <v>610</v>
      </c>
      <c r="C4" t="s">
        <v>627</v>
      </c>
      <c r="D4" t="s">
        <v>570</v>
      </c>
      <c r="E4" t="s">
        <v>542</v>
      </c>
      <c r="F4" s="36">
        <v>1.9603011635865799</v>
      </c>
      <c r="G4">
        <v>800</v>
      </c>
      <c r="H4">
        <v>2.63</v>
      </c>
      <c r="I4">
        <f t="shared" si="0"/>
        <v>2104</v>
      </c>
      <c r="J4" s="2">
        <v>2482.7574599226896</v>
      </c>
      <c r="K4">
        <f t="shared" si="1"/>
        <v>1986205.9679381517</v>
      </c>
      <c r="L4" s="1">
        <v>7.0000000000000007E-2</v>
      </c>
      <c r="M4">
        <f t="shared" si="2"/>
        <v>56.000000000000007</v>
      </c>
      <c r="N4" s="2" t="s">
        <v>598</v>
      </c>
      <c r="O4" s="2">
        <f>VLOOKUP(A4,'Coal savings'!$A$3:$K$543,10,FALSE)</f>
        <v>0</v>
      </c>
      <c r="P4" s="2">
        <f t="shared" si="3"/>
        <v>0</v>
      </c>
      <c r="Q4">
        <f>VLOOKUP(A4,'[13]Thermal generation Mar 19 - Feb'!$C$2:$D$680,2,FALSE)</f>
        <v>4149.20999999999</v>
      </c>
    </row>
    <row r="5" spans="1:17" x14ac:dyDescent="0.2">
      <c r="A5" s="2" t="s">
        <v>4</v>
      </c>
      <c r="B5" t="s">
        <v>611</v>
      </c>
      <c r="C5" t="s">
        <v>626</v>
      </c>
      <c r="D5" t="s">
        <v>571</v>
      </c>
      <c r="E5" t="s">
        <v>542</v>
      </c>
      <c r="F5" s="36">
        <v>2.0917180013689198</v>
      </c>
      <c r="G5">
        <v>800</v>
      </c>
      <c r="H5">
        <v>2.4700000000000002</v>
      </c>
      <c r="I5">
        <f t="shared" si="0"/>
        <v>1976.0000000000002</v>
      </c>
      <c r="J5" s="2">
        <v>2630.0168898634179</v>
      </c>
      <c r="K5">
        <f t="shared" si="1"/>
        <v>2104013.5118907341</v>
      </c>
      <c r="L5" s="1">
        <v>5.2489445057243921E-2</v>
      </c>
      <c r="M5">
        <f t="shared" si="2"/>
        <v>41.991556045795136</v>
      </c>
      <c r="N5" s="2" t="s">
        <v>598</v>
      </c>
      <c r="O5" s="2">
        <f>VLOOKUP(A5,'Coal savings'!$A$3:$K$543,10,FALSE)</f>
        <v>0</v>
      </c>
      <c r="P5" s="2">
        <f t="shared" si="3"/>
        <v>0</v>
      </c>
      <c r="Q5">
        <f>VLOOKUP(A5,'[13]Thermal generation Mar 19 - Feb'!$C$2:$D$680,2,FALSE)</f>
        <v>2375.2600000000002</v>
      </c>
    </row>
    <row r="6" spans="1:17" x14ac:dyDescent="0.2">
      <c r="A6" s="2" t="s">
        <v>6</v>
      </c>
      <c r="B6" t="s">
        <v>612</v>
      </c>
      <c r="C6" t="s">
        <v>627</v>
      </c>
      <c r="D6" t="s">
        <v>570</v>
      </c>
      <c r="E6" t="s">
        <v>542</v>
      </c>
      <c r="F6" s="36">
        <v>3.0910335386721401</v>
      </c>
      <c r="G6">
        <v>800</v>
      </c>
      <c r="H6">
        <v>3.75</v>
      </c>
      <c r="I6">
        <f t="shared" si="0"/>
        <v>3000</v>
      </c>
      <c r="J6" s="2">
        <v>2687.3982645488704</v>
      </c>
      <c r="K6">
        <f t="shared" si="1"/>
        <v>2149918.6116390964</v>
      </c>
      <c r="L6" s="1">
        <v>0.13221101440955424</v>
      </c>
      <c r="M6">
        <f t="shared" si="2"/>
        <v>105.76881152764339</v>
      </c>
      <c r="N6" s="2" t="s">
        <v>598</v>
      </c>
      <c r="O6" s="2">
        <f>VLOOKUP(A6,'Coal savings'!$A$3:$K$543,10,FALSE)</f>
        <v>0</v>
      </c>
      <c r="P6" s="2">
        <f t="shared" si="3"/>
        <v>0</v>
      </c>
    </row>
    <row r="7" spans="1:17" x14ac:dyDescent="0.2">
      <c r="A7" s="2" t="s">
        <v>5</v>
      </c>
      <c r="B7" t="s">
        <v>612</v>
      </c>
      <c r="C7" t="s">
        <v>627</v>
      </c>
      <c r="D7" t="s">
        <v>571</v>
      </c>
      <c r="E7" t="s">
        <v>542</v>
      </c>
      <c r="F7" s="36">
        <v>2.1163586584531102</v>
      </c>
      <c r="G7">
        <v>800</v>
      </c>
      <c r="H7">
        <v>3.78</v>
      </c>
      <c r="I7">
        <f t="shared" si="0"/>
        <v>3024</v>
      </c>
      <c r="J7" s="2">
        <v>2625.3919606827776</v>
      </c>
      <c r="K7">
        <f t="shared" si="1"/>
        <v>2100313.5685462221</v>
      </c>
      <c r="L7" s="1">
        <v>7.8813638844723796E-2</v>
      </c>
      <c r="M7">
        <f t="shared" si="2"/>
        <v>63.050911075779034</v>
      </c>
      <c r="N7" s="2" t="s">
        <v>598</v>
      </c>
      <c r="O7" s="2">
        <f>VLOOKUP(A7,'Coal savings'!$A$3:$K$543,10,FALSE)</f>
        <v>0</v>
      </c>
      <c r="P7" s="2">
        <f t="shared" si="3"/>
        <v>0</v>
      </c>
      <c r="Q7">
        <f>VLOOKUP(A7,'[13]Thermal generation Mar 19 - Feb'!$C$2:$D$680,2,FALSE)</f>
        <v>1777.65</v>
      </c>
    </row>
    <row r="8" spans="1:17" x14ac:dyDescent="0.2">
      <c r="A8" s="2" t="s">
        <v>1</v>
      </c>
      <c r="B8" t="s">
        <v>613</v>
      </c>
      <c r="C8" t="s">
        <v>626</v>
      </c>
      <c r="D8" t="s">
        <v>570</v>
      </c>
      <c r="E8" t="s">
        <v>542</v>
      </c>
      <c r="F8" s="36">
        <v>0.53661875427789096</v>
      </c>
      <c r="G8">
        <v>800</v>
      </c>
      <c r="H8">
        <v>3.3</v>
      </c>
      <c r="I8">
        <f t="shared" si="0"/>
        <v>2640</v>
      </c>
      <c r="J8" s="2">
        <v>2674.799012558261</v>
      </c>
      <c r="K8">
        <f t="shared" si="1"/>
        <v>2139839.2100466089</v>
      </c>
      <c r="L8" s="1">
        <v>9.2496856160444826E-2</v>
      </c>
      <c r="M8">
        <f t="shared" si="2"/>
        <v>73.99748492835586</v>
      </c>
      <c r="N8" s="2" t="s">
        <v>598</v>
      </c>
      <c r="O8" s="2">
        <f>VLOOKUP(A8,'Coal savings'!$A$3:$K$543,10,FALSE)</f>
        <v>0</v>
      </c>
      <c r="P8" s="2">
        <f t="shared" si="3"/>
        <v>0</v>
      </c>
      <c r="Q8">
        <f>VLOOKUP(A8,'[13]Thermal generation Mar 19 - Feb'!$C$2:$D$680,2,FALSE)</f>
        <v>163.35999999999899</v>
      </c>
    </row>
    <row r="9" spans="1:17" x14ac:dyDescent="0.2">
      <c r="A9" s="2" t="s">
        <v>9</v>
      </c>
      <c r="B9" t="s">
        <v>612</v>
      </c>
      <c r="C9" t="s">
        <v>627</v>
      </c>
      <c r="D9" t="s">
        <v>570</v>
      </c>
      <c r="E9" t="s">
        <v>542</v>
      </c>
      <c r="F9" s="36">
        <v>4.1752224503764497</v>
      </c>
      <c r="G9">
        <v>800</v>
      </c>
      <c r="H9">
        <v>3.75</v>
      </c>
      <c r="I9">
        <f t="shared" si="0"/>
        <v>3000</v>
      </c>
      <c r="J9" s="2">
        <v>2691.5318984448991</v>
      </c>
      <c r="K9">
        <f t="shared" si="1"/>
        <v>2153225.5187559193</v>
      </c>
      <c r="L9" s="1">
        <v>0.13221101440955424</v>
      </c>
      <c r="M9">
        <f t="shared" si="2"/>
        <v>105.76881152764339</v>
      </c>
      <c r="N9" s="2" t="s">
        <v>598</v>
      </c>
      <c r="O9" s="2">
        <f>VLOOKUP(A9,'Coal savings'!$A$3:$K$543,10,FALSE)</f>
        <v>0</v>
      </c>
      <c r="P9" s="2">
        <f t="shared" si="3"/>
        <v>0</v>
      </c>
      <c r="Q9">
        <f>VLOOKUP(A9,'[13]Thermal generation Mar 19 - Feb'!$C$2:$D$680,2,FALSE)</f>
        <v>77.2</v>
      </c>
    </row>
    <row r="10" spans="1:17" x14ac:dyDescent="0.2">
      <c r="A10" s="2" t="s">
        <v>7</v>
      </c>
      <c r="B10" t="s">
        <v>612</v>
      </c>
      <c r="C10" t="s">
        <v>627</v>
      </c>
      <c r="D10" t="s">
        <v>571</v>
      </c>
      <c r="E10" t="s">
        <v>542</v>
      </c>
      <c r="F10" s="36">
        <v>3.1074606433949299</v>
      </c>
      <c r="G10">
        <v>800</v>
      </c>
      <c r="H10">
        <v>3.78</v>
      </c>
      <c r="I10">
        <f t="shared" si="0"/>
        <v>3024</v>
      </c>
      <c r="J10" s="2">
        <v>2615.8899564925246</v>
      </c>
      <c r="K10">
        <f t="shared" si="1"/>
        <v>2092711.9651940197</v>
      </c>
      <c r="L10" s="1">
        <v>7.8813638844723796E-2</v>
      </c>
      <c r="M10">
        <f t="shared" si="2"/>
        <v>63.050911075779034</v>
      </c>
      <c r="N10" s="2" t="s">
        <v>598</v>
      </c>
      <c r="O10" s="2">
        <f>VLOOKUP(A10,'Coal savings'!$A$3:$K$543,10,FALSE)</f>
        <v>0</v>
      </c>
      <c r="P10" s="2">
        <f t="shared" si="3"/>
        <v>0</v>
      </c>
      <c r="Q10">
        <f>VLOOKUP(A10,'[13]Thermal generation Mar 19 - Feb'!$C$2:$D$680,2,FALSE)</f>
        <v>1716.22999999999</v>
      </c>
    </row>
    <row r="11" spans="1:17" x14ac:dyDescent="0.2">
      <c r="A11" s="2" t="s">
        <v>8</v>
      </c>
      <c r="B11" t="s">
        <v>612</v>
      </c>
      <c r="C11" t="s">
        <v>627</v>
      </c>
      <c r="D11" t="s">
        <v>571</v>
      </c>
      <c r="E11" t="s">
        <v>542</v>
      </c>
      <c r="F11" s="36">
        <v>3.3566050650239498</v>
      </c>
      <c r="G11">
        <v>800</v>
      </c>
      <c r="H11">
        <v>3.78</v>
      </c>
      <c r="I11">
        <f t="shared" si="0"/>
        <v>3024</v>
      </c>
      <c r="J11" s="2">
        <v>2603.5364940747231</v>
      </c>
      <c r="K11">
        <f t="shared" si="1"/>
        <v>2082829.1952597785</v>
      </c>
      <c r="L11" s="1">
        <v>7.8813638844723796E-2</v>
      </c>
      <c r="M11">
        <f t="shared" si="2"/>
        <v>63.050911075779034</v>
      </c>
      <c r="N11" s="2" t="s">
        <v>598</v>
      </c>
      <c r="O11" s="2">
        <f>VLOOKUP(A11,'Coal savings'!$A$3:$K$543,10,FALSE)</f>
        <v>0</v>
      </c>
      <c r="P11" s="2">
        <f t="shared" si="3"/>
        <v>0</v>
      </c>
      <c r="Q11">
        <f>VLOOKUP(A11,'[13]Thermal generation Mar 19 - Feb'!$C$2:$D$680,2,FALSE)</f>
        <v>1257.1300000000001</v>
      </c>
    </row>
    <row r="12" spans="1:17" x14ac:dyDescent="0.2">
      <c r="A12" s="2" t="s">
        <v>10</v>
      </c>
      <c r="B12" t="s">
        <v>614</v>
      </c>
      <c r="C12" t="s">
        <v>627</v>
      </c>
      <c r="D12" t="s">
        <v>570</v>
      </c>
      <c r="E12" t="s">
        <v>543</v>
      </c>
      <c r="F12" s="36">
        <v>5.1772758384667998</v>
      </c>
      <c r="G12">
        <v>800</v>
      </c>
      <c r="H12">
        <v>3.18</v>
      </c>
      <c r="I12">
        <f t="shared" si="0"/>
        <v>2544</v>
      </c>
      <c r="J12" s="2">
        <v>2585.1393587278744</v>
      </c>
      <c r="K12">
        <f t="shared" si="1"/>
        <v>2068111.4869822995</v>
      </c>
      <c r="L12">
        <v>7.43080715713893E-2</v>
      </c>
      <c r="M12">
        <f t="shared" si="2"/>
        <v>59.44645725711144</v>
      </c>
      <c r="N12" s="2" t="s">
        <v>598</v>
      </c>
      <c r="O12" s="2">
        <f>VLOOKUP(A12,'Coal savings'!$A$3:$K$543,10,FALSE)</f>
        <v>0</v>
      </c>
      <c r="P12" s="2">
        <f t="shared" si="3"/>
        <v>0</v>
      </c>
      <c r="Q12">
        <f>VLOOKUP(A12,'[13]Thermal generation Mar 19 - Feb'!$C$2:$D$680,2,FALSE)</f>
        <v>3835.67</v>
      </c>
    </row>
    <row r="13" spans="1:17" x14ac:dyDescent="0.2">
      <c r="A13" s="2" t="s">
        <v>11</v>
      </c>
      <c r="B13" t="s">
        <v>614</v>
      </c>
      <c r="C13" t="s">
        <v>627</v>
      </c>
      <c r="D13" t="s">
        <v>570</v>
      </c>
      <c r="E13" t="s">
        <v>543</v>
      </c>
      <c r="F13" s="36">
        <v>5.7577002053388</v>
      </c>
      <c r="G13">
        <v>800</v>
      </c>
      <c r="H13">
        <v>3.18</v>
      </c>
      <c r="I13">
        <f t="shared" si="0"/>
        <v>2544</v>
      </c>
      <c r="J13" s="2">
        <v>2601.8707233817827</v>
      </c>
      <c r="K13">
        <f t="shared" si="1"/>
        <v>2081496.5787054261</v>
      </c>
      <c r="L13">
        <v>7.43080715713893E-2</v>
      </c>
      <c r="M13">
        <f t="shared" si="2"/>
        <v>59.44645725711144</v>
      </c>
      <c r="N13" s="2" t="s">
        <v>598</v>
      </c>
      <c r="O13" s="2">
        <f>VLOOKUP(A13,'Coal savings'!$A$3:$K$543,10,FALSE)</f>
        <v>0</v>
      </c>
      <c r="P13" s="2">
        <f t="shared" si="3"/>
        <v>0</v>
      </c>
      <c r="Q13">
        <f>VLOOKUP(A13,'[13]Thermal generation Mar 19 - Feb'!$C$2:$D$680,2,FALSE)</f>
        <v>3652.94</v>
      </c>
    </row>
    <row r="14" spans="1:17" x14ac:dyDescent="0.2">
      <c r="A14" s="2" t="s">
        <v>27</v>
      </c>
      <c r="B14" t="s">
        <v>612</v>
      </c>
      <c r="C14" t="s">
        <v>627</v>
      </c>
      <c r="D14" t="s">
        <v>570</v>
      </c>
      <c r="E14" t="s">
        <v>542</v>
      </c>
      <c r="F14" s="36">
        <v>4.1752224503764497</v>
      </c>
      <c r="G14">
        <v>700</v>
      </c>
      <c r="H14">
        <v>4.3600000000000003</v>
      </c>
      <c r="I14">
        <f t="shared" si="0"/>
        <v>3052</v>
      </c>
      <c r="J14" s="2">
        <v>2745.532258825393</v>
      </c>
      <c r="K14">
        <f t="shared" si="1"/>
        <v>1921872.581177775</v>
      </c>
      <c r="L14" s="1">
        <v>6.6702414133670743E-2</v>
      </c>
      <c r="M14">
        <f t="shared" si="2"/>
        <v>46.691689893569517</v>
      </c>
      <c r="N14" s="2" t="s">
        <v>598</v>
      </c>
      <c r="O14" s="2">
        <f>VLOOKUP(A14,'Coal savings'!$A$3:$K$543,10,FALSE)</f>
        <v>0</v>
      </c>
      <c r="P14" s="2">
        <f t="shared" si="3"/>
        <v>0</v>
      </c>
      <c r="Q14">
        <f>VLOOKUP(A14,'[13]Thermal generation Mar 19 - Feb'!$C$2:$D$680,2,FALSE)</f>
        <v>1572.38</v>
      </c>
    </row>
    <row r="15" spans="1:17" x14ac:dyDescent="0.2">
      <c r="A15" s="2" t="s">
        <v>13</v>
      </c>
      <c r="B15" t="s">
        <v>609</v>
      </c>
      <c r="C15" t="s">
        <v>626</v>
      </c>
      <c r="D15" t="s">
        <v>571</v>
      </c>
      <c r="E15" t="s">
        <v>542</v>
      </c>
      <c r="F15" s="36">
        <v>0.60232717316906204</v>
      </c>
      <c r="G15">
        <v>660</v>
      </c>
      <c r="H15">
        <v>2.83</v>
      </c>
      <c r="I15">
        <f t="shared" si="0"/>
        <v>1867.8</v>
      </c>
      <c r="J15" s="2">
        <v>2718.1367960428233</v>
      </c>
      <c r="K15">
        <f t="shared" si="1"/>
        <v>1793970.2853882634</v>
      </c>
      <c r="M15">
        <f t="shared" si="2"/>
        <v>0</v>
      </c>
      <c r="N15" s="2" t="s">
        <v>598</v>
      </c>
      <c r="O15" s="2">
        <f>VLOOKUP(A15,'Coal savings'!$A$3:$K$543,10,FALSE)</f>
        <v>0</v>
      </c>
      <c r="P15" s="2">
        <f t="shared" si="3"/>
        <v>0</v>
      </c>
      <c r="Q15">
        <f>VLOOKUP(A15,'[13]Thermal generation Mar 19 - Feb'!$C$2:$D$680,2,FALSE)</f>
        <v>722.86</v>
      </c>
    </row>
    <row r="16" spans="1:17" x14ac:dyDescent="0.2">
      <c r="A16" s="2" t="s">
        <v>12</v>
      </c>
      <c r="B16" t="s">
        <v>634</v>
      </c>
      <c r="C16" t="s">
        <v>628</v>
      </c>
      <c r="D16" t="s">
        <v>571</v>
      </c>
      <c r="E16" t="s">
        <v>542</v>
      </c>
      <c r="F16" s="36">
        <v>0.60232717316906204</v>
      </c>
      <c r="G16">
        <v>660</v>
      </c>
      <c r="H16">
        <v>2.41</v>
      </c>
      <c r="I16">
        <f t="shared" si="0"/>
        <v>1590.6000000000001</v>
      </c>
      <c r="J16" s="2">
        <v>2630.7900814638019</v>
      </c>
      <c r="K16">
        <f t="shared" si="1"/>
        <v>1736321.4537661092</v>
      </c>
      <c r="L16" s="1">
        <v>0.12115813368341415</v>
      </c>
      <c r="M16">
        <f t="shared" si="2"/>
        <v>79.964368231053342</v>
      </c>
      <c r="N16" s="2" t="s">
        <v>598</v>
      </c>
      <c r="O16" s="2">
        <f>VLOOKUP(A16,'Coal savings'!$A$3:$K$543,10,FALSE)</f>
        <v>8.6554551662340806</v>
      </c>
      <c r="P16" s="2">
        <f t="shared" si="3"/>
        <v>5712.6004097144933</v>
      </c>
      <c r="Q16">
        <f>VLOOKUP(A16,'[13]Thermal generation Mar 19 - Feb'!$C$2:$D$680,2,FALSE)</f>
        <v>1526.49</v>
      </c>
    </row>
    <row r="17" spans="1:17" x14ac:dyDescent="0.2">
      <c r="A17" s="2" t="s">
        <v>14</v>
      </c>
      <c r="B17" t="s">
        <v>608</v>
      </c>
      <c r="C17" t="s">
        <v>625</v>
      </c>
      <c r="D17" t="s">
        <v>570</v>
      </c>
      <c r="E17" t="s">
        <v>542</v>
      </c>
      <c r="F17" s="36">
        <v>0.67898699520876105</v>
      </c>
      <c r="G17">
        <v>660</v>
      </c>
      <c r="H17">
        <v>1.51</v>
      </c>
      <c r="I17">
        <f t="shared" si="0"/>
        <v>996.6</v>
      </c>
      <c r="J17" s="2">
        <v>2646.4886894914889</v>
      </c>
      <c r="K17">
        <f t="shared" si="1"/>
        <v>1746682.5350643827</v>
      </c>
      <c r="L17" s="1">
        <v>0.10945422612917571</v>
      </c>
      <c r="M17">
        <f t="shared" si="2"/>
        <v>72.239789245255977</v>
      </c>
      <c r="N17" s="2" t="s">
        <v>598</v>
      </c>
      <c r="O17" s="2">
        <f>VLOOKUP(A17,'Coal savings'!$A$3:$K$543,10,FALSE)</f>
        <v>0</v>
      </c>
      <c r="P17" s="2">
        <f t="shared" si="3"/>
        <v>0</v>
      </c>
      <c r="Q17">
        <f>VLOOKUP(A17,'[13]Thermal generation Mar 19 - Feb'!$C$2:$D$680,2,FALSE)</f>
        <v>1440.47999999999</v>
      </c>
    </row>
    <row r="18" spans="1:17" x14ac:dyDescent="0.2">
      <c r="A18" s="2" t="s">
        <v>15</v>
      </c>
      <c r="B18" t="s">
        <v>615</v>
      </c>
      <c r="C18" t="s">
        <v>625</v>
      </c>
      <c r="D18" t="s">
        <v>571</v>
      </c>
      <c r="E18" t="s">
        <v>542</v>
      </c>
      <c r="F18" s="36">
        <v>0.81040383299110197</v>
      </c>
      <c r="G18">
        <v>660</v>
      </c>
      <c r="H18">
        <v>2.06</v>
      </c>
      <c r="I18">
        <f t="shared" si="0"/>
        <v>1359.6000000000001</v>
      </c>
      <c r="J18" s="2">
        <v>2683.781408315142</v>
      </c>
      <c r="K18">
        <f t="shared" si="1"/>
        <v>1771295.7294879938</v>
      </c>
      <c r="L18" s="1">
        <v>7.0000000000000007E-2</v>
      </c>
      <c r="M18">
        <f t="shared" si="2"/>
        <v>46.2</v>
      </c>
      <c r="N18" s="2" t="s">
        <v>598</v>
      </c>
      <c r="O18" s="2">
        <f>VLOOKUP(A18,'Coal savings'!$A$3:$K$543,10,FALSE)</f>
        <v>0</v>
      </c>
      <c r="P18" s="2">
        <f t="shared" si="3"/>
        <v>0</v>
      </c>
      <c r="Q18">
        <f>VLOOKUP(A18,'[13]Thermal generation Mar 19 - Feb'!$C$2:$D$680,2,FALSE)</f>
        <v>1496.74</v>
      </c>
    </row>
    <row r="19" spans="1:17" x14ac:dyDescent="0.2">
      <c r="A19" s="2" t="s">
        <v>16</v>
      </c>
      <c r="B19" t="s">
        <v>608</v>
      </c>
      <c r="C19" t="s">
        <v>625</v>
      </c>
      <c r="D19" t="s">
        <v>570</v>
      </c>
      <c r="E19" t="s">
        <v>542</v>
      </c>
      <c r="F19" s="36">
        <v>0.84052019164955505</v>
      </c>
      <c r="G19">
        <v>660</v>
      </c>
      <c r="H19">
        <v>1.51</v>
      </c>
      <c r="I19">
        <f t="shared" si="0"/>
        <v>996.6</v>
      </c>
      <c r="J19" s="2">
        <v>2660.8914865511697</v>
      </c>
      <c r="K19">
        <f t="shared" si="1"/>
        <v>1756188.3811237719</v>
      </c>
      <c r="L19" s="1">
        <v>0.10945422612917571</v>
      </c>
      <c r="M19">
        <f t="shared" si="2"/>
        <v>72.239789245255977</v>
      </c>
      <c r="N19" s="2" t="s">
        <v>598</v>
      </c>
      <c r="O19" s="2">
        <f>VLOOKUP(A19,'Coal savings'!$A$3:$K$543,10,FALSE)</f>
        <v>0</v>
      </c>
      <c r="P19" s="2">
        <f t="shared" si="3"/>
        <v>0</v>
      </c>
      <c r="Q19">
        <f>VLOOKUP(A19,'[13]Thermal generation Mar 19 - Feb'!$C$2:$D$680,2,FALSE)</f>
        <v>1764.23999999999</v>
      </c>
    </row>
    <row r="20" spans="1:17" x14ac:dyDescent="0.2">
      <c r="A20" s="2" t="s">
        <v>18</v>
      </c>
      <c r="B20" t="s">
        <v>616</v>
      </c>
      <c r="C20" t="s">
        <v>628</v>
      </c>
      <c r="D20" t="s">
        <v>570</v>
      </c>
      <c r="E20" t="s">
        <v>542</v>
      </c>
      <c r="F20" s="36">
        <v>1.06776180698151</v>
      </c>
      <c r="G20">
        <v>660</v>
      </c>
      <c r="H20">
        <v>2.14</v>
      </c>
      <c r="I20">
        <f t="shared" si="0"/>
        <v>1412.4</v>
      </c>
      <c r="J20" s="2">
        <v>2612.943978273177</v>
      </c>
      <c r="K20">
        <f t="shared" si="1"/>
        <v>1724543.0256602969</v>
      </c>
      <c r="M20">
        <f t="shared" si="2"/>
        <v>0</v>
      </c>
      <c r="N20" s="2" t="s">
        <v>598</v>
      </c>
      <c r="O20" s="2">
        <f>VLOOKUP(A20,'Coal savings'!$A$3:$K$543,10,FALSE)</f>
        <v>0</v>
      </c>
      <c r="P20" s="2">
        <f t="shared" si="3"/>
        <v>0</v>
      </c>
      <c r="Q20">
        <f>VLOOKUP(A20,'[13]Thermal generation Mar 19 - Feb'!$C$2:$D$680,2,FALSE)</f>
        <v>3156.73</v>
      </c>
    </row>
    <row r="21" spans="1:17" x14ac:dyDescent="0.2">
      <c r="A21" s="2" t="s">
        <v>19</v>
      </c>
      <c r="B21" t="s">
        <v>609</v>
      </c>
      <c r="C21" t="s">
        <v>626</v>
      </c>
      <c r="D21" t="s">
        <v>570</v>
      </c>
      <c r="E21" t="s">
        <v>542</v>
      </c>
      <c r="F21" s="36">
        <v>1.06776180698151</v>
      </c>
      <c r="G21">
        <v>660</v>
      </c>
      <c r="H21">
        <v>2.8110574316462347</v>
      </c>
      <c r="I21">
        <f t="shared" si="0"/>
        <v>1855.297904886515</v>
      </c>
      <c r="J21" s="2">
        <v>2693.6318028836072</v>
      </c>
      <c r="K21">
        <f t="shared" si="1"/>
        <v>1777796.9899031806</v>
      </c>
      <c r="M21">
        <f t="shared" si="2"/>
        <v>0</v>
      </c>
      <c r="N21" s="2" t="s">
        <v>598</v>
      </c>
      <c r="O21" s="2">
        <f>VLOOKUP(A21,'Coal savings'!$A$3:$K$543,10,FALSE)</f>
        <v>0</v>
      </c>
      <c r="P21" s="2">
        <f t="shared" si="3"/>
        <v>0</v>
      </c>
      <c r="Q21">
        <f>VLOOKUP(A21,'[13]Thermal generation Mar 19 - Feb'!$C$2:$D$680,2,FALSE)</f>
        <v>1843.76</v>
      </c>
    </row>
    <row r="22" spans="1:17" x14ac:dyDescent="0.2">
      <c r="A22" s="2" t="s">
        <v>29</v>
      </c>
      <c r="B22" t="s">
        <v>611</v>
      </c>
      <c r="C22" t="s">
        <v>626</v>
      </c>
      <c r="D22" t="s">
        <v>572</v>
      </c>
      <c r="E22" t="s">
        <v>542</v>
      </c>
      <c r="F22" s="36">
        <v>4.1752224503764497</v>
      </c>
      <c r="G22">
        <v>685</v>
      </c>
      <c r="H22">
        <v>2.9172054378698418</v>
      </c>
      <c r="I22">
        <f t="shared" si="0"/>
        <v>1998.2857249408416</v>
      </c>
      <c r="J22" s="2">
        <v>2742.1369836228182</v>
      </c>
      <c r="K22">
        <f t="shared" si="1"/>
        <v>1878363.8337816305</v>
      </c>
      <c r="L22" s="1">
        <v>9.4685661559992765E-2</v>
      </c>
      <c r="M22">
        <f t="shared" si="2"/>
        <v>64.859678168595039</v>
      </c>
      <c r="N22" s="2" t="s">
        <v>598</v>
      </c>
      <c r="O22" s="2">
        <f>VLOOKUP(A22,'Coal savings'!$A$3:$K$543,10,FALSE)</f>
        <v>0</v>
      </c>
      <c r="P22" s="2">
        <f t="shared" si="3"/>
        <v>0</v>
      </c>
      <c r="Q22">
        <f>VLOOKUP(A22,'[13]Thermal generation Mar 19 - Feb'!$C$2:$D$680,2,FALSE)</f>
        <v>2303.0499999999902</v>
      </c>
    </row>
    <row r="23" spans="1:17" x14ac:dyDescent="0.2">
      <c r="A23" s="2" t="s">
        <v>23</v>
      </c>
      <c r="B23" t="s">
        <v>609</v>
      </c>
      <c r="C23" t="s">
        <v>626</v>
      </c>
      <c r="D23" t="s">
        <v>570</v>
      </c>
      <c r="E23" t="s">
        <v>542</v>
      </c>
      <c r="F23" s="36">
        <v>1.45379876796714</v>
      </c>
      <c r="G23">
        <v>660</v>
      </c>
      <c r="H23">
        <v>2.7274988194594498</v>
      </c>
      <c r="I23">
        <f t="shared" si="0"/>
        <v>1800.1492208432369</v>
      </c>
      <c r="J23" s="2">
        <v>2657.8505685419959</v>
      </c>
      <c r="K23">
        <f t="shared" si="1"/>
        <v>1754181.3752377173</v>
      </c>
      <c r="M23">
        <f t="shared" si="2"/>
        <v>0</v>
      </c>
      <c r="N23" s="2" t="s">
        <v>598</v>
      </c>
      <c r="O23" s="2">
        <f>VLOOKUP(A23,'Coal savings'!$A$3:$K$543,10,FALSE)</f>
        <v>0</v>
      </c>
      <c r="P23" s="2">
        <f t="shared" si="3"/>
        <v>0</v>
      </c>
      <c r="Q23">
        <f>VLOOKUP(A23,'[13]Thermal generation Mar 19 - Feb'!$C$2:$D$680,2,FALSE)</f>
        <v>2314.6</v>
      </c>
    </row>
    <row r="24" spans="1:17" x14ac:dyDescent="0.2">
      <c r="A24" s="2" t="s">
        <v>26</v>
      </c>
      <c r="B24" t="s">
        <v>634</v>
      </c>
      <c r="C24" t="s">
        <v>628</v>
      </c>
      <c r="D24" t="s">
        <v>571</v>
      </c>
      <c r="E24" t="s">
        <v>542</v>
      </c>
      <c r="F24" s="36">
        <v>2.0917180013689198</v>
      </c>
      <c r="G24">
        <v>660</v>
      </c>
      <c r="H24">
        <v>3.28</v>
      </c>
      <c r="I24">
        <f t="shared" si="0"/>
        <v>2164.7999999999997</v>
      </c>
      <c r="J24" s="2">
        <v>2790.7223159179648</v>
      </c>
      <c r="K24">
        <f t="shared" si="1"/>
        <v>1841876.7285058568</v>
      </c>
      <c r="L24" s="1">
        <v>6.4933199252980744E-2</v>
      </c>
      <c r="M24">
        <f t="shared" si="2"/>
        <v>42.855911506967288</v>
      </c>
      <c r="N24" s="2" t="s">
        <v>598</v>
      </c>
      <c r="O24" s="2">
        <f>VLOOKUP(A24,'Coal savings'!$A$3:$K$543,10,FALSE)</f>
        <v>0</v>
      </c>
      <c r="P24" s="2">
        <f t="shared" si="3"/>
        <v>0</v>
      </c>
      <c r="Q24">
        <f>VLOOKUP(A24,'[13]Thermal generation Mar 19 - Feb'!$C$2:$D$680,2,FALSE)</f>
        <v>1066.5999999999899</v>
      </c>
    </row>
    <row r="25" spans="1:17" x14ac:dyDescent="0.2">
      <c r="A25" s="2" t="s">
        <v>39</v>
      </c>
      <c r="B25" t="s">
        <v>611</v>
      </c>
      <c r="C25" t="s">
        <v>626</v>
      </c>
      <c r="D25" t="s">
        <v>572</v>
      </c>
      <c r="E25" t="s">
        <v>543</v>
      </c>
      <c r="F25" s="36">
        <v>5.2539356605065004</v>
      </c>
      <c r="G25">
        <v>685</v>
      </c>
      <c r="H25">
        <v>2.7918203016194005</v>
      </c>
      <c r="I25">
        <f t="shared" si="0"/>
        <v>1912.3969066092893</v>
      </c>
      <c r="J25" s="2">
        <v>2690.5330340365863</v>
      </c>
      <c r="K25">
        <f t="shared" si="1"/>
        <v>1843015.1283150616</v>
      </c>
      <c r="L25">
        <v>9.4685661559992765E-2</v>
      </c>
      <c r="M25">
        <f t="shared" si="2"/>
        <v>64.859678168595039</v>
      </c>
      <c r="N25" s="2" t="s">
        <v>598</v>
      </c>
      <c r="O25" s="2">
        <f>VLOOKUP(A25,'Coal savings'!$A$3:$K$543,10,FALSE)</f>
        <v>0</v>
      </c>
      <c r="P25" s="2">
        <f t="shared" si="3"/>
        <v>0</v>
      </c>
      <c r="Q25">
        <f>VLOOKUP(A25,'[13]Thermal generation Mar 19 - Feb'!$C$2:$D$680,2,FALSE)</f>
        <v>3377.53999999999</v>
      </c>
    </row>
    <row r="26" spans="1:17" x14ac:dyDescent="0.2">
      <c r="A26" s="2" t="s">
        <v>20</v>
      </c>
      <c r="B26" t="s">
        <v>617</v>
      </c>
      <c r="C26" t="s">
        <v>626</v>
      </c>
      <c r="D26" t="s">
        <v>571</v>
      </c>
      <c r="E26" t="s">
        <v>542</v>
      </c>
      <c r="F26" s="36">
        <v>1.06776180698151</v>
      </c>
      <c r="G26">
        <v>660</v>
      </c>
      <c r="H26">
        <v>3.66</v>
      </c>
      <c r="I26">
        <f t="shared" si="0"/>
        <v>2415.6</v>
      </c>
      <c r="J26" s="2">
        <v>2818.2986455129321</v>
      </c>
      <c r="K26">
        <f t="shared" si="1"/>
        <v>1860077.1060385352</v>
      </c>
      <c r="L26" s="1">
        <v>0.09</v>
      </c>
      <c r="M26">
        <f t="shared" si="2"/>
        <v>59.4</v>
      </c>
      <c r="N26" s="2" t="s">
        <v>598</v>
      </c>
      <c r="O26" s="2">
        <f>VLOOKUP(A26,'Coal savings'!$A$3:$K$543,10,FALSE)</f>
        <v>0</v>
      </c>
      <c r="P26" s="2">
        <f t="shared" si="3"/>
        <v>0</v>
      </c>
      <c r="Q26">
        <f>VLOOKUP(A26,'[13]Thermal generation Mar 19 - Feb'!$C$2:$D$680,2,FALSE)</f>
        <v>173.47</v>
      </c>
    </row>
    <row r="27" spans="1:17" x14ac:dyDescent="0.2">
      <c r="A27" s="2" t="s">
        <v>28</v>
      </c>
      <c r="B27" t="s">
        <v>634</v>
      </c>
      <c r="C27" t="s">
        <v>628</v>
      </c>
      <c r="D27" t="s">
        <v>572</v>
      </c>
      <c r="E27" t="s">
        <v>542</v>
      </c>
      <c r="F27" s="36">
        <v>3.0088980150581701</v>
      </c>
      <c r="G27">
        <v>660</v>
      </c>
      <c r="H27">
        <v>2.33</v>
      </c>
      <c r="I27">
        <f t="shared" si="0"/>
        <v>1537.8</v>
      </c>
      <c r="J27" s="2">
        <v>2677.608789275967</v>
      </c>
      <c r="K27">
        <f t="shared" si="1"/>
        <v>1767221.8009221382</v>
      </c>
      <c r="L27" s="1">
        <v>7.2032085285824013E-2</v>
      </c>
      <c r="M27">
        <f t="shared" si="2"/>
        <v>47.541176288643847</v>
      </c>
      <c r="N27" s="2" t="s">
        <v>598</v>
      </c>
      <c r="O27" s="2">
        <f>VLOOKUP(A27,'Coal savings'!$A$3:$K$543,10,FALSE)</f>
        <v>0</v>
      </c>
      <c r="P27" s="2">
        <f t="shared" si="3"/>
        <v>0</v>
      </c>
      <c r="Q27">
        <f>VLOOKUP(A27,'[13]Thermal generation Mar 19 - Feb'!$C$2:$D$680,2,FALSE)</f>
        <v>3820.6699999999901</v>
      </c>
    </row>
    <row r="28" spans="1:17" x14ac:dyDescent="0.2">
      <c r="A28" s="2" t="s">
        <v>30</v>
      </c>
      <c r="B28" t="s">
        <v>616</v>
      </c>
      <c r="C28" t="s">
        <v>628</v>
      </c>
      <c r="D28" t="s">
        <v>570</v>
      </c>
      <c r="E28" t="s">
        <v>542</v>
      </c>
      <c r="F28" s="36">
        <v>3.0910335386721401</v>
      </c>
      <c r="G28">
        <v>660</v>
      </c>
      <c r="H28">
        <v>2.13</v>
      </c>
      <c r="I28">
        <f t="shared" si="0"/>
        <v>1405.8</v>
      </c>
      <c r="J28" s="2">
        <v>2683.2311592343785</v>
      </c>
      <c r="K28">
        <f t="shared" si="1"/>
        <v>1770932.5650946898</v>
      </c>
      <c r="M28">
        <f t="shared" si="2"/>
        <v>0</v>
      </c>
      <c r="N28" s="2" t="s">
        <v>598</v>
      </c>
      <c r="O28" s="2">
        <f>VLOOKUP(A28,'Coal savings'!$A$3:$K$543,10,FALSE)</f>
        <v>0</v>
      </c>
      <c r="P28" s="2">
        <f t="shared" si="3"/>
        <v>0</v>
      </c>
      <c r="Q28">
        <f>VLOOKUP(A28,'[13]Thermal generation Mar 19 - Feb'!$C$2:$D$680,2,FALSE)</f>
        <v>2912.5999999999899</v>
      </c>
    </row>
    <row r="29" spans="1:17" x14ac:dyDescent="0.2">
      <c r="A29" s="2" t="s">
        <v>35</v>
      </c>
      <c r="B29" t="s">
        <v>634</v>
      </c>
      <c r="C29" t="s">
        <v>628</v>
      </c>
      <c r="D29" t="s">
        <v>572</v>
      </c>
      <c r="E29" t="s">
        <v>542</v>
      </c>
      <c r="F29" s="36">
        <v>3.4223134839151199</v>
      </c>
      <c r="G29">
        <v>660</v>
      </c>
      <c r="H29">
        <v>2.33</v>
      </c>
      <c r="I29">
        <f t="shared" si="0"/>
        <v>1537.8</v>
      </c>
      <c r="J29" s="2">
        <v>2647.0921269602272</v>
      </c>
      <c r="K29">
        <f t="shared" si="1"/>
        <v>1747080.80379375</v>
      </c>
      <c r="L29" s="1">
        <v>7.2032085285824013E-2</v>
      </c>
      <c r="M29">
        <f t="shared" si="2"/>
        <v>47.541176288643847</v>
      </c>
      <c r="N29" s="2" t="s">
        <v>598</v>
      </c>
      <c r="O29" s="2">
        <f>VLOOKUP(A29,'Coal savings'!$A$3:$K$543,10,FALSE)</f>
        <v>0</v>
      </c>
      <c r="P29" s="2">
        <f t="shared" si="3"/>
        <v>0</v>
      </c>
      <c r="Q29">
        <f>VLOOKUP(A29,'[13]Thermal generation Mar 19 - Feb'!$C$2:$D$680,2,FALSE)</f>
        <v>3536.78</v>
      </c>
    </row>
    <row r="30" spans="1:17" x14ac:dyDescent="0.2">
      <c r="A30" s="2" t="s">
        <v>33</v>
      </c>
      <c r="B30" t="s">
        <v>617</v>
      </c>
      <c r="C30" t="s">
        <v>626</v>
      </c>
      <c r="D30" t="s">
        <v>571</v>
      </c>
      <c r="E30" t="s">
        <v>542</v>
      </c>
      <c r="F30" s="36">
        <v>3.1759069130732298</v>
      </c>
      <c r="G30">
        <v>660</v>
      </c>
      <c r="H30">
        <v>2.9</v>
      </c>
      <c r="I30">
        <f t="shared" si="0"/>
        <v>1914</v>
      </c>
      <c r="J30" s="2">
        <v>2678.2286873027865</v>
      </c>
      <c r="K30">
        <f t="shared" si="1"/>
        <v>1767630.9336198391</v>
      </c>
      <c r="L30" s="1">
        <v>7.3009693702312639E-2</v>
      </c>
      <c r="M30">
        <f t="shared" si="2"/>
        <v>48.186397843526343</v>
      </c>
      <c r="N30" s="2" t="s">
        <v>598</v>
      </c>
      <c r="O30" s="2">
        <f>VLOOKUP(A30,'Coal savings'!$A$3:$K$543,10,FALSE)</f>
        <v>0</v>
      </c>
      <c r="P30" s="2">
        <f t="shared" si="3"/>
        <v>0</v>
      </c>
      <c r="Q30">
        <f>VLOOKUP(A30,'[13]Thermal generation Mar 19 - Feb'!$C$2:$D$680,2,FALSE)</f>
        <v>2976.52</v>
      </c>
    </row>
    <row r="31" spans="1:17" x14ac:dyDescent="0.2">
      <c r="A31" s="2" t="s">
        <v>38</v>
      </c>
      <c r="B31" t="s">
        <v>634</v>
      </c>
      <c r="C31" t="s">
        <v>628</v>
      </c>
      <c r="D31" t="s">
        <v>572</v>
      </c>
      <c r="E31" t="s">
        <v>542</v>
      </c>
      <c r="F31" s="36">
        <v>4.0903490759753502</v>
      </c>
      <c r="G31">
        <v>660</v>
      </c>
      <c r="H31">
        <v>2.9</v>
      </c>
      <c r="I31">
        <f t="shared" si="0"/>
        <v>1914</v>
      </c>
      <c r="J31" s="2">
        <v>2691.6909286400519</v>
      </c>
      <c r="K31">
        <f t="shared" si="1"/>
        <v>1776516.0129024342</v>
      </c>
      <c r="L31" s="1">
        <v>5.6784412022982754E-2</v>
      </c>
      <c r="M31">
        <f t="shared" si="2"/>
        <v>37.477711935168621</v>
      </c>
      <c r="N31" s="2" t="s">
        <v>598</v>
      </c>
      <c r="O31" s="2">
        <f>VLOOKUP(A31,'Coal savings'!$A$3:$K$543,10,FALSE)</f>
        <v>0</v>
      </c>
      <c r="P31" s="2">
        <f t="shared" si="3"/>
        <v>0</v>
      </c>
      <c r="Q31">
        <f>VLOOKUP(A31,'[13]Thermal generation Mar 19 - Feb'!$C$2:$D$680,2,FALSE)</f>
        <v>2246.6399999999899</v>
      </c>
    </row>
    <row r="32" spans="1:17" x14ac:dyDescent="0.2">
      <c r="A32" s="2" t="s">
        <v>40</v>
      </c>
      <c r="B32" t="s">
        <v>634</v>
      </c>
      <c r="C32" t="s">
        <v>628</v>
      </c>
      <c r="D32" t="s">
        <v>572</v>
      </c>
      <c r="E32" t="s">
        <v>542</v>
      </c>
      <c r="F32" s="36">
        <v>4.1752224503764497</v>
      </c>
      <c r="G32">
        <v>660</v>
      </c>
      <c r="H32">
        <v>2.9</v>
      </c>
      <c r="I32">
        <f t="shared" si="0"/>
        <v>1914</v>
      </c>
      <c r="J32" s="2">
        <v>2710.9501550944578</v>
      </c>
      <c r="K32">
        <f t="shared" si="1"/>
        <v>1789227.1023623422</v>
      </c>
      <c r="L32" s="1">
        <v>5.6784412022982754E-2</v>
      </c>
      <c r="M32">
        <f t="shared" si="2"/>
        <v>37.477711935168621</v>
      </c>
      <c r="N32" s="2" t="s">
        <v>598</v>
      </c>
      <c r="O32" s="2">
        <f>VLOOKUP(A32,'Coal savings'!$A$3:$K$543,10,FALSE)</f>
        <v>0</v>
      </c>
      <c r="P32" s="2">
        <f t="shared" si="3"/>
        <v>0</v>
      </c>
      <c r="Q32">
        <f>VLOOKUP(A32,'[13]Thermal generation Mar 19 - Feb'!$C$2:$D$680,2,FALSE)</f>
        <v>2688.81</v>
      </c>
    </row>
    <row r="33" spans="1:17" x14ac:dyDescent="0.2">
      <c r="A33" s="2" t="s">
        <v>45</v>
      </c>
      <c r="B33" t="s">
        <v>634</v>
      </c>
      <c r="C33" t="s">
        <v>628</v>
      </c>
      <c r="D33" t="s">
        <v>572</v>
      </c>
      <c r="E33" t="s">
        <v>542</v>
      </c>
      <c r="F33" s="36">
        <v>4.33949349760438</v>
      </c>
      <c r="G33">
        <v>660</v>
      </c>
      <c r="H33">
        <v>2.9</v>
      </c>
      <c r="I33">
        <f t="shared" si="0"/>
        <v>1914</v>
      </c>
      <c r="J33" s="2">
        <v>2724.4060714120214</v>
      </c>
      <c r="K33">
        <f t="shared" si="1"/>
        <v>1798108.0071319342</v>
      </c>
      <c r="L33" s="1">
        <v>5.6784412022982754E-2</v>
      </c>
      <c r="M33">
        <f t="shared" si="2"/>
        <v>37.477711935168621</v>
      </c>
      <c r="N33" s="2" t="s">
        <v>598</v>
      </c>
      <c r="O33" s="2">
        <f>VLOOKUP(A33,'Coal savings'!$A$3:$K$543,10,FALSE)</f>
        <v>0</v>
      </c>
      <c r="P33" s="2">
        <f t="shared" si="3"/>
        <v>0</v>
      </c>
      <c r="Q33">
        <f>VLOOKUP(A33,'[13]Thermal generation Mar 19 - Feb'!$C$2:$D$680,2,FALSE)</f>
        <v>2297.99999999999</v>
      </c>
    </row>
    <row r="34" spans="1:17" x14ac:dyDescent="0.2">
      <c r="A34" s="2" t="s">
        <v>49</v>
      </c>
      <c r="B34" t="s">
        <v>634</v>
      </c>
      <c r="C34" t="s">
        <v>628</v>
      </c>
      <c r="D34" t="s">
        <v>572</v>
      </c>
      <c r="E34" t="s">
        <v>542</v>
      </c>
      <c r="F34" s="36">
        <v>4.6735112936344896</v>
      </c>
      <c r="G34">
        <v>660</v>
      </c>
      <c r="H34">
        <v>2.33</v>
      </c>
      <c r="I34">
        <f t="shared" si="0"/>
        <v>1537.8</v>
      </c>
      <c r="J34" s="2">
        <v>2730.771881295801</v>
      </c>
      <c r="K34">
        <f t="shared" si="1"/>
        <v>1802309.4416552286</v>
      </c>
      <c r="L34" s="1">
        <v>7.2032085285824013E-2</v>
      </c>
      <c r="M34">
        <f t="shared" si="2"/>
        <v>47.541176288643847</v>
      </c>
      <c r="N34" s="2" t="s">
        <v>598</v>
      </c>
      <c r="O34" s="2">
        <f>VLOOKUP(A34,'Coal savings'!$A$3:$K$543,10,FALSE)</f>
        <v>0</v>
      </c>
      <c r="P34" s="2">
        <f t="shared" si="3"/>
        <v>0</v>
      </c>
      <c r="Q34">
        <f>VLOOKUP(A34,'[13]Thermal generation Mar 19 - Feb'!$C$2:$D$680,2,FALSE)</f>
        <v>1482.8599999999899</v>
      </c>
    </row>
    <row r="35" spans="1:17" x14ac:dyDescent="0.2">
      <c r="A35" s="2" t="s">
        <v>31</v>
      </c>
      <c r="B35" t="s">
        <v>617</v>
      </c>
      <c r="C35" t="s">
        <v>626</v>
      </c>
      <c r="D35" t="s">
        <v>571</v>
      </c>
      <c r="E35" t="s">
        <v>542</v>
      </c>
      <c r="F35" s="36">
        <v>3.0910335386721401</v>
      </c>
      <c r="G35">
        <v>660</v>
      </c>
      <c r="H35">
        <v>3.66</v>
      </c>
      <c r="I35">
        <f t="shared" si="0"/>
        <v>2415.6</v>
      </c>
      <c r="J35" s="2">
        <v>2763.934057916772</v>
      </c>
      <c r="K35">
        <f t="shared" si="1"/>
        <v>1824196.4782250696</v>
      </c>
      <c r="L35" s="1">
        <v>0.09</v>
      </c>
      <c r="M35">
        <f t="shared" si="2"/>
        <v>59.4</v>
      </c>
      <c r="N35" s="2" t="s">
        <v>598</v>
      </c>
      <c r="O35" s="2">
        <f>VLOOKUP(A35,'Coal savings'!$A$3:$K$543,10,FALSE)</f>
        <v>0</v>
      </c>
      <c r="P35" s="2">
        <f t="shared" si="3"/>
        <v>0</v>
      </c>
      <c r="Q35">
        <f>VLOOKUP(A35,'[13]Thermal generation Mar 19 - Feb'!$C$2:$D$680,2,FALSE)</f>
        <v>584.38</v>
      </c>
    </row>
    <row r="36" spans="1:17" x14ac:dyDescent="0.2">
      <c r="A36" s="2" t="s">
        <v>43</v>
      </c>
      <c r="B36" t="s">
        <v>617</v>
      </c>
      <c r="C36" t="s">
        <v>626</v>
      </c>
      <c r="D36" t="s">
        <v>571</v>
      </c>
      <c r="E36" t="s">
        <v>542</v>
      </c>
      <c r="F36" s="36">
        <v>4.1752224503764497</v>
      </c>
      <c r="G36">
        <v>660</v>
      </c>
      <c r="H36">
        <v>2.9</v>
      </c>
      <c r="I36">
        <f t="shared" si="0"/>
        <v>1914</v>
      </c>
      <c r="J36" s="2">
        <v>2679.1024714016098</v>
      </c>
      <c r="K36">
        <f t="shared" si="1"/>
        <v>1768207.6311250625</v>
      </c>
      <c r="L36" s="1">
        <v>7.3009693702312639E-2</v>
      </c>
      <c r="M36">
        <f t="shared" si="2"/>
        <v>48.186397843526343</v>
      </c>
      <c r="N36" s="2" t="s">
        <v>598</v>
      </c>
      <c r="O36" s="2">
        <f>VLOOKUP(A36,'Coal savings'!$A$3:$K$543,10,FALSE)</f>
        <v>0</v>
      </c>
      <c r="P36" s="2">
        <f t="shared" si="3"/>
        <v>0</v>
      </c>
      <c r="Q36">
        <f>VLOOKUP(A36,'[13]Thermal generation Mar 19 - Feb'!$C$2:$D$680,2,FALSE)</f>
        <v>2864.2999999999902</v>
      </c>
    </row>
    <row r="37" spans="1:17" x14ac:dyDescent="0.2">
      <c r="A37" s="2" t="s">
        <v>52</v>
      </c>
      <c r="B37" t="s">
        <v>609</v>
      </c>
      <c r="C37" t="s">
        <v>626</v>
      </c>
      <c r="D37" t="s">
        <v>572</v>
      </c>
      <c r="E37" t="s">
        <v>543</v>
      </c>
      <c r="F37" s="36">
        <v>5.1772758384667998</v>
      </c>
      <c r="G37">
        <v>660</v>
      </c>
      <c r="H37">
        <v>1.34</v>
      </c>
      <c r="I37">
        <f t="shared" si="0"/>
        <v>884.40000000000009</v>
      </c>
      <c r="J37" s="2">
        <v>2526.7125657220299</v>
      </c>
      <c r="K37">
        <f t="shared" si="1"/>
        <v>1667630.2933765398</v>
      </c>
      <c r="L37">
        <v>5.9985033260734698E-2</v>
      </c>
      <c r="M37">
        <f t="shared" si="2"/>
        <v>39.5901219520849</v>
      </c>
      <c r="N37" s="2" t="s">
        <v>598</v>
      </c>
      <c r="O37" s="2">
        <f>VLOOKUP(A37,'Coal savings'!$A$3:$K$543,10,FALSE)</f>
        <v>0</v>
      </c>
      <c r="P37" s="2">
        <f t="shared" si="3"/>
        <v>0</v>
      </c>
      <c r="Q37">
        <f>VLOOKUP(A37,'[13]Thermal generation Mar 19 - Feb'!$C$2:$D$680,2,FALSE)</f>
        <v>5690.8699999999899</v>
      </c>
    </row>
    <row r="38" spans="1:17" x14ac:dyDescent="0.2">
      <c r="A38" s="2" t="s">
        <v>56</v>
      </c>
      <c r="B38" t="s">
        <v>609</v>
      </c>
      <c r="C38" t="s">
        <v>626</v>
      </c>
      <c r="D38" t="s">
        <v>572</v>
      </c>
      <c r="E38" t="s">
        <v>543</v>
      </c>
      <c r="F38" s="36">
        <v>5.2539356605065004</v>
      </c>
      <c r="G38">
        <v>660</v>
      </c>
      <c r="H38">
        <v>0.61</v>
      </c>
      <c r="I38">
        <f t="shared" si="0"/>
        <v>402.59999999999997</v>
      </c>
      <c r="J38" s="2">
        <v>2650.1077045604775</v>
      </c>
      <c r="K38">
        <f t="shared" si="1"/>
        <v>1749071.0850099151</v>
      </c>
      <c r="L38">
        <v>6.0287169912146825E-2</v>
      </c>
      <c r="M38">
        <f t="shared" si="2"/>
        <v>39.789532142016903</v>
      </c>
      <c r="N38" s="2" t="s">
        <v>598</v>
      </c>
      <c r="O38" s="2">
        <f>VLOOKUP(A38,'Coal savings'!$A$3:$K$543,10,FALSE)</f>
        <v>0</v>
      </c>
      <c r="P38" s="2">
        <f t="shared" si="3"/>
        <v>0</v>
      </c>
      <c r="Q38">
        <f>VLOOKUP(A38,'[13]Thermal generation Mar 19 - Feb'!$C$2:$D$680,2,FALSE)</f>
        <v>3479.95</v>
      </c>
    </row>
    <row r="39" spans="1:17" x14ac:dyDescent="0.2">
      <c r="A39" s="2" t="s">
        <v>53</v>
      </c>
      <c r="B39" t="s">
        <v>615</v>
      </c>
      <c r="C39" t="s">
        <v>625</v>
      </c>
      <c r="D39" t="s">
        <v>571</v>
      </c>
      <c r="E39" t="s">
        <v>543</v>
      </c>
      <c r="F39" s="36">
        <v>5.1772758384667998</v>
      </c>
      <c r="G39">
        <v>660</v>
      </c>
      <c r="H39">
        <v>2.31</v>
      </c>
      <c r="I39">
        <f t="shared" si="0"/>
        <v>1524.6000000000001</v>
      </c>
      <c r="J39" s="2">
        <v>2585.0296110159238</v>
      </c>
      <c r="K39">
        <f t="shared" si="1"/>
        <v>1706119.5432705097</v>
      </c>
      <c r="L39">
        <v>7.8938602528921195E-2</v>
      </c>
      <c r="M39">
        <f t="shared" si="2"/>
        <v>52.099477669087989</v>
      </c>
      <c r="N39" s="2" t="s">
        <v>598</v>
      </c>
      <c r="O39" s="2">
        <f>VLOOKUP(A39,'Coal savings'!$A$3:$K$543,10,FALSE)</f>
        <v>0</v>
      </c>
      <c r="P39" s="2">
        <f t="shared" si="3"/>
        <v>0</v>
      </c>
      <c r="Q39">
        <f>VLOOKUP(A39,'[13]Thermal generation Mar 19 - Feb'!$C$2:$D$680,2,FALSE)</f>
        <v>4702.1000000000004</v>
      </c>
    </row>
    <row r="40" spans="1:17" x14ac:dyDescent="0.2">
      <c r="A40" s="2" t="s">
        <v>34</v>
      </c>
      <c r="B40" t="s">
        <v>617</v>
      </c>
      <c r="C40" t="s">
        <v>626</v>
      </c>
      <c r="D40" t="s">
        <v>570</v>
      </c>
      <c r="E40" t="s">
        <v>542</v>
      </c>
      <c r="F40" s="36">
        <v>3.4223134839151199</v>
      </c>
      <c r="G40">
        <v>660</v>
      </c>
      <c r="H40">
        <v>2.19</v>
      </c>
      <c r="I40">
        <f t="shared" si="0"/>
        <v>1445.3999999999999</v>
      </c>
      <c r="J40" s="2">
        <v>2678.5773768317194</v>
      </c>
      <c r="K40">
        <f t="shared" si="1"/>
        <v>1767861.0687089348</v>
      </c>
      <c r="L40" s="1">
        <v>8.2497496941869752E-2</v>
      </c>
      <c r="M40">
        <f t="shared" si="2"/>
        <v>54.448347981634036</v>
      </c>
      <c r="N40" s="2" t="s">
        <v>598</v>
      </c>
      <c r="O40" s="2">
        <f>VLOOKUP(A40,'Coal savings'!$A$3:$K$543,10,FALSE)</f>
        <v>0</v>
      </c>
      <c r="P40" s="2">
        <f t="shared" si="3"/>
        <v>0</v>
      </c>
      <c r="Q40">
        <f>VLOOKUP(A40,'[13]Thermal generation Mar 19 - Feb'!$C$2:$D$680,2,FALSE)</f>
        <v>3089.03</v>
      </c>
    </row>
    <row r="41" spans="1:17" x14ac:dyDescent="0.2">
      <c r="A41" s="2" t="s">
        <v>59</v>
      </c>
      <c r="B41" t="s">
        <v>609</v>
      </c>
      <c r="C41" t="s">
        <v>626</v>
      </c>
      <c r="D41" t="s">
        <v>572</v>
      </c>
      <c r="E41" t="s">
        <v>543</v>
      </c>
      <c r="F41" s="36">
        <v>5.7577002053388</v>
      </c>
      <c r="G41">
        <v>660</v>
      </c>
      <c r="H41">
        <v>0.61</v>
      </c>
      <c r="I41">
        <f t="shared" si="0"/>
        <v>402.59999999999997</v>
      </c>
      <c r="J41" s="2">
        <v>2654.6252352012957</v>
      </c>
      <c r="K41">
        <f t="shared" si="1"/>
        <v>1752052.6552328551</v>
      </c>
      <c r="L41">
        <v>6.0287169912146825E-2</v>
      </c>
      <c r="M41">
        <f t="shared" si="2"/>
        <v>39.789532142016903</v>
      </c>
      <c r="N41" s="2" t="s">
        <v>598</v>
      </c>
      <c r="O41" s="2">
        <f>VLOOKUP(A41,'Coal savings'!$A$3:$K$543,10,FALSE)</f>
        <v>0</v>
      </c>
      <c r="P41" s="2">
        <f t="shared" si="3"/>
        <v>0</v>
      </c>
      <c r="Q41">
        <f>VLOOKUP(A41,'[13]Thermal generation Mar 19 - Feb'!$C$2:$D$680,2,FALSE)</f>
        <v>2965.7</v>
      </c>
    </row>
    <row r="42" spans="1:17" x14ac:dyDescent="0.2">
      <c r="A42" s="2" t="s">
        <v>58</v>
      </c>
      <c r="B42" t="s">
        <v>609</v>
      </c>
      <c r="C42" t="s">
        <v>626</v>
      </c>
      <c r="D42" t="s">
        <v>572</v>
      </c>
      <c r="E42" t="s">
        <v>543</v>
      </c>
      <c r="F42" s="36">
        <v>5.7577002053388</v>
      </c>
      <c r="G42">
        <v>660</v>
      </c>
      <c r="H42">
        <v>1.34</v>
      </c>
      <c r="I42">
        <f t="shared" si="0"/>
        <v>884.40000000000009</v>
      </c>
      <c r="J42" s="2">
        <v>2525.3075794452971</v>
      </c>
      <c r="K42">
        <f t="shared" si="1"/>
        <v>1666703.0024338961</v>
      </c>
      <c r="L42">
        <v>5.9985033260734698E-2</v>
      </c>
      <c r="M42">
        <f t="shared" si="2"/>
        <v>39.5901219520849</v>
      </c>
      <c r="N42" s="2" t="s">
        <v>598</v>
      </c>
      <c r="O42" s="2">
        <f>VLOOKUP(A42,'Coal savings'!$A$3:$K$543,10,FALSE)</f>
        <v>0</v>
      </c>
      <c r="P42" s="2">
        <f t="shared" si="3"/>
        <v>0</v>
      </c>
      <c r="Q42">
        <f>VLOOKUP(A42,'[13]Thermal generation Mar 19 - Feb'!$C$2:$D$680,2,FALSE)</f>
        <v>5694.68</v>
      </c>
    </row>
    <row r="43" spans="1:17" x14ac:dyDescent="0.2">
      <c r="A43" s="2" t="s">
        <v>61</v>
      </c>
      <c r="B43" t="s">
        <v>609</v>
      </c>
      <c r="C43" t="s">
        <v>626</v>
      </c>
      <c r="D43" t="s">
        <v>572</v>
      </c>
      <c r="E43" t="s">
        <v>543</v>
      </c>
      <c r="F43" s="36">
        <v>6.00958247775496</v>
      </c>
      <c r="G43">
        <v>660</v>
      </c>
      <c r="H43">
        <v>1.34</v>
      </c>
      <c r="I43">
        <f t="shared" si="0"/>
        <v>884.40000000000009</v>
      </c>
      <c r="J43" s="2">
        <v>2544.6447009853359</v>
      </c>
      <c r="K43">
        <f t="shared" si="1"/>
        <v>1679465.5026503217</v>
      </c>
      <c r="L43">
        <v>5.9985033260734698E-2</v>
      </c>
      <c r="M43">
        <f t="shared" si="2"/>
        <v>39.5901219520849</v>
      </c>
      <c r="N43" s="2" t="s">
        <v>598</v>
      </c>
      <c r="O43" s="2">
        <f>VLOOKUP(A43,'Coal savings'!$A$3:$K$543,10,FALSE)</f>
        <v>0</v>
      </c>
      <c r="P43" s="2">
        <f t="shared" si="3"/>
        <v>0</v>
      </c>
      <c r="Q43">
        <f>VLOOKUP(A43,'[13]Thermal generation Mar 19 - Feb'!$C$2:$D$680,2,FALSE)</f>
        <v>5037.8199999999897</v>
      </c>
    </row>
    <row r="44" spans="1:17" x14ac:dyDescent="0.2">
      <c r="A44" s="2" t="s">
        <v>63</v>
      </c>
      <c r="B44" t="s">
        <v>609</v>
      </c>
      <c r="C44" t="s">
        <v>626</v>
      </c>
      <c r="D44" t="s">
        <v>572</v>
      </c>
      <c r="E44" t="s">
        <v>543</v>
      </c>
      <c r="F44" s="36">
        <v>6.1765913757700197</v>
      </c>
      <c r="G44">
        <v>660</v>
      </c>
      <c r="H44">
        <v>1.34</v>
      </c>
      <c r="I44">
        <f t="shared" si="0"/>
        <v>884.40000000000009</v>
      </c>
      <c r="J44" s="2">
        <v>2551.4825823397746</v>
      </c>
      <c r="K44">
        <f t="shared" si="1"/>
        <v>1683978.5043442512</v>
      </c>
      <c r="L44">
        <v>5.9985033260734698E-2</v>
      </c>
      <c r="M44">
        <f t="shared" si="2"/>
        <v>39.5901219520849</v>
      </c>
      <c r="N44" s="2" t="s">
        <v>598</v>
      </c>
      <c r="O44" s="2">
        <f>VLOOKUP(A44,'Coal savings'!$A$3:$K$543,10,FALSE)</f>
        <v>0</v>
      </c>
      <c r="P44" s="2">
        <f t="shared" si="3"/>
        <v>0</v>
      </c>
      <c r="Q44">
        <f>VLOOKUP(A44,'[13]Thermal generation Mar 19 - Feb'!$C$2:$D$680,2,FALSE)</f>
        <v>5537.1799999999903</v>
      </c>
    </row>
    <row r="45" spans="1:17" x14ac:dyDescent="0.2">
      <c r="A45" s="2" t="s">
        <v>41</v>
      </c>
      <c r="B45" t="s">
        <v>617</v>
      </c>
      <c r="C45" t="s">
        <v>626</v>
      </c>
      <c r="D45" t="s">
        <v>570</v>
      </c>
      <c r="E45" t="s">
        <v>542</v>
      </c>
      <c r="F45" s="36">
        <v>4.1752224503764497</v>
      </c>
      <c r="G45">
        <v>660</v>
      </c>
      <c r="H45">
        <v>2.19</v>
      </c>
      <c r="I45">
        <f t="shared" si="0"/>
        <v>1445.3999999999999</v>
      </c>
      <c r="J45" s="2">
        <v>2701.7430118303091</v>
      </c>
      <c r="K45">
        <f t="shared" si="1"/>
        <v>1783150.3878080039</v>
      </c>
      <c r="L45" s="1">
        <v>8.2497496941869752E-2</v>
      </c>
      <c r="M45">
        <f t="shared" si="2"/>
        <v>54.448347981634036</v>
      </c>
      <c r="N45" s="2" t="s">
        <v>598</v>
      </c>
      <c r="O45" s="2">
        <f>VLOOKUP(A45,'Coal savings'!$A$3:$K$543,10,FALSE)</f>
        <v>0</v>
      </c>
      <c r="P45" s="2">
        <f t="shared" si="3"/>
        <v>0</v>
      </c>
      <c r="Q45">
        <f>VLOOKUP(A45,'[13]Thermal generation Mar 19 - Feb'!$C$2:$D$680,2,FALSE)</f>
        <v>2987.4299999999898</v>
      </c>
    </row>
    <row r="46" spans="1:17" x14ac:dyDescent="0.2">
      <c r="A46" s="2" t="s">
        <v>65</v>
      </c>
      <c r="B46" t="s">
        <v>609</v>
      </c>
      <c r="C46" t="s">
        <v>626</v>
      </c>
      <c r="D46" t="s">
        <v>572</v>
      </c>
      <c r="E46" t="s">
        <v>543</v>
      </c>
      <c r="F46" s="36">
        <v>6.4229979466118996</v>
      </c>
      <c r="G46">
        <v>660</v>
      </c>
      <c r="H46">
        <v>1.34</v>
      </c>
      <c r="I46">
        <f t="shared" si="0"/>
        <v>884.40000000000009</v>
      </c>
      <c r="J46" s="2">
        <v>2538.3943953418784</v>
      </c>
      <c r="K46">
        <f t="shared" si="1"/>
        <v>1675340.3009256397</v>
      </c>
      <c r="L46">
        <v>5.9985033260734698E-2</v>
      </c>
      <c r="M46">
        <f t="shared" si="2"/>
        <v>39.5901219520849</v>
      </c>
      <c r="N46" s="2" t="s">
        <v>598</v>
      </c>
      <c r="O46" s="2">
        <f>VLOOKUP(A46,'Coal savings'!$A$3:$K$543,10,FALSE)</f>
        <v>0</v>
      </c>
      <c r="P46" s="2">
        <f t="shared" si="3"/>
        <v>0</v>
      </c>
      <c r="Q46">
        <f>VLOOKUP(A46,'[13]Thermal generation Mar 19 - Feb'!$C$2:$D$680,2,FALSE)</f>
        <v>5516.0299999999897</v>
      </c>
    </row>
    <row r="47" spans="1:17" x14ac:dyDescent="0.2">
      <c r="A47" s="2" t="s">
        <v>37</v>
      </c>
      <c r="B47" t="s">
        <v>618</v>
      </c>
      <c r="C47" t="s">
        <v>628</v>
      </c>
      <c r="D47" t="s">
        <v>572</v>
      </c>
      <c r="E47" t="s">
        <v>543</v>
      </c>
      <c r="F47" s="36">
        <v>5.8425735797399003</v>
      </c>
      <c r="G47">
        <v>700</v>
      </c>
      <c r="H47">
        <v>2.2599999999999998</v>
      </c>
      <c r="I47">
        <f t="shared" si="0"/>
        <v>1581.9999999999998</v>
      </c>
      <c r="J47" s="2">
        <v>2609.3879658222372</v>
      </c>
      <c r="K47">
        <f t="shared" si="1"/>
        <v>1826571.576075566</v>
      </c>
      <c r="L47">
        <v>5.271272326947618E-2</v>
      </c>
      <c r="M47">
        <f t="shared" si="2"/>
        <v>36.898906288633327</v>
      </c>
      <c r="N47" s="2" t="s">
        <v>598</v>
      </c>
      <c r="O47" s="2">
        <f>VLOOKUP(A47,'Coal savings'!$A$3:$K$543,10,FALSE)</f>
        <v>0</v>
      </c>
      <c r="P47" s="2">
        <f t="shared" si="3"/>
        <v>0</v>
      </c>
      <c r="Q47">
        <f>VLOOKUP(A47,'[13]Thermal generation Mar 19 - Feb'!$C$2:$D$680,2,FALSE)</f>
        <v>4363.8100000000004</v>
      </c>
    </row>
    <row r="48" spans="1:17" x14ac:dyDescent="0.2">
      <c r="A48" s="2" t="s">
        <v>67</v>
      </c>
      <c r="B48" t="s">
        <v>615</v>
      </c>
      <c r="C48" t="s">
        <v>625</v>
      </c>
      <c r="D48" t="s">
        <v>571</v>
      </c>
      <c r="E48" t="s">
        <v>543</v>
      </c>
      <c r="F48" s="36">
        <v>6.5051334702258696</v>
      </c>
      <c r="G48">
        <v>660</v>
      </c>
      <c r="H48">
        <v>2.31</v>
      </c>
      <c r="I48">
        <f t="shared" si="0"/>
        <v>1524.6000000000001</v>
      </c>
      <c r="J48" s="2">
        <v>2603.456054478007</v>
      </c>
      <c r="K48">
        <f t="shared" si="1"/>
        <v>1718280.9959554847</v>
      </c>
      <c r="L48">
        <v>7.8938602528921195E-2</v>
      </c>
      <c r="M48">
        <f t="shared" si="2"/>
        <v>52.099477669087989</v>
      </c>
      <c r="N48" s="2" t="s">
        <v>598</v>
      </c>
      <c r="O48" s="2">
        <f>VLOOKUP(A48,'Coal savings'!$A$3:$K$543,10,FALSE)</f>
        <v>0</v>
      </c>
      <c r="P48" s="2">
        <f t="shared" si="3"/>
        <v>0</v>
      </c>
      <c r="Q48">
        <f>VLOOKUP(A48,'[13]Thermal generation Mar 19 - Feb'!$C$2:$D$680,2,FALSE)</f>
        <v>3670.46</v>
      </c>
    </row>
    <row r="49" spans="1:17" x14ac:dyDescent="0.2">
      <c r="A49" s="2" t="s">
        <v>46</v>
      </c>
      <c r="B49" t="s">
        <v>618</v>
      </c>
      <c r="C49" t="s">
        <v>628</v>
      </c>
      <c r="D49" t="s">
        <v>572</v>
      </c>
      <c r="E49" t="s">
        <v>543</v>
      </c>
      <c r="F49" s="36">
        <v>6.3381245722108099</v>
      </c>
      <c r="G49">
        <v>700</v>
      </c>
      <c r="H49">
        <v>2.2599999999999998</v>
      </c>
      <c r="I49">
        <f t="shared" si="0"/>
        <v>1581.9999999999998</v>
      </c>
      <c r="J49" s="2">
        <v>2612.3257496137326</v>
      </c>
      <c r="K49">
        <f t="shared" si="1"/>
        <v>1828628.0247296127</v>
      </c>
      <c r="L49">
        <v>5.271272326947618E-2</v>
      </c>
      <c r="M49">
        <f t="shared" si="2"/>
        <v>36.898906288633327</v>
      </c>
      <c r="N49" s="2" t="s">
        <v>598</v>
      </c>
      <c r="O49" s="2">
        <f>VLOOKUP(A49,'Coal savings'!$A$3:$K$543,10,FALSE)</f>
        <v>0</v>
      </c>
      <c r="P49" s="2">
        <f t="shared" si="3"/>
        <v>0</v>
      </c>
      <c r="Q49">
        <f>VLOOKUP(A49,'[13]Thermal generation Mar 19 - Feb'!$C$2:$D$680,2,FALSE)</f>
        <v>4617.9399999999896</v>
      </c>
    </row>
    <row r="50" spans="1:17" x14ac:dyDescent="0.2">
      <c r="A50" s="2" t="s">
        <v>57</v>
      </c>
      <c r="B50" t="s">
        <v>617</v>
      </c>
      <c r="C50" t="s">
        <v>626</v>
      </c>
      <c r="D50" t="s">
        <v>572</v>
      </c>
      <c r="E50" t="s">
        <v>543</v>
      </c>
      <c r="F50" s="36">
        <v>5.6728268309377103</v>
      </c>
      <c r="G50">
        <v>660</v>
      </c>
      <c r="H50">
        <v>2.39</v>
      </c>
      <c r="I50">
        <f t="shared" si="0"/>
        <v>1577.4</v>
      </c>
      <c r="J50" s="2">
        <v>2619.0387898864901</v>
      </c>
      <c r="K50">
        <f t="shared" si="1"/>
        <v>1728565.6013250835</v>
      </c>
      <c r="L50">
        <v>5.508216674000762E-2</v>
      </c>
      <c r="M50">
        <f t="shared" si="2"/>
        <v>36.354230048405029</v>
      </c>
      <c r="N50" s="2" t="s">
        <v>598</v>
      </c>
      <c r="O50" s="2">
        <f>VLOOKUP(A50,'Coal savings'!$A$3:$K$543,10,FALSE)</f>
        <v>0</v>
      </c>
      <c r="P50" s="2">
        <f t="shared" si="3"/>
        <v>0</v>
      </c>
      <c r="Q50">
        <f>VLOOKUP(A50,'[13]Thermal generation Mar 19 - Feb'!$C$2:$D$680,2,FALSE)</f>
        <v>4786.51</v>
      </c>
    </row>
    <row r="51" spans="1:17" x14ac:dyDescent="0.2">
      <c r="A51" s="2" t="s">
        <v>76</v>
      </c>
      <c r="B51" t="s">
        <v>609</v>
      </c>
      <c r="C51" t="s">
        <v>626</v>
      </c>
      <c r="D51" t="s">
        <v>572</v>
      </c>
      <c r="E51" t="s">
        <v>543</v>
      </c>
      <c r="F51" s="36">
        <v>7.0088980150581701</v>
      </c>
      <c r="G51">
        <v>660</v>
      </c>
      <c r="H51">
        <v>1.34</v>
      </c>
      <c r="I51">
        <f t="shared" si="0"/>
        <v>884.40000000000009</v>
      </c>
      <c r="J51" s="2">
        <v>2543.998959622139</v>
      </c>
      <c r="K51">
        <f t="shared" si="1"/>
        <v>1679039.3133506116</v>
      </c>
      <c r="L51">
        <v>5.9985033260734698E-2</v>
      </c>
      <c r="M51">
        <f t="shared" si="2"/>
        <v>39.5901219520849</v>
      </c>
      <c r="N51" s="2" t="s">
        <v>598</v>
      </c>
      <c r="O51" s="2">
        <f>VLOOKUP(A51,'Coal savings'!$A$3:$K$543,10,FALSE)</f>
        <v>0</v>
      </c>
      <c r="P51" s="2">
        <f t="shared" si="3"/>
        <v>0</v>
      </c>
      <c r="Q51">
        <f>VLOOKUP(A51,'[13]Thermal generation Mar 19 - Feb'!$C$2:$D$680,2,FALSE)</f>
        <v>5759.24999999999</v>
      </c>
    </row>
    <row r="52" spans="1:17" x14ac:dyDescent="0.2">
      <c r="A52" s="2" t="s">
        <v>54</v>
      </c>
      <c r="B52" t="s">
        <v>617</v>
      </c>
      <c r="C52" t="s">
        <v>626</v>
      </c>
      <c r="D52" t="s">
        <v>570</v>
      </c>
      <c r="E52" t="s">
        <v>543</v>
      </c>
      <c r="F52" s="36">
        <v>5.1772758384667998</v>
      </c>
      <c r="G52">
        <v>660</v>
      </c>
      <c r="H52">
        <v>2.19</v>
      </c>
      <c r="I52">
        <f t="shared" si="0"/>
        <v>1445.3999999999999</v>
      </c>
      <c r="J52" s="2">
        <v>2707.498098621164</v>
      </c>
      <c r="K52">
        <f t="shared" si="1"/>
        <v>1786948.7450899682</v>
      </c>
      <c r="L52">
        <v>8.2497496941869752E-2</v>
      </c>
      <c r="M52">
        <f t="shared" si="2"/>
        <v>54.448347981634036</v>
      </c>
      <c r="N52" s="2" t="s">
        <v>598</v>
      </c>
      <c r="O52" s="2">
        <f>VLOOKUP(A52,'Coal savings'!$A$3:$K$543,10,FALSE)</f>
        <v>0</v>
      </c>
      <c r="P52" s="2">
        <f t="shared" si="3"/>
        <v>0</v>
      </c>
      <c r="Q52">
        <f>VLOOKUP(A52,'[13]Thermal generation Mar 19 - Feb'!$C$2:$D$680,2,FALSE)</f>
        <v>2714.3</v>
      </c>
    </row>
    <row r="53" spans="1:17" x14ac:dyDescent="0.2">
      <c r="A53" s="2" t="s">
        <v>64</v>
      </c>
      <c r="B53" t="s">
        <v>617</v>
      </c>
      <c r="C53" t="s">
        <v>626</v>
      </c>
      <c r="D53" t="s">
        <v>572</v>
      </c>
      <c r="E53" t="s">
        <v>543</v>
      </c>
      <c r="F53" s="36">
        <v>6.1765913757700197</v>
      </c>
      <c r="G53">
        <v>660</v>
      </c>
      <c r="H53">
        <v>2.39</v>
      </c>
      <c r="I53">
        <f t="shared" si="0"/>
        <v>1577.4</v>
      </c>
      <c r="J53" s="2">
        <v>2633.0538535582114</v>
      </c>
      <c r="K53">
        <f t="shared" si="1"/>
        <v>1737815.5433484195</v>
      </c>
      <c r="L53">
        <v>5.508216674000762E-2</v>
      </c>
      <c r="M53">
        <f t="shared" si="2"/>
        <v>36.354230048405029</v>
      </c>
      <c r="N53" s="2" t="s">
        <v>598</v>
      </c>
      <c r="O53" s="2">
        <f>VLOOKUP(A53,'Coal savings'!$A$3:$K$543,10,FALSE)</f>
        <v>0</v>
      </c>
      <c r="P53" s="2">
        <f t="shared" si="3"/>
        <v>0</v>
      </c>
      <c r="Q53">
        <f>VLOOKUP(A53,'[13]Thermal generation Mar 19 - Feb'!$C$2:$D$680,2,FALSE)</f>
        <v>4577.78</v>
      </c>
    </row>
    <row r="54" spans="1:17" x14ac:dyDescent="0.2">
      <c r="A54" s="2" t="s">
        <v>85</v>
      </c>
      <c r="B54" t="s">
        <v>611</v>
      </c>
      <c r="C54" t="s">
        <v>626</v>
      </c>
      <c r="D54" t="s">
        <v>571</v>
      </c>
      <c r="E54" t="s">
        <v>543</v>
      </c>
      <c r="F54" s="36">
        <v>7.7563312799452397</v>
      </c>
      <c r="G54">
        <v>660</v>
      </c>
      <c r="H54">
        <v>1.35</v>
      </c>
      <c r="I54">
        <f t="shared" si="0"/>
        <v>891.00000000000011</v>
      </c>
      <c r="J54" s="2">
        <v>2586.6655689966797</v>
      </c>
      <c r="K54">
        <f t="shared" si="1"/>
        <v>1707199.2755378087</v>
      </c>
      <c r="L54">
        <v>5.4595359838897593E-2</v>
      </c>
      <c r="M54">
        <f t="shared" si="2"/>
        <v>36.032937493672414</v>
      </c>
      <c r="N54" s="2" t="s">
        <v>598</v>
      </c>
      <c r="O54" s="2">
        <f>VLOOKUP(A54,'Coal savings'!$A$3:$K$543,10,FALSE)</f>
        <v>0</v>
      </c>
      <c r="P54" s="2">
        <f t="shared" si="3"/>
        <v>0</v>
      </c>
      <c r="Q54">
        <f>VLOOKUP(A54,'[13]Thermal generation Mar 19 - Feb'!$C$2:$D$680,2,FALSE)</f>
        <v>4780.8599999999997</v>
      </c>
    </row>
    <row r="55" spans="1:17" x14ac:dyDescent="0.2">
      <c r="A55" s="2" t="s">
        <v>92</v>
      </c>
      <c r="B55" t="s">
        <v>619</v>
      </c>
      <c r="C55" t="s">
        <v>628</v>
      </c>
      <c r="D55" t="s">
        <v>572</v>
      </c>
      <c r="E55" t="s">
        <v>543</v>
      </c>
      <c r="F55" s="36">
        <v>8.0903490759753591</v>
      </c>
      <c r="G55">
        <v>660</v>
      </c>
      <c r="H55">
        <v>3.33</v>
      </c>
      <c r="I55">
        <f t="shared" si="0"/>
        <v>2197.8000000000002</v>
      </c>
      <c r="J55" s="2">
        <v>2674.6583413135963</v>
      </c>
      <c r="K55">
        <f t="shared" si="1"/>
        <v>1765274.5052669735</v>
      </c>
      <c r="L55">
        <v>6.2602876632131307E-2</v>
      </c>
      <c r="M55">
        <f t="shared" si="2"/>
        <v>41.317898577206662</v>
      </c>
      <c r="N55" s="2" t="s">
        <v>598</v>
      </c>
      <c r="O55" s="2">
        <f>VLOOKUP(A55,'Coal savings'!$A$3:$K$543,10,FALSE)</f>
        <v>0</v>
      </c>
      <c r="P55" s="2">
        <f t="shared" si="3"/>
        <v>0</v>
      </c>
      <c r="Q55">
        <f>VLOOKUP(A55,'[13]Thermal generation Mar 19 - Feb'!$C$2:$D$680,2,FALSE)</f>
        <v>2835.8199999999902</v>
      </c>
    </row>
    <row r="56" spans="1:17" x14ac:dyDescent="0.2">
      <c r="A56" s="2" t="s">
        <v>90</v>
      </c>
      <c r="B56" t="s">
        <v>611</v>
      </c>
      <c r="C56" t="s">
        <v>626</v>
      </c>
      <c r="D56" t="s">
        <v>571</v>
      </c>
      <c r="E56" t="s">
        <v>543</v>
      </c>
      <c r="F56" s="36">
        <v>8.00821355236139</v>
      </c>
      <c r="G56">
        <v>660</v>
      </c>
      <c r="H56">
        <v>1.35</v>
      </c>
      <c r="I56">
        <f t="shared" si="0"/>
        <v>891.00000000000011</v>
      </c>
      <c r="J56" s="2">
        <v>2574.6160248419378</v>
      </c>
      <c r="K56">
        <f t="shared" si="1"/>
        <v>1699246.576395679</v>
      </c>
      <c r="L56">
        <v>5.4595359838897593E-2</v>
      </c>
      <c r="M56">
        <f t="shared" si="2"/>
        <v>36.032937493672414</v>
      </c>
      <c r="N56" s="2" t="s">
        <v>598</v>
      </c>
      <c r="O56" s="2">
        <f>VLOOKUP(A56,'Coal savings'!$A$3:$K$543,10,FALSE)</f>
        <v>0</v>
      </c>
      <c r="P56" s="2">
        <f t="shared" si="3"/>
        <v>0</v>
      </c>
      <c r="Q56">
        <f>VLOOKUP(A56,'[13]Thermal generation Mar 19 - Feb'!$C$2:$D$680,2,FALSE)</f>
        <v>5206.97</v>
      </c>
    </row>
    <row r="57" spans="1:17" x14ac:dyDescent="0.2">
      <c r="A57" s="2" t="s">
        <v>73</v>
      </c>
      <c r="B57" t="s">
        <v>617</v>
      </c>
      <c r="C57" t="s">
        <v>626</v>
      </c>
      <c r="D57" t="s">
        <v>572</v>
      </c>
      <c r="E57" t="s">
        <v>543</v>
      </c>
      <c r="F57" s="36">
        <v>6.9240246406570796</v>
      </c>
      <c r="G57">
        <v>660</v>
      </c>
      <c r="H57">
        <v>1.82</v>
      </c>
      <c r="I57">
        <f t="shared" si="0"/>
        <v>1201.2</v>
      </c>
      <c r="J57" s="2">
        <v>2617.2513035111429</v>
      </c>
      <c r="K57">
        <f t="shared" si="1"/>
        <v>1727385.8603173543</v>
      </c>
      <c r="L57">
        <v>5.508216674000762E-2</v>
      </c>
      <c r="M57">
        <f t="shared" si="2"/>
        <v>36.354230048405029</v>
      </c>
      <c r="N57" s="2" t="s">
        <v>598</v>
      </c>
      <c r="O57" s="2">
        <f>VLOOKUP(A57,'Coal savings'!$A$3:$K$543,10,FALSE)</f>
        <v>0</v>
      </c>
      <c r="P57" s="2">
        <f t="shared" si="3"/>
        <v>0</v>
      </c>
      <c r="Q57">
        <f>VLOOKUP(A57,'[13]Thermal generation Mar 19 - Feb'!$C$2:$D$680,2,FALSE)</f>
        <v>4966.18</v>
      </c>
    </row>
    <row r="58" spans="1:17" x14ac:dyDescent="0.2">
      <c r="A58" s="2" t="s">
        <v>96</v>
      </c>
      <c r="B58" t="s">
        <v>619</v>
      </c>
      <c r="C58" t="s">
        <v>628</v>
      </c>
      <c r="D58" t="s">
        <v>572</v>
      </c>
      <c r="E58" t="s">
        <v>543</v>
      </c>
      <c r="F58" s="36">
        <v>8.33949349760438</v>
      </c>
      <c r="G58">
        <v>660</v>
      </c>
      <c r="H58">
        <v>3.33</v>
      </c>
      <c r="I58">
        <f t="shared" si="0"/>
        <v>2197.8000000000002</v>
      </c>
      <c r="J58" s="2">
        <v>2667.4483877385769</v>
      </c>
      <c r="K58">
        <f t="shared" si="1"/>
        <v>1760515.9359074607</v>
      </c>
      <c r="L58">
        <v>6.2602876632131307E-2</v>
      </c>
      <c r="M58">
        <f t="shared" si="2"/>
        <v>41.317898577206662</v>
      </c>
      <c r="N58" s="2" t="s">
        <v>598</v>
      </c>
      <c r="O58" s="2">
        <f>VLOOKUP(A58,'Coal savings'!$A$3:$K$543,10,FALSE)</f>
        <v>0</v>
      </c>
      <c r="P58" s="2">
        <f t="shared" si="3"/>
        <v>0</v>
      </c>
      <c r="Q58">
        <f>VLOOKUP(A58,'[13]Thermal generation Mar 19 - Feb'!$C$2:$D$680,2,FALSE)</f>
        <v>3401.5899999999901</v>
      </c>
    </row>
    <row r="59" spans="1:17" x14ac:dyDescent="0.2">
      <c r="A59" s="2" t="s">
        <v>79</v>
      </c>
      <c r="B59" t="s">
        <v>617</v>
      </c>
      <c r="C59" t="s">
        <v>626</v>
      </c>
      <c r="D59" t="s">
        <v>572</v>
      </c>
      <c r="E59" t="s">
        <v>543</v>
      </c>
      <c r="F59" s="36">
        <v>7.1759069130732298</v>
      </c>
      <c r="G59">
        <v>660</v>
      </c>
      <c r="H59">
        <v>1.82</v>
      </c>
      <c r="I59">
        <f t="shared" si="0"/>
        <v>1201.2</v>
      </c>
      <c r="J59" s="2">
        <v>2645.0729929002923</v>
      </c>
      <c r="K59">
        <f t="shared" si="1"/>
        <v>1745748.1753141929</v>
      </c>
      <c r="L59">
        <v>5.508216674000762E-2</v>
      </c>
      <c r="M59">
        <f t="shared" si="2"/>
        <v>36.354230048405029</v>
      </c>
      <c r="N59" s="2" t="s">
        <v>598</v>
      </c>
      <c r="O59" s="2">
        <f>VLOOKUP(A59,'Coal savings'!$A$3:$K$543,10,FALSE)</f>
        <v>0</v>
      </c>
      <c r="P59" s="2">
        <f t="shared" si="3"/>
        <v>0</v>
      </c>
      <c r="Q59">
        <f>VLOOKUP(A59,'[13]Thermal generation Mar 19 - Feb'!$C$2:$D$680,2,FALSE)</f>
        <v>4653.1499999999996</v>
      </c>
    </row>
    <row r="60" spans="1:17" x14ac:dyDescent="0.2">
      <c r="A60" s="2" t="s">
        <v>100</v>
      </c>
      <c r="B60" t="s">
        <v>611</v>
      </c>
      <c r="C60" t="s">
        <v>626</v>
      </c>
      <c r="D60" t="s">
        <v>571</v>
      </c>
      <c r="E60" t="s">
        <v>543</v>
      </c>
      <c r="F60" s="36">
        <v>8.5913757700205302</v>
      </c>
      <c r="G60">
        <v>660</v>
      </c>
      <c r="H60">
        <v>1.35</v>
      </c>
      <c r="I60">
        <f t="shared" si="0"/>
        <v>891.00000000000011</v>
      </c>
      <c r="J60" s="2">
        <v>2577.3249035348281</v>
      </c>
      <c r="K60">
        <f t="shared" si="1"/>
        <v>1701034.4363329865</v>
      </c>
      <c r="L60">
        <v>5.4595359838897593E-2</v>
      </c>
      <c r="M60">
        <f t="shared" si="2"/>
        <v>36.032937493672414</v>
      </c>
      <c r="N60" s="2" t="s">
        <v>598</v>
      </c>
      <c r="O60" s="2">
        <f>VLOOKUP(A60,'Coal savings'!$A$3:$K$543,10,FALSE)</f>
        <v>0</v>
      </c>
      <c r="P60" s="2">
        <f t="shared" si="3"/>
        <v>0</v>
      </c>
      <c r="Q60">
        <f>VLOOKUP(A60,'[13]Thermal generation Mar 19 - Feb'!$C$2:$D$680,2,FALSE)</f>
        <v>4798.1699999999901</v>
      </c>
    </row>
    <row r="61" spans="1:17" x14ac:dyDescent="0.2">
      <c r="A61" s="2" t="s">
        <v>42</v>
      </c>
      <c r="B61" t="s">
        <v>618</v>
      </c>
      <c r="C61" t="s">
        <v>628</v>
      </c>
      <c r="D61" t="s">
        <v>572</v>
      </c>
      <c r="E61" t="s">
        <v>542</v>
      </c>
      <c r="F61" s="36">
        <v>4.1752224503764497</v>
      </c>
      <c r="G61">
        <v>660</v>
      </c>
      <c r="H61">
        <v>2.85</v>
      </c>
      <c r="I61">
        <f t="shared" si="0"/>
        <v>1881</v>
      </c>
      <c r="J61" s="2">
        <v>2686.6982422450437</v>
      </c>
      <c r="K61">
        <f t="shared" si="1"/>
        <v>1773220.8398817289</v>
      </c>
      <c r="L61" s="1">
        <v>7.1090892196094782E-2</v>
      </c>
      <c r="M61">
        <f t="shared" si="2"/>
        <v>46.919988849422559</v>
      </c>
      <c r="N61" s="2" t="s">
        <v>598</v>
      </c>
      <c r="O61" s="2">
        <f>VLOOKUP(A61,'Coal savings'!$A$3:$K$543,10,FALSE)</f>
        <v>0</v>
      </c>
      <c r="P61" s="2">
        <f t="shared" si="3"/>
        <v>0</v>
      </c>
      <c r="Q61">
        <f>VLOOKUP(A61,'[13]Thermal generation Mar 19 - Feb'!$C$2:$D$680,2,FALSE)</f>
        <v>2890.12</v>
      </c>
    </row>
    <row r="62" spans="1:17" x14ac:dyDescent="0.2">
      <c r="A62" s="2" t="s">
        <v>44</v>
      </c>
      <c r="B62" t="s">
        <v>609</v>
      </c>
      <c r="C62" t="s">
        <v>626</v>
      </c>
      <c r="D62" t="s">
        <v>572</v>
      </c>
      <c r="E62" t="s">
        <v>542</v>
      </c>
      <c r="F62" s="36">
        <v>1.67008898015058</v>
      </c>
      <c r="G62">
        <v>600</v>
      </c>
      <c r="H62">
        <v>2.8202813325377867</v>
      </c>
      <c r="I62">
        <f t="shared" si="0"/>
        <v>1692.1687995226721</v>
      </c>
      <c r="J62" s="2">
        <v>2766.6676986341572</v>
      </c>
      <c r="K62">
        <f t="shared" si="1"/>
        <v>1660000.6191804942</v>
      </c>
      <c r="L62" s="1">
        <v>9.2920955405355318E-2</v>
      </c>
      <c r="M62">
        <f t="shared" si="2"/>
        <v>55.752573243213192</v>
      </c>
      <c r="N62" s="2" t="s">
        <v>598</v>
      </c>
      <c r="O62" s="2">
        <f>VLOOKUP(A62,'Coal savings'!$A$3:$K$543,10,FALSE)</f>
        <v>0</v>
      </c>
      <c r="P62" s="2">
        <f t="shared" si="3"/>
        <v>0</v>
      </c>
      <c r="Q62">
        <f>VLOOKUP(A62,'[13]Thermal generation Mar 19 - Feb'!$C$2:$D$680,2,FALSE)</f>
        <v>2242.1999999999998</v>
      </c>
    </row>
    <row r="63" spans="1:17" x14ac:dyDescent="0.2">
      <c r="A63" s="2" t="s">
        <v>83</v>
      </c>
      <c r="B63" t="s">
        <v>617</v>
      </c>
      <c r="C63" t="s">
        <v>626</v>
      </c>
      <c r="D63" t="s">
        <v>572</v>
      </c>
      <c r="E63" t="s">
        <v>543</v>
      </c>
      <c r="F63" s="36">
        <v>7.6714579055441403</v>
      </c>
      <c r="G63">
        <v>660</v>
      </c>
      <c r="H63">
        <v>2.39</v>
      </c>
      <c r="I63">
        <f t="shared" si="0"/>
        <v>1577.4</v>
      </c>
      <c r="J63" s="2">
        <v>2624.7888952344365</v>
      </c>
      <c r="K63">
        <f t="shared" si="1"/>
        <v>1732360.6708547282</v>
      </c>
      <c r="L63">
        <v>5.508216674000762E-2</v>
      </c>
      <c r="M63">
        <f t="shared" si="2"/>
        <v>36.354230048405029</v>
      </c>
      <c r="N63" s="2" t="s">
        <v>598</v>
      </c>
      <c r="O63" s="2">
        <f>VLOOKUP(A63,'Coal savings'!$A$3:$K$543,10,FALSE)</f>
        <v>0</v>
      </c>
      <c r="P63" s="2">
        <f t="shared" si="3"/>
        <v>0</v>
      </c>
      <c r="Q63">
        <f>VLOOKUP(A63,'[13]Thermal generation Mar 19 - Feb'!$C$2:$D$680,2,FALSE)</f>
        <v>4388.7299999999996</v>
      </c>
    </row>
    <row r="64" spans="1:17" x14ac:dyDescent="0.2">
      <c r="A64" s="2" t="s">
        <v>47</v>
      </c>
      <c r="B64" t="s">
        <v>618</v>
      </c>
      <c r="C64" t="s">
        <v>628</v>
      </c>
      <c r="D64" t="s">
        <v>572</v>
      </c>
      <c r="E64" t="s">
        <v>542</v>
      </c>
      <c r="F64" s="36">
        <v>4.5913757700205302</v>
      </c>
      <c r="G64">
        <v>660</v>
      </c>
      <c r="H64">
        <v>2.85</v>
      </c>
      <c r="I64">
        <f t="shared" si="0"/>
        <v>1881</v>
      </c>
      <c r="J64" s="2">
        <v>2687.3510434465675</v>
      </c>
      <c r="K64">
        <f t="shared" si="1"/>
        <v>1773651.6886747344</v>
      </c>
      <c r="L64" s="1">
        <v>7.1090892196094782E-2</v>
      </c>
      <c r="M64">
        <f t="shared" si="2"/>
        <v>46.919988849422559</v>
      </c>
      <c r="N64" s="2" t="s">
        <v>598</v>
      </c>
      <c r="O64" s="2">
        <f>VLOOKUP(A64,'Coal savings'!$A$3:$K$543,10,FALSE)</f>
        <v>0</v>
      </c>
      <c r="P64" s="2">
        <f t="shared" si="3"/>
        <v>0</v>
      </c>
      <c r="Q64">
        <f>VLOOKUP(A64,'[13]Thermal generation Mar 19 - Feb'!$C$2:$D$680,2,FALSE)</f>
        <v>3391.77</v>
      </c>
    </row>
    <row r="65" spans="1:17" x14ac:dyDescent="0.2">
      <c r="A65" s="2" t="s">
        <v>50</v>
      </c>
      <c r="B65" t="s">
        <v>614</v>
      </c>
      <c r="C65" t="s">
        <v>627</v>
      </c>
      <c r="D65" t="s">
        <v>570</v>
      </c>
      <c r="E65" t="s">
        <v>542</v>
      </c>
      <c r="F65" s="36">
        <v>2.1163586584531102</v>
      </c>
      <c r="G65">
        <v>600</v>
      </c>
      <c r="H65">
        <v>3.39</v>
      </c>
      <c r="I65">
        <f t="shared" si="0"/>
        <v>2034</v>
      </c>
      <c r="J65" s="2">
        <v>2768.624458007363</v>
      </c>
      <c r="K65">
        <f t="shared" si="1"/>
        <v>1661174.6748044179</v>
      </c>
      <c r="L65" s="1">
        <v>0.10362859790133408</v>
      </c>
      <c r="M65">
        <f t="shared" si="2"/>
        <v>62.177158740800451</v>
      </c>
      <c r="N65" s="2" t="s">
        <v>598</v>
      </c>
      <c r="O65" s="2">
        <f>VLOOKUP(A65,'Coal savings'!$A$3:$K$543,10,FALSE)</f>
        <v>0</v>
      </c>
      <c r="P65" s="2">
        <f t="shared" si="3"/>
        <v>0</v>
      </c>
      <c r="Q65">
        <f>VLOOKUP(A65,'[13]Thermal generation Mar 19 - Feb'!$C$2:$D$680,2,FALSE)</f>
        <v>2443.48</v>
      </c>
    </row>
    <row r="66" spans="1:17" x14ac:dyDescent="0.2">
      <c r="A66" s="2" t="s">
        <v>60</v>
      </c>
      <c r="B66" t="s">
        <v>618</v>
      </c>
      <c r="C66" t="s">
        <v>628</v>
      </c>
      <c r="D66" t="s">
        <v>572</v>
      </c>
      <c r="E66" t="s">
        <v>543</v>
      </c>
      <c r="F66" s="36">
        <v>5.9247091033538597</v>
      </c>
      <c r="G66">
        <v>660</v>
      </c>
      <c r="H66">
        <v>2.85</v>
      </c>
      <c r="I66">
        <f t="shared" si="0"/>
        <v>1881</v>
      </c>
      <c r="J66" s="2">
        <v>2688.3360560670285</v>
      </c>
      <c r="K66">
        <f t="shared" si="1"/>
        <v>1774301.7970042387</v>
      </c>
      <c r="L66">
        <v>7.1090892196094782E-2</v>
      </c>
      <c r="M66">
        <f t="shared" si="2"/>
        <v>46.919988849422559</v>
      </c>
      <c r="N66" s="2" t="s">
        <v>598</v>
      </c>
      <c r="O66" s="2">
        <f>VLOOKUP(A66,'Coal savings'!$A$3:$K$543,10,FALSE)</f>
        <v>0</v>
      </c>
      <c r="P66" s="2">
        <f t="shared" si="3"/>
        <v>0</v>
      </c>
      <c r="Q66">
        <f>VLOOKUP(A66,'[13]Thermal generation Mar 19 - Feb'!$C$2:$D$680,2,FALSE)</f>
        <v>3414.66</v>
      </c>
    </row>
    <row r="67" spans="1:17" x14ac:dyDescent="0.2">
      <c r="A67" s="2" t="s">
        <v>62</v>
      </c>
      <c r="B67" t="s">
        <v>610</v>
      </c>
      <c r="C67" t="s">
        <v>627</v>
      </c>
      <c r="D67" t="s">
        <v>570</v>
      </c>
      <c r="E67" t="s">
        <v>542</v>
      </c>
      <c r="F67" s="36">
        <v>3.4250513347022502</v>
      </c>
      <c r="G67">
        <v>600</v>
      </c>
      <c r="H67">
        <v>2.39</v>
      </c>
      <c r="I67">
        <f t="shared" ref="I67:I130" si="4">H67*G67</f>
        <v>1434</v>
      </c>
      <c r="J67" s="2">
        <v>2602.6327581788437</v>
      </c>
      <c r="K67">
        <f t="shared" ref="K67:K130" si="5">J67*G67</f>
        <v>1561579.6549073062</v>
      </c>
      <c r="L67" s="1">
        <v>5.8057563443709923E-2</v>
      </c>
      <c r="M67">
        <f t="shared" ref="M67:M130" si="6">L67*G67</f>
        <v>34.834538066225953</v>
      </c>
      <c r="N67" s="2" t="s">
        <v>598</v>
      </c>
      <c r="O67" s="2">
        <f>VLOOKUP(A67,'Coal savings'!$A$3:$K$543,10,FALSE)</f>
        <v>0</v>
      </c>
      <c r="P67" s="2">
        <f t="shared" ref="P67:P130" si="7">O67*G67</f>
        <v>0</v>
      </c>
      <c r="Q67">
        <f>VLOOKUP(A67,'[13]Thermal generation Mar 19 - Feb'!$C$2:$D$680,2,FALSE)</f>
        <v>4550.03999999999</v>
      </c>
    </row>
    <row r="68" spans="1:17" x14ac:dyDescent="0.2">
      <c r="A68" s="2" t="s">
        <v>66</v>
      </c>
      <c r="B68" t="s">
        <v>616</v>
      </c>
      <c r="C68" t="s">
        <v>628</v>
      </c>
      <c r="D68" t="s">
        <v>572</v>
      </c>
      <c r="E68" t="s">
        <v>543</v>
      </c>
      <c r="F68" s="36">
        <v>6.4229979466118996</v>
      </c>
      <c r="G68">
        <v>660</v>
      </c>
      <c r="H68">
        <v>2.36</v>
      </c>
      <c r="I68">
        <f t="shared" si="4"/>
        <v>1557.6</v>
      </c>
      <c r="J68" s="2">
        <v>2690.6087005102427</v>
      </c>
      <c r="K68">
        <f t="shared" si="5"/>
        <v>1775801.7423367603</v>
      </c>
      <c r="L68">
        <v>5.4957824315639968E-2</v>
      </c>
      <c r="M68">
        <f t="shared" si="6"/>
        <v>36.272164048322381</v>
      </c>
      <c r="N68" s="2" t="s">
        <v>598</v>
      </c>
      <c r="O68" s="2">
        <f>VLOOKUP(A68,'Coal savings'!$A$3:$K$543,10,FALSE)</f>
        <v>0</v>
      </c>
      <c r="P68" s="2">
        <f t="shared" si="7"/>
        <v>0</v>
      </c>
      <c r="Q68">
        <f>VLOOKUP(A68,'[13]Thermal generation Mar 19 - Feb'!$C$2:$D$680,2,FALSE)</f>
        <v>4119.3299999999899</v>
      </c>
    </row>
    <row r="69" spans="1:17" x14ac:dyDescent="0.2">
      <c r="A69" s="2" t="s">
        <v>51</v>
      </c>
      <c r="B69" t="s">
        <v>611</v>
      </c>
      <c r="C69" t="s">
        <v>626</v>
      </c>
      <c r="D69" t="s">
        <v>572</v>
      </c>
      <c r="E69" t="s">
        <v>542</v>
      </c>
      <c r="F69" s="36">
        <v>2.3381245722108099</v>
      </c>
      <c r="G69">
        <v>600</v>
      </c>
      <c r="H69">
        <v>2.4900000000000002</v>
      </c>
      <c r="I69">
        <f t="shared" si="4"/>
        <v>1494.0000000000002</v>
      </c>
      <c r="J69" s="2">
        <v>2680.1273613497228</v>
      </c>
      <c r="K69">
        <f t="shared" si="5"/>
        <v>1608076.4168098336</v>
      </c>
      <c r="L69" s="1">
        <v>8.0030636155213206E-2</v>
      </c>
      <c r="M69">
        <f t="shared" si="6"/>
        <v>48.018381693127921</v>
      </c>
      <c r="N69" s="2" t="s">
        <v>598</v>
      </c>
      <c r="O69" s="2">
        <f>VLOOKUP(A69,'Coal savings'!$A$3:$K$543,10,FALSE)</f>
        <v>0</v>
      </c>
      <c r="P69" s="2">
        <f t="shared" si="7"/>
        <v>0</v>
      </c>
      <c r="Q69">
        <f>VLOOKUP(A69,'[13]Thermal generation Mar 19 - Feb'!$C$2:$D$680,2,FALSE)</f>
        <v>4139.7700000000004</v>
      </c>
    </row>
    <row r="70" spans="1:17" x14ac:dyDescent="0.2">
      <c r="A70" s="2" t="s">
        <v>77</v>
      </c>
      <c r="B70" t="s">
        <v>616</v>
      </c>
      <c r="C70" t="s">
        <v>628</v>
      </c>
      <c r="D70" t="s">
        <v>572</v>
      </c>
      <c r="E70" t="s">
        <v>543</v>
      </c>
      <c r="F70" s="36">
        <v>7.0088980150581701</v>
      </c>
      <c r="G70">
        <v>660</v>
      </c>
      <c r="H70">
        <v>2.36</v>
      </c>
      <c r="I70">
        <f t="shared" si="4"/>
        <v>1557.6</v>
      </c>
      <c r="J70" s="2">
        <v>2696.2169125758082</v>
      </c>
      <c r="K70">
        <f t="shared" si="5"/>
        <v>1779503.1623000335</v>
      </c>
      <c r="L70">
        <v>5.4957824315639968E-2</v>
      </c>
      <c r="M70">
        <f t="shared" si="6"/>
        <v>36.272164048322381</v>
      </c>
      <c r="N70" s="2" t="s">
        <v>598</v>
      </c>
      <c r="O70" s="2">
        <f>VLOOKUP(A70,'Coal savings'!$A$3:$K$543,10,FALSE)</f>
        <v>0</v>
      </c>
      <c r="P70" s="2">
        <f t="shared" si="7"/>
        <v>0</v>
      </c>
      <c r="Q70">
        <f>VLOOKUP(A70,'[13]Thermal generation Mar 19 - Feb'!$C$2:$D$680,2,FALSE)</f>
        <v>4099.46</v>
      </c>
    </row>
    <row r="71" spans="1:17" x14ac:dyDescent="0.2">
      <c r="A71" s="2" t="s">
        <v>70</v>
      </c>
      <c r="B71" t="s">
        <v>634</v>
      </c>
      <c r="C71" t="s">
        <v>628</v>
      </c>
      <c r="D71" t="s">
        <v>570</v>
      </c>
      <c r="E71" t="s">
        <v>542</v>
      </c>
      <c r="F71" s="36">
        <v>4.1752224503764497</v>
      </c>
      <c r="G71">
        <v>600</v>
      </c>
      <c r="H71">
        <v>1.39</v>
      </c>
      <c r="I71">
        <f t="shared" si="4"/>
        <v>833.99999999999989</v>
      </c>
      <c r="J71" s="2">
        <v>2727.410853601883</v>
      </c>
      <c r="K71">
        <f t="shared" si="5"/>
        <v>1636446.5121611299</v>
      </c>
      <c r="L71" s="1">
        <v>9.3255770253987805E-2</v>
      </c>
      <c r="M71">
        <f t="shared" si="6"/>
        <v>55.953462152392682</v>
      </c>
      <c r="N71" s="2" t="s">
        <v>598</v>
      </c>
      <c r="O71" s="2">
        <f>VLOOKUP(A71,'Coal savings'!$A$3:$K$543,10,FALSE)</f>
        <v>0</v>
      </c>
      <c r="P71" s="2">
        <f t="shared" si="7"/>
        <v>0</v>
      </c>
      <c r="Q71">
        <f>VLOOKUP(A71,'[13]Thermal generation Mar 19 - Feb'!$C$2:$D$680,2,FALSE)</f>
        <v>2708.5999999999899</v>
      </c>
    </row>
    <row r="72" spans="1:17" x14ac:dyDescent="0.2">
      <c r="A72" s="2" t="s">
        <v>72</v>
      </c>
      <c r="B72" t="s">
        <v>609</v>
      </c>
      <c r="C72" t="s">
        <v>626</v>
      </c>
      <c r="D72" t="s">
        <v>572</v>
      </c>
      <c r="E72" t="s">
        <v>542</v>
      </c>
      <c r="F72" s="36">
        <v>4.1752224503764497</v>
      </c>
      <c r="G72">
        <v>600</v>
      </c>
      <c r="H72">
        <v>2.08</v>
      </c>
      <c r="I72">
        <f t="shared" si="4"/>
        <v>1248</v>
      </c>
      <c r="J72" s="2">
        <v>2734.9308652273457</v>
      </c>
      <c r="K72">
        <f t="shared" si="5"/>
        <v>1640958.5191364074</v>
      </c>
      <c r="L72" s="1">
        <v>6.5611235962542022E-2</v>
      </c>
      <c r="M72">
        <f t="shared" si="6"/>
        <v>39.366741577525211</v>
      </c>
      <c r="N72" s="2" t="s">
        <v>598</v>
      </c>
      <c r="O72" s="2">
        <f>VLOOKUP(A72,'Coal savings'!$A$3:$K$543,10,FALSE)</f>
        <v>0</v>
      </c>
      <c r="P72" s="2">
        <f t="shared" si="7"/>
        <v>0</v>
      </c>
      <c r="Q72">
        <f>VLOOKUP(A72,'[13]Thermal generation Mar 19 - Feb'!$C$2:$D$680,2,FALSE)</f>
        <v>2913.0799999999899</v>
      </c>
    </row>
    <row r="73" spans="1:17" x14ac:dyDescent="0.2">
      <c r="A73" s="2" t="s">
        <v>69</v>
      </c>
      <c r="B73" t="s">
        <v>610</v>
      </c>
      <c r="C73" t="s">
        <v>627</v>
      </c>
      <c r="D73" t="s">
        <v>570</v>
      </c>
      <c r="E73" t="s">
        <v>542</v>
      </c>
      <c r="F73" s="36">
        <v>4.1752224503764497</v>
      </c>
      <c r="G73">
        <v>600</v>
      </c>
      <c r="H73">
        <v>2.39</v>
      </c>
      <c r="I73">
        <f t="shared" si="4"/>
        <v>1434</v>
      </c>
      <c r="J73" s="2">
        <v>2606.1627216397683</v>
      </c>
      <c r="K73">
        <f t="shared" si="5"/>
        <v>1563697.632983861</v>
      </c>
      <c r="L73" s="1">
        <v>5.8057563443709923E-2</v>
      </c>
      <c r="M73">
        <f t="shared" si="6"/>
        <v>34.834538066225953</v>
      </c>
      <c r="N73" s="2" t="s">
        <v>598</v>
      </c>
      <c r="O73" s="2">
        <f>VLOOKUP(A73,'Coal savings'!$A$3:$K$543,10,FALSE)</f>
        <v>0</v>
      </c>
      <c r="P73" s="2">
        <f t="shared" si="7"/>
        <v>0</v>
      </c>
      <c r="Q73">
        <f>VLOOKUP(A73,'[13]Thermal generation Mar 19 - Feb'!$C$2:$D$680,2,FALSE)</f>
        <v>4641.7</v>
      </c>
    </row>
    <row r="74" spans="1:17" x14ac:dyDescent="0.2">
      <c r="A74" s="2" t="s">
        <v>71</v>
      </c>
      <c r="B74" t="s">
        <v>609</v>
      </c>
      <c r="C74" t="s">
        <v>626</v>
      </c>
      <c r="D74" t="s">
        <v>572</v>
      </c>
      <c r="E74" t="s">
        <v>542</v>
      </c>
      <c r="F74" s="36">
        <v>4.1752224503764497</v>
      </c>
      <c r="G74">
        <v>600</v>
      </c>
      <c r="H74">
        <v>2.16</v>
      </c>
      <c r="I74">
        <f t="shared" si="4"/>
        <v>1296</v>
      </c>
      <c r="J74" s="2">
        <v>2683.8821443326406</v>
      </c>
      <c r="K74">
        <f t="shared" si="5"/>
        <v>1610329.2865995844</v>
      </c>
      <c r="L74" s="1">
        <v>6.7965223168433342E-2</v>
      </c>
      <c r="M74">
        <f t="shared" si="6"/>
        <v>40.779133901060007</v>
      </c>
      <c r="N74" s="2" t="s">
        <v>598</v>
      </c>
      <c r="O74" s="2">
        <f>VLOOKUP(A74,'Coal savings'!$A$3:$K$543,10,FALSE)</f>
        <v>0</v>
      </c>
      <c r="P74" s="2">
        <f t="shared" si="7"/>
        <v>0</v>
      </c>
      <c r="Q74">
        <f>VLOOKUP(A74,'[13]Thermal generation Mar 19 - Feb'!$C$2:$D$680,2,FALSE)</f>
        <v>3382.6</v>
      </c>
    </row>
    <row r="75" spans="1:17" x14ac:dyDescent="0.2">
      <c r="A75" s="2" t="s">
        <v>74</v>
      </c>
      <c r="B75" t="s">
        <v>621</v>
      </c>
      <c r="C75" t="s">
        <v>625</v>
      </c>
      <c r="D75" t="s">
        <v>571</v>
      </c>
      <c r="E75" t="s">
        <v>542</v>
      </c>
      <c r="F75" s="36">
        <v>4.33949349760438</v>
      </c>
      <c r="G75">
        <v>600</v>
      </c>
      <c r="H75">
        <v>2.21</v>
      </c>
      <c r="I75">
        <f t="shared" si="4"/>
        <v>1326</v>
      </c>
      <c r="J75" s="2">
        <v>2765.3528626088691</v>
      </c>
      <c r="K75">
        <f t="shared" si="5"/>
        <v>1659211.7175653216</v>
      </c>
      <c r="L75" s="1">
        <v>7.8899454574965444E-2</v>
      </c>
      <c r="M75">
        <f t="shared" si="6"/>
        <v>47.339672744979268</v>
      </c>
      <c r="N75" s="2" t="s">
        <v>598</v>
      </c>
      <c r="O75" s="2">
        <f>VLOOKUP(A75,'Coal savings'!$A$3:$K$543,10,FALSE)</f>
        <v>0</v>
      </c>
      <c r="P75" s="2">
        <f t="shared" si="7"/>
        <v>0</v>
      </c>
      <c r="Q75">
        <f>VLOOKUP(A75,'[13]Thermal generation Mar 19 - Feb'!$C$2:$D$680,2,FALSE)</f>
        <v>2899.84</v>
      </c>
    </row>
    <row r="76" spans="1:17" x14ac:dyDescent="0.2">
      <c r="A76" s="2" t="s">
        <v>78</v>
      </c>
      <c r="B76" t="s">
        <v>610</v>
      </c>
      <c r="C76" t="s">
        <v>627</v>
      </c>
      <c r="D76" t="s">
        <v>570</v>
      </c>
      <c r="E76" t="s">
        <v>542</v>
      </c>
      <c r="F76" s="36">
        <v>4.4243668720054696</v>
      </c>
      <c r="G76">
        <v>600</v>
      </c>
      <c r="H76">
        <v>2.77</v>
      </c>
      <c r="I76">
        <f t="shared" si="4"/>
        <v>1662</v>
      </c>
      <c r="J76" s="2">
        <v>2638.9552340083037</v>
      </c>
      <c r="K76">
        <f t="shared" si="5"/>
        <v>1583373.1404049823</v>
      </c>
      <c r="L76" s="1">
        <v>5.7626698395538668E-2</v>
      </c>
      <c r="M76">
        <f t="shared" si="6"/>
        <v>34.576019037323199</v>
      </c>
      <c r="N76" s="2" t="s">
        <v>598</v>
      </c>
      <c r="O76" s="2">
        <f>VLOOKUP(A76,'Coal savings'!$A$3:$K$543,10,FALSE)</f>
        <v>0</v>
      </c>
      <c r="P76" s="2">
        <f t="shared" si="7"/>
        <v>0</v>
      </c>
      <c r="Q76">
        <f>VLOOKUP(A76,'[13]Thermal generation Mar 19 - Feb'!$C$2:$D$680,2,FALSE)</f>
        <v>4404.8100000000004</v>
      </c>
    </row>
    <row r="77" spans="1:17" x14ac:dyDescent="0.2">
      <c r="A77" s="2" t="s">
        <v>82</v>
      </c>
      <c r="B77" t="s">
        <v>634</v>
      </c>
      <c r="C77" t="s">
        <v>628</v>
      </c>
      <c r="D77" t="s">
        <v>570</v>
      </c>
      <c r="E77" t="s">
        <v>542</v>
      </c>
      <c r="F77" s="36">
        <v>4.9253935660506496</v>
      </c>
      <c r="G77">
        <v>600</v>
      </c>
      <c r="H77">
        <v>1.39</v>
      </c>
      <c r="I77">
        <f t="shared" si="4"/>
        <v>833.99999999999989</v>
      </c>
      <c r="J77" s="2">
        <v>2681.5226523904639</v>
      </c>
      <c r="K77">
        <f t="shared" si="5"/>
        <v>1608913.5914342783</v>
      </c>
      <c r="L77" s="1">
        <v>9.3255770253987805E-2</v>
      </c>
      <c r="M77">
        <f t="shared" si="6"/>
        <v>55.953462152392682</v>
      </c>
      <c r="N77" s="2" t="s">
        <v>598</v>
      </c>
      <c r="O77" s="2">
        <f>VLOOKUP(A77,'Coal savings'!$A$3:$K$543,10,FALSE)</f>
        <v>0</v>
      </c>
      <c r="P77" s="2">
        <f t="shared" si="7"/>
        <v>0</v>
      </c>
      <c r="Q77">
        <f>VLOOKUP(A77,'[13]Thermal generation Mar 19 - Feb'!$C$2:$D$680,2,FALSE)</f>
        <v>3117.8599999999901</v>
      </c>
    </row>
    <row r="78" spans="1:17" x14ac:dyDescent="0.2">
      <c r="A78" s="2" t="s">
        <v>81</v>
      </c>
      <c r="B78" t="s">
        <v>616</v>
      </c>
      <c r="C78" t="s">
        <v>628</v>
      </c>
      <c r="D78" t="s">
        <v>570</v>
      </c>
      <c r="E78" t="s">
        <v>542</v>
      </c>
      <c r="F78" s="36">
        <v>4.9253935660506496</v>
      </c>
      <c r="G78">
        <v>600</v>
      </c>
      <c r="H78">
        <v>2.61</v>
      </c>
      <c r="I78">
        <f t="shared" si="4"/>
        <v>1566</v>
      </c>
      <c r="J78" s="2">
        <v>2763.9042155115267</v>
      </c>
      <c r="K78">
        <f t="shared" si="5"/>
        <v>1658342.5293069161</v>
      </c>
      <c r="L78" s="1">
        <v>6.7338649205241949E-2</v>
      </c>
      <c r="M78">
        <f t="shared" si="6"/>
        <v>40.403189523145173</v>
      </c>
      <c r="N78" s="2" t="s">
        <v>598</v>
      </c>
      <c r="O78" s="2">
        <f>VLOOKUP(A78,'Coal savings'!$A$3:$K$543,10,FALSE)</f>
        <v>0</v>
      </c>
      <c r="P78" s="2">
        <f t="shared" si="7"/>
        <v>0</v>
      </c>
      <c r="Q78">
        <f>VLOOKUP(A78,'[13]Thermal generation Mar 19 - Feb'!$C$2:$D$680,2,FALSE)</f>
        <v>2329.59</v>
      </c>
    </row>
    <row r="79" spans="1:17" x14ac:dyDescent="0.2">
      <c r="A79" s="2" t="s">
        <v>86</v>
      </c>
      <c r="B79" t="s">
        <v>611</v>
      </c>
      <c r="C79" t="s">
        <v>626</v>
      </c>
      <c r="D79" t="s">
        <v>572</v>
      </c>
      <c r="E79" t="s">
        <v>543</v>
      </c>
      <c r="F79" s="36">
        <v>5.1772758384667998</v>
      </c>
      <c r="G79">
        <v>600</v>
      </c>
      <c r="H79">
        <v>1.76</v>
      </c>
      <c r="I79">
        <f t="shared" si="4"/>
        <v>1056</v>
      </c>
      <c r="J79" s="2">
        <v>2705.9608745821961</v>
      </c>
      <c r="K79">
        <f t="shared" si="5"/>
        <v>1623576.5247493177</v>
      </c>
      <c r="L79">
        <v>5.7818434756539937E-2</v>
      </c>
      <c r="M79">
        <f t="shared" si="6"/>
        <v>34.691060853923965</v>
      </c>
      <c r="N79" s="2" t="s">
        <v>598</v>
      </c>
      <c r="O79" s="2">
        <f>VLOOKUP(A79,'Coal savings'!$A$3:$K$543,10,FALSE)</f>
        <v>0</v>
      </c>
      <c r="P79" s="2">
        <f t="shared" si="7"/>
        <v>0</v>
      </c>
      <c r="Q79">
        <f>VLOOKUP(A79,'[13]Thermal generation Mar 19 - Feb'!$C$2:$D$680,2,FALSE)</f>
        <v>3238.01999999999</v>
      </c>
    </row>
    <row r="80" spans="1:17" x14ac:dyDescent="0.2">
      <c r="A80" s="2" t="s">
        <v>84</v>
      </c>
      <c r="B80" t="s">
        <v>609</v>
      </c>
      <c r="C80" t="s">
        <v>626</v>
      </c>
      <c r="D80" t="s">
        <v>572</v>
      </c>
      <c r="E80" t="s">
        <v>542</v>
      </c>
      <c r="F80" s="36">
        <v>5.0924024640657004</v>
      </c>
      <c r="G80">
        <v>600</v>
      </c>
      <c r="H80">
        <v>2.16</v>
      </c>
      <c r="I80">
        <f t="shared" si="4"/>
        <v>1296</v>
      </c>
      <c r="J80" s="2">
        <v>2699.6814844629025</v>
      </c>
      <c r="K80">
        <f t="shared" si="5"/>
        <v>1619808.8906777415</v>
      </c>
      <c r="L80" s="1">
        <v>6.7965223168433342E-2</v>
      </c>
      <c r="M80">
        <f t="shared" si="6"/>
        <v>40.779133901060007</v>
      </c>
      <c r="N80" s="2" t="s">
        <v>598</v>
      </c>
      <c r="O80" s="2">
        <f>VLOOKUP(A80,'Coal savings'!$A$3:$K$543,10,FALSE)</f>
        <v>0</v>
      </c>
      <c r="P80" s="2">
        <f t="shared" si="7"/>
        <v>0</v>
      </c>
      <c r="Q80">
        <f>VLOOKUP(A80,'[13]Thermal generation Mar 19 - Feb'!$C$2:$D$680,2,FALSE)</f>
        <v>3168.78</v>
      </c>
    </row>
    <row r="81" spans="1:17" x14ac:dyDescent="0.2">
      <c r="A81" s="2" t="s">
        <v>89</v>
      </c>
      <c r="B81" t="s">
        <v>608</v>
      </c>
      <c r="C81" t="s">
        <v>625</v>
      </c>
      <c r="D81" t="s">
        <v>572</v>
      </c>
      <c r="E81" t="s">
        <v>543</v>
      </c>
      <c r="F81" s="36">
        <v>5.3388090349075901</v>
      </c>
      <c r="G81">
        <v>600</v>
      </c>
      <c r="H81">
        <v>1</v>
      </c>
      <c r="I81">
        <f t="shared" si="4"/>
        <v>600</v>
      </c>
      <c r="J81" s="2">
        <v>2788.1056173695415</v>
      </c>
      <c r="K81">
        <f t="shared" si="5"/>
        <v>1672863.3704217249</v>
      </c>
      <c r="L81">
        <v>5.9866711601157967E-2</v>
      </c>
      <c r="M81">
        <f t="shared" si="6"/>
        <v>35.920026960694777</v>
      </c>
      <c r="N81" s="2" t="s">
        <v>598</v>
      </c>
      <c r="O81" s="2">
        <f>VLOOKUP(A81,'Coal savings'!$A$3:$K$543,10,FALSE)</f>
        <v>0</v>
      </c>
      <c r="P81" s="2">
        <f t="shared" si="7"/>
        <v>0</v>
      </c>
      <c r="Q81">
        <f>VLOOKUP(A81,'[13]Thermal generation Mar 19 - Feb'!$C$2:$D$680,2,FALSE)</f>
        <v>2664.75</v>
      </c>
    </row>
    <row r="82" spans="1:17" x14ac:dyDescent="0.2">
      <c r="A82" s="2" t="s">
        <v>87</v>
      </c>
      <c r="B82" t="s">
        <v>611</v>
      </c>
      <c r="C82" t="s">
        <v>626</v>
      </c>
      <c r="D82" t="s">
        <v>572</v>
      </c>
      <c r="E82" t="s">
        <v>543</v>
      </c>
      <c r="F82" s="36">
        <v>5.1772758384667998</v>
      </c>
      <c r="G82">
        <v>600</v>
      </c>
      <c r="H82">
        <v>1.51</v>
      </c>
      <c r="I82">
        <f t="shared" si="4"/>
        <v>906</v>
      </c>
      <c r="J82" s="2">
        <v>2830.5015258510098</v>
      </c>
      <c r="K82">
        <f t="shared" si="5"/>
        <v>1698300.9155106058</v>
      </c>
      <c r="L82">
        <v>5.7803709694753805E-2</v>
      </c>
      <c r="M82">
        <f t="shared" si="6"/>
        <v>34.682225816852281</v>
      </c>
      <c r="N82" s="2" t="s">
        <v>598</v>
      </c>
      <c r="O82" s="2">
        <f>VLOOKUP(A82,'Coal savings'!$A$3:$K$543,10,FALSE)</f>
        <v>0</v>
      </c>
      <c r="P82" s="2">
        <f t="shared" si="7"/>
        <v>0</v>
      </c>
      <c r="Q82">
        <f>VLOOKUP(A82,'[13]Thermal generation Mar 19 - Feb'!$C$2:$D$680,2,FALSE)</f>
        <v>2025.16</v>
      </c>
    </row>
    <row r="83" spans="1:17" x14ac:dyDescent="0.2">
      <c r="A83" s="2" t="s">
        <v>88</v>
      </c>
      <c r="B83" t="s">
        <v>611</v>
      </c>
      <c r="C83" t="s">
        <v>626</v>
      </c>
      <c r="D83" t="s">
        <v>572</v>
      </c>
      <c r="E83" t="s">
        <v>543</v>
      </c>
      <c r="F83" s="36">
        <v>5.3388090349075901</v>
      </c>
      <c r="G83">
        <v>600</v>
      </c>
      <c r="H83">
        <v>1.51</v>
      </c>
      <c r="I83">
        <f t="shared" si="4"/>
        <v>906</v>
      </c>
      <c r="J83" s="2">
        <v>2749.2142053138587</v>
      </c>
      <c r="K83">
        <f t="shared" si="5"/>
        <v>1649528.5231883151</v>
      </c>
      <c r="L83">
        <v>5.7803709694753805E-2</v>
      </c>
      <c r="M83">
        <f t="shared" si="6"/>
        <v>34.682225816852281</v>
      </c>
      <c r="N83" s="2" t="s">
        <v>598</v>
      </c>
      <c r="O83" s="2">
        <f>VLOOKUP(A83,'Coal savings'!$A$3:$K$543,10,FALSE)</f>
        <v>0</v>
      </c>
      <c r="P83" s="2">
        <f t="shared" si="7"/>
        <v>0</v>
      </c>
      <c r="Q83">
        <f>VLOOKUP(A83,'[13]Thermal generation Mar 19 - Feb'!$C$2:$D$680,2,FALSE)</f>
        <v>1812.22999999999</v>
      </c>
    </row>
    <row r="84" spans="1:17" x14ac:dyDescent="0.2">
      <c r="A84" s="2" t="s">
        <v>95</v>
      </c>
      <c r="B84" t="s">
        <v>609</v>
      </c>
      <c r="C84" t="s">
        <v>626</v>
      </c>
      <c r="D84" t="s">
        <v>570</v>
      </c>
      <c r="E84" t="s">
        <v>543</v>
      </c>
      <c r="F84" s="36">
        <v>5.5906913073237501</v>
      </c>
      <c r="G84">
        <v>600</v>
      </c>
      <c r="H84">
        <v>2.64</v>
      </c>
      <c r="I84">
        <f t="shared" si="4"/>
        <v>1584</v>
      </c>
      <c r="J84" s="2">
        <v>2745.7554247287694</v>
      </c>
      <c r="K84">
        <f t="shared" si="5"/>
        <v>1647453.2548372617</v>
      </c>
      <c r="M84">
        <f t="shared" si="6"/>
        <v>0</v>
      </c>
      <c r="N84" s="2" t="s">
        <v>598</v>
      </c>
      <c r="O84" s="2">
        <f>VLOOKUP(A84,'Coal savings'!$A$3:$K$543,10,FALSE)</f>
        <v>0</v>
      </c>
      <c r="P84" s="2">
        <f t="shared" si="7"/>
        <v>0</v>
      </c>
      <c r="Q84">
        <f>VLOOKUP(A84,'[13]Thermal generation Mar 19 - Feb'!$C$2:$D$680,2,FALSE)</f>
        <v>2251.7999999999902</v>
      </c>
    </row>
    <row r="85" spans="1:17" x14ac:dyDescent="0.2">
      <c r="A85" s="2" t="s">
        <v>97</v>
      </c>
      <c r="B85" t="s">
        <v>621</v>
      </c>
      <c r="C85" t="s">
        <v>625</v>
      </c>
      <c r="D85" t="s">
        <v>571</v>
      </c>
      <c r="E85" t="s">
        <v>543</v>
      </c>
      <c r="F85" s="36">
        <v>5.7577002053388</v>
      </c>
      <c r="G85">
        <v>600</v>
      </c>
      <c r="H85">
        <v>2.21</v>
      </c>
      <c r="I85">
        <f t="shared" si="4"/>
        <v>1326</v>
      </c>
      <c r="J85" s="2">
        <v>2802.7402493911018</v>
      </c>
      <c r="K85">
        <f t="shared" si="5"/>
        <v>1681644.1496346612</v>
      </c>
      <c r="L85">
        <v>7.8899454574965444E-2</v>
      </c>
      <c r="M85">
        <f t="shared" si="6"/>
        <v>47.339672744979268</v>
      </c>
      <c r="N85" s="2" t="s">
        <v>598</v>
      </c>
      <c r="O85" s="2">
        <f>VLOOKUP(A85,'Coal savings'!$A$3:$K$543,10,FALSE)</f>
        <v>0</v>
      </c>
      <c r="P85" s="2">
        <f t="shared" si="7"/>
        <v>0</v>
      </c>
      <c r="Q85">
        <f>VLOOKUP(A85,'[13]Thermal generation Mar 19 - Feb'!$C$2:$D$680,2,FALSE)</f>
        <v>2284.64</v>
      </c>
    </row>
    <row r="86" spans="1:17" x14ac:dyDescent="0.2">
      <c r="A86" s="2" t="s">
        <v>101</v>
      </c>
      <c r="B86" t="s">
        <v>616</v>
      </c>
      <c r="C86" t="s">
        <v>628</v>
      </c>
      <c r="D86" t="s">
        <v>570</v>
      </c>
      <c r="E86" t="s">
        <v>543</v>
      </c>
      <c r="F86" s="36">
        <v>6.00958247775496</v>
      </c>
      <c r="G86">
        <v>600</v>
      </c>
      <c r="H86">
        <v>2.61</v>
      </c>
      <c r="I86">
        <f t="shared" si="4"/>
        <v>1566</v>
      </c>
      <c r="J86" s="2">
        <v>2662.0058623351124</v>
      </c>
      <c r="K86">
        <f t="shared" si="5"/>
        <v>1597203.5174010675</v>
      </c>
      <c r="L86">
        <v>6.7338649205241949E-2</v>
      </c>
      <c r="M86">
        <f t="shared" si="6"/>
        <v>40.403189523145173</v>
      </c>
      <c r="N86" s="2" t="s">
        <v>598</v>
      </c>
      <c r="O86" s="2">
        <f>VLOOKUP(A86,'Coal savings'!$A$3:$K$543,10,FALSE)</f>
        <v>0</v>
      </c>
      <c r="P86" s="2">
        <f t="shared" si="7"/>
        <v>0</v>
      </c>
      <c r="Q86">
        <f>VLOOKUP(A86,'[13]Thermal generation Mar 19 - Feb'!$C$2:$D$680,2,FALSE)</f>
        <v>3498.7399999999898</v>
      </c>
    </row>
    <row r="87" spans="1:17" x14ac:dyDescent="0.2">
      <c r="A87" s="2" t="s">
        <v>102</v>
      </c>
      <c r="B87" t="s">
        <v>608</v>
      </c>
      <c r="C87" t="s">
        <v>625</v>
      </c>
      <c r="D87" t="s">
        <v>572</v>
      </c>
      <c r="E87" t="s">
        <v>543</v>
      </c>
      <c r="F87" s="36">
        <v>6.0917180013689203</v>
      </c>
      <c r="G87">
        <v>600</v>
      </c>
      <c r="H87">
        <v>1</v>
      </c>
      <c r="I87">
        <f t="shared" si="4"/>
        <v>600</v>
      </c>
      <c r="J87" s="2">
        <v>2748.0350900754347</v>
      </c>
      <c r="K87">
        <f t="shared" si="5"/>
        <v>1648821.0540452609</v>
      </c>
      <c r="L87">
        <v>5.9866711601157967E-2</v>
      </c>
      <c r="M87">
        <f t="shared" si="6"/>
        <v>35.920026960694777</v>
      </c>
      <c r="N87" s="2" t="s">
        <v>598</v>
      </c>
      <c r="O87" s="2">
        <f>VLOOKUP(A87,'Coal savings'!$A$3:$K$543,10,FALSE)</f>
        <v>0</v>
      </c>
      <c r="P87" s="2">
        <f t="shared" si="7"/>
        <v>0</v>
      </c>
      <c r="Q87">
        <f>VLOOKUP(A87,'[13]Thermal generation Mar 19 - Feb'!$C$2:$D$680,2,FALSE)</f>
        <v>2443.69</v>
      </c>
    </row>
    <row r="88" spans="1:17" x14ac:dyDescent="0.2">
      <c r="A88" s="2" t="s">
        <v>107</v>
      </c>
      <c r="B88" t="s">
        <v>611</v>
      </c>
      <c r="C88" t="s">
        <v>626</v>
      </c>
      <c r="D88" t="s">
        <v>572</v>
      </c>
      <c r="E88" t="s">
        <v>543</v>
      </c>
      <c r="F88" s="36">
        <v>6.2532511978097096</v>
      </c>
      <c r="G88">
        <v>600</v>
      </c>
      <c r="H88">
        <v>1.76</v>
      </c>
      <c r="I88">
        <f t="shared" si="4"/>
        <v>1056</v>
      </c>
      <c r="J88" s="2">
        <v>2704.5964026048528</v>
      </c>
      <c r="K88">
        <f t="shared" si="5"/>
        <v>1622757.8415629116</v>
      </c>
      <c r="L88">
        <v>5.7818434756539937E-2</v>
      </c>
      <c r="M88">
        <f t="shared" si="6"/>
        <v>34.691060853923965</v>
      </c>
      <c r="N88" s="2" t="s">
        <v>598</v>
      </c>
      <c r="O88" s="2">
        <f>VLOOKUP(A88,'Coal savings'!$A$3:$K$543,10,FALSE)</f>
        <v>0</v>
      </c>
      <c r="P88" s="2">
        <f t="shared" si="7"/>
        <v>0</v>
      </c>
      <c r="Q88">
        <f>VLOOKUP(A88,'[13]Thermal generation Mar 19 - Feb'!$C$2:$D$680,2,FALSE)</f>
        <v>2869.76</v>
      </c>
    </row>
    <row r="89" spans="1:17" x14ac:dyDescent="0.2">
      <c r="A89" s="2" t="s">
        <v>105</v>
      </c>
      <c r="B89" t="s">
        <v>611</v>
      </c>
      <c r="C89" t="s">
        <v>626</v>
      </c>
      <c r="D89" t="s">
        <v>572</v>
      </c>
      <c r="E89" t="s">
        <v>543</v>
      </c>
      <c r="F89" s="36">
        <v>6.1765913757700197</v>
      </c>
      <c r="G89">
        <v>600</v>
      </c>
      <c r="H89">
        <v>1.51</v>
      </c>
      <c r="I89">
        <f t="shared" si="4"/>
        <v>906</v>
      </c>
      <c r="J89" s="2">
        <v>2869.7515084349607</v>
      </c>
      <c r="K89">
        <f t="shared" si="5"/>
        <v>1721850.9050609765</v>
      </c>
      <c r="L89">
        <v>5.7803709694753805E-2</v>
      </c>
      <c r="M89">
        <f t="shared" si="6"/>
        <v>34.682225816852281</v>
      </c>
      <c r="N89" s="2" t="s">
        <v>598</v>
      </c>
      <c r="O89" s="2">
        <f>VLOOKUP(A89,'Coal savings'!$A$3:$K$543,10,FALSE)</f>
        <v>0</v>
      </c>
      <c r="P89" s="2">
        <f t="shared" si="7"/>
        <v>0</v>
      </c>
      <c r="Q89">
        <f>VLOOKUP(A89,'[13]Thermal generation Mar 19 - Feb'!$C$2:$D$680,2,FALSE)</f>
        <v>168.3</v>
      </c>
    </row>
    <row r="90" spans="1:17" x14ac:dyDescent="0.2">
      <c r="A90" s="2" t="s">
        <v>104</v>
      </c>
      <c r="B90" t="s">
        <v>611</v>
      </c>
      <c r="C90" t="s">
        <v>626</v>
      </c>
      <c r="D90" t="s">
        <v>572</v>
      </c>
      <c r="E90" t="s">
        <v>543</v>
      </c>
      <c r="F90" s="36">
        <v>6.1765913757700197</v>
      </c>
      <c r="G90">
        <v>600</v>
      </c>
      <c r="H90">
        <v>1.51</v>
      </c>
      <c r="I90">
        <f t="shared" si="4"/>
        <v>906</v>
      </c>
      <c r="J90" s="2">
        <v>2734.8474710308215</v>
      </c>
      <c r="K90">
        <f t="shared" si="5"/>
        <v>1640908.4826184928</v>
      </c>
      <c r="L90">
        <v>5.7803709694753805E-2</v>
      </c>
      <c r="M90">
        <f t="shared" si="6"/>
        <v>34.682225816852281</v>
      </c>
      <c r="N90" s="2" t="s">
        <v>598</v>
      </c>
      <c r="O90" s="2">
        <f>VLOOKUP(A90,'Coal savings'!$A$3:$K$543,10,FALSE)</f>
        <v>0</v>
      </c>
      <c r="P90" s="2">
        <f t="shared" si="7"/>
        <v>0</v>
      </c>
      <c r="Q90">
        <f>VLOOKUP(A90,'[13]Thermal generation Mar 19 - Feb'!$C$2:$D$680,2,FALSE)</f>
        <v>3112.36</v>
      </c>
    </row>
    <row r="91" spans="1:17" x14ac:dyDescent="0.2">
      <c r="A91" s="2" t="s">
        <v>108</v>
      </c>
      <c r="B91" t="s">
        <v>609</v>
      </c>
      <c r="C91" t="s">
        <v>626</v>
      </c>
      <c r="D91" t="s">
        <v>570</v>
      </c>
      <c r="E91" t="s">
        <v>543</v>
      </c>
      <c r="F91" s="36">
        <v>6.5051334702258696</v>
      </c>
      <c r="G91">
        <v>600</v>
      </c>
      <c r="H91">
        <v>2.64</v>
      </c>
      <c r="I91">
        <f t="shared" si="4"/>
        <v>1584</v>
      </c>
      <c r="J91" s="2">
        <v>2743.0914573705668</v>
      </c>
      <c r="K91">
        <f t="shared" si="5"/>
        <v>1645854.8744223402</v>
      </c>
      <c r="M91">
        <f t="shared" si="6"/>
        <v>0</v>
      </c>
      <c r="N91" s="2" t="s">
        <v>598</v>
      </c>
      <c r="O91" s="2">
        <f>VLOOKUP(A91,'Coal savings'!$A$3:$K$543,10,FALSE)</f>
        <v>0</v>
      </c>
      <c r="P91" s="2">
        <f t="shared" si="7"/>
        <v>0</v>
      </c>
      <c r="Q91">
        <f>VLOOKUP(A91,'[13]Thermal generation Mar 19 - Feb'!$C$2:$D$680,2,FALSE)</f>
        <v>2533.0299999999902</v>
      </c>
    </row>
    <row r="92" spans="1:17" x14ac:dyDescent="0.2">
      <c r="A92" s="2" t="s">
        <v>98</v>
      </c>
      <c r="B92" t="s">
        <v>611</v>
      </c>
      <c r="C92" t="s">
        <v>626</v>
      </c>
      <c r="D92" t="s">
        <v>572</v>
      </c>
      <c r="E92" t="s">
        <v>543</v>
      </c>
      <c r="F92" s="36">
        <v>5.7577002053388</v>
      </c>
      <c r="G92">
        <v>600</v>
      </c>
      <c r="H92">
        <v>2.4900000000000002</v>
      </c>
      <c r="I92">
        <f t="shared" si="4"/>
        <v>1494.0000000000002</v>
      </c>
      <c r="J92" s="2">
        <v>2685.8019019196545</v>
      </c>
      <c r="K92">
        <f t="shared" si="5"/>
        <v>1611481.1411517926</v>
      </c>
      <c r="L92">
        <v>8.0030636155213206E-2</v>
      </c>
      <c r="M92">
        <f t="shared" si="6"/>
        <v>48.018381693127921</v>
      </c>
      <c r="N92" s="2" t="s">
        <v>598</v>
      </c>
      <c r="O92" s="2">
        <f>VLOOKUP(A92,'Coal savings'!$A$3:$K$543,10,FALSE)</f>
        <v>0</v>
      </c>
      <c r="P92" s="2">
        <f t="shared" si="7"/>
        <v>0</v>
      </c>
      <c r="Q92">
        <f>VLOOKUP(A92,'[13]Thermal generation Mar 19 - Feb'!$C$2:$D$680,2,FALSE)</f>
        <v>4080.8899999999899</v>
      </c>
    </row>
    <row r="93" spans="1:17" x14ac:dyDescent="0.2">
      <c r="A93" s="2" t="s">
        <v>113</v>
      </c>
      <c r="B93" t="s">
        <v>609</v>
      </c>
      <c r="C93" t="s">
        <v>626</v>
      </c>
      <c r="D93" t="s">
        <v>572</v>
      </c>
      <c r="E93" t="s">
        <v>543</v>
      </c>
      <c r="F93" s="36">
        <v>7.2525667351129304</v>
      </c>
      <c r="G93">
        <v>600</v>
      </c>
      <c r="H93">
        <v>2.8116068206159666</v>
      </c>
      <c r="I93">
        <f t="shared" si="4"/>
        <v>1686.9640923695799</v>
      </c>
      <c r="J93" s="2">
        <v>2786.1255108669025</v>
      </c>
      <c r="K93">
        <f t="shared" si="5"/>
        <v>1671675.3065201414</v>
      </c>
      <c r="L93">
        <v>9.2920955405355318E-2</v>
      </c>
      <c r="M93">
        <f t="shared" si="6"/>
        <v>55.752573243213192</v>
      </c>
      <c r="N93" s="2" t="s">
        <v>598</v>
      </c>
      <c r="O93" s="2">
        <f>VLOOKUP(A93,'Coal savings'!$A$3:$K$543,10,FALSE)</f>
        <v>0</v>
      </c>
      <c r="P93" s="2">
        <f t="shared" si="7"/>
        <v>0</v>
      </c>
      <c r="Q93">
        <f>VLOOKUP(A93,'[13]Thermal generation Mar 19 - Feb'!$C$2:$D$680,2,FALSE)</f>
        <v>1053.79999999999</v>
      </c>
    </row>
    <row r="94" spans="1:17" x14ac:dyDescent="0.2">
      <c r="A94" s="2" t="s">
        <v>110</v>
      </c>
      <c r="B94" t="s">
        <v>611</v>
      </c>
      <c r="C94" t="s">
        <v>626</v>
      </c>
      <c r="D94" t="s">
        <v>572</v>
      </c>
      <c r="E94" t="s">
        <v>543</v>
      </c>
      <c r="F94" s="36">
        <v>6.7570157426420199</v>
      </c>
      <c r="G94">
        <v>600</v>
      </c>
      <c r="H94">
        <v>2.4900000000000002</v>
      </c>
      <c r="I94">
        <f t="shared" si="4"/>
        <v>1494.0000000000002</v>
      </c>
      <c r="J94" s="2">
        <v>2834.3359818973217</v>
      </c>
      <c r="K94">
        <f t="shared" si="5"/>
        <v>1700601.5891383931</v>
      </c>
      <c r="L94">
        <v>8.0030636155213206E-2</v>
      </c>
      <c r="M94">
        <f t="shared" si="6"/>
        <v>48.018381693127921</v>
      </c>
      <c r="N94" s="2" t="s">
        <v>598</v>
      </c>
      <c r="O94" s="2">
        <f>VLOOKUP(A94,'Coal savings'!$A$3:$K$543,10,FALSE)</f>
        <v>0</v>
      </c>
      <c r="P94" s="2">
        <f t="shared" si="7"/>
        <v>0</v>
      </c>
      <c r="Q94">
        <f>VLOOKUP(A94,'[13]Thermal generation Mar 19 - Feb'!$C$2:$D$680,2,FALSE)</f>
        <v>1651.1</v>
      </c>
    </row>
    <row r="95" spans="1:17" x14ac:dyDescent="0.2">
      <c r="A95" s="2" t="s">
        <v>124</v>
      </c>
      <c r="B95" t="s">
        <v>634</v>
      </c>
      <c r="C95" t="s">
        <v>628</v>
      </c>
      <c r="D95" t="s">
        <v>572</v>
      </c>
      <c r="E95" t="s">
        <v>543</v>
      </c>
      <c r="F95" s="36">
        <v>8.33949349760438</v>
      </c>
      <c r="G95">
        <v>600</v>
      </c>
      <c r="H95">
        <v>1.88</v>
      </c>
      <c r="I95">
        <f t="shared" si="4"/>
        <v>1128</v>
      </c>
      <c r="J95" s="2">
        <v>2666.8259900233074</v>
      </c>
      <c r="K95">
        <f t="shared" si="5"/>
        <v>1600095.5940139845</v>
      </c>
      <c r="L95">
        <v>6.2540016954501773E-2</v>
      </c>
      <c r="M95">
        <f t="shared" si="6"/>
        <v>37.524010172701061</v>
      </c>
      <c r="N95" s="2" t="s">
        <v>598</v>
      </c>
      <c r="O95" s="2">
        <f>VLOOKUP(A95,'Coal savings'!$A$3:$K$543,10,FALSE)</f>
        <v>0</v>
      </c>
      <c r="P95" s="2">
        <f t="shared" si="7"/>
        <v>0</v>
      </c>
      <c r="Q95">
        <f>VLOOKUP(A95,'[13]Thermal generation Mar 19 - Feb'!$C$2:$D$680,2,FALSE)</f>
        <v>4011.43</v>
      </c>
    </row>
    <row r="96" spans="1:17" x14ac:dyDescent="0.2">
      <c r="A96" s="2" t="s">
        <v>127</v>
      </c>
      <c r="B96" t="s">
        <v>634</v>
      </c>
      <c r="C96" t="s">
        <v>628</v>
      </c>
      <c r="D96" t="s">
        <v>572</v>
      </c>
      <c r="E96" t="s">
        <v>543</v>
      </c>
      <c r="F96" s="36">
        <v>8.5913757700205302</v>
      </c>
      <c r="G96">
        <v>600</v>
      </c>
      <c r="H96">
        <v>1.88</v>
      </c>
      <c r="I96">
        <f t="shared" si="4"/>
        <v>1128</v>
      </c>
      <c r="J96" s="2">
        <v>2671.3855817448057</v>
      </c>
      <c r="K96">
        <f t="shared" si="5"/>
        <v>1602831.3490468834</v>
      </c>
      <c r="L96">
        <v>6.2540016954501773E-2</v>
      </c>
      <c r="M96">
        <f t="shared" si="6"/>
        <v>37.524010172701061</v>
      </c>
      <c r="N96" s="2" t="s">
        <v>598</v>
      </c>
      <c r="O96" s="2">
        <f>VLOOKUP(A96,'Coal savings'!$A$3:$K$543,10,FALSE)</f>
        <v>0</v>
      </c>
      <c r="P96" s="2">
        <f t="shared" si="7"/>
        <v>0</v>
      </c>
      <c r="Q96">
        <f>VLOOKUP(A96,'[13]Thermal generation Mar 19 - Feb'!$C$2:$D$680,2,FALSE)</f>
        <v>3703.2799999999902</v>
      </c>
    </row>
    <row r="97" spans="1:17" x14ac:dyDescent="0.2">
      <c r="A97" s="2" t="s">
        <v>134</v>
      </c>
      <c r="B97" t="s">
        <v>619</v>
      </c>
      <c r="C97" t="s">
        <v>628</v>
      </c>
      <c r="D97" t="s">
        <v>570</v>
      </c>
      <c r="E97" t="s">
        <v>543</v>
      </c>
      <c r="F97" s="36">
        <v>9.5906913073237501</v>
      </c>
      <c r="G97">
        <v>600</v>
      </c>
      <c r="H97">
        <v>3.54</v>
      </c>
      <c r="I97">
        <f t="shared" si="4"/>
        <v>2124</v>
      </c>
      <c r="J97" s="2">
        <v>2815.8337646212435</v>
      </c>
      <c r="K97">
        <f t="shared" si="5"/>
        <v>1689500.2587727462</v>
      </c>
      <c r="L97">
        <v>6.0133050822696911E-2</v>
      </c>
      <c r="M97">
        <f t="shared" si="6"/>
        <v>36.079830493618147</v>
      </c>
      <c r="N97" s="2" t="s">
        <v>598</v>
      </c>
      <c r="O97" s="2">
        <f>VLOOKUP(A97,'Coal savings'!$A$3:$K$543,10,FALSE)</f>
        <v>0</v>
      </c>
      <c r="P97" s="2">
        <f t="shared" si="7"/>
        <v>0</v>
      </c>
      <c r="Q97">
        <f>VLOOKUP(A97,'[13]Thermal generation Mar 19 - Feb'!$C$2:$D$680,2,FALSE)</f>
        <v>1500.48999999999</v>
      </c>
    </row>
    <row r="98" spans="1:17" x14ac:dyDescent="0.2">
      <c r="A98" s="2" t="s">
        <v>131</v>
      </c>
      <c r="B98" t="s">
        <v>608</v>
      </c>
      <c r="C98" t="s">
        <v>625</v>
      </c>
      <c r="D98" t="s">
        <v>572</v>
      </c>
      <c r="E98" t="s">
        <v>543</v>
      </c>
      <c r="F98" s="36">
        <v>9.4236824093086895</v>
      </c>
      <c r="G98">
        <v>600</v>
      </c>
      <c r="H98">
        <v>1.61</v>
      </c>
      <c r="I98">
        <f t="shared" si="4"/>
        <v>966.00000000000011</v>
      </c>
      <c r="J98" s="2">
        <v>2918.6804989429479</v>
      </c>
      <c r="K98">
        <f t="shared" si="5"/>
        <v>1751208.2993657687</v>
      </c>
      <c r="L98">
        <v>0.05</v>
      </c>
      <c r="M98">
        <f t="shared" si="6"/>
        <v>30</v>
      </c>
      <c r="N98" s="2" t="s">
        <v>598</v>
      </c>
      <c r="O98" s="2">
        <f>VLOOKUP(A98,'Coal savings'!$A$3:$K$543,10,FALSE)</f>
        <v>0</v>
      </c>
      <c r="P98" s="2">
        <f t="shared" si="7"/>
        <v>0</v>
      </c>
      <c r="Q98">
        <f>VLOOKUP(A98,'[13]Thermal generation Mar 19 - Feb'!$C$2:$D$680,2,FALSE)</f>
        <v>405.4</v>
      </c>
    </row>
    <row r="99" spans="1:17" x14ac:dyDescent="0.2">
      <c r="A99" s="2" t="s">
        <v>109</v>
      </c>
      <c r="B99" t="s">
        <v>622</v>
      </c>
      <c r="C99" t="s">
        <v>627</v>
      </c>
      <c r="D99" t="s">
        <v>570</v>
      </c>
      <c r="E99" t="s">
        <v>543</v>
      </c>
      <c r="F99" s="36">
        <v>6.6009582477754902</v>
      </c>
      <c r="G99">
        <v>600</v>
      </c>
      <c r="H99">
        <v>3.18</v>
      </c>
      <c r="I99">
        <f t="shared" si="4"/>
        <v>1908</v>
      </c>
      <c r="J99" s="2">
        <v>2762.1453669319726</v>
      </c>
      <c r="K99">
        <f t="shared" si="5"/>
        <v>1657287.2201591835</v>
      </c>
      <c r="L99">
        <v>7.8776329249988286E-2</v>
      </c>
      <c r="M99">
        <f t="shared" si="6"/>
        <v>47.265797549992975</v>
      </c>
      <c r="N99" s="2" t="s">
        <v>598</v>
      </c>
      <c r="O99" s="2">
        <f>VLOOKUP(A99,'Coal savings'!$A$3:$K$543,10,FALSE)</f>
        <v>0</v>
      </c>
      <c r="P99" s="2">
        <f t="shared" si="7"/>
        <v>0</v>
      </c>
      <c r="Q99">
        <f>VLOOKUP(A99,'[13]Thermal generation Mar 19 - Feb'!$C$2:$D$680,2,FALSE)</f>
        <v>2589.5599999999899</v>
      </c>
    </row>
    <row r="100" spans="1:17" x14ac:dyDescent="0.2">
      <c r="A100" s="2" t="s">
        <v>135</v>
      </c>
      <c r="B100" t="s">
        <v>619</v>
      </c>
      <c r="C100" t="s">
        <v>628</v>
      </c>
      <c r="D100" t="s">
        <v>570</v>
      </c>
      <c r="E100" t="s">
        <v>544</v>
      </c>
      <c r="F100" s="36">
        <v>10.17659137577</v>
      </c>
      <c r="G100">
        <v>600</v>
      </c>
      <c r="H100">
        <v>3.54</v>
      </c>
      <c r="I100">
        <f t="shared" si="4"/>
        <v>2124</v>
      </c>
      <c r="J100" s="2">
        <v>2847.5201426165622</v>
      </c>
      <c r="K100">
        <f t="shared" si="5"/>
        <v>1708512.0855699372</v>
      </c>
      <c r="L100">
        <v>6.0133050822696911E-2</v>
      </c>
      <c r="M100">
        <f t="shared" si="6"/>
        <v>36.079830493618147</v>
      </c>
      <c r="N100" s="2" t="s">
        <v>598</v>
      </c>
      <c r="O100" s="2">
        <f>VLOOKUP(A100,'Coal savings'!$A$3:$K$543,10,FALSE)</f>
        <v>0</v>
      </c>
      <c r="P100" s="2">
        <f t="shared" si="7"/>
        <v>0</v>
      </c>
      <c r="Q100">
        <f>VLOOKUP(A100,'[13]Thermal generation Mar 19 - Feb'!$C$2:$D$680,2,FALSE)</f>
        <v>778.229999999999</v>
      </c>
    </row>
    <row r="101" spans="1:17" x14ac:dyDescent="0.2">
      <c r="A101" s="2" t="s">
        <v>112</v>
      </c>
      <c r="B101" t="s">
        <v>622</v>
      </c>
      <c r="C101" t="s">
        <v>627</v>
      </c>
      <c r="D101" t="s">
        <v>570</v>
      </c>
      <c r="E101" t="s">
        <v>543</v>
      </c>
      <c r="F101" s="36">
        <v>7.1348391512662497</v>
      </c>
      <c r="G101">
        <v>600</v>
      </c>
      <c r="H101">
        <v>3.18</v>
      </c>
      <c r="I101">
        <f t="shared" si="4"/>
        <v>1908</v>
      </c>
      <c r="J101" s="2">
        <v>2768.9859667153796</v>
      </c>
      <c r="K101">
        <f t="shared" si="5"/>
        <v>1661391.5800292278</v>
      </c>
      <c r="L101">
        <v>7.8776329249988286E-2</v>
      </c>
      <c r="M101">
        <f t="shared" si="6"/>
        <v>47.265797549992975</v>
      </c>
      <c r="N101" s="2" t="s">
        <v>598</v>
      </c>
      <c r="O101" s="2">
        <f>VLOOKUP(A101,'Coal savings'!$A$3:$K$543,10,FALSE)</f>
        <v>0</v>
      </c>
      <c r="P101" s="2">
        <f t="shared" si="7"/>
        <v>0</v>
      </c>
      <c r="Q101">
        <f>VLOOKUP(A101,'[13]Thermal generation Mar 19 - Feb'!$C$2:$D$680,2,FALSE)</f>
        <v>3351.8399999999901</v>
      </c>
    </row>
    <row r="102" spans="1:17" x14ac:dyDescent="0.2">
      <c r="A102" s="2" t="s">
        <v>17</v>
      </c>
      <c r="B102" t="s">
        <v>613</v>
      </c>
      <c r="C102" t="s">
        <v>626</v>
      </c>
      <c r="D102" t="s">
        <v>572</v>
      </c>
      <c r="E102" t="s">
        <v>543</v>
      </c>
      <c r="F102" s="36">
        <v>7.1759069130732298</v>
      </c>
      <c r="G102">
        <v>800</v>
      </c>
      <c r="H102">
        <v>1.74</v>
      </c>
      <c r="I102">
        <f t="shared" si="4"/>
        <v>1392</v>
      </c>
      <c r="J102" s="2">
        <v>2754.7855541398958</v>
      </c>
      <c r="K102">
        <f t="shared" si="5"/>
        <v>2203828.4433119167</v>
      </c>
      <c r="L102">
        <v>7.7721035120439194E-2</v>
      </c>
      <c r="M102">
        <f t="shared" si="6"/>
        <v>62.176828096351358</v>
      </c>
      <c r="N102" s="2" t="s">
        <v>598</v>
      </c>
      <c r="O102" s="2">
        <f>VLOOKUP(A102,'Coal savings'!$A$3:$K$543,10,FALSE)</f>
        <v>0</v>
      </c>
      <c r="P102" s="2">
        <f t="shared" si="7"/>
        <v>0</v>
      </c>
      <c r="Q102">
        <f>VLOOKUP(A102,'[13]Thermal generation Mar 19 - Feb'!$C$2:$D$680,2,FALSE)</f>
        <v>4701.4199999999901</v>
      </c>
    </row>
    <row r="103" spans="1:17" x14ac:dyDescent="0.2">
      <c r="A103" s="2" t="s">
        <v>21</v>
      </c>
      <c r="B103" t="s">
        <v>613</v>
      </c>
      <c r="C103" t="s">
        <v>626</v>
      </c>
      <c r="D103" t="s">
        <v>572</v>
      </c>
      <c r="E103" t="s">
        <v>543</v>
      </c>
      <c r="F103" s="36">
        <v>7.3374401095140298</v>
      </c>
      <c r="G103">
        <v>800</v>
      </c>
      <c r="H103">
        <v>1.74</v>
      </c>
      <c r="I103">
        <f t="shared" si="4"/>
        <v>1392</v>
      </c>
      <c r="J103" s="2">
        <v>2701.9346640107833</v>
      </c>
      <c r="K103">
        <f t="shared" si="5"/>
        <v>2161547.7312086266</v>
      </c>
      <c r="L103">
        <v>7.7721035120439194E-2</v>
      </c>
      <c r="M103">
        <f t="shared" si="6"/>
        <v>62.176828096351358</v>
      </c>
      <c r="N103" s="2" t="s">
        <v>598</v>
      </c>
      <c r="O103" s="2">
        <f>VLOOKUP(A103,'Coal savings'!$A$3:$K$543,10,FALSE)</f>
        <v>0</v>
      </c>
      <c r="P103" s="2">
        <f t="shared" si="7"/>
        <v>0</v>
      </c>
      <c r="Q103">
        <f>VLOOKUP(A103,'[13]Thermal generation Mar 19 - Feb'!$C$2:$D$680,2,FALSE)</f>
        <v>4893.2</v>
      </c>
    </row>
    <row r="104" spans="1:17" x14ac:dyDescent="0.2">
      <c r="A104" s="2" t="s">
        <v>48</v>
      </c>
      <c r="B104" t="s">
        <v>614</v>
      </c>
      <c r="C104" t="s">
        <v>627</v>
      </c>
      <c r="D104" t="s">
        <v>572</v>
      </c>
      <c r="E104" t="s">
        <v>542</v>
      </c>
      <c r="F104" s="36">
        <v>4.6735112936344896</v>
      </c>
      <c r="G104">
        <v>660</v>
      </c>
      <c r="H104">
        <v>2.2000000000000002</v>
      </c>
      <c r="I104">
        <f t="shared" si="4"/>
        <v>1452.0000000000002</v>
      </c>
      <c r="J104" s="2">
        <v>2674.6655586440984</v>
      </c>
      <c r="K104">
        <f t="shared" si="5"/>
        <v>1765279.2687051049</v>
      </c>
      <c r="L104" s="1">
        <v>5.9223285155824042E-2</v>
      </c>
      <c r="M104">
        <f t="shared" si="6"/>
        <v>39.087368202843869</v>
      </c>
      <c r="N104" s="2" t="s">
        <v>598</v>
      </c>
      <c r="O104" s="2">
        <f>VLOOKUP(A104,'Coal savings'!$A$3:$K$543,10,FALSE)</f>
        <v>0</v>
      </c>
      <c r="P104" s="2">
        <f t="shared" si="7"/>
        <v>0</v>
      </c>
      <c r="Q104">
        <f>VLOOKUP(A104,'[13]Thermal generation Mar 19 - Feb'!$C$2:$D$680,2,FALSE)</f>
        <v>5110.2</v>
      </c>
    </row>
    <row r="105" spans="1:17" x14ac:dyDescent="0.2">
      <c r="A105" s="2" t="s">
        <v>22</v>
      </c>
      <c r="B105" t="s">
        <v>613</v>
      </c>
      <c r="C105" t="s">
        <v>626</v>
      </c>
      <c r="D105" t="s">
        <v>572</v>
      </c>
      <c r="E105" t="s">
        <v>543</v>
      </c>
      <c r="F105" s="36">
        <v>7.5893223819301801</v>
      </c>
      <c r="G105">
        <v>800</v>
      </c>
      <c r="H105">
        <v>1.74</v>
      </c>
      <c r="I105">
        <f t="shared" si="4"/>
        <v>1392</v>
      </c>
      <c r="J105" s="2">
        <v>2673.0743181129028</v>
      </c>
      <c r="K105">
        <f t="shared" si="5"/>
        <v>2138459.4544903222</v>
      </c>
      <c r="L105">
        <v>7.7721035120439194E-2</v>
      </c>
      <c r="M105">
        <f t="shared" si="6"/>
        <v>62.176828096351358</v>
      </c>
      <c r="N105" s="2" t="s">
        <v>598</v>
      </c>
      <c r="O105" s="2">
        <f>VLOOKUP(A105,'Coal savings'!$A$3:$K$543,10,FALSE)</f>
        <v>0</v>
      </c>
      <c r="P105" s="2">
        <f t="shared" si="7"/>
        <v>0</v>
      </c>
      <c r="Q105">
        <f>VLOOKUP(A105,'[13]Thermal generation Mar 19 - Feb'!$C$2:$D$680,2,FALSE)</f>
        <v>5966.2</v>
      </c>
    </row>
    <row r="106" spans="1:17" x14ac:dyDescent="0.2">
      <c r="A106" s="2" t="s">
        <v>24</v>
      </c>
      <c r="B106" t="s">
        <v>613</v>
      </c>
      <c r="C106" t="s">
        <v>626</v>
      </c>
      <c r="D106" t="s">
        <v>572</v>
      </c>
      <c r="E106" t="s">
        <v>543</v>
      </c>
      <c r="F106" s="36">
        <v>7.8412046543463303</v>
      </c>
      <c r="G106">
        <v>800</v>
      </c>
      <c r="H106">
        <v>1.74</v>
      </c>
      <c r="I106">
        <f t="shared" si="4"/>
        <v>1392</v>
      </c>
      <c r="J106" s="2">
        <v>2685.0510001023376</v>
      </c>
      <c r="K106">
        <f t="shared" si="5"/>
        <v>2148040.8000818701</v>
      </c>
      <c r="L106">
        <v>7.7721035120439194E-2</v>
      </c>
      <c r="M106">
        <f t="shared" si="6"/>
        <v>62.176828096351358</v>
      </c>
      <c r="N106" s="2" t="s">
        <v>598</v>
      </c>
      <c r="O106" s="2">
        <f>VLOOKUP(A106,'Coal savings'!$A$3:$K$543,10,FALSE)</f>
        <v>0</v>
      </c>
      <c r="P106" s="2">
        <f t="shared" si="7"/>
        <v>0</v>
      </c>
      <c r="Q106">
        <f>VLOOKUP(A106,'[13]Thermal generation Mar 19 - Feb'!$C$2:$D$680,2,FALSE)</f>
        <v>6051.1199999999899</v>
      </c>
    </row>
    <row r="107" spans="1:17" x14ac:dyDescent="0.2">
      <c r="A107" s="2" t="s">
        <v>55</v>
      </c>
      <c r="B107" t="s">
        <v>614</v>
      </c>
      <c r="C107" t="s">
        <v>627</v>
      </c>
      <c r="D107" t="s">
        <v>572</v>
      </c>
      <c r="E107" t="s">
        <v>543</v>
      </c>
      <c r="F107" s="36">
        <v>5.2539356605065004</v>
      </c>
      <c r="G107">
        <v>660</v>
      </c>
      <c r="H107">
        <v>2.2000000000000002</v>
      </c>
      <c r="I107">
        <f t="shared" si="4"/>
        <v>1452.0000000000002</v>
      </c>
      <c r="J107" s="2">
        <v>2728.3184579976555</v>
      </c>
      <c r="K107">
        <f t="shared" si="5"/>
        <v>1800690.1822784527</v>
      </c>
      <c r="L107">
        <v>5.9223285155824042E-2</v>
      </c>
      <c r="M107">
        <f t="shared" si="6"/>
        <v>39.087368202843869</v>
      </c>
      <c r="N107" s="2" t="s">
        <v>598</v>
      </c>
      <c r="O107" s="2">
        <f>VLOOKUP(A107,'Coal savings'!$A$3:$K$543,10,FALSE)</f>
        <v>0</v>
      </c>
      <c r="P107" s="2">
        <f t="shared" si="7"/>
        <v>0</v>
      </c>
      <c r="Q107">
        <f>VLOOKUP(A107,'[13]Thermal generation Mar 19 - Feb'!$C$2:$D$680,2,FALSE)</f>
        <v>5123.54</v>
      </c>
    </row>
    <row r="108" spans="1:17" x14ac:dyDescent="0.2">
      <c r="A108" s="2" t="s">
        <v>25</v>
      </c>
      <c r="B108" t="s">
        <v>613</v>
      </c>
      <c r="C108" t="s">
        <v>626</v>
      </c>
      <c r="D108" t="s">
        <v>572</v>
      </c>
      <c r="E108" t="s">
        <v>543</v>
      </c>
      <c r="F108" s="36">
        <v>8.1752224503764506</v>
      </c>
      <c r="G108">
        <v>800</v>
      </c>
      <c r="H108">
        <v>1.74</v>
      </c>
      <c r="I108">
        <f t="shared" si="4"/>
        <v>1392</v>
      </c>
      <c r="J108" s="2">
        <v>2706.0756449267574</v>
      </c>
      <c r="K108">
        <f t="shared" si="5"/>
        <v>2164860.5159414057</v>
      </c>
      <c r="L108">
        <v>7.7721035120439194E-2</v>
      </c>
      <c r="M108">
        <f t="shared" si="6"/>
        <v>62.176828096351358</v>
      </c>
      <c r="N108" s="2" t="s">
        <v>598</v>
      </c>
      <c r="O108" s="2">
        <f>VLOOKUP(A108,'Coal savings'!$A$3:$K$543,10,FALSE)</f>
        <v>0</v>
      </c>
      <c r="P108" s="2">
        <f t="shared" si="7"/>
        <v>0</v>
      </c>
      <c r="Q108">
        <f>VLOOKUP(A108,'[13]Thermal generation Mar 19 - Feb'!$C$2:$D$680,2,FALSE)</f>
        <v>5884.11</v>
      </c>
    </row>
    <row r="109" spans="1:17" x14ac:dyDescent="0.2">
      <c r="A109" s="2" t="s">
        <v>136</v>
      </c>
      <c r="B109" t="s">
        <v>608</v>
      </c>
      <c r="C109" t="s">
        <v>625</v>
      </c>
      <c r="D109" t="s">
        <v>572</v>
      </c>
      <c r="E109" t="s">
        <v>544</v>
      </c>
      <c r="F109" s="36">
        <v>10.17659137577</v>
      </c>
      <c r="G109">
        <v>600</v>
      </c>
      <c r="H109">
        <v>1.61</v>
      </c>
      <c r="I109">
        <f t="shared" si="4"/>
        <v>966.00000000000011</v>
      </c>
      <c r="J109" s="2">
        <v>2953.1966725455877</v>
      </c>
      <c r="K109">
        <f t="shared" si="5"/>
        <v>1771918.0035273526</v>
      </c>
      <c r="L109">
        <v>0.05</v>
      </c>
      <c r="M109">
        <f t="shared" si="6"/>
        <v>30</v>
      </c>
      <c r="N109" s="2" t="s">
        <v>598</v>
      </c>
      <c r="O109" s="2">
        <f>VLOOKUP(A109,'Coal savings'!$A$3:$K$543,10,FALSE)</f>
        <v>0</v>
      </c>
      <c r="P109" s="2">
        <f t="shared" si="7"/>
        <v>0</v>
      </c>
    </row>
    <row r="110" spans="1:17" x14ac:dyDescent="0.2">
      <c r="A110" s="2" t="s">
        <v>103</v>
      </c>
      <c r="B110" t="s">
        <v>611</v>
      </c>
      <c r="C110" t="s">
        <v>626</v>
      </c>
      <c r="D110" t="s">
        <v>572</v>
      </c>
      <c r="E110" t="s">
        <v>543</v>
      </c>
      <c r="F110" s="36">
        <v>6.1765913757700197</v>
      </c>
      <c r="G110">
        <v>600</v>
      </c>
      <c r="H110">
        <v>1.72</v>
      </c>
      <c r="I110">
        <f t="shared" si="4"/>
        <v>1032</v>
      </c>
      <c r="J110" s="2">
        <v>2969.2442178823821</v>
      </c>
      <c r="K110">
        <f t="shared" si="5"/>
        <v>1781546.5307294293</v>
      </c>
      <c r="L110">
        <v>5.5651687553528041E-2</v>
      </c>
      <c r="M110">
        <f t="shared" si="6"/>
        <v>33.391012532116825</v>
      </c>
      <c r="N110" s="2" t="s">
        <v>598</v>
      </c>
      <c r="O110" s="2">
        <f>VLOOKUP(A110,'Coal savings'!$A$3:$K$543,10,FALSE)</f>
        <v>0</v>
      </c>
      <c r="P110" s="2">
        <f t="shared" si="7"/>
        <v>0</v>
      </c>
      <c r="Q110">
        <f>VLOOKUP(A110,'[13]Thermal generation Mar 19 - Feb'!$C$2:$D$680,2,FALSE)</f>
        <v>126.819999999999</v>
      </c>
    </row>
    <row r="111" spans="1:17" x14ac:dyDescent="0.2">
      <c r="A111" s="2" t="s">
        <v>116</v>
      </c>
      <c r="B111" t="s">
        <v>614</v>
      </c>
      <c r="C111" t="s">
        <v>627</v>
      </c>
      <c r="D111" t="s">
        <v>572</v>
      </c>
      <c r="E111" t="s">
        <v>542</v>
      </c>
      <c r="F111" s="36">
        <v>4.1752224503764497</v>
      </c>
      <c r="G111">
        <v>520</v>
      </c>
      <c r="H111">
        <v>3.16</v>
      </c>
      <c r="I111">
        <f t="shared" si="4"/>
        <v>1643.2</v>
      </c>
      <c r="J111" s="2">
        <v>2892.5067212890344</v>
      </c>
      <c r="K111">
        <f t="shared" si="5"/>
        <v>1504103.495070298</v>
      </c>
      <c r="L111" s="1">
        <v>2.064213334024792E-2</v>
      </c>
      <c r="M111">
        <f t="shared" si="6"/>
        <v>10.733909336928919</v>
      </c>
      <c r="N111" s="2" t="s">
        <v>598</v>
      </c>
      <c r="O111" s="2">
        <f>VLOOKUP(A111,'Coal savings'!$A$3:$K$543,10,FALSE)</f>
        <v>0</v>
      </c>
      <c r="P111" s="2">
        <f t="shared" si="7"/>
        <v>0</v>
      </c>
      <c r="Q111">
        <f>VLOOKUP(A111,'[13]Thermal generation Mar 19 - Feb'!$C$2:$D$680,2,FALSE)</f>
        <v>1444.19</v>
      </c>
    </row>
    <row r="112" spans="1:17" x14ac:dyDescent="0.2">
      <c r="A112" s="2" t="s">
        <v>117</v>
      </c>
      <c r="B112" t="s">
        <v>621</v>
      </c>
      <c r="C112" t="s">
        <v>625</v>
      </c>
      <c r="D112" t="s">
        <v>570</v>
      </c>
      <c r="E112" t="s">
        <v>542</v>
      </c>
      <c r="F112" s="36">
        <v>3.4223134839151199</v>
      </c>
      <c r="G112">
        <v>500</v>
      </c>
      <c r="H112">
        <v>3</v>
      </c>
      <c r="I112">
        <f t="shared" si="4"/>
        <v>1500</v>
      </c>
      <c r="J112" s="2">
        <v>2852.6070450229736</v>
      </c>
      <c r="K112">
        <f t="shared" si="5"/>
        <v>1426303.5225114869</v>
      </c>
      <c r="L112" s="1">
        <v>9.5849721553511083E-2</v>
      </c>
      <c r="M112">
        <f t="shared" si="6"/>
        <v>47.924860776755544</v>
      </c>
      <c r="N112" s="2" t="s">
        <v>598</v>
      </c>
      <c r="O112" s="2">
        <f>VLOOKUP(A112,'Coal savings'!$A$3:$K$543,10,FALSE)</f>
        <v>0</v>
      </c>
      <c r="P112" s="2">
        <f t="shared" si="7"/>
        <v>0</v>
      </c>
      <c r="Q112">
        <f>VLOOKUP(A112,'[13]Thermal generation Mar 19 - Feb'!$C$2:$D$680,2,FALSE)</f>
        <v>2338.12</v>
      </c>
    </row>
    <row r="113" spans="1:17" x14ac:dyDescent="0.2">
      <c r="A113" s="2" t="s">
        <v>119</v>
      </c>
      <c r="B113" t="s">
        <v>614</v>
      </c>
      <c r="C113" t="s">
        <v>627</v>
      </c>
      <c r="D113" t="s">
        <v>572</v>
      </c>
      <c r="E113" t="s">
        <v>542</v>
      </c>
      <c r="F113" s="36">
        <v>4.4243668720054696</v>
      </c>
      <c r="G113">
        <v>520</v>
      </c>
      <c r="H113">
        <v>3.16</v>
      </c>
      <c r="I113">
        <f t="shared" si="4"/>
        <v>1643.2</v>
      </c>
      <c r="J113" s="2">
        <v>2896.0381375072666</v>
      </c>
      <c r="K113">
        <f t="shared" si="5"/>
        <v>1505939.8315037787</v>
      </c>
      <c r="L113" s="1">
        <v>2.064213334024792E-2</v>
      </c>
      <c r="M113">
        <f t="shared" si="6"/>
        <v>10.733909336928919</v>
      </c>
      <c r="N113" s="2" t="s">
        <v>598</v>
      </c>
      <c r="O113" s="2">
        <f>VLOOKUP(A113,'Coal savings'!$A$3:$K$543,10,FALSE)</f>
        <v>0</v>
      </c>
      <c r="P113" s="2">
        <f t="shared" si="7"/>
        <v>0</v>
      </c>
      <c r="Q113">
        <f>VLOOKUP(A113,'[13]Thermal generation Mar 19 - Feb'!$C$2:$D$680,2,FALSE)</f>
        <v>1528.83</v>
      </c>
    </row>
    <row r="114" spans="1:17" x14ac:dyDescent="0.2">
      <c r="A114" s="2" t="s">
        <v>114</v>
      </c>
      <c r="B114" t="s">
        <v>634</v>
      </c>
      <c r="C114" t="s">
        <v>628</v>
      </c>
      <c r="D114" t="s">
        <v>571</v>
      </c>
      <c r="E114" t="s">
        <v>542</v>
      </c>
      <c r="F114" s="36">
        <v>3.1759069130732298</v>
      </c>
      <c r="G114">
        <v>500</v>
      </c>
      <c r="H114">
        <v>3.08</v>
      </c>
      <c r="I114">
        <f t="shared" si="4"/>
        <v>1540</v>
      </c>
      <c r="J114" s="2">
        <v>2874.3914901616677</v>
      </c>
      <c r="K114">
        <f t="shared" si="5"/>
        <v>1437195.7450808338</v>
      </c>
      <c r="L114" s="1">
        <v>0.10083552828968442</v>
      </c>
      <c r="M114">
        <f t="shared" si="6"/>
        <v>50.417764144842209</v>
      </c>
      <c r="N114" s="2" t="s">
        <v>598</v>
      </c>
      <c r="O114" s="2">
        <f>VLOOKUP(A114,'Coal savings'!$A$3:$K$543,10,FALSE)</f>
        <v>0</v>
      </c>
      <c r="P114" s="2">
        <f t="shared" si="7"/>
        <v>0</v>
      </c>
      <c r="Q114">
        <f>VLOOKUP(A114,'[13]Thermal generation Mar 19 - Feb'!$C$2:$D$680,2,FALSE)</f>
        <v>2771.56</v>
      </c>
    </row>
    <row r="115" spans="1:17" x14ac:dyDescent="0.2">
      <c r="A115" s="2" t="s">
        <v>122</v>
      </c>
      <c r="B115" t="s">
        <v>611</v>
      </c>
      <c r="C115" t="s">
        <v>626</v>
      </c>
      <c r="D115" t="s">
        <v>570</v>
      </c>
      <c r="E115" t="s">
        <v>542</v>
      </c>
      <c r="F115" s="36">
        <v>3.8412046543463298</v>
      </c>
      <c r="G115">
        <v>500</v>
      </c>
      <c r="H115">
        <v>1.29</v>
      </c>
      <c r="I115">
        <f t="shared" si="4"/>
        <v>645</v>
      </c>
      <c r="J115" s="2">
        <v>2773.4261343599328</v>
      </c>
      <c r="K115">
        <f t="shared" si="5"/>
        <v>1386713.0671799665</v>
      </c>
      <c r="L115" s="1">
        <v>6.1306523812621402E-2</v>
      </c>
      <c r="M115">
        <f t="shared" si="6"/>
        <v>30.6532619063107</v>
      </c>
      <c r="N115" s="2" t="s">
        <v>598</v>
      </c>
      <c r="O115" s="2">
        <f>VLOOKUP(A115,'Coal savings'!$A$3:$K$543,10,FALSE)</f>
        <v>0</v>
      </c>
      <c r="P115" s="2">
        <f t="shared" si="7"/>
        <v>0</v>
      </c>
      <c r="Q115">
        <f>VLOOKUP(A115,'[13]Thermal generation Mar 19 - Feb'!$C$2:$D$680,2,FALSE)</f>
        <v>1995.1</v>
      </c>
    </row>
    <row r="116" spans="1:17" x14ac:dyDescent="0.2">
      <c r="A116" s="2" t="s">
        <v>126</v>
      </c>
      <c r="B116" t="s">
        <v>623</v>
      </c>
      <c r="C116" t="s">
        <v>625</v>
      </c>
      <c r="D116" t="s">
        <v>571</v>
      </c>
      <c r="E116" t="s">
        <v>542</v>
      </c>
      <c r="F116" s="36">
        <v>4.1752224503764497</v>
      </c>
      <c r="G116">
        <v>500</v>
      </c>
      <c r="H116">
        <v>1.7365039962146149</v>
      </c>
      <c r="I116">
        <f t="shared" si="4"/>
        <v>868.25199810730749</v>
      </c>
      <c r="J116" s="2">
        <v>2765.7891183057081</v>
      </c>
      <c r="K116">
        <f t="shared" si="5"/>
        <v>1382894.5591528541</v>
      </c>
      <c r="L116" s="1">
        <v>6.4777032841771623E-2</v>
      </c>
      <c r="M116">
        <f t="shared" si="6"/>
        <v>32.388516420885814</v>
      </c>
      <c r="N116" s="2" t="s">
        <v>598</v>
      </c>
      <c r="O116" s="2">
        <f>VLOOKUP(A116,'Coal savings'!$A$3:$K$543,10,FALSE)</f>
        <v>0</v>
      </c>
      <c r="P116" s="2">
        <f t="shared" si="7"/>
        <v>0</v>
      </c>
      <c r="Q116">
        <f>VLOOKUP(A116,'[13]Thermal generation Mar 19 - Feb'!$C$2:$D$680,2,FALSE)</f>
        <v>2745.51</v>
      </c>
    </row>
    <row r="117" spans="1:17" x14ac:dyDescent="0.2">
      <c r="A117" s="2" t="s">
        <v>115</v>
      </c>
      <c r="B117" t="s">
        <v>622</v>
      </c>
      <c r="C117" t="s">
        <v>627</v>
      </c>
      <c r="D117" t="s">
        <v>570</v>
      </c>
      <c r="E117" t="s">
        <v>543</v>
      </c>
      <c r="F117" s="36">
        <v>7.5893223819301801</v>
      </c>
      <c r="G117">
        <v>600</v>
      </c>
      <c r="H117">
        <v>3.64</v>
      </c>
      <c r="I117">
        <f t="shared" si="4"/>
        <v>2184</v>
      </c>
      <c r="J117" s="2">
        <v>2807.3962435483236</v>
      </c>
      <c r="K117">
        <f t="shared" si="5"/>
        <v>1684437.746128994</v>
      </c>
      <c r="L117">
        <v>0.08</v>
      </c>
      <c r="M117">
        <f t="shared" si="6"/>
        <v>48</v>
      </c>
      <c r="N117" s="2" t="s">
        <v>598</v>
      </c>
      <c r="O117" s="2">
        <f>VLOOKUP(A117,'Coal savings'!$A$3:$K$543,10,FALSE)</f>
        <v>0</v>
      </c>
      <c r="P117" s="2">
        <f t="shared" si="7"/>
        <v>0</v>
      </c>
      <c r="Q117">
        <f>VLOOKUP(A117,'[13]Thermal generation Mar 19 - Feb'!$C$2:$D$680,2,FALSE)</f>
        <v>2706.57</v>
      </c>
    </row>
    <row r="118" spans="1:17" x14ac:dyDescent="0.2">
      <c r="A118" s="2" t="s">
        <v>128</v>
      </c>
      <c r="B118" t="s">
        <v>621</v>
      </c>
      <c r="C118" t="s">
        <v>625</v>
      </c>
      <c r="D118" t="s">
        <v>570</v>
      </c>
      <c r="E118" t="s">
        <v>542</v>
      </c>
      <c r="F118" s="36">
        <v>4.4243668720054696</v>
      </c>
      <c r="G118">
        <v>500</v>
      </c>
      <c r="H118">
        <v>3</v>
      </c>
      <c r="I118">
        <f t="shared" si="4"/>
        <v>1500</v>
      </c>
      <c r="J118" s="2">
        <v>2839.3979243691565</v>
      </c>
      <c r="K118">
        <f t="shared" si="5"/>
        <v>1419698.9621845782</v>
      </c>
      <c r="L118" s="1">
        <v>9.5849721553511083E-2</v>
      </c>
      <c r="M118">
        <f t="shared" si="6"/>
        <v>47.924860776755544</v>
      </c>
      <c r="N118" s="2" t="s">
        <v>598</v>
      </c>
      <c r="O118" s="2">
        <f>VLOOKUP(A118,'Coal savings'!$A$3:$K$543,10,FALSE)</f>
        <v>0</v>
      </c>
      <c r="P118" s="2">
        <f t="shared" si="7"/>
        <v>0</v>
      </c>
      <c r="Q118">
        <f>VLOOKUP(A118,'[13]Thermal generation Mar 19 - Feb'!$C$2:$D$680,2,FALSE)</f>
        <v>1747.1299999999901</v>
      </c>
    </row>
    <row r="119" spans="1:17" x14ac:dyDescent="0.2">
      <c r="A119" s="2" t="s">
        <v>129</v>
      </c>
      <c r="B119" t="s">
        <v>609</v>
      </c>
      <c r="C119" t="s">
        <v>626</v>
      </c>
      <c r="D119" t="s">
        <v>571</v>
      </c>
      <c r="E119" t="s">
        <v>542</v>
      </c>
      <c r="F119" s="36">
        <v>4.7583846680355899</v>
      </c>
      <c r="G119">
        <v>500</v>
      </c>
      <c r="H119">
        <v>1.58</v>
      </c>
      <c r="I119">
        <f t="shared" si="4"/>
        <v>790</v>
      </c>
      <c r="J119" s="2">
        <v>2688.7113925947556</v>
      </c>
      <c r="K119">
        <f t="shared" si="5"/>
        <v>1344355.6962973778</v>
      </c>
      <c r="L119" s="1">
        <v>6.5179373950034494E-2</v>
      </c>
      <c r="M119">
        <f t="shared" si="6"/>
        <v>32.589686975017244</v>
      </c>
      <c r="N119" s="2" t="s">
        <v>598</v>
      </c>
      <c r="O119" s="2">
        <f>VLOOKUP(A119,'Coal savings'!$A$3:$K$543,10,FALSE)</f>
        <v>0</v>
      </c>
      <c r="P119" s="2">
        <f t="shared" si="7"/>
        <v>0</v>
      </c>
      <c r="Q119">
        <f>VLOOKUP(A119,'[13]Thermal generation Mar 19 - Feb'!$C$2:$D$680,2,FALSE)</f>
        <v>4086.36</v>
      </c>
    </row>
    <row r="120" spans="1:17" x14ac:dyDescent="0.2">
      <c r="A120" s="2" t="s">
        <v>125</v>
      </c>
      <c r="B120" t="s">
        <v>617</v>
      </c>
      <c r="C120" t="s">
        <v>626</v>
      </c>
      <c r="D120" t="s">
        <v>570</v>
      </c>
      <c r="E120" t="s">
        <v>542</v>
      </c>
      <c r="F120" s="36">
        <v>4.1752224503764497</v>
      </c>
      <c r="G120">
        <v>500</v>
      </c>
      <c r="H120">
        <v>2.2400000000000002</v>
      </c>
      <c r="I120">
        <f t="shared" si="4"/>
        <v>1120</v>
      </c>
      <c r="J120" s="2">
        <v>2749.4181928470903</v>
      </c>
      <c r="K120">
        <f t="shared" si="5"/>
        <v>1374709.0964235452</v>
      </c>
      <c r="L120" s="1">
        <v>7.096074531932961E-2</v>
      </c>
      <c r="M120">
        <f t="shared" si="6"/>
        <v>35.480372659664802</v>
      </c>
      <c r="N120" s="2" t="s">
        <v>598</v>
      </c>
      <c r="O120" s="2">
        <f>VLOOKUP(A120,'Coal savings'!$A$3:$K$543,10,FALSE)</f>
        <v>0</v>
      </c>
      <c r="P120" s="2">
        <f t="shared" si="7"/>
        <v>0</v>
      </c>
      <c r="Q120">
        <f>VLOOKUP(A120,'[13]Thermal generation Mar 19 - Feb'!$C$2:$D$680,2,FALSE)</f>
        <v>3311.78999999999</v>
      </c>
    </row>
    <row r="121" spans="1:17" x14ac:dyDescent="0.2">
      <c r="A121" s="2" t="s">
        <v>140</v>
      </c>
      <c r="B121" t="s">
        <v>623</v>
      </c>
      <c r="C121" t="s">
        <v>625</v>
      </c>
      <c r="D121" t="s">
        <v>572</v>
      </c>
      <c r="E121" t="s">
        <v>543</v>
      </c>
      <c r="F121" s="36">
        <v>7.8412046543463303</v>
      </c>
      <c r="G121">
        <v>525</v>
      </c>
      <c r="H121">
        <v>2.46</v>
      </c>
      <c r="I121">
        <f t="shared" si="4"/>
        <v>1291.5</v>
      </c>
      <c r="J121" s="2">
        <v>2739.5867187245922</v>
      </c>
      <c r="K121">
        <f t="shared" si="5"/>
        <v>1438283.0273304109</v>
      </c>
      <c r="L121">
        <v>5.5111041599405448E-2</v>
      </c>
      <c r="M121">
        <f t="shared" si="6"/>
        <v>28.933296839687859</v>
      </c>
      <c r="N121" s="2" t="s">
        <v>598</v>
      </c>
      <c r="O121" s="2">
        <f>VLOOKUP(A121,'Coal savings'!$A$3:$K$543,10,FALSE)</f>
        <v>0</v>
      </c>
      <c r="P121" s="2">
        <f t="shared" si="7"/>
        <v>0</v>
      </c>
      <c r="Q121">
        <f>VLOOKUP(A121,'[13]Thermal generation Mar 19 - Feb'!$C$2:$D$680,2,FALSE)</f>
        <v>3117.43</v>
      </c>
    </row>
    <row r="122" spans="1:17" x14ac:dyDescent="0.2">
      <c r="A122" s="2" t="s">
        <v>133</v>
      </c>
      <c r="B122" t="s">
        <v>617</v>
      </c>
      <c r="C122" t="s">
        <v>626</v>
      </c>
      <c r="D122" t="s">
        <v>570</v>
      </c>
      <c r="E122" t="s">
        <v>543</v>
      </c>
      <c r="F122" s="36">
        <v>5.1772758384667998</v>
      </c>
      <c r="G122">
        <v>500</v>
      </c>
      <c r="H122">
        <v>2.2400000000000002</v>
      </c>
      <c r="I122">
        <f t="shared" si="4"/>
        <v>1120</v>
      </c>
      <c r="J122" s="2">
        <v>2766.2913900783165</v>
      </c>
      <c r="K122">
        <f t="shared" si="5"/>
        <v>1383145.6950391582</v>
      </c>
      <c r="L122">
        <v>7.096074531932961E-2</v>
      </c>
      <c r="M122">
        <f t="shared" si="6"/>
        <v>35.480372659664802</v>
      </c>
      <c r="N122" s="2" t="s">
        <v>598</v>
      </c>
      <c r="O122" s="2">
        <f>VLOOKUP(A122,'Coal savings'!$A$3:$K$543,10,FALSE)</f>
        <v>0</v>
      </c>
      <c r="P122" s="2">
        <f t="shared" si="7"/>
        <v>0</v>
      </c>
      <c r="Q122">
        <f>VLOOKUP(A122,'[13]Thermal generation Mar 19 - Feb'!$C$2:$D$680,2,FALSE)</f>
        <v>3441.89</v>
      </c>
    </row>
    <row r="123" spans="1:17" x14ac:dyDescent="0.2">
      <c r="A123" s="2" t="s">
        <v>148</v>
      </c>
      <c r="B123" t="s">
        <v>623</v>
      </c>
      <c r="C123" t="s">
        <v>625</v>
      </c>
      <c r="D123" t="s">
        <v>572</v>
      </c>
      <c r="E123" t="s">
        <v>543</v>
      </c>
      <c r="F123" s="36">
        <v>8.6735112936344905</v>
      </c>
      <c r="G123">
        <v>525</v>
      </c>
      <c r="H123">
        <v>2.46</v>
      </c>
      <c r="I123">
        <f t="shared" si="4"/>
        <v>1291.5</v>
      </c>
      <c r="J123" s="2">
        <v>2763.0041103956951</v>
      </c>
      <c r="K123">
        <f t="shared" si="5"/>
        <v>1450577.1579577399</v>
      </c>
      <c r="L123">
        <v>5.5111041599405448E-2</v>
      </c>
      <c r="M123">
        <f t="shared" si="6"/>
        <v>28.933296839687859</v>
      </c>
      <c r="N123" s="2" t="s">
        <v>598</v>
      </c>
      <c r="O123" s="2">
        <f>VLOOKUP(A123,'Coal savings'!$A$3:$K$543,10,FALSE)</f>
        <v>0</v>
      </c>
      <c r="P123" s="2">
        <f t="shared" si="7"/>
        <v>0</v>
      </c>
      <c r="Q123">
        <f>VLOOKUP(A123,'[13]Thermal generation Mar 19 - Feb'!$C$2:$D$680,2,FALSE)</f>
        <v>3645.53</v>
      </c>
    </row>
    <row r="124" spans="1:17" x14ac:dyDescent="0.2">
      <c r="A124" s="2" t="s">
        <v>137</v>
      </c>
      <c r="B124" t="s">
        <v>611</v>
      </c>
      <c r="C124" t="s">
        <v>626</v>
      </c>
      <c r="D124" t="s">
        <v>570</v>
      </c>
      <c r="E124" t="s">
        <v>543</v>
      </c>
      <c r="F124" s="36">
        <v>6.1765913757700197</v>
      </c>
      <c r="G124">
        <v>500</v>
      </c>
      <c r="H124">
        <v>1.29</v>
      </c>
      <c r="I124">
        <f t="shared" si="4"/>
        <v>645</v>
      </c>
      <c r="J124" s="2">
        <v>2787.8536861166563</v>
      </c>
      <c r="K124">
        <f t="shared" si="5"/>
        <v>1393926.8430583281</v>
      </c>
      <c r="L124">
        <v>6.1306523812621402E-2</v>
      </c>
      <c r="M124">
        <f t="shared" si="6"/>
        <v>30.6532619063107</v>
      </c>
      <c r="N124" s="2" t="s">
        <v>598</v>
      </c>
      <c r="O124" s="2">
        <f>VLOOKUP(A124,'Coal savings'!$A$3:$K$543,10,FALSE)</f>
        <v>0</v>
      </c>
      <c r="P124" s="2">
        <f t="shared" si="7"/>
        <v>0</v>
      </c>
      <c r="Q124">
        <f>VLOOKUP(A124,'[13]Thermal generation Mar 19 - Feb'!$C$2:$D$680,2,FALSE)</f>
        <v>2524.5899999999901</v>
      </c>
    </row>
    <row r="125" spans="1:17" x14ac:dyDescent="0.2">
      <c r="A125" s="2" t="s">
        <v>138</v>
      </c>
      <c r="B125" t="s">
        <v>622</v>
      </c>
      <c r="C125" t="s">
        <v>627</v>
      </c>
      <c r="D125" t="s">
        <v>571</v>
      </c>
      <c r="E125" t="s">
        <v>543</v>
      </c>
      <c r="F125" s="36">
        <v>6.2532511978097096</v>
      </c>
      <c r="G125">
        <v>500</v>
      </c>
      <c r="H125">
        <v>3.4</v>
      </c>
      <c r="I125">
        <f t="shared" si="4"/>
        <v>1700</v>
      </c>
      <c r="J125" s="2">
        <v>2861.6212345938616</v>
      </c>
      <c r="K125">
        <f t="shared" si="5"/>
        <v>1430810.6172969309</v>
      </c>
      <c r="L125">
        <v>7.9840284877193357E-2</v>
      </c>
      <c r="M125">
        <f t="shared" si="6"/>
        <v>39.920142438596677</v>
      </c>
      <c r="N125" s="2" t="s">
        <v>598</v>
      </c>
      <c r="O125" s="2">
        <f>VLOOKUP(A125,'Coal savings'!$A$3:$K$543,10,FALSE)</f>
        <v>0</v>
      </c>
      <c r="P125" s="2">
        <f t="shared" si="7"/>
        <v>0</v>
      </c>
      <c r="Q125">
        <f>VLOOKUP(A125,'[13]Thermal generation Mar 19 - Feb'!$C$2:$D$680,2,FALSE)</f>
        <v>1831.5799999999899</v>
      </c>
    </row>
    <row r="126" spans="1:17" x14ac:dyDescent="0.2">
      <c r="A126" s="2" t="s">
        <v>139</v>
      </c>
      <c r="B126" t="s">
        <v>634</v>
      </c>
      <c r="C126" t="s">
        <v>628</v>
      </c>
      <c r="D126" t="s">
        <v>571</v>
      </c>
      <c r="E126" t="s">
        <v>543</v>
      </c>
      <c r="F126" s="36">
        <v>6.5900068446269602</v>
      </c>
      <c r="G126">
        <v>500</v>
      </c>
      <c r="H126">
        <v>1.37</v>
      </c>
      <c r="I126">
        <f t="shared" si="4"/>
        <v>685</v>
      </c>
      <c r="J126" s="2">
        <v>2689.6628985969369</v>
      </c>
      <c r="K126">
        <f t="shared" si="5"/>
        <v>1344831.4492984684</v>
      </c>
      <c r="L126">
        <v>6.6356788102148762E-2</v>
      </c>
      <c r="M126">
        <f t="shared" si="6"/>
        <v>33.178394051074378</v>
      </c>
      <c r="N126" s="2" t="s">
        <v>598</v>
      </c>
      <c r="O126" s="2">
        <f>VLOOKUP(A126,'Coal savings'!$A$3:$K$543,10,FALSE)</f>
        <v>0</v>
      </c>
      <c r="P126" s="2">
        <f t="shared" si="7"/>
        <v>0</v>
      </c>
      <c r="Q126">
        <f>VLOOKUP(A126,'[13]Thermal generation Mar 19 - Feb'!$C$2:$D$680,2,FALSE)</f>
        <v>4165.88</v>
      </c>
    </row>
    <row r="127" spans="1:17" x14ac:dyDescent="0.2">
      <c r="A127" s="2" t="s">
        <v>141</v>
      </c>
      <c r="B127" t="s">
        <v>611</v>
      </c>
      <c r="C127" t="s">
        <v>626</v>
      </c>
      <c r="D127" t="s">
        <v>570</v>
      </c>
      <c r="E127" t="s">
        <v>543</v>
      </c>
      <c r="F127" s="36">
        <v>6.8418891170431202</v>
      </c>
      <c r="G127">
        <v>500</v>
      </c>
      <c r="H127">
        <v>1.29</v>
      </c>
      <c r="I127">
        <f t="shared" si="4"/>
        <v>645</v>
      </c>
      <c r="J127" s="2">
        <v>2719.8682061205</v>
      </c>
      <c r="K127">
        <f t="shared" si="5"/>
        <v>1359934.1030602499</v>
      </c>
      <c r="L127">
        <v>6.0941992912102581E-2</v>
      </c>
      <c r="M127">
        <f t="shared" si="6"/>
        <v>30.470996456051292</v>
      </c>
      <c r="N127" s="2" t="s">
        <v>598</v>
      </c>
      <c r="O127" s="2">
        <f>VLOOKUP(A127,'Coal savings'!$A$3:$K$543,10,FALSE)</f>
        <v>0</v>
      </c>
      <c r="P127" s="2">
        <f t="shared" si="7"/>
        <v>0</v>
      </c>
      <c r="Q127">
        <f>VLOOKUP(A127,'[13]Thermal generation Mar 19 - Feb'!$C$2:$D$680,2,FALSE)</f>
        <v>3620.1399999999899</v>
      </c>
    </row>
    <row r="128" spans="1:17" x14ac:dyDescent="0.2">
      <c r="A128" s="2" t="s">
        <v>143</v>
      </c>
      <c r="B128" t="s">
        <v>609</v>
      </c>
      <c r="C128" t="s">
        <v>626</v>
      </c>
      <c r="D128" t="s">
        <v>571</v>
      </c>
      <c r="E128" t="s">
        <v>543</v>
      </c>
      <c r="F128" s="36">
        <v>7.1759069130732298</v>
      </c>
      <c r="G128">
        <v>500</v>
      </c>
      <c r="H128">
        <v>1.54</v>
      </c>
      <c r="I128">
        <f t="shared" si="4"/>
        <v>770</v>
      </c>
      <c r="J128" s="2">
        <v>2699.2122217254682</v>
      </c>
      <c r="K128">
        <f t="shared" si="5"/>
        <v>1349606.110862734</v>
      </c>
      <c r="L128">
        <v>6.5179373950034494E-2</v>
      </c>
      <c r="M128">
        <f t="shared" si="6"/>
        <v>32.589686975017244</v>
      </c>
      <c r="N128" s="2" t="s">
        <v>598</v>
      </c>
      <c r="O128" s="2">
        <f>VLOOKUP(A128,'Coal savings'!$A$3:$K$543,10,FALSE)</f>
        <v>0</v>
      </c>
      <c r="P128" s="2">
        <f t="shared" si="7"/>
        <v>0</v>
      </c>
      <c r="Q128">
        <f>VLOOKUP(A128,'[13]Thermal generation Mar 19 - Feb'!$C$2:$D$680,2,FALSE)</f>
        <v>4228.76</v>
      </c>
    </row>
    <row r="129" spans="1:17" x14ac:dyDescent="0.2">
      <c r="A129" s="2" t="s">
        <v>145</v>
      </c>
      <c r="B129" t="s">
        <v>623</v>
      </c>
      <c r="C129" t="s">
        <v>625</v>
      </c>
      <c r="D129" t="s">
        <v>571</v>
      </c>
      <c r="E129" t="s">
        <v>543</v>
      </c>
      <c r="F129" s="36">
        <v>7.2525667351129304</v>
      </c>
      <c r="G129">
        <v>500</v>
      </c>
      <c r="H129">
        <v>2.23</v>
      </c>
      <c r="I129">
        <f t="shared" si="4"/>
        <v>1115</v>
      </c>
      <c r="J129" s="2">
        <v>2787.8464441402375</v>
      </c>
      <c r="K129">
        <f t="shared" si="5"/>
        <v>1393923.2220701186</v>
      </c>
      <c r="L129">
        <v>8.5199811693282709E-2</v>
      </c>
      <c r="M129">
        <f t="shared" si="6"/>
        <v>42.599905846641356</v>
      </c>
      <c r="N129" s="2" t="s">
        <v>598</v>
      </c>
      <c r="O129" s="2">
        <f>VLOOKUP(A129,'Coal savings'!$A$3:$K$543,10,FALSE)</f>
        <v>0</v>
      </c>
      <c r="P129" s="2">
        <f t="shared" si="7"/>
        <v>0</v>
      </c>
      <c r="Q129">
        <f>VLOOKUP(A129,'[13]Thermal generation Mar 19 - Feb'!$C$2:$D$680,2,FALSE)</f>
        <v>3339.96</v>
      </c>
    </row>
    <row r="130" spans="1:17" x14ac:dyDescent="0.2">
      <c r="A130" s="2" t="s">
        <v>146</v>
      </c>
      <c r="B130" t="s">
        <v>622</v>
      </c>
      <c r="C130" t="s">
        <v>627</v>
      </c>
      <c r="D130" t="s">
        <v>571</v>
      </c>
      <c r="E130" t="s">
        <v>543</v>
      </c>
      <c r="F130" s="36">
        <v>7.2525667351129304</v>
      </c>
      <c r="G130">
        <v>500</v>
      </c>
      <c r="H130">
        <v>3.4</v>
      </c>
      <c r="I130">
        <f t="shared" si="4"/>
        <v>1700</v>
      </c>
      <c r="J130" s="2">
        <v>2838.4253014931528</v>
      </c>
      <c r="K130">
        <f t="shared" si="5"/>
        <v>1419212.6507465765</v>
      </c>
      <c r="L130">
        <v>7.9840284877193357E-2</v>
      </c>
      <c r="M130">
        <f t="shared" si="6"/>
        <v>39.920142438596677</v>
      </c>
      <c r="N130" s="2" t="s">
        <v>598</v>
      </c>
      <c r="O130" s="2">
        <f>VLOOKUP(A130,'Coal savings'!$A$3:$K$543,10,FALSE)</f>
        <v>0</v>
      </c>
      <c r="P130" s="2">
        <f t="shared" si="7"/>
        <v>0</v>
      </c>
      <c r="Q130">
        <f>VLOOKUP(A130,'[13]Thermal generation Mar 19 - Feb'!$C$2:$D$680,2,FALSE)</f>
        <v>1922.07</v>
      </c>
    </row>
    <row r="131" spans="1:17" x14ac:dyDescent="0.2">
      <c r="A131" s="2" t="s">
        <v>149</v>
      </c>
      <c r="B131" t="s">
        <v>609</v>
      </c>
      <c r="C131" t="s">
        <v>626</v>
      </c>
      <c r="D131" t="s">
        <v>571</v>
      </c>
      <c r="E131" t="s">
        <v>543</v>
      </c>
      <c r="F131" s="36">
        <v>7.9233401779603003</v>
      </c>
      <c r="G131">
        <v>500</v>
      </c>
      <c r="H131">
        <v>1.54</v>
      </c>
      <c r="I131">
        <f t="shared" ref="I131:I194" si="8">H131*G131</f>
        <v>770</v>
      </c>
      <c r="J131" s="2">
        <v>2712.8979182200824</v>
      </c>
      <c r="K131">
        <f t="shared" ref="K131:K194" si="9">J131*G131</f>
        <v>1356448.9591100411</v>
      </c>
      <c r="L131">
        <v>6.5179373950034494E-2</v>
      </c>
      <c r="M131">
        <f t="shared" ref="M131:M194" si="10">L131*G131</f>
        <v>32.589686975017244</v>
      </c>
      <c r="N131" s="2" t="s">
        <v>598</v>
      </c>
      <c r="O131" s="2">
        <f>VLOOKUP(A131,'Coal savings'!$A$3:$K$543,10,FALSE)</f>
        <v>0</v>
      </c>
      <c r="P131" s="2">
        <f t="shared" ref="P131:P194" si="11">O131*G131</f>
        <v>0</v>
      </c>
      <c r="Q131">
        <f>VLOOKUP(A131,'[13]Thermal generation Mar 19 - Feb'!$C$2:$D$680,2,FALSE)</f>
        <v>3669.22</v>
      </c>
    </row>
    <row r="132" spans="1:17" x14ac:dyDescent="0.2">
      <c r="A132" s="2" t="s">
        <v>150</v>
      </c>
      <c r="B132" t="s">
        <v>634</v>
      </c>
      <c r="C132" t="s">
        <v>628</v>
      </c>
      <c r="D132" t="s">
        <v>571</v>
      </c>
      <c r="E132" t="s">
        <v>543</v>
      </c>
      <c r="F132" s="36">
        <v>8.00821355236139</v>
      </c>
      <c r="G132">
        <v>500</v>
      </c>
      <c r="H132">
        <v>1.37</v>
      </c>
      <c r="I132">
        <f t="shared" si="8"/>
        <v>685</v>
      </c>
      <c r="J132" s="2">
        <v>2718.1561867951741</v>
      </c>
      <c r="K132">
        <f t="shared" si="9"/>
        <v>1359078.0933975871</v>
      </c>
      <c r="L132">
        <v>6.6356788102148762E-2</v>
      </c>
      <c r="M132">
        <f t="shared" si="10"/>
        <v>33.178394051074378</v>
      </c>
      <c r="N132" s="2" t="s">
        <v>598</v>
      </c>
      <c r="O132" s="2">
        <f>VLOOKUP(A132,'Coal savings'!$A$3:$K$543,10,FALSE)</f>
        <v>0</v>
      </c>
      <c r="P132" s="2">
        <f t="shared" si="11"/>
        <v>0</v>
      </c>
      <c r="Q132">
        <f>VLOOKUP(A132,'[13]Thermal generation Mar 19 - Feb'!$C$2:$D$680,2,FALSE)</f>
        <v>4263.24</v>
      </c>
    </row>
    <row r="133" spans="1:17" x14ac:dyDescent="0.2">
      <c r="A133" s="2" t="s">
        <v>144</v>
      </c>
      <c r="B133" t="s">
        <v>617</v>
      </c>
      <c r="C133" t="s">
        <v>626</v>
      </c>
      <c r="D133" t="s">
        <v>571</v>
      </c>
      <c r="E133" t="s">
        <v>543</v>
      </c>
      <c r="F133" s="36">
        <v>7.1759069130732298</v>
      </c>
      <c r="G133">
        <v>500</v>
      </c>
      <c r="H133">
        <v>2.99</v>
      </c>
      <c r="I133">
        <f t="shared" si="8"/>
        <v>1495</v>
      </c>
      <c r="J133" s="2">
        <v>2840.5493916397254</v>
      </c>
      <c r="K133">
        <f t="shared" si="9"/>
        <v>1420274.6958198627</v>
      </c>
      <c r="L133">
        <v>7.3009693702312639E-2</v>
      </c>
      <c r="M133">
        <f t="shared" si="10"/>
        <v>36.504846851156323</v>
      </c>
      <c r="N133" s="2" t="s">
        <v>598</v>
      </c>
      <c r="O133" s="2">
        <f>VLOOKUP(A133,'Coal savings'!$A$3:$K$543,10,FALSE)</f>
        <v>0</v>
      </c>
      <c r="P133" s="2">
        <f t="shared" si="11"/>
        <v>0</v>
      </c>
      <c r="Q133">
        <f>VLOOKUP(A133,'[13]Thermal generation Mar 19 - Feb'!$C$2:$D$680,2,FALSE)</f>
        <v>2430.2799999999902</v>
      </c>
    </row>
    <row r="134" spans="1:17" x14ac:dyDescent="0.2">
      <c r="A134" s="2" t="s">
        <v>156</v>
      </c>
      <c r="B134" t="s">
        <v>612</v>
      </c>
      <c r="C134" t="s">
        <v>627</v>
      </c>
      <c r="D134" t="s">
        <v>570</v>
      </c>
      <c r="E134" t="s">
        <v>543</v>
      </c>
      <c r="F134" s="36">
        <v>8.1752224503764506</v>
      </c>
      <c r="G134">
        <v>500</v>
      </c>
      <c r="H134">
        <v>3.58</v>
      </c>
      <c r="I134">
        <f t="shared" si="8"/>
        <v>1790</v>
      </c>
      <c r="J134" s="2">
        <v>2874.0519077067866</v>
      </c>
      <c r="K134">
        <f t="shared" si="9"/>
        <v>1437025.9538533932</v>
      </c>
      <c r="L134">
        <v>6.6702414133670743E-2</v>
      </c>
      <c r="M134">
        <f t="shared" si="10"/>
        <v>33.351207066835372</v>
      </c>
      <c r="N134" s="2" t="s">
        <v>598</v>
      </c>
      <c r="O134" s="2">
        <f>VLOOKUP(A134,'Coal savings'!$A$3:$K$543,10,FALSE)</f>
        <v>0</v>
      </c>
      <c r="P134" s="2">
        <f t="shared" si="11"/>
        <v>0</v>
      </c>
      <c r="Q134">
        <f>VLOOKUP(A134,'[13]Thermal generation Mar 19 - Feb'!$C$2:$D$680,2,FALSE)</f>
        <v>1925.47999999999</v>
      </c>
    </row>
    <row r="135" spans="1:17" x14ac:dyDescent="0.2">
      <c r="A135" s="2" t="s">
        <v>152</v>
      </c>
      <c r="B135" t="s">
        <v>621</v>
      </c>
      <c r="C135" t="s">
        <v>625</v>
      </c>
      <c r="D135" t="s">
        <v>571</v>
      </c>
      <c r="E135" t="s">
        <v>543</v>
      </c>
      <c r="F135" s="36">
        <v>8.1752224503764506</v>
      </c>
      <c r="G135">
        <v>500</v>
      </c>
      <c r="H135">
        <v>2.17</v>
      </c>
      <c r="I135">
        <f t="shared" si="8"/>
        <v>1085</v>
      </c>
      <c r="J135" s="2">
        <v>2763.4419880899891</v>
      </c>
      <c r="K135">
        <f t="shared" si="9"/>
        <v>1381720.9940449945</v>
      </c>
      <c r="L135">
        <v>5.4428108538354968E-2</v>
      </c>
      <c r="M135">
        <f t="shared" si="10"/>
        <v>27.214054269177485</v>
      </c>
      <c r="N135" s="2" t="s">
        <v>598</v>
      </c>
      <c r="O135" s="2">
        <f>VLOOKUP(A135,'Coal savings'!$A$3:$K$543,10,FALSE)</f>
        <v>0</v>
      </c>
      <c r="P135" s="2">
        <f t="shared" si="11"/>
        <v>0</v>
      </c>
      <c r="Q135">
        <f>VLOOKUP(A135,'[13]Thermal generation Mar 19 - Feb'!$C$2:$D$680,2,FALSE)</f>
        <v>3501.2399999999898</v>
      </c>
    </row>
    <row r="136" spans="1:17" x14ac:dyDescent="0.2">
      <c r="A136" s="2" t="s">
        <v>157</v>
      </c>
      <c r="B136" t="s">
        <v>622</v>
      </c>
      <c r="C136" t="s">
        <v>627</v>
      </c>
      <c r="D136" t="s">
        <v>571</v>
      </c>
      <c r="E136" t="s">
        <v>543</v>
      </c>
      <c r="F136" s="36">
        <v>8.1752224503764506</v>
      </c>
      <c r="G136">
        <v>500</v>
      </c>
      <c r="H136">
        <v>3.4</v>
      </c>
      <c r="I136">
        <f t="shared" si="8"/>
        <v>1700</v>
      </c>
      <c r="J136" s="2">
        <v>2844.9624159512978</v>
      </c>
      <c r="K136">
        <f t="shared" si="9"/>
        <v>1422481.2079756488</v>
      </c>
      <c r="L136">
        <v>7.9840284877193357E-2</v>
      </c>
      <c r="M136">
        <f t="shared" si="10"/>
        <v>39.920142438596677</v>
      </c>
      <c r="N136" s="2" t="s">
        <v>598</v>
      </c>
      <c r="O136" s="2">
        <f>VLOOKUP(A136,'Coal savings'!$A$3:$K$543,10,FALSE)</f>
        <v>0</v>
      </c>
      <c r="P136" s="2">
        <f t="shared" si="11"/>
        <v>0</v>
      </c>
      <c r="Q136">
        <f>VLOOKUP(A136,'[13]Thermal generation Mar 19 - Feb'!$C$2:$D$680,2,FALSE)</f>
        <v>2077.96</v>
      </c>
    </row>
    <row r="137" spans="1:17" x14ac:dyDescent="0.2">
      <c r="A137" s="2" t="s">
        <v>153</v>
      </c>
      <c r="B137" t="s">
        <v>614</v>
      </c>
      <c r="C137" t="s">
        <v>627</v>
      </c>
      <c r="D137" t="s">
        <v>571</v>
      </c>
      <c r="E137" t="s">
        <v>543</v>
      </c>
      <c r="F137" s="36">
        <v>8.1752224503764506</v>
      </c>
      <c r="G137">
        <v>500</v>
      </c>
      <c r="H137">
        <v>2.96</v>
      </c>
      <c r="I137">
        <f t="shared" si="8"/>
        <v>1480</v>
      </c>
      <c r="J137" s="2">
        <v>2795.3788720901389</v>
      </c>
      <c r="K137">
        <f t="shared" si="9"/>
        <v>1397689.4360450695</v>
      </c>
      <c r="L137">
        <v>5.6962700163683135E-2</v>
      </c>
      <c r="M137">
        <f t="shared" si="10"/>
        <v>28.481350081841569</v>
      </c>
      <c r="N137" s="2" t="s">
        <v>598</v>
      </c>
      <c r="O137" s="2">
        <f>VLOOKUP(A137,'Coal savings'!$A$3:$K$543,10,FALSE)</f>
        <v>0</v>
      </c>
      <c r="P137" s="2">
        <f t="shared" si="11"/>
        <v>0</v>
      </c>
      <c r="Q137">
        <f>VLOOKUP(A137,'[13]Thermal generation Mar 19 - Feb'!$C$2:$D$680,2,FALSE)</f>
        <v>2875.93</v>
      </c>
    </row>
    <row r="138" spans="1:17" x14ac:dyDescent="0.2">
      <c r="A138" s="2" t="s">
        <v>161</v>
      </c>
      <c r="B138" t="s">
        <v>621</v>
      </c>
      <c r="C138" t="s">
        <v>625</v>
      </c>
      <c r="D138" t="s">
        <v>571</v>
      </c>
      <c r="E138" t="s">
        <v>543</v>
      </c>
      <c r="F138" s="36">
        <v>8.8432580424366805</v>
      </c>
      <c r="G138">
        <v>500</v>
      </c>
      <c r="H138">
        <v>2.17</v>
      </c>
      <c r="I138">
        <f t="shared" si="8"/>
        <v>1085</v>
      </c>
      <c r="J138" s="2">
        <v>2791.8751246593433</v>
      </c>
      <c r="K138">
        <f t="shared" si="9"/>
        <v>1395937.5623296716</v>
      </c>
      <c r="L138">
        <v>5.4428108538354968E-2</v>
      </c>
      <c r="M138">
        <f t="shared" si="10"/>
        <v>27.214054269177485</v>
      </c>
      <c r="N138" s="2" t="s">
        <v>598</v>
      </c>
      <c r="O138" s="2">
        <f>VLOOKUP(A138,'Coal savings'!$A$3:$K$543,10,FALSE)</f>
        <v>0</v>
      </c>
      <c r="P138" s="2">
        <f t="shared" si="11"/>
        <v>0</v>
      </c>
      <c r="Q138">
        <f>VLOOKUP(A138,'[13]Thermal generation Mar 19 - Feb'!$C$2:$D$680,2,FALSE)</f>
        <v>2834.44</v>
      </c>
    </row>
    <row r="139" spans="1:17" x14ac:dyDescent="0.2">
      <c r="A139" s="2" t="s">
        <v>160</v>
      </c>
      <c r="B139" t="s">
        <v>623</v>
      </c>
      <c r="C139" t="s">
        <v>625</v>
      </c>
      <c r="D139" t="s">
        <v>571</v>
      </c>
      <c r="E139" t="s">
        <v>543</v>
      </c>
      <c r="F139" s="36">
        <v>8.8432580424366805</v>
      </c>
      <c r="G139">
        <v>500</v>
      </c>
      <c r="H139">
        <v>2.23</v>
      </c>
      <c r="I139">
        <f t="shared" si="8"/>
        <v>1115</v>
      </c>
      <c r="J139" s="2">
        <v>2757.5814765104346</v>
      </c>
      <c r="K139">
        <f t="shared" si="9"/>
        <v>1378790.7382552172</v>
      </c>
      <c r="L139">
        <v>8.5199811693282709E-2</v>
      </c>
      <c r="M139">
        <f t="shared" si="10"/>
        <v>42.599905846641356</v>
      </c>
      <c r="N139" s="2" t="s">
        <v>598</v>
      </c>
      <c r="O139" s="2">
        <f>VLOOKUP(A139,'Coal savings'!$A$3:$K$543,10,FALSE)</f>
        <v>0</v>
      </c>
      <c r="P139" s="2">
        <f t="shared" si="11"/>
        <v>0</v>
      </c>
      <c r="Q139">
        <f>VLOOKUP(A139,'[13]Thermal generation Mar 19 - Feb'!$C$2:$D$680,2,FALSE)</f>
        <v>3264.43</v>
      </c>
    </row>
    <row r="140" spans="1:17" x14ac:dyDescent="0.2">
      <c r="A140" s="2" t="s">
        <v>147</v>
      </c>
      <c r="B140" t="s">
        <v>619</v>
      </c>
      <c r="C140" t="s">
        <v>628</v>
      </c>
      <c r="D140" t="s">
        <v>571</v>
      </c>
      <c r="E140" t="s">
        <v>543</v>
      </c>
      <c r="F140" s="36">
        <v>7.5044490075290797</v>
      </c>
      <c r="G140">
        <v>500</v>
      </c>
      <c r="H140">
        <v>3.4</v>
      </c>
      <c r="I140">
        <f t="shared" si="8"/>
        <v>1700</v>
      </c>
      <c r="J140" s="2">
        <v>2846.6856845857533</v>
      </c>
      <c r="K140">
        <f t="shared" si="9"/>
        <v>1423342.8422928767</v>
      </c>
      <c r="L140">
        <v>6.5600274643046297E-2</v>
      </c>
      <c r="M140">
        <f t="shared" si="10"/>
        <v>32.800137321523145</v>
      </c>
      <c r="N140" s="2" t="s">
        <v>598</v>
      </c>
      <c r="O140" s="2">
        <f>VLOOKUP(A140,'Coal savings'!$A$3:$K$543,10,FALSE)</f>
        <v>0</v>
      </c>
      <c r="P140" s="2">
        <f t="shared" si="11"/>
        <v>0</v>
      </c>
      <c r="Q140">
        <f>VLOOKUP(A140,'[13]Thermal generation Mar 19 - Feb'!$C$2:$D$680,2,FALSE)</f>
        <v>1346.32</v>
      </c>
    </row>
    <row r="141" spans="1:17" x14ac:dyDescent="0.2">
      <c r="A141" s="2" t="s">
        <v>162</v>
      </c>
      <c r="B141" t="s">
        <v>610</v>
      </c>
      <c r="C141" t="s">
        <v>627</v>
      </c>
      <c r="D141" t="s">
        <v>570</v>
      </c>
      <c r="E141" t="s">
        <v>543</v>
      </c>
      <c r="F141" s="36">
        <v>8.9253935660506496</v>
      </c>
      <c r="G141">
        <v>500</v>
      </c>
      <c r="H141">
        <v>3.04</v>
      </c>
      <c r="I141">
        <f t="shared" si="8"/>
        <v>1520</v>
      </c>
      <c r="J141" s="2">
        <v>2745.1159198544069</v>
      </c>
      <c r="K141">
        <f t="shared" si="9"/>
        <v>1372557.9599272034</v>
      </c>
      <c r="L141">
        <v>7.0000000000000007E-2</v>
      </c>
      <c r="M141">
        <f t="shared" si="10"/>
        <v>35</v>
      </c>
      <c r="N141" s="2" t="s">
        <v>598</v>
      </c>
      <c r="O141" s="2">
        <f>VLOOKUP(A141,'Coal savings'!$A$3:$K$543,10,FALSE)</f>
        <v>0</v>
      </c>
      <c r="P141" s="2">
        <f t="shared" si="11"/>
        <v>0</v>
      </c>
      <c r="Q141">
        <f>VLOOKUP(A141,'[13]Thermal generation Mar 19 - Feb'!$C$2:$D$680,2,FALSE)</f>
        <v>3486.2</v>
      </c>
    </row>
    <row r="142" spans="1:17" x14ac:dyDescent="0.2">
      <c r="A142" s="2" t="s">
        <v>151</v>
      </c>
      <c r="B142" t="s">
        <v>617</v>
      </c>
      <c r="C142" t="s">
        <v>626</v>
      </c>
      <c r="D142" t="s">
        <v>571</v>
      </c>
      <c r="E142" t="s">
        <v>543</v>
      </c>
      <c r="F142" s="36">
        <v>8.0903490759753591</v>
      </c>
      <c r="G142">
        <v>500</v>
      </c>
      <c r="H142">
        <v>2.99</v>
      </c>
      <c r="I142">
        <f t="shared" si="8"/>
        <v>1495</v>
      </c>
      <c r="J142" s="2">
        <v>2819.1907276673173</v>
      </c>
      <c r="K142">
        <f t="shared" si="9"/>
        <v>1409595.3638336586</v>
      </c>
      <c r="L142">
        <v>7.3009693702312639E-2</v>
      </c>
      <c r="M142">
        <f t="shared" si="10"/>
        <v>36.504846851156323</v>
      </c>
      <c r="N142" s="2" t="s">
        <v>598</v>
      </c>
      <c r="O142" s="2">
        <f>VLOOKUP(A142,'Coal savings'!$A$3:$K$543,10,FALSE)</f>
        <v>0</v>
      </c>
      <c r="P142" s="2">
        <f t="shared" si="11"/>
        <v>0</v>
      </c>
      <c r="Q142">
        <f>VLOOKUP(A142,'[13]Thermal generation Mar 19 - Feb'!$C$2:$D$680,2,FALSE)</f>
        <v>2661.86</v>
      </c>
    </row>
    <row r="143" spans="1:17" x14ac:dyDescent="0.2">
      <c r="A143" s="2" t="s">
        <v>164</v>
      </c>
      <c r="B143" t="s">
        <v>621</v>
      </c>
      <c r="C143" t="s">
        <v>625</v>
      </c>
      <c r="D143" t="s">
        <v>571</v>
      </c>
      <c r="E143" t="s">
        <v>543</v>
      </c>
      <c r="F143" s="36">
        <v>9.1772758384667998</v>
      </c>
      <c r="G143">
        <v>500</v>
      </c>
      <c r="H143">
        <v>2.59</v>
      </c>
      <c r="I143">
        <f t="shared" si="8"/>
        <v>1295</v>
      </c>
      <c r="J143" s="2">
        <v>2833.4214076223343</v>
      </c>
      <c r="K143">
        <f t="shared" si="9"/>
        <v>1416710.703811167</v>
      </c>
      <c r="L143">
        <v>8.3678646324733194E-2</v>
      </c>
      <c r="M143">
        <f t="shared" si="10"/>
        <v>41.839323162366597</v>
      </c>
      <c r="N143" s="2" t="s">
        <v>598</v>
      </c>
      <c r="O143" s="2">
        <f>VLOOKUP(A143,'Coal savings'!$A$3:$K$543,10,FALSE)</f>
        <v>0</v>
      </c>
      <c r="P143" s="2">
        <f t="shared" si="11"/>
        <v>0</v>
      </c>
      <c r="Q143">
        <f>VLOOKUP(A143,'[13]Thermal generation Mar 19 - Feb'!$C$2:$D$680,2,FALSE)</f>
        <v>2755.27</v>
      </c>
    </row>
    <row r="144" spans="1:17" x14ac:dyDescent="0.2">
      <c r="A144" s="2" t="s">
        <v>155</v>
      </c>
      <c r="B144" t="s">
        <v>617</v>
      </c>
      <c r="C144" t="s">
        <v>626</v>
      </c>
      <c r="D144" t="s">
        <v>570</v>
      </c>
      <c r="E144" t="s">
        <v>543</v>
      </c>
      <c r="F144" s="36">
        <v>8.1752224503764506</v>
      </c>
      <c r="G144">
        <v>500</v>
      </c>
      <c r="H144">
        <v>2.73</v>
      </c>
      <c r="I144">
        <f t="shared" si="8"/>
        <v>1365</v>
      </c>
      <c r="J144" s="2">
        <v>2797.9330838110654</v>
      </c>
      <c r="K144">
        <f t="shared" si="9"/>
        <v>1398966.5419055328</v>
      </c>
      <c r="L144">
        <v>6.8124170867604139E-2</v>
      </c>
      <c r="M144">
        <f t="shared" si="10"/>
        <v>34.062085433802068</v>
      </c>
      <c r="N144" s="2" t="s">
        <v>598</v>
      </c>
      <c r="O144" s="2">
        <f>VLOOKUP(A144,'Coal savings'!$A$3:$K$543,10,FALSE)</f>
        <v>0</v>
      </c>
      <c r="P144" s="2">
        <f t="shared" si="11"/>
        <v>0</v>
      </c>
      <c r="Q144">
        <f>VLOOKUP(A144,'[13]Thermal generation Mar 19 - Feb'!$C$2:$D$680,2,FALSE)</f>
        <v>2877.38</v>
      </c>
    </row>
    <row r="145" spans="1:17" x14ac:dyDescent="0.2">
      <c r="A145" s="2" t="s">
        <v>154</v>
      </c>
      <c r="B145" t="s">
        <v>617</v>
      </c>
      <c r="C145" t="s">
        <v>626</v>
      </c>
      <c r="D145" t="s">
        <v>570</v>
      </c>
      <c r="E145" t="s">
        <v>543</v>
      </c>
      <c r="F145" s="36">
        <v>8.1752224503764506</v>
      </c>
      <c r="G145">
        <v>500</v>
      </c>
      <c r="H145">
        <v>2.73</v>
      </c>
      <c r="I145">
        <f t="shared" si="8"/>
        <v>1365</v>
      </c>
      <c r="J145" s="2">
        <v>2795.6878246182259</v>
      </c>
      <c r="K145">
        <f t="shared" si="9"/>
        <v>1397843.912309113</v>
      </c>
      <c r="L145">
        <v>6.8124170867604139E-2</v>
      </c>
      <c r="M145">
        <f t="shared" si="10"/>
        <v>34.062085433802068</v>
      </c>
      <c r="N145" s="2" t="s">
        <v>598</v>
      </c>
      <c r="O145" s="2">
        <f>VLOOKUP(A145,'Coal savings'!$A$3:$K$543,10,FALSE)</f>
        <v>0</v>
      </c>
      <c r="P145" s="2">
        <f t="shared" si="11"/>
        <v>0</v>
      </c>
      <c r="Q145">
        <f>VLOOKUP(A145,'[13]Thermal generation Mar 19 - Feb'!$C$2:$D$680,2,FALSE)</f>
        <v>2523.7399999999998</v>
      </c>
    </row>
    <row r="146" spans="1:17" x14ac:dyDescent="0.2">
      <c r="A146" s="2" t="s">
        <v>159</v>
      </c>
      <c r="B146" t="s">
        <v>617</v>
      </c>
      <c r="C146" t="s">
        <v>626</v>
      </c>
      <c r="D146" t="s">
        <v>570</v>
      </c>
      <c r="E146" t="s">
        <v>543</v>
      </c>
      <c r="F146" s="36">
        <v>8.7583846680355908</v>
      </c>
      <c r="G146">
        <v>500</v>
      </c>
      <c r="H146">
        <v>2.35</v>
      </c>
      <c r="I146">
        <f t="shared" si="8"/>
        <v>1175</v>
      </c>
      <c r="J146" s="2">
        <v>2792.1344813463502</v>
      </c>
      <c r="K146">
        <f t="shared" si="9"/>
        <v>1396067.2406731751</v>
      </c>
      <c r="L146">
        <v>8.9781177379789912E-2</v>
      </c>
      <c r="M146">
        <f t="shared" si="10"/>
        <v>44.890588689894955</v>
      </c>
      <c r="N146" s="2" t="s">
        <v>598</v>
      </c>
      <c r="O146" s="2">
        <f>VLOOKUP(A146,'Coal savings'!$A$3:$K$543,10,FALSE)</f>
        <v>0</v>
      </c>
      <c r="P146" s="2">
        <f t="shared" si="11"/>
        <v>0</v>
      </c>
      <c r="Q146">
        <f>VLOOKUP(A146,'[13]Thermal generation Mar 19 - Feb'!$C$2:$D$680,2,FALSE)</f>
        <v>3316.8799999999901</v>
      </c>
    </row>
    <row r="147" spans="1:17" x14ac:dyDescent="0.2">
      <c r="A147" s="2" t="s">
        <v>165</v>
      </c>
      <c r="B147" t="s">
        <v>621</v>
      </c>
      <c r="C147" t="s">
        <v>625</v>
      </c>
      <c r="D147" t="s">
        <v>571</v>
      </c>
      <c r="E147" t="s">
        <v>543</v>
      </c>
      <c r="F147" s="36">
        <v>9.1772758384667998</v>
      </c>
      <c r="G147">
        <v>500</v>
      </c>
      <c r="H147">
        <v>2.54</v>
      </c>
      <c r="I147">
        <f t="shared" si="8"/>
        <v>1270</v>
      </c>
      <c r="J147" s="2">
        <v>2787.9764411893266</v>
      </c>
      <c r="K147">
        <f t="shared" si="9"/>
        <v>1393988.2205946632</v>
      </c>
      <c r="L147">
        <v>7.0380830688675913E-2</v>
      </c>
      <c r="M147">
        <f t="shared" si="10"/>
        <v>35.190415344337957</v>
      </c>
      <c r="N147" s="2" t="s">
        <v>598</v>
      </c>
      <c r="O147" s="2">
        <f>VLOOKUP(A147,'Coal savings'!$A$3:$K$543,10,FALSE)</f>
        <v>0</v>
      </c>
      <c r="P147" s="2">
        <f t="shared" si="11"/>
        <v>0</v>
      </c>
      <c r="Q147">
        <f>VLOOKUP(A147,'[13]Thermal generation Mar 19 - Feb'!$C$2:$D$680,2,FALSE)</f>
        <v>2837.12</v>
      </c>
    </row>
    <row r="148" spans="1:17" x14ac:dyDescent="0.2">
      <c r="A148" s="2" t="s">
        <v>166</v>
      </c>
      <c r="B148" t="s">
        <v>611</v>
      </c>
      <c r="C148" t="s">
        <v>626</v>
      </c>
      <c r="D148" t="s">
        <v>571</v>
      </c>
      <c r="E148" t="s">
        <v>543</v>
      </c>
      <c r="F148" s="36">
        <v>9.5058179329226498</v>
      </c>
      <c r="G148">
        <v>500</v>
      </c>
      <c r="H148">
        <v>1.28</v>
      </c>
      <c r="I148">
        <f t="shared" si="8"/>
        <v>640</v>
      </c>
      <c r="J148" s="2">
        <v>2728.1590513272954</v>
      </c>
      <c r="K148">
        <f t="shared" si="9"/>
        <v>1364079.5256636478</v>
      </c>
      <c r="L148">
        <v>6.2610933454142856E-2</v>
      </c>
      <c r="M148">
        <f t="shared" si="10"/>
        <v>31.305466727071426</v>
      </c>
      <c r="N148" s="2" t="s">
        <v>598</v>
      </c>
      <c r="O148" s="2">
        <f>VLOOKUP(A148,'Coal savings'!$A$3:$K$543,10,FALSE)</f>
        <v>0</v>
      </c>
      <c r="P148" s="2">
        <f t="shared" si="11"/>
        <v>0</v>
      </c>
      <c r="Q148">
        <f>VLOOKUP(A148,'[13]Thermal generation Mar 19 - Feb'!$C$2:$D$680,2,FALSE)</f>
        <v>3758.9399999999901</v>
      </c>
    </row>
    <row r="149" spans="1:17" x14ac:dyDescent="0.2">
      <c r="A149" s="2" t="s">
        <v>163</v>
      </c>
      <c r="B149" t="s">
        <v>614</v>
      </c>
      <c r="C149" t="s">
        <v>627</v>
      </c>
      <c r="D149" t="s">
        <v>571</v>
      </c>
      <c r="E149" t="s">
        <v>543</v>
      </c>
      <c r="F149" s="36">
        <v>9.1772758384667998</v>
      </c>
      <c r="G149">
        <v>500</v>
      </c>
      <c r="H149">
        <v>2.96</v>
      </c>
      <c r="I149">
        <f t="shared" si="8"/>
        <v>1480</v>
      </c>
      <c r="J149" s="2">
        <v>2815.5860790246134</v>
      </c>
      <c r="K149">
        <f t="shared" si="9"/>
        <v>1407793.0395123067</v>
      </c>
      <c r="L149">
        <v>5.6962700163683135E-2</v>
      </c>
      <c r="M149">
        <f t="shared" si="10"/>
        <v>28.481350081841569</v>
      </c>
      <c r="N149" s="2" t="s">
        <v>598</v>
      </c>
      <c r="O149" s="2">
        <f>VLOOKUP(A149,'Coal savings'!$A$3:$K$543,10,FALSE)</f>
        <v>0</v>
      </c>
      <c r="P149" s="2">
        <f t="shared" si="11"/>
        <v>0</v>
      </c>
      <c r="Q149">
        <f>VLOOKUP(A149,'[13]Thermal generation Mar 19 - Feb'!$C$2:$D$680,2,FALSE)</f>
        <v>2684.74999999999</v>
      </c>
    </row>
    <row r="150" spans="1:17" x14ac:dyDescent="0.2">
      <c r="A150" s="2" t="s">
        <v>168</v>
      </c>
      <c r="B150" t="s">
        <v>621</v>
      </c>
      <c r="C150" t="s">
        <v>625</v>
      </c>
      <c r="D150" t="s">
        <v>571</v>
      </c>
      <c r="E150" t="s">
        <v>543</v>
      </c>
      <c r="F150" s="36">
        <v>9.6728268309377103</v>
      </c>
      <c r="G150">
        <v>500</v>
      </c>
      <c r="H150">
        <v>2.59</v>
      </c>
      <c r="I150">
        <f t="shared" si="8"/>
        <v>1295</v>
      </c>
      <c r="J150" s="2">
        <v>2814.3032679315943</v>
      </c>
      <c r="K150">
        <f t="shared" si="9"/>
        <v>1407151.6339657973</v>
      </c>
      <c r="L150">
        <v>8.3678646324733194E-2</v>
      </c>
      <c r="M150">
        <f t="shared" si="10"/>
        <v>41.839323162366597</v>
      </c>
      <c r="N150" s="2" t="s">
        <v>598</v>
      </c>
      <c r="O150" s="2">
        <f>VLOOKUP(A150,'Coal savings'!$A$3:$K$543,10,FALSE)</f>
        <v>0</v>
      </c>
      <c r="P150" s="2">
        <f t="shared" si="11"/>
        <v>0</v>
      </c>
      <c r="Q150">
        <f>VLOOKUP(A150,'[13]Thermal generation Mar 19 - Feb'!$C$2:$D$680,2,FALSE)</f>
        <v>2686.08</v>
      </c>
    </row>
    <row r="151" spans="1:17" x14ac:dyDescent="0.2">
      <c r="A151" s="2" t="s">
        <v>158</v>
      </c>
      <c r="B151" t="s">
        <v>619</v>
      </c>
      <c r="C151" t="s">
        <v>628</v>
      </c>
      <c r="D151" t="s">
        <v>571</v>
      </c>
      <c r="E151" t="s">
        <v>543</v>
      </c>
      <c r="F151" s="36">
        <v>8.5065023956194299</v>
      </c>
      <c r="G151">
        <v>500</v>
      </c>
      <c r="H151">
        <v>3.4</v>
      </c>
      <c r="I151">
        <f t="shared" si="8"/>
        <v>1700</v>
      </c>
      <c r="J151" s="2">
        <v>2885.4483397589597</v>
      </c>
      <c r="K151">
        <f t="shared" si="9"/>
        <v>1442724.1698794798</v>
      </c>
      <c r="L151">
        <v>6.5600274643046297E-2</v>
      </c>
      <c r="M151">
        <f t="shared" si="10"/>
        <v>32.800137321523145</v>
      </c>
      <c r="N151" s="2" t="s">
        <v>598</v>
      </c>
      <c r="O151" s="2">
        <f>VLOOKUP(A151,'Coal savings'!$A$3:$K$543,10,FALSE)</f>
        <v>0</v>
      </c>
      <c r="P151" s="2">
        <f t="shared" si="11"/>
        <v>0</v>
      </c>
      <c r="Q151">
        <f>VLOOKUP(A151,'[13]Thermal generation Mar 19 - Feb'!$C$2:$D$680,2,FALSE)</f>
        <v>1239.0899999999899</v>
      </c>
    </row>
    <row r="152" spans="1:17" x14ac:dyDescent="0.2">
      <c r="A152" s="2" t="s">
        <v>169</v>
      </c>
      <c r="B152" t="s">
        <v>610</v>
      </c>
      <c r="C152" t="s">
        <v>627</v>
      </c>
      <c r="D152" t="s">
        <v>570</v>
      </c>
      <c r="E152" t="s">
        <v>543</v>
      </c>
      <c r="F152" s="36">
        <v>10.009582477754901</v>
      </c>
      <c r="G152">
        <v>500</v>
      </c>
      <c r="H152">
        <v>3.06</v>
      </c>
      <c r="I152">
        <f t="shared" si="8"/>
        <v>1530</v>
      </c>
      <c r="J152" s="2">
        <v>2766.4674479647924</v>
      </c>
      <c r="K152">
        <f t="shared" si="9"/>
        <v>1383233.7239823963</v>
      </c>
      <c r="L152">
        <v>5.7626698395538668E-2</v>
      </c>
      <c r="M152">
        <f t="shared" si="10"/>
        <v>28.813349197769334</v>
      </c>
      <c r="N152" s="2" t="s">
        <v>598</v>
      </c>
      <c r="O152" s="2">
        <f>VLOOKUP(A152,'Coal savings'!$A$3:$K$543,10,FALSE)</f>
        <v>0</v>
      </c>
      <c r="P152" s="2">
        <f t="shared" si="11"/>
        <v>0</v>
      </c>
      <c r="Q152">
        <f>VLOOKUP(A152,'[13]Thermal generation Mar 19 - Feb'!$C$2:$D$680,2,FALSE)</f>
        <v>3041.8999999999901</v>
      </c>
    </row>
    <row r="153" spans="1:17" x14ac:dyDescent="0.2">
      <c r="A153" s="2" t="s">
        <v>130</v>
      </c>
      <c r="B153" t="s">
        <v>622</v>
      </c>
      <c r="C153" t="s">
        <v>627</v>
      </c>
      <c r="D153" t="s">
        <v>571</v>
      </c>
      <c r="E153" t="s">
        <v>542</v>
      </c>
      <c r="F153" s="36">
        <v>4.8432580424366796</v>
      </c>
      <c r="G153">
        <v>500</v>
      </c>
      <c r="H153">
        <v>3.18</v>
      </c>
      <c r="I153">
        <f t="shared" si="8"/>
        <v>1590</v>
      </c>
      <c r="J153" s="2">
        <v>2876.1434936860082</v>
      </c>
      <c r="K153">
        <f t="shared" si="9"/>
        <v>1438071.7468430041</v>
      </c>
      <c r="L153" s="1">
        <v>7.0217798966479852E-2</v>
      </c>
      <c r="M153">
        <f t="shared" si="10"/>
        <v>35.108899483239924</v>
      </c>
      <c r="N153" s="2" t="s">
        <v>598</v>
      </c>
      <c r="O153" s="2">
        <f>VLOOKUP(A153,'Coal savings'!$A$3:$K$543,10,FALSE)</f>
        <v>0</v>
      </c>
      <c r="P153" s="2">
        <f t="shared" si="11"/>
        <v>0</v>
      </c>
      <c r="Q153">
        <f>VLOOKUP(A153,'[13]Thermal generation Mar 19 - Feb'!$C$2:$D$680,2,FALSE)</f>
        <v>1719.68</v>
      </c>
    </row>
    <row r="154" spans="1:17" x14ac:dyDescent="0.2">
      <c r="A154" s="2" t="s">
        <v>142</v>
      </c>
      <c r="B154" t="s">
        <v>613</v>
      </c>
      <c r="C154" t="s">
        <v>626</v>
      </c>
      <c r="D154" t="s">
        <v>570</v>
      </c>
      <c r="E154" t="s">
        <v>543</v>
      </c>
      <c r="F154" s="36">
        <v>7.1759069130732298</v>
      </c>
      <c r="G154">
        <v>500</v>
      </c>
      <c r="H154">
        <v>3.16</v>
      </c>
      <c r="I154">
        <f t="shared" si="8"/>
        <v>1580</v>
      </c>
      <c r="J154" s="2">
        <v>2796.0690294981723</v>
      </c>
      <c r="K154">
        <f t="shared" si="9"/>
        <v>1398034.5147490862</v>
      </c>
      <c r="L154">
        <v>8.0187863271519652E-2</v>
      </c>
      <c r="M154">
        <f t="shared" si="10"/>
        <v>40.093931635759823</v>
      </c>
      <c r="N154" s="2" t="s">
        <v>598</v>
      </c>
      <c r="O154" s="2">
        <f>VLOOKUP(A154,'Coal savings'!$A$3:$K$543,10,FALSE)</f>
        <v>0</v>
      </c>
      <c r="P154" s="2">
        <f t="shared" si="11"/>
        <v>0</v>
      </c>
      <c r="Q154">
        <f>VLOOKUP(A154,'[13]Thermal generation Mar 19 - Feb'!$C$2:$D$680,2,FALSE)</f>
        <v>2927.51</v>
      </c>
    </row>
    <row r="155" spans="1:17" x14ac:dyDescent="0.2">
      <c r="A155" s="2" t="s">
        <v>132</v>
      </c>
      <c r="B155" t="s">
        <v>622</v>
      </c>
      <c r="C155" t="s">
        <v>627</v>
      </c>
      <c r="D155" t="s">
        <v>571</v>
      </c>
      <c r="E155" t="s">
        <v>543</v>
      </c>
      <c r="F155" s="36">
        <v>5.1772758384667998</v>
      </c>
      <c r="G155">
        <v>500</v>
      </c>
      <c r="H155">
        <v>3.18</v>
      </c>
      <c r="I155">
        <f t="shared" si="8"/>
        <v>1590</v>
      </c>
      <c r="J155" s="2">
        <v>2808.2636435505624</v>
      </c>
      <c r="K155">
        <f t="shared" si="9"/>
        <v>1404131.8217752811</v>
      </c>
      <c r="L155">
        <v>7.0217798966479852E-2</v>
      </c>
      <c r="M155">
        <f t="shared" si="10"/>
        <v>35.108899483239924</v>
      </c>
      <c r="N155" s="2" t="s">
        <v>598</v>
      </c>
      <c r="O155" s="2">
        <f>VLOOKUP(A155,'Coal savings'!$A$3:$K$543,10,FALSE)</f>
        <v>0</v>
      </c>
      <c r="P155" s="2">
        <f t="shared" si="11"/>
        <v>0</v>
      </c>
      <c r="Q155">
        <f>VLOOKUP(A155,'[13]Thermal generation Mar 19 - Feb'!$C$2:$D$680,2,FALSE)</f>
        <v>2896.4199999999901</v>
      </c>
    </row>
    <row r="156" spans="1:17" x14ac:dyDescent="0.2">
      <c r="A156" s="2" t="s">
        <v>167</v>
      </c>
      <c r="B156" t="s">
        <v>619</v>
      </c>
      <c r="C156" t="s">
        <v>628</v>
      </c>
      <c r="D156" t="s">
        <v>571</v>
      </c>
      <c r="E156" t="s">
        <v>543</v>
      </c>
      <c r="F156" s="36">
        <v>9.5906913073237501</v>
      </c>
      <c r="G156">
        <v>500</v>
      </c>
      <c r="H156">
        <v>3.4</v>
      </c>
      <c r="I156">
        <f t="shared" si="8"/>
        <v>1700</v>
      </c>
      <c r="J156" s="2">
        <v>2895.8739903826481</v>
      </c>
      <c r="K156">
        <f t="shared" si="9"/>
        <v>1447936.995191324</v>
      </c>
      <c r="L156">
        <v>6.5600274643046297E-2</v>
      </c>
      <c r="M156">
        <f t="shared" si="10"/>
        <v>32.800137321523145</v>
      </c>
      <c r="N156" s="2" t="s">
        <v>598</v>
      </c>
      <c r="O156" s="2">
        <f>VLOOKUP(A156,'Coal savings'!$A$3:$K$543,10,FALSE)</f>
        <v>0</v>
      </c>
      <c r="P156" s="2">
        <f t="shared" si="11"/>
        <v>0</v>
      </c>
      <c r="Q156">
        <f>VLOOKUP(A156,'[13]Thermal generation Mar 19 - Feb'!$C$2:$D$680,2,FALSE)</f>
        <v>1343.1499999999901</v>
      </c>
    </row>
    <row r="157" spans="1:17" x14ac:dyDescent="0.2">
      <c r="A157" s="2" t="s">
        <v>170</v>
      </c>
      <c r="B157" t="s">
        <v>634</v>
      </c>
      <c r="C157" t="s">
        <v>628</v>
      </c>
      <c r="D157" t="s">
        <v>571</v>
      </c>
      <c r="E157" t="s">
        <v>543</v>
      </c>
      <c r="F157" s="36">
        <v>9.8425735797399003</v>
      </c>
      <c r="G157">
        <v>490</v>
      </c>
      <c r="H157">
        <v>3.48</v>
      </c>
      <c r="I157">
        <f t="shared" si="8"/>
        <v>1705.2</v>
      </c>
      <c r="J157" s="2">
        <v>2849.7475910020685</v>
      </c>
      <c r="K157">
        <f t="shared" si="9"/>
        <v>1396376.3195910135</v>
      </c>
      <c r="L157">
        <v>6.6665772632952203E-2</v>
      </c>
      <c r="M157">
        <f t="shared" si="10"/>
        <v>32.666228590146581</v>
      </c>
      <c r="N157" s="2" t="s">
        <v>598</v>
      </c>
      <c r="O157" s="2">
        <f>VLOOKUP(A157,'Coal savings'!$A$3:$K$543,10,FALSE)</f>
        <v>0</v>
      </c>
      <c r="P157" s="2">
        <f t="shared" si="11"/>
        <v>0</v>
      </c>
      <c r="Q157">
        <f>VLOOKUP(A157,'[13]Thermal generation Mar 19 - Feb'!$C$2:$D$680,2,FALSE)</f>
        <v>2026.8999999999901</v>
      </c>
    </row>
    <row r="158" spans="1:17" x14ac:dyDescent="0.2">
      <c r="A158" s="2" t="s">
        <v>172</v>
      </c>
      <c r="B158" t="s">
        <v>614</v>
      </c>
      <c r="C158" t="s">
        <v>627</v>
      </c>
      <c r="D158" t="s">
        <v>570</v>
      </c>
      <c r="E158" t="s">
        <v>544</v>
      </c>
      <c r="F158" s="36">
        <v>10.590006844626901</v>
      </c>
      <c r="G158">
        <v>500</v>
      </c>
      <c r="H158">
        <v>2.77</v>
      </c>
      <c r="I158">
        <f t="shared" si="8"/>
        <v>1385</v>
      </c>
      <c r="J158" s="2">
        <v>2797.9268813410122</v>
      </c>
      <c r="K158">
        <f t="shared" si="9"/>
        <v>1398963.4406705061</v>
      </c>
      <c r="L158">
        <v>8.8971276393347468E-2</v>
      </c>
      <c r="M158">
        <f t="shared" si="10"/>
        <v>44.485638196673733</v>
      </c>
      <c r="N158" s="2" t="s">
        <v>598</v>
      </c>
      <c r="O158" s="2">
        <f>VLOOKUP(A158,'Coal savings'!$A$3:$K$543,10,FALSE)</f>
        <v>0</v>
      </c>
      <c r="P158" s="2">
        <f t="shared" si="11"/>
        <v>0</v>
      </c>
      <c r="Q158">
        <f>VLOOKUP(A158,'[13]Thermal generation Mar 19 - Feb'!$C$2:$D$680,2,FALSE)</f>
        <v>3174.1399999999899</v>
      </c>
    </row>
    <row r="159" spans="1:17" x14ac:dyDescent="0.2">
      <c r="A159" s="2" t="s">
        <v>175</v>
      </c>
      <c r="B159" t="s">
        <v>615</v>
      </c>
      <c r="C159" t="s">
        <v>625</v>
      </c>
      <c r="D159" t="s">
        <v>571</v>
      </c>
      <c r="E159" t="s">
        <v>544</v>
      </c>
      <c r="F159" s="36">
        <v>10.841889117043101</v>
      </c>
      <c r="G159">
        <v>500</v>
      </c>
      <c r="H159">
        <v>2.31</v>
      </c>
      <c r="I159">
        <f t="shared" si="8"/>
        <v>1155</v>
      </c>
      <c r="J159" s="2">
        <v>2767.521325820082</v>
      </c>
      <c r="K159">
        <f t="shared" si="9"/>
        <v>1383760.6629100409</v>
      </c>
      <c r="L159">
        <v>7.2417181230320551E-2</v>
      </c>
      <c r="M159">
        <f t="shared" si="10"/>
        <v>36.208590615160276</v>
      </c>
      <c r="N159" s="2" t="s">
        <v>598</v>
      </c>
      <c r="O159" s="2">
        <f>VLOOKUP(A159,'Coal savings'!$A$3:$K$543,10,FALSE)</f>
        <v>0</v>
      </c>
      <c r="P159" s="2">
        <f t="shared" si="11"/>
        <v>0</v>
      </c>
      <c r="Q159">
        <f>VLOOKUP(A159,'[13]Thermal generation Mar 19 - Feb'!$C$2:$D$680,2,FALSE)</f>
        <v>3323.27</v>
      </c>
    </row>
    <row r="160" spans="1:17" x14ac:dyDescent="0.2">
      <c r="A160" s="2" t="s">
        <v>32</v>
      </c>
      <c r="B160" t="s">
        <v>614</v>
      </c>
      <c r="C160" t="s">
        <v>627</v>
      </c>
      <c r="D160" t="s">
        <v>572</v>
      </c>
      <c r="E160" t="s">
        <v>542</v>
      </c>
      <c r="F160" s="36">
        <v>3.1649555099247002</v>
      </c>
      <c r="G160">
        <v>660</v>
      </c>
      <c r="H160">
        <v>2.4836542648497839</v>
      </c>
      <c r="I160">
        <f t="shared" si="8"/>
        <v>1639.2118148008574</v>
      </c>
      <c r="J160" s="2">
        <v>2792.1770059313139</v>
      </c>
      <c r="K160">
        <f t="shared" si="9"/>
        <v>1842836.8239146671</v>
      </c>
      <c r="L160" s="1">
        <v>6.2368964750631896E-2</v>
      </c>
      <c r="M160">
        <f t="shared" si="10"/>
        <v>41.163516735417055</v>
      </c>
      <c r="N160" s="2" t="s">
        <v>598</v>
      </c>
      <c r="O160" s="2">
        <f>VLOOKUP(A160,'Coal savings'!$A$3:$K$543,10,FALSE)</f>
        <v>0</v>
      </c>
      <c r="P160" s="2">
        <f t="shared" si="11"/>
        <v>0</v>
      </c>
      <c r="Q160">
        <f>VLOOKUP(A160,'[13]Thermal generation Mar 19 - Feb'!$C$2:$D$680,2,FALSE)</f>
        <v>4577.3100000000004</v>
      </c>
    </row>
    <row r="161" spans="1:17" x14ac:dyDescent="0.2">
      <c r="A161" s="2" t="s">
        <v>178</v>
      </c>
      <c r="B161" t="s">
        <v>611</v>
      </c>
      <c r="C161" t="s">
        <v>626</v>
      </c>
      <c r="D161" t="s">
        <v>571</v>
      </c>
      <c r="E161" t="s">
        <v>544</v>
      </c>
      <c r="F161" s="36">
        <v>11.337440109514</v>
      </c>
      <c r="G161">
        <v>500</v>
      </c>
      <c r="H161">
        <v>1.39</v>
      </c>
      <c r="I161">
        <f t="shared" si="8"/>
        <v>695</v>
      </c>
      <c r="J161" s="2">
        <v>2750.7265844453291</v>
      </c>
      <c r="K161">
        <f t="shared" si="9"/>
        <v>1375363.2922226645</v>
      </c>
      <c r="L161">
        <v>5.4595359838897593E-2</v>
      </c>
      <c r="M161">
        <f t="shared" si="10"/>
        <v>27.297679919448797</v>
      </c>
      <c r="N161" s="2" t="s">
        <v>598</v>
      </c>
      <c r="O161" s="2">
        <f>VLOOKUP(A161,'Coal savings'!$A$3:$K$543,10,FALSE)</f>
        <v>0</v>
      </c>
      <c r="P161" s="2">
        <f t="shared" si="11"/>
        <v>0</v>
      </c>
      <c r="Q161">
        <f>VLOOKUP(A161,'[13]Thermal generation Mar 19 - Feb'!$C$2:$D$680,2,FALSE)</f>
        <v>3905.27</v>
      </c>
    </row>
    <row r="162" spans="1:17" x14ac:dyDescent="0.2">
      <c r="A162" s="2" t="s">
        <v>36</v>
      </c>
      <c r="B162" t="s">
        <v>614</v>
      </c>
      <c r="C162" t="s">
        <v>627</v>
      </c>
      <c r="D162" t="s">
        <v>572</v>
      </c>
      <c r="E162" t="s">
        <v>542</v>
      </c>
      <c r="F162" s="36">
        <v>3.5044490075290802</v>
      </c>
      <c r="G162">
        <v>660</v>
      </c>
      <c r="H162">
        <v>2.4893672071791673</v>
      </c>
      <c r="I162">
        <f t="shared" si="8"/>
        <v>1642.9823567382505</v>
      </c>
      <c r="J162" s="2">
        <v>2796.1531336521593</v>
      </c>
      <c r="K162">
        <f t="shared" si="9"/>
        <v>1845461.0682104251</v>
      </c>
      <c r="L162" s="1">
        <v>6.2368964750631896E-2</v>
      </c>
      <c r="M162">
        <f t="shared" si="10"/>
        <v>41.163516735417055</v>
      </c>
      <c r="N162" s="2" t="s">
        <v>598</v>
      </c>
      <c r="O162" s="2">
        <f>VLOOKUP(A162,'Coal savings'!$A$3:$K$543,10,FALSE)</f>
        <v>0</v>
      </c>
      <c r="P162" s="2">
        <f t="shared" si="11"/>
        <v>0</v>
      </c>
      <c r="Q162">
        <f>VLOOKUP(A162,'[13]Thermal generation Mar 19 - Feb'!$C$2:$D$680,2,FALSE)</f>
        <v>4275.5699999999897</v>
      </c>
    </row>
    <row r="163" spans="1:17" x14ac:dyDescent="0.2">
      <c r="A163" s="2" t="s">
        <v>181</v>
      </c>
      <c r="B163" t="s">
        <v>611</v>
      </c>
      <c r="C163" t="s">
        <v>626</v>
      </c>
      <c r="D163" t="s">
        <v>571</v>
      </c>
      <c r="E163" t="s">
        <v>544</v>
      </c>
      <c r="F163" s="36">
        <v>11.9233401779603</v>
      </c>
      <c r="G163">
        <v>500</v>
      </c>
      <c r="H163">
        <v>1.39</v>
      </c>
      <c r="I163">
        <f t="shared" si="8"/>
        <v>695</v>
      </c>
      <c r="J163" s="2">
        <v>2757.6022659797218</v>
      </c>
      <c r="K163">
        <f t="shared" si="9"/>
        <v>1378801.1329898608</v>
      </c>
      <c r="L163">
        <v>5.4595359838897593E-2</v>
      </c>
      <c r="M163">
        <f t="shared" si="10"/>
        <v>27.297679919448797</v>
      </c>
      <c r="N163" s="2" t="s">
        <v>598</v>
      </c>
      <c r="O163" s="2">
        <f>VLOOKUP(A163,'Coal savings'!$A$3:$K$543,10,FALSE)</f>
        <v>0</v>
      </c>
      <c r="P163" s="2">
        <f t="shared" si="11"/>
        <v>0</v>
      </c>
      <c r="Q163">
        <f>VLOOKUP(A163,'[13]Thermal generation Mar 19 - Feb'!$C$2:$D$680,2,FALSE)</f>
        <v>3816.72999999999</v>
      </c>
    </row>
    <row r="164" spans="1:17" x14ac:dyDescent="0.2">
      <c r="A164" s="2" t="s">
        <v>182</v>
      </c>
      <c r="B164" t="s">
        <v>615</v>
      </c>
      <c r="C164" t="s">
        <v>625</v>
      </c>
      <c r="D164" t="s">
        <v>571</v>
      </c>
      <c r="E164" t="s">
        <v>544</v>
      </c>
      <c r="F164" s="36">
        <v>12.175222450376401</v>
      </c>
      <c r="G164">
        <v>500</v>
      </c>
      <c r="H164">
        <v>2.31</v>
      </c>
      <c r="I164">
        <f t="shared" si="8"/>
        <v>1155</v>
      </c>
      <c r="J164" s="2">
        <v>2796.197415208258</v>
      </c>
      <c r="K164">
        <f t="shared" si="9"/>
        <v>1398098.7076041291</v>
      </c>
      <c r="L164">
        <v>7.2417181230320551E-2</v>
      </c>
      <c r="M164">
        <f t="shared" si="10"/>
        <v>36.208590615160276</v>
      </c>
      <c r="N164" s="2" t="s">
        <v>598</v>
      </c>
      <c r="O164" s="2">
        <f>VLOOKUP(A164,'Coal savings'!$A$3:$K$543,10,FALSE)</f>
        <v>0</v>
      </c>
      <c r="P164" s="2">
        <f t="shared" si="11"/>
        <v>0</v>
      </c>
      <c r="Q164">
        <f>VLOOKUP(A164,'[13]Thermal generation Mar 19 - Feb'!$C$2:$D$680,2,FALSE)</f>
        <v>3579.22</v>
      </c>
    </row>
    <row r="165" spans="1:17" x14ac:dyDescent="0.2">
      <c r="A165" s="2" t="s">
        <v>174</v>
      </c>
      <c r="B165" t="s">
        <v>634</v>
      </c>
      <c r="C165" t="s">
        <v>628</v>
      </c>
      <c r="D165" t="s">
        <v>571</v>
      </c>
      <c r="E165" t="s">
        <v>544</v>
      </c>
      <c r="F165" s="36">
        <v>10.3381245722108</v>
      </c>
      <c r="G165">
        <v>490</v>
      </c>
      <c r="H165">
        <v>3.48</v>
      </c>
      <c r="I165">
        <f t="shared" si="8"/>
        <v>1705.2</v>
      </c>
      <c r="J165" s="2">
        <v>2832.7938463834034</v>
      </c>
      <c r="K165">
        <f t="shared" si="9"/>
        <v>1388068.9847278676</v>
      </c>
      <c r="L165">
        <v>6.6665772632952203E-2</v>
      </c>
      <c r="M165">
        <f t="shared" si="10"/>
        <v>32.666228590146581</v>
      </c>
      <c r="N165" s="2" t="s">
        <v>598</v>
      </c>
      <c r="O165" s="2">
        <f>VLOOKUP(A165,'Coal savings'!$A$3:$K$543,10,FALSE)</f>
        <v>0</v>
      </c>
      <c r="P165" s="2">
        <f t="shared" si="11"/>
        <v>0</v>
      </c>
      <c r="Q165">
        <f>VLOOKUP(A165,'[13]Thermal generation Mar 19 - Feb'!$C$2:$D$680,2,FALSE)</f>
        <v>2060.3299999999899</v>
      </c>
    </row>
    <row r="166" spans="1:17" x14ac:dyDescent="0.2">
      <c r="A166" s="2" t="s">
        <v>185</v>
      </c>
      <c r="B166" t="s">
        <v>612</v>
      </c>
      <c r="C166" t="s">
        <v>627</v>
      </c>
      <c r="D166" t="s">
        <v>570</v>
      </c>
      <c r="E166" t="s">
        <v>544</v>
      </c>
      <c r="F166" s="36">
        <v>12.4243668720054</v>
      </c>
      <c r="G166">
        <v>500</v>
      </c>
      <c r="H166">
        <v>3.87</v>
      </c>
      <c r="I166">
        <f t="shared" si="8"/>
        <v>1935</v>
      </c>
      <c r="J166" s="2">
        <v>2940.9816386161829</v>
      </c>
      <c r="K166">
        <f t="shared" si="9"/>
        <v>1470490.8193080914</v>
      </c>
      <c r="L166">
        <v>6.6702414133670743E-2</v>
      </c>
      <c r="M166">
        <f t="shared" si="10"/>
        <v>33.351207066835372</v>
      </c>
      <c r="N166" s="2" t="s">
        <v>598</v>
      </c>
      <c r="O166" s="2">
        <f>VLOOKUP(A166,'Coal savings'!$A$3:$K$543,10,FALSE)</f>
        <v>0</v>
      </c>
      <c r="P166" s="2">
        <f t="shared" si="11"/>
        <v>0</v>
      </c>
      <c r="Q166">
        <f>VLOOKUP(A166,'[13]Thermal generation Mar 19 - Feb'!$C$2:$D$680,2,FALSE)</f>
        <v>863.12</v>
      </c>
    </row>
    <row r="167" spans="1:17" x14ac:dyDescent="0.2">
      <c r="A167" s="2" t="s">
        <v>188</v>
      </c>
      <c r="B167" t="s">
        <v>609</v>
      </c>
      <c r="C167" t="s">
        <v>626</v>
      </c>
      <c r="D167" t="s">
        <v>570</v>
      </c>
      <c r="E167" t="s">
        <v>544</v>
      </c>
      <c r="F167" s="36">
        <v>12.9253935660506</v>
      </c>
      <c r="G167">
        <v>500</v>
      </c>
      <c r="H167">
        <v>2.0299999999999998</v>
      </c>
      <c r="I167">
        <f t="shared" si="8"/>
        <v>1014.9999999999999</v>
      </c>
      <c r="J167" s="2">
        <v>2791.6298654696725</v>
      </c>
      <c r="K167">
        <f t="shared" si="9"/>
        <v>1395814.9327348364</v>
      </c>
      <c r="L167">
        <v>8.2584159496713896E-2</v>
      </c>
      <c r="M167">
        <f t="shared" si="10"/>
        <v>41.292079748356947</v>
      </c>
      <c r="N167" s="2" t="s">
        <v>598</v>
      </c>
      <c r="O167" s="2">
        <f>VLOOKUP(A167,'Coal savings'!$A$3:$K$543,10,FALSE)</f>
        <v>0</v>
      </c>
      <c r="P167" s="2">
        <f t="shared" si="11"/>
        <v>0</v>
      </c>
      <c r="Q167">
        <f>VLOOKUP(A167,'[13]Thermal generation Mar 19 - Feb'!$C$2:$D$680,2,FALSE)</f>
        <v>3331.64</v>
      </c>
    </row>
    <row r="168" spans="1:17" x14ac:dyDescent="0.2">
      <c r="A168" s="2" t="s">
        <v>191</v>
      </c>
      <c r="B168" t="s">
        <v>615</v>
      </c>
      <c r="C168" t="s">
        <v>625</v>
      </c>
      <c r="D168" t="s">
        <v>571</v>
      </c>
      <c r="E168" t="s">
        <v>544</v>
      </c>
      <c r="F168" s="36">
        <v>13.1772758384668</v>
      </c>
      <c r="G168">
        <v>500</v>
      </c>
      <c r="H168">
        <v>2.31</v>
      </c>
      <c r="I168">
        <f t="shared" si="8"/>
        <v>1155</v>
      </c>
      <c r="J168" s="2">
        <v>2782.1708198111751</v>
      </c>
      <c r="K168">
        <f t="shared" si="9"/>
        <v>1391085.4099055876</v>
      </c>
      <c r="L168">
        <v>7.2417181230320551E-2</v>
      </c>
      <c r="M168">
        <f t="shared" si="10"/>
        <v>36.208590615160276</v>
      </c>
      <c r="N168" s="2" t="s">
        <v>598</v>
      </c>
      <c r="O168" s="2">
        <f>VLOOKUP(A168,'Coal savings'!$A$3:$K$543,10,FALSE)</f>
        <v>0</v>
      </c>
      <c r="P168" s="2">
        <f t="shared" si="11"/>
        <v>0</v>
      </c>
      <c r="Q168">
        <f>VLOOKUP(A168,'[13]Thermal generation Mar 19 - Feb'!$C$2:$D$680,2,FALSE)</f>
        <v>3638.3699999999899</v>
      </c>
    </row>
    <row r="169" spans="1:17" x14ac:dyDescent="0.2">
      <c r="A169" s="2" t="s">
        <v>190</v>
      </c>
      <c r="B169" t="s">
        <v>609</v>
      </c>
      <c r="C169" t="s">
        <v>626</v>
      </c>
      <c r="D169" t="s">
        <v>571</v>
      </c>
      <c r="E169" t="s">
        <v>544</v>
      </c>
      <c r="F169" s="36">
        <v>13.1772758384668</v>
      </c>
      <c r="G169">
        <v>500</v>
      </c>
      <c r="H169">
        <v>1.55</v>
      </c>
      <c r="I169">
        <f t="shared" si="8"/>
        <v>775</v>
      </c>
      <c r="J169" s="2">
        <v>2755.5998504715199</v>
      </c>
      <c r="K169">
        <f t="shared" si="9"/>
        <v>1377799.9252357599</v>
      </c>
      <c r="L169">
        <v>6.5179373950034494E-2</v>
      </c>
      <c r="M169">
        <f t="shared" si="10"/>
        <v>32.589686975017244</v>
      </c>
      <c r="N169" s="2" t="s">
        <v>598</v>
      </c>
      <c r="O169" s="2">
        <f>VLOOKUP(A169,'Coal savings'!$A$3:$K$543,10,FALSE)</f>
        <v>0</v>
      </c>
      <c r="P169" s="2">
        <f t="shared" si="11"/>
        <v>0</v>
      </c>
      <c r="Q169">
        <f>VLOOKUP(A169,'[13]Thermal generation Mar 19 - Feb'!$C$2:$D$680,2,FALSE)</f>
        <v>3937.1099999999901</v>
      </c>
    </row>
    <row r="170" spans="1:17" x14ac:dyDescent="0.2">
      <c r="A170" s="2" t="s">
        <v>197</v>
      </c>
      <c r="B170" t="s">
        <v>609</v>
      </c>
      <c r="C170" t="s">
        <v>626</v>
      </c>
      <c r="D170" t="s">
        <v>571</v>
      </c>
      <c r="E170" t="s">
        <v>544</v>
      </c>
      <c r="F170" s="36">
        <v>13.8425735797399</v>
      </c>
      <c r="G170">
        <v>500</v>
      </c>
      <c r="H170">
        <v>1.55</v>
      </c>
      <c r="I170">
        <f t="shared" si="8"/>
        <v>775</v>
      </c>
      <c r="J170" s="2">
        <v>2765.0499248264296</v>
      </c>
      <c r="K170">
        <f t="shared" si="9"/>
        <v>1382524.9624132148</v>
      </c>
      <c r="L170">
        <v>6.5179373950034494E-2</v>
      </c>
      <c r="M170">
        <f t="shared" si="10"/>
        <v>32.589686975017244</v>
      </c>
      <c r="N170" s="2" t="s">
        <v>598</v>
      </c>
      <c r="O170" s="2">
        <f>VLOOKUP(A170,'Coal savings'!$A$3:$K$543,10,FALSE)</f>
        <v>0</v>
      </c>
      <c r="P170" s="2">
        <f t="shared" si="11"/>
        <v>0</v>
      </c>
      <c r="Q170">
        <f>VLOOKUP(A170,'[13]Thermal generation Mar 19 - Feb'!$C$2:$D$680,2,FALSE)</f>
        <v>3934.33</v>
      </c>
    </row>
    <row r="171" spans="1:17" x14ac:dyDescent="0.2">
      <c r="A171" s="2" t="s">
        <v>204</v>
      </c>
      <c r="B171" t="s">
        <v>634</v>
      </c>
      <c r="C171" t="s">
        <v>628</v>
      </c>
      <c r="D171" t="s">
        <v>571</v>
      </c>
      <c r="E171" t="s">
        <v>544</v>
      </c>
      <c r="F171" s="36">
        <v>14.6721423682409</v>
      </c>
      <c r="G171">
        <v>500</v>
      </c>
      <c r="H171">
        <v>1.36</v>
      </c>
      <c r="I171">
        <f t="shared" si="8"/>
        <v>680</v>
      </c>
      <c r="J171" s="2">
        <v>2796.1820123850912</v>
      </c>
      <c r="K171">
        <f t="shared" si="9"/>
        <v>1398091.0061925456</v>
      </c>
      <c r="L171">
        <v>6.6356788102148762E-2</v>
      </c>
      <c r="M171">
        <f t="shared" si="10"/>
        <v>33.178394051074378</v>
      </c>
      <c r="N171" s="2" t="s">
        <v>598</v>
      </c>
      <c r="O171" s="2">
        <f>VLOOKUP(A171,'Coal savings'!$A$3:$K$543,10,FALSE)</f>
        <v>0</v>
      </c>
      <c r="P171" s="2">
        <f t="shared" si="11"/>
        <v>0</v>
      </c>
      <c r="Q171">
        <f>VLOOKUP(A171,'[13]Thermal generation Mar 19 - Feb'!$C$2:$D$680,2,FALSE)</f>
        <v>3096.3299999999899</v>
      </c>
    </row>
    <row r="172" spans="1:17" x14ac:dyDescent="0.2">
      <c r="A172" s="2" t="s">
        <v>93</v>
      </c>
      <c r="B172" t="s">
        <v>613</v>
      </c>
      <c r="C172" t="s">
        <v>626</v>
      </c>
      <c r="D172" t="s">
        <v>572</v>
      </c>
      <c r="E172" t="s">
        <v>543</v>
      </c>
      <c r="F172" s="36">
        <v>8.1752224503764506</v>
      </c>
      <c r="G172">
        <v>660</v>
      </c>
      <c r="H172">
        <v>2.48</v>
      </c>
      <c r="I172">
        <f t="shared" si="8"/>
        <v>1636.8</v>
      </c>
      <c r="J172" s="2">
        <v>2849.8672298559504</v>
      </c>
      <c r="K172">
        <f t="shared" si="9"/>
        <v>1880912.3717049272</v>
      </c>
      <c r="L172">
        <v>7.3165418961100362E-2</v>
      </c>
      <c r="M172">
        <f t="shared" si="10"/>
        <v>48.289176514326236</v>
      </c>
      <c r="N172" s="2" t="s">
        <v>598</v>
      </c>
      <c r="O172" s="2">
        <f>VLOOKUP(A172,'Coal savings'!$A$3:$K$543,10,FALSE)</f>
        <v>0</v>
      </c>
      <c r="P172" s="2">
        <f t="shared" si="11"/>
        <v>0</v>
      </c>
      <c r="Q172">
        <f>VLOOKUP(A172,'[13]Thermal generation Mar 19 - Feb'!$C$2:$D$680,2,FALSE)</f>
        <v>4539.3399999999901</v>
      </c>
    </row>
    <row r="173" spans="1:17" x14ac:dyDescent="0.2">
      <c r="A173" s="2" t="s">
        <v>94</v>
      </c>
      <c r="B173" t="s">
        <v>613</v>
      </c>
      <c r="C173" t="s">
        <v>626</v>
      </c>
      <c r="D173" t="s">
        <v>572</v>
      </c>
      <c r="E173" t="s">
        <v>543</v>
      </c>
      <c r="F173" s="36">
        <v>8.1752224503764506</v>
      </c>
      <c r="G173">
        <v>660</v>
      </c>
      <c r="H173">
        <v>2.48</v>
      </c>
      <c r="I173">
        <f t="shared" si="8"/>
        <v>1636.8</v>
      </c>
      <c r="J173" s="2">
        <v>2884.8918273221543</v>
      </c>
      <c r="K173">
        <f t="shared" si="9"/>
        <v>1904028.6060326218</v>
      </c>
      <c r="L173">
        <v>7.3165418961100362E-2</v>
      </c>
      <c r="M173">
        <f t="shared" si="10"/>
        <v>48.289176514326236</v>
      </c>
      <c r="N173" s="2" t="s">
        <v>598</v>
      </c>
      <c r="O173" s="2">
        <f>VLOOKUP(A173,'Coal savings'!$A$3:$K$543,10,FALSE)</f>
        <v>0</v>
      </c>
      <c r="P173" s="2">
        <f t="shared" si="11"/>
        <v>0</v>
      </c>
      <c r="Q173">
        <f>VLOOKUP(A173,'[13]Thermal generation Mar 19 - Feb'!$C$2:$D$680,2,FALSE)</f>
        <v>4303.6899999999996</v>
      </c>
    </row>
    <row r="174" spans="1:17" x14ac:dyDescent="0.2">
      <c r="A174" s="2" t="s">
        <v>99</v>
      </c>
      <c r="B174" t="s">
        <v>613</v>
      </c>
      <c r="C174" t="s">
        <v>626</v>
      </c>
      <c r="D174" t="s">
        <v>572</v>
      </c>
      <c r="E174" t="s">
        <v>543</v>
      </c>
      <c r="F174" s="36">
        <v>8.5065023956194299</v>
      </c>
      <c r="G174">
        <v>660</v>
      </c>
      <c r="H174">
        <v>2.48</v>
      </c>
      <c r="I174">
        <f t="shared" si="8"/>
        <v>1636.8</v>
      </c>
      <c r="J174" s="2">
        <v>2878.2985303750111</v>
      </c>
      <c r="K174">
        <f t="shared" si="9"/>
        <v>1899677.0300475073</v>
      </c>
      <c r="L174">
        <v>7.3165418961100362E-2</v>
      </c>
      <c r="M174">
        <f t="shared" si="10"/>
        <v>48.289176514326236</v>
      </c>
      <c r="N174" s="2" t="s">
        <v>598</v>
      </c>
      <c r="O174" s="2">
        <f>VLOOKUP(A174,'Coal savings'!$A$3:$K$543,10,FALSE)</f>
        <v>0</v>
      </c>
      <c r="P174" s="2">
        <f t="shared" si="11"/>
        <v>0</v>
      </c>
      <c r="Q174">
        <f>VLOOKUP(A174,'[13]Thermal generation Mar 19 - Feb'!$C$2:$D$680,2,FALSE)</f>
        <v>4246.9799999999996</v>
      </c>
    </row>
    <row r="175" spans="1:17" x14ac:dyDescent="0.2">
      <c r="A175" s="2" t="s">
        <v>106</v>
      </c>
      <c r="B175" t="s">
        <v>613</v>
      </c>
      <c r="C175" t="s">
        <v>626</v>
      </c>
      <c r="D175" t="s">
        <v>572</v>
      </c>
      <c r="E175" t="s">
        <v>543</v>
      </c>
      <c r="F175" s="36">
        <v>8.8432580424366805</v>
      </c>
      <c r="G175">
        <v>660</v>
      </c>
      <c r="H175">
        <v>2.13</v>
      </c>
      <c r="I175">
        <f t="shared" si="8"/>
        <v>1405.8</v>
      </c>
      <c r="J175" s="2">
        <v>2966.8386423346519</v>
      </c>
      <c r="K175">
        <f t="shared" si="9"/>
        <v>1958113.5039408703</v>
      </c>
      <c r="L175">
        <v>7.3165418961100362E-2</v>
      </c>
      <c r="M175">
        <f t="shared" si="10"/>
        <v>48.289176514326236</v>
      </c>
      <c r="N175" s="2" t="s">
        <v>598</v>
      </c>
      <c r="O175" s="2">
        <f>VLOOKUP(A175,'Coal savings'!$A$3:$K$543,10,FALSE)</f>
        <v>0</v>
      </c>
      <c r="P175" s="2">
        <f t="shared" si="11"/>
        <v>0</v>
      </c>
      <c r="Q175">
        <f>VLOOKUP(A175,'[13]Thermal generation Mar 19 - Feb'!$C$2:$D$680,2,FALSE)</f>
        <v>3669.7</v>
      </c>
    </row>
    <row r="176" spans="1:17" x14ac:dyDescent="0.2">
      <c r="A176" s="2" t="s">
        <v>111</v>
      </c>
      <c r="B176" t="s">
        <v>613</v>
      </c>
      <c r="C176" t="s">
        <v>626</v>
      </c>
      <c r="D176" t="s">
        <v>572</v>
      </c>
      <c r="E176" t="s">
        <v>543</v>
      </c>
      <c r="F176" s="36">
        <v>9.4236824093086895</v>
      </c>
      <c r="G176">
        <v>660</v>
      </c>
      <c r="H176">
        <v>2.13</v>
      </c>
      <c r="I176">
        <f t="shared" si="8"/>
        <v>1405.8</v>
      </c>
      <c r="J176" s="2">
        <v>2942.0068824405389</v>
      </c>
      <c r="K176">
        <f t="shared" si="9"/>
        <v>1941724.5424107558</v>
      </c>
      <c r="L176">
        <v>7.3165418961100362E-2</v>
      </c>
      <c r="M176">
        <f t="shared" si="10"/>
        <v>48.289176514326236</v>
      </c>
      <c r="N176" s="2" t="s">
        <v>598</v>
      </c>
      <c r="O176" s="2">
        <f>VLOOKUP(A176,'Coal savings'!$A$3:$K$543,10,FALSE)</f>
        <v>0</v>
      </c>
      <c r="P176" s="2">
        <f t="shared" si="11"/>
        <v>0</v>
      </c>
      <c r="Q176">
        <f>VLOOKUP(A176,'[13]Thermal generation Mar 19 - Feb'!$C$2:$D$680,2,FALSE)</f>
        <v>4466.68</v>
      </c>
    </row>
    <row r="177" spans="1:17" x14ac:dyDescent="0.2">
      <c r="A177" s="2" t="s">
        <v>212</v>
      </c>
      <c r="B177" t="s">
        <v>634</v>
      </c>
      <c r="C177" t="s">
        <v>628</v>
      </c>
      <c r="D177" t="s">
        <v>571</v>
      </c>
      <c r="E177" t="s">
        <v>545</v>
      </c>
      <c r="F177" s="36">
        <v>15.337440109514</v>
      </c>
      <c r="G177">
        <v>500</v>
      </c>
      <c r="H177">
        <v>1.36</v>
      </c>
      <c r="I177">
        <f t="shared" si="8"/>
        <v>680</v>
      </c>
      <c r="J177" s="2">
        <v>2768.9616561650082</v>
      </c>
      <c r="K177">
        <f t="shared" si="9"/>
        <v>1384480.8280825042</v>
      </c>
      <c r="L177">
        <v>6.6356788102148762E-2</v>
      </c>
      <c r="M177">
        <f t="shared" si="10"/>
        <v>33.178394051074378</v>
      </c>
      <c r="N177" s="2" t="s">
        <v>598</v>
      </c>
      <c r="O177" s="2">
        <f>VLOOKUP(A177,'Coal savings'!$A$3:$K$543,10,FALSE)</f>
        <v>0</v>
      </c>
      <c r="P177" s="2">
        <f t="shared" si="11"/>
        <v>0</v>
      </c>
      <c r="Q177">
        <f>VLOOKUP(A177,'[13]Thermal generation Mar 19 - Feb'!$C$2:$D$680,2,FALSE)</f>
        <v>4241.8899999999903</v>
      </c>
    </row>
    <row r="178" spans="1:17" x14ac:dyDescent="0.2">
      <c r="A178" s="2" t="s">
        <v>216</v>
      </c>
      <c r="B178" t="s">
        <v>610</v>
      </c>
      <c r="C178" t="s">
        <v>627</v>
      </c>
      <c r="D178" t="s">
        <v>571</v>
      </c>
      <c r="E178" t="s">
        <v>545</v>
      </c>
      <c r="F178" s="36">
        <v>15.6714579055441</v>
      </c>
      <c r="G178">
        <v>500</v>
      </c>
      <c r="H178">
        <v>2.48</v>
      </c>
      <c r="I178">
        <f t="shared" si="8"/>
        <v>1240</v>
      </c>
      <c r="J178" s="2">
        <v>2796.6787992317777</v>
      </c>
      <c r="K178">
        <f t="shared" si="9"/>
        <v>1398339.3996158889</v>
      </c>
      <c r="L178">
        <v>6.1716058959159902E-2</v>
      </c>
      <c r="M178">
        <f t="shared" si="10"/>
        <v>30.858029479579951</v>
      </c>
      <c r="N178" s="2" t="s">
        <v>598</v>
      </c>
      <c r="O178" s="2">
        <f>VLOOKUP(A178,'Coal savings'!$A$3:$K$543,10,FALSE)</f>
        <v>0</v>
      </c>
      <c r="P178" s="2">
        <f t="shared" si="11"/>
        <v>0</v>
      </c>
      <c r="Q178">
        <f>VLOOKUP(A178,'[13]Thermal generation Mar 19 - Feb'!$C$2:$D$680,2,FALSE)</f>
        <v>3738.31</v>
      </c>
    </row>
    <row r="179" spans="1:17" x14ac:dyDescent="0.2">
      <c r="A179" s="2" t="s">
        <v>208</v>
      </c>
      <c r="B179" t="s">
        <v>608</v>
      </c>
      <c r="C179" t="s">
        <v>625</v>
      </c>
      <c r="D179" t="s">
        <v>571</v>
      </c>
      <c r="E179" t="s">
        <v>545</v>
      </c>
      <c r="F179" s="36">
        <v>15.2525667351129</v>
      </c>
      <c r="G179">
        <v>500</v>
      </c>
      <c r="H179">
        <v>1.71</v>
      </c>
      <c r="I179">
        <f t="shared" si="8"/>
        <v>855</v>
      </c>
      <c r="J179" s="2">
        <v>2798.6559284800851</v>
      </c>
      <c r="K179">
        <f t="shared" si="9"/>
        <v>1399327.9642400425</v>
      </c>
      <c r="L179">
        <v>6.4093993789743203E-2</v>
      </c>
      <c r="M179">
        <f t="shared" si="10"/>
        <v>32.046996894871604</v>
      </c>
      <c r="N179" s="2" t="s">
        <v>598</v>
      </c>
      <c r="O179" s="2">
        <f>VLOOKUP(A179,'Coal savings'!$A$3:$K$543,10,FALSE)</f>
        <v>0</v>
      </c>
      <c r="P179" s="2">
        <f t="shared" si="11"/>
        <v>0</v>
      </c>
      <c r="Q179">
        <f>VLOOKUP(A179,'[13]Thermal generation Mar 19 - Feb'!$C$2:$D$680,2,FALSE)</f>
        <v>3526.04</v>
      </c>
    </row>
    <row r="180" spans="1:17" x14ac:dyDescent="0.2">
      <c r="A180" s="2" t="s">
        <v>219</v>
      </c>
      <c r="B180" t="s">
        <v>608</v>
      </c>
      <c r="C180" t="s">
        <v>625</v>
      </c>
      <c r="D180" t="s">
        <v>571</v>
      </c>
      <c r="E180" t="s">
        <v>545</v>
      </c>
      <c r="F180" s="36">
        <v>16.008213552361301</v>
      </c>
      <c r="G180">
        <v>500</v>
      </c>
      <c r="H180">
        <v>1.71</v>
      </c>
      <c r="I180">
        <f t="shared" si="8"/>
        <v>855</v>
      </c>
      <c r="J180" s="2">
        <v>2816.7010645202809</v>
      </c>
      <c r="K180">
        <f t="shared" si="9"/>
        <v>1408350.5322601404</v>
      </c>
      <c r="L180">
        <v>6.4093993789743203E-2</v>
      </c>
      <c r="M180">
        <f t="shared" si="10"/>
        <v>32.046996894871604</v>
      </c>
      <c r="N180" s="2" t="s">
        <v>598</v>
      </c>
      <c r="O180" s="2">
        <f>VLOOKUP(A180,'Coal savings'!$A$3:$K$543,10,FALSE)</f>
        <v>0</v>
      </c>
      <c r="P180" s="2">
        <f t="shared" si="11"/>
        <v>0</v>
      </c>
      <c r="Q180">
        <f>VLOOKUP(A180,'[13]Thermal generation Mar 19 - Feb'!$C$2:$D$680,2,FALSE)</f>
        <v>3342.6599999999899</v>
      </c>
    </row>
    <row r="181" spans="1:17" x14ac:dyDescent="0.2">
      <c r="A181" s="2" t="s">
        <v>171</v>
      </c>
      <c r="B181" t="s">
        <v>611</v>
      </c>
      <c r="C181" t="s">
        <v>626</v>
      </c>
      <c r="D181" t="s">
        <v>572</v>
      </c>
      <c r="E181" t="s">
        <v>542</v>
      </c>
      <c r="F181" s="36">
        <v>4.33949349760438</v>
      </c>
      <c r="G181">
        <v>360</v>
      </c>
      <c r="H181">
        <v>2.9952674821979093</v>
      </c>
      <c r="I181">
        <f t="shared" si="8"/>
        <v>1078.2962935912474</v>
      </c>
      <c r="J181" s="2">
        <v>3078.3184982947009</v>
      </c>
      <c r="K181">
        <f t="shared" si="9"/>
        <v>1108194.6593860923</v>
      </c>
      <c r="L181" s="1">
        <v>0.1</v>
      </c>
      <c r="M181">
        <f t="shared" si="10"/>
        <v>36</v>
      </c>
      <c r="N181" s="2" t="s">
        <v>598</v>
      </c>
      <c r="O181" s="2">
        <f>VLOOKUP(A181,'Coal savings'!$A$3:$K$543,10,FALSE)</f>
        <v>0</v>
      </c>
      <c r="P181" s="2">
        <f t="shared" si="11"/>
        <v>0</v>
      </c>
      <c r="Q181">
        <f>VLOOKUP(A181,'[13]Thermal generation Mar 19 - Feb'!$C$2:$D$680,2,FALSE)</f>
        <v>770.729999999999</v>
      </c>
    </row>
    <row r="182" spans="1:17" x14ac:dyDescent="0.2">
      <c r="A182" s="2" t="s">
        <v>68</v>
      </c>
      <c r="B182" t="s">
        <v>622</v>
      </c>
      <c r="C182" t="s">
        <v>627</v>
      </c>
      <c r="D182" t="s">
        <v>572</v>
      </c>
      <c r="E182" t="s">
        <v>542</v>
      </c>
      <c r="F182" s="36">
        <v>4.0903490759753502</v>
      </c>
      <c r="G182">
        <v>600</v>
      </c>
      <c r="H182">
        <v>4.0199999999999996</v>
      </c>
      <c r="I182">
        <f t="shared" si="8"/>
        <v>2411.9999999999995</v>
      </c>
      <c r="J182" s="2">
        <v>2915.0344176230437</v>
      </c>
      <c r="K182">
        <f t="shared" si="9"/>
        <v>1749020.6505738262</v>
      </c>
      <c r="L182" s="1">
        <v>7.3246042254860019E-2</v>
      </c>
      <c r="M182">
        <f t="shared" si="10"/>
        <v>43.947625352916013</v>
      </c>
      <c r="N182" s="2" t="s">
        <v>598</v>
      </c>
      <c r="O182" s="2">
        <f>VLOOKUP(A182,'Coal savings'!$A$3:$K$543,10,FALSE)</f>
        <v>0</v>
      </c>
      <c r="P182" s="2">
        <f t="shared" si="11"/>
        <v>0</v>
      </c>
      <c r="Q182">
        <f>VLOOKUP(A182,'[13]Thermal generation Mar 19 - Feb'!$C$2:$D$680,2,FALSE)</f>
        <v>3444.6599999999899</v>
      </c>
    </row>
    <row r="183" spans="1:17" x14ac:dyDescent="0.2">
      <c r="A183" s="2" t="s">
        <v>173</v>
      </c>
      <c r="B183" t="s">
        <v>611</v>
      </c>
      <c r="C183" t="s">
        <v>626</v>
      </c>
      <c r="D183" t="s">
        <v>572</v>
      </c>
      <c r="E183" t="s">
        <v>542</v>
      </c>
      <c r="F183" s="36">
        <v>4.5913757700205302</v>
      </c>
      <c r="G183">
        <v>360</v>
      </c>
      <c r="H183">
        <v>1.75</v>
      </c>
      <c r="I183">
        <f t="shared" si="8"/>
        <v>630</v>
      </c>
      <c r="J183" s="2">
        <v>3040.8506900169637</v>
      </c>
      <c r="K183">
        <f t="shared" si="9"/>
        <v>1094706.2484061068</v>
      </c>
      <c r="L183" s="1">
        <v>0.1</v>
      </c>
      <c r="M183">
        <f t="shared" si="10"/>
        <v>36</v>
      </c>
      <c r="N183" s="2" t="s">
        <v>598</v>
      </c>
      <c r="O183" s="2">
        <f>VLOOKUP(A183,'Coal savings'!$A$3:$K$543,10,FALSE)</f>
        <v>0</v>
      </c>
      <c r="P183" s="2">
        <f t="shared" si="11"/>
        <v>0</v>
      </c>
      <c r="Q183">
        <f>VLOOKUP(A183,'[13]Thermal generation Mar 19 - Feb'!$C$2:$D$680,2,FALSE)</f>
        <v>207.73</v>
      </c>
    </row>
    <row r="184" spans="1:17" x14ac:dyDescent="0.2">
      <c r="A184" s="2" t="s">
        <v>225</v>
      </c>
      <c r="B184" t="s">
        <v>608</v>
      </c>
      <c r="C184" t="s">
        <v>625</v>
      </c>
      <c r="D184" t="s">
        <v>571</v>
      </c>
      <c r="E184" t="s">
        <v>545</v>
      </c>
      <c r="F184" s="36">
        <v>16.591375770020498</v>
      </c>
      <c r="G184">
        <v>500</v>
      </c>
      <c r="H184">
        <v>1.71</v>
      </c>
      <c r="I184">
        <f t="shared" si="8"/>
        <v>855</v>
      </c>
      <c r="J184" s="2">
        <v>2817.7594297930041</v>
      </c>
      <c r="K184">
        <f t="shared" si="9"/>
        <v>1408879.714896502</v>
      </c>
      <c r="L184">
        <v>6.4093993789743203E-2</v>
      </c>
      <c r="M184">
        <f t="shared" si="10"/>
        <v>32.046996894871604</v>
      </c>
      <c r="N184" s="2" t="s">
        <v>598</v>
      </c>
      <c r="O184" s="2">
        <f>VLOOKUP(A184,'Coal savings'!$A$3:$K$543,10,FALSE)</f>
        <v>0</v>
      </c>
      <c r="P184" s="2">
        <f t="shared" si="11"/>
        <v>0</v>
      </c>
      <c r="Q184">
        <f>VLOOKUP(A184,'[13]Thermal generation Mar 19 - Feb'!$C$2:$D$680,2,FALSE)</f>
        <v>3232.48</v>
      </c>
    </row>
    <row r="185" spans="1:17" x14ac:dyDescent="0.2">
      <c r="A185" s="2" t="s">
        <v>75</v>
      </c>
      <c r="B185" t="s">
        <v>622</v>
      </c>
      <c r="C185" t="s">
        <v>627</v>
      </c>
      <c r="D185" t="s">
        <v>572</v>
      </c>
      <c r="E185" t="s">
        <v>542</v>
      </c>
      <c r="F185" s="36">
        <v>4.33949349760438</v>
      </c>
      <c r="G185">
        <v>600</v>
      </c>
      <c r="H185">
        <v>3.03</v>
      </c>
      <c r="I185">
        <f t="shared" si="8"/>
        <v>1817.9999999999998</v>
      </c>
      <c r="J185" s="2">
        <v>3009.053306827368</v>
      </c>
      <c r="K185">
        <f t="shared" si="9"/>
        <v>1805431.9840964209</v>
      </c>
      <c r="L185" s="1">
        <v>7.2208785753758192E-2</v>
      </c>
      <c r="M185">
        <f t="shared" si="10"/>
        <v>43.325271452254917</v>
      </c>
      <c r="N185" s="2" t="s">
        <v>598</v>
      </c>
      <c r="O185" s="2">
        <f>VLOOKUP(A185,'Coal savings'!$A$3:$K$543,10,FALSE)</f>
        <v>0</v>
      </c>
      <c r="P185" s="2">
        <f t="shared" si="11"/>
        <v>0</v>
      </c>
      <c r="Q185">
        <f>VLOOKUP(A185,'[13]Thermal generation Mar 19 - Feb'!$C$2:$D$680,2,FALSE)</f>
        <v>1161.76</v>
      </c>
    </row>
    <row r="186" spans="1:17" x14ac:dyDescent="0.2">
      <c r="A186" s="2" t="s">
        <v>177</v>
      </c>
      <c r="B186" t="s">
        <v>611</v>
      </c>
      <c r="C186" t="s">
        <v>626</v>
      </c>
      <c r="D186" t="s">
        <v>572</v>
      </c>
      <c r="E186" t="s">
        <v>542</v>
      </c>
      <c r="F186" s="36">
        <v>4.8240930869267604</v>
      </c>
      <c r="G186">
        <v>360</v>
      </c>
      <c r="H186">
        <v>1.75</v>
      </c>
      <c r="I186">
        <f t="shared" si="8"/>
        <v>630</v>
      </c>
      <c r="J186" s="2">
        <v>3032.5832798883675</v>
      </c>
      <c r="K186">
        <f t="shared" si="9"/>
        <v>1091729.9807598123</v>
      </c>
      <c r="L186" s="1">
        <v>0.1</v>
      </c>
      <c r="M186">
        <f t="shared" si="10"/>
        <v>36</v>
      </c>
      <c r="N186" s="2" t="s">
        <v>598</v>
      </c>
      <c r="O186" s="2">
        <f>VLOOKUP(A186,'Coal savings'!$A$3:$K$543,10,FALSE)</f>
        <v>0</v>
      </c>
      <c r="P186" s="2">
        <f t="shared" si="11"/>
        <v>0</v>
      </c>
      <c r="Q186">
        <f>VLOOKUP(A186,'[13]Thermal generation Mar 19 - Feb'!$C$2:$D$680,2,FALSE)</f>
        <v>1513.13</v>
      </c>
    </row>
    <row r="187" spans="1:17" x14ac:dyDescent="0.2">
      <c r="A187" s="2" t="s">
        <v>80</v>
      </c>
      <c r="B187" t="s">
        <v>622</v>
      </c>
      <c r="C187" t="s">
        <v>627</v>
      </c>
      <c r="D187" t="s">
        <v>572</v>
      </c>
      <c r="E187" t="s">
        <v>542</v>
      </c>
      <c r="F187" s="36">
        <v>4.6735112936344896</v>
      </c>
      <c r="G187">
        <v>600</v>
      </c>
      <c r="H187">
        <v>2.87</v>
      </c>
      <c r="I187">
        <f t="shared" si="8"/>
        <v>1722</v>
      </c>
      <c r="J187" s="2">
        <v>2927.0387415056739</v>
      </c>
      <c r="K187">
        <f t="shared" si="9"/>
        <v>1756223.2449034043</v>
      </c>
      <c r="L187" s="1">
        <v>7.3246042254860019E-2</v>
      </c>
      <c r="M187">
        <f t="shared" si="10"/>
        <v>43.947625352916013</v>
      </c>
      <c r="N187" s="2" t="s">
        <v>598</v>
      </c>
      <c r="O187" s="2">
        <f>VLOOKUP(A187,'Coal savings'!$A$3:$K$543,10,FALSE)</f>
        <v>0</v>
      </c>
      <c r="P187" s="2">
        <f t="shared" si="11"/>
        <v>0</v>
      </c>
      <c r="Q187">
        <f>VLOOKUP(A187,'[13]Thermal generation Mar 19 - Feb'!$C$2:$D$680,2,FALSE)</f>
        <v>3571.2199999999898</v>
      </c>
    </row>
    <row r="188" spans="1:17" x14ac:dyDescent="0.2">
      <c r="A188" s="2" t="s">
        <v>232</v>
      </c>
      <c r="B188" t="s">
        <v>608</v>
      </c>
      <c r="C188" t="s">
        <v>625</v>
      </c>
      <c r="D188" t="s">
        <v>571</v>
      </c>
      <c r="E188" t="s">
        <v>545</v>
      </c>
      <c r="F188" s="36">
        <v>17.2539356605065</v>
      </c>
      <c r="G188">
        <v>500</v>
      </c>
      <c r="H188">
        <v>1.71</v>
      </c>
      <c r="I188">
        <f t="shared" si="8"/>
        <v>855</v>
      </c>
      <c r="J188" s="2">
        <v>2831.1009191714365</v>
      </c>
      <c r="K188">
        <f t="shared" si="9"/>
        <v>1415550.4595857183</v>
      </c>
      <c r="L188">
        <v>6.4093993789743203E-2</v>
      </c>
      <c r="M188">
        <f t="shared" si="10"/>
        <v>32.046996894871604</v>
      </c>
      <c r="N188" s="2" t="s">
        <v>598</v>
      </c>
      <c r="O188" s="2">
        <f>VLOOKUP(A188,'Coal savings'!$A$3:$K$543,10,FALSE)</f>
        <v>0</v>
      </c>
      <c r="P188" s="2">
        <f t="shared" si="11"/>
        <v>0</v>
      </c>
      <c r="Q188">
        <f>VLOOKUP(A188,'[13]Thermal generation Mar 19 - Feb'!$C$2:$D$680,2,FALSE)</f>
        <v>3249.66</v>
      </c>
    </row>
    <row r="189" spans="1:17" x14ac:dyDescent="0.2">
      <c r="A189" s="2" t="s">
        <v>241</v>
      </c>
      <c r="B189" t="s">
        <v>614</v>
      </c>
      <c r="C189" t="s">
        <v>627</v>
      </c>
      <c r="D189" t="s">
        <v>571</v>
      </c>
      <c r="E189" t="s">
        <v>545</v>
      </c>
      <c r="F189" s="36">
        <v>17.7577002053388</v>
      </c>
      <c r="G189">
        <v>500</v>
      </c>
      <c r="H189">
        <v>2.97</v>
      </c>
      <c r="I189">
        <f t="shared" si="8"/>
        <v>1485</v>
      </c>
      <c r="J189" s="2">
        <v>2869.0277989870551</v>
      </c>
      <c r="K189">
        <f t="shared" si="9"/>
        <v>1434513.8994935276</v>
      </c>
      <c r="L189">
        <v>5.6962700163683135E-2</v>
      </c>
      <c r="M189">
        <f t="shared" si="10"/>
        <v>28.481350081841569</v>
      </c>
      <c r="N189" s="2" t="s">
        <v>598</v>
      </c>
      <c r="O189" s="2">
        <f>VLOOKUP(A189,'Coal savings'!$A$3:$K$543,10,FALSE)</f>
        <v>0</v>
      </c>
      <c r="P189" s="2">
        <f t="shared" si="11"/>
        <v>0</v>
      </c>
      <c r="Q189">
        <f>VLOOKUP(A189,'[13]Thermal generation Mar 19 - Feb'!$C$2:$D$680,2,FALSE)</f>
        <v>2715.04</v>
      </c>
    </row>
    <row r="190" spans="1:17" x14ac:dyDescent="0.2">
      <c r="A190" s="2" t="s">
        <v>91</v>
      </c>
      <c r="B190" t="s">
        <v>622</v>
      </c>
      <c r="C190" t="s">
        <v>627</v>
      </c>
      <c r="D190" t="s">
        <v>572</v>
      </c>
      <c r="E190" t="s">
        <v>543</v>
      </c>
      <c r="F190" s="36">
        <v>5.4236824093086904</v>
      </c>
      <c r="G190">
        <v>600</v>
      </c>
      <c r="H190">
        <v>3.03</v>
      </c>
      <c r="I190">
        <f t="shared" si="8"/>
        <v>1817.9999999999998</v>
      </c>
      <c r="J190" s="2">
        <v>3018.6751599509935</v>
      </c>
      <c r="K190">
        <f t="shared" si="9"/>
        <v>1811205.0959705962</v>
      </c>
      <c r="L190">
        <v>7.2208785753758192E-2</v>
      </c>
      <c r="M190">
        <f t="shared" si="10"/>
        <v>43.325271452254917</v>
      </c>
      <c r="N190" s="2" t="s">
        <v>598</v>
      </c>
      <c r="O190" s="2">
        <f>VLOOKUP(A190,'Coal savings'!$A$3:$K$543,10,FALSE)</f>
        <v>0</v>
      </c>
      <c r="P190" s="2">
        <f t="shared" si="11"/>
        <v>0</v>
      </c>
      <c r="Q190">
        <f>VLOOKUP(A190,'[13]Thermal generation Mar 19 - Feb'!$C$2:$D$680,2,FALSE)</f>
        <v>2116.74999999999</v>
      </c>
    </row>
    <row r="191" spans="1:17" x14ac:dyDescent="0.2">
      <c r="A191" s="2" t="s">
        <v>249</v>
      </c>
      <c r="B191" t="s">
        <v>614</v>
      </c>
      <c r="C191" t="s">
        <v>627</v>
      </c>
      <c r="D191" t="s">
        <v>571</v>
      </c>
      <c r="E191" t="s">
        <v>545</v>
      </c>
      <c r="F191" s="36">
        <v>18.2532511978097</v>
      </c>
      <c r="G191">
        <v>500</v>
      </c>
      <c r="H191">
        <v>2.97</v>
      </c>
      <c r="I191">
        <f t="shared" si="8"/>
        <v>1485</v>
      </c>
      <c r="J191" s="2">
        <v>2884.3518786155264</v>
      </c>
      <c r="K191">
        <f t="shared" si="9"/>
        <v>1442175.9393077632</v>
      </c>
      <c r="L191">
        <v>5.6962700163683135E-2</v>
      </c>
      <c r="M191">
        <f t="shared" si="10"/>
        <v>28.481350081841569</v>
      </c>
      <c r="N191" s="2" t="s">
        <v>598</v>
      </c>
      <c r="O191" s="2">
        <f>VLOOKUP(A191,'Coal savings'!$A$3:$K$543,10,FALSE)</f>
        <v>0</v>
      </c>
      <c r="P191" s="2">
        <f t="shared" si="11"/>
        <v>0</v>
      </c>
      <c r="Q191">
        <f>VLOOKUP(A191,'[13]Thermal generation Mar 19 - Feb'!$C$2:$D$680,2,FALSE)</f>
        <v>2526.5</v>
      </c>
    </row>
    <row r="192" spans="1:17" x14ac:dyDescent="0.2">
      <c r="A192" s="2" t="s">
        <v>118</v>
      </c>
      <c r="B192" t="s">
        <v>613</v>
      </c>
      <c r="C192" t="s">
        <v>626</v>
      </c>
      <c r="D192" t="s">
        <v>572</v>
      </c>
      <c r="E192" t="s">
        <v>543</v>
      </c>
      <c r="F192" s="36">
        <v>7.9233401779603003</v>
      </c>
      <c r="G192">
        <v>600</v>
      </c>
      <c r="H192">
        <v>2.1800000000000002</v>
      </c>
      <c r="I192">
        <f t="shared" si="8"/>
        <v>1308</v>
      </c>
      <c r="J192" s="2">
        <v>3096.4924808207716</v>
      </c>
      <c r="K192">
        <f t="shared" si="9"/>
        <v>1857895.488492463</v>
      </c>
      <c r="L192">
        <v>5.2816503866712272E-2</v>
      </c>
      <c r="M192">
        <f t="shared" si="10"/>
        <v>31.689902320027365</v>
      </c>
      <c r="N192" s="2" t="s">
        <v>598</v>
      </c>
      <c r="O192" s="2">
        <f>VLOOKUP(A192,'Coal savings'!$A$3:$K$543,10,FALSE)</f>
        <v>0</v>
      </c>
      <c r="P192" s="2">
        <f t="shared" si="11"/>
        <v>0</v>
      </c>
      <c r="Q192">
        <f>VLOOKUP(A192,'[13]Thermal generation Mar 19 - Feb'!$C$2:$D$680,2,FALSE)</f>
        <v>1787.6499999999901</v>
      </c>
    </row>
    <row r="193" spans="1:17" x14ac:dyDescent="0.2">
      <c r="A193" s="2" t="s">
        <v>121</v>
      </c>
      <c r="B193" t="s">
        <v>612</v>
      </c>
      <c r="C193" t="s">
        <v>627</v>
      </c>
      <c r="D193" t="s">
        <v>572</v>
      </c>
      <c r="E193" t="s">
        <v>543</v>
      </c>
      <c r="F193" s="36">
        <v>8.1752224503764506</v>
      </c>
      <c r="G193">
        <v>600</v>
      </c>
      <c r="H193">
        <v>3.49</v>
      </c>
      <c r="I193">
        <f t="shared" si="8"/>
        <v>2094</v>
      </c>
      <c r="J193" s="2">
        <v>3012.961027737012</v>
      </c>
      <c r="K193">
        <f t="shared" si="9"/>
        <v>1807776.6166422071</v>
      </c>
      <c r="L193">
        <v>6.0725940133071567E-2</v>
      </c>
      <c r="M193">
        <f t="shared" si="10"/>
        <v>36.435564079842941</v>
      </c>
      <c r="N193" s="2" t="s">
        <v>598</v>
      </c>
      <c r="O193" s="2">
        <f>VLOOKUP(A193,'Coal savings'!$A$3:$K$543,10,FALSE)</f>
        <v>0</v>
      </c>
      <c r="P193" s="2">
        <f t="shared" si="11"/>
        <v>0</v>
      </c>
      <c r="Q193">
        <f>VLOOKUP(A193,'[13]Thermal generation Mar 19 - Feb'!$C$2:$D$680,2,FALSE)</f>
        <v>1427.70999999999</v>
      </c>
    </row>
    <row r="194" spans="1:17" x14ac:dyDescent="0.2">
      <c r="A194" s="2" t="s">
        <v>120</v>
      </c>
      <c r="B194" t="s">
        <v>612</v>
      </c>
      <c r="C194" t="s">
        <v>627</v>
      </c>
      <c r="D194" t="s">
        <v>572</v>
      </c>
      <c r="E194" t="s">
        <v>543</v>
      </c>
      <c r="F194" s="36">
        <v>8.1752224503764506</v>
      </c>
      <c r="G194">
        <v>600</v>
      </c>
      <c r="H194">
        <v>3.49</v>
      </c>
      <c r="I194">
        <f t="shared" si="8"/>
        <v>2094</v>
      </c>
      <c r="J194" s="2">
        <v>2997.3220120104743</v>
      </c>
      <c r="K194">
        <f t="shared" si="9"/>
        <v>1798393.2072062846</v>
      </c>
      <c r="L194">
        <v>6.0725940133071567E-2</v>
      </c>
      <c r="M194">
        <f t="shared" si="10"/>
        <v>36.435564079842941</v>
      </c>
      <c r="N194" s="2" t="s">
        <v>598</v>
      </c>
      <c r="O194" s="2">
        <f>VLOOKUP(A194,'Coal savings'!$A$3:$K$543,10,FALSE)</f>
        <v>0</v>
      </c>
      <c r="P194" s="2">
        <f t="shared" si="11"/>
        <v>0</v>
      </c>
      <c r="Q194">
        <f>VLOOKUP(A194,'[13]Thermal generation Mar 19 - Feb'!$C$2:$D$680,2,FALSE)</f>
        <v>1942.20999999999</v>
      </c>
    </row>
    <row r="195" spans="1:17" x14ac:dyDescent="0.2">
      <c r="A195" s="2" t="s">
        <v>187</v>
      </c>
      <c r="B195" t="s">
        <v>608</v>
      </c>
      <c r="C195" t="s">
        <v>625</v>
      </c>
      <c r="D195" t="s">
        <v>572</v>
      </c>
      <c r="E195" t="s">
        <v>543</v>
      </c>
      <c r="F195" s="36">
        <v>6.1765913757700197</v>
      </c>
      <c r="G195">
        <v>350</v>
      </c>
      <c r="H195">
        <v>1.42</v>
      </c>
      <c r="I195">
        <f t="shared" ref="I195:I258" si="12">H195*G195</f>
        <v>497</v>
      </c>
      <c r="J195" s="2">
        <v>2930.5576839077607</v>
      </c>
      <c r="K195">
        <f t="shared" ref="K195:K258" si="13">J195*G195</f>
        <v>1025695.1893677163</v>
      </c>
      <c r="L195">
        <v>7.5971148628802138E-2</v>
      </c>
      <c r="M195">
        <f t="shared" ref="M195:M258" si="14">L195*G195</f>
        <v>26.58990202008075</v>
      </c>
      <c r="N195" s="2" t="s">
        <v>598</v>
      </c>
      <c r="O195" s="2">
        <f>VLOOKUP(A195,'Coal savings'!$A$3:$K$543,10,FALSE)</f>
        <v>0</v>
      </c>
      <c r="P195" s="2">
        <f t="shared" ref="P195:P258" si="15">O195*G195</f>
        <v>0</v>
      </c>
      <c r="Q195">
        <f>VLOOKUP(A195,'[13]Thermal generation Mar 19 - Feb'!$C$2:$D$680,2,FALSE)</f>
        <v>2042.97</v>
      </c>
    </row>
    <row r="196" spans="1:17" x14ac:dyDescent="0.2">
      <c r="A196" s="2" t="s">
        <v>123</v>
      </c>
      <c r="B196" t="s">
        <v>613</v>
      </c>
      <c r="C196" t="s">
        <v>626</v>
      </c>
      <c r="D196" t="s">
        <v>572</v>
      </c>
      <c r="E196" t="s">
        <v>543</v>
      </c>
      <c r="F196" s="36">
        <v>8.33949349760438</v>
      </c>
      <c r="G196">
        <v>600</v>
      </c>
      <c r="H196">
        <v>2.1800000000000002</v>
      </c>
      <c r="I196">
        <f t="shared" si="12"/>
        <v>1308</v>
      </c>
      <c r="J196" s="2">
        <v>3081.4069188290923</v>
      </c>
      <c r="K196">
        <f t="shared" si="13"/>
        <v>1848844.1512974554</v>
      </c>
      <c r="L196">
        <v>5.2816503866712272E-2</v>
      </c>
      <c r="M196">
        <f t="shared" si="14"/>
        <v>31.689902320027365</v>
      </c>
      <c r="N196" s="2" t="s">
        <v>598</v>
      </c>
      <c r="O196" s="2">
        <f>VLOOKUP(A196,'Coal savings'!$A$3:$K$543,10,FALSE)</f>
        <v>0</v>
      </c>
      <c r="P196" s="2">
        <f t="shared" si="15"/>
        <v>0</v>
      </c>
      <c r="Q196">
        <f>VLOOKUP(A196,'[13]Thermal generation Mar 19 - Feb'!$C$2:$D$680,2,FALSE)</f>
        <v>2354.79</v>
      </c>
    </row>
    <row r="197" spans="1:17" x14ac:dyDescent="0.2">
      <c r="A197" s="2" t="s">
        <v>192</v>
      </c>
      <c r="B197" t="s">
        <v>608</v>
      </c>
      <c r="C197" t="s">
        <v>625</v>
      </c>
      <c r="D197" t="s">
        <v>572</v>
      </c>
      <c r="E197" t="s">
        <v>543</v>
      </c>
      <c r="F197" s="36">
        <v>6.6721423682409302</v>
      </c>
      <c r="G197">
        <v>350</v>
      </c>
      <c r="H197">
        <v>1.42</v>
      </c>
      <c r="I197">
        <f t="shared" si="12"/>
        <v>497</v>
      </c>
      <c r="J197" s="2">
        <v>2934.735401616565</v>
      </c>
      <c r="K197">
        <f t="shared" si="13"/>
        <v>1027157.3905657978</v>
      </c>
      <c r="L197">
        <v>7.5971148628802138E-2</v>
      </c>
      <c r="M197">
        <f t="shared" si="14"/>
        <v>26.58990202008075</v>
      </c>
      <c r="N197" s="2" t="s">
        <v>598</v>
      </c>
      <c r="O197" s="2">
        <f>VLOOKUP(A197,'Coal savings'!$A$3:$K$543,10,FALSE)</f>
        <v>0</v>
      </c>
      <c r="P197" s="2">
        <f t="shared" si="15"/>
        <v>0</v>
      </c>
      <c r="Q197">
        <f>VLOOKUP(A197,'[13]Thermal generation Mar 19 - Feb'!$C$2:$D$680,2,FALSE)</f>
        <v>2043.98999999999</v>
      </c>
    </row>
    <row r="198" spans="1:17" x14ac:dyDescent="0.2">
      <c r="A198" s="2" t="s">
        <v>176</v>
      </c>
      <c r="B198" t="s">
        <v>611</v>
      </c>
      <c r="C198" t="s">
        <v>626</v>
      </c>
      <c r="D198" t="s">
        <v>572</v>
      </c>
      <c r="E198" t="s">
        <v>542</v>
      </c>
      <c r="F198" s="36">
        <v>2.0917180013689198</v>
      </c>
      <c r="G198">
        <v>300</v>
      </c>
      <c r="H198">
        <v>2.7676375328531964</v>
      </c>
      <c r="I198">
        <f t="shared" si="12"/>
        <v>830.29125985595886</v>
      </c>
      <c r="J198" s="2">
        <v>3022.5933576044768</v>
      </c>
      <c r="K198">
        <f t="shared" si="13"/>
        <v>906778.00728134299</v>
      </c>
      <c r="L198" s="1">
        <v>0.11609507686426573</v>
      </c>
      <c r="M198">
        <f t="shared" si="14"/>
        <v>34.828523059279718</v>
      </c>
      <c r="N198" s="2" t="s">
        <v>598</v>
      </c>
      <c r="O198" s="2">
        <f>VLOOKUP(A198,'Coal savings'!$A$3:$K$543,10,FALSE)</f>
        <v>0</v>
      </c>
      <c r="P198" s="2">
        <f t="shared" si="15"/>
        <v>0</v>
      </c>
      <c r="Q198">
        <f>VLOOKUP(A198,'[13]Thermal generation Mar 19 - Feb'!$C$2:$D$680,2,FALSE)</f>
        <v>1445.97999999999</v>
      </c>
    </row>
    <row r="199" spans="1:17" x14ac:dyDescent="0.2">
      <c r="A199" s="2" t="s">
        <v>196</v>
      </c>
      <c r="B199" t="s">
        <v>608</v>
      </c>
      <c r="C199" t="s">
        <v>625</v>
      </c>
      <c r="D199" t="s">
        <v>572</v>
      </c>
      <c r="E199" t="s">
        <v>543</v>
      </c>
      <c r="F199" s="36">
        <v>7.1759069130732298</v>
      </c>
      <c r="G199">
        <v>350</v>
      </c>
      <c r="H199">
        <v>1.42</v>
      </c>
      <c r="I199">
        <f t="shared" si="12"/>
        <v>497</v>
      </c>
      <c r="J199" s="2">
        <v>2950.9020333162325</v>
      </c>
      <c r="K199">
        <f t="shared" si="13"/>
        <v>1032815.7116606814</v>
      </c>
      <c r="L199">
        <v>7.5971148628802138E-2</v>
      </c>
      <c r="M199">
        <f t="shared" si="14"/>
        <v>26.58990202008075</v>
      </c>
      <c r="N199" s="2" t="s">
        <v>598</v>
      </c>
      <c r="O199" s="2">
        <f>VLOOKUP(A199,'Coal savings'!$A$3:$K$543,10,FALSE)</f>
        <v>0</v>
      </c>
      <c r="P199" s="2">
        <f t="shared" si="15"/>
        <v>0</v>
      </c>
      <c r="Q199">
        <f>VLOOKUP(A199,'[13]Thermal generation Mar 19 - Feb'!$C$2:$D$680,2,FALSE)</f>
        <v>1859.04999999999</v>
      </c>
    </row>
    <row r="200" spans="1:17" x14ac:dyDescent="0.2">
      <c r="A200" s="2" t="s">
        <v>263</v>
      </c>
      <c r="B200" t="s">
        <v>609</v>
      </c>
      <c r="C200" t="s">
        <v>626</v>
      </c>
      <c r="D200" t="s">
        <v>571</v>
      </c>
      <c r="E200" t="s">
        <v>546</v>
      </c>
      <c r="F200" s="36">
        <v>20.2546201232032</v>
      </c>
      <c r="G200">
        <v>500</v>
      </c>
      <c r="H200">
        <v>1.57</v>
      </c>
      <c r="I200">
        <f t="shared" si="12"/>
        <v>785</v>
      </c>
      <c r="J200" s="2">
        <v>2818.6919025337179</v>
      </c>
      <c r="K200">
        <f t="shared" si="13"/>
        <v>1409345.951266859</v>
      </c>
      <c r="L200">
        <v>6.5179373950034494E-2</v>
      </c>
      <c r="M200">
        <f t="shared" si="14"/>
        <v>32.589686975017244</v>
      </c>
      <c r="N200" s="2" t="s">
        <v>598</v>
      </c>
      <c r="O200" s="2">
        <f>VLOOKUP(A200,'Coal savings'!$A$3:$K$543,10,FALSE)</f>
        <v>0</v>
      </c>
      <c r="P200" s="2">
        <f t="shared" si="15"/>
        <v>0</v>
      </c>
      <c r="Q200">
        <f>VLOOKUP(A200,'[13]Thermal generation Mar 19 - Feb'!$C$2:$D$680,2,FALSE)</f>
        <v>4002.46</v>
      </c>
    </row>
    <row r="201" spans="1:17" x14ac:dyDescent="0.2">
      <c r="A201" s="2" t="s">
        <v>179</v>
      </c>
      <c r="B201" t="s">
        <v>611</v>
      </c>
      <c r="C201" t="s">
        <v>626</v>
      </c>
      <c r="D201" t="s">
        <v>572</v>
      </c>
      <c r="E201" t="s">
        <v>542</v>
      </c>
      <c r="F201" s="36">
        <v>3.0910335386721401</v>
      </c>
      <c r="G201">
        <v>300</v>
      </c>
      <c r="H201">
        <v>2.814827859518465</v>
      </c>
      <c r="I201">
        <f t="shared" si="12"/>
        <v>844.44835785553948</v>
      </c>
      <c r="J201" s="2">
        <v>3047.8906480132605</v>
      </c>
      <c r="K201">
        <f t="shared" si="13"/>
        <v>914367.19440397818</v>
      </c>
      <c r="L201" s="1">
        <v>0.11609507686426573</v>
      </c>
      <c r="M201">
        <f t="shared" si="14"/>
        <v>34.828523059279718</v>
      </c>
      <c r="N201" s="2" t="s">
        <v>598</v>
      </c>
      <c r="O201" s="2">
        <f>VLOOKUP(A201,'Coal savings'!$A$3:$K$543,10,FALSE)</f>
        <v>0</v>
      </c>
      <c r="P201" s="2">
        <f t="shared" si="15"/>
        <v>0</v>
      </c>
      <c r="Q201">
        <f>VLOOKUP(A201,'[13]Thermal generation Mar 19 - Feb'!$C$2:$D$680,2,FALSE)</f>
        <v>1175.1899999999901</v>
      </c>
    </row>
    <row r="202" spans="1:17" x14ac:dyDescent="0.2">
      <c r="A202" s="2" t="s">
        <v>180</v>
      </c>
      <c r="B202" t="s">
        <v>611</v>
      </c>
      <c r="C202" t="s">
        <v>626</v>
      </c>
      <c r="D202" t="s">
        <v>572</v>
      </c>
      <c r="E202" t="s">
        <v>542</v>
      </c>
      <c r="F202" s="36">
        <v>3.0910335386721401</v>
      </c>
      <c r="G202">
        <v>300</v>
      </c>
      <c r="H202">
        <v>1.66</v>
      </c>
      <c r="I202">
        <f t="shared" si="12"/>
        <v>498</v>
      </c>
      <c r="J202" s="2">
        <v>2985.553667303082</v>
      </c>
      <c r="K202">
        <f t="shared" si="13"/>
        <v>895666.1001909246</v>
      </c>
      <c r="L202" s="1">
        <v>8.9083336269112648E-2</v>
      </c>
      <c r="M202">
        <f t="shared" si="14"/>
        <v>26.725000880733795</v>
      </c>
      <c r="N202" s="2" t="s">
        <v>598</v>
      </c>
      <c r="O202" s="2">
        <f>VLOOKUP(A202,'Coal savings'!$A$3:$K$543,10,FALSE)</f>
        <v>0</v>
      </c>
      <c r="P202" s="2">
        <f t="shared" si="15"/>
        <v>0</v>
      </c>
      <c r="Q202">
        <f>VLOOKUP(A202,'[13]Thermal generation Mar 19 - Feb'!$C$2:$D$680,2,FALSE)</f>
        <v>1320.64</v>
      </c>
    </row>
    <row r="203" spans="1:17" x14ac:dyDescent="0.2">
      <c r="A203" s="2" t="s">
        <v>272</v>
      </c>
      <c r="B203" t="s">
        <v>609</v>
      </c>
      <c r="C203" t="s">
        <v>626</v>
      </c>
      <c r="D203" t="s">
        <v>571</v>
      </c>
      <c r="E203" t="s">
        <v>546</v>
      </c>
      <c r="F203" s="36">
        <v>21.177275838466802</v>
      </c>
      <c r="G203">
        <v>500</v>
      </c>
      <c r="H203">
        <v>1.57</v>
      </c>
      <c r="I203">
        <f t="shared" si="12"/>
        <v>785</v>
      </c>
      <c r="J203" s="2">
        <v>2834.0983054357157</v>
      </c>
      <c r="K203">
        <f t="shared" si="13"/>
        <v>1417049.1527178579</v>
      </c>
      <c r="L203">
        <v>6.5179373950034494E-2</v>
      </c>
      <c r="M203">
        <f t="shared" si="14"/>
        <v>32.589686975017244</v>
      </c>
      <c r="N203" s="2" t="s">
        <v>598</v>
      </c>
      <c r="O203" s="2">
        <f>VLOOKUP(A203,'Coal savings'!$A$3:$K$543,10,FALSE)</f>
        <v>0</v>
      </c>
      <c r="P203" s="2">
        <f t="shared" si="15"/>
        <v>0</v>
      </c>
      <c r="Q203">
        <f>VLOOKUP(A203,'[13]Thermal generation Mar 19 - Feb'!$C$2:$D$680,2,FALSE)</f>
        <v>3088.6599999999899</v>
      </c>
    </row>
    <row r="204" spans="1:17" x14ac:dyDescent="0.2">
      <c r="A204" s="2" t="s">
        <v>186</v>
      </c>
      <c r="B204" t="s">
        <v>611</v>
      </c>
      <c r="C204" t="s">
        <v>626</v>
      </c>
      <c r="D204" t="s">
        <v>572</v>
      </c>
      <c r="E204" t="s">
        <v>542</v>
      </c>
      <c r="F204" s="36">
        <v>3.7563312799452402</v>
      </c>
      <c r="G204">
        <v>300</v>
      </c>
      <c r="H204">
        <v>1.66</v>
      </c>
      <c r="I204">
        <f t="shared" si="12"/>
        <v>498</v>
      </c>
      <c r="J204" s="2">
        <v>2978.4724443998825</v>
      </c>
      <c r="K204">
        <f t="shared" si="13"/>
        <v>893541.73331996473</v>
      </c>
      <c r="L204" s="1">
        <v>8.9083336269112648E-2</v>
      </c>
      <c r="M204">
        <f t="shared" si="14"/>
        <v>26.725000880733795</v>
      </c>
      <c r="N204" s="2" t="s">
        <v>598</v>
      </c>
      <c r="O204" s="2">
        <f>VLOOKUP(A204,'Coal savings'!$A$3:$K$543,10,FALSE)</f>
        <v>0</v>
      </c>
      <c r="P204" s="2">
        <f t="shared" si="15"/>
        <v>0</v>
      </c>
      <c r="Q204">
        <f>VLOOKUP(A204,'[13]Thermal generation Mar 19 - Feb'!$C$2:$D$680,2,FALSE)</f>
        <v>823.11999999999898</v>
      </c>
    </row>
    <row r="205" spans="1:17" x14ac:dyDescent="0.2">
      <c r="A205" s="2" t="s">
        <v>194</v>
      </c>
      <c r="B205" t="s">
        <v>611</v>
      </c>
      <c r="C205" t="s">
        <v>626</v>
      </c>
      <c r="D205" t="s">
        <v>572</v>
      </c>
      <c r="E205" t="s">
        <v>542</v>
      </c>
      <c r="F205" s="36">
        <v>4.8432580424366796</v>
      </c>
      <c r="G205">
        <v>300</v>
      </c>
      <c r="H205">
        <v>1.65</v>
      </c>
      <c r="I205">
        <f t="shared" si="12"/>
        <v>495</v>
      </c>
      <c r="J205" s="2">
        <v>2904.2483711200871</v>
      </c>
      <c r="K205">
        <f t="shared" si="13"/>
        <v>871274.51133602613</v>
      </c>
      <c r="L205" s="1">
        <v>8.8068952930357491E-2</v>
      </c>
      <c r="M205">
        <f t="shared" si="14"/>
        <v>26.420685879107246</v>
      </c>
      <c r="N205" s="2" t="s">
        <v>598</v>
      </c>
      <c r="O205" s="2">
        <f>VLOOKUP(A205,'Coal savings'!$A$3:$K$543,10,FALSE)</f>
        <v>0</v>
      </c>
      <c r="P205" s="2">
        <f t="shared" si="15"/>
        <v>0</v>
      </c>
      <c r="Q205">
        <f>VLOOKUP(A205,'[13]Thermal generation Mar 19 - Feb'!$C$2:$D$680,2,FALSE)</f>
        <v>2080.59</v>
      </c>
    </row>
    <row r="206" spans="1:17" x14ac:dyDescent="0.2">
      <c r="A206" s="2" t="s">
        <v>286</v>
      </c>
      <c r="B206" t="s">
        <v>617</v>
      </c>
      <c r="C206" t="s">
        <v>626</v>
      </c>
      <c r="D206" t="s">
        <v>570</v>
      </c>
      <c r="E206" t="s">
        <v>546</v>
      </c>
      <c r="F206" s="36">
        <v>22.590006844626899</v>
      </c>
      <c r="G206">
        <v>500</v>
      </c>
      <c r="H206">
        <v>2.31</v>
      </c>
      <c r="I206">
        <f t="shared" si="12"/>
        <v>1155</v>
      </c>
      <c r="J206" s="2">
        <v>2949.8048395036776</v>
      </c>
      <c r="K206">
        <f t="shared" si="13"/>
        <v>1474902.4197518388</v>
      </c>
      <c r="L206">
        <v>7.096074531932961E-2</v>
      </c>
      <c r="M206">
        <f t="shared" si="14"/>
        <v>35.480372659664802</v>
      </c>
      <c r="N206" s="2" t="s">
        <v>598</v>
      </c>
      <c r="O206" s="2">
        <f>VLOOKUP(A206,'Coal savings'!$A$3:$K$543,10,FALSE)</f>
        <v>0</v>
      </c>
      <c r="P206" s="2">
        <f t="shared" si="15"/>
        <v>0</v>
      </c>
      <c r="Q206">
        <f>VLOOKUP(A206,'[13]Thermal generation Mar 19 - Feb'!$C$2:$D$680,2,FALSE)</f>
        <v>1540.06</v>
      </c>
    </row>
    <row r="207" spans="1:17" x14ac:dyDescent="0.2">
      <c r="A207" s="2" t="s">
        <v>198</v>
      </c>
      <c r="B207" t="s">
        <v>621</v>
      </c>
      <c r="C207" t="s">
        <v>625</v>
      </c>
      <c r="D207" t="s">
        <v>572</v>
      </c>
      <c r="E207" t="s">
        <v>543</v>
      </c>
      <c r="F207" s="36">
        <v>5.2539356605065004</v>
      </c>
      <c r="G207">
        <v>300</v>
      </c>
      <c r="H207">
        <v>1.6778236607803951</v>
      </c>
      <c r="I207">
        <f t="shared" si="12"/>
        <v>503.34709823411856</v>
      </c>
      <c r="J207" s="2">
        <v>2898.8090451903672</v>
      </c>
      <c r="K207">
        <f t="shared" si="13"/>
        <v>869642.71355711017</v>
      </c>
      <c r="L207">
        <v>7.8501687626901739E-2</v>
      </c>
      <c r="M207">
        <f t="shared" si="14"/>
        <v>23.550506288070522</v>
      </c>
      <c r="N207" s="2" t="s">
        <v>598</v>
      </c>
      <c r="O207" s="2">
        <f>VLOOKUP(A207,'Coal savings'!$A$3:$K$543,10,FALSE)</f>
        <v>0</v>
      </c>
      <c r="P207" s="2">
        <f t="shared" si="15"/>
        <v>0</v>
      </c>
      <c r="Q207">
        <f>VLOOKUP(A207,'[13]Thermal generation Mar 19 - Feb'!$C$2:$D$680,2,FALSE)</f>
        <v>2300.79</v>
      </c>
    </row>
    <row r="208" spans="1:17" x14ac:dyDescent="0.2">
      <c r="A208" s="2" t="s">
        <v>201</v>
      </c>
      <c r="B208" t="s">
        <v>621</v>
      </c>
      <c r="C208" t="s">
        <v>625</v>
      </c>
      <c r="D208" t="s">
        <v>572</v>
      </c>
      <c r="E208" t="s">
        <v>543</v>
      </c>
      <c r="F208" s="36">
        <v>5.3388090349075901</v>
      </c>
      <c r="G208">
        <v>300</v>
      </c>
      <c r="H208">
        <v>1.6857664904051768</v>
      </c>
      <c r="I208">
        <f t="shared" si="12"/>
        <v>505.72994712155304</v>
      </c>
      <c r="J208" s="2">
        <v>2902.718572232583</v>
      </c>
      <c r="K208">
        <f t="shared" si="13"/>
        <v>870815.57166977494</v>
      </c>
      <c r="L208">
        <v>7.8501687626901739E-2</v>
      </c>
      <c r="M208">
        <f t="shared" si="14"/>
        <v>23.550506288070522</v>
      </c>
      <c r="N208" s="2" t="s">
        <v>598</v>
      </c>
      <c r="O208" s="2">
        <f>VLOOKUP(A208,'Coal savings'!$A$3:$K$543,10,FALSE)</f>
        <v>0</v>
      </c>
      <c r="P208" s="2">
        <f t="shared" si="15"/>
        <v>0</v>
      </c>
      <c r="Q208">
        <f>VLOOKUP(A208,'[13]Thermal generation Mar 19 - Feb'!$C$2:$D$680,2,FALSE)</f>
        <v>2194.3999999999901</v>
      </c>
    </row>
    <row r="209" spans="1:17" x14ac:dyDescent="0.2">
      <c r="A209" s="2" t="s">
        <v>205</v>
      </c>
      <c r="B209" t="s">
        <v>617</v>
      </c>
      <c r="C209" t="s">
        <v>626</v>
      </c>
      <c r="D209" t="s">
        <v>572</v>
      </c>
      <c r="E209" t="s">
        <v>543</v>
      </c>
      <c r="F209" s="36">
        <v>6.00958247775496</v>
      </c>
      <c r="G209">
        <v>300</v>
      </c>
      <c r="H209">
        <v>1.99</v>
      </c>
      <c r="I209">
        <f t="shared" si="12"/>
        <v>597</v>
      </c>
      <c r="J209" s="2">
        <v>2931.4469140426431</v>
      </c>
      <c r="K209">
        <f t="shared" si="13"/>
        <v>879434.07421279291</v>
      </c>
      <c r="L209">
        <v>8.4082972715828666E-2</v>
      </c>
      <c r="M209">
        <f t="shared" si="14"/>
        <v>25.224891814748599</v>
      </c>
      <c r="N209" s="2" t="s">
        <v>598</v>
      </c>
      <c r="O209" s="2">
        <f>VLOOKUP(A209,'Coal savings'!$A$3:$K$543,10,FALSE)</f>
        <v>0</v>
      </c>
      <c r="P209" s="2">
        <f t="shared" si="15"/>
        <v>0</v>
      </c>
      <c r="Q209">
        <f>VLOOKUP(A209,'[13]Thermal generation Mar 19 - Feb'!$C$2:$D$680,2,FALSE)</f>
        <v>2103.9299999999998</v>
      </c>
    </row>
    <row r="210" spans="1:17" x14ac:dyDescent="0.2">
      <c r="A210" s="2" t="s">
        <v>214</v>
      </c>
      <c r="B210" t="s">
        <v>617</v>
      </c>
      <c r="C210" t="s">
        <v>626</v>
      </c>
      <c r="D210" t="s">
        <v>572</v>
      </c>
      <c r="E210" t="s">
        <v>543</v>
      </c>
      <c r="F210" s="36">
        <v>6.7570157426420199</v>
      </c>
      <c r="G210">
        <v>300</v>
      </c>
      <c r="H210">
        <v>1.9</v>
      </c>
      <c r="I210">
        <f t="shared" si="12"/>
        <v>570</v>
      </c>
      <c r="J210" s="2">
        <v>2951.6847194973798</v>
      </c>
      <c r="K210">
        <f t="shared" si="13"/>
        <v>885505.41584921395</v>
      </c>
      <c r="L210">
        <v>8.7066312766907406E-2</v>
      </c>
      <c r="M210">
        <f t="shared" si="14"/>
        <v>26.119893830072222</v>
      </c>
      <c r="N210" s="2" t="s">
        <v>598</v>
      </c>
      <c r="O210" s="2">
        <f>VLOOKUP(A210,'Coal savings'!$A$3:$K$543,10,FALSE)</f>
        <v>0</v>
      </c>
      <c r="P210" s="2">
        <f t="shared" si="15"/>
        <v>0</v>
      </c>
      <c r="Q210">
        <f>VLOOKUP(A210,'[13]Thermal generation Mar 19 - Feb'!$C$2:$D$680,2,FALSE)</f>
        <v>2106.41</v>
      </c>
    </row>
    <row r="211" spans="1:17" x14ac:dyDescent="0.2">
      <c r="A211" s="2" t="s">
        <v>308</v>
      </c>
      <c r="B211" t="s">
        <v>608</v>
      </c>
      <c r="C211" t="s">
        <v>625</v>
      </c>
      <c r="D211" t="s">
        <v>571</v>
      </c>
      <c r="E211" t="s">
        <v>546</v>
      </c>
      <c r="F211" s="36">
        <v>24.175222450376399</v>
      </c>
      <c r="G211">
        <v>500</v>
      </c>
      <c r="H211">
        <v>1.69</v>
      </c>
      <c r="I211">
        <f t="shared" si="12"/>
        <v>845</v>
      </c>
      <c r="J211" s="2">
        <v>2886.4112379116996</v>
      </c>
      <c r="K211">
        <f t="shared" si="13"/>
        <v>1443205.6189558497</v>
      </c>
      <c r="L211">
        <v>6.4093993789743203E-2</v>
      </c>
      <c r="M211">
        <f t="shared" si="14"/>
        <v>32.046996894871604</v>
      </c>
      <c r="N211" s="2" t="s">
        <v>598</v>
      </c>
      <c r="O211" s="2">
        <f>VLOOKUP(A211,'Coal savings'!$A$3:$K$543,10,FALSE)</f>
        <v>0</v>
      </c>
      <c r="P211" s="2">
        <f t="shared" si="15"/>
        <v>0</v>
      </c>
      <c r="Q211">
        <f>VLOOKUP(A211,'[13]Thermal generation Mar 19 - Feb'!$C$2:$D$680,2,FALSE)</f>
        <v>3274.13</v>
      </c>
    </row>
    <row r="212" spans="1:17" x14ac:dyDescent="0.2">
      <c r="A212" s="2" t="s">
        <v>183</v>
      </c>
      <c r="B212" t="s">
        <v>615</v>
      </c>
      <c r="C212" t="s">
        <v>625</v>
      </c>
      <c r="D212" t="s">
        <v>571</v>
      </c>
      <c r="E212" t="s">
        <v>542</v>
      </c>
      <c r="F212" s="36">
        <v>1.2539356605065</v>
      </c>
      <c r="G212">
        <v>250</v>
      </c>
      <c r="H212">
        <v>1.97</v>
      </c>
      <c r="I212">
        <f t="shared" si="12"/>
        <v>492.5</v>
      </c>
      <c r="J212" s="2">
        <v>2960.7599646738304</v>
      </c>
      <c r="K212">
        <f t="shared" si="13"/>
        <v>740189.99116845755</v>
      </c>
      <c r="L212" s="1">
        <v>7.0000000000000007E-2</v>
      </c>
      <c r="M212">
        <f t="shared" si="14"/>
        <v>17.5</v>
      </c>
      <c r="N212" s="2" t="s">
        <v>598</v>
      </c>
      <c r="O212" s="2">
        <f>VLOOKUP(A212,'Coal savings'!$A$3:$K$543,10,FALSE)</f>
        <v>0</v>
      </c>
      <c r="P212" s="2">
        <f t="shared" si="15"/>
        <v>0</v>
      </c>
      <c r="Q212">
        <f>VLOOKUP(A212,'[13]Thermal generation Mar 19 - Feb'!$C$2:$D$680,2,FALSE)</f>
        <v>1642.02</v>
      </c>
    </row>
    <row r="213" spans="1:17" x14ac:dyDescent="0.2">
      <c r="A213" s="2" t="s">
        <v>318</v>
      </c>
      <c r="B213" t="s">
        <v>634</v>
      </c>
      <c r="C213" t="s">
        <v>628</v>
      </c>
      <c r="D213" t="s">
        <v>570</v>
      </c>
      <c r="E213" t="s">
        <v>547</v>
      </c>
      <c r="F213" s="36">
        <v>25.842573579739899</v>
      </c>
      <c r="G213">
        <v>500</v>
      </c>
      <c r="H213">
        <v>1.49</v>
      </c>
      <c r="I213">
        <f t="shared" si="12"/>
        <v>745</v>
      </c>
      <c r="J213" s="2">
        <v>2895.4625819983767</v>
      </c>
      <c r="K213">
        <f t="shared" si="13"/>
        <v>1447731.2909991883</v>
      </c>
      <c r="L213">
        <v>9.3255770253987805E-2</v>
      </c>
      <c r="M213">
        <f t="shared" si="14"/>
        <v>46.627885126993903</v>
      </c>
      <c r="N213" s="2" t="s">
        <v>598</v>
      </c>
      <c r="O213" s="2">
        <f>VLOOKUP(A213,'Coal savings'!$A$3:$K$543,10,FALSE)</f>
        <v>0</v>
      </c>
      <c r="P213" s="2">
        <f t="shared" si="15"/>
        <v>0</v>
      </c>
      <c r="Q213">
        <f>VLOOKUP(A213,'[13]Thermal generation Mar 19 - Feb'!$C$2:$D$680,2,FALSE)</f>
        <v>3157.1499999999901</v>
      </c>
    </row>
    <row r="214" spans="1:17" x14ac:dyDescent="0.2">
      <c r="A214" s="2" t="s">
        <v>314</v>
      </c>
      <c r="B214" t="s">
        <v>608</v>
      </c>
      <c r="C214" t="s">
        <v>625</v>
      </c>
      <c r="D214" t="s">
        <v>571</v>
      </c>
      <c r="E214" t="s">
        <v>547</v>
      </c>
      <c r="F214" s="36">
        <v>25.2539356605065</v>
      </c>
      <c r="G214">
        <v>500</v>
      </c>
      <c r="H214">
        <v>1.69</v>
      </c>
      <c r="I214">
        <f t="shared" si="12"/>
        <v>845</v>
      </c>
      <c r="J214" s="2">
        <v>2898.1419671048852</v>
      </c>
      <c r="K214">
        <f t="shared" si="13"/>
        <v>1449070.9835524426</v>
      </c>
      <c r="L214">
        <v>6.4093993789743203E-2</v>
      </c>
      <c r="M214">
        <f t="shared" si="14"/>
        <v>32.046996894871604</v>
      </c>
      <c r="N214" s="2" t="s">
        <v>598</v>
      </c>
      <c r="O214" s="2">
        <f>VLOOKUP(A214,'Coal savings'!$A$3:$K$543,10,FALSE)</f>
        <v>0</v>
      </c>
      <c r="P214" s="2">
        <f t="shared" si="15"/>
        <v>0</v>
      </c>
      <c r="Q214">
        <f>VLOOKUP(A214,'[13]Thermal generation Mar 19 - Feb'!$C$2:$D$680,2,FALSE)</f>
        <v>2886.1399999999899</v>
      </c>
    </row>
    <row r="215" spans="1:17" x14ac:dyDescent="0.2">
      <c r="A215" s="2" t="s">
        <v>321</v>
      </c>
      <c r="B215" t="s">
        <v>621</v>
      </c>
      <c r="C215" t="s">
        <v>625</v>
      </c>
      <c r="D215" t="s">
        <v>571</v>
      </c>
      <c r="E215" t="s">
        <v>547</v>
      </c>
      <c r="F215" s="36">
        <v>26.2532511978097</v>
      </c>
      <c r="G215">
        <v>500</v>
      </c>
      <c r="H215">
        <v>2.56</v>
      </c>
      <c r="I215">
        <f t="shared" si="12"/>
        <v>1280</v>
      </c>
      <c r="J215" s="2">
        <v>2899.8809642232563</v>
      </c>
      <c r="K215">
        <f t="shared" si="13"/>
        <v>1449940.4821116282</v>
      </c>
      <c r="L215">
        <v>7.0380830688675913E-2</v>
      </c>
      <c r="M215">
        <f t="shared" si="14"/>
        <v>35.190415344337957</v>
      </c>
      <c r="N215" s="2" t="s">
        <v>598</v>
      </c>
      <c r="O215" s="2">
        <f>VLOOKUP(A215,'Coal savings'!$A$3:$K$543,10,FALSE)</f>
        <v>0</v>
      </c>
      <c r="P215" s="2">
        <f t="shared" si="15"/>
        <v>0</v>
      </c>
      <c r="Q215">
        <f>VLOOKUP(A215,'[13]Thermal generation Mar 19 - Feb'!$C$2:$D$680,2,FALSE)</f>
        <v>3062.0099999999902</v>
      </c>
    </row>
    <row r="216" spans="1:17" x14ac:dyDescent="0.2">
      <c r="A216" s="2" t="s">
        <v>326</v>
      </c>
      <c r="B216" t="s">
        <v>634</v>
      </c>
      <c r="C216" t="s">
        <v>628</v>
      </c>
      <c r="D216" t="s">
        <v>570</v>
      </c>
      <c r="E216" t="s">
        <v>547</v>
      </c>
      <c r="F216" s="36">
        <v>26.841889117043099</v>
      </c>
      <c r="G216">
        <v>500</v>
      </c>
      <c r="H216">
        <v>1.49</v>
      </c>
      <c r="I216">
        <f t="shared" si="12"/>
        <v>745</v>
      </c>
      <c r="J216" s="2">
        <v>2856.2095273210498</v>
      </c>
      <c r="K216">
        <f t="shared" si="13"/>
        <v>1428104.763660525</v>
      </c>
      <c r="L216">
        <v>9.3255770253987805E-2</v>
      </c>
      <c r="M216">
        <f t="shared" si="14"/>
        <v>46.627885126993903</v>
      </c>
      <c r="N216" s="2" t="s">
        <v>598</v>
      </c>
      <c r="O216" s="2">
        <f>VLOOKUP(A216,'Coal savings'!$A$3:$K$543,10,FALSE)</f>
        <v>0</v>
      </c>
      <c r="P216" s="2">
        <f t="shared" si="15"/>
        <v>0</v>
      </c>
      <c r="Q216">
        <f>VLOOKUP(A216,'[13]Thermal generation Mar 19 - Feb'!$C$2:$D$680,2,FALSE)</f>
        <v>3924.47</v>
      </c>
    </row>
    <row r="217" spans="1:17" x14ac:dyDescent="0.2">
      <c r="A217" s="2" t="s">
        <v>331</v>
      </c>
      <c r="B217" t="s">
        <v>621</v>
      </c>
      <c r="C217" t="s">
        <v>625</v>
      </c>
      <c r="D217" t="s">
        <v>571</v>
      </c>
      <c r="E217" t="s">
        <v>547</v>
      </c>
      <c r="F217" s="36">
        <v>27.671457905544099</v>
      </c>
      <c r="G217">
        <v>500</v>
      </c>
      <c r="H217">
        <v>2.56</v>
      </c>
      <c r="I217">
        <f t="shared" si="12"/>
        <v>1280</v>
      </c>
      <c r="J217" s="2">
        <v>2918.3835655819189</v>
      </c>
      <c r="K217">
        <f t="shared" si="13"/>
        <v>1459191.7827909593</v>
      </c>
      <c r="L217">
        <v>7.0380830688675913E-2</v>
      </c>
      <c r="M217">
        <f t="shared" si="14"/>
        <v>35.190415344337957</v>
      </c>
      <c r="N217" s="2" t="s">
        <v>598</v>
      </c>
      <c r="O217" s="2">
        <f>VLOOKUP(A217,'Coal savings'!$A$3:$K$543,10,FALSE)</f>
        <v>0</v>
      </c>
      <c r="P217" s="2">
        <f t="shared" si="15"/>
        <v>0</v>
      </c>
      <c r="Q217">
        <f>VLOOKUP(A217,'[13]Thermal generation Mar 19 - Feb'!$C$2:$D$680,2,FALSE)</f>
        <v>3409.1499999999901</v>
      </c>
    </row>
    <row r="218" spans="1:17" x14ac:dyDescent="0.2">
      <c r="A218" s="2" t="s">
        <v>333</v>
      </c>
      <c r="B218" t="s">
        <v>617</v>
      </c>
      <c r="C218" t="s">
        <v>626</v>
      </c>
      <c r="D218" t="s">
        <v>570</v>
      </c>
      <c r="E218" t="s">
        <v>547</v>
      </c>
      <c r="F218" s="36">
        <v>28.175222450376399</v>
      </c>
      <c r="G218">
        <v>500</v>
      </c>
      <c r="H218">
        <v>2.31</v>
      </c>
      <c r="I218">
        <f t="shared" si="12"/>
        <v>1155</v>
      </c>
      <c r="J218" s="2">
        <v>3015.8610690343939</v>
      </c>
      <c r="K218">
        <f t="shared" si="13"/>
        <v>1507930.5345171969</v>
      </c>
      <c r="L218">
        <v>7.096074531932961E-2</v>
      </c>
      <c r="M218">
        <f t="shared" si="14"/>
        <v>35.480372659664802</v>
      </c>
      <c r="N218" s="2" t="s">
        <v>598</v>
      </c>
      <c r="O218" s="2">
        <f>VLOOKUP(A218,'Coal savings'!$A$3:$K$543,10,FALSE)</f>
        <v>0</v>
      </c>
      <c r="P218" s="2">
        <f t="shared" si="15"/>
        <v>0</v>
      </c>
      <c r="Q218">
        <f>VLOOKUP(A218,'[13]Thermal generation Mar 19 - Feb'!$C$2:$D$680,2,FALSE)</f>
        <v>2626.3699999999899</v>
      </c>
    </row>
    <row r="219" spans="1:17" x14ac:dyDescent="0.2">
      <c r="A219" s="2" t="s">
        <v>348</v>
      </c>
      <c r="B219" t="s">
        <v>617</v>
      </c>
      <c r="C219" t="s">
        <v>626</v>
      </c>
      <c r="D219" t="s">
        <v>570</v>
      </c>
      <c r="E219" t="s">
        <v>547</v>
      </c>
      <c r="F219" s="36">
        <v>29.177275838466802</v>
      </c>
      <c r="G219">
        <v>500</v>
      </c>
      <c r="H219">
        <v>2.31</v>
      </c>
      <c r="I219">
        <f t="shared" si="12"/>
        <v>1155</v>
      </c>
      <c r="J219" s="2">
        <v>2982.8447481243338</v>
      </c>
      <c r="K219">
        <f t="shared" si="13"/>
        <v>1491422.374062167</v>
      </c>
      <c r="L219">
        <v>7.096074531932961E-2</v>
      </c>
      <c r="M219">
        <f t="shared" si="14"/>
        <v>35.480372659664802</v>
      </c>
      <c r="N219" s="2" t="s">
        <v>598</v>
      </c>
      <c r="O219" s="2">
        <f>VLOOKUP(A219,'Coal savings'!$A$3:$K$543,10,FALSE)</f>
        <v>0</v>
      </c>
      <c r="P219" s="2">
        <f t="shared" si="15"/>
        <v>0</v>
      </c>
      <c r="Q219">
        <f>VLOOKUP(A219,'[13]Thermal generation Mar 19 - Feb'!$C$2:$D$680,2,FALSE)</f>
        <v>2608.3599999999901</v>
      </c>
    </row>
    <row r="220" spans="1:17" x14ac:dyDescent="0.2">
      <c r="A220" s="2" t="s">
        <v>352</v>
      </c>
      <c r="B220" t="s">
        <v>610</v>
      </c>
      <c r="C220" t="s">
        <v>627</v>
      </c>
      <c r="D220" t="s">
        <v>571</v>
      </c>
      <c r="E220" t="s">
        <v>548</v>
      </c>
      <c r="F220" s="36">
        <v>30.590006844626899</v>
      </c>
      <c r="G220">
        <v>500</v>
      </c>
      <c r="H220">
        <v>2.52</v>
      </c>
      <c r="I220">
        <f t="shared" si="12"/>
        <v>1260</v>
      </c>
      <c r="J220" s="2">
        <v>2923.0406660004787</v>
      </c>
      <c r="K220">
        <f t="shared" si="13"/>
        <v>1461520.3330002395</v>
      </c>
      <c r="L220">
        <v>6.1716058959159902E-2</v>
      </c>
      <c r="M220">
        <f t="shared" si="14"/>
        <v>30.858029479579951</v>
      </c>
      <c r="N220" s="2" t="s">
        <v>598</v>
      </c>
      <c r="O220" s="2">
        <f>VLOOKUP(A220,'Coal savings'!$A$3:$K$543,10,FALSE)</f>
        <v>0</v>
      </c>
      <c r="P220" s="2">
        <f t="shared" si="15"/>
        <v>0</v>
      </c>
      <c r="Q220">
        <f>VLOOKUP(A220,'[13]Thermal generation Mar 19 - Feb'!$C$2:$D$680,2,FALSE)</f>
        <v>3402.46</v>
      </c>
    </row>
    <row r="221" spans="1:17" x14ac:dyDescent="0.2">
      <c r="A221" s="2" t="s">
        <v>353</v>
      </c>
      <c r="B221" t="s">
        <v>634</v>
      </c>
      <c r="C221" t="s">
        <v>628</v>
      </c>
      <c r="D221" t="s">
        <v>571</v>
      </c>
      <c r="E221" t="s">
        <v>548</v>
      </c>
      <c r="F221" s="36">
        <v>30.841889117043099</v>
      </c>
      <c r="G221">
        <v>500</v>
      </c>
      <c r="H221">
        <v>1.38</v>
      </c>
      <c r="I221">
        <f t="shared" si="12"/>
        <v>690</v>
      </c>
      <c r="J221" s="2">
        <v>2915.7049162779158</v>
      </c>
      <c r="K221">
        <f t="shared" si="13"/>
        <v>1457852.4581389579</v>
      </c>
      <c r="L221">
        <v>6.6356788102148762E-2</v>
      </c>
      <c r="M221">
        <f t="shared" si="14"/>
        <v>33.178394051074378</v>
      </c>
      <c r="N221" s="2" t="s">
        <v>598</v>
      </c>
      <c r="O221" s="2">
        <f>VLOOKUP(A221,'Coal savings'!$A$3:$K$543,10,FALSE)</f>
        <v>0</v>
      </c>
      <c r="P221" s="2">
        <f t="shared" si="15"/>
        <v>0</v>
      </c>
      <c r="Q221">
        <f>VLOOKUP(A221,'[13]Thermal generation Mar 19 - Feb'!$C$2:$D$680,2,FALSE)</f>
        <v>3389.1399999999899</v>
      </c>
    </row>
    <row r="222" spans="1:17" x14ac:dyDescent="0.2">
      <c r="A222" s="2" t="s">
        <v>355</v>
      </c>
      <c r="B222" t="s">
        <v>610</v>
      </c>
      <c r="C222" t="s">
        <v>627</v>
      </c>
      <c r="D222" t="s">
        <v>571</v>
      </c>
      <c r="E222" t="s">
        <v>548</v>
      </c>
      <c r="F222" s="36">
        <v>31.175906913073199</v>
      </c>
      <c r="G222">
        <v>500</v>
      </c>
      <c r="H222">
        <v>2.52</v>
      </c>
      <c r="I222">
        <f t="shared" si="12"/>
        <v>1260</v>
      </c>
      <c r="J222" s="2">
        <v>2931.9820113963374</v>
      </c>
      <c r="K222">
        <f t="shared" si="13"/>
        <v>1465991.0056981687</v>
      </c>
      <c r="L222">
        <v>6.1716058959159902E-2</v>
      </c>
      <c r="M222">
        <f t="shared" si="14"/>
        <v>30.858029479579951</v>
      </c>
      <c r="N222" s="2" t="s">
        <v>598</v>
      </c>
      <c r="O222" s="2">
        <f>VLOOKUP(A222,'Coal savings'!$A$3:$K$543,10,FALSE)</f>
        <v>0</v>
      </c>
      <c r="P222" s="2">
        <f t="shared" si="15"/>
        <v>0</v>
      </c>
      <c r="Q222">
        <f>VLOOKUP(A222,'[13]Thermal generation Mar 19 - Feb'!$C$2:$D$680,2,FALSE)</f>
        <v>3371.16</v>
      </c>
    </row>
    <row r="223" spans="1:17" x14ac:dyDescent="0.2">
      <c r="A223" s="2" t="s">
        <v>356</v>
      </c>
      <c r="B223" t="s">
        <v>611</v>
      </c>
      <c r="C223" t="s">
        <v>626</v>
      </c>
      <c r="D223" t="s">
        <v>571</v>
      </c>
      <c r="E223" t="s">
        <v>548</v>
      </c>
      <c r="F223" s="36">
        <v>31.2525667351129</v>
      </c>
      <c r="G223">
        <v>500</v>
      </c>
      <c r="H223">
        <v>1.32</v>
      </c>
      <c r="I223">
        <f t="shared" si="12"/>
        <v>660</v>
      </c>
      <c r="J223" s="2">
        <v>2902.2520679156155</v>
      </c>
      <c r="K223">
        <f t="shared" si="13"/>
        <v>1451126.0339578078</v>
      </c>
      <c r="L223">
        <v>6.2610933454142856E-2</v>
      </c>
      <c r="M223">
        <f t="shared" si="14"/>
        <v>31.305466727071426</v>
      </c>
      <c r="N223" s="2" t="s">
        <v>598</v>
      </c>
      <c r="O223" s="2">
        <f>VLOOKUP(A223,'Coal savings'!$A$3:$K$543,10,FALSE)</f>
        <v>0</v>
      </c>
      <c r="P223" s="2">
        <f t="shared" si="15"/>
        <v>0</v>
      </c>
      <c r="Q223">
        <f>VLOOKUP(A223,'[13]Thermal generation Mar 19 - Feb'!$C$2:$D$680,2,FALSE)</f>
        <v>3973.1899999999901</v>
      </c>
    </row>
    <row r="224" spans="1:17" x14ac:dyDescent="0.2">
      <c r="A224" s="2" t="s">
        <v>211</v>
      </c>
      <c r="B224" t="s">
        <v>617</v>
      </c>
      <c r="C224" t="s">
        <v>626</v>
      </c>
      <c r="D224" t="s">
        <v>572</v>
      </c>
      <c r="E224" t="s">
        <v>543</v>
      </c>
      <c r="F224" s="36">
        <v>6.5051334702258696</v>
      </c>
      <c r="G224">
        <v>300</v>
      </c>
      <c r="H224">
        <v>1.99</v>
      </c>
      <c r="I224">
        <f t="shared" si="12"/>
        <v>597</v>
      </c>
      <c r="J224" s="2">
        <v>3079.4011096127497</v>
      </c>
      <c r="K224">
        <f t="shared" si="13"/>
        <v>923820.33288382494</v>
      </c>
      <c r="L224">
        <v>8.4082972715828666E-2</v>
      </c>
      <c r="M224">
        <f t="shared" si="14"/>
        <v>25.224891814748599</v>
      </c>
      <c r="N224" s="2" t="s">
        <v>598</v>
      </c>
      <c r="O224" s="2">
        <f>VLOOKUP(A224,'Coal savings'!$A$3:$K$543,10,FALSE)</f>
        <v>0</v>
      </c>
      <c r="P224" s="2">
        <f t="shared" si="15"/>
        <v>0</v>
      </c>
      <c r="Q224">
        <f>VLOOKUP(A224,'[13]Thermal generation Mar 19 - Feb'!$C$2:$D$680,2,FALSE)</f>
        <v>1180.98</v>
      </c>
    </row>
    <row r="225" spans="1:17" x14ac:dyDescent="0.2">
      <c r="A225" s="2" t="s">
        <v>220</v>
      </c>
      <c r="B225" t="s">
        <v>617</v>
      </c>
      <c r="C225" t="s">
        <v>626</v>
      </c>
      <c r="D225" t="s">
        <v>572</v>
      </c>
      <c r="E225" t="s">
        <v>543</v>
      </c>
      <c r="F225" s="36">
        <v>7.2525667351129304</v>
      </c>
      <c r="G225">
        <v>300</v>
      </c>
      <c r="H225">
        <v>1.9</v>
      </c>
      <c r="I225">
        <f t="shared" si="12"/>
        <v>570</v>
      </c>
      <c r="J225" s="2">
        <v>2940.6078419256801</v>
      </c>
      <c r="K225">
        <f t="shared" si="13"/>
        <v>882182.352577704</v>
      </c>
      <c r="L225">
        <v>8.7066312766907406E-2</v>
      </c>
      <c r="M225">
        <f t="shared" si="14"/>
        <v>26.119893830072222</v>
      </c>
      <c r="N225" s="2" t="s">
        <v>598</v>
      </c>
      <c r="O225" s="2">
        <f>VLOOKUP(A225,'Coal savings'!$A$3:$K$543,10,FALSE)</f>
        <v>0</v>
      </c>
      <c r="P225" s="2">
        <f t="shared" si="15"/>
        <v>0</v>
      </c>
      <c r="Q225">
        <f>VLOOKUP(A225,'[13]Thermal generation Mar 19 - Feb'!$C$2:$D$680,2,FALSE)</f>
        <v>2101.7199999999898</v>
      </c>
    </row>
    <row r="226" spans="1:17" x14ac:dyDescent="0.2">
      <c r="A226" s="2" t="s">
        <v>184</v>
      </c>
      <c r="B226" t="s">
        <v>624</v>
      </c>
      <c r="C226" t="s">
        <v>629</v>
      </c>
      <c r="D226" t="s">
        <v>571</v>
      </c>
      <c r="E226" t="s">
        <v>542</v>
      </c>
      <c r="F226" s="36">
        <v>1.3388090349075901</v>
      </c>
      <c r="G226">
        <v>250</v>
      </c>
      <c r="H226">
        <v>2.97</v>
      </c>
      <c r="I226">
        <f t="shared" si="12"/>
        <v>742.5</v>
      </c>
      <c r="J226" s="2">
        <v>3034.2790040540422</v>
      </c>
      <c r="K226">
        <f t="shared" si="13"/>
        <v>758569.75101351051</v>
      </c>
      <c r="L226" s="1">
        <v>0.06</v>
      </c>
      <c r="M226">
        <f t="shared" si="14"/>
        <v>15</v>
      </c>
      <c r="N226" s="2" t="s">
        <v>598</v>
      </c>
      <c r="O226" s="2">
        <f>VLOOKUP(A226,'Coal savings'!$A$3:$K$543,10,FALSE)</f>
        <v>0</v>
      </c>
      <c r="P226" s="2">
        <f t="shared" si="15"/>
        <v>0</v>
      </c>
      <c r="Q226">
        <f>VLOOKUP(A226,'[13]Thermal generation Mar 19 - Feb'!$C$2:$D$680,2,FALSE)</f>
        <v>1171.53</v>
      </c>
    </row>
    <row r="227" spans="1:17" x14ac:dyDescent="0.2">
      <c r="A227" s="2" t="s">
        <v>357</v>
      </c>
      <c r="B227" t="s">
        <v>610</v>
      </c>
      <c r="C227" t="s">
        <v>627</v>
      </c>
      <c r="D227" t="s">
        <v>571</v>
      </c>
      <c r="E227" t="s">
        <v>548</v>
      </c>
      <c r="F227" s="36">
        <v>31.923340177960299</v>
      </c>
      <c r="G227">
        <v>500</v>
      </c>
      <c r="H227">
        <v>2.52</v>
      </c>
      <c r="I227">
        <f t="shared" si="12"/>
        <v>1260</v>
      </c>
      <c r="J227" s="2">
        <v>2949.8116970325996</v>
      </c>
      <c r="K227">
        <f t="shared" si="13"/>
        <v>1474905.8485162999</v>
      </c>
      <c r="L227">
        <v>6.1716058959159902E-2</v>
      </c>
      <c r="M227">
        <f t="shared" si="14"/>
        <v>30.858029479579951</v>
      </c>
      <c r="N227" s="2" t="s">
        <v>598</v>
      </c>
      <c r="O227" s="2">
        <f>VLOOKUP(A227,'Coal savings'!$A$3:$K$543,10,FALSE)</f>
        <v>0</v>
      </c>
      <c r="P227" s="2">
        <f t="shared" si="15"/>
        <v>0</v>
      </c>
      <c r="Q227">
        <f>VLOOKUP(A227,'[13]Thermal generation Mar 19 - Feb'!$C$2:$D$680,2,FALSE)</f>
        <v>2924.6399999999899</v>
      </c>
    </row>
    <row r="228" spans="1:17" x14ac:dyDescent="0.2">
      <c r="A228" s="2" t="s">
        <v>363</v>
      </c>
      <c r="B228" t="s">
        <v>611</v>
      </c>
      <c r="C228" t="s">
        <v>626</v>
      </c>
      <c r="D228" t="s">
        <v>571</v>
      </c>
      <c r="E228" t="s">
        <v>548</v>
      </c>
      <c r="F228" s="36">
        <v>32.175222450376403</v>
      </c>
      <c r="G228">
        <v>500</v>
      </c>
      <c r="H228">
        <v>1.32</v>
      </c>
      <c r="I228">
        <f t="shared" si="12"/>
        <v>660</v>
      </c>
      <c r="J228" s="2">
        <v>2925.5808012035236</v>
      </c>
      <c r="K228">
        <f t="shared" si="13"/>
        <v>1462790.4006017619</v>
      </c>
      <c r="L228">
        <v>6.2610933454142856E-2</v>
      </c>
      <c r="M228">
        <f t="shared" si="14"/>
        <v>31.305466727071426</v>
      </c>
      <c r="N228" s="2" t="s">
        <v>598</v>
      </c>
      <c r="O228" s="2">
        <f>VLOOKUP(A228,'Coal savings'!$A$3:$K$543,10,FALSE)</f>
        <v>0</v>
      </c>
      <c r="P228" s="2">
        <f t="shared" si="15"/>
        <v>0</v>
      </c>
      <c r="Q228">
        <f>VLOOKUP(A228,'[13]Thermal generation Mar 19 - Feb'!$C$2:$D$680,2,FALSE)</f>
        <v>3491.8799999999901</v>
      </c>
    </row>
    <row r="229" spans="1:17" x14ac:dyDescent="0.2">
      <c r="A229" s="2" t="s">
        <v>362</v>
      </c>
      <c r="B229" t="s">
        <v>634</v>
      </c>
      <c r="C229" t="s">
        <v>628</v>
      </c>
      <c r="D229" t="s">
        <v>571</v>
      </c>
      <c r="E229" t="s">
        <v>548</v>
      </c>
      <c r="F229" s="36">
        <v>32.175222450376403</v>
      </c>
      <c r="G229">
        <v>500</v>
      </c>
      <c r="H229">
        <v>1.38</v>
      </c>
      <c r="I229">
        <f t="shared" si="12"/>
        <v>690</v>
      </c>
      <c r="J229" s="2">
        <v>2911.6238440025709</v>
      </c>
      <c r="K229">
        <f t="shared" si="13"/>
        <v>1455811.9220012855</v>
      </c>
      <c r="L229">
        <v>6.6356788102148762E-2</v>
      </c>
      <c r="M229">
        <f t="shared" si="14"/>
        <v>33.178394051074378</v>
      </c>
      <c r="N229" s="2" t="s">
        <v>598</v>
      </c>
      <c r="O229" s="2">
        <f>VLOOKUP(A229,'Coal savings'!$A$3:$K$543,10,FALSE)</f>
        <v>0</v>
      </c>
      <c r="P229" s="2">
        <f t="shared" si="15"/>
        <v>0</v>
      </c>
      <c r="Q229">
        <f>VLOOKUP(A229,'[13]Thermal generation Mar 19 - Feb'!$C$2:$D$680,2,FALSE)</f>
        <v>3991.99999999999</v>
      </c>
    </row>
    <row r="230" spans="1:17" x14ac:dyDescent="0.2">
      <c r="A230" s="2" t="s">
        <v>218</v>
      </c>
      <c r="B230" t="s">
        <v>617</v>
      </c>
      <c r="C230" t="s">
        <v>626</v>
      </c>
      <c r="D230" t="s">
        <v>572</v>
      </c>
      <c r="E230" t="s">
        <v>543</v>
      </c>
      <c r="F230" s="36">
        <v>7.1759069130732298</v>
      </c>
      <c r="G230">
        <v>300</v>
      </c>
      <c r="H230">
        <v>2.46</v>
      </c>
      <c r="I230">
        <f t="shared" si="12"/>
        <v>738</v>
      </c>
      <c r="J230" s="2">
        <v>3061.4038392128355</v>
      </c>
      <c r="K230">
        <f t="shared" si="13"/>
        <v>918421.15176385059</v>
      </c>
      <c r="L230">
        <v>8.5770417782561448E-2</v>
      </c>
      <c r="M230">
        <f t="shared" si="14"/>
        <v>25.731125334768436</v>
      </c>
      <c r="N230" s="2" t="s">
        <v>598</v>
      </c>
      <c r="O230" s="2">
        <f>VLOOKUP(A230,'Coal savings'!$A$3:$K$543,10,FALSE)</f>
        <v>0</v>
      </c>
      <c r="P230" s="2">
        <f t="shared" si="15"/>
        <v>0</v>
      </c>
    </row>
    <row r="231" spans="1:17" x14ac:dyDescent="0.2">
      <c r="A231" s="2" t="s">
        <v>228</v>
      </c>
      <c r="B231" t="s">
        <v>634</v>
      </c>
      <c r="C231" t="s">
        <v>628</v>
      </c>
      <c r="D231" t="s">
        <v>572</v>
      </c>
      <c r="E231" t="s">
        <v>543</v>
      </c>
      <c r="F231" s="36">
        <v>8.1752224503764506</v>
      </c>
      <c r="G231">
        <v>300</v>
      </c>
      <c r="H231">
        <v>2.96</v>
      </c>
      <c r="I231">
        <f t="shared" si="12"/>
        <v>888</v>
      </c>
      <c r="J231" s="2">
        <v>3024.3360117614607</v>
      </c>
      <c r="K231">
        <f t="shared" si="13"/>
        <v>907300.80352843821</v>
      </c>
      <c r="L231">
        <v>9.6241360115922034E-2</v>
      </c>
      <c r="M231">
        <f t="shared" si="14"/>
        <v>28.872408034776612</v>
      </c>
      <c r="N231" s="2" t="s">
        <v>598</v>
      </c>
      <c r="O231" s="2">
        <f>VLOOKUP(A231,'Coal savings'!$A$3:$K$543,10,FALSE)</f>
        <v>0</v>
      </c>
      <c r="P231" s="2">
        <f t="shared" si="15"/>
        <v>0</v>
      </c>
      <c r="Q231">
        <f>VLOOKUP(A231,'[13]Thermal generation Mar 19 - Feb'!$C$2:$D$680,2,FALSE)</f>
        <v>1481.77</v>
      </c>
    </row>
    <row r="232" spans="1:17" x14ac:dyDescent="0.2">
      <c r="A232" s="2" t="s">
        <v>364</v>
      </c>
      <c r="B232" t="s">
        <v>634</v>
      </c>
      <c r="C232" t="s">
        <v>628</v>
      </c>
      <c r="D232" t="s">
        <v>571</v>
      </c>
      <c r="E232" t="s">
        <v>548</v>
      </c>
      <c r="F232" s="36">
        <v>32.5065023956194</v>
      </c>
      <c r="G232">
        <v>500</v>
      </c>
      <c r="H232">
        <v>1.43</v>
      </c>
      <c r="I232">
        <f t="shared" si="12"/>
        <v>715</v>
      </c>
      <c r="J232" s="2">
        <v>2911.5898484431596</v>
      </c>
      <c r="K232">
        <f t="shared" si="13"/>
        <v>1455794.9242215797</v>
      </c>
      <c r="L232">
        <v>7.690693382449007E-2</v>
      </c>
      <c r="M232">
        <f t="shared" si="14"/>
        <v>38.453466912245034</v>
      </c>
      <c r="N232" s="2" t="s">
        <v>598</v>
      </c>
      <c r="O232" s="2">
        <f>VLOOKUP(A232,'Coal savings'!$A$3:$K$543,10,FALSE)</f>
        <v>0</v>
      </c>
      <c r="P232" s="2">
        <f t="shared" si="15"/>
        <v>0</v>
      </c>
      <c r="Q232">
        <f>VLOOKUP(A232,'[13]Thermal generation Mar 19 - Feb'!$C$2:$D$680,2,FALSE)</f>
        <v>4170.3099999999904</v>
      </c>
    </row>
    <row r="233" spans="1:17" x14ac:dyDescent="0.2">
      <c r="A233" s="2" t="s">
        <v>193</v>
      </c>
      <c r="B233" t="s">
        <v>615</v>
      </c>
      <c r="C233" t="s">
        <v>625</v>
      </c>
      <c r="D233" t="s">
        <v>571</v>
      </c>
      <c r="E233" t="s">
        <v>542</v>
      </c>
      <c r="F233" s="36">
        <v>2.3381245722108099</v>
      </c>
      <c r="G233">
        <v>250</v>
      </c>
      <c r="H233">
        <v>2.3143015454828655</v>
      </c>
      <c r="I233">
        <f t="shared" si="12"/>
        <v>578.57538637071639</v>
      </c>
      <c r="J233" s="2">
        <v>3200.26869775471</v>
      </c>
      <c r="K233">
        <f t="shared" si="13"/>
        <v>800067.1744386775</v>
      </c>
      <c r="L233" s="1">
        <v>0.09</v>
      </c>
      <c r="M233">
        <f t="shared" si="14"/>
        <v>22.5</v>
      </c>
      <c r="N233" s="2" t="s">
        <v>598</v>
      </c>
      <c r="O233" s="2">
        <f>VLOOKUP(A233,'Coal savings'!$A$3:$K$543,10,FALSE)</f>
        <v>0</v>
      </c>
      <c r="P233" s="2">
        <f t="shared" si="15"/>
        <v>0</v>
      </c>
      <c r="Q233">
        <f>VLOOKUP(A233,'[13]Thermal generation Mar 19 - Feb'!$C$2:$D$680,2,FALSE)</f>
        <v>56.2899999999999</v>
      </c>
    </row>
    <row r="234" spans="1:17" x14ac:dyDescent="0.2">
      <c r="A234" s="2" t="s">
        <v>230</v>
      </c>
      <c r="B234" t="s">
        <v>634</v>
      </c>
      <c r="C234" t="s">
        <v>628</v>
      </c>
      <c r="D234" t="s">
        <v>572</v>
      </c>
      <c r="E234" t="s">
        <v>543</v>
      </c>
      <c r="F234" s="36">
        <v>8.4243668720054696</v>
      </c>
      <c r="G234">
        <v>300</v>
      </c>
      <c r="H234">
        <v>2.96</v>
      </c>
      <c r="I234">
        <f t="shared" si="12"/>
        <v>888</v>
      </c>
      <c r="J234" s="2">
        <v>3027.431094263427</v>
      </c>
      <c r="K234">
        <f t="shared" si="13"/>
        <v>908229.32827902806</v>
      </c>
      <c r="L234">
        <v>9.6241360115922034E-2</v>
      </c>
      <c r="M234">
        <f t="shared" si="14"/>
        <v>28.872408034776612</v>
      </c>
      <c r="N234" s="2" t="s">
        <v>598</v>
      </c>
      <c r="O234" s="2">
        <f>VLOOKUP(A234,'Coal savings'!$A$3:$K$543,10,FALSE)</f>
        <v>0</v>
      </c>
      <c r="P234" s="2">
        <f t="shared" si="15"/>
        <v>0</v>
      </c>
      <c r="Q234">
        <f>VLOOKUP(A234,'[13]Thermal generation Mar 19 - Feb'!$C$2:$D$680,2,FALSE)</f>
        <v>1528.26</v>
      </c>
    </row>
    <row r="235" spans="1:17" x14ac:dyDescent="0.2">
      <c r="A235" s="2" t="s">
        <v>202</v>
      </c>
      <c r="B235" t="s">
        <v>618</v>
      </c>
      <c r="C235" t="s">
        <v>628</v>
      </c>
      <c r="D235" t="s">
        <v>572</v>
      </c>
      <c r="E235" t="s">
        <v>542</v>
      </c>
      <c r="F235" s="36">
        <v>4.1752224503764497</v>
      </c>
      <c r="G235">
        <v>270</v>
      </c>
      <c r="H235">
        <v>2.94</v>
      </c>
      <c r="I235">
        <f t="shared" si="12"/>
        <v>793.8</v>
      </c>
      <c r="J235" s="2">
        <v>3068.7973355822119</v>
      </c>
      <c r="K235">
        <f t="shared" si="13"/>
        <v>828575.2806071972</v>
      </c>
      <c r="L235" s="1">
        <v>0.10288394721047496</v>
      </c>
      <c r="M235">
        <f t="shared" si="14"/>
        <v>27.778665746828239</v>
      </c>
      <c r="N235" s="2" t="s">
        <v>598</v>
      </c>
      <c r="O235" s="2">
        <f>VLOOKUP(A235,'Coal savings'!$A$3:$K$543,10,FALSE)</f>
        <v>0</v>
      </c>
      <c r="P235" s="2">
        <f t="shared" si="15"/>
        <v>0</v>
      </c>
      <c r="Q235">
        <f>VLOOKUP(A235,'[13]Thermal generation Mar 19 - Feb'!$C$2:$D$680,2,FALSE)</f>
        <v>761.70999999999901</v>
      </c>
    </row>
    <row r="236" spans="1:17" x14ac:dyDescent="0.2">
      <c r="A236" s="2" t="s">
        <v>223</v>
      </c>
      <c r="B236" t="s">
        <v>617</v>
      </c>
      <c r="C236" t="s">
        <v>626</v>
      </c>
      <c r="D236" t="s">
        <v>572</v>
      </c>
      <c r="E236" t="s">
        <v>543</v>
      </c>
      <c r="F236" s="36">
        <v>7.7563312799452397</v>
      </c>
      <c r="G236">
        <v>300</v>
      </c>
      <c r="H236">
        <v>2.46</v>
      </c>
      <c r="I236">
        <f t="shared" si="12"/>
        <v>738</v>
      </c>
      <c r="J236" s="2">
        <v>3130.9885891409017</v>
      </c>
      <c r="K236">
        <f t="shared" si="13"/>
        <v>939296.5767422705</v>
      </c>
      <c r="L236">
        <v>8.5770417782561448E-2</v>
      </c>
      <c r="M236">
        <f t="shared" si="14"/>
        <v>25.731125334768436</v>
      </c>
      <c r="N236" s="2" t="s">
        <v>598</v>
      </c>
      <c r="O236" s="2">
        <f>VLOOKUP(A236,'Coal savings'!$A$3:$K$543,10,FALSE)</f>
        <v>0</v>
      </c>
      <c r="P236" s="2">
        <f t="shared" si="15"/>
        <v>0</v>
      </c>
    </row>
    <row r="237" spans="1:17" x14ac:dyDescent="0.2">
      <c r="A237" s="2" t="s">
        <v>203</v>
      </c>
      <c r="B237" t="s">
        <v>618</v>
      </c>
      <c r="C237" t="s">
        <v>628</v>
      </c>
      <c r="D237" t="s">
        <v>572</v>
      </c>
      <c r="E237" t="s">
        <v>542</v>
      </c>
      <c r="F237" s="36">
        <v>4.2546201232032796</v>
      </c>
      <c r="G237">
        <v>270</v>
      </c>
      <c r="H237">
        <v>2.94</v>
      </c>
      <c r="I237">
        <f t="shared" si="12"/>
        <v>793.8</v>
      </c>
      <c r="J237" s="2">
        <v>3076.4063149038184</v>
      </c>
      <c r="K237">
        <f t="shared" si="13"/>
        <v>830629.70502403099</v>
      </c>
      <c r="L237" s="1">
        <v>0.10288394721047496</v>
      </c>
      <c r="M237">
        <f t="shared" si="14"/>
        <v>27.778665746828239</v>
      </c>
      <c r="N237" s="2" t="s">
        <v>598</v>
      </c>
      <c r="O237" s="2">
        <f>VLOOKUP(A237,'Coal savings'!$A$3:$K$543,10,FALSE)</f>
        <v>0</v>
      </c>
      <c r="P237" s="2">
        <f t="shared" si="15"/>
        <v>0</v>
      </c>
      <c r="Q237">
        <f>VLOOKUP(A237,'[13]Thermal generation Mar 19 - Feb'!$C$2:$D$680,2,FALSE)</f>
        <v>830.94</v>
      </c>
    </row>
    <row r="238" spans="1:17" x14ac:dyDescent="0.2">
      <c r="A238" s="2" t="s">
        <v>189</v>
      </c>
      <c r="B238" t="s">
        <v>611</v>
      </c>
      <c r="C238" t="s">
        <v>626</v>
      </c>
      <c r="D238" t="s">
        <v>572</v>
      </c>
      <c r="E238" t="s">
        <v>542</v>
      </c>
      <c r="F238" s="36">
        <v>4.1752224503764497</v>
      </c>
      <c r="G238">
        <v>300</v>
      </c>
      <c r="H238">
        <v>2.06</v>
      </c>
      <c r="I238">
        <f t="shared" si="12"/>
        <v>618</v>
      </c>
      <c r="J238" s="2">
        <v>3046.3573982835874</v>
      </c>
      <c r="K238">
        <f t="shared" si="13"/>
        <v>913907.21948507626</v>
      </c>
      <c r="L238" s="1">
        <v>9.4685999964455439E-2</v>
      </c>
      <c r="M238">
        <f t="shared" si="14"/>
        <v>28.405799989336632</v>
      </c>
      <c r="N238" s="2" t="s">
        <v>598</v>
      </c>
      <c r="O238" s="2">
        <f>VLOOKUP(A238,'Coal savings'!$A$3:$K$543,10,FALSE)</f>
        <v>0</v>
      </c>
      <c r="P238" s="2">
        <f t="shared" si="15"/>
        <v>0</v>
      </c>
      <c r="Q238">
        <f>VLOOKUP(A238,'[13]Thermal generation Mar 19 - Feb'!$C$2:$D$680,2,FALSE)</f>
        <v>1501.74</v>
      </c>
    </row>
    <row r="239" spans="1:17" x14ac:dyDescent="0.2">
      <c r="A239" s="2" t="s">
        <v>368</v>
      </c>
      <c r="B239" t="s">
        <v>611</v>
      </c>
      <c r="C239" t="s">
        <v>626</v>
      </c>
      <c r="D239" t="s">
        <v>571</v>
      </c>
      <c r="E239" t="s">
        <v>548</v>
      </c>
      <c r="F239" s="36">
        <v>33.0102669404517</v>
      </c>
      <c r="G239">
        <v>500</v>
      </c>
      <c r="H239">
        <v>1.32</v>
      </c>
      <c r="I239">
        <f t="shared" si="12"/>
        <v>660</v>
      </c>
      <c r="J239" s="2">
        <v>2918.2812541451203</v>
      </c>
      <c r="K239">
        <f t="shared" si="13"/>
        <v>1459140.6270725601</v>
      </c>
      <c r="L239">
        <v>6.2610933454142856E-2</v>
      </c>
      <c r="M239">
        <f t="shared" si="14"/>
        <v>31.305466727071426</v>
      </c>
      <c r="N239" s="2" t="s">
        <v>598</v>
      </c>
      <c r="O239" s="2">
        <f>VLOOKUP(A239,'Coal savings'!$A$3:$K$543,10,FALSE)</f>
        <v>0</v>
      </c>
      <c r="P239" s="2">
        <f t="shared" si="15"/>
        <v>0</v>
      </c>
      <c r="Q239">
        <f>VLOOKUP(A239,'[13]Thermal generation Mar 19 - Feb'!$C$2:$D$680,2,FALSE)</f>
        <v>3940.21</v>
      </c>
    </row>
    <row r="240" spans="1:17" x14ac:dyDescent="0.2">
      <c r="A240" s="2" t="s">
        <v>199</v>
      </c>
      <c r="B240" t="s">
        <v>615</v>
      </c>
      <c r="C240" t="s">
        <v>625</v>
      </c>
      <c r="D240" t="s">
        <v>571</v>
      </c>
      <c r="E240" t="s">
        <v>542</v>
      </c>
      <c r="F240" s="36">
        <v>3.0910335386721401</v>
      </c>
      <c r="G240">
        <v>250</v>
      </c>
      <c r="H240">
        <v>1.97</v>
      </c>
      <c r="I240">
        <f t="shared" si="12"/>
        <v>492.5</v>
      </c>
      <c r="J240" s="2">
        <v>3051.4595400442577</v>
      </c>
      <c r="K240">
        <f t="shared" si="13"/>
        <v>762864.88501106447</v>
      </c>
      <c r="L240" s="1">
        <v>7.0000000000000007E-2</v>
      </c>
      <c r="M240">
        <f t="shared" si="14"/>
        <v>17.5</v>
      </c>
      <c r="N240" s="2" t="s">
        <v>598</v>
      </c>
      <c r="O240" s="2">
        <f>VLOOKUP(A240,'Coal savings'!$A$3:$K$543,10,FALSE)</f>
        <v>0</v>
      </c>
      <c r="P240" s="2">
        <f t="shared" si="15"/>
        <v>0</v>
      </c>
      <c r="Q240">
        <f>VLOOKUP(A240,'[13]Thermal generation Mar 19 - Feb'!$C$2:$D$680,2,FALSE)</f>
        <v>1619.01999999999</v>
      </c>
    </row>
    <row r="241" spans="1:17" x14ac:dyDescent="0.2">
      <c r="A241" s="2" t="s">
        <v>372</v>
      </c>
      <c r="B241" t="s">
        <v>634</v>
      </c>
      <c r="C241" t="s">
        <v>628</v>
      </c>
      <c r="D241" t="s">
        <v>571</v>
      </c>
      <c r="E241" t="s">
        <v>548</v>
      </c>
      <c r="F241" s="36">
        <v>33.423682409308597</v>
      </c>
      <c r="G241">
        <v>500</v>
      </c>
      <c r="H241">
        <v>1.43</v>
      </c>
      <c r="I241">
        <f t="shared" si="12"/>
        <v>715</v>
      </c>
      <c r="J241" s="2">
        <v>2923.731618170837</v>
      </c>
      <c r="K241">
        <f t="shared" si="13"/>
        <v>1461865.8090854185</v>
      </c>
      <c r="L241">
        <v>7.690693382449007E-2</v>
      </c>
      <c r="M241">
        <f t="shared" si="14"/>
        <v>38.453466912245034</v>
      </c>
      <c r="N241" s="2" t="s">
        <v>598</v>
      </c>
      <c r="O241" s="2">
        <f>VLOOKUP(A241,'Coal savings'!$A$3:$K$543,10,FALSE)</f>
        <v>0</v>
      </c>
      <c r="P241" s="2">
        <f t="shared" si="15"/>
        <v>0</v>
      </c>
      <c r="Q241">
        <f>VLOOKUP(A241,'[13]Thermal generation Mar 19 - Feb'!$C$2:$D$680,2,FALSE)</f>
        <v>3999.68</v>
      </c>
    </row>
    <row r="242" spans="1:17" x14ac:dyDescent="0.2">
      <c r="A242" s="2" t="s">
        <v>200</v>
      </c>
      <c r="B242" t="s">
        <v>624</v>
      </c>
      <c r="C242" t="s">
        <v>629</v>
      </c>
      <c r="D242" t="s">
        <v>571</v>
      </c>
      <c r="E242" t="s">
        <v>542</v>
      </c>
      <c r="F242" s="36">
        <v>3.1074606433949299</v>
      </c>
      <c r="G242">
        <v>250</v>
      </c>
      <c r="H242">
        <v>2.97</v>
      </c>
      <c r="I242">
        <f t="shared" si="12"/>
        <v>742.5</v>
      </c>
      <c r="J242" s="2">
        <v>3015.2336738046033</v>
      </c>
      <c r="K242">
        <f t="shared" si="13"/>
        <v>753808.41845115088</v>
      </c>
      <c r="L242" s="1">
        <v>0.06</v>
      </c>
      <c r="M242">
        <f t="shared" si="14"/>
        <v>15</v>
      </c>
      <c r="N242" s="2" t="s">
        <v>598</v>
      </c>
      <c r="O242" s="2">
        <f>VLOOKUP(A242,'Coal savings'!$A$3:$K$543,10,FALSE)</f>
        <v>0</v>
      </c>
      <c r="P242" s="2">
        <f t="shared" si="15"/>
        <v>0</v>
      </c>
      <c r="Q242">
        <f>VLOOKUP(A242,'[13]Thermal generation Mar 19 - Feb'!$C$2:$D$680,2,FALSE)</f>
        <v>1403.17</v>
      </c>
    </row>
    <row r="243" spans="1:17" x14ac:dyDescent="0.2">
      <c r="A243" s="2" t="s">
        <v>195</v>
      </c>
      <c r="B243" t="s">
        <v>611</v>
      </c>
      <c r="C243" t="s">
        <v>626</v>
      </c>
      <c r="D243" t="s">
        <v>572</v>
      </c>
      <c r="E243" t="s">
        <v>542</v>
      </c>
      <c r="F243" s="36">
        <v>4.9253935660506496</v>
      </c>
      <c r="G243">
        <v>300</v>
      </c>
      <c r="H243">
        <v>2.06</v>
      </c>
      <c r="I243">
        <f t="shared" si="12"/>
        <v>618</v>
      </c>
      <c r="J243" s="2">
        <v>3011.4502250347246</v>
      </c>
      <c r="K243">
        <f t="shared" si="13"/>
        <v>903435.06751041731</v>
      </c>
      <c r="L243" s="1">
        <v>9.4685999964455439E-2</v>
      </c>
      <c r="M243">
        <f t="shared" si="14"/>
        <v>28.405799989336632</v>
      </c>
      <c r="N243" s="2" t="s">
        <v>598</v>
      </c>
      <c r="O243" s="2">
        <f>VLOOKUP(A243,'Coal savings'!$A$3:$K$543,10,FALSE)</f>
        <v>0</v>
      </c>
      <c r="P243" s="2">
        <f t="shared" si="15"/>
        <v>0</v>
      </c>
      <c r="Q243">
        <f>VLOOKUP(A243,'[13]Thermal generation Mar 19 - Feb'!$C$2:$D$680,2,FALSE)</f>
        <v>1906.28</v>
      </c>
    </row>
    <row r="244" spans="1:17" x14ac:dyDescent="0.2">
      <c r="A244" s="2" t="s">
        <v>210</v>
      </c>
      <c r="B244" t="s">
        <v>617</v>
      </c>
      <c r="C244" t="s">
        <v>626</v>
      </c>
      <c r="D244" t="s">
        <v>572</v>
      </c>
      <c r="E244" t="s">
        <v>543</v>
      </c>
      <c r="F244" s="36">
        <v>5.1772758384667998</v>
      </c>
      <c r="G244">
        <v>270</v>
      </c>
      <c r="H244">
        <v>3.03</v>
      </c>
      <c r="I244">
        <f t="shared" si="12"/>
        <v>818.09999999999991</v>
      </c>
      <c r="J244" s="2">
        <v>3111.5487144789831</v>
      </c>
      <c r="K244">
        <f t="shared" si="13"/>
        <v>840118.15290932544</v>
      </c>
      <c r="L244">
        <v>8.9360960918391241E-2</v>
      </c>
      <c r="M244">
        <f t="shared" si="14"/>
        <v>24.127459447965634</v>
      </c>
      <c r="N244" s="2" t="s">
        <v>598</v>
      </c>
      <c r="O244" s="2">
        <f>VLOOKUP(A244,'Coal savings'!$A$3:$K$543,10,FALSE)</f>
        <v>0</v>
      </c>
      <c r="P244" s="2">
        <f t="shared" si="15"/>
        <v>0</v>
      </c>
      <c r="Q244">
        <f>VLOOKUP(A244,'[13]Thermal generation Mar 19 - Feb'!$C$2:$D$680,2,FALSE)</f>
        <v>619.03</v>
      </c>
    </row>
    <row r="245" spans="1:17" x14ac:dyDescent="0.2">
      <c r="A245" s="2" t="s">
        <v>209</v>
      </c>
      <c r="B245" t="s">
        <v>617</v>
      </c>
      <c r="C245" t="s">
        <v>626</v>
      </c>
      <c r="D245" t="s">
        <v>572</v>
      </c>
      <c r="E245" t="s">
        <v>543</v>
      </c>
      <c r="F245" s="36">
        <v>5.1772758384667998</v>
      </c>
      <c r="G245">
        <v>270</v>
      </c>
      <c r="H245">
        <v>3.03</v>
      </c>
      <c r="I245">
        <f t="shared" si="12"/>
        <v>818.09999999999991</v>
      </c>
      <c r="J245" s="2">
        <v>3104.6546622805017</v>
      </c>
      <c r="K245">
        <f t="shared" si="13"/>
        <v>838256.75881573546</v>
      </c>
      <c r="L245">
        <v>8.9360960918391241E-2</v>
      </c>
      <c r="M245">
        <f t="shared" si="14"/>
        <v>24.127459447965634</v>
      </c>
      <c r="N245" s="2" t="s">
        <v>598</v>
      </c>
      <c r="O245" s="2">
        <f>VLOOKUP(A245,'Coal savings'!$A$3:$K$543,10,FALSE)</f>
        <v>0</v>
      </c>
      <c r="P245" s="2">
        <f t="shared" si="15"/>
        <v>0</v>
      </c>
      <c r="Q245">
        <f>VLOOKUP(A245,'[13]Thermal generation Mar 19 - Feb'!$C$2:$D$680,2,FALSE)</f>
        <v>630.19000000000005</v>
      </c>
    </row>
    <row r="246" spans="1:17" x14ac:dyDescent="0.2">
      <c r="A246" s="2" t="s">
        <v>213</v>
      </c>
      <c r="B246" t="s">
        <v>617</v>
      </c>
      <c r="C246" t="s">
        <v>626</v>
      </c>
      <c r="D246" t="s">
        <v>572</v>
      </c>
      <c r="E246" t="s">
        <v>543</v>
      </c>
      <c r="F246" s="36">
        <v>5.3388090349075901</v>
      </c>
      <c r="G246">
        <v>270</v>
      </c>
      <c r="H246">
        <v>3.03</v>
      </c>
      <c r="I246">
        <f t="shared" si="12"/>
        <v>818.09999999999991</v>
      </c>
      <c r="J246" s="2">
        <v>3094.0128408361184</v>
      </c>
      <c r="K246">
        <f t="shared" si="13"/>
        <v>835383.46702575195</v>
      </c>
      <c r="L246">
        <v>8.9360960918391241E-2</v>
      </c>
      <c r="M246">
        <f t="shared" si="14"/>
        <v>24.127459447965634</v>
      </c>
      <c r="N246" s="2" t="s">
        <v>598</v>
      </c>
      <c r="O246" s="2">
        <f>VLOOKUP(A246,'Coal savings'!$A$3:$K$543,10,FALSE)</f>
        <v>0</v>
      </c>
      <c r="P246" s="2">
        <f t="shared" si="15"/>
        <v>0</v>
      </c>
      <c r="Q246">
        <f>VLOOKUP(A246,'[13]Thermal generation Mar 19 - Feb'!$C$2:$D$680,2,FALSE)</f>
        <v>965.51999999999896</v>
      </c>
    </row>
    <row r="247" spans="1:17" x14ac:dyDescent="0.2">
      <c r="A247" s="2" t="s">
        <v>252</v>
      </c>
      <c r="B247" t="s">
        <v>634</v>
      </c>
      <c r="C247" t="s">
        <v>628</v>
      </c>
      <c r="D247" t="s">
        <v>572</v>
      </c>
      <c r="E247" t="s">
        <v>543</v>
      </c>
      <c r="F247" s="36">
        <v>9.9247091033538606</v>
      </c>
      <c r="G247">
        <v>300</v>
      </c>
      <c r="H247">
        <v>2.96</v>
      </c>
      <c r="I247">
        <f t="shared" si="12"/>
        <v>888</v>
      </c>
      <c r="J247" s="2">
        <v>3026.0441096395548</v>
      </c>
      <c r="K247">
        <f t="shared" si="13"/>
        <v>907813.23289186647</v>
      </c>
      <c r="L247">
        <v>9.6241360115922034E-2</v>
      </c>
      <c r="M247">
        <f t="shared" si="14"/>
        <v>28.872408034776612</v>
      </c>
      <c r="N247" s="2" t="s">
        <v>598</v>
      </c>
      <c r="O247" s="2">
        <f>VLOOKUP(A247,'Coal savings'!$A$3:$K$543,10,FALSE)</f>
        <v>0</v>
      </c>
      <c r="P247" s="2">
        <f t="shared" si="15"/>
        <v>0</v>
      </c>
      <c r="Q247">
        <f>VLOOKUP(A247,'[13]Thermal generation Mar 19 - Feb'!$C$2:$D$680,2,FALSE)</f>
        <v>1548.8899999999901</v>
      </c>
    </row>
    <row r="248" spans="1:17" x14ac:dyDescent="0.2">
      <c r="A248" s="2" t="s">
        <v>254</v>
      </c>
      <c r="B248" t="s">
        <v>611</v>
      </c>
      <c r="C248" t="s">
        <v>626</v>
      </c>
      <c r="D248" t="s">
        <v>572</v>
      </c>
      <c r="E248" t="s">
        <v>544</v>
      </c>
      <c r="F248" s="36">
        <v>10.17659137577</v>
      </c>
      <c r="G248">
        <v>300</v>
      </c>
      <c r="H248">
        <v>2.0299999999999998</v>
      </c>
      <c r="I248">
        <f t="shared" si="12"/>
        <v>608.99999999999989</v>
      </c>
      <c r="J248" s="2">
        <v>2979.4319801381512</v>
      </c>
      <c r="K248">
        <f t="shared" si="13"/>
        <v>893829.59404144541</v>
      </c>
      <c r="L248">
        <v>8.7832676734947532E-2</v>
      </c>
      <c r="M248">
        <f t="shared" si="14"/>
        <v>26.349803020484259</v>
      </c>
      <c r="N248" s="2" t="s">
        <v>598</v>
      </c>
      <c r="O248" s="2">
        <f>VLOOKUP(A248,'Coal savings'!$A$3:$K$543,10,FALSE)</f>
        <v>0</v>
      </c>
      <c r="P248" s="2">
        <f t="shared" si="15"/>
        <v>0</v>
      </c>
      <c r="Q248">
        <f>VLOOKUP(A248,'[13]Thermal generation Mar 19 - Feb'!$C$2:$D$680,2,FALSE)</f>
        <v>1579.88</v>
      </c>
    </row>
    <row r="249" spans="1:17" x14ac:dyDescent="0.2">
      <c r="A249" s="2" t="s">
        <v>206</v>
      </c>
      <c r="B249" t="s">
        <v>615</v>
      </c>
      <c r="C249" t="s">
        <v>625</v>
      </c>
      <c r="D249" t="s">
        <v>571</v>
      </c>
      <c r="E249" t="s">
        <v>542</v>
      </c>
      <c r="F249" s="36">
        <v>4.1752224503764497</v>
      </c>
      <c r="G249">
        <v>250</v>
      </c>
      <c r="H249">
        <v>1.97</v>
      </c>
      <c r="I249">
        <f t="shared" si="12"/>
        <v>492.5</v>
      </c>
      <c r="J249" s="2">
        <v>2991.2578353594718</v>
      </c>
      <c r="K249">
        <f t="shared" si="13"/>
        <v>747814.45883986796</v>
      </c>
      <c r="L249" s="1">
        <v>7.0000000000000007E-2</v>
      </c>
      <c r="M249">
        <f t="shared" si="14"/>
        <v>17.5</v>
      </c>
      <c r="N249" s="2" t="s">
        <v>598</v>
      </c>
      <c r="O249" s="2">
        <f>VLOOKUP(A249,'Coal savings'!$A$3:$K$543,10,FALSE)</f>
        <v>0</v>
      </c>
      <c r="P249" s="2">
        <f t="shared" si="15"/>
        <v>0</v>
      </c>
      <c r="Q249">
        <f>VLOOKUP(A249,'[13]Thermal generation Mar 19 - Feb'!$C$2:$D$680,2,FALSE)</f>
        <v>1533.09</v>
      </c>
    </row>
    <row r="250" spans="1:17" x14ac:dyDescent="0.2">
      <c r="A250" s="2" t="s">
        <v>207</v>
      </c>
      <c r="B250" t="s">
        <v>617</v>
      </c>
      <c r="C250" t="s">
        <v>626</v>
      </c>
      <c r="D250" t="s">
        <v>570</v>
      </c>
      <c r="E250" t="s">
        <v>542</v>
      </c>
      <c r="F250" s="36">
        <v>4.1752224503764497</v>
      </c>
      <c r="G250">
        <v>250</v>
      </c>
      <c r="H250">
        <v>3.02</v>
      </c>
      <c r="I250">
        <f t="shared" si="12"/>
        <v>755</v>
      </c>
      <c r="J250" s="2">
        <v>3050.3660373810912</v>
      </c>
      <c r="K250">
        <f t="shared" si="13"/>
        <v>762591.50934527279</v>
      </c>
      <c r="L250" s="1">
        <v>0.10765374232246352</v>
      </c>
      <c r="M250">
        <f t="shared" si="14"/>
        <v>26.913435580615882</v>
      </c>
      <c r="N250" s="2" t="s">
        <v>598</v>
      </c>
      <c r="O250" s="2">
        <f>VLOOKUP(A250,'Coal savings'!$A$3:$K$543,10,FALSE)</f>
        <v>0</v>
      </c>
      <c r="P250" s="2">
        <f t="shared" si="15"/>
        <v>0</v>
      </c>
      <c r="Q250">
        <f>VLOOKUP(A250,'[13]Thermal generation Mar 19 - Feb'!$C$2:$D$680,2,FALSE)</f>
        <v>830.08999999999901</v>
      </c>
    </row>
    <row r="251" spans="1:17" x14ac:dyDescent="0.2">
      <c r="A251" s="2" t="s">
        <v>257</v>
      </c>
      <c r="B251" t="s">
        <v>634</v>
      </c>
      <c r="C251" t="s">
        <v>628</v>
      </c>
      <c r="D251" t="s">
        <v>572</v>
      </c>
      <c r="E251" t="s">
        <v>544</v>
      </c>
      <c r="F251" s="36">
        <v>10.2532511978097</v>
      </c>
      <c r="G251">
        <v>300</v>
      </c>
      <c r="H251">
        <v>2.96</v>
      </c>
      <c r="I251">
        <f t="shared" si="12"/>
        <v>888</v>
      </c>
      <c r="J251" s="2">
        <v>3040.4167379019482</v>
      </c>
      <c r="K251">
        <f t="shared" si="13"/>
        <v>912125.02137058449</v>
      </c>
      <c r="L251">
        <v>9.6241360115922034E-2</v>
      </c>
      <c r="M251">
        <f t="shared" si="14"/>
        <v>28.872408034776612</v>
      </c>
      <c r="N251" s="2" t="s">
        <v>598</v>
      </c>
      <c r="O251" s="2">
        <f>VLOOKUP(A251,'Coal savings'!$A$3:$K$543,10,FALSE)</f>
        <v>0</v>
      </c>
      <c r="P251" s="2">
        <f t="shared" si="15"/>
        <v>0</v>
      </c>
      <c r="Q251">
        <f>VLOOKUP(A251,'[13]Thermal generation Mar 19 - Feb'!$C$2:$D$680,2,FALSE)</f>
        <v>1526.27</v>
      </c>
    </row>
    <row r="252" spans="1:17" x14ac:dyDescent="0.2">
      <c r="A252" s="2" t="s">
        <v>222</v>
      </c>
      <c r="B252" t="s">
        <v>617</v>
      </c>
      <c r="C252" t="s">
        <v>626</v>
      </c>
      <c r="D252" t="s">
        <v>572</v>
      </c>
      <c r="E252" t="s">
        <v>543</v>
      </c>
      <c r="F252" s="36">
        <v>6.2532511978097096</v>
      </c>
      <c r="G252">
        <v>270</v>
      </c>
      <c r="H252">
        <v>3.03</v>
      </c>
      <c r="I252">
        <f t="shared" si="12"/>
        <v>818.09999999999991</v>
      </c>
      <c r="J252" s="2">
        <v>3085.3310483031614</v>
      </c>
      <c r="K252">
        <f t="shared" si="13"/>
        <v>833039.38304185355</v>
      </c>
      <c r="L252">
        <v>8.9360960918391241E-2</v>
      </c>
      <c r="M252">
        <f t="shared" si="14"/>
        <v>24.127459447965634</v>
      </c>
      <c r="N252" s="2" t="s">
        <v>598</v>
      </c>
      <c r="O252" s="2">
        <f>VLOOKUP(A252,'Coal savings'!$A$3:$K$543,10,FALSE)</f>
        <v>0</v>
      </c>
      <c r="P252" s="2">
        <f t="shared" si="15"/>
        <v>0</v>
      </c>
      <c r="Q252">
        <f>VLOOKUP(A252,'[13]Thermal generation Mar 19 - Feb'!$C$2:$D$680,2,FALSE)</f>
        <v>668.78</v>
      </c>
    </row>
    <row r="253" spans="1:17" x14ac:dyDescent="0.2">
      <c r="A253" s="2" t="s">
        <v>235</v>
      </c>
      <c r="B253" t="s">
        <v>623</v>
      </c>
      <c r="C253" t="s">
        <v>625</v>
      </c>
      <c r="D253" t="s">
        <v>572</v>
      </c>
      <c r="E253" t="s">
        <v>543</v>
      </c>
      <c r="F253" s="36">
        <v>7.1759069130732298</v>
      </c>
      <c r="G253">
        <v>270</v>
      </c>
      <c r="H253">
        <v>1.88</v>
      </c>
      <c r="I253">
        <f t="shared" si="12"/>
        <v>507.59999999999997</v>
      </c>
      <c r="J253" s="2">
        <v>3078.021783900469</v>
      </c>
      <c r="K253">
        <f t="shared" si="13"/>
        <v>831065.88165312668</v>
      </c>
      <c r="L253">
        <v>8.795755336381729E-2</v>
      </c>
      <c r="M253">
        <f t="shared" si="14"/>
        <v>23.74853940823067</v>
      </c>
      <c r="N253" s="2" t="s">
        <v>598</v>
      </c>
      <c r="O253" s="2">
        <f>VLOOKUP(A253,'Coal savings'!$A$3:$K$543,10,FALSE)</f>
        <v>0</v>
      </c>
      <c r="P253" s="2">
        <f t="shared" si="15"/>
        <v>0</v>
      </c>
      <c r="Q253">
        <f>VLOOKUP(A253,'[13]Thermal generation Mar 19 - Feb'!$C$2:$D$680,2,FALSE)</f>
        <v>1413.1899999999901</v>
      </c>
    </row>
    <row r="254" spans="1:17" x14ac:dyDescent="0.2">
      <c r="A254" s="2" t="s">
        <v>261</v>
      </c>
      <c r="B254" t="s">
        <v>611</v>
      </c>
      <c r="C254" t="s">
        <v>626</v>
      </c>
      <c r="D254" t="s">
        <v>572</v>
      </c>
      <c r="E254" t="s">
        <v>544</v>
      </c>
      <c r="F254" s="36">
        <v>10.924024640657001</v>
      </c>
      <c r="G254">
        <v>300</v>
      </c>
      <c r="H254">
        <v>2.0299999999999998</v>
      </c>
      <c r="I254">
        <f t="shared" si="12"/>
        <v>608.99999999999989</v>
      </c>
      <c r="J254" s="2">
        <v>2973.8156924158325</v>
      </c>
      <c r="K254">
        <f t="shared" si="13"/>
        <v>892144.70772474969</v>
      </c>
      <c r="L254">
        <v>8.7832676734947532E-2</v>
      </c>
      <c r="M254">
        <f t="shared" si="14"/>
        <v>26.349803020484259</v>
      </c>
      <c r="N254" s="2" t="s">
        <v>598</v>
      </c>
      <c r="O254" s="2">
        <f>VLOOKUP(A254,'Coal savings'!$A$3:$K$543,10,FALSE)</f>
        <v>0</v>
      </c>
      <c r="P254" s="2">
        <f t="shared" si="15"/>
        <v>0</v>
      </c>
      <c r="Q254">
        <f>VLOOKUP(A254,'[13]Thermal generation Mar 19 - Feb'!$C$2:$D$680,2,FALSE)</f>
        <v>1955.42</v>
      </c>
    </row>
    <row r="255" spans="1:17" x14ac:dyDescent="0.2">
      <c r="A255" s="2" t="s">
        <v>238</v>
      </c>
      <c r="B255" t="s">
        <v>623</v>
      </c>
      <c r="C255" t="s">
        <v>625</v>
      </c>
      <c r="D255" t="s">
        <v>572</v>
      </c>
      <c r="E255" t="s">
        <v>543</v>
      </c>
      <c r="F255" s="36">
        <v>7.5044490075290797</v>
      </c>
      <c r="G255">
        <v>270</v>
      </c>
      <c r="H255">
        <v>1.88</v>
      </c>
      <c r="I255">
        <f t="shared" si="12"/>
        <v>507.59999999999997</v>
      </c>
      <c r="J255" s="2">
        <v>2979.1808481774247</v>
      </c>
      <c r="K255">
        <f t="shared" si="13"/>
        <v>804378.82900790463</v>
      </c>
      <c r="L255">
        <v>8.795755336381729E-2</v>
      </c>
      <c r="M255">
        <f t="shared" si="14"/>
        <v>23.74853940823067</v>
      </c>
      <c r="N255" s="2" t="s">
        <v>598</v>
      </c>
      <c r="O255" s="2">
        <f>VLOOKUP(A255,'Coal savings'!$A$3:$K$543,10,FALSE)</f>
        <v>0</v>
      </c>
      <c r="P255" s="2">
        <f t="shared" si="15"/>
        <v>0</v>
      </c>
      <c r="Q255">
        <f>VLOOKUP(A255,'[13]Thermal generation Mar 19 - Feb'!$C$2:$D$680,2,FALSE)</f>
        <v>1616.69999999999</v>
      </c>
    </row>
    <row r="256" spans="1:17" x14ac:dyDescent="0.2">
      <c r="A256" s="2" t="s">
        <v>217</v>
      </c>
      <c r="B256" t="s">
        <v>624</v>
      </c>
      <c r="C256" t="s">
        <v>629</v>
      </c>
      <c r="D256" t="s">
        <v>571</v>
      </c>
      <c r="E256" t="s">
        <v>542</v>
      </c>
      <c r="F256" s="36">
        <v>4.9253935660506496</v>
      </c>
      <c r="G256">
        <v>250</v>
      </c>
      <c r="H256">
        <v>2.97</v>
      </c>
      <c r="I256">
        <f t="shared" si="12"/>
        <v>742.5</v>
      </c>
      <c r="J256" s="2">
        <v>3006.4856715997412</v>
      </c>
      <c r="K256">
        <f t="shared" si="13"/>
        <v>751621.41789993527</v>
      </c>
      <c r="L256" s="1">
        <v>0.06</v>
      </c>
      <c r="M256">
        <f t="shared" si="14"/>
        <v>15</v>
      </c>
      <c r="N256" s="2" t="s">
        <v>598</v>
      </c>
      <c r="O256" s="2">
        <f>VLOOKUP(A256,'Coal savings'!$A$3:$K$543,10,FALSE)</f>
        <v>0</v>
      </c>
      <c r="P256" s="2">
        <f t="shared" si="15"/>
        <v>0</v>
      </c>
      <c r="Q256">
        <f>VLOOKUP(A256,'[13]Thermal generation Mar 19 - Feb'!$C$2:$D$680,2,FALSE)</f>
        <v>1311.25999999999</v>
      </c>
    </row>
    <row r="257" spans="1:17" x14ac:dyDescent="0.2">
      <c r="A257" s="2" t="s">
        <v>234</v>
      </c>
      <c r="B257" t="s">
        <v>617</v>
      </c>
      <c r="C257" t="s">
        <v>626</v>
      </c>
      <c r="D257" t="s">
        <v>572</v>
      </c>
      <c r="E257" t="s">
        <v>543</v>
      </c>
      <c r="F257" s="36">
        <v>7.1759069130732298</v>
      </c>
      <c r="G257">
        <v>270</v>
      </c>
      <c r="H257">
        <v>3.03</v>
      </c>
      <c r="I257">
        <f t="shared" si="12"/>
        <v>818.09999999999991</v>
      </c>
      <c r="J257" s="2">
        <v>3123.9035450001397</v>
      </c>
      <c r="K257">
        <f t="shared" si="13"/>
        <v>843453.95715003775</v>
      </c>
      <c r="L257">
        <v>8.9360960918391241E-2</v>
      </c>
      <c r="M257">
        <f t="shared" si="14"/>
        <v>24.127459447965634</v>
      </c>
      <c r="N257" s="2" t="s">
        <v>598</v>
      </c>
      <c r="O257" s="2">
        <f>VLOOKUP(A257,'Coal savings'!$A$3:$K$543,10,FALSE)</f>
        <v>0</v>
      </c>
      <c r="P257" s="2">
        <f t="shared" si="15"/>
        <v>0</v>
      </c>
      <c r="Q257">
        <f>VLOOKUP(A257,'[13]Thermal generation Mar 19 - Feb'!$C$2:$D$680,2,FALSE)</f>
        <v>375.55</v>
      </c>
    </row>
    <row r="258" spans="1:17" x14ac:dyDescent="0.2">
      <c r="A258" s="2" t="s">
        <v>264</v>
      </c>
      <c r="B258" t="s">
        <v>621</v>
      </c>
      <c r="C258" t="s">
        <v>625</v>
      </c>
      <c r="D258" t="s">
        <v>570</v>
      </c>
      <c r="E258" t="s">
        <v>544</v>
      </c>
      <c r="F258" s="36">
        <v>11.841204654346299</v>
      </c>
      <c r="G258">
        <v>300</v>
      </c>
      <c r="H258">
        <v>3.15</v>
      </c>
      <c r="I258">
        <f t="shared" si="12"/>
        <v>945</v>
      </c>
      <c r="J258" s="2">
        <v>3036.0272848592176</v>
      </c>
      <c r="K258">
        <f t="shared" si="13"/>
        <v>910808.18545776524</v>
      </c>
      <c r="L258">
        <v>9.5849721553511083E-2</v>
      </c>
      <c r="M258">
        <f t="shared" si="14"/>
        <v>28.754916466053324</v>
      </c>
      <c r="N258" s="2" t="s">
        <v>598</v>
      </c>
      <c r="O258" s="2">
        <f>VLOOKUP(A258,'Coal savings'!$A$3:$K$543,10,FALSE)</f>
        <v>0</v>
      </c>
      <c r="P258" s="2">
        <f t="shared" si="15"/>
        <v>0</v>
      </c>
      <c r="Q258">
        <f>VLOOKUP(A258,'[13]Thermal generation Mar 19 - Feb'!$C$2:$D$680,2,FALSE)</f>
        <v>1574.4</v>
      </c>
    </row>
    <row r="259" spans="1:17" x14ac:dyDescent="0.2">
      <c r="A259" s="2" t="s">
        <v>227</v>
      </c>
      <c r="B259" t="s">
        <v>616</v>
      </c>
      <c r="C259" t="s">
        <v>628</v>
      </c>
      <c r="D259" t="s">
        <v>570</v>
      </c>
      <c r="E259" t="s">
        <v>543</v>
      </c>
      <c r="F259" s="36">
        <v>5.9247091033538597</v>
      </c>
      <c r="G259">
        <v>250</v>
      </c>
      <c r="H259">
        <v>2.34</v>
      </c>
      <c r="I259">
        <f t="shared" ref="I259:I322" si="16">H259*G259</f>
        <v>585</v>
      </c>
      <c r="J259" s="2">
        <v>2960.5488860790738</v>
      </c>
      <c r="K259">
        <f t="shared" ref="K259:K322" si="17">J259*G259</f>
        <v>740137.22151976847</v>
      </c>
      <c r="M259">
        <f t="shared" ref="M259:M322" si="18">L259*G259</f>
        <v>0</v>
      </c>
      <c r="N259" s="2" t="s">
        <v>598</v>
      </c>
      <c r="O259" s="2">
        <f>VLOOKUP(A259,'Coal savings'!$A$3:$K$543,10,FALSE)</f>
        <v>0</v>
      </c>
      <c r="P259" s="2">
        <f t="shared" ref="P259:P322" si="19">O259*G259</f>
        <v>0</v>
      </c>
      <c r="Q259">
        <f>VLOOKUP(A259,'[13]Thermal generation Mar 19 - Feb'!$C$2:$D$680,2,FALSE)</f>
        <v>1840.6599999999901</v>
      </c>
    </row>
    <row r="260" spans="1:17" x14ac:dyDescent="0.2">
      <c r="A260" s="2" t="s">
        <v>268</v>
      </c>
      <c r="B260" t="s">
        <v>619</v>
      </c>
      <c r="C260" t="s">
        <v>628</v>
      </c>
      <c r="D260" t="s">
        <v>570</v>
      </c>
      <c r="E260" t="s">
        <v>544</v>
      </c>
      <c r="F260" s="36">
        <v>12.175222450376401</v>
      </c>
      <c r="G260">
        <v>300</v>
      </c>
      <c r="H260">
        <v>3.48</v>
      </c>
      <c r="I260">
        <f t="shared" si="16"/>
        <v>1044</v>
      </c>
      <c r="J260" s="2">
        <v>3017.5864229058511</v>
      </c>
      <c r="K260">
        <f t="shared" si="17"/>
        <v>905275.92687175539</v>
      </c>
      <c r="L260">
        <v>8.7483637832043534E-2</v>
      </c>
      <c r="M260">
        <f t="shared" si="18"/>
        <v>26.245091349613059</v>
      </c>
      <c r="N260" s="2" t="s">
        <v>598</v>
      </c>
      <c r="O260" s="2">
        <f>VLOOKUP(A260,'Coal savings'!$A$3:$K$543,10,FALSE)</f>
        <v>0</v>
      </c>
      <c r="P260" s="2">
        <f t="shared" si="19"/>
        <v>0</v>
      </c>
      <c r="Q260">
        <f>VLOOKUP(A260,'[13]Thermal generation Mar 19 - Feb'!$C$2:$D$680,2,FALSE)</f>
        <v>1288.23</v>
      </c>
    </row>
    <row r="261" spans="1:17" x14ac:dyDescent="0.2">
      <c r="A261" s="2" t="s">
        <v>229</v>
      </c>
      <c r="B261" t="s">
        <v>621</v>
      </c>
      <c r="C261" t="s">
        <v>625</v>
      </c>
      <c r="D261" t="s">
        <v>570</v>
      </c>
      <c r="E261" t="s">
        <v>543</v>
      </c>
      <c r="F261" s="36">
        <v>6.1765913757700197</v>
      </c>
      <c r="G261">
        <v>250</v>
      </c>
      <c r="H261">
        <v>2.7087756164055898</v>
      </c>
      <c r="I261">
        <f t="shared" si="16"/>
        <v>677.19390410139749</v>
      </c>
      <c r="J261" s="2">
        <v>3048.2264574967198</v>
      </c>
      <c r="K261">
        <f t="shared" si="17"/>
        <v>762056.61437417998</v>
      </c>
      <c r="L261">
        <v>0.12054583600181658</v>
      </c>
      <c r="M261">
        <f t="shared" si="18"/>
        <v>30.136459000454145</v>
      </c>
      <c r="N261" s="2" t="s">
        <v>598</v>
      </c>
      <c r="O261" s="2">
        <f>VLOOKUP(A261,'Coal savings'!$A$3:$K$543,10,FALSE)</f>
        <v>0</v>
      </c>
      <c r="P261" s="2">
        <f t="shared" si="19"/>
        <v>0</v>
      </c>
      <c r="Q261">
        <f>VLOOKUP(A261,'[13]Thermal generation Mar 19 - Feb'!$C$2:$D$680,2,FALSE)</f>
        <v>1302.6600000000001</v>
      </c>
    </row>
    <row r="262" spans="1:17" x14ac:dyDescent="0.2">
      <c r="A262" s="2" t="s">
        <v>274</v>
      </c>
      <c r="B262" t="s">
        <v>621</v>
      </c>
      <c r="C262" t="s">
        <v>625</v>
      </c>
      <c r="D262" t="s">
        <v>570</v>
      </c>
      <c r="E262" t="s">
        <v>544</v>
      </c>
      <c r="F262" s="36">
        <v>12.4435318275154</v>
      </c>
      <c r="G262">
        <v>300</v>
      </c>
      <c r="H262">
        <v>2.8732482974155298</v>
      </c>
      <c r="I262">
        <f t="shared" si="16"/>
        <v>861.9744892246589</v>
      </c>
      <c r="J262" s="2">
        <v>3101.747908478314</v>
      </c>
      <c r="K262">
        <f t="shared" si="17"/>
        <v>930524.37254349422</v>
      </c>
      <c r="L262">
        <v>0.12054583600181658</v>
      </c>
      <c r="M262">
        <f t="shared" si="18"/>
        <v>36.163750800544975</v>
      </c>
      <c r="N262" s="2" t="s">
        <v>598</v>
      </c>
      <c r="O262" s="2">
        <f>VLOOKUP(A262,'Coal savings'!$A$3:$K$543,10,FALSE)</f>
        <v>0</v>
      </c>
      <c r="P262" s="2">
        <f t="shared" si="19"/>
        <v>0</v>
      </c>
      <c r="Q262">
        <f>VLOOKUP(A262,'[13]Thermal generation Mar 19 - Feb'!$C$2:$D$680,2,FALSE)</f>
        <v>924.54</v>
      </c>
    </row>
    <row r="263" spans="1:17" x14ac:dyDescent="0.2">
      <c r="A263" s="2" t="s">
        <v>273</v>
      </c>
      <c r="B263" t="s">
        <v>621</v>
      </c>
      <c r="C263" t="s">
        <v>625</v>
      </c>
      <c r="D263" t="s">
        <v>570</v>
      </c>
      <c r="E263" t="s">
        <v>544</v>
      </c>
      <c r="F263" s="36">
        <v>12.4243668720054</v>
      </c>
      <c r="G263">
        <v>300</v>
      </c>
      <c r="H263">
        <v>3.15</v>
      </c>
      <c r="I263">
        <f t="shared" si="16"/>
        <v>945</v>
      </c>
      <c r="J263" s="2">
        <v>3097.9193375553668</v>
      </c>
      <c r="K263">
        <f t="shared" si="17"/>
        <v>929375.80126661004</v>
      </c>
      <c r="L263">
        <v>9.5849721553511083E-2</v>
      </c>
      <c r="M263">
        <f t="shared" si="18"/>
        <v>28.754916466053324</v>
      </c>
      <c r="N263" s="2" t="s">
        <v>598</v>
      </c>
      <c r="O263" s="2">
        <f>VLOOKUP(A263,'Coal savings'!$A$3:$K$543,10,FALSE)</f>
        <v>0</v>
      </c>
      <c r="P263" s="2">
        <f t="shared" si="19"/>
        <v>0</v>
      </c>
      <c r="Q263">
        <f>VLOOKUP(A263,'[13]Thermal generation Mar 19 - Feb'!$C$2:$D$680,2,FALSE)</f>
        <v>1051.23</v>
      </c>
    </row>
    <row r="264" spans="1:17" x14ac:dyDescent="0.2">
      <c r="A264" s="2" t="s">
        <v>237</v>
      </c>
      <c r="B264" t="s">
        <v>609</v>
      </c>
      <c r="C264" t="s">
        <v>626</v>
      </c>
      <c r="D264" t="s">
        <v>570</v>
      </c>
      <c r="E264" t="s">
        <v>543</v>
      </c>
      <c r="F264" s="36">
        <v>6.4229979466118996</v>
      </c>
      <c r="G264">
        <v>250</v>
      </c>
      <c r="H264">
        <v>2.06</v>
      </c>
      <c r="I264">
        <f t="shared" si="16"/>
        <v>515</v>
      </c>
      <c r="J264" s="2">
        <v>2985.1992397883423</v>
      </c>
      <c r="K264">
        <f t="shared" si="17"/>
        <v>746299.80994708557</v>
      </c>
      <c r="L264">
        <v>0.1003219631047786</v>
      </c>
      <c r="M264">
        <f t="shared" si="18"/>
        <v>25.080490776194651</v>
      </c>
      <c r="N264" s="2" t="s">
        <v>598</v>
      </c>
      <c r="O264" s="2">
        <f>VLOOKUP(A264,'Coal savings'!$A$3:$K$543,10,FALSE)</f>
        <v>0</v>
      </c>
      <c r="P264" s="2">
        <f t="shared" si="19"/>
        <v>0</v>
      </c>
      <c r="Q264">
        <f>VLOOKUP(A264,'[13]Thermal generation Mar 19 - Feb'!$C$2:$D$680,2,FALSE)</f>
        <v>1545.24999999999</v>
      </c>
    </row>
    <row r="265" spans="1:17" x14ac:dyDescent="0.2">
      <c r="A265" s="2" t="s">
        <v>276</v>
      </c>
      <c r="B265" t="s">
        <v>619</v>
      </c>
      <c r="C265" t="s">
        <v>628</v>
      </c>
      <c r="D265" t="s">
        <v>570</v>
      </c>
      <c r="E265" t="s">
        <v>544</v>
      </c>
      <c r="F265" s="36">
        <v>12.5065023956194</v>
      </c>
      <c r="G265">
        <v>300</v>
      </c>
      <c r="H265">
        <v>3.48</v>
      </c>
      <c r="I265">
        <f t="shared" si="16"/>
        <v>1044</v>
      </c>
      <c r="J265" s="2">
        <v>3049.7698613455022</v>
      </c>
      <c r="K265">
        <f t="shared" si="17"/>
        <v>914930.95840365067</v>
      </c>
      <c r="L265">
        <v>8.7483637832043534E-2</v>
      </c>
      <c r="M265">
        <f t="shared" si="18"/>
        <v>26.245091349613059</v>
      </c>
      <c r="N265" s="2" t="s">
        <v>598</v>
      </c>
      <c r="O265" s="2">
        <f>VLOOKUP(A265,'Coal savings'!$A$3:$K$543,10,FALSE)</f>
        <v>0</v>
      </c>
      <c r="P265" s="2">
        <f t="shared" si="19"/>
        <v>0</v>
      </c>
      <c r="Q265">
        <f>VLOOKUP(A265,'[13]Thermal generation Mar 19 - Feb'!$C$2:$D$680,2,FALSE)</f>
        <v>1691.95</v>
      </c>
    </row>
    <row r="266" spans="1:17" x14ac:dyDescent="0.2">
      <c r="A266" s="2" t="s">
        <v>240</v>
      </c>
      <c r="B266" t="s">
        <v>616</v>
      </c>
      <c r="C266" t="s">
        <v>628</v>
      </c>
      <c r="D266" t="s">
        <v>570</v>
      </c>
      <c r="E266" t="s">
        <v>543</v>
      </c>
      <c r="F266" s="36">
        <v>6.6721423682409302</v>
      </c>
      <c r="G266">
        <v>250</v>
      </c>
      <c r="H266">
        <v>2.34</v>
      </c>
      <c r="I266">
        <f t="shared" si="16"/>
        <v>585</v>
      </c>
      <c r="J266" s="2">
        <v>2996.4554115422839</v>
      </c>
      <c r="K266">
        <f t="shared" si="17"/>
        <v>749113.85288557096</v>
      </c>
      <c r="M266">
        <f t="shared" si="18"/>
        <v>0</v>
      </c>
      <c r="N266" s="2" t="s">
        <v>598</v>
      </c>
      <c r="O266" s="2">
        <f>VLOOKUP(A266,'Coal savings'!$A$3:$K$543,10,FALSE)</f>
        <v>0</v>
      </c>
      <c r="P266" s="2">
        <f t="shared" si="19"/>
        <v>0</v>
      </c>
      <c r="Q266">
        <f>VLOOKUP(A266,'[13]Thermal generation Mar 19 - Feb'!$C$2:$D$680,2,FALSE)</f>
        <v>1628.46999999999</v>
      </c>
    </row>
    <row r="267" spans="1:17" x14ac:dyDescent="0.2">
      <c r="A267" s="2" t="s">
        <v>246</v>
      </c>
      <c r="B267" t="s">
        <v>609</v>
      </c>
      <c r="C267" t="s">
        <v>626</v>
      </c>
      <c r="D267" t="s">
        <v>572</v>
      </c>
      <c r="E267" t="s">
        <v>543</v>
      </c>
      <c r="F267" s="36">
        <v>7.1759069130732298</v>
      </c>
      <c r="G267">
        <v>250</v>
      </c>
      <c r="H267">
        <v>2.8</v>
      </c>
      <c r="I267">
        <f t="shared" si="16"/>
        <v>700</v>
      </c>
      <c r="J267" s="2">
        <v>3063.331884029009</v>
      </c>
      <c r="K267">
        <f t="shared" si="17"/>
        <v>765832.97100725223</v>
      </c>
      <c r="L267">
        <v>8.3913060272884019E-2</v>
      </c>
      <c r="M267">
        <f t="shared" si="18"/>
        <v>20.978265068221006</v>
      </c>
      <c r="N267" s="2" t="s">
        <v>598</v>
      </c>
      <c r="O267" s="2">
        <f>VLOOKUP(A267,'Coal savings'!$A$3:$K$543,10,FALSE)</f>
        <v>0</v>
      </c>
      <c r="P267" s="2">
        <f t="shared" si="19"/>
        <v>0</v>
      </c>
      <c r="Q267">
        <f>VLOOKUP(A267,'[13]Thermal generation Mar 19 - Feb'!$C$2:$D$680,2,FALSE)</f>
        <v>1185.8699999999899</v>
      </c>
    </row>
    <row r="268" spans="1:17" x14ac:dyDescent="0.2">
      <c r="A268" s="2" t="s">
        <v>245</v>
      </c>
      <c r="B268" t="s">
        <v>634</v>
      </c>
      <c r="C268" t="s">
        <v>628</v>
      </c>
      <c r="D268" t="s">
        <v>570</v>
      </c>
      <c r="E268" t="s">
        <v>543</v>
      </c>
      <c r="F268" s="36">
        <v>7.1759069130732298</v>
      </c>
      <c r="G268">
        <v>250</v>
      </c>
      <c r="H268">
        <v>2.77</v>
      </c>
      <c r="I268">
        <f t="shared" si="16"/>
        <v>692.5</v>
      </c>
      <c r="J268" s="2">
        <v>3021.9714912540917</v>
      </c>
      <c r="K268">
        <f t="shared" si="17"/>
        <v>755492.87281352293</v>
      </c>
      <c r="L268">
        <v>0.10527848654994208</v>
      </c>
      <c r="M268">
        <f t="shared" si="18"/>
        <v>26.319621637485522</v>
      </c>
      <c r="N268" s="2" t="s">
        <v>598</v>
      </c>
      <c r="O268" s="2">
        <f>VLOOKUP(A268,'Coal savings'!$A$3:$K$543,10,FALSE)</f>
        <v>0</v>
      </c>
      <c r="P268" s="2">
        <f t="shared" si="19"/>
        <v>0</v>
      </c>
      <c r="Q268">
        <f>VLOOKUP(A268,'[13]Thermal generation Mar 19 - Feb'!$C$2:$D$680,2,FALSE)</f>
        <v>1511.22</v>
      </c>
    </row>
    <row r="269" spans="1:17" x14ac:dyDescent="0.2">
      <c r="A269" s="2" t="s">
        <v>244</v>
      </c>
      <c r="B269" t="s">
        <v>609</v>
      </c>
      <c r="C269" t="s">
        <v>626</v>
      </c>
      <c r="D269" t="s">
        <v>570</v>
      </c>
      <c r="E269" t="s">
        <v>543</v>
      </c>
      <c r="F269" s="36">
        <v>7.1759069130732298</v>
      </c>
      <c r="G269">
        <v>250</v>
      </c>
      <c r="H269">
        <v>2.06</v>
      </c>
      <c r="I269">
        <f t="shared" si="16"/>
        <v>515</v>
      </c>
      <c r="J269" s="2">
        <v>3006.2925363300978</v>
      </c>
      <c r="K269">
        <f t="shared" si="17"/>
        <v>751573.13408252446</v>
      </c>
      <c r="L269">
        <v>0.1003219631047786</v>
      </c>
      <c r="M269">
        <f t="shared" si="18"/>
        <v>25.080490776194651</v>
      </c>
      <c r="N269" s="2" t="s">
        <v>598</v>
      </c>
      <c r="O269" s="2">
        <f>VLOOKUP(A269,'Coal savings'!$A$3:$K$543,10,FALSE)</f>
        <v>0</v>
      </c>
      <c r="P269" s="2">
        <f t="shared" si="19"/>
        <v>0</v>
      </c>
      <c r="Q269">
        <f>VLOOKUP(A269,'[13]Thermal generation Mar 19 - Feb'!$C$2:$D$680,2,FALSE)</f>
        <v>1258.8299999999899</v>
      </c>
    </row>
    <row r="270" spans="1:17" x14ac:dyDescent="0.2">
      <c r="A270" s="2" t="s">
        <v>253</v>
      </c>
      <c r="B270" t="s">
        <v>609</v>
      </c>
      <c r="C270" t="s">
        <v>626</v>
      </c>
      <c r="D270" t="s">
        <v>572</v>
      </c>
      <c r="E270" t="s">
        <v>543</v>
      </c>
      <c r="F270" s="36">
        <v>7.7563312799452397</v>
      </c>
      <c r="G270">
        <v>250</v>
      </c>
      <c r="H270">
        <v>2.8</v>
      </c>
      <c r="I270">
        <f t="shared" si="16"/>
        <v>700</v>
      </c>
      <c r="J270" s="2">
        <v>3043.9432718286221</v>
      </c>
      <c r="K270">
        <f t="shared" si="17"/>
        <v>760985.81795715552</v>
      </c>
      <c r="L270">
        <v>8.3913060272884019E-2</v>
      </c>
      <c r="M270">
        <f t="shared" si="18"/>
        <v>20.978265068221006</v>
      </c>
      <c r="N270" s="2" t="s">
        <v>598</v>
      </c>
      <c r="O270" s="2">
        <f>VLOOKUP(A270,'Coal savings'!$A$3:$K$543,10,FALSE)</f>
        <v>0</v>
      </c>
      <c r="P270" s="2">
        <f t="shared" si="19"/>
        <v>0</v>
      </c>
      <c r="Q270">
        <f>VLOOKUP(A270,'[13]Thermal generation Mar 19 - Feb'!$C$2:$D$680,2,FALSE)</f>
        <v>1382.8699999999899</v>
      </c>
    </row>
    <row r="271" spans="1:17" x14ac:dyDescent="0.2">
      <c r="A271" s="2" t="s">
        <v>255</v>
      </c>
      <c r="B271" t="s">
        <v>634</v>
      </c>
      <c r="C271" t="s">
        <v>628</v>
      </c>
      <c r="D271" t="s">
        <v>570</v>
      </c>
      <c r="E271" t="s">
        <v>543</v>
      </c>
      <c r="F271" s="36">
        <v>8.00821355236139</v>
      </c>
      <c r="G271">
        <v>250</v>
      </c>
      <c r="H271">
        <v>2.8</v>
      </c>
      <c r="I271">
        <f t="shared" si="16"/>
        <v>700</v>
      </c>
      <c r="J271" s="2">
        <v>3006.1505423538279</v>
      </c>
      <c r="K271">
        <f t="shared" si="17"/>
        <v>751537.63558845699</v>
      </c>
      <c r="L271">
        <v>8.6582291374875858E-2</v>
      </c>
      <c r="M271">
        <f t="shared" si="18"/>
        <v>21.645572843718966</v>
      </c>
      <c r="N271" s="2" t="s">
        <v>598</v>
      </c>
      <c r="O271" s="2">
        <f>VLOOKUP(A271,'Coal savings'!$A$3:$K$543,10,FALSE)</f>
        <v>0</v>
      </c>
      <c r="P271" s="2">
        <f t="shared" si="19"/>
        <v>0</v>
      </c>
      <c r="Q271">
        <f>VLOOKUP(A271,'[13]Thermal generation Mar 19 - Feb'!$C$2:$D$680,2,FALSE)</f>
        <v>1589.8599999999899</v>
      </c>
    </row>
    <row r="272" spans="1:17" x14ac:dyDescent="0.2">
      <c r="A272" s="2" t="s">
        <v>256</v>
      </c>
      <c r="B272" t="s">
        <v>634</v>
      </c>
      <c r="C272" t="s">
        <v>628</v>
      </c>
      <c r="D272" t="s">
        <v>570</v>
      </c>
      <c r="E272" t="s">
        <v>543</v>
      </c>
      <c r="F272" s="36">
        <v>8.00821355236139</v>
      </c>
      <c r="G272">
        <v>250</v>
      </c>
      <c r="H272">
        <v>2.77</v>
      </c>
      <c r="I272">
        <f t="shared" si="16"/>
        <v>692.5</v>
      </c>
      <c r="J272" s="2">
        <v>3102.1724374693881</v>
      </c>
      <c r="K272">
        <f t="shared" si="17"/>
        <v>775543.10936734697</v>
      </c>
      <c r="L272">
        <v>0.10527848654994208</v>
      </c>
      <c r="M272">
        <f t="shared" si="18"/>
        <v>26.319621637485522</v>
      </c>
      <c r="N272" s="2" t="s">
        <v>598</v>
      </c>
      <c r="O272" s="2">
        <f>VLOOKUP(A272,'Coal savings'!$A$3:$K$543,10,FALSE)</f>
        <v>0</v>
      </c>
      <c r="P272" s="2">
        <f t="shared" si="19"/>
        <v>0</v>
      </c>
      <c r="Q272">
        <f>VLOOKUP(A272,'[13]Thermal generation Mar 19 - Feb'!$C$2:$D$680,2,FALSE)</f>
        <v>210.74</v>
      </c>
    </row>
    <row r="273" spans="1:17" x14ac:dyDescent="0.2">
      <c r="A273" s="2" t="s">
        <v>259</v>
      </c>
      <c r="B273" t="s">
        <v>621</v>
      </c>
      <c r="C273" t="s">
        <v>625</v>
      </c>
      <c r="D273" t="s">
        <v>570</v>
      </c>
      <c r="E273" t="s">
        <v>543</v>
      </c>
      <c r="F273" s="36">
        <v>8.5941136208076596</v>
      </c>
      <c r="G273">
        <v>250</v>
      </c>
      <c r="H273">
        <v>2.57</v>
      </c>
      <c r="I273">
        <f t="shared" si="16"/>
        <v>642.5</v>
      </c>
      <c r="J273" s="2">
        <v>2974.1955356895501</v>
      </c>
      <c r="K273">
        <f t="shared" si="17"/>
        <v>743548.8839223875</v>
      </c>
      <c r="L273">
        <v>8.5383480246584514E-2</v>
      </c>
      <c r="M273">
        <f t="shared" si="18"/>
        <v>21.345870061646128</v>
      </c>
      <c r="N273" s="2" t="s">
        <v>598</v>
      </c>
      <c r="O273" s="2">
        <f>VLOOKUP(A273,'Coal savings'!$A$3:$K$543,10,FALSE)</f>
        <v>0</v>
      </c>
      <c r="P273" s="2">
        <f t="shared" si="19"/>
        <v>0</v>
      </c>
      <c r="Q273">
        <f>VLOOKUP(A273,'[13]Thermal generation Mar 19 - Feb'!$C$2:$D$680,2,FALSE)</f>
        <v>1962.52999999999</v>
      </c>
    </row>
    <row r="274" spans="1:17" x14ac:dyDescent="0.2">
      <c r="A274" s="2" t="s">
        <v>260</v>
      </c>
      <c r="B274" t="s">
        <v>634</v>
      </c>
      <c r="C274" t="s">
        <v>628</v>
      </c>
      <c r="D274" t="s">
        <v>570</v>
      </c>
      <c r="E274" t="s">
        <v>543</v>
      </c>
      <c r="F274" s="36">
        <v>8.6735112936344905</v>
      </c>
      <c r="G274">
        <v>250</v>
      </c>
      <c r="H274">
        <v>2.8</v>
      </c>
      <c r="I274">
        <f t="shared" si="16"/>
        <v>700</v>
      </c>
      <c r="J274" s="2">
        <v>3022.4668470105471</v>
      </c>
      <c r="K274">
        <f t="shared" si="17"/>
        <v>755616.71175263682</v>
      </c>
      <c r="L274">
        <v>8.6582291374875858E-2</v>
      </c>
      <c r="M274">
        <f t="shared" si="18"/>
        <v>21.645572843718966</v>
      </c>
      <c r="N274" s="2" t="s">
        <v>598</v>
      </c>
      <c r="O274" s="2">
        <f>VLOOKUP(A274,'Coal savings'!$A$3:$K$543,10,FALSE)</f>
        <v>0</v>
      </c>
      <c r="P274" s="2">
        <f t="shared" si="19"/>
        <v>0</v>
      </c>
      <c r="Q274">
        <f>VLOOKUP(A274,'[13]Thermal generation Mar 19 - Feb'!$C$2:$D$680,2,FALSE)</f>
        <v>1562.48</v>
      </c>
    </row>
    <row r="275" spans="1:17" x14ac:dyDescent="0.2">
      <c r="A275" s="2" t="s">
        <v>224</v>
      </c>
      <c r="B275" t="s">
        <v>615</v>
      </c>
      <c r="C275" t="s">
        <v>625</v>
      </c>
      <c r="D275" t="s">
        <v>571</v>
      </c>
      <c r="E275" t="s">
        <v>542</v>
      </c>
      <c r="F275" s="36">
        <v>3.1759069130732298</v>
      </c>
      <c r="G275">
        <v>195</v>
      </c>
      <c r="H275">
        <v>2.69</v>
      </c>
      <c r="I275">
        <f t="shared" si="16"/>
        <v>524.54999999999995</v>
      </c>
      <c r="J275" s="2">
        <v>3055.2044096190893</v>
      </c>
      <c r="K275">
        <f t="shared" si="17"/>
        <v>595764.85987572244</v>
      </c>
      <c r="L275" s="1">
        <v>9.4599688742977306E-2</v>
      </c>
      <c r="M275">
        <f t="shared" si="18"/>
        <v>18.446939304880576</v>
      </c>
      <c r="N275" s="2" t="s">
        <v>598</v>
      </c>
      <c r="O275" s="2">
        <f>VLOOKUP(A275,'Coal savings'!$A$3:$K$543,10,FALSE)</f>
        <v>0</v>
      </c>
      <c r="P275" s="2">
        <f t="shared" si="19"/>
        <v>0</v>
      </c>
      <c r="Q275">
        <f>VLOOKUP(A275,'[13]Thermal generation Mar 19 - Feb'!$C$2:$D$680,2,FALSE)</f>
        <v>1259.4100000000001</v>
      </c>
    </row>
    <row r="276" spans="1:17" x14ac:dyDescent="0.2">
      <c r="A276" s="2" t="s">
        <v>267</v>
      </c>
      <c r="B276" t="s">
        <v>612</v>
      </c>
      <c r="C276" t="s">
        <v>627</v>
      </c>
      <c r="D276" t="s">
        <v>570</v>
      </c>
      <c r="E276" t="s">
        <v>543</v>
      </c>
      <c r="F276" s="36">
        <v>9.9247091033538606</v>
      </c>
      <c r="G276">
        <v>250</v>
      </c>
      <c r="H276">
        <v>3.44</v>
      </c>
      <c r="I276">
        <f t="shared" si="16"/>
        <v>860</v>
      </c>
      <c r="J276" s="2">
        <v>3029.2531457132345</v>
      </c>
      <c r="K276">
        <f t="shared" si="17"/>
        <v>757313.28642830858</v>
      </c>
      <c r="L276">
        <v>9.2407885740745169E-2</v>
      </c>
      <c r="M276">
        <f t="shared" si="18"/>
        <v>23.101971435186293</v>
      </c>
      <c r="N276" s="2" t="s">
        <v>598</v>
      </c>
      <c r="O276" s="2">
        <f>VLOOKUP(A276,'Coal savings'!$A$3:$K$543,10,FALSE)</f>
        <v>0</v>
      </c>
      <c r="P276" s="2">
        <f t="shared" si="19"/>
        <v>0</v>
      </c>
      <c r="Q276">
        <f>VLOOKUP(A276,'[13]Thermal generation Mar 19 - Feb'!$C$2:$D$680,2,FALSE)</f>
        <v>1604.9399999999901</v>
      </c>
    </row>
    <row r="277" spans="1:17" x14ac:dyDescent="0.2">
      <c r="A277" s="2" t="s">
        <v>311</v>
      </c>
      <c r="B277" t="s">
        <v>609</v>
      </c>
      <c r="C277" t="s">
        <v>626</v>
      </c>
      <c r="D277" t="s">
        <v>570</v>
      </c>
      <c r="E277" t="s">
        <v>544</v>
      </c>
      <c r="F277" s="36">
        <v>11.9233401779603</v>
      </c>
      <c r="G277">
        <v>210</v>
      </c>
      <c r="H277">
        <v>1.69</v>
      </c>
      <c r="I277">
        <f t="shared" si="16"/>
        <v>354.9</v>
      </c>
      <c r="J277" s="2">
        <v>3013.1174247261338</v>
      </c>
      <c r="K277">
        <f t="shared" si="17"/>
        <v>632754.65919248806</v>
      </c>
      <c r="L277">
        <v>9.414842901808744E-2</v>
      </c>
      <c r="M277">
        <f t="shared" si="18"/>
        <v>19.771170093798361</v>
      </c>
      <c r="N277" s="2" t="s">
        <v>576</v>
      </c>
      <c r="O277" s="2">
        <f>VLOOKUP(A277,'Coal savings'!$A$3:$K$543,10,FALSE)</f>
        <v>0</v>
      </c>
      <c r="P277" s="2">
        <f t="shared" si="19"/>
        <v>0</v>
      </c>
      <c r="Q277">
        <f>VLOOKUP(A277,'[13]Thermal generation Mar 19 - Feb'!$C$2:$D$680,2,FALSE)</f>
        <v>1681.77999999999</v>
      </c>
    </row>
    <row r="278" spans="1:17" x14ac:dyDescent="0.2">
      <c r="A278" s="2" t="s">
        <v>456</v>
      </c>
      <c r="B278" t="s">
        <v>634</v>
      </c>
      <c r="C278" t="s">
        <v>628</v>
      </c>
      <c r="D278" t="s">
        <v>570</v>
      </c>
      <c r="E278" t="s">
        <v>548</v>
      </c>
      <c r="F278" s="36">
        <v>34.176591375770002</v>
      </c>
      <c r="G278">
        <v>210</v>
      </c>
      <c r="H278">
        <v>1.72</v>
      </c>
      <c r="I278">
        <f t="shared" si="16"/>
        <v>361.2</v>
      </c>
      <c r="J278" s="2">
        <v>3217.953122698982</v>
      </c>
      <c r="K278">
        <f t="shared" si="17"/>
        <v>675770.15576678619</v>
      </c>
      <c r="L278">
        <v>9.3255770253987805E-2</v>
      </c>
      <c r="M278">
        <f t="shared" si="18"/>
        <v>19.58371175333744</v>
      </c>
      <c r="N278" s="2" t="s">
        <v>576</v>
      </c>
      <c r="O278" s="2">
        <f>VLOOKUP(A278,'Coal savings'!$A$3:$K$543,10,FALSE)</f>
        <v>0</v>
      </c>
      <c r="P278" s="2">
        <f t="shared" si="19"/>
        <v>0</v>
      </c>
      <c r="Q278">
        <f>VLOOKUP(A278,'[13]Thermal generation Mar 19 - Feb'!$C$2:$D$680,2,FALSE)</f>
        <v>1448.5699999999899</v>
      </c>
    </row>
    <row r="279" spans="1:17" x14ac:dyDescent="0.2">
      <c r="A279" s="2" t="s">
        <v>451</v>
      </c>
      <c r="B279" t="s">
        <v>634</v>
      </c>
      <c r="C279" t="s">
        <v>628</v>
      </c>
      <c r="D279" t="s">
        <v>570</v>
      </c>
      <c r="E279" t="s">
        <v>548</v>
      </c>
      <c r="F279" s="36">
        <v>33.2539356605065</v>
      </c>
      <c r="G279">
        <v>210</v>
      </c>
      <c r="H279">
        <v>1.72</v>
      </c>
      <c r="I279">
        <f t="shared" si="16"/>
        <v>361.2</v>
      </c>
      <c r="J279" s="2">
        <v>3222.3011966167055</v>
      </c>
      <c r="K279">
        <f t="shared" si="17"/>
        <v>676683.25128950819</v>
      </c>
      <c r="L279">
        <v>9.3255770253987805E-2</v>
      </c>
      <c r="M279">
        <f t="shared" si="18"/>
        <v>19.58371175333744</v>
      </c>
      <c r="N279" s="2" t="s">
        <v>576</v>
      </c>
      <c r="O279" s="2">
        <f>VLOOKUP(A279,'Coal savings'!$A$3:$K$543,10,FALSE)</f>
        <v>0</v>
      </c>
      <c r="P279" s="2">
        <f t="shared" si="19"/>
        <v>0</v>
      </c>
      <c r="Q279">
        <f>VLOOKUP(A279,'[13]Thermal generation Mar 19 - Feb'!$C$2:$D$680,2,FALSE)</f>
        <v>1568.6699999999901</v>
      </c>
    </row>
    <row r="280" spans="1:17" x14ac:dyDescent="0.2">
      <c r="A280" s="2" t="s">
        <v>445</v>
      </c>
      <c r="B280" t="s">
        <v>634</v>
      </c>
      <c r="C280" t="s">
        <v>628</v>
      </c>
      <c r="D280" t="s">
        <v>570</v>
      </c>
      <c r="E280" t="s">
        <v>548</v>
      </c>
      <c r="F280" s="36">
        <v>32.175222450376403</v>
      </c>
      <c r="G280">
        <v>210</v>
      </c>
      <c r="H280">
        <v>1.72</v>
      </c>
      <c r="I280">
        <f t="shared" si="16"/>
        <v>361.2</v>
      </c>
      <c r="J280" s="2">
        <v>3195.5071186352661</v>
      </c>
      <c r="K280">
        <f t="shared" si="17"/>
        <v>671056.49491340586</v>
      </c>
      <c r="L280">
        <v>9.3255770253987805E-2</v>
      </c>
      <c r="M280">
        <f t="shared" si="18"/>
        <v>19.58371175333744</v>
      </c>
      <c r="N280" s="2" t="s">
        <v>576</v>
      </c>
      <c r="O280" s="2">
        <f>VLOOKUP(A280,'Coal savings'!$A$3:$K$543,10,FALSE)</f>
        <v>0</v>
      </c>
      <c r="P280" s="2">
        <f t="shared" si="19"/>
        <v>0</v>
      </c>
      <c r="Q280">
        <f>VLOOKUP(A280,'[13]Thermal generation Mar 19 - Feb'!$C$2:$D$680,2,FALSE)</f>
        <v>1492.50999999999</v>
      </c>
    </row>
    <row r="281" spans="1:17" x14ac:dyDescent="0.2">
      <c r="A281" s="2" t="s">
        <v>302</v>
      </c>
      <c r="B281" t="s">
        <v>621</v>
      </c>
      <c r="C281" t="s">
        <v>625</v>
      </c>
      <c r="D281" t="s">
        <v>570</v>
      </c>
      <c r="E281" t="s">
        <v>544</v>
      </c>
      <c r="F281" s="36">
        <v>10.924024640657001</v>
      </c>
      <c r="G281">
        <v>210</v>
      </c>
      <c r="H281">
        <v>2.6</v>
      </c>
      <c r="I281">
        <f t="shared" si="16"/>
        <v>546</v>
      </c>
      <c r="J281" s="2">
        <v>3046.5926649238581</v>
      </c>
      <c r="K281">
        <f t="shared" si="17"/>
        <v>639784.45963401021</v>
      </c>
      <c r="L281">
        <v>9.8262750849406444E-2</v>
      </c>
      <c r="M281">
        <f t="shared" si="18"/>
        <v>20.635177678375353</v>
      </c>
      <c r="N281" s="2" t="s">
        <v>576</v>
      </c>
      <c r="O281" s="2">
        <f>VLOOKUP(A281,'Coal savings'!$A$3:$K$543,10,FALSE)</f>
        <v>0</v>
      </c>
      <c r="P281" s="2">
        <f t="shared" si="19"/>
        <v>0</v>
      </c>
      <c r="Q281">
        <f>VLOOKUP(A281,'[13]Thermal generation Mar 19 - Feb'!$C$2:$D$680,2,FALSE)</f>
        <v>1381.95</v>
      </c>
    </row>
    <row r="282" spans="1:17" x14ac:dyDescent="0.2">
      <c r="A282" s="2" t="s">
        <v>373</v>
      </c>
      <c r="B282" t="s">
        <v>621</v>
      </c>
      <c r="C282" t="s">
        <v>625</v>
      </c>
      <c r="D282" t="s">
        <v>570</v>
      </c>
      <c r="E282" t="s">
        <v>546</v>
      </c>
      <c r="F282" s="36">
        <v>20.843258042436599</v>
      </c>
      <c r="G282">
        <v>210</v>
      </c>
      <c r="H282">
        <v>2.6</v>
      </c>
      <c r="I282">
        <f t="shared" si="16"/>
        <v>546</v>
      </c>
      <c r="J282" s="2">
        <v>3120.0324989953706</v>
      </c>
      <c r="K282">
        <f t="shared" si="17"/>
        <v>655206.8247890278</v>
      </c>
      <c r="L282">
        <v>9.8262750849406444E-2</v>
      </c>
      <c r="M282">
        <f t="shared" si="18"/>
        <v>20.635177678375353</v>
      </c>
      <c r="N282" s="2" t="s">
        <v>576</v>
      </c>
      <c r="O282" s="2">
        <f>VLOOKUP(A282,'Coal savings'!$A$3:$K$543,10,FALSE)</f>
        <v>0</v>
      </c>
      <c r="P282" s="2">
        <f t="shared" si="19"/>
        <v>0</v>
      </c>
      <c r="Q282">
        <f>VLOOKUP(A282,'[13]Thermal generation Mar 19 - Feb'!$C$2:$D$680,2,FALSE)</f>
        <v>1477.3499999999899</v>
      </c>
    </row>
    <row r="283" spans="1:17" x14ac:dyDescent="0.2">
      <c r="A283" s="2" t="s">
        <v>365</v>
      </c>
      <c r="B283" t="s">
        <v>621</v>
      </c>
      <c r="C283" t="s">
        <v>625</v>
      </c>
      <c r="D283" t="s">
        <v>570</v>
      </c>
      <c r="E283" t="s">
        <v>545</v>
      </c>
      <c r="F283" s="36">
        <v>20.008213552361301</v>
      </c>
      <c r="G283">
        <v>210</v>
      </c>
      <c r="H283">
        <v>2.6</v>
      </c>
      <c r="I283">
        <f t="shared" si="16"/>
        <v>546</v>
      </c>
      <c r="J283" s="2">
        <v>3131.3599798705222</v>
      </c>
      <c r="K283">
        <f t="shared" si="17"/>
        <v>657585.5957728097</v>
      </c>
      <c r="L283">
        <v>9.8262750849406444E-2</v>
      </c>
      <c r="M283">
        <f t="shared" si="18"/>
        <v>20.635177678375353</v>
      </c>
      <c r="N283" s="2" t="s">
        <v>576</v>
      </c>
      <c r="O283" s="2">
        <f>VLOOKUP(A283,'Coal savings'!$A$3:$K$543,10,FALSE)</f>
        <v>0</v>
      </c>
      <c r="P283" s="2">
        <f t="shared" si="19"/>
        <v>0</v>
      </c>
      <c r="Q283">
        <f>VLOOKUP(A283,'[13]Thermal generation Mar 19 - Feb'!$C$2:$D$680,2,FALSE)</f>
        <v>1358.28999999999</v>
      </c>
    </row>
    <row r="284" spans="1:17" x14ac:dyDescent="0.2">
      <c r="A284" s="2" t="s">
        <v>358</v>
      </c>
      <c r="B284" t="s">
        <v>621</v>
      </c>
      <c r="C284" t="s">
        <v>625</v>
      </c>
      <c r="D284" t="s">
        <v>570</v>
      </c>
      <c r="E284" t="s">
        <v>545</v>
      </c>
      <c r="F284" s="36">
        <v>19.175906913073199</v>
      </c>
      <c r="G284">
        <v>210</v>
      </c>
      <c r="H284">
        <v>2.6</v>
      </c>
      <c r="I284">
        <f t="shared" si="16"/>
        <v>546</v>
      </c>
      <c r="J284" s="2">
        <v>3107.1206027053936</v>
      </c>
      <c r="K284">
        <f t="shared" si="17"/>
        <v>652495.32656813262</v>
      </c>
      <c r="L284">
        <v>9.8262750849406444E-2</v>
      </c>
      <c r="M284">
        <f t="shared" si="18"/>
        <v>20.635177678375353</v>
      </c>
      <c r="N284" s="2" t="s">
        <v>576</v>
      </c>
      <c r="O284" s="2">
        <f>VLOOKUP(A284,'Coal savings'!$A$3:$K$543,10,FALSE)</f>
        <v>0</v>
      </c>
      <c r="P284" s="2">
        <f t="shared" si="19"/>
        <v>0</v>
      </c>
      <c r="Q284">
        <f>VLOOKUP(A284,'[13]Thermal generation Mar 19 - Feb'!$C$2:$D$680,2,FALSE)</f>
        <v>1295.96999999999</v>
      </c>
    </row>
    <row r="285" spans="1:17" x14ac:dyDescent="0.2">
      <c r="A285" s="2" t="s">
        <v>313</v>
      </c>
      <c r="B285" t="s">
        <v>621</v>
      </c>
      <c r="C285" t="s">
        <v>625</v>
      </c>
      <c r="D285" t="s">
        <v>570</v>
      </c>
      <c r="E285" t="s">
        <v>544</v>
      </c>
      <c r="F285" s="36">
        <v>12.4243668720054</v>
      </c>
      <c r="G285">
        <v>210</v>
      </c>
      <c r="H285">
        <v>2.6</v>
      </c>
      <c r="I285">
        <f t="shared" si="16"/>
        <v>546</v>
      </c>
      <c r="J285" s="2">
        <v>3071.29199723687</v>
      </c>
      <c r="K285">
        <f t="shared" si="17"/>
        <v>644971.31941974268</v>
      </c>
      <c r="L285">
        <v>9.8262750849406444E-2</v>
      </c>
      <c r="M285">
        <f t="shared" si="18"/>
        <v>20.635177678375353</v>
      </c>
      <c r="N285" s="2" t="s">
        <v>576</v>
      </c>
      <c r="O285" s="2">
        <f>VLOOKUP(A285,'Coal savings'!$A$3:$K$543,10,FALSE)</f>
        <v>0</v>
      </c>
      <c r="P285" s="2">
        <f t="shared" si="19"/>
        <v>0</v>
      </c>
      <c r="Q285">
        <f>VLOOKUP(A285,'[13]Thermal generation Mar 19 - Feb'!$C$2:$D$680,2,FALSE)</f>
        <v>1488.53999999999</v>
      </c>
    </row>
    <row r="286" spans="1:17" x14ac:dyDescent="0.2">
      <c r="A286" s="2" t="s">
        <v>540</v>
      </c>
      <c r="B286" t="s">
        <v>621</v>
      </c>
      <c r="C286" t="s">
        <v>625</v>
      </c>
      <c r="D286" t="s">
        <v>570</v>
      </c>
      <c r="E286" t="s">
        <v>551</v>
      </c>
      <c r="F286" s="36">
        <v>54.672142368240898</v>
      </c>
      <c r="G286">
        <v>60</v>
      </c>
      <c r="H286">
        <v>3.66</v>
      </c>
      <c r="I286">
        <f t="shared" si="16"/>
        <v>219.60000000000002</v>
      </c>
      <c r="J286" s="2">
        <v>3660.7803302603902</v>
      </c>
      <c r="K286">
        <f t="shared" si="17"/>
        <v>219646.8198156234</v>
      </c>
      <c r="L286">
        <v>0.1207682612530637</v>
      </c>
      <c r="M286">
        <f t="shared" si="18"/>
        <v>7.2460956751838221</v>
      </c>
      <c r="N286" s="2" t="s">
        <v>576</v>
      </c>
      <c r="O286" s="2">
        <f>VLOOKUP(A286,'Coal savings'!$A$3:$K$543,10,FALSE)</f>
        <v>0</v>
      </c>
      <c r="P286" s="2">
        <f t="shared" si="19"/>
        <v>0</v>
      </c>
      <c r="Q286">
        <f>VLOOKUP(A286,'[13]Thermal generation Mar 19 - Feb'!$C$2:$D$680,2,FALSE)</f>
        <v>195.91</v>
      </c>
    </row>
    <row r="287" spans="1:17" x14ac:dyDescent="0.2">
      <c r="A287" s="2" t="s">
        <v>539</v>
      </c>
      <c r="B287" t="s">
        <v>621</v>
      </c>
      <c r="C287" t="s">
        <v>625</v>
      </c>
      <c r="D287" t="s">
        <v>570</v>
      </c>
      <c r="E287" t="s">
        <v>551</v>
      </c>
      <c r="F287" s="36">
        <v>54.590006844626899</v>
      </c>
      <c r="G287">
        <v>60</v>
      </c>
      <c r="H287">
        <v>3.66</v>
      </c>
      <c r="I287">
        <f t="shared" si="16"/>
        <v>219.60000000000002</v>
      </c>
      <c r="J287" s="2">
        <v>3656.4742951525377</v>
      </c>
      <c r="K287">
        <f t="shared" si="17"/>
        <v>219388.45770915225</v>
      </c>
      <c r="L287">
        <v>0.1207682612530637</v>
      </c>
      <c r="M287">
        <f t="shared" si="18"/>
        <v>7.2460956751838221</v>
      </c>
      <c r="N287" s="2" t="s">
        <v>576</v>
      </c>
      <c r="O287" s="2">
        <f>VLOOKUP(A287,'Coal savings'!$A$3:$K$543,10,FALSE)</f>
        <v>0</v>
      </c>
      <c r="P287" s="2">
        <f t="shared" si="19"/>
        <v>0</v>
      </c>
      <c r="Q287">
        <f>VLOOKUP(A287,'[13]Thermal generation Mar 19 - Feb'!$C$2:$D$680,2,FALSE)</f>
        <v>123.75</v>
      </c>
    </row>
    <row r="288" spans="1:17" x14ac:dyDescent="0.2">
      <c r="A288" s="2" t="s">
        <v>488</v>
      </c>
      <c r="B288" t="s">
        <v>621</v>
      </c>
      <c r="C288" t="s">
        <v>625</v>
      </c>
      <c r="D288" t="s">
        <v>570</v>
      </c>
      <c r="E288" t="s">
        <v>549</v>
      </c>
      <c r="F288" s="36">
        <v>37.590691307323702</v>
      </c>
      <c r="G288">
        <v>210</v>
      </c>
      <c r="H288">
        <v>3.66</v>
      </c>
      <c r="I288">
        <f t="shared" si="16"/>
        <v>768.6</v>
      </c>
      <c r="J288" s="2">
        <v>3350.9707734417611</v>
      </c>
      <c r="K288">
        <f t="shared" si="17"/>
        <v>703703.86242276989</v>
      </c>
      <c r="L288">
        <v>0.1207682612530637</v>
      </c>
      <c r="M288">
        <f t="shared" si="18"/>
        <v>25.361334863143377</v>
      </c>
      <c r="N288" s="2" t="s">
        <v>576</v>
      </c>
      <c r="O288" s="2">
        <f>VLOOKUP(A288,'Coal savings'!$A$3:$K$543,10,FALSE)</f>
        <v>0</v>
      </c>
      <c r="P288" s="2">
        <f t="shared" si="19"/>
        <v>0</v>
      </c>
      <c r="Q288">
        <f>VLOOKUP(A288,'[13]Thermal generation Mar 19 - Feb'!$C$2:$D$680,2,FALSE)</f>
        <v>595.89</v>
      </c>
    </row>
    <row r="289" spans="1:17" x14ac:dyDescent="0.2">
      <c r="A289" s="2" t="s">
        <v>265</v>
      </c>
      <c r="B289" t="s">
        <v>615</v>
      </c>
      <c r="C289" t="s">
        <v>625</v>
      </c>
      <c r="D289" t="s">
        <v>571</v>
      </c>
      <c r="E289" t="s">
        <v>542</v>
      </c>
      <c r="F289" s="36">
        <v>3.4962354551676902</v>
      </c>
      <c r="G289">
        <v>110</v>
      </c>
      <c r="H289">
        <v>3.04</v>
      </c>
      <c r="I289">
        <f t="shared" si="16"/>
        <v>334.4</v>
      </c>
      <c r="J289" s="2">
        <v>3323.8948286463105</v>
      </c>
      <c r="K289">
        <f t="shared" si="17"/>
        <v>365628.43115109415</v>
      </c>
      <c r="L289" s="1">
        <v>0.09</v>
      </c>
      <c r="M289">
        <f t="shared" si="18"/>
        <v>9.9</v>
      </c>
      <c r="N289" s="2" t="s">
        <v>576</v>
      </c>
      <c r="O289" s="2">
        <f>VLOOKUP(A289,'Coal savings'!$A$3:$K$543,10,FALSE)</f>
        <v>0</v>
      </c>
      <c r="P289" s="2">
        <f t="shared" si="19"/>
        <v>0</v>
      </c>
      <c r="Q289">
        <f>VLOOKUP(A289,'[13]Thermal generation Mar 19 - Feb'!$C$2:$D$680,2,FALSE)</f>
        <v>88.39</v>
      </c>
    </row>
    <row r="290" spans="1:17" x14ac:dyDescent="0.2">
      <c r="A290" s="2" t="s">
        <v>341</v>
      </c>
      <c r="B290" t="s">
        <v>634</v>
      </c>
      <c r="C290" t="s">
        <v>628</v>
      </c>
      <c r="D290" t="s">
        <v>572</v>
      </c>
      <c r="E290" t="s">
        <v>543</v>
      </c>
      <c r="F290" s="36">
        <v>8.5065023956194299</v>
      </c>
      <c r="G290">
        <v>45</v>
      </c>
      <c r="H290">
        <v>3.73</v>
      </c>
      <c r="I290">
        <f t="shared" si="16"/>
        <v>167.85</v>
      </c>
      <c r="J290" s="2">
        <v>3386.2741253729387</v>
      </c>
      <c r="K290">
        <f t="shared" si="17"/>
        <v>152382.33564178224</v>
      </c>
      <c r="L290">
        <v>0.10106329868235293</v>
      </c>
      <c r="M290">
        <f t="shared" si="18"/>
        <v>4.5478484407058817</v>
      </c>
      <c r="N290" s="2" t="s">
        <v>576</v>
      </c>
      <c r="O290" s="2">
        <f>VLOOKUP(A290,'Coal savings'!$A$3:$K$543,10,FALSE)</f>
        <v>0</v>
      </c>
      <c r="P290" s="2">
        <f t="shared" si="19"/>
        <v>0</v>
      </c>
      <c r="Q290">
        <f>VLOOKUP(A290,'[13]Thermal generation Mar 19 - Feb'!$C$2:$D$680,2,FALSE)</f>
        <v>52.09</v>
      </c>
    </row>
    <row r="291" spans="1:17" x14ac:dyDescent="0.2">
      <c r="A291" s="2" t="s">
        <v>339</v>
      </c>
      <c r="B291" t="s">
        <v>634</v>
      </c>
      <c r="C291" t="s">
        <v>628</v>
      </c>
      <c r="D291" t="s">
        <v>572</v>
      </c>
      <c r="E291" t="s">
        <v>543</v>
      </c>
      <c r="F291" s="36">
        <v>8.33949349760438</v>
      </c>
      <c r="G291">
        <v>45</v>
      </c>
      <c r="H291">
        <v>3.73</v>
      </c>
      <c r="I291">
        <f t="shared" si="16"/>
        <v>167.85</v>
      </c>
      <c r="J291" s="2">
        <v>3393.5343894834632</v>
      </c>
      <c r="K291">
        <f t="shared" si="17"/>
        <v>152709.04752675584</v>
      </c>
      <c r="L291">
        <v>0.10106329868235293</v>
      </c>
      <c r="M291">
        <f t="shared" si="18"/>
        <v>4.5478484407058817</v>
      </c>
      <c r="N291" s="2" t="s">
        <v>576</v>
      </c>
      <c r="O291" s="2">
        <f>VLOOKUP(A291,'Coal savings'!$A$3:$K$543,10,FALSE)</f>
        <v>0</v>
      </c>
      <c r="P291" s="2">
        <f t="shared" si="19"/>
        <v>0</v>
      </c>
      <c r="Q291">
        <f>VLOOKUP(A291,'[13]Thermal generation Mar 19 - Feb'!$C$2:$D$680,2,FALSE)</f>
        <v>39.11</v>
      </c>
    </row>
    <row r="292" spans="1:17" x14ac:dyDescent="0.2">
      <c r="A292" s="2" t="s">
        <v>233</v>
      </c>
      <c r="B292" t="s">
        <v>617</v>
      </c>
      <c r="C292" t="s">
        <v>626</v>
      </c>
      <c r="D292" t="s">
        <v>572</v>
      </c>
      <c r="E292" t="s">
        <v>543</v>
      </c>
      <c r="F292" s="36">
        <v>7.1759069130732298</v>
      </c>
      <c r="G292">
        <v>270</v>
      </c>
      <c r="H292">
        <v>3.0389811943050504</v>
      </c>
      <c r="I292">
        <f t="shared" si="16"/>
        <v>820.52492246236363</v>
      </c>
      <c r="J292" s="2">
        <v>3276.3328003729403</v>
      </c>
      <c r="K292">
        <f t="shared" si="17"/>
        <v>884609.85610069381</v>
      </c>
      <c r="L292">
        <v>9.4448436788302656E-2</v>
      </c>
      <c r="M292">
        <f t="shared" si="18"/>
        <v>25.501077932841717</v>
      </c>
      <c r="N292" s="2" t="s">
        <v>576</v>
      </c>
      <c r="O292" s="2">
        <f>VLOOKUP(A292,'Coal savings'!$A$3:$K$543,10,FALSE)</f>
        <v>0</v>
      </c>
      <c r="P292" s="2">
        <f t="shared" si="19"/>
        <v>0</v>
      </c>
    </row>
    <row r="293" spans="1:17" x14ac:dyDescent="0.2">
      <c r="A293" s="2" t="s">
        <v>290</v>
      </c>
      <c r="B293" t="s">
        <v>611</v>
      </c>
      <c r="C293" t="s">
        <v>626</v>
      </c>
      <c r="D293" t="s">
        <v>571</v>
      </c>
      <c r="E293" t="s">
        <v>544</v>
      </c>
      <c r="F293" s="36">
        <v>12.090349075975301</v>
      </c>
      <c r="G293">
        <v>250</v>
      </c>
      <c r="H293">
        <v>2.5499999999999998</v>
      </c>
      <c r="I293">
        <f t="shared" si="16"/>
        <v>637.5</v>
      </c>
      <c r="J293" s="2">
        <v>3033.9618185784338</v>
      </c>
      <c r="K293">
        <f t="shared" si="17"/>
        <v>758490.45464460843</v>
      </c>
      <c r="L293">
        <v>8.0634482570770813E-2</v>
      </c>
      <c r="M293">
        <f t="shared" si="18"/>
        <v>20.158620642692703</v>
      </c>
      <c r="N293" s="2" t="s">
        <v>576</v>
      </c>
      <c r="O293" s="2">
        <f>VLOOKUP(A293,'Coal savings'!$A$3:$K$543,10,FALSE)</f>
        <v>0</v>
      </c>
      <c r="P293" s="2">
        <f t="shared" si="19"/>
        <v>0</v>
      </c>
      <c r="Q293">
        <f>VLOOKUP(A293,'[13]Thermal generation Mar 19 - Feb'!$C$2:$D$680,2,FALSE)</f>
        <v>1568.9199999999901</v>
      </c>
    </row>
    <row r="294" spans="1:17" x14ac:dyDescent="0.2">
      <c r="A294" s="2" t="s">
        <v>282</v>
      </c>
      <c r="B294" t="s">
        <v>611</v>
      </c>
      <c r="C294" t="s">
        <v>626</v>
      </c>
      <c r="D294" t="s">
        <v>571</v>
      </c>
      <c r="E294" t="s">
        <v>544</v>
      </c>
      <c r="F294" s="36">
        <v>10.841889117043101</v>
      </c>
      <c r="G294">
        <v>250</v>
      </c>
      <c r="H294">
        <v>2.5499999999999998</v>
      </c>
      <c r="I294">
        <f t="shared" si="16"/>
        <v>637.5</v>
      </c>
      <c r="J294" s="2">
        <v>3017.4020665786752</v>
      </c>
      <c r="K294">
        <f t="shared" si="17"/>
        <v>754350.51664466877</v>
      </c>
      <c r="L294">
        <v>8.0634482570770813E-2</v>
      </c>
      <c r="M294">
        <f t="shared" si="18"/>
        <v>20.158620642692703</v>
      </c>
      <c r="N294" s="2" t="s">
        <v>576</v>
      </c>
      <c r="O294" s="2">
        <f>VLOOKUP(A294,'Coal savings'!$A$3:$K$543,10,FALSE)</f>
        <v>0</v>
      </c>
      <c r="P294" s="2">
        <f t="shared" si="19"/>
        <v>0</v>
      </c>
      <c r="Q294">
        <f>VLOOKUP(A294,'[13]Thermal generation Mar 19 - Feb'!$C$2:$D$680,2,FALSE)</f>
        <v>1308.70999999999</v>
      </c>
    </row>
    <row r="295" spans="1:17" x14ac:dyDescent="0.2">
      <c r="A295" s="2" t="s">
        <v>490</v>
      </c>
      <c r="B295" t="s">
        <v>617</v>
      </c>
      <c r="C295" t="s">
        <v>626</v>
      </c>
      <c r="D295" t="s">
        <v>570</v>
      </c>
      <c r="E295" t="s">
        <v>549</v>
      </c>
      <c r="F295" s="36">
        <v>37.672826830937701</v>
      </c>
      <c r="G295">
        <v>210</v>
      </c>
      <c r="H295">
        <v>3.07</v>
      </c>
      <c r="I295">
        <f t="shared" si="16"/>
        <v>644.69999999999993</v>
      </c>
      <c r="J295" s="2">
        <v>3480.4498129004405</v>
      </c>
      <c r="K295">
        <f t="shared" si="17"/>
        <v>730894.46070909256</v>
      </c>
      <c r="L295">
        <v>6.8124170867604139E-2</v>
      </c>
      <c r="M295">
        <f t="shared" si="18"/>
        <v>14.306075882196868</v>
      </c>
      <c r="N295" s="2" t="s">
        <v>576</v>
      </c>
      <c r="O295" s="2">
        <f>VLOOKUP(A295,'Coal savings'!$A$3:$K$543,10,FALSE)</f>
        <v>0</v>
      </c>
      <c r="P295" s="2">
        <f t="shared" si="19"/>
        <v>0</v>
      </c>
      <c r="Q295">
        <f>VLOOKUP(A295,'[13]Thermal generation Mar 19 - Feb'!$C$2:$D$680,2,FALSE)</f>
        <v>52.53</v>
      </c>
    </row>
    <row r="296" spans="1:17" x14ac:dyDescent="0.2">
      <c r="A296" s="2" t="s">
        <v>411</v>
      </c>
      <c r="B296" t="s">
        <v>623</v>
      </c>
      <c r="C296" t="s">
        <v>625</v>
      </c>
      <c r="D296" t="s">
        <v>571</v>
      </c>
      <c r="E296" t="s">
        <v>547</v>
      </c>
      <c r="F296" s="36">
        <v>26.757015742642</v>
      </c>
      <c r="G296">
        <v>210</v>
      </c>
      <c r="H296">
        <v>2.0954104135977465</v>
      </c>
      <c r="I296">
        <f t="shared" si="16"/>
        <v>440.03618685552675</v>
      </c>
      <c r="J296" s="2">
        <v>3356.187865189991</v>
      </c>
      <c r="K296">
        <f t="shared" si="17"/>
        <v>704799.45168989815</v>
      </c>
      <c r="L296">
        <v>0.17551275347161696</v>
      </c>
      <c r="M296">
        <f t="shared" si="18"/>
        <v>36.857678229039564</v>
      </c>
      <c r="N296" s="2" t="s">
        <v>576</v>
      </c>
      <c r="O296" s="2">
        <f>VLOOKUP(A296,'Coal savings'!$A$3:$K$543,10,FALSE)</f>
        <v>0</v>
      </c>
      <c r="P296" s="2">
        <f t="shared" si="19"/>
        <v>0</v>
      </c>
      <c r="Q296">
        <f>VLOOKUP(A296,'[13]Thermal generation Mar 19 - Feb'!$C$2:$D$680,2,FALSE)</f>
        <v>157.879999999999</v>
      </c>
    </row>
    <row r="297" spans="1:17" x14ac:dyDescent="0.2">
      <c r="A297" s="2" t="s">
        <v>375</v>
      </c>
      <c r="B297" t="s">
        <v>621</v>
      </c>
      <c r="C297" t="s">
        <v>625</v>
      </c>
      <c r="D297" t="s">
        <v>572</v>
      </c>
      <c r="E297" t="s">
        <v>546</v>
      </c>
      <c r="F297" s="36">
        <v>22.672142368240898</v>
      </c>
      <c r="G297">
        <v>250</v>
      </c>
      <c r="H297">
        <v>1.5860046716954532</v>
      </c>
      <c r="I297">
        <f t="shared" si="16"/>
        <v>396.50116792386331</v>
      </c>
      <c r="J297" s="2">
        <v>3061.430337284547</v>
      </c>
      <c r="K297">
        <f t="shared" si="17"/>
        <v>765357.5843211367</v>
      </c>
      <c r="L297">
        <v>8.0053382136410028E-2</v>
      </c>
      <c r="M297">
        <f t="shared" si="18"/>
        <v>20.013345534102505</v>
      </c>
      <c r="N297" s="2" t="s">
        <v>576</v>
      </c>
      <c r="O297" s="2">
        <f>VLOOKUP(A297,'Coal savings'!$A$3:$K$543,10,FALSE)</f>
        <v>0</v>
      </c>
      <c r="P297" s="2">
        <f t="shared" si="19"/>
        <v>0</v>
      </c>
      <c r="Q297">
        <f>VLOOKUP(A297,'[13]Thermal generation Mar 19 - Feb'!$C$2:$D$680,2,FALSE)</f>
        <v>1974.63</v>
      </c>
    </row>
    <row r="298" spans="1:17" x14ac:dyDescent="0.2">
      <c r="A298" s="2" t="s">
        <v>361</v>
      </c>
      <c r="B298" t="s">
        <v>621</v>
      </c>
      <c r="C298" t="s">
        <v>625</v>
      </c>
      <c r="D298" t="s">
        <v>572</v>
      </c>
      <c r="E298" t="s">
        <v>546</v>
      </c>
      <c r="F298" s="36">
        <v>21.177275838466802</v>
      </c>
      <c r="G298">
        <v>250</v>
      </c>
      <c r="H298">
        <v>1.6235939665300607</v>
      </c>
      <c r="I298">
        <f t="shared" si="16"/>
        <v>405.89849163251517</v>
      </c>
      <c r="J298" s="2">
        <v>3072.002852685659</v>
      </c>
      <c r="K298">
        <f t="shared" si="17"/>
        <v>768000.7131714148</v>
      </c>
      <c r="L298">
        <v>8.0053382136410028E-2</v>
      </c>
      <c r="M298">
        <f t="shared" si="18"/>
        <v>20.013345534102505</v>
      </c>
      <c r="N298" s="2" t="s">
        <v>576</v>
      </c>
      <c r="O298" s="2">
        <f>VLOOKUP(A298,'Coal savings'!$A$3:$K$543,10,FALSE)</f>
        <v>0</v>
      </c>
      <c r="P298" s="2">
        <f t="shared" si="19"/>
        <v>0</v>
      </c>
      <c r="Q298">
        <f>VLOOKUP(A298,'[13]Thermal generation Mar 19 - Feb'!$C$2:$D$680,2,FALSE)</f>
        <v>1769.4099999999901</v>
      </c>
    </row>
    <row r="299" spans="1:17" x14ac:dyDescent="0.2">
      <c r="A299" s="2" t="s">
        <v>280</v>
      </c>
      <c r="B299" t="s">
        <v>621</v>
      </c>
      <c r="C299" t="s">
        <v>625</v>
      </c>
      <c r="D299" t="s">
        <v>572</v>
      </c>
      <c r="E299" t="s">
        <v>544</v>
      </c>
      <c r="F299" s="36">
        <v>10.6721423682409</v>
      </c>
      <c r="G299">
        <v>250</v>
      </c>
      <c r="H299">
        <v>1.4700491838975502</v>
      </c>
      <c r="I299">
        <f t="shared" si="16"/>
        <v>367.51229597438754</v>
      </c>
      <c r="J299" s="2">
        <v>2959.3652977069278</v>
      </c>
      <c r="K299">
        <f t="shared" si="17"/>
        <v>739841.32442673191</v>
      </c>
      <c r="L299">
        <v>8.0053382136410028E-2</v>
      </c>
      <c r="M299">
        <f t="shared" si="18"/>
        <v>20.013345534102505</v>
      </c>
      <c r="N299" s="2" t="s">
        <v>576</v>
      </c>
      <c r="O299" s="2">
        <f>VLOOKUP(A299,'Coal savings'!$A$3:$K$543,10,FALSE)</f>
        <v>0</v>
      </c>
      <c r="P299" s="2">
        <f t="shared" si="19"/>
        <v>0</v>
      </c>
      <c r="Q299">
        <f>VLOOKUP(A299,'[13]Thermal generation Mar 19 - Feb'!$C$2:$D$680,2,FALSE)</f>
        <v>2027.31</v>
      </c>
    </row>
    <row r="300" spans="1:17" x14ac:dyDescent="0.2">
      <c r="A300" s="2" t="s">
        <v>327</v>
      </c>
      <c r="B300" t="s">
        <v>611</v>
      </c>
      <c r="C300" t="s">
        <v>626</v>
      </c>
      <c r="D300" t="s">
        <v>572</v>
      </c>
      <c r="E300" t="s">
        <v>543</v>
      </c>
      <c r="F300" s="36">
        <v>6.1765913757700197</v>
      </c>
      <c r="G300">
        <v>30</v>
      </c>
      <c r="H300">
        <v>2.3884143380106337</v>
      </c>
      <c r="I300">
        <f t="shared" si="16"/>
        <v>71.652430140319012</v>
      </c>
      <c r="J300" s="2">
        <v>3203.1828186954863</v>
      </c>
      <c r="K300">
        <f t="shared" si="17"/>
        <v>96095.484560864585</v>
      </c>
      <c r="M300">
        <f t="shared" si="18"/>
        <v>0</v>
      </c>
      <c r="N300" s="2" t="s">
        <v>576</v>
      </c>
      <c r="O300" s="2">
        <f>VLOOKUP(A300,'Coal savings'!$A$3:$K$543,10,FALSE)</f>
        <v>0</v>
      </c>
      <c r="P300" s="2">
        <f t="shared" si="19"/>
        <v>0</v>
      </c>
      <c r="Q300">
        <f>VLOOKUP(A300,'[13]Thermal generation Mar 19 - Feb'!$C$2:$D$680,2,FALSE)</f>
        <v>239.439999999999</v>
      </c>
    </row>
    <row r="301" spans="1:17" x14ac:dyDescent="0.2">
      <c r="A301" s="2" t="s">
        <v>463</v>
      </c>
      <c r="B301" t="s">
        <v>617</v>
      </c>
      <c r="C301" t="s">
        <v>626</v>
      </c>
      <c r="D301" t="s">
        <v>570</v>
      </c>
      <c r="E301" t="s">
        <v>548</v>
      </c>
      <c r="F301" s="36">
        <v>35.008898015058101</v>
      </c>
      <c r="G301">
        <v>210</v>
      </c>
      <c r="H301">
        <v>2.31</v>
      </c>
      <c r="I301">
        <f t="shared" si="16"/>
        <v>485.1</v>
      </c>
      <c r="J301" s="2">
        <v>3363.9572582847109</v>
      </c>
      <c r="K301">
        <f t="shared" si="17"/>
        <v>706431.02423978923</v>
      </c>
      <c r="L301">
        <v>7.096074531932961E-2</v>
      </c>
      <c r="M301">
        <f t="shared" si="18"/>
        <v>14.901756517059217</v>
      </c>
      <c r="N301" s="2" t="s">
        <v>576</v>
      </c>
      <c r="O301" s="2">
        <f>VLOOKUP(A301,'Coal savings'!$A$3:$K$543,10,FALSE)</f>
        <v>0</v>
      </c>
      <c r="P301" s="2">
        <f t="shared" si="19"/>
        <v>0</v>
      </c>
      <c r="Q301">
        <f>VLOOKUP(A301,'[13]Thermal generation Mar 19 - Feb'!$C$2:$D$680,2,FALSE)</f>
        <v>1151.6400000000001</v>
      </c>
    </row>
    <row r="302" spans="1:17" x14ac:dyDescent="0.2">
      <c r="A302" s="2" t="s">
        <v>459</v>
      </c>
      <c r="B302" t="s">
        <v>617</v>
      </c>
      <c r="C302" t="s">
        <v>626</v>
      </c>
      <c r="D302" t="s">
        <v>570</v>
      </c>
      <c r="E302" t="s">
        <v>548</v>
      </c>
      <c r="F302" s="36">
        <v>34.176591375770002</v>
      </c>
      <c r="G302">
        <v>210</v>
      </c>
      <c r="H302">
        <v>2.31</v>
      </c>
      <c r="I302">
        <f t="shared" si="16"/>
        <v>485.1</v>
      </c>
      <c r="J302" s="2">
        <v>3343.1414891861291</v>
      </c>
      <c r="K302">
        <f t="shared" si="17"/>
        <v>702059.7127290871</v>
      </c>
      <c r="L302">
        <v>7.096074531932961E-2</v>
      </c>
      <c r="M302">
        <f t="shared" si="18"/>
        <v>14.901756517059217</v>
      </c>
      <c r="N302" s="2" t="s">
        <v>576</v>
      </c>
      <c r="O302" s="2">
        <f>VLOOKUP(A302,'Coal savings'!$A$3:$K$543,10,FALSE)</f>
        <v>0</v>
      </c>
      <c r="P302" s="2">
        <f t="shared" si="19"/>
        <v>0</v>
      </c>
      <c r="Q302">
        <f>VLOOKUP(A302,'[13]Thermal generation Mar 19 - Feb'!$C$2:$D$680,2,FALSE)</f>
        <v>1219.97</v>
      </c>
    </row>
    <row r="303" spans="1:17" x14ac:dyDescent="0.2">
      <c r="A303" s="2" t="s">
        <v>277</v>
      </c>
      <c r="B303" t="s">
        <v>623</v>
      </c>
      <c r="C303" t="s">
        <v>625</v>
      </c>
      <c r="D303" t="s">
        <v>571</v>
      </c>
      <c r="E303" t="s">
        <v>544</v>
      </c>
      <c r="F303" s="36">
        <v>10.5051334702258</v>
      </c>
      <c r="G303">
        <v>250</v>
      </c>
      <c r="H303">
        <v>2.04</v>
      </c>
      <c r="I303">
        <f t="shared" si="16"/>
        <v>510</v>
      </c>
      <c r="J303" s="2">
        <v>2991.648929500454</v>
      </c>
      <c r="K303">
        <f t="shared" si="17"/>
        <v>747912.23237511353</v>
      </c>
      <c r="L303">
        <v>9.1459561477170895E-2</v>
      </c>
      <c r="M303">
        <f t="shared" si="18"/>
        <v>22.864890369292723</v>
      </c>
      <c r="N303" s="2" t="s">
        <v>576</v>
      </c>
      <c r="O303" s="2">
        <f>VLOOKUP(A303,'Coal savings'!$A$3:$K$543,10,FALSE)</f>
        <v>0</v>
      </c>
      <c r="P303" s="2">
        <f t="shared" si="19"/>
        <v>0</v>
      </c>
      <c r="Q303">
        <f>VLOOKUP(A303,'[13]Thermal generation Mar 19 - Feb'!$C$2:$D$680,2,FALSE)</f>
        <v>1794.3799999999901</v>
      </c>
    </row>
    <row r="304" spans="1:17" x14ac:dyDescent="0.2">
      <c r="A304" s="2" t="s">
        <v>270</v>
      </c>
      <c r="B304" t="s">
        <v>623</v>
      </c>
      <c r="C304" t="s">
        <v>625</v>
      </c>
      <c r="D304" t="s">
        <v>571</v>
      </c>
      <c r="E304" t="s">
        <v>544</v>
      </c>
      <c r="F304" s="36">
        <v>10.17659137577</v>
      </c>
      <c r="G304">
        <v>250</v>
      </c>
      <c r="H304">
        <v>2.04</v>
      </c>
      <c r="I304">
        <f t="shared" si="16"/>
        <v>510</v>
      </c>
      <c r="J304" s="2">
        <v>2999.7339134091799</v>
      </c>
      <c r="K304">
        <f t="shared" si="17"/>
        <v>749933.478352295</v>
      </c>
      <c r="L304">
        <v>9.1459561477170895E-2</v>
      </c>
      <c r="M304">
        <f t="shared" si="18"/>
        <v>22.864890369292723</v>
      </c>
      <c r="N304" s="2" t="s">
        <v>576</v>
      </c>
      <c r="O304" s="2">
        <f>VLOOKUP(A304,'Coal savings'!$A$3:$K$543,10,FALSE)</f>
        <v>0</v>
      </c>
      <c r="P304" s="2">
        <f t="shared" si="19"/>
        <v>0</v>
      </c>
      <c r="Q304">
        <f>VLOOKUP(A304,'[13]Thermal generation Mar 19 - Feb'!$C$2:$D$680,2,FALSE)</f>
        <v>1528.6499999999901</v>
      </c>
    </row>
    <row r="305" spans="1:17" x14ac:dyDescent="0.2">
      <c r="A305" s="2" t="s">
        <v>278</v>
      </c>
      <c r="B305" t="s">
        <v>616</v>
      </c>
      <c r="C305" t="s">
        <v>628</v>
      </c>
      <c r="D305" t="s">
        <v>570</v>
      </c>
      <c r="E305" t="s">
        <v>544</v>
      </c>
      <c r="F305" s="36">
        <v>10.590006844626901</v>
      </c>
      <c r="G305">
        <v>250</v>
      </c>
      <c r="H305">
        <v>2.34</v>
      </c>
      <c r="I305">
        <f t="shared" si="16"/>
        <v>585</v>
      </c>
      <c r="J305" s="2">
        <v>2984.5926364724755</v>
      </c>
      <c r="K305">
        <f t="shared" si="17"/>
        <v>746148.15911811893</v>
      </c>
      <c r="M305">
        <f t="shared" si="18"/>
        <v>0</v>
      </c>
      <c r="N305" s="2" t="s">
        <v>576</v>
      </c>
      <c r="O305" s="2">
        <f>VLOOKUP(A305,'Coal savings'!$A$3:$K$543,10,FALSE)</f>
        <v>0</v>
      </c>
      <c r="P305" s="2">
        <f t="shared" si="19"/>
        <v>0</v>
      </c>
      <c r="Q305">
        <f>VLOOKUP(A305,'[13]Thermal generation Mar 19 - Feb'!$C$2:$D$680,2,FALSE)</f>
        <v>1941.24999999999</v>
      </c>
    </row>
    <row r="306" spans="1:17" x14ac:dyDescent="0.2">
      <c r="A306" s="2" t="s">
        <v>269</v>
      </c>
      <c r="B306" t="s">
        <v>616</v>
      </c>
      <c r="C306" t="s">
        <v>628</v>
      </c>
      <c r="D306" t="s">
        <v>570</v>
      </c>
      <c r="E306" t="s">
        <v>543</v>
      </c>
      <c r="F306" s="36">
        <v>10.009582477754901</v>
      </c>
      <c r="G306">
        <v>250</v>
      </c>
      <c r="H306">
        <v>2.34</v>
      </c>
      <c r="I306">
        <f t="shared" si="16"/>
        <v>585</v>
      </c>
      <c r="J306" s="2">
        <v>2996.8931558442864</v>
      </c>
      <c r="K306">
        <f t="shared" si="17"/>
        <v>749223.28896107164</v>
      </c>
      <c r="M306">
        <f t="shared" si="18"/>
        <v>0</v>
      </c>
      <c r="N306" s="2" t="s">
        <v>576</v>
      </c>
      <c r="O306" s="2">
        <f>VLOOKUP(A306,'Coal savings'!$A$3:$K$543,10,FALSE)</f>
        <v>0</v>
      </c>
      <c r="P306" s="2">
        <f t="shared" si="19"/>
        <v>0</v>
      </c>
      <c r="Q306">
        <f>VLOOKUP(A306,'[13]Thermal generation Mar 19 - Feb'!$C$2:$D$680,2,FALSE)</f>
        <v>1773.50999999999</v>
      </c>
    </row>
    <row r="307" spans="1:17" x14ac:dyDescent="0.2">
      <c r="A307" s="2" t="s">
        <v>421</v>
      </c>
      <c r="B307" t="s">
        <v>634</v>
      </c>
      <c r="C307" t="s">
        <v>628</v>
      </c>
      <c r="D307" t="s">
        <v>571</v>
      </c>
      <c r="E307" t="s">
        <v>547</v>
      </c>
      <c r="F307" s="36">
        <v>28.4243668720054</v>
      </c>
      <c r="G307">
        <v>210</v>
      </c>
      <c r="H307">
        <v>3.75</v>
      </c>
      <c r="I307">
        <f t="shared" si="16"/>
        <v>787.5</v>
      </c>
      <c r="J307" s="2">
        <v>3286.9749414914118</v>
      </c>
      <c r="K307">
        <f t="shared" si="17"/>
        <v>690264.73771319643</v>
      </c>
      <c r="L307">
        <v>6.6665772632952203E-2</v>
      </c>
      <c r="M307">
        <f t="shared" si="18"/>
        <v>13.999812252919963</v>
      </c>
      <c r="N307" s="2" t="s">
        <v>576</v>
      </c>
      <c r="O307" s="2">
        <f>VLOOKUP(A307,'Coal savings'!$A$3:$K$543,10,FALSE)</f>
        <v>0</v>
      </c>
      <c r="P307" s="2">
        <f t="shared" si="19"/>
        <v>0</v>
      </c>
      <c r="Q307">
        <f>VLOOKUP(A307,'[13]Thermal generation Mar 19 - Feb'!$C$2:$D$680,2,FALSE)</f>
        <v>610.82999999999902</v>
      </c>
    </row>
    <row r="308" spans="1:17" x14ac:dyDescent="0.2">
      <c r="A308" s="2" t="s">
        <v>417</v>
      </c>
      <c r="B308" t="s">
        <v>634</v>
      </c>
      <c r="C308" t="s">
        <v>628</v>
      </c>
      <c r="D308" t="s">
        <v>571</v>
      </c>
      <c r="E308" t="s">
        <v>547</v>
      </c>
      <c r="F308" s="36">
        <v>27.422313483915101</v>
      </c>
      <c r="G308">
        <v>210</v>
      </c>
      <c r="H308">
        <v>3.75</v>
      </c>
      <c r="I308">
        <f t="shared" si="16"/>
        <v>787.5</v>
      </c>
      <c r="J308" s="2">
        <v>3290.8825885594665</v>
      </c>
      <c r="K308">
        <f t="shared" si="17"/>
        <v>691085.34359748801</v>
      </c>
      <c r="L308">
        <v>6.6665772632952203E-2</v>
      </c>
      <c r="M308">
        <f t="shared" si="18"/>
        <v>13.999812252919963</v>
      </c>
      <c r="N308" s="2" t="s">
        <v>576</v>
      </c>
      <c r="O308" s="2">
        <f>VLOOKUP(A308,'Coal savings'!$A$3:$K$543,10,FALSE)</f>
        <v>0</v>
      </c>
      <c r="P308" s="2">
        <f t="shared" si="19"/>
        <v>0</v>
      </c>
      <c r="Q308">
        <f>VLOOKUP(A308,'[13]Thermal generation Mar 19 - Feb'!$C$2:$D$680,2,FALSE)</f>
        <v>567.37</v>
      </c>
    </row>
    <row r="309" spans="1:17" x14ac:dyDescent="0.2">
      <c r="A309" s="2" t="s">
        <v>412</v>
      </c>
      <c r="B309" t="s">
        <v>634</v>
      </c>
      <c r="C309" t="s">
        <v>628</v>
      </c>
      <c r="D309" t="s">
        <v>571</v>
      </c>
      <c r="E309" t="s">
        <v>547</v>
      </c>
      <c r="F309" s="36">
        <v>27.175906913073199</v>
      </c>
      <c r="G309">
        <v>210</v>
      </c>
      <c r="H309">
        <v>3.75</v>
      </c>
      <c r="I309">
        <f t="shared" si="16"/>
        <v>787.5</v>
      </c>
      <c r="J309" s="2">
        <v>3265.4129499414098</v>
      </c>
      <c r="K309">
        <f t="shared" si="17"/>
        <v>685736.71948769607</v>
      </c>
      <c r="L309">
        <v>6.6665772632952203E-2</v>
      </c>
      <c r="M309">
        <f t="shared" si="18"/>
        <v>13.999812252919963</v>
      </c>
      <c r="N309" s="2" t="s">
        <v>576</v>
      </c>
      <c r="O309" s="2">
        <f>VLOOKUP(A309,'Coal savings'!$A$3:$K$543,10,FALSE)</f>
        <v>0</v>
      </c>
      <c r="P309" s="2">
        <f t="shared" si="19"/>
        <v>0</v>
      </c>
      <c r="Q309">
        <f>VLOOKUP(A309,'[13]Thermal generation Mar 19 - Feb'!$C$2:$D$680,2,FALSE)</f>
        <v>699.78</v>
      </c>
    </row>
    <row r="310" spans="1:17" x14ac:dyDescent="0.2">
      <c r="A310" s="2" t="s">
        <v>405</v>
      </c>
      <c r="B310" t="s">
        <v>634</v>
      </c>
      <c r="C310" t="s">
        <v>628</v>
      </c>
      <c r="D310" t="s">
        <v>571</v>
      </c>
      <c r="E310" t="s">
        <v>547</v>
      </c>
      <c r="F310" s="36">
        <v>26.176591375769998</v>
      </c>
      <c r="G310">
        <v>210</v>
      </c>
      <c r="H310">
        <v>3.75</v>
      </c>
      <c r="I310">
        <f t="shared" si="16"/>
        <v>787.5</v>
      </c>
      <c r="J310" s="2">
        <v>3240.2915967893082</v>
      </c>
      <c r="K310">
        <f t="shared" si="17"/>
        <v>680461.23532575474</v>
      </c>
      <c r="L310">
        <v>6.6665772632952203E-2</v>
      </c>
      <c r="M310">
        <f t="shared" si="18"/>
        <v>13.999812252919963</v>
      </c>
      <c r="N310" s="2" t="s">
        <v>576</v>
      </c>
      <c r="O310" s="2">
        <f>VLOOKUP(A310,'Coal savings'!$A$3:$K$543,10,FALSE)</f>
        <v>0</v>
      </c>
      <c r="P310" s="2">
        <f t="shared" si="19"/>
        <v>0</v>
      </c>
      <c r="Q310">
        <f>VLOOKUP(A310,'[13]Thermal generation Mar 19 - Feb'!$C$2:$D$680,2,FALSE)</f>
        <v>774.599999999999</v>
      </c>
    </row>
    <row r="311" spans="1:17" x14ac:dyDescent="0.2">
      <c r="A311" s="2" t="s">
        <v>390</v>
      </c>
      <c r="B311" t="s">
        <v>617</v>
      </c>
      <c r="C311" t="s">
        <v>626</v>
      </c>
      <c r="D311" t="s">
        <v>572</v>
      </c>
      <c r="E311" t="s">
        <v>547</v>
      </c>
      <c r="F311" s="36">
        <v>25.338809034907499</v>
      </c>
      <c r="G311">
        <v>250</v>
      </c>
      <c r="H311">
        <v>3.39</v>
      </c>
      <c r="I311">
        <f t="shared" si="16"/>
        <v>847.5</v>
      </c>
      <c r="J311" s="2">
        <v>3180.0236738017743</v>
      </c>
      <c r="K311">
        <f t="shared" si="17"/>
        <v>795005.91845044354</v>
      </c>
      <c r="L311">
        <v>9.2649498418971077E-2</v>
      </c>
      <c r="M311">
        <f t="shared" si="18"/>
        <v>23.162374604742769</v>
      </c>
      <c r="N311" s="2" t="s">
        <v>576</v>
      </c>
      <c r="O311" s="2">
        <f>VLOOKUP(A311,'Coal savings'!$A$3:$K$543,10,FALSE)</f>
        <v>0</v>
      </c>
      <c r="P311" s="2">
        <f t="shared" si="19"/>
        <v>0</v>
      </c>
      <c r="Q311">
        <f>VLOOKUP(A311,'[13]Thermal generation Mar 19 - Feb'!$C$2:$D$680,2,FALSE)</f>
        <v>1802.35</v>
      </c>
    </row>
    <row r="312" spans="1:17" x14ac:dyDescent="0.2">
      <c r="A312" s="2" t="s">
        <v>389</v>
      </c>
      <c r="B312" t="s">
        <v>617</v>
      </c>
      <c r="C312" t="s">
        <v>626</v>
      </c>
      <c r="D312" t="s">
        <v>572</v>
      </c>
      <c r="E312" t="s">
        <v>547</v>
      </c>
      <c r="F312" s="36">
        <v>25.177275838466802</v>
      </c>
      <c r="G312">
        <v>250</v>
      </c>
      <c r="H312">
        <v>3.39</v>
      </c>
      <c r="I312">
        <f t="shared" si="16"/>
        <v>847.5</v>
      </c>
      <c r="J312" s="2">
        <v>3193.1700282391421</v>
      </c>
      <c r="K312">
        <f t="shared" si="17"/>
        <v>798292.50705978554</v>
      </c>
      <c r="L312">
        <v>9.2649498418971077E-2</v>
      </c>
      <c r="M312">
        <f t="shared" si="18"/>
        <v>23.162374604742769</v>
      </c>
      <c r="N312" s="2" t="s">
        <v>576</v>
      </c>
      <c r="O312" s="2">
        <f>VLOOKUP(A312,'Coal savings'!$A$3:$K$543,10,FALSE)</f>
        <v>0</v>
      </c>
      <c r="P312" s="2">
        <f t="shared" si="19"/>
        <v>0</v>
      </c>
      <c r="Q312">
        <f>VLOOKUP(A312,'[13]Thermal generation Mar 19 - Feb'!$C$2:$D$680,2,FALSE)</f>
        <v>1543.24</v>
      </c>
    </row>
    <row r="313" spans="1:17" x14ac:dyDescent="0.2">
      <c r="A313" s="2" t="s">
        <v>507</v>
      </c>
      <c r="B313" t="s">
        <v>614</v>
      </c>
      <c r="C313" t="s">
        <v>627</v>
      </c>
      <c r="D313" t="s">
        <v>570</v>
      </c>
      <c r="E313" t="s">
        <v>550</v>
      </c>
      <c r="F313" s="36">
        <v>40.5065023956194</v>
      </c>
      <c r="G313">
        <v>210</v>
      </c>
      <c r="H313">
        <v>3.1</v>
      </c>
      <c r="I313">
        <f t="shared" si="16"/>
        <v>651</v>
      </c>
      <c r="J313" s="2">
        <v>3347.8955168094913</v>
      </c>
      <c r="K313">
        <f t="shared" si="17"/>
        <v>703058.05852999317</v>
      </c>
      <c r="L313">
        <v>8.8971276393347468E-2</v>
      </c>
      <c r="M313">
        <f t="shared" si="18"/>
        <v>18.683968042602967</v>
      </c>
      <c r="N313" s="2" t="s">
        <v>576</v>
      </c>
      <c r="O313" s="2">
        <f>VLOOKUP(A313,'Coal savings'!$A$3:$K$543,10,FALSE)</f>
        <v>0</v>
      </c>
      <c r="P313" s="2">
        <f t="shared" si="19"/>
        <v>0</v>
      </c>
      <c r="Q313">
        <f>VLOOKUP(A313,'[13]Thermal generation Mar 19 - Feb'!$C$2:$D$680,2,FALSE)</f>
        <v>1174.5999999999899</v>
      </c>
    </row>
    <row r="314" spans="1:17" x14ac:dyDescent="0.2">
      <c r="A314" s="2" t="s">
        <v>501</v>
      </c>
      <c r="B314" t="s">
        <v>614</v>
      </c>
      <c r="C314" t="s">
        <v>627</v>
      </c>
      <c r="D314" t="s">
        <v>570</v>
      </c>
      <c r="E314" t="s">
        <v>549</v>
      </c>
      <c r="F314" s="36">
        <v>39.564681724845997</v>
      </c>
      <c r="G314">
        <v>210</v>
      </c>
      <c r="H314">
        <v>3.1</v>
      </c>
      <c r="I314">
        <f t="shared" si="16"/>
        <v>651</v>
      </c>
      <c r="J314" s="2">
        <v>3317.4483328955112</v>
      </c>
      <c r="K314">
        <f t="shared" si="17"/>
        <v>696664.1499080573</v>
      </c>
      <c r="L314">
        <v>8.8971276393347468E-2</v>
      </c>
      <c r="M314">
        <f t="shared" si="18"/>
        <v>18.683968042602967</v>
      </c>
      <c r="N314" s="2" t="s">
        <v>576</v>
      </c>
      <c r="O314" s="2">
        <f>VLOOKUP(A314,'Coal savings'!$A$3:$K$543,10,FALSE)</f>
        <v>0</v>
      </c>
      <c r="P314" s="2">
        <f t="shared" si="19"/>
        <v>0</v>
      </c>
      <c r="Q314">
        <f>VLOOKUP(A314,'[13]Thermal generation Mar 19 - Feb'!$C$2:$D$680,2,FALSE)</f>
        <v>1264.17</v>
      </c>
    </row>
    <row r="315" spans="1:17" x14ac:dyDescent="0.2">
      <c r="A315" s="2" t="s">
        <v>434</v>
      </c>
      <c r="B315" t="s">
        <v>614</v>
      </c>
      <c r="C315" t="s">
        <v>627</v>
      </c>
      <c r="D315" t="s">
        <v>570</v>
      </c>
      <c r="E315" t="s">
        <v>548</v>
      </c>
      <c r="F315" s="36">
        <v>30.579055441478399</v>
      </c>
      <c r="G315">
        <v>210</v>
      </c>
      <c r="H315">
        <v>3.1</v>
      </c>
      <c r="I315">
        <f t="shared" si="16"/>
        <v>651</v>
      </c>
      <c r="J315" s="2">
        <v>3209.8580459646537</v>
      </c>
      <c r="K315">
        <f t="shared" si="17"/>
        <v>674070.18965257728</v>
      </c>
      <c r="L315">
        <v>8.8971276393347468E-2</v>
      </c>
      <c r="M315">
        <f t="shared" si="18"/>
        <v>18.683968042602967</v>
      </c>
      <c r="N315" s="2" t="s">
        <v>576</v>
      </c>
      <c r="O315" s="2">
        <f>VLOOKUP(A315,'Coal savings'!$A$3:$K$543,10,FALSE)</f>
        <v>0</v>
      </c>
      <c r="P315" s="2">
        <f t="shared" si="19"/>
        <v>0</v>
      </c>
      <c r="Q315">
        <f>VLOOKUP(A315,'[13]Thermal generation Mar 19 - Feb'!$C$2:$D$680,2,FALSE)</f>
        <v>1313.92</v>
      </c>
    </row>
    <row r="316" spans="1:17" x14ac:dyDescent="0.2">
      <c r="A316" s="2" t="s">
        <v>427</v>
      </c>
      <c r="B316" t="s">
        <v>614</v>
      </c>
      <c r="C316" t="s">
        <v>627</v>
      </c>
      <c r="D316" t="s">
        <v>570</v>
      </c>
      <c r="E316" t="s">
        <v>547</v>
      </c>
      <c r="F316" s="36">
        <v>29.6974674880219</v>
      </c>
      <c r="G316">
        <v>210</v>
      </c>
      <c r="H316">
        <v>3.1</v>
      </c>
      <c r="I316">
        <f t="shared" si="16"/>
        <v>651</v>
      </c>
      <c r="J316" s="2">
        <v>3193.0815610882787</v>
      </c>
      <c r="K316">
        <f t="shared" si="17"/>
        <v>670547.12782853853</v>
      </c>
      <c r="L316">
        <v>8.8971276393347468E-2</v>
      </c>
      <c r="M316">
        <f t="shared" si="18"/>
        <v>18.683968042602967</v>
      </c>
      <c r="N316" s="2" t="s">
        <v>576</v>
      </c>
      <c r="O316" s="2">
        <f>VLOOKUP(A316,'Coal savings'!$A$3:$K$543,10,FALSE)</f>
        <v>0</v>
      </c>
      <c r="P316" s="2">
        <f t="shared" si="19"/>
        <v>0</v>
      </c>
      <c r="Q316">
        <f>VLOOKUP(A316,'[13]Thermal generation Mar 19 - Feb'!$C$2:$D$680,2,FALSE)</f>
        <v>1389.02</v>
      </c>
    </row>
    <row r="317" spans="1:17" x14ac:dyDescent="0.2">
      <c r="A317" s="2" t="s">
        <v>404</v>
      </c>
      <c r="B317" t="s">
        <v>614</v>
      </c>
      <c r="C317" t="s">
        <v>627</v>
      </c>
      <c r="D317" t="s">
        <v>570</v>
      </c>
      <c r="E317" t="s">
        <v>547</v>
      </c>
      <c r="F317" s="36">
        <v>26.094455852155999</v>
      </c>
      <c r="G317">
        <v>210</v>
      </c>
      <c r="H317">
        <v>3.1</v>
      </c>
      <c r="I317">
        <f t="shared" si="16"/>
        <v>651</v>
      </c>
      <c r="J317" s="2">
        <v>3167.3357818605296</v>
      </c>
      <c r="K317">
        <f t="shared" si="17"/>
        <v>665140.5141907112</v>
      </c>
      <c r="L317">
        <v>8.8971276393347468E-2</v>
      </c>
      <c r="M317">
        <f t="shared" si="18"/>
        <v>18.683968042602967</v>
      </c>
      <c r="N317" s="2" t="s">
        <v>576</v>
      </c>
      <c r="O317" s="2">
        <f>VLOOKUP(A317,'Coal savings'!$A$3:$K$543,10,FALSE)</f>
        <v>0</v>
      </c>
      <c r="P317" s="2">
        <f t="shared" si="19"/>
        <v>0</v>
      </c>
      <c r="Q317">
        <f>VLOOKUP(A317,'[13]Thermal generation Mar 19 - Feb'!$C$2:$D$680,2,FALSE)</f>
        <v>1373.19999999999</v>
      </c>
    </row>
    <row r="318" spans="1:17" x14ac:dyDescent="0.2">
      <c r="A318" s="2" t="s">
        <v>400</v>
      </c>
      <c r="B318" t="s">
        <v>614</v>
      </c>
      <c r="C318" t="s">
        <v>627</v>
      </c>
      <c r="D318" t="s">
        <v>570</v>
      </c>
      <c r="E318" t="s">
        <v>547</v>
      </c>
      <c r="F318" s="36">
        <v>25.190965092402401</v>
      </c>
      <c r="G318">
        <v>210</v>
      </c>
      <c r="H318">
        <v>3.1</v>
      </c>
      <c r="I318">
        <f t="shared" si="16"/>
        <v>651</v>
      </c>
      <c r="J318" s="2">
        <v>3164.9073165711693</v>
      </c>
      <c r="K318">
        <f t="shared" si="17"/>
        <v>664630.53647994553</v>
      </c>
      <c r="L318">
        <v>8.8971276393347468E-2</v>
      </c>
      <c r="M318">
        <f t="shared" si="18"/>
        <v>18.683968042602967</v>
      </c>
      <c r="N318" s="2" t="s">
        <v>576</v>
      </c>
      <c r="O318" s="2">
        <f>VLOOKUP(A318,'Coal savings'!$A$3:$K$543,10,FALSE)</f>
        <v>0</v>
      </c>
      <c r="P318" s="2">
        <f t="shared" si="19"/>
        <v>0</v>
      </c>
      <c r="Q318">
        <f>VLOOKUP(A318,'[13]Thermal generation Mar 19 - Feb'!$C$2:$D$680,2,FALSE)</f>
        <v>1437.71999999999</v>
      </c>
    </row>
    <row r="319" spans="1:17" x14ac:dyDescent="0.2">
      <c r="A319" s="2" t="s">
        <v>306</v>
      </c>
      <c r="B319" t="s">
        <v>611</v>
      </c>
      <c r="C319" t="s">
        <v>626</v>
      </c>
      <c r="D319" t="s">
        <v>570</v>
      </c>
      <c r="E319" t="s">
        <v>544</v>
      </c>
      <c r="F319" s="36">
        <v>13.1772758384668</v>
      </c>
      <c r="G319">
        <v>250</v>
      </c>
      <c r="H319">
        <v>1.49</v>
      </c>
      <c r="I319">
        <f t="shared" si="16"/>
        <v>372.5</v>
      </c>
      <c r="J319" s="2">
        <v>2996.6539560616093</v>
      </c>
      <c r="K319">
        <f t="shared" si="17"/>
        <v>749163.48901540227</v>
      </c>
      <c r="M319">
        <f t="shared" si="18"/>
        <v>0</v>
      </c>
      <c r="N319" s="2" t="s">
        <v>576</v>
      </c>
      <c r="O319" s="2">
        <f>VLOOKUP(A319,'Coal savings'!$A$3:$K$543,10,FALSE)</f>
        <v>0</v>
      </c>
      <c r="P319" s="2">
        <f t="shared" si="19"/>
        <v>0</v>
      </c>
      <c r="Q319">
        <f>VLOOKUP(A319,'[13]Thermal generation Mar 19 - Feb'!$C$2:$D$680,2,FALSE)</f>
        <v>1935.56</v>
      </c>
    </row>
    <row r="320" spans="1:17" x14ac:dyDescent="0.2">
      <c r="A320" s="2" t="s">
        <v>297</v>
      </c>
      <c r="B320" t="s">
        <v>611</v>
      </c>
      <c r="C320" t="s">
        <v>626</v>
      </c>
      <c r="D320" t="s">
        <v>570</v>
      </c>
      <c r="E320" t="s">
        <v>544</v>
      </c>
      <c r="F320" s="36">
        <v>12.4243668720054</v>
      </c>
      <c r="G320">
        <v>250</v>
      </c>
      <c r="H320">
        <v>1.49</v>
      </c>
      <c r="I320">
        <f t="shared" si="16"/>
        <v>372.5</v>
      </c>
      <c r="J320" s="2">
        <v>2983.9348388406584</v>
      </c>
      <c r="K320">
        <f t="shared" si="17"/>
        <v>745983.70971016458</v>
      </c>
      <c r="M320">
        <f t="shared" si="18"/>
        <v>0</v>
      </c>
      <c r="N320" s="2" t="s">
        <v>576</v>
      </c>
      <c r="O320" s="2">
        <f>VLOOKUP(A320,'Coal savings'!$A$3:$K$543,10,FALSE)</f>
        <v>0</v>
      </c>
      <c r="P320" s="2">
        <f t="shared" si="19"/>
        <v>0</v>
      </c>
      <c r="Q320">
        <f>VLOOKUP(A320,'[13]Thermal generation Mar 19 - Feb'!$C$2:$D$680,2,FALSE)</f>
        <v>1890.49999999999</v>
      </c>
    </row>
    <row r="321" spans="1:17" x14ac:dyDescent="0.2">
      <c r="A321" s="2" t="s">
        <v>484</v>
      </c>
      <c r="B321" t="s">
        <v>621</v>
      </c>
      <c r="C321" t="s">
        <v>625</v>
      </c>
      <c r="D321" t="s">
        <v>571</v>
      </c>
      <c r="E321" t="s">
        <v>549</v>
      </c>
      <c r="F321" s="36">
        <v>37.672826830937701</v>
      </c>
      <c r="G321">
        <v>220</v>
      </c>
      <c r="H321">
        <v>2.69</v>
      </c>
      <c r="I321">
        <f t="shared" si="16"/>
        <v>591.79999999999995</v>
      </c>
      <c r="J321" s="2">
        <v>3365.9200081007493</v>
      </c>
      <c r="K321">
        <f t="shared" si="17"/>
        <v>740502.40178216482</v>
      </c>
      <c r="L321">
        <v>0.12433386465223378</v>
      </c>
      <c r="M321">
        <f t="shared" si="18"/>
        <v>27.353450223491432</v>
      </c>
      <c r="N321" s="2" t="s">
        <v>576</v>
      </c>
      <c r="O321" s="2">
        <f>VLOOKUP(A321,'Coal savings'!$A$3:$K$543,10,FALSE)</f>
        <v>0</v>
      </c>
      <c r="P321" s="2">
        <f t="shared" si="19"/>
        <v>0</v>
      </c>
      <c r="Q321">
        <f>VLOOKUP(A321,'[13]Thermal generation Mar 19 - Feb'!$C$2:$D$680,2,FALSE)</f>
        <v>518.41999999999996</v>
      </c>
    </row>
    <row r="322" spans="1:17" x14ac:dyDescent="0.2">
      <c r="A322" s="2" t="s">
        <v>462</v>
      </c>
      <c r="B322" t="s">
        <v>621</v>
      </c>
      <c r="C322" t="s">
        <v>625</v>
      </c>
      <c r="D322" t="s">
        <v>571</v>
      </c>
      <c r="E322" t="s">
        <v>548</v>
      </c>
      <c r="F322" s="36">
        <v>34.338124572210802</v>
      </c>
      <c r="G322">
        <v>200</v>
      </c>
      <c r="H322">
        <v>2.56</v>
      </c>
      <c r="I322">
        <f t="shared" si="16"/>
        <v>512</v>
      </c>
      <c r="J322" s="2">
        <v>3239.787572923351</v>
      </c>
      <c r="K322">
        <f t="shared" si="17"/>
        <v>647957.51458467019</v>
      </c>
      <c r="L322">
        <v>7.0380830688675913E-2</v>
      </c>
      <c r="M322">
        <f t="shared" si="18"/>
        <v>14.076166137735182</v>
      </c>
      <c r="N322" s="2" t="s">
        <v>576</v>
      </c>
      <c r="O322" s="2">
        <f>VLOOKUP(A322,'Coal savings'!$A$3:$K$543,10,FALSE)</f>
        <v>0</v>
      </c>
      <c r="P322" s="2">
        <f t="shared" si="19"/>
        <v>0</v>
      </c>
      <c r="Q322">
        <f>VLOOKUP(A322,'[13]Thermal generation Mar 19 - Feb'!$C$2:$D$680,2,FALSE)</f>
        <v>1349.45</v>
      </c>
    </row>
    <row r="323" spans="1:17" x14ac:dyDescent="0.2">
      <c r="A323" s="2" t="s">
        <v>454</v>
      </c>
      <c r="B323" t="s">
        <v>621</v>
      </c>
      <c r="C323" t="s">
        <v>625</v>
      </c>
      <c r="D323" t="s">
        <v>571</v>
      </c>
      <c r="E323" t="s">
        <v>548</v>
      </c>
      <c r="F323" s="36">
        <v>33.423682409308597</v>
      </c>
      <c r="G323">
        <v>200</v>
      </c>
      <c r="H323">
        <v>2.56</v>
      </c>
      <c r="I323">
        <f t="shared" ref="I323:I386" si="20">H323*G323</f>
        <v>512</v>
      </c>
      <c r="J323" s="2">
        <v>3227.9114963670645</v>
      </c>
      <c r="K323">
        <f t="shared" ref="K323:K386" si="21">J323*G323</f>
        <v>645582.29927341291</v>
      </c>
      <c r="L323">
        <v>7.0380830688675913E-2</v>
      </c>
      <c r="M323">
        <f t="shared" ref="M323:M386" si="22">L323*G323</f>
        <v>14.076166137735182</v>
      </c>
      <c r="N323" s="2" t="s">
        <v>576</v>
      </c>
      <c r="O323" s="2">
        <f>VLOOKUP(A323,'Coal savings'!$A$3:$K$543,10,FALSE)</f>
        <v>0</v>
      </c>
      <c r="P323" s="2">
        <f t="shared" ref="P323:P386" si="23">O323*G323</f>
        <v>0</v>
      </c>
      <c r="Q323">
        <f>VLOOKUP(A323,'[13]Thermal generation Mar 19 - Feb'!$C$2:$D$680,2,FALSE)</f>
        <v>1369.48</v>
      </c>
    </row>
    <row r="324" spans="1:17" x14ac:dyDescent="0.2">
      <c r="A324" s="2" t="s">
        <v>450</v>
      </c>
      <c r="B324" t="s">
        <v>621</v>
      </c>
      <c r="C324" t="s">
        <v>625</v>
      </c>
      <c r="D324" t="s">
        <v>571</v>
      </c>
      <c r="E324" t="s">
        <v>548</v>
      </c>
      <c r="F324" s="36">
        <v>32.758384668035497</v>
      </c>
      <c r="G324">
        <v>200</v>
      </c>
      <c r="H324">
        <v>2.56</v>
      </c>
      <c r="I324">
        <f t="shared" si="20"/>
        <v>512</v>
      </c>
      <c r="J324" s="2">
        <v>3233.0128017583061</v>
      </c>
      <c r="K324">
        <f t="shared" si="21"/>
        <v>646602.56035166117</v>
      </c>
      <c r="L324">
        <v>7.0380830688675913E-2</v>
      </c>
      <c r="M324">
        <f t="shared" si="22"/>
        <v>14.076166137735182</v>
      </c>
      <c r="N324" s="2" t="s">
        <v>576</v>
      </c>
      <c r="O324" s="2">
        <f>VLOOKUP(A324,'Coal savings'!$A$3:$K$543,10,FALSE)</f>
        <v>0</v>
      </c>
      <c r="P324" s="2">
        <f t="shared" si="23"/>
        <v>0</v>
      </c>
      <c r="Q324">
        <f>VLOOKUP(A324,'[13]Thermal generation Mar 19 - Feb'!$C$2:$D$680,2,FALSE)</f>
        <v>1219.06</v>
      </c>
    </row>
    <row r="325" spans="1:17" x14ac:dyDescent="0.2">
      <c r="A325" s="2" t="s">
        <v>430</v>
      </c>
      <c r="B325" t="s">
        <v>613</v>
      </c>
      <c r="C325" t="s">
        <v>626</v>
      </c>
      <c r="D325" t="s">
        <v>570</v>
      </c>
      <c r="E325" t="s">
        <v>548</v>
      </c>
      <c r="F325" s="36">
        <v>30.176591375769998</v>
      </c>
      <c r="G325">
        <v>210</v>
      </c>
      <c r="H325">
        <v>3.99</v>
      </c>
      <c r="I325">
        <f t="shared" si="20"/>
        <v>837.90000000000009</v>
      </c>
      <c r="J325" s="2">
        <v>3311.2155942149197</v>
      </c>
      <c r="K325">
        <f t="shared" si="21"/>
        <v>695355.2747851332</v>
      </c>
      <c r="L325">
        <v>0.10218427974471911</v>
      </c>
      <c r="M325">
        <f t="shared" si="22"/>
        <v>21.458698746391011</v>
      </c>
      <c r="N325" s="2" t="s">
        <v>576</v>
      </c>
      <c r="O325" s="2">
        <f>VLOOKUP(A325,'Coal savings'!$A$3:$K$543,10,FALSE)</f>
        <v>0</v>
      </c>
      <c r="P325" s="2">
        <f t="shared" si="23"/>
        <v>0</v>
      </c>
      <c r="Q325">
        <f>VLOOKUP(A325,'[13]Thermal generation Mar 19 - Feb'!$C$2:$D$680,2,FALSE)</f>
        <v>310.92999999999898</v>
      </c>
    </row>
    <row r="326" spans="1:17" x14ac:dyDescent="0.2">
      <c r="A326" s="2" t="s">
        <v>422</v>
      </c>
      <c r="B326" t="s">
        <v>613</v>
      </c>
      <c r="C326" t="s">
        <v>626</v>
      </c>
      <c r="D326" t="s">
        <v>570</v>
      </c>
      <c r="E326" t="s">
        <v>547</v>
      </c>
      <c r="F326" s="36">
        <v>28.843258042436599</v>
      </c>
      <c r="G326">
        <v>210</v>
      </c>
      <c r="H326">
        <v>3.99</v>
      </c>
      <c r="I326">
        <f t="shared" si="20"/>
        <v>837.90000000000009</v>
      </c>
      <c r="J326" s="2">
        <v>3306.2759771298252</v>
      </c>
      <c r="K326">
        <f t="shared" si="21"/>
        <v>694317.95519726328</v>
      </c>
      <c r="L326">
        <v>0.10218427974471911</v>
      </c>
      <c r="M326">
        <f t="shared" si="22"/>
        <v>21.458698746391011</v>
      </c>
      <c r="N326" s="2" t="s">
        <v>576</v>
      </c>
      <c r="O326" s="2">
        <f>VLOOKUP(A326,'Coal savings'!$A$3:$K$543,10,FALSE)</f>
        <v>0</v>
      </c>
      <c r="P326" s="2">
        <f t="shared" si="23"/>
        <v>0</v>
      </c>
      <c r="Q326">
        <f>VLOOKUP(A326,'[13]Thermal generation Mar 19 - Feb'!$C$2:$D$680,2,FALSE)</f>
        <v>418.909999999999</v>
      </c>
    </row>
    <row r="327" spans="1:17" x14ac:dyDescent="0.2">
      <c r="A327" s="2" t="s">
        <v>383</v>
      </c>
      <c r="B327" t="s">
        <v>613</v>
      </c>
      <c r="C327" t="s">
        <v>626</v>
      </c>
      <c r="D327" t="s">
        <v>570</v>
      </c>
      <c r="E327" t="s">
        <v>546</v>
      </c>
      <c r="F327" s="36">
        <v>22.176591375769998</v>
      </c>
      <c r="G327">
        <v>210</v>
      </c>
      <c r="H327">
        <v>3.78</v>
      </c>
      <c r="I327">
        <f t="shared" si="20"/>
        <v>793.8</v>
      </c>
      <c r="J327" s="2">
        <v>3172.6248785453254</v>
      </c>
      <c r="K327">
        <f t="shared" si="21"/>
        <v>666251.22449451836</v>
      </c>
      <c r="L327">
        <v>0.10218427974471911</v>
      </c>
      <c r="M327">
        <f t="shared" si="22"/>
        <v>21.458698746391011</v>
      </c>
      <c r="N327" s="2" t="s">
        <v>576</v>
      </c>
      <c r="O327" s="2">
        <f>VLOOKUP(A327,'Coal savings'!$A$3:$K$543,10,FALSE)</f>
        <v>0</v>
      </c>
      <c r="P327" s="2">
        <f t="shared" si="23"/>
        <v>0</v>
      </c>
      <c r="Q327">
        <f>VLOOKUP(A327,'[13]Thermal generation Mar 19 - Feb'!$C$2:$D$680,2,FALSE)</f>
        <v>1037.75</v>
      </c>
    </row>
    <row r="328" spans="1:17" x14ac:dyDescent="0.2">
      <c r="A328" s="2" t="s">
        <v>385</v>
      </c>
      <c r="B328" t="s">
        <v>618</v>
      </c>
      <c r="C328" t="s">
        <v>628</v>
      </c>
      <c r="D328" t="s">
        <v>570</v>
      </c>
      <c r="E328" t="s">
        <v>546</v>
      </c>
      <c r="F328" s="36">
        <v>22.4229979466119</v>
      </c>
      <c r="G328">
        <v>210</v>
      </c>
      <c r="H328">
        <v>3.61</v>
      </c>
      <c r="I328">
        <f t="shared" si="20"/>
        <v>758.1</v>
      </c>
      <c r="J328" s="2">
        <v>3320.855980478299</v>
      </c>
      <c r="K328">
        <f t="shared" si="21"/>
        <v>697379.75590044283</v>
      </c>
      <c r="L328">
        <v>0.11114699610484161</v>
      </c>
      <c r="M328">
        <f t="shared" si="22"/>
        <v>23.340869182016736</v>
      </c>
      <c r="N328" s="2" t="s">
        <v>576</v>
      </c>
      <c r="O328" s="2">
        <f>VLOOKUP(A328,'Coal savings'!$A$3:$K$543,10,FALSE)</f>
        <v>0</v>
      </c>
      <c r="P328" s="2">
        <f t="shared" si="23"/>
        <v>0</v>
      </c>
      <c r="Q328">
        <f>VLOOKUP(A328,'[13]Thermal generation Mar 19 - Feb'!$C$2:$D$680,2,FALSE)</f>
        <v>205.24999999999901</v>
      </c>
    </row>
    <row r="329" spans="1:17" x14ac:dyDescent="0.2">
      <c r="A329" s="2" t="s">
        <v>381</v>
      </c>
      <c r="B329" t="s">
        <v>618</v>
      </c>
      <c r="C329" t="s">
        <v>628</v>
      </c>
      <c r="D329" t="s">
        <v>570</v>
      </c>
      <c r="E329" t="s">
        <v>546</v>
      </c>
      <c r="F329" s="36">
        <v>21.590691307323699</v>
      </c>
      <c r="G329">
        <v>210</v>
      </c>
      <c r="H329">
        <v>3.61</v>
      </c>
      <c r="I329">
        <f t="shared" si="20"/>
        <v>758.1</v>
      </c>
      <c r="J329" s="2">
        <v>3313.823386972776</v>
      </c>
      <c r="K329">
        <f t="shared" si="21"/>
        <v>695902.911264283</v>
      </c>
      <c r="L329">
        <v>0.11114699610484161</v>
      </c>
      <c r="M329">
        <f t="shared" si="22"/>
        <v>23.340869182016736</v>
      </c>
      <c r="N329" s="2" t="s">
        <v>576</v>
      </c>
      <c r="O329" s="2">
        <f>VLOOKUP(A329,'Coal savings'!$A$3:$K$543,10,FALSE)</f>
        <v>0</v>
      </c>
      <c r="P329" s="2">
        <f t="shared" si="23"/>
        <v>0</v>
      </c>
      <c r="Q329">
        <f>VLOOKUP(A329,'[13]Thermal generation Mar 19 - Feb'!$C$2:$D$680,2,FALSE)</f>
        <v>199.27999999999901</v>
      </c>
    </row>
    <row r="330" spans="1:17" x14ac:dyDescent="0.2">
      <c r="A330" s="2" t="s">
        <v>296</v>
      </c>
      <c r="B330" t="s">
        <v>618</v>
      </c>
      <c r="C330" t="s">
        <v>628</v>
      </c>
      <c r="D330" t="s">
        <v>570</v>
      </c>
      <c r="E330" t="s">
        <v>544</v>
      </c>
      <c r="F330" s="36">
        <v>12.3394934976043</v>
      </c>
      <c r="G330">
        <v>250</v>
      </c>
      <c r="H330">
        <v>3.61</v>
      </c>
      <c r="I330">
        <f t="shared" si="20"/>
        <v>902.5</v>
      </c>
      <c r="J330" s="2">
        <v>3182.6859644912947</v>
      </c>
      <c r="K330">
        <f t="shared" si="21"/>
        <v>795671.49112282367</v>
      </c>
      <c r="L330">
        <v>0.11114699610484161</v>
      </c>
      <c r="M330">
        <f t="shared" si="22"/>
        <v>27.786749026210401</v>
      </c>
      <c r="N330" s="2" t="s">
        <v>576</v>
      </c>
      <c r="O330" s="2">
        <f>VLOOKUP(A330,'Coal savings'!$A$3:$K$543,10,FALSE)</f>
        <v>0</v>
      </c>
      <c r="P330" s="2">
        <f t="shared" si="23"/>
        <v>0</v>
      </c>
      <c r="Q330">
        <f>VLOOKUP(A330,'[13]Thermal generation Mar 19 - Feb'!$C$2:$D$680,2,FALSE)</f>
        <v>390.74999999999898</v>
      </c>
    </row>
    <row r="331" spans="1:17" x14ac:dyDescent="0.2">
      <c r="A331" s="2" t="s">
        <v>288</v>
      </c>
      <c r="B331" t="s">
        <v>618</v>
      </c>
      <c r="C331" t="s">
        <v>628</v>
      </c>
      <c r="D331" t="s">
        <v>570</v>
      </c>
      <c r="E331" t="s">
        <v>544</v>
      </c>
      <c r="F331" s="36">
        <v>11.841204654346299</v>
      </c>
      <c r="G331">
        <v>250</v>
      </c>
      <c r="H331">
        <v>3.61</v>
      </c>
      <c r="I331">
        <f t="shared" si="20"/>
        <v>902.5</v>
      </c>
      <c r="J331" s="2">
        <v>3203.2763202056753</v>
      </c>
      <c r="K331">
        <f t="shared" si="21"/>
        <v>800819.08005141886</v>
      </c>
      <c r="L331">
        <v>0.11114699610484161</v>
      </c>
      <c r="M331">
        <f t="shared" si="22"/>
        <v>27.786749026210401</v>
      </c>
      <c r="N331" s="2" t="s">
        <v>576</v>
      </c>
      <c r="O331" s="2">
        <f>VLOOKUP(A331,'Coal savings'!$A$3:$K$543,10,FALSE)</f>
        <v>0</v>
      </c>
      <c r="P331" s="2">
        <f t="shared" si="23"/>
        <v>0</v>
      </c>
      <c r="Q331">
        <f>VLOOKUP(A331,'[13]Thermal generation Mar 19 - Feb'!$C$2:$D$680,2,FALSE)</f>
        <v>170.16</v>
      </c>
    </row>
    <row r="332" spans="1:17" x14ac:dyDescent="0.2">
      <c r="A332" s="2" t="s">
        <v>520</v>
      </c>
      <c r="B332" t="s">
        <v>634</v>
      </c>
      <c r="C332" t="s">
        <v>628</v>
      </c>
      <c r="D332" t="s">
        <v>570</v>
      </c>
      <c r="E332" t="s">
        <v>550</v>
      </c>
      <c r="F332" s="36">
        <v>42.176591375770002</v>
      </c>
      <c r="G332">
        <v>105</v>
      </c>
      <c r="H332">
        <v>3.47</v>
      </c>
      <c r="I332">
        <f t="shared" si="20"/>
        <v>364.35</v>
      </c>
      <c r="J332" s="2">
        <v>3573.1817612168879</v>
      </c>
      <c r="K332">
        <f t="shared" si="21"/>
        <v>375184.08492777322</v>
      </c>
      <c r="L332">
        <v>8.6582291374875858E-2</v>
      </c>
      <c r="M332">
        <f t="shared" si="22"/>
        <v>9.0911405943619652</v>
      </c>
      <c r="N332" s="2" t="s">
        <v>576</v>
      </c>
      <c r="O332" s="2">
        <f>VLOOKUP(A332,'Coal savings'!$A$3:$K$543,10,FALSE)</f>
        <v>0</v>
      </c>
      <c r="P332" s="2">
        <f t="shared" si="23"/>
        <v>0</v>
      </c>
      <c r="Q332">
        <f>VLOOKUP(A332,'[13]Thermal generation Mar 19 - Feb'!$C$2:$D$680,2,FALSE)</f>
        <v>173.93</v>
      </c>
    </row>
    <row r="333" spans="1:17" x14ac:dyDescent="0.2">
      <c r="A333" s="2" t="s">
        <v>403</v>
      </c>
      <c r="B333" t="s">
        <v>608</v>
      </c>
      <c r="C333" t="s">
        <v>625</v>
      </c>
      <c r="D333" t="s">
        <v>570</v>
      </c>
      <c r="E333" t="s">
        <v>547</v>
      </c>
      <c r="F333" s="36">
        <v>25.924709103353798</v>
      </c>
      <c r="G333">
        <v>210</v>
      </c>
      <c r="H333">
        <v>1.34</v>
      </c>
      <c r="I333">
        <f t="shared" si="20"/>
        <v>281.40000000000003</v>
      </c>
      <c r="J333" s="2">
        <v>3170.4655915227595</v>
      </c>
      <c r="K333">
        <f t="shared" si="21"/>
        <v>665797.77421977953</v>
      </c>
      <c r="L333">
        <v>0.10945422612917571</v>
      </c>
      <c r="M333">
        <f t="shared" si="22"/>
        <v>22.9853874871269</v>
      </c>
      <c r="N333" s="2" t="s">
        <v>576</v>
      </c>
      <c r="O333" s="2">
        <f>VLOOKUP(A333,'Coal savings'!$A$3:$K$543,10,FALSE)</f>
        <v>0</v>
      </c>
      <c r="P333" s="2">
        <f t="shared" si="23"/>
        <v>0</v>
      </c>
      <c r="Q333">
        <f>VLOOKUP(A333,'[13]Thermal generation Mar 19 - Feb'!$C$2:$D$680,2,FALSE)</f>
        <v>1286.9099999999901</v>
      </c>
    </row>
    <row r="334" spans="1:17" x14ac:dyDescent="0.2">
      <c r="A334" s="2" t="s">
        <v>397</v>
      </c>
      <c r="B334" t="s">
        <v>608</v>
      </c>
      <c r="C334" t="s">
        <v>625</v>
      </c>
      <c r="D334" t="s">
        <v>570</v>
      </c>
      <c r="E334" t="s">
        <v>546</v>
      </c>
      <c r="F334" s="36">
        <v>24.591375770020498</v>
      </c>
      <c r="G334">
        <v>210</v>
      </c>
      <c r="H334">
        <v>1.34</v>
      </c>
      <c r="I334">
        <f t="shared" si="20"/>
        <v>281.40000000000003</v>
      </c>
      <c r="J334" s="2">
        <v>3159.5699382344401</v>
      </c>
      <c r="K334">
        <f t="shared" si="21"/>
        <v>663509.68702923239</v>
      </c>
      <c r="L334">
        <v>0.10945422612917571</v>
      </c>
      <c r="M334">
        <f t="shared" si="22"/>
        <v>22.9853874871269</v>
      </c>
      <c r="N334" s="2" t="s">
        <v>576</v>
      </c>
      <c r="O334" s="2">
        <f>VLOOKUP(A334,'Coal savings'!$A$3:$K$543,10,FALSE)</f>
        <v>0</v>
      </c>
      <c r="P334" s="2">
        <f t="shared" si="23"/>
        <v>0</v>
      </c>
      <c r="Q334">
        <f>VLOOKUP(A334,'[13]Thermal generation Mar 19 - Feb'!$C$2:$D$680,2,FALSE)</f>
        <v>1397.0699999999899</v>
      </c>
    </row>
    <row r="335" spans="1:17" x14ac:dyDescent="0.2">
      <c r="A335" s="2" t="s">
        <v>388</v>
      </c>
      <c r="B335" t="s">
        <v>623</v>
      </c>
      <c r="C335" t="s">
        <v>625</v>
      </c>
      <c r="D335" t="s">
        <v>572</v>
      </c>
      <c r="E335" t="s">
        <v>545</v>
      </c>
      <c r="F335" s="36">
        <v>19.337440109513999</v>
      </c>
      <c r="G335">
        <v>120</v>
      </c>
      <c r="H335">
        <v>1.942570990397406</v>
      </c>
      <c r="I335">
        <f t="shared" si="20"/>
        <v>233.10851884768871</v>
      </c>
      <c r="J335" s="2">
        <v>3228.4360999596247</v>
      </c>
      <c r="K335">
        <f t="shared" si="21"/>
        <v>387412.33199515496</v>
      </c>
      <c r="M335">
        <f t="shared" si="22"/>
        <v>0</v>
      </c>
      <c r="N335" s="2" t="s">
        <v>576</v>
      </c>
      <c r="O335" s="2">
        <f>VLOOKUP(A335,'Coal savings'!$A$3:$K$543,10,FALSE)</f>
        <v>0</v>
      </c>
      <c r="P335" s="2">
        <f t="shared" si="23"/>
        <v>0</v>
      </c>
      <c r="Q335">
        <f>VLOOKUP(A335,'[13]Thermal generation Mar 19 - Feb'!$C$2:$D$680,2,FALSE)</f>
        <v>697.02999999999895</v>
      </c>
    </row>
    <row r="336" spans="1:17" x14ac:dyDescent="0.2">
      <c r="A336" s="2" t="s">
        <v>384</v>
      </c>
      <c r="B336" t="s">
        <v>623</v>
      </c>
      <c r="C336" t="s">
        <v>625</v>
      </c>
      <c r="D336" t="s">
        <v>572</v>
      </c>
      <c r="E336" t="s">
        <v>545</v>
      </c>
      <c r="F336" s="36">
        <v>18.338124572210798</v>
      </c>
      <c r="G336">
        <v>120</v>
      </c>
      <c r="H336">
        <v>1.9542322361748641</v>
      </c>
      <c r="I336">
        <f t="shared" si="20"/>
        <v>234.50786834098369</v>
      </c>
      <c r="J336" s="2">
        <v>3221.6656981600786</v>
      </c>
      <c r="K336">
        <f t="shared" si="21"/>
        <v>386599.88377920946</v>
      </c>
      <c r="M336">
        <f t="shared" si="22"/>
        <v>0</v>
      </c>
      <c r="N336" s="2" t="s">
        <v>576</v>
      </c>
      <c r="O336" s="2">
        <f>VLOOKUP(A336,'Coal savings'!$A$3:$K$543,10,FALSE)</f>
        <v>0</v>
      </c>
      <c r="P336" s="2">
        <f t="shared" si="23"/>
        <v>0</v>
      </c>
      <c r="Q336">
        <f>VLOOKUP(A336,'[13]Thermal generation Mar 19 - Feb'!$C$2:$D$680,2,FALSE)</f>
        <v>763.03999999999905</v>
      </c>
    </row>
    <row r="337" spans="1:17" x14ac:dyDescent="0.2">
      <c r="A337" s="2" t="s">
        <v>250</v>
      </c>
      <c r="B337" t="s">
        <v>617</v>
      </c>
      <c r="C337" t="s">
        <v>626</v>
      </c>
      <c r="D337" t="s">
        <v>572</v>
      </c>
      <c r="E337" t="s">
        <v>543</v>
      </c>
      <c r="F337" s="36">
        <v>9.7577002053388</v>
      </c>
      <c r="G337">
        <v>300</v>
      </c>
      <c r="H337">
        <v>2.0699999999999998</v>
      </c>
      <c r="I337">
        <f t="shared" si="20"/>
        <v>621</v>
      </c>
      <c r="J337" s="2">
        <v>3163.070662575069</v>
      </c>
      <c r="K337">
        <f t="shared" si="21"/>
        <v>948921.19877252076</v>
      </c>
      <c r="L337">
        <v>9.0376126869674167E-2</v>
      </c>
      <c r="M337">
        <f t="shared" si="22"/>
        <v>27.112838060902249</v>
      </c>
      <c r="N337" s="2" t="s">
        <v>576</v>
      </c>
      <c r="O337" s="2">
        <f>VLOOKUP(A337,'Coal savings'!$A$3:$K$543,10,FALSE)</f>
        <v>0</v>
      </c>
      <c r="P337" s="2">
        <f t="shared" si="23"/>
        <v>0</v>
      </c>
      <c r="Q337">
        <f>VLOOKUP(A337,'[13]Thermal generation Mar 19 - Feb'!$C$2:$D$680,2,FALSE)</f>
        <v>2331.2600000000002</v>
      </c>
    </row>
    <row r="338" spans="1:17" x14ac:dyDescent="0.2">
      <c r="A338" s="2" t="s">
        <v>247</v>
      </c>
      <c r="B338" t="s">
        <v>617</v>
      </c>
      <c r="C338" t="s">
        <v>626</v>
      </c>
      <c r="D338" t="s">
        <v>572</v>
      </c>
      <c r="E338" t="s">
        <v>543</v>
      </c>
      <c r="F338" s="36">
        <v>9.4236824093086895</v>
      </c>
      <c r="G338">
        <v>300</v>
      </c>
      <c r="H338">
        <v>2.5940864372397465</v>
      </c>
      <c r="I338">
        <f t="shared" si="20"/>
        <v>778.225931171924</v>
      </c>
      <c r="J338" s="2">
        <v>3221.1813152633604</v>
      </c>
      <c r="K338">
        <f t="shared" si="21"/>
        <v>966354.39457900811</v>
      </c>
      <c r="L338">
        <v>9.0376126869674167E-2</v>
      </c>
      <c r="M338">
        <f t="shared" si="22"/>
        <v>27.112838060902249</v>
      </c>
      <c r="N338" s="2" t="s">
        <v>576</v>
      </c>
      <c r="O338" s="2">
        <f>VLOOKUP(A338,'Coal savings'!$A$3:$K$543,10,FALSE)</f>
        <v>0</v>
      </c>
      <c r="P338" s="2">
        <f t="shared" si="23"/>
        <v>0</v>
      </c>
      <c r="Q338">
        <f>VLOOKUP(A338,'[13]Thermal generation Mar 19 - Feb'!$C$2:$D$680,2,FALSE)</f>
        <v>2004.01999999999</v>
      </c>
    </row>
    <row r="339" spans="1:17" x14ac:dyDescent="0.2">
      <c r="A339" s="2" t="s">
        <v>242</v>
      </c>
      <c r="B339" t="s">
        <v>617</v>
      </c>
      <c r="C339" t="s">
        <v>626</v>
      </c>
      <c r="D339" t="s">
        <v>572</v>
      </c>
      <c r="E339" t="s">
        <v>543</v>
      </c>
      <c r="F339" s="36">
        <v>9.0102669404517393</v>
      </c>
      <c r="G339">
        <v>300</v>
      </c>
      <c r="H339">
        <v>2.5249528855718557</v>
      </c>
      <c r="I339">
        <f t="shared" si="20"/>
        <v>757.48586567155667</v>
      </c>
      <c r="J339" s="2">
        <v>3188.5133163394612</v>
      </c>
      <c r="K339">
        <f t="shared" si="21"/>
        <v>956553.99490183836</v>
      </c>
      <c r="L339">
        <v>9.0376126869674167E-2</v>
      </c>
      <c r="M339">
        <f t="shared" si="22"/>
        <v>27.112838060902249</v>
      </c>
      <c r="N339" s="2" t="s">
        <v>576</v>
      </c>
      <c r="O339" s="2">
        <f>VLOOKUP(A339,'Coal savings'!$A$3:$K$543,10,FALSE)</f>
        <v>0</v>
      </c>
      <c r="P339" s="2">
        <f t="shared" si="23"/>
        <v>0</v>
      </c>
      <c r="Q339">
        <f>VLOOKUP(A339,'[13]Thermal generation Mar 19 - Feb'!$C$2:$D$680,2,FALSE)</f>
        <v>1885.89</v>
      </c>
    </row>
    <row r="340" spans="1:17" x14ac:dyDescent="0.2">
      <c r="A340" s="2" t="s">
        <v>236</v>
      </c>
      <c r="B340" t="s">
        <v>617</v>
      </c>
      <c r="C340" t="s">
        <v>626</v>
      </c>
      <c r="D340" t="s">
        <v>572</v>
      </c>
      <c r="E340" t="s">
        <v>543</v>
      </c>
      <c r="F340" s="36">
        <v>8.5913757700205302</v>
      </c>
      <c r="G340">
        <v>300</v>
      </c>
      <c r="H340">
        <v>2.0699999999999998</v>
      </c>
      <c r="I340">
        <f t="shared" si="20"/>
        <v>621</v>
      </c>
      <c r="J340" s="2">
        <v>3183.9926969177823</v>
      </c>
      <c r="K340">
        <f t="shared" si="21"/>
        <v>955197.80907533469</v>
      </c>
      <c r="L340">
        <v>9.0376126869674167E-2</v>
      </c>
      <c r="M340">
        <f t="shared" si="22"/>
        <v>27.112838060902249</v>
      </c>
      <c r="N340" s="2" t="s">
        <v>576</v>
      </c>
      <c r="O340" s="2">
        <f>VLOOKUP(A340,'Coal savings'!$A$3:$K$543,10,FALSE)</f>
        <v>0</v>
      </c>
      <c r="P340" s="2">
        <f t="shared" si="23"/>
        <v>0</v>
      </c>
      <c r="Q340">
        <f>VLOOKUP(A340,'[13]Thermal generation Mar 19 - Feb'!$C$2:$D$680,2,FALSE)</f>
        <v>1877.48</v>
      </c>
    </row>
    <row r="341" spans="1:17" x14ac:dyDescent="0.2">
      <c r="A341" s="2" t="s">
        <v>419</v>
      </c>
      <c r="B341" t="s">
        <v>615</v>
      </c>
      <c r="C341" t="s">
        <v>625</v>
      </c>
      <c r="D341" t="s">
        <v>571</v>
      </c>
      <c r="E341" t="s">
        <v>547</v>
      </c>
      <c r="F341" s="36">
        <v>28.175222450376399</v>
      </c>
      <c r="G341">
        <v>210</v>
      </c>
      <c r="H341">
        <v>2.36</v>
      </c>
      <c r="I341">
        <f t="shared" si="20"/>
        <v>495.59999999999997</v>
      </c>
      <c r="J341" s="2">
        <v>3179.7383386481356</v>
      </c>
      <c r="K341">
        <f t="shared" si="21"/>
        <v>667745.05111610843</v>
      </c>
      <c r="L341">
        <v>7.2417181230320551E-2</v>
      </c>
      <c r="M341">
        <f t="shared" si="22"/>
        <v>15.207608058367315</v>
      </c>
      <c r="N341" s="2" t="s">
        <v>576</v>
      </c>
      <c r="O341" s="2">
        <f>VLOOKUP(A341,'Coal savings'!$A$3:$K$543,10,FALSE)</f>
        <v>0</v>
      </c>
      <c r="P341" s="2">
        <f t="shared" si="23"/>
        <v>0</v>
      </c>
      <c r="Q341">
        <f>VLOOKUP(A341,'[13]Thermal generation Mar 19 - Feb'!$C$2:$D$680,2,FALSE)</f>
        <v>1535.79999999999</v>
      </c>
    </row>
    <row r="342" spans="1:17" x14ac:dyDescent="0.2">
      <c r="A342" s="2" t="s">
        <v>408</v>
      </c>
      <c r="B342" t="s">
        <v>615</v>
      </c>
      <c r="C342" t="s">
        <v>625</v>
      </c>
      <c r="D342" t="s">
        <v>571</v>
      </c>
      <c r="E342" t="s">
        <v>547</v>
      </c>
      <c r="F342" s="36">
        <v>26.176591375769998</v>
      </c>
      <c r="G342">
        <v>210</v>
      </c>
      <c r="H342">
        <v>2.36</v>
      </c>
      <c r="I342">
        <f t="shared" si="20"/>
        <v>495.59999999999997</v>
      </c>
      <c r="J342" s="2">
        <v>3157.0703796317912</v>
      </c>
      <c r="K342">
        <f t="shared" si="21"/>
        <v>662984.77972267615</v>
      </c>
      <c r="L342">
        <v>7.2417181230320551E-2</v>
      </c>
      <c r="M342">
        <f t="shared" si="22"/>
        <v>15.207608058367315</v>
      </c>
      <c r="N342" s="2" t="s">
        <v>576</v>
      </c>
      <c r="O342" s="2">
        <f>VLOOKUP(A342,'Coal savings'!$A$3:$K$543,10,FALSE)</f>
        <v>0</v>
      </c>
      <c r="P342" s="2">
        <f t="shared" si="23"/>
        <v>0</v>
      </c>
      <c r="Q342">
        <f>VLOOKUP(A342,'[13]Thermal generation Mar 19 - Feb'!$C$2:$D$680,2,FALSE)</f>
        <v>1448.9099999999901</v>
      </c>
    </row>
    <row r="343" spans="1:17" x14ac:dyDescent="0.2">
      <c r="A343" s="2" t="s">
        <v>399</v>
      </c>
      <c r="B343" t="s">
        <v>615</v>
      </c>
      <c r="C343" t="s">
        <v>625</v>
      </c>
      <c r="D343" t="s">
        <v>571</v>
      </c>
      <c r="E343" t="s">
        <v>547</v>
      </c>
      <c r="F343" s="36">
        <v>25.177275838466802</v>
      </c>
      <c r="G343">
        <v>210</v>
      </c>
      <c r="H343">
        <v>2.36</v>
      </c>
      <c r="I343">
        <f t="shared" si="20"/>
        <v>495.59999999999997</v>
      </c>
      <c r="J343" s="2">
        <v>3142.4477712884354</v>
      </c>
      <c r="K343">
        <f t="shared" si="21"/>
        <v>659914.03197057149</v>
      </c>
      <c r="L343">
        <v>7.2417181230320551E-2</v>
      </c>
      <c r="M343">
        <f t="shared" si="22"/>
        <v>15.207608058367315</v>
      </c>
      <c r="N343" s="2" t="s">
        <v>576</v>
      </c>
      <c r="O343" s="2">
        <f>VLOOKUP(A343,'Coal savings'!$A$3:$K$543,10,FALSE)</f>
        <v>0</v>
      </c>
      <c r="P343" s="2">
        <f t="shared" si="23"/>
        <v>0</v>
      </c>
      <c r="Q343">
        <f>VLOOKUP(A343,'[13]Thermal generation Mar 19 - Feb'!$C$2:$D$680,2,FALSE)</f>
        <v>1540.6899999999901</v>
      </c>
    </row>
    <row r="344" spans="1:17" x14ac:dyDescent="0.2">
      <c r="A344" s="2" t="s">
        <v>394</v>
      </c>
      <c r="B344" t="s">
        <v>615</v>
      </c>
      <c r="C344" t="s">
        <v>625</v>
      </c>
      <c r="D344" t="s">
        <v>571</v>
      </c>
      <c r="E344" t="s">
        <v>546</v>
      </c>
      <c r="F344" s="36">
        <v>24.175222450376399</v>
      </c>
      <c r="G344">
        <v>210</v>
      </c>
      <c r="H344">
        <v>2.36</v>
      </c>
      <c r="I344">
        <f t="shared" si="20"/>
        <v>495.59999999999997</v>
      </c>
      <c r="J344" s="2">
        <v>3134.1146394730058</v>
      </c>
      <c r="K344">
        <f t="shared" si="21"/>
        <v>658164.07428933121</v>
      </c>
      <c r="L344">
        <v>7.2417181230320551E-2</v>
      </c>
      <c r="M344">
        <f t="shared" si="22"/>
        <v>15.207608058367315</v>
      </c>
      <c r="N344" s="2" t="s">
        <v>576</v>
      </c>
      <c r="O344" s="2">
        <f>VLOOKUP(A344,'Coal savings'!$A$3:$K$543,10,FALSE)</f>
        <v>0</v>
      </c>
      <c r="P344" s="2">
        <f t="shared" si="23"/>
        <v>0</v>
      </c>
      <c r="Q344">
        <f>VLOOKUP(A344,'[13]Thermal generation Mar 19 - Feb'!$C$2:$D$680,2,FALSE)</f>
        <v>1440.94</v>
      </c>
    </row>
    <row r="345" spans="1:17" x14ac:dyDescent="0.2">
      <c r="A345" s="2" t="s">
        <v>310</v>
      </c>
      <c r="B345" t="s">
        <v>611</v>
      </c>
      <c r="C345" t="s">
        <v>626</v>
      </c>
      <c r="D345" t="s">
        <v>572</v>
      </c>
      <c r="E345" t="s">
        <v>543</v>
      </c>
      <c r="F345" s="36">
        <v>8.4243668720054696</v>
      </c>
      <c r="G345">
        <v>135</v>
      </c>
      <c r="H345">
        <v>0.76</v>
      </c>
      <c r="I345">
        <f t="shared" si="20"/>
        <v>102.6</v>
      </c>
      <c r="J345" s="2">
        <v>3158.3194946248941</v>
      </c>
      <c r="K345">
        <f t="shared" si="21"/>
        <v>426373.13177436072</v>
      </c>
      <c r="L345">
        <v>0.11279107493880862</v>
      </c>
      <c r="M345">
        <f t="shared" si="22"/>
        <v>15.226795116739163</v>
      </c>
      <c r="N345" s="2" t="s">
        <v>576</v>
      </c>
      <c r="O345" s="2">
        <f>VLOOKUP(A345,'Coal savings'!$A$3:$K$543,10,FALSE)</f>
        <v>0</v>
      </c>
      <c r="P345" s="2">
        <f t="shared" si="23"/>
        <v>0</v>
      </c>
      <c r="Q345">
        <f>VLOOKUP(A345,'[13]Thermal generation Mar 19 - Feb'!$C$2:$D$680,2,FALSE)</f>
        <v>929.89</v>
      </c>
    </row>
    <row r="346" spans="1:17" x14ac:dyDescent="0.2">
      <c r="A346" s="2" t="s">
        <v>303</v>
      </c>
      <c r="B346" t="s">
        <v>611</v>
      </c>
      <c r="C346" t="s">
        <v>626</v>
      </c>
      <c r="D346" t="s">
        <v>572</v>
      </c>
      <c r="E346" t="s">
        <v>543</v>
      </c>
      <c r="F346" s="36">
        <v>7.9233401779603003</v>
      </c>
      <c r="G346">
        <v>135</v>
      </c>
      <c r="H346">
        <v>0.76</v>
      </c>
      <c r="I346">
        <f t="shared" si="20"/>
        <v>102.6</v>
      </c>
      <c r="J346" s="2">
        <v>3177.7254466733098</v>
      </c>
      <c r="K346">
        <f t="shared" si="21"/>
        <v>428992.93530089682</v>
      </c>
      <c r="L346">
        <v>0.11279107493880862</v>
      </c>
      <c r="M346">
        <f t="shared" si="22"/>
        <v>15.226795116739163</v>
      </c>
      <c r="N346" s="2" t="s">
        <v>576</v>
      </c>
      <c r="O346" s="2">
        <f>VLOOKUP(A346,'Coal savings'!$A$3:$K$543,10,FALSE)</f>
        <v>0</v>
      </c>
      <c r="P346" s="2">
        <f t="shared" si="23"/>
        <v>0</v>
      </c>
      <c r="Q346">
        <f>VLOOKUP(A346,'[13]Thermal generation Mar 19 - Feb'!$C$2:$D$680,2,FALSE)</f>
        <v>682.31</v>
      </c>
    </row>
    <row r="347" spans="1:17" x14ac:dyDescent="0.2">
      <c r="A347" s="2" t="s">
        <v>344</v>
      </c>
      <c r="B347" t="s">
        <v>634</v>
      </c>
      <c r="C347" t="s">
        <v>628</v>
      </c>
      <c r="D347" t="s">
        <v>572</v>
      </c>
      <c r="E347" t="s">
        <v>543</v>
      </c>
      <c r="F347" s="36">
        <v>8.5913757700205302</v>
      </c>
      <c r="G347">
        <v>45</v>
      </c>
      <c r="H347">
        <v>3.73</v>
      </c>
      <c r="I347">
        <f t="shared" si="20"/>
        <v>167.85</v>
      </c>
      <c r="J347" s="2">
        <v>3397.779343546682</v>
      </c>
      <c r="K347">
        <f t="shared" si="21"/>
        <v>152900.07045960068</v>
      </c>
      <c r="L347">
        <v>0.10098421534569983</v>
      </c>
      <c r="M347">
        <f t="shared" si="22"/>
        <v>4.544289690556492</v>
      </c>
      <c r="N347" s="2" t="s">
        <v>576</v>
      </c>
      <c r="O347" s="2">
        <f>VLOOKUP(A347,'Coal savings'!$A$3:$K$543,10,FALSE)</f>
        <v>0</v>
      </c>
      <c r="P347" s="2">
        <f t="shared" si="23"/>
        <v>0</v>
      </c>
      <c r="Q347">
        <f>VLOOKUP(A347,'[13]Thermal generation Mar 19 - Feb'!$C$2:$D$680,2,FALSE)</f>
        <v>45.169999999999902</v>
      </c>
    </row>
    <row r="348" spans="1:17" x14ac:dyDescent="0.2">
      <c r="A348" s="2" t="s">
        <v>342</v>
      </c>
      <c r="B348" t="s">
        <v>634</v>
      </c>
      <c r="C348" t="s">
        <v>628</v>
      </c>
      <c r="D348" t="s">
        <v>572</v>
      </c>
      <c r="E348" t="s">
        <v>543</v>
      </c>
      <c r="F348" s="36">
        <v>8.5065023956194299</v>
      </c>
      <c r="G348">
        <v>45</v>
      </c>
      <c r="H348">
        <v>3.73</v>
      </c>
      <c r="I348">
        <f t="shared" si="20"/>
        <v>167.85</v>
      </c>
      <c r="J348" s="2">
        <v>3395.3930595933407</v>
      </c>
      <c r="K348">
        <f t="shared" si="21"/>
        <v>152792.68768170034</v>
      </c>
      <c r="L348">
        <v>0.10098421534569983</v>
      </c>
      <c r="M348">
        <f t="shared" si="22"/>
        <v>4.544289690556492</v>
      </c>
      <c r="N348" s="2" t="s">
        <v>576</v>
      </c>
      <c r="O348" s="2">
        <f>VLOOKUP(A348,'Coal savings'!$A$3:$K$543,10,FALSE)</f>
        <v>0</v>
      </c>
      <c r="P348" s="2">
        <f t="shared" si="23"/>
        <v>0</v>
      </c>
      <c r="Q348">
        <f>VLOOKUP(A348,'[13]Thermal generation Mar 19 - Feb'!$C$2:$D$680,2,FALSE)</f>
        <v>35.229999999999897</v>
      </c>
    </row>
    <row r="349" spans="1:17" x14ac:dyDescent="0.2">
      <c r="A349" s="2" t="s">
        <v>439</v>
      </c>
      <c r="B349" t="s">
        <v>617</v>
      </c>
      <c r="C349" t="s">
        <v>626</v>
      </c>
      <c r="D349" t="s">
        <v>570</v>
      </c>
      <c r="E349" t="s">
        <v>548</v>
      </c>
      <c r="F349" s="36">
        <v>31.175906913073199</v>
      </c>
      <c r="G349">
        <v>210</v>
      </c>
      <c r="H349">
        <v>2.73</v>
      </c>
      <c r="I349">
        <f t="shared" si="20"/>
        <v>573.29999999999995</v>
      </c>
      <c r="J349" s="2">
        <v>3338.9098710585563</v>
      </c>
      <c r="K349">
        <f t="shared" si="21"/>
        <v>701171.07292229682</v>
      </c>
      <c r="L349">
        <v>8.9781177379789912E-2</v>
      </c>
      <c r="M349">
        <f t="shared" si="22"/>
        <v>18.854047249755883</v>
      </c>
      <c r="N349" s="2" t="s">
        <v>576</v>
      </c>
      <c r="O349" s="2">
        <f>VLOOKUP(A349,'Coal savings'!$A$3:$K$543,10,FALSE)</f>
        <v>0</v>
      </c>
      <c r="P349" s="2">
        <f t="shared" si="23"/>
        <v>0</v>
      </c>
      <c r="Q349">
        <f>VLOOKUP(A349,'[13]Thermal generation Mar 19 - Feb'!$C$2:$D$680,2,FALSE)</f>
        <v>894.18</v>
      </c>
    </row>
    <row r="350" spans="1:17" x14ac:dyDescent="0.2">
      <c r="A350" s="2" t="s">
        <v>432</v>
      </c>
      <c r="B350" t="s">
        <v>617</v>
      </c>
      <c r="C350" t="s">
        <v>626</v>
      </c>
      <c r="D350" t="s">
        <v>570</v>
      </c>
      <c r="E350" t="s">
        <v>548</v>
      </c>
      <c r="F350" s="36">
        <v>30.338124572210798</v>
      </c>
      <c r="G350">
        <v>210</v>
      </c>
      <c r="H350">
        <v>2.73</v>
      </c>
      <c r="I350">
        <f t="shared" si="20"/>
        <v>573.29999999999995</v>
      </c>
      <c r="J350" s="2">
        <v>3280.7975416845516</v>
      </c>
      <c r="K350">
        <f t="shared" si="21"/>
        <v>688967.48375375581</v>
      </c>
      <c r="L350">
        <v>8.9781177379789912E-2</v>
      </c>
      <c r="M350">
        <f t="shared" si="22"/>
        <v>18.854047249755883</v>
      </c>
      <c r="N350" s="2" t="s">
        <v>576</v>
      </c>
      <c r="O350" s="2">
        <f>VLOOKUP(A350,'Coal savings'!$A$3:$K$543,10,FALSE)</f>
        <v>0</v>
      </c>
      <c r="P350" s="2">
        <f t="shared" si="23"/>
        <v>0</v>
      </c>
      <c r="Q350">
        <f>VLOOKUP(A350,'[13]Thermal generation Mar 19 - Feb'!$C$2:$D$680,2,FALSE)</f>
        <v>845.26999999999896</v>
      </c>
    </row>
    <row r="351" spans="1:17" x14ac:dyDescent="0.2">
      <c r="A351" s="2" t="s">
        <v>366</v>
      </c>
      <c r="B351" t="s">
        <v>617</v>
      </c>
      <c r="C351" t="s">
        <v>626</v>
      </c>
      <c r="D351" t="s">
        <v>570</v>
      </c>
      <c r="E351" t="s">
        <v>545</v>
      </c>
      <c r="F351" s="36">
        <v>20.008213552361301</v>
      </c>
      <c r="G351">
        <v>210</v>
      </c>
      <c r="H351">
        <v>2.73</v>
      </c>
      <c r="I351">
        <f t="shared" si="20"/>
        <v>573.29999999999995</v>
      </c>
      <c r="J351" s="2">
        <v>3201.7848048526539</v>
      </c>
      <c r="K351">
        <f t="shared" si="21"/>
        <v>672374.80901905731</v>
      </c>
      <c r="L351">
        <v>8.9781177379789912E-2</v>
      </c>
      <c r="M351">
        <f t="shared" si="22"/>
        <v>18.854047249755883</v>
      </c>
      <c r="N351" s="2" t="s">
        <v>576</v>
      </c>
      <c r="O351" s="2">
        <f>VLOOKUP(A351,'Coal savings'!$A$3:$K$543,10,FALSE)</f>
        <v>0</v>
      </c>
      <c r="P351" s="2">
        <f t="shared" si="23"/>
        <v>0</v>
      </c>
      <c r="Q351">
        <f>VLOOKUP(A351,'[13]Thermal generation Mar 19 - Feb'!$C$2:$D$680,2,FALSE)</f>
        <v>1125.3999999999901</v>
      </c>
    </row>
    <row r="352" spans="1:17" x14ac:dyDescent="0.2">
      <c r="A352" s="2" t="s">
        <v>360</v>
      </c>
      <c r="B352" t="s">
        <v>617</v>
      </c>
      <c r="C352" t="s">
        <v>626</v>
      </c>
      <c r="D352" t="s">
        <v>570</v>
      </c>
      <c r="E352" t="s">
        <v>545</v>
      </c>
      <c r="F352" s="36">
        <v>19.337440109513999</v>
      </c>
      <c r="G352">
        <v>210</v>
      </c>
      <c r="H352">
        <v>2.73</v>
      </c>
      <c r="I352">
        <f t="shared" si="20"/>
        <v>573.29999999999995</v>
      </c>
      <c r="J352" s="2">
        <v>3167.9625443316245</v>
      </c>
      <c r="K352">
        <f t="shared" si="21"/>
        <v>665272.13430964109</v>
      </c>
      <c r="L352">
        <v>8.9781177379789912E-2</v>
      </c>
      <c r="M352">
        <f t="shared" si="22"/>
        <v>18.854047249755883</v>
      </c>
      <c r="N352" s="2" t="s">
        <v>576</v>
      </c>
      <c r="O352" s="2">
        <f>VLOOKUP(A352,'Coal savings'!$A$3:$K$543,10,FALSE)</f>
        <v>0</v>
      </c>
      <c r="P352" s="2">
        <f t="shared" si="23"/>
        <v>0</v>
      </c>
      <c r="Q352">
        <f>VLOOKUP(A352,'[13]Thermal generation Mar 19 - Feb'!$C$2:$D$680,2,FALSE)</f>
        <v>1147.1899999999901</v>
      </c>
    </row>
    <row r="353" spans="1:17" x14ac:dyDescent="0.2">
      <c r="A353" s="2" t="s">
        <v>416</v>
      </c>
      <c r="B353" t="s">
        <v>621</v>
      </c>
      <c r="C353" t="s">
        <v>625</v>
      </c>
      <c r="D353" t="s">
        <v>570</v>
      </c>
      <c r="E353" t="s">
        <v>547</v>
      </c>
      <c r="F353" s="36">
        <v>27.337440109513999</v>
      </c>
      <c r="G353">
        <v>210</v>
      </c>
      <c r="H353">
        <v>3.59</v>
      </c>
      <c r="I353">
        <f t="shared" si="20"/>
        <v>753.9</v>
      </c>
      <c r="J353" s="2">
        <v>3377.3417532245253</v>
      </c>
      <c r="K353">
        <f t="shared" si="21"/>
        <v>709241.76817715028</v>
      </c>
      <c r="L353">
        <v>0.11038497174813085</v>
      </c>
      <c r="M353">
        <f t="shared" si="22"/>
        <v>23.180844067107479</v>
      </c>
      <c r="N353" s="2" t="s">
        <v>576</v>
      </c>
      <c r="O353" s="2">
        <f>VLOOKUP(A353,'Coal savings'!$A$3:$K$543,10,FALSE)</f>
        <v>0</v>
      </c>
      <c r="P353" s="2">
        <f t="shared" si="23"/>
        <v>0</v>
      </c>
    </row>
    <row r="354" spans="1:17" x14ac:dyDescent="0.2">
      <c r="A354" s="2" t="s">
        <v>428</v>
      </c>
      <c r="B354" t="s">
        <v>621</v>
      </c>
      <c r="C354" t="s">
        <v>625</v>
      </c>
      <c r="D354" t="s">
        <v>570</v>
      </c>
      <c r="E354" t="s">
        <v>547</v>
      </c>
      <c r="F354" s="36">
        <v>29.7577002053388</v>
      </c>
      <c r="G354">
        <v>210</v>
      </c>
      <c r="H354">
        <v>3.59</v>
      </c>
      <c r="I354">
        <f t="shared" si="20"/>
        <v>753.9</v>
      </c>
      <c r="J354" s="2">
        <v>3299.5290536997491</v>
      </c>
      <c r="K354">
        <f t="shared" si="21"/>
        <v>692901.1012769473</v>
      </c>
      <c r="L354">
        <v>0.11038497174813085</v>
      </c>
      <c r="M354">
        <f t="shared" si="22"/>
        <v>23.180844067107479</v>
      </c>
      <c r="N354" s="2" t="s">
        <v>576</v>
      </c>
      <c r="O354" s="2">
        <f>VLOOKUP(A354,'Coal savings'!$A$3:$K$543,10,FALSE)</f>
        <v>0</v>
      </c>
      <c r="P354" s="2">
        <f t="shared" si="23"/>
        <v>0</v>
      </c>
      <c r="Q354">
        <f>VLOOKUP(A354,'[13]Thermal generation Mar 19 - Feb'!$C$2:$D$680,2,FALSE)</f>
        <v>747.03</v>
      </c>
    </row>
    <row r="355" spans="1:17" x14ac:dyDescent="0.2">
      <c r="A355" s="2" t="s">
        <v>460</v>
      </c>
      <c r="B355" t="s">
        <v>621</v>
      </c>
      <c r="C355" t="s">
        <v>625</v>
      </c>
      <c r="D355" t="s">
        <v>570</v>
      </c>
      <c r="E355" t="s">
        <v>548</v>
      </c>
      <c r="F355" s="36">
        <v>34.4229979466119</v>
      </c>
      <c r="G355">
        <v>210</v>
      </c>
      <c r="H355">
        <v>3.59</v>
      </c>
      <c r="I355">
        <f t="shared" si="20"/>
        <v>753.9</v>
      </c>
      <c r="J355" s="2">
        <v>3483.7068461446243</v>
      </c>
      <c r="K355">
        <f t="shared" si="21"/>
        <v>731578.43769037107</v>
      </c>
      <c r="L355">
        <v>0.11038497174813085</v>
      </c>
      <c r="M355">
        <f t="shared" si="22"/>
        <v>23.180844067107479</v>
      </c>
      <c r="N355" s="2" t="s">
        <v>576</v>
      </c>
      <c r="O355" s="2">
        <f>VLOOKUP(A355,'Coal savings'!$A$3:$K$543,10,FALSE)</f>
        <v>0</v>
      </c>
      <c r="P355" s="2">
        <f t="shared" si="23"/>
        <v>0</v>
      </c>
      <c r="Q355">
        <f>VLOOKUP(A355,'[13]Thermal generation Mar 19 - Feb'!$C$2:$D$680,2,FALSE)</f>
        <v>42.74</v>
      </c>
    </row>
    <row r="356" spans="1:17" x14ac:dyDescent="0.2">
      <c r="A356" s="2" t="s">
        <v>475</v>
      </c>
      <c r="B356" t="s">
        <v>621</v>
      </c>
      <c r="C356" t="s">
        <v>625</v>
      </c>
      <c r="D356" t="s">
        <v>570</v>
      </c>
      <c r="E356" t="s">
        <v>549</v>
      </c>
      <c r="F356" s="36">
        <v>36.339493497604302</v>
      </c>
      <c r="G356">
        <v>210</v>
      </c>
      <c r="H356">
        <v>3.59</v>
      </c>
      <c r="I356">
        <f t="shared" si="20"/>
        <v>753.9</v>
      </c>
      <c r="J356" s="2">
        <v>3341.7738060502888</v>
      </c>
      <c r="K356">
        <f t="shared" si="21"/>
        <v>701772.49927056069</v>
      </c>
      <c r="L356">
        <v>0.11038497174813085</v>
      </c>
      <c r="M356">
        <f t="shared" si="22"/>
        <v>23.180844067107479</v>
      </c>
      <c r="N356" s="2" t="s">
        <v>576</v>
      </c>
      <c r="O356" s="2">
        <f>VLOOKUP(A356,'Coal savings'!$A$3:$K$543,10,FALSE)</f>
        <v>0</v>
      </c>
      <c r="P356" s="2">
        <f t="shared" si="23"/>
        <v>0</v>
      </c>
      <c r="Q356">
        <f>VLOOKUP(A356,'[13]Thermal generation Mar 19 - Feb'!$C$2:$D$680,2,FALSE)</f>
        <v>643.53</v>
      </c>
    </row>
    <row r="357" spans="1:17" x14ac:dyDescent="0.2">
      <c r="A357" s="2" t="s">
        <v>409</v>
      </c>
      <c r="B357" t="s">
        <v>621</v>
      </c>
      <c r="C357" t="s">
        <v>625</v>
      </c>
      <c r="D357" t="s">
        <v>570</v>
      </c>
      <c r="E357" t="s">
        <v>547</v>
      </c>
      <c r="F357" s="36">
        <v>26.4229979466119</v>
      </c>
      <c r="G357">
        <v>210</v>
      </c>
      <c r="H357">
        <v>3.59</v>
      </c>
      <c r="I357">
        <f t="shared" si="20"/>
        <v>753.9</v>
      </c>
      <c r="J357" s="2">
        <v>3239.1377389905183</v>
      </c>
      <c r="K357">
        <f t="shared" si="21"/>
        <v>680218.92518800881</v>
      </c>
      <c r="L357">
        <v>0.11038497174813085</v>
      </c>
      <c r="M357">
        <f t="shared" si="22"/>
        <v>23.180844067107479</v>
      </c>
      <c r="N357" s="2" t="s">
        <v>576</v>
      </c>
      <c r="O357" s="2">
        <f>VLOOKUP(A357,'Coal savings'!$A$3:$K$543,10,FALSE)</f>
        <v>0</v>
      </c>
      <c r="P357" s="2">
        <f t="shared" si="23"/>
        <v>0</v>
      </c>
      <c r="Q357">
        <f>VLOOKUP(A357,'[13]Thermal generation Mar 19 - Feb'!$C$2:$D$680,2,FALSE)</f>
        <v>734.44999999999902</v>
      </c>
    </row>
    <row r="358" spans="1:17" x14ac:dyDescent="0.2">
      <c r="A358" s="2" t="s">
        <v>425</v>
      </c>
      <c r="B358" t="s">
        <v>621</v>
      </c>
      <c r="C358" t="s">
        <v>625</v>
      </c>
      <c r="D358" t="s">
        <v>570</v>
      </c>
      <c r="E358" t="s">
        <v>547</v>
      </c>
      <c r="F358" s="36">
        <v>29.177275838466802</v>
      </c>
      <c r="G358">
        <v>210</v>
      </c>
      <c r="H358">
        <v>3.59</v>
      </c>
      <c r="I358">
        <f t="shared" si="20"/>
        <v>753.9</v>
      </c>
      <c r="J358" s="2">
        <v>3277.1178622931388</v>
      </c>
      <c r="K358">
        <f t="shared" si="21"/>
        <v>688194.75108155911</v>
      </c>
      <c r="L358">
        <v>0.11038497174813085</v>
      </c>
      <c r="M358">
        <f t="shared" si="22"/>
        <v>23.180844067107479</v>
      </c>
      <c r="N358" s="2" t="s">
        <v>576</v>
      </c>
      <c r="O358" s="2">
        <f>VLOOKUP(A358,'Coal savings'!$A$3:$K$543,10,FALSE)</f>
        <v>0</v>
      </c>
      <c r="P358" s="2">
        <f t="shared" si="23"/>
        <v>0</v>
      </c>
      <c r="Q358">
        <f>VLOOKUP(A358,'[13]Thermal generation Mar 19 - Feb'!$C$2:$D$680,2,FALSE)</f>
        <v>872.95</v>
      </c>
    </row>
    <row r="359" spans="1:17" x14ac:dyDescent="0.2">
      <c r="A359" s="2" t="s">
        <v>495</v>
      </c>
      <c r="B359" t="s">
        <v>617</v>
      </c>
      <c r="C359" t="s">
        <v>626</v>
      </c>
      <c r="D359" t="s">
        <v>570</v>
      </c>
      <c r="E359" t="s">
        <v>549</v>
      </c>
      <c r="F359" s="36">
        <v>38.176591375770002</v>
      </c>
      <c r="G359">
        <v>210</v>
      </c>
      <c r="H359">
        <v>2.29</v>
      </c>
      <c r="I359">
        <f t="shared" si="20"/>
        <v>480.90000000000003</v>
      </c>
      <c r="J359" s="2">
        <v>3479.8377194060204</v>
      </c>
      <c r="K359">
        <f t="shared" si="21"/>
        <v>730765.92107526422</v>
      </c>
      <c r="L359">
        <v>8.2497496941869752E-2</v>
      </c>
      <c r="M359">
        <f t="shared" si="22"/>
        <v>17.324474357792649</v>
      </c>
      <c r="N359" s="2" t="s">
        <v>576</v>
      </c>
      <c r="O359" s="2">
        <f>VLOOKUP(A359,'Coal savings'!$A$3:$K$543,10,FALSE)</f>
        <v>0</v>
      </c>
      <c r="P359" s="2">
        <f t="shared" si="23"/>
        <v>0</v>
      </c>
      <c r="Q359">
        <f>VLOOKUP(A359,'[13]Thermal generation Mar 19 - Feb'!$C$2:$D$680,2,FALSE)</f>
        <v>501.34</v>
      </c>
    </row>
    <row r="360" spans="1:17" x14ac:dyDescent="0.2">
      <c r="A360" s="2" t="s">
        <v>487</v>
      </c>
      <c r="B360" t="s">
        <v>617</v>
      </c>
      <c r="C360" t="s">
        <v>626</v>
      </c>
      <c r="D360" t="s">
        <v>570</v>
      </c>
      <c r="E360" t="s">
        <v>549</v>
      </c>
      <c r="F360" s="36">
        <v>37.338809034907598</v>
      </c>
      <c r="G360">
        <v>210</v>
      </c>
      <c r="H360">
        <v>2.29</v>
      </c>
      <c r="I360">
        <f t="shared" si="20"/>
        <v>480.90000000000003</v>
      </c>
      <c r="J360" s="2">
        <v>3493.9363240657976</v>
      </c>
      <c r="K360">
        <f t="shared" si="21"/>
        <v>733726.62805381755</v>
      </c>
      <c r="L360">
        <v>8.2497496941869752E-2</v>
      </c>
      <c r="M360">
        <f t="shared" si="22"/>
        <v>17.324474357792649</v>
      </c>
      <c r="N360" s="2" t="s">
        <v>576</v>
      </c>
      <c r="O360" s="2">
        <f>VLOOKUP(A360,'Coal savings'!$A$3:$K$543,10,FALSE)</f>
        <v>0</v>
      </c>
      <c r="P360" s="2">
        <f t="shared" si="23"/>
        <v>0</v>
      </c>
      <c r="Q360">
        <f>VLOOKUP(A360,'[13]Thermal generation Mar 19 - Feb'!$C$2:$D$680,2,FALSE)</f>
        <v>128.18</v>
      </c>
    </row>
    <row r="361" spans="1:17" x14ac:dyDescent="0.2">
      <c r="A361" s="2" t="s">
        <v>491</v>
      </c>
      <c r="B361" t="s">
        <v>611</v>
      </c>
      <c r="C361" t="s">
        <v>626</v>
      </c>
      <c r="D361" t="s">
        <v>571</v>
      </c>
      <c r="E361" t="s">
        <v>549</v>
      </c>
      <c r="F361" s="36">
        <v>37.2539356605065</v>
      </c>
      <c r="G361">
        <v>200</v>
      </c>
      <c r="H361">
        <v>1.32</v>
      </c>
      <c r="I361">
        <f t="shared" si="20"/>
        <v>264</v>
      </c>
      <c r="J361" s="2">
        <v>3227.1319198565448</v>
      </c>
      <c r="K361">
        <f t="shared" si="21"/>
        <v>645426.38397130894</v>
      </c>
      <c r="L361">
        <v>6.2610933454142856E-2</v>
      </c>
      <c r="M361">
        <f t="shared" si="22"/>
        <v>12.522186690828571</v>
      </c>
      <c r="N361" s="2" t="s">
        <v>576</v>
      </c>
      <c r="O361" s="2">
        <f>VLOOKUP(A361,'Coal savings'!$A$3:$K$543,10,FALSE)</f>
        <v>0</v>
      </c>
      <c r="P361" s="2">
        <f t="shared" si="23"/>
        <v>0</v>
      </c>
      <c r="Q361">
        <f>VLOOKUP(A361,'[13]Thermal generation Mar 19 - Feb'!$C$2:$D$680,2,FALSE)</f>
        <v>1521.86</v>
      </c>
    </row>
    <row r="362" spans="1:17" x14ac:dyDescent="0.2">
      <c r="A362" s="2" t="s">
        <v>483</v>
      </c>
      <c r="B362" t="s">
        <v>611</v>
      </c>
      <c r="C362" t="s">
        <v>626</v>
      </c>
      <c r="D362" t="s">
        <v>571</v>
      </c>
      <c r="E362" t="s">
        <v>549</v>
      </c>
      <c r="F362" s="36">
        <v>36.591375770020498</v>
      </c>
      <c r="G362">
        <v>200</v>
      </c>
      <c r="H362">
        <v>1.32</v>
      </c>
      <c r="I362">
        <f t="shared" si="20"/>
        <v>264</v>
      </c>
      <c r="J362" s="2">
        <v>3229.0673049453144</v>
      </c>
      <c r="K362">
        <f t="shared" si="21"/>
        <v>645813.46098906291</v>
      </c>
      <c r="L362">
        <v>6.2610933454142856E-2</v>
      </c>
      <c r="M362">
        <f t="shared" si="22"/>
        <v>12.522186690828571</v>
      </c>
      <c r="N362" s="2" t="s">
        <v>576</v>
      </c>
      <c r="O362" s="2">
        <f>VLOOKUP(A362,'Coal savings'!$A$3:$K$543,10,FALSE)</f>
        <v>0</v>
      </c>
      <c r="P362" s="2">
        <f t="shared" si="23"/>
        <v>0</v>
      </c>
      <c r="Q362">
        <f>VLOOKUP(A362,'[13]Thermal generation Mar 19 - Feb'!$C$2:$D$680,2,FALSE)</f>
        <v>1447.8199999999899</v>
      </c>
    </row>
    <row r="363" spans="1:17" x14ac:dyDescent="0.2">
      <c r="A363" s="2" t="s">
        <v>479</v>
      </c>
      <c r="B363" t="s">
        <v>611</v>
      </c>
      <c r="C363" t="s">
        <v>626</v>
      </c>
      <c r="D363" t="s">
        <v>571</v>
      </c>
      <c r="E363" t="s">
        <v>549</v>
      </c>
      <c r="F363" s="36">
        <v>36.175222450376403</v>
      </c>
      <c r="G363">
        <v>200</v>
      </c>
      <c r="H363">
        <v>1.32</v>
      </c>
      <c r="I363">
        <f t="shared" si="20"/>
        <v>264</v>
      </c>
      <c r="J363" s="2">
        <v>3205.5579901456995</v>
      </c>
      <c r="K363">
        <f t="shared" si="21"/>
        <v>641111.59802913992</v>
      </c>
      <c r="L363">
        <v>6.2610933454142856E-2</v>
      </c>
      <c r="M363">
        <f t="shared" si="22"/>
        <v>12.522186690828571</v>
      </c>
      <c r="N363" s="2" t="s">
        <v>576</v>
      </c>
      <c r="O363" s="2">
        <f>VLOOKUP(A363,'Coal savings'!$A$3:$K$543,10,FALSE)</f>
        <v>0</v>
      </c>
      <c r="P363" s="2">
        <f t="shared" si="23"/>
        <v>0</v>
      </c>
      <c r="Q363">
        <f>VLOOKUP(A363,'[13]Thermal generation Mar 19 - Feb'!$C$2:$D$680,2,FALSE)</f>
        <v>1702.5699999999899</v>
      </c>
    </row>
    <row r="364" spans="1:17" x14ac:dyDescent="0.2">
      <c r="A364" s="2" t="s">
        <v>537</v>
      </c>
      <c r="B364" t="s">
        <v>611</v>
      </c>
      <c r="C364" t="s">
        <v>626</v>
      </c>
      <c r="D364" t="s">
        <v>570</v>
      </c>
      <c r="E364" t="s">
        <v>551</v>
      </c>
      <c r="F364" s="36">
        <v>53.0102669404517</v>
      </c>
      <c r="G364">
        <v>50</v>
      </c>
      <c r="H364">
        <v>2.04</v>
      </c>
      <c r="I364">
        <f t="shared" si="20"/>
        <v>102</v>
      </c>
      <c r="J364" s="2">
        <v>3771.9741133656012</v>
      </c>
      <c r="K364">
        <f t="shared" si="21"/>
        <v>188598.70566828005</v>
      </c>
      <c r="M364">
        <f t="shared" si="22"/>
        <v>0</v>
      </c>
      <c r="N364" s="2" t="s">
        <v>576</v>
      </c>
      <c r="O364" s="2">
        <f>VLOOKUP(A364,'Coal savings'!$A$3:$K$543,10,FALSE)</f>
        <v>0</v>
      </c>
      <c r="P364" s="2">
        <f t="shared" si="23"/>
        <v>0</v>
      </c>
    </row>
    <row r="365" spans="1:17" x14ac:dyDescent="0.2">
      <c r="A365" s="2" t="s">
        <v>533</v>
      </c>
      <c r="B365" t="s">
        <v>611</v>
      </c>
      <c r="C365" t="s">
        <v>626</v>
      </c>
      <c r="D365" t="s">
        <v>570</v>
      </c>
      <c r="E365" t="s">
        <v>551</v>
      </c>
      <c r="F365" s="36">
        <v>52.175222450376403</v>
      </c>
      <c r="G365">
        <v>50</v>
      </c>
      <c r="H365">
        <v>2.04</v>
      </c>
      <c r="I365">
        <f t="shared" si="20"/>
        <v>102</v>
      </c>
      <c r="J365" s="2">
        <v>3666.8627461983524</v>
      </c>
      <c r="K365">
        <f t="shared" si="21"/>
        <v>183343.13730991763</v>
      </c>
      <c r="M365">
        <f t="shared" si="22"/>
        <v>0</v>
      </c>
      <c r="N365" s="2" t="s">
        <v>576</v>
      </c>
      <c r="O365" s="2">
        <f>VLOOKUP(A365,'Coal savings'!$A$3:$K$543,10,FALSE)</f>
        <v>0</v>
      </c>
      <c r="P365" s="2">
        <f t="shared" si="23"/>
        <v>0</v>
      </c>
    </row>
    <row r="366" spans="1:17" x14ac:dyDescent="0.2">
      <c r="A366" s="2" t="s">
        <v>532</v>
      </c>
      <c r="B366" t="s">
        <v>611</v>
      </c>
      <c r="C366" t="s">
        <v>626</v>
      </c>
      <c r="D366" t="s">
        <v>570</v>
      </c>
      <c r="E366" t="s">
        <v>551</v>
      </c>
      <c r="F366" s="36">
        <v>51.589322381930103</v>
      </c>
      <c r="G366">
        <v>50</v>
      </c>
      <c r="H366">
        <v>2.04</v>
      </c>
      <c r="I366">
        <f t="shared" si="20"/>
        <v>102</v>
      </c>
      <c r="J366" s="2">
        <v>3680.2460655863188</v>
      </c>
      <c r="K366">
        <f t="shared" si="21"/>
        <v>184012.30327931594</v>
      </c>
      <c r="M366">
        <f t="shared" si="22"/>
        <v>0</v>
      </c>
      <c r="N366" s="2" t="s">
        <v>576</v>
      </c>
      <c r="O366" s="2">
        <f>VLOOKUP(A366,'Coal savings'!$A$3:$K$543,10,FALSE)</f>
        <v>0</v>
      </c>
      <c r="P366" s="2">
        <f t="shared" si="23"/>
        <v>0</v>
      </c>
    </row>
    <row r="367" spans="1:17" x14ac:dyDescent="0.2">
      <c r="A367" s="2" t="s">
        <v>522</v>
      </c>
      <c r="B367" t="s">
        <v>611</v>
      </c>
      <c r="C367" t="s">
        <v>626</v>
      </c>
      <c r="D367" t="s">
        <v>570</v>
      </c>
      <c r="E367" t="s">
        <v>550</v>
      </c>
      <c r="F367" s="36">
        <v>44.090349075975297</v>
      </c>
      <c r="G367">
        <v>120</v>
      </c>
      <c r="H367">
        <v>2.04</v>
      </c>
      <c r="I367">
        <f t="shared" si="20"/>
        <v>244.8</v>
      </c>
      <c r="J367" s="2">
        <v>3432.699746788775</v>
      </c>
      <c r="K367">
        <f t="shared" si="21"/>
        <v>411923.96961465297</v>
      </c>
      <c r="M367">
        <f t="shared" si="22"/>
        <v>0</v>
      </c>
      <c r="N367" s="2" t="s">
        <v>576</v>
      </c>
      <c r="O367" s="2">
        <f>VLOOKUP(A367,'Coal savings'!$A$3:$K$543,10,FALSE)</f>
        <v>0</v>
      </c>
      <c r="P367" s="2">
        <f t="shared" si="23"/>
        <v>0</v>
      </c>
      <c r="Q367">
        <f>VLOOKUP(A367,'[13]Thermal generation Mar 19 - Feb'!$C$2:$D$680,2,FALSE)</f>
        <v>641.77999999999895</v>
      </c>
    </row>
    <row r="368" spans="1:17" x14ac:dyDescent="0.2">
      <c r="A368" s="2" t="s">
        <v>517</v>
      </c>
      <c r="B368" t="s">
        <v>611</v>
      </c>
      <c r="C368" t="s">
        <v>626</v>
      </c>
      <c r="D368" t="s">
        <v>570</v>
      </c>
      <c r="E368" t="s">
        <v>549</v>
      </c>
      <c r="F368" s="36">
        <v>39.0910335386721</v>
      </c>
      <c r="G368">
        <v>120</v>
      </c>
      <c r="H368">
        <v>2.04</v>
      </c>
      <c r="I368">
        <f t="shared" si="20"/>
        <v>244.8</v>
      </c>
      <c r="J368" s="2">
        <v>3400.0568704449365</v>
      </c>
      <c r="K368">
        <f t="shared" si="21"/>
        <v>408006.82445339236</v>
      </c>
      <c r="M368">
        <f t="shared" si="22"/>
        <v>0</v>
      </c>
      <c r="N368" s="2" t="s">
        <v>576</v>
      </c>
      <c r="O368" s="2">
        <f>VLOOKUP(A368,'Coal savings'!$A$3:$K$543,10,FALSE)</f>
        <v>0</v>
      </c>
      <c r="P368" s="2">
        <f t="shared" si="23"/>
        <v>0</v>
      </c>
      <c r="Q368">
        <f>VLOOKUP(A368,'[13]Thermal generation Mar 19 - Feb'!$C$2:$D$680,2,FALSE)</f>
        <v>717.58</v>
      </c>
    </row>
    <row r="369" spans="1:17" x14ac:dyDescent="0.2">
      <c r="A369" s="2" t="s">
        <v>477</v>
      </c>
      <c r="B369" t="s">
        <v>611</v>
      </c>
      <c r="C369" t="s">
        <v>626</v>
      </c>
      <c r="D369" t="s">
        <v>570</v>
      </c>
      <c r="E369" t="s">
        <v>549</v>
      </c>
      <c r="F369" s="36">
        <v>36.925393566050602</v>
      </c>
      <c r="G369">
        <v>210</v>
      </c>
      <c r="H369">
        <v>1.54</v>
      </c>
      <c r="I369">
        <f t="shared" si="20"/>
        <v>323.40000000000003</v>
      </c>
      <c r="J369" s="2">
        <v>3282.1596872926953</v>
      </c>
      <c r="K369">
        <f t="shared" si="21"/>
        <v>689253.53433146595</v>
      </c>
      <c r="L369">
        <v>6.0941992912102581E-2</v>
      </c>
      <c r="M369">
        <f t="shared" si="22"/>
        <v>12.797818511541543</v>
      </c>
      <c r="N369" s="2" t="s">
        <v>576</v>
      </c>
      <c r="O369" s="2">
        <f>VLOOKUP(A369,'Coal savings'!$A$3:$K$543,10,FALSE)</f>
        <v>0</v>
      </c>
      <c r="P369" s="2">
        <f t="shared" si="23"/>
        <v>0</v>
      </c>
      <c r="Q369">
        <f>VLOOKUP(A369,'[13]Thermal generation Mar 19 - Feb'!$C$2:$D$680,2,FALSE)</f>
        <v>1312.22999999999</v>
      </c>
    </row>
    <row r="370" spans="1:17" x14ac:dyDescent="0.2">
      <c r="A370" s="2" t="s">
        <v>473</v>
      </c>
      <c r="B370" t="s">
        <v>611</v>
      </c>
      <c r="C370" t="s">
        <v>626</v>
      </c>
      <c r="D370" t="s">
        <v>570</v>
      </c>
      <c r="E370" t="s">
        <v>549</v>
      </c>
      <c r="F370" s="36">
        <v>36.175222450376403</v>
      </c>
      <c r="G370">
        <v>210</v>
      </c>
      <c r="H370">
        <v>1.54</v>
      </c>
      <c r="I370">
        <f t="shared" si="20"/>
        <v>323.40000000000003</v>
      </c>
      <c r="J370" s="2">
        <v>3258.3762347583001</v>
      </c>
      <c r="K370">
        <f t="shared" si="21"/>
        <v>684259.00929924299</v>
      </c>
      <c r="L370">
        <v>6.0941992912102581E-2</v>
      </c>
      <c r="M370">
        <f t="shared" si="22"/>
        <v>12.797818511541543</v>
      </c>
      <c r="N370" s="2" t="s">
        <v>576</v>
      </c>
      <c r="O370" s="2">
        <f>VLOOKUP(A370,'Coal savings'!$A$3:$K$543,10,FALSE)</f>
        <v>0</v>
      </c>
      <c r="P370" s="2">
        <f t="shared" si="23"/>
        <v>0</v>
      </c>
      <c r="Q370">
        <f>VLOOKUP(A370,'[13]Thermal generation Mar 19 - Feb'!$C$2:$D$680,2,FALSE)</f>
        <v>1400.97</v>
      </c>
    </row>
    <row r="371" spans="1:17" x14ac:dyDescent="0.2">
      <c r="A371" s="2" t="s">
        <v>465</v>
      </c>
      <c r="B371" t="s">
        <v>611</v>
      </c>
      <c r="C371" t="s">
        <v>626</v>
      </c>
      <c r="D371" t="s">
        <v>570</v>
      </c>
      <c r="E371" t="s">
        <v>549</v>
      </c>
      <c r="F371" s="36">
        <v>35.175906913073199</v>
      </c>
      <c r="G371">
        <v>210</v>
      </c>
      <c r="H371">
        <v>1.54</v>
      </c>
      <c r="I371">
        <f t="shared" si="20"/>
        <v>323.40000000000003</v>
      </c>
      <c r="J371" s="2">
        <v>3277.1370905066437</v>
      </c>
      <c r="K371">
        <f t="shared" si="21"/>
        <v>688198.78900639515</v>
      </c>
      <c r="L371">
        <v>6.0941992912102581E-2</v>
      </c>
      <c r="M371">
        <f t="shared" si="22"/>
        <v>12.797818511541543</v>
      </c>
      <c r="N371" s="2" t="s">
        <v>576</v>
      </c>
      <c r="O371" s="2">
        <f>VLOOKUP(A371,'Coal savings'!$A$3:$K$543,10,FALSE)</f>
        <v>0</v>
      </c>
      <c r="P371" s="2">
        <f t="shared" si="23"/>
        <v>0</v>
      </c>
      <c r="Q371">
        <f>VLOOKUP(A371,'[13]Thermal generation Mar 19 - Feb'!$C$2:$D$680,2,FALSE)</f>
        <v>978.95999999999901</v>
      </c>
    </row>
    <row r="372" spans="1:17" x14ac:dyDescent="0.2">
      <c r="A372" s="2" t="s">
        <v>458</v>
      </c>
      <c r="B372" t="s">
        <v>611</v>
      </c>
      <c r="C372" t="s">
        <v>626</v>
      </c>
      <c r="D372" t="s">
        <v>570</v>
      </c>
      <c r="E372" t="s">
        <v>548</v>
      </c>
      <c r="F372" s="36">
        <v>34.176591375770002</v>
      </c>
      <c r="G372">
        <v>210</v>
      </c>
      <c r="H372">
        <v>1.54</v>
      </c>
      <c r="I372">
        <f t="shared" si="20"/>
        <v>323.40000000000003</v>
      </c>
      <c r="J372" s="2">
        <v>3236.3652917612171</v>
      </c>
      <c r="K372">
        <f t="shared" si="21"/>
        <v>679636.71126985562</v>
      </c>
      <c r="L372">
        <v>6.0941992912102581E-2</v>
      </c>
      <c r="M372">
        <f t="shared" si="22"/>
        <v>12.797818511541543</v>
      </c>
      <c r="N372" s="2" t="s">
        <v>576</v>
      </c>
      <c r="O372" s="2">
        <f>VLOOKUP(A372,'Coal savings'!$A$3:$K$543,10,FALSE)</f>
        <v>0</v>
      </c>
      <c r="P372" s="2">
        <f t="shared" si="23"/>
        <v>0</v>
      </c>
      <c r="Q372">
        <f>VLOOKUP(A372,'[13]Thermal generation Mar 19 - Feb'!$C$2:$D$680,2,FALSE)</f>
        <v>1396.22</v>
      </c>
    </row>
    <row r="373" spans="1:17" x14ac:dyDescent="0.2">
      <c r="A373" s="2" t="s">
        <v>513</v>
      </c>
      <c r="B373" t="s">
        <v>616</v>
      </c>
      <c r="C373" t="s">
        <v>628</v>
      </c>
      <c r="D373" t="s">
        <v>570</v>
      </c>
      <c r="E373" t="s">
        <v>549</v>
      </c>
      <c r="F373" s="36">
        <v>37.338809034907598</v>
      </c>
      <c r="G373">
        <v>110</v>
      </c>
      <c r="H373">
        <v>3</v>
      </c>
      <c r="I373">
        <f t="shared" si="20"/>
        <v>330</v>
      </c>
      <c r="J373" s="2">
        <v>3466.989510478486</v>
      </c>
      <c r="K373">
        <f t="shared" si="21"/>
        <v>381368.84615263343</v>
      </c>
      <c r="L373">
        <v>0.10601035704694049</v>
      </c>
      <c r="M373">
        <f t="shared" si="22"/>
        <v>11.661139275163455</v>
      </c>
      <c r="N373" s="2" t="s">
        <v>576</v>
      </c>
      <c r="O373" s="2">
        <f>VLOOKUP(A373,'Coal savings'!$A$3:$K$543,10,FALSE)</f>
        <v>0</v>
      </c>
      <c r="P373" s="2">
        <f t="shared" si="23"/>
        <v>0</v>
      </c>
      <c r="Q373">
        <f>VLOOKUP(A373,'[13]Thermal generation Mar 19 - Feb'!$C$2:$D$680,2,FALSE)</f>
        <v>399.26</v>
      </c>
    </row>
    <row r="374" spans="1:17" x14ac:dyDescent="0.2">
      <c r="A374" s="2" t="s">
        <v>510</v>
      </c>
      <c r="B374" t="s">
        <v>616</v>
      </c>
      <c r="C374" t="s">
        <v>628</v>
      </c>
      <c r="D374" t="s">
        <v>570</v>
      </c>
      <c r="E374" t="s">
        <v>549</v>
      </c>
      <c r="F374" s="36">
        <v>36.843258042436602</v>
      </c>
      <c r="G374">
        <v>110</v>
      </c>
      <c r="H374">
        <v>3</v>
      </c>
      <c r="I374">
        <f t="shared" si="20"/>
        <v>330</v>
      </c>
      <c r="J374" s="2">
        <v>3409.4466203515822</v>
      </c>
      <c r="K374">
        <f t="shared" si="21"/>
        <v>375039.12823867402</v>
      </c>
      <c r="L374">
        <v>0.10601035704694049</v>
      </c>
      <c r="M374">
        <f t="shared" si="22"/>
        <v>11.661139275163455</v>
      </c>
      <c r="N374" s="2" t="s">
        <v>576</v>
      </c>
      <c r="O374" s="2">
        <f>VLOOKUP(A374,'Coal savings'!$A$3:$K$543,10,FALSE)</f>
        <v>0</v>
      </c>
      <c r="P374" s="2">
        <f t="shared" si="23"/>
        <v>0</v>
      </c>
      <c r="Q374">
        <f>VLOOKUP(A374,'[13]Thermal generation Mar 19 - Feb'!$C$2:$D$680,2,FALSE)</f>
        <v>393.13</v>
      </c>
    </row>
    <row r="375" spans="1:17" x14ac:dyDescent="0.2">
      <c r="A375" s="2" t="s">
        <v>443</v>
      </c>
      <c r="B375" t="s">
        <v>616</v>
      </c>
      <c r="C375" t="s">
        <v>628</v>
      </c>
      <c r="D375" t="s">
        <v>570</v>
      </c>
      <c r="E375" t="s">
        <v>548</v>
      </c>
      <c r="F375" s="36">
        <v>31.671457905544099</v>
      </c>
      <c r="G375">
        <v>210</v>
      </c>
      <c r="H375">
        <v>3</v>
      </c>
      <c r="I375">
        <f t="shared" si="20"/>
        <v>630</v>
      </c>
      <c r="J375" s="2">
        <v>3239.2932649719605</v>
      </c>
      <c r="K375">
        <f t="shared" si="21"/>
        <v>680251.58564411174</v>
      </c>
      <c r="L375">
        <v>0.10601035704694049</v>
      </c>
      <c r="M375">
        <f t="shared" si="22"/>
        <v>22.262174979857502</v>
      </c>
      <c r="N375" s="2" t="s">
        <v>576</v>
      </c>
      <c r="O375" s="2">
        <f>VLOOKUP(A375,'Coal savings'!$A$3:$K$543,10,FALSE)</f>
        <v>0</v>
      </c>
      <c r="P375" s="2">
        <f t="shared" si="23"/>
        <v>0</v>
      </c>
      <c r="Q375">
        <f>VLOOKUP(A375,'[13]Thermal generation Mar 19 - Feb'!$C$2:$D$680,2,FALSE)</f>
        <v>1090.79</v>
      </c>
    </row>
    <row r="376" spans="1:17" x14ac:dyDescent="0.2">
      <c r="A376" s="2" t="s">
        <v>435</v>
      </c>
      <c r="B376" t="s">
        <v>616</v>
      </c>
      <c r="C376" t="s">
        <v>628</v>
      </c>
      <c r="D376" t="s">
        <v>570</v>
      </c>
      <c r="E376" t="s">
        <v>548</v>
      </c>
      <c r="F376" s="36">
        <v>31.008898015058101</v>
      </c>
      <c r="G376">
        <v>210</v>
      </c>
      <c r="H376">
        <v>3</v>
      </c>
      <c r="I376">
        <f t="shared" si="20"/>
        <v>630</v>
      </c>
      <c r="J376" s="2">
        <v>3231.8695694253006</v>
      </c>
      <c r="K376">
        <f t="shared" si="21"/>
        <v>678692.60957931308</v>
      </c>
      <c r="L376">
        <v>0.10601035704694049</v>
      </c>
      <c r="M376">
        <f t="shared" si="22"/>
        <v>22.262174979857502</v>
      </c>
      <c r="N376" s="2" t="s">
        <v>576</v>
      </c>
      <c r="O376" s="2">
        <f>VLOOKUP(A376,'Coal savings'!$A$3:$K$543,10,FALSE)</f>
        <v>0</v>
      </c>
      <c r="P376" s="2">
        <f t="shared" si="23"/>
        <v>0</v>
      </c>
      <c r="Q376">
        <f>VLOOKUP(A376,'[13]Thermal generation Mar 19 - Feb'!$C$2:$D$680,2,FALSE)</f>
        <v>1144.03999999999</v>
      </c>
    </row>
    <row r="377" spans="1:17" x14ac:dyDescent="0.2">
      <c r="A377" s="2" t="s">
        <v>406</v>
      </c>
      <c r="B377" t="s">
        <v>616</v>
      </c>
      <c r="C377" t="s">
        <v>628</v>
      </c>
      <c r="D377" t="s">
        <v>570</v>
      </c>
      <c r="E377" t="s">
        <v>547</v>
      </c>
      <c r="F377" s="36">
        <v>26.176591375769998</v>
      </c>
      <c r="G377">
        <v>210</v>
      </c>
      <c r="H377">
        <v>3</v>
      </c>
      <c r="I377">
        <f t="shared" si="20"/>
        <v>630</v>
      </c>
      <c r="J377" s="2">
        <v>3187.839386182432</v>
      </c>
      <c r="K377">
        <f t="shared" si="21"/>
        <v>669446.27109831071</v>
      </c>
      <c r="L377">
        <v>0.10601035704694049</v>
      </c>
      <c r="M377">
        <f t="shared" si="22"/>
        <v>22.262174979857502</v>
      </c>
      <c r="N377" s="2" t="s">
        <v>576</v>
      </c>
      <c r="O377" s="2">
        <f>VLOOKUP(A377,'Coal savings'!$A$3:$K$543,10,FALSE)</f>
        <v>0</v>
      </c>
      <c r="P377" s="2">
        <f t="shared" si="23"/>
        <v>0</v>
      </c>
      <c r="Q377">
        <f>VLOOKUP(A377,'[13]Thermal generation Mar 19 - Feb'!$C$2:$D$680,2,FALSE)</f>
        <v>1073.73999999999</v>
      </c>
    </row>
    <row r="378" spans="1:17" x14ac:dyDescent="0.2">
      <c r="A378" s="2" t="s">
        <v>351</v>
      </c>
      <c r="B378" t="s">
        <v>616</v>
      </c>
      <c r="C378" t="s">
        <v>628</v>
      </c>
      <c r="D378" t="s">
        <v>570</v>
      </c>
      <c r="E378" t="s">
        <v>545</v>
      </c>
      <c r="F378" s="36">
        <v>16.843258042436599</v>
      </c>
      <c r="G378">
        <v>195</v>
      </c>
      <c r="H378">
        <v>3</v>
      </c>
      <c r="I378">
        <f t="shared" si="20"/>
        <v>585</v>
      </c>
      <c r="J378" s="2">
        <v>3091.4951384416963</v>
      </c>
      <c r="K378">
        <f t="shared" si="21"/>
        <v>602841.55199613073</v>
      </c>
      <c r="L378">
        <v>0.10601035704694049</v>
      </c>
      <c r="M378">
        <f t="shared" si="22"/>
        <v>20.672019624153396</v>
      </c>
      <c r="N378" s="2" t="s">
        <v>576</v>
      </c>
      <c r="O378" s="2">
        <f>VLOOKUP(A378,'Coal savings'!$A$3:$K$543,10,FALSE)</f>
        <v>0</v>
      </c>
      <c r="P378" s="2">
        <f t="shared" si="23"/>
        <v>0</v>
      </c>
      <c r="Q378">
        <f>VLOOKUP(A378,'[13]Thermal generation Mar 19 - Feb'!$C$2:$D$680,2,FALSE)</f>
        <v>1223.0899999999999</v>
      </c>
    </row>
    <row r="379" spans="1:17" x14ac:dyDescent="0.2">
      <c r="A379" s="2" t="s">
        <v>305</v>
      </c>
      <c r="B379" t="s">
        <v>616</v>
      </c>
      <c r="C379" t="s">
        <v>628</v>
      </c>
      <c r="D379" t="s">
        <v>570</v>
      </c>
      <c r="E379" t="s">
        <v>544</v>
      </c>
      <c r="F379" s="36">
        <v>10.757015742642</v>
      </c>
      <c r="G379">
        <v>195</v>
      </c>
      <c r="H379">
        <v>3</v>
      </c>
      <c r="I379">
        <f t="shared" si="20"/>
        <v>585</v>
      </c>
      <c r="J379" s="2">
        <v>3033.4259706279008</v>
      </c>
      <c r="K379">
        <f t="shared" si="21"/>
        <v>591518.06427244062</v>
      </c>
      <c r="L379">
        <v>0.10601035704694049</v>
      </c>
      <c r="M379">
        <f t="shared" si="22"/>
        <v>20.672019624153396</v>
      </c>
      <c r="N379" s="2" t="s">
        <v>576</v>
      </c>
      <c r="O379" s="2">
        <f>VLOOKUP(A379,'Coal savings'!$A$3:$K$543,10,FALSE)</f>
        <v>0</v>
      </c>
      <c r="P379" s="2">
        <f t="shared" si="23"/>
        <v>0</v>
      </c>
      <c r="Q379">
        <f>VLOOKUP(A379,'[13]Thermal generation Mar 19 - Feb'!$C$2:$D$680,2,FALSE)</f>
        <v>1367.17</v>
      </c>
    </row>
    <row r="380" spans="1:17" x14ac:dyDescent="0.2">
      <c r="A380" s="2" t="s">
        <v>369</v>
      </c>
      <c r="B380" t="s">
        <v>610</v>
      </c>
      <c r="C380" t="s">
        <v>627</v>
      </c>
      <c r="D380" t="s">
        <v>570</v>
      </c>
      <c r="E380" t="s">
        <v>546</v>
      </c>
      <c r="F380" s="36">
        <v>22.179329226557101</v>
      </c>
      <c r="G380">
        <v>250</v>
      </c>
      <c r="H380">
        <v>2.74</v>
      </c>
      <c r="I380">
        <f t="shared" si="20"/>
        <v>685</v>
      </c>
      <c r="J380" s="2">
        <v>3073.0400953759022</v>
      </c>
      <c r="K380">
        <f t="shared" si="21"/>
        <v>768260.0238439755</v>
      </c>
      <c r="L380">
        <v>7.0000000000000007E-2</v>
      </c>
      <c r="M380">
        <f t="shared" si="22"/>
        <v>17.5</v>
      </c>
      <c r="N380" s="2" t="s">
        <v>576</v>
      </c>
      <c r="O380" s="2">
        <f>VLOOKUP(A380,'Coal savings'!$A$3:$K$543,10,FALSE)</f>
        <v>0</v>
      </c>
      <c r="P380" s="2">
        <f t="shared" si="23"/>
        <v>0</v>
      </c>
      <c r="Q380">
        <f>VLOOKUP(A380,'[13]Thermal generation Mar 19 - Feb'!$C$2:$D$680,2,FALSE)</f>
        <v>1899.38</v>
      </c>
    </row>
    <row r="381" spans="1:17" x14ac:dyDescent="0.2">
      <c r="A381" s="2" t="s">
        <v>379</v>
      </c>
      <c r="B381" t="s">
        <v>610</v>
      </c>
      <c r="C381" t="s">
        <v>627</v>
      </c>
      <c r="D381" t="s">
        <v>570</v>
      </c>
      <c r="E381" t="s">
        <v>546</v>
      </c>
      <c r="F381" s="36">
        <v>23.104722792607799</v>
      </c>
      <c r="G381">
        <v>250</v>
      </c>
      <c r="H381">
        <v>2.74</v>
      </c>
      <c r="I381">
        <f t="shared" si="20"/>
        <v>685</v>
      </c>
      <c r="J381" s="2">
        <v>3077.3501845957476</v>
      </c>
      <c r="K381">
        <f t="shared" si="21"/>
        <v>769337.54614893685</v>
      </c>
      <c r="L381">
        <v>7.0000000000000007E-2</v>
      </c>
      <c r="M381">
        <f t="shared" si="22"/>
        <v>17.5</v>
      </c>
      <c r="N381" s="2" t="s">
        <v>576</v>
      </c>
      <c r="O381" s="2">
        <f>VLOOKUP(A381,'Coal savings'!$A$3:$K$543,10,FALSE)</f>
        <v>0</v>
      </c>
      <c r="P381" s="2">
        <f t="shared" si="23"/>
        <v>0</v>
      </c>
      <c r="Q381">
        <f>VLOOKUP(A381,'[13]Thermal generation Mar 19 - Feb'!$C$2:$D$680,2,FALSE)</f>
        <v>1740.19999999999</v>
      </c>
    </row>
    <row r="382" spans="1:17" x14ac:dyDescent="0.2">
      <c r="A382" s="2" t="s">
        <v>538</v>
      </c>
      <c r="B382" t="s">
        <v>610</v>
      </c>
      <c r="C382" t="s">
        <v>627</v>
      </c>
      <c r="D382" t="s">
        <v>570</v>
      </c>
      <c r="E382" t="s">
        <v>551</v>
      </c>
      <c r="F382" s="36">
        <v>53.834360027378501</v>
      </c>
      <c r="G382">
        <v>60</v>
      </c>
      <c r="H382">
        <v>3.1</v>
      </c>
      <c r="I382">
        <f t="shared" si="20"/>
        <v>186</v>
      </c>
      <c r="J382" s="2">
        <v>3543.6932164098407</v>
      </c>
      <c r="K382">
        <f t="shared" si="21"/>
        <v>212621.59298459045</v>
      </c>
      <c r="L382">
        <v>0.10678657853863342</v>
      </c>
      <c r="M382">
        <f t="shared" si="22"/>
        <v>6.4071947123180051</v>
      </c>
      <c r="N382" s="2" t="s">
        <v>576</v>
      </c>
      <c r="O382" s="2">
        <f>VLOOKUP(A382,'Coal savings'!$A$3:$K$543,10,FALSE)</f>
        <v>0</v>
      </c>
      <c r="P382" s="2">
        <f t="shared" si="23"/>
        <v>0</v>
      </c>
      <c r="Q382">
        <f>VLOOKUP(A382,'[13]Thermal generation Mar 19 - Feb'!$C$2:$D$680,2,FALSE)</f>
        <v>336.36</v>
      </c>
    </row>
    <row r="383" spans="1:17" x14ac:dyDescent="0.2">
      <c r="A383" s="2" t="s">
        <v>536</v>
      </c>
      <c r="B383" t="s">
        <v>610</v>
      </c>
      <c r="C383" t="s">
        <v>627</v>
      </c>
      <c r="D383" t="s">
        <v>570</v>
      </c>
      <c r="E383" t="s">
        <v>551</v>
      </c>
      <c r="F383" s="36">
        <v>53.4346338124572</v>
      </c>
      <c r="G383">
        <v>60</v>
      </c>
      <c r="H383">
        <v>3.1</v>
      </c>
      <c r="I383">
        <f t="shared" si="20"/>
        <v>186</v>
      </c>
      <c r="J383" s="2">
        <v>3528.9357210722669</v>
      </c>
      <c r="K383">
        <f t="shared" si="21"/>
        <v>211736.14326433602</v>
      </c>
      <c r="L383">
        <v>0.10678657853863342</v>
      </c>
      <c r="M383">
        <f t="shared" si="22"/>
        <v>6.4071947123180051</v>
      </c>
      <c r="N383" s="2" t="s">
        <v>576</v>
      </c>
      <c r="O383" s="2">
        <f>VLOOKUP(A383,'Coal savings'!$A$3:$K$543,10,FALSE)</f>
        <v>0</v>
      </c>
      <c r="P383" s="2">
        <f t="shared" si="23"/>
        <v>0</v>
      </c>
      <c r="Q383">
        <f>VLOOKUP(A383,'[13]Thermal generation Mar 19 - Feb'!$C$2:$D$680,2,FALSE)</f>
        <v>345.26999999999902</v>
      </c>
    </row>
    <row r="384" spans="1:17" x14ac:dyDescent="0.2">
      <c r="A384" s="2" t="s">
        <v>534</v>
      </c>
      <c r="B384" t="s">
        <v>610</v>
      </c>
      <c r="C384" t="s">
        <v>627</v>
      </c>
      <c r="D384" t="s">
        <v>570</v>
      </c>
      <c r="E384" t="s">
        <v>551</v>
      </c>
      <c r="F384" s="36">
        <v>52.824093086926702</v>
      </c>
      <c r="G384">
        <v>60</v>
      </c>
      <c r="H384">
        <v>3.1</v>
      </c>
      <c r="I384">
        <f t="shared" si="20"/>
        <v>186</v>
      </c>
      <c r="J384" s="2">
        <v>3513.8062818640237</v>
      </c>
      <c r="K384">
        <f t="shared" si="21"/>
        <v>210828.37691184142</v>
      </c>
      <c r="L384">
        <v>0.10678657853863342</v>
      </c>
      <c r="M384">
        <f t="shared" si="22"/>
        <v>6.4071947123180051</v>
      </c>
      <c r="N384" s="2" t="s">
        <v>576</v>
      </c>
      <c r="O384" s="2">
        <f>VLOOKUP(A384,'Coal savings'!$A$3:$K$543,10,FALSE)</f>
        <v>0</v>
      </c>
      <c r="P384" s="2">
        <f t="shared" si="23"/>
        <v>0</v>
      </c>
      <c r="Q384">
        <f>VLOOKUP(A384,'[13]Thermal generation Mar 19 - Feb'!$C$2:$D$680,2,FALSE)</f>
        <v>381.14</v>
      </c>
    </row>
    <row r="385" spans="1:17" x14ac:dyDescent="0.2">
      <c r="A385" s="2" t="s">
        <v>524</v>
      </c>
      <c r="B385" t="s">
        <v>610</v>
      </c>
      <c r="C385" t="s">
        <v>627</v>
      </c>
      <c r="D385" t="s">
        <v>570</v>
      </c>
      <c r="E385" t="s">
        <v>551</v>
      </c>
      <c r="F385" s="36">
        <v>45.724845995893197</v>
      </c>
      <c r="G385">
        <v>120</v>
      </c>
      <c r="H385">
        <v>3.1</v>
      </c>
      <c r="I385">
        <f t="shared" si="20"/>
        <v>372</v>
      </c>
      <c r="J385" s="2">
        <v>3434.0584185670873</v>
      </c>
      <c r="K385">
        <f t="shared" si="21"/>
        <v>412087.01022805047</v>
      </c>
      <c r="L385">
        <v>0.10678657853863342</v>
      </c>
      <c r="M385">
        <f t="shared" si="22"/>
        <v>12.81438942463601</v>
      </c>
      <c r="N385" s="2" t="s">
        <v>576</v>
      </c>
      <c r="O385" s="2">
        <f>VLOOKUP(A385,'Coal savings'!$A$3:$K$543,10,FALSE)</f>
        <v>0</v>
      </c>
      <c r="P385" s="2">
        <f t="shared" si="23"/>
        <v>0</v>
      </c>
      <c r="Q385">
        <f>VLOOKUP(A385,'[13]Thermal generation Mar 19 - Feb'!$C$2:$D$680,2,FALSE)</f>
        <v>692.56999999999903</v>
      </c>
    </row>
    <row r="386" spans="1:17" x14ac:dyDescent="0.2">
      <c r="A386" s="2" t="s">
        <v>523</v>
      </c>
      <c r="B386" t="s">
        <v>610</v>
      </c>
      <c r="C386" t="s">
        <v>627</v>
      </c>
      <c r="D386" t="s">
        <v>570</v>
      </c>
      <c r="E386" t="s">
        <v>550</v>
      </c>
      <c r="F386" s="36">
        <v>45.3744010951403</v>
      </c>
      <c r="G386">
        <v>120</v>
      </c>
      <c r="H386">
        <v>3.1</v>
      </c>
      <c r="I386">
        <f t="shared" si="20"/>
        <v>372</v>
      </c>
      <c r="J386" s="2">
        <v>3486.0860091627842</v>
      </c>
      <c r="K386">
        <f t="shared" si="21"/>
        <v>418330.32109953411</v>
      </c>
      <c r="L386">
        <v>0.10678657853863342</v>
      </c>
      <c r="M386">
        <f t="shared" si="22"/>
        <v>12.81438942463601</v>
      </c>
      <c r="N386" s="2" t="s">
        <v>576</v>
      </c>
      <c r="O386" s="2">
        <f>VLOOKUP(A386,'Coal savings'!$A$3:$K$543,10,FALSE)</f>
        <v>0</v>
      </c>
      <c r="P386" s="2">
        <f t="shared" si="23"/>
        <v>0</v>
      </c>
    </row>
    <row r="387" spans="1:17" x14ac:dyDescent="0.2">
      <c r="A387" s="2" t="s">
        <v>521</v>
      </c>
      <c r="B387" t="s">
        <v>610</v>
      </c>
      <c r="C387" t="s">
        <v>627</v>
      </c>
      <c r="D387" t="s">
        <v>570</v>
      </c>
      <c r="E387" t="s">
        <v>550</v>
      </c>
      <c r="F387" s="36">
        <v>43.151266255989</v>
      </c>
      <c r="G387">
        <v>120</v>
      </c>
      <c r="H387">
        <v>3.1</v>
      </c>
      <c r="I387">
        <f t="shared" ref="I387:I450" si="24">H387*G387</f>
        <v>372</v>
      </c>
      <c r="J387" s="2">
        <v>3430.0546946704967</v>
      </c>
      <c r="K387">
        <f t="shared" ref="K387:K450" si="25">J387*G387</f>
        <v>411606.56336045958</v>
      </c>
      <c r="L387">
        <v>0.10678657853863342</v>
      </c>
      <c r="M387">
        <f t="shared" ref="M387:M450" si="26">L387*G387</f>
        <v>12.81438942463601</v>
      </c>
      <c r="N387" s="2" t="s">
        <v>576</v>
      </c>
      <c r="O387" s="2">
        <f>VLOOKUP(A387,'Coal savings'!$A$3:$K$543,10,FALSE)</f>
        <v>0</v>
      </c>
      <c r="P387" s="2">
        <f t="shared" ref="P387:P450" si="27">O387*G387</f>
        <v>0</v>
      </c>
      <c r="Q387">
        <f>VLOOKUP(A387,'[13]Thermal generation Mar 19 - Feb'!$C$2:$D$680,2,FALSE)</f>
        <v>625.52</v>
      </c>
    </row>
    <row r="388" spans="1:17" x14ac:dyDescent="0.2">
      <c r="A388" s="2" t="s">
        <v>519</v>
      </c>
      <c r="B388" t="s">
        <v>610</v>
      </c>
      <c r="C388" t="s">
        <v>627</v>
      </c>
      <c r="D388" t="s">
        <v>570</v>
      </c>
      <c r="E388" t="s">
        <v>550</v>
      </c>
      <c r="F388" s="36">
        <v>42.313483915126596</v>
      </c>
      <c r="G388">
        <v>120</v>
      </c>
      <c r="H388">
        <v>3.1</v>
      </c>
      <c r="I388">
        <f t="shared" si="24"/>
        <v>372</v>
      </c>
      <c r="J388" s="2">
        <v>3464.3111937307517</v>
      </c>
      <c r="K388">
        <f t="shared" si="25"/>
        <v>415717.34324769018</v>
      </c>
      <c r="L388">
        <v>0.10678657853863342</v>
      </c>
      <c r="M388">
        <f t="shared" si="26"/>
        <v>12.81438942463601</v>
      </c>
      <c r="N388" s="2" t="s">
        <v>576</v>
      </c>
      <c r="O388" s="2">
        <f>VLOOKUP(A388,'Coal savings'!$A$3:$K$543,10,FALSE)</f>
        <v>0</v>
      </c>
      <c r="P388" s="2">
        <f t="shared" si="27"/>
        <v>0</v>
      </c>
    </row>
    <row r="389" spans="1:17" x14ac:dyDescent="0.2">
      <c r="A389" s="2" t="s">
        <v>338</v>
      </c>
      <c r="B389" t="s">
        <v>634</v>
      </c>
      <c r="C389" t="s">
        <v>628</v>
      </c>
      <c r="D389" t="s">
        <v>572</v>
      </c>
      <c r="E389" t="s">
        <v>543</v>
      </c>
      <c r="F389" s="36">
        <v>8.33949349760438</v>
      </c>
      <c r="G389">
        <v>45</v>
      </c>
      <c r="H389">
        <v>3.37</v>
      </c>
      <c r="I389">
        <f t="shared" si="24"/>
        <v>151.65</v>
      </c>
      <c r="J389" s="2">
        <v>3370.0468374283687</v>
      </c>
      <c r="K389">
        <f t="shared" si="25"/>
        <v>151652.10768427659</v>
      </c>
      <c r="L389">
        <v>9.1179878523889146E-2</v>
      </c>
      <c r="M389">
        <f t="shared" si="26"/>
        <v>4.1030945335750113</v>
      </c>
      <c r="N389" s="2" t="s">
        <v>576</v>
      </c>
      <c r="O389" s="2">
        <f>VLOOKUP(A389,'Coal savings'!$A$3:$K$543,10,FALSE)</f>
        <v>0</v>
      </c>
      <c r="P389" s="2">
        <f t="shared" si="27"/>
        <v>0</v>
      </c>
      <c r="Q389">
        <f>VLOOKUP(A389,'[13]Thermal generation Mar 19 - Feb'!$C$2:$D$680,2,FALSE)</f>
        <v>68.939999999999898</v>
      </c>
    </row>
    <row r="390" spans="1:17" x14ac:dyDescent="0.2">
      <c r="A390" s="2" t="s">
        <v>335</v>
      </c>
      <c r="B390" t="s">
        <v>634</v>
      </c>
      <c r="C390" t="s">
        <v>628</v>
      </c>
      <c r="D390" t="s">
        <v>572</v>
      </c>
      <c r="E390" t="s">
        <v>543</v>
      </c>
      <c r="F390" s="36">
        <v>8.2546201232032796</v>
      </c>
      <c r="G390">
        <v>45</v>
      </c>
      <c r="H390">
        <v>3.37</v>
      </c>
      <c r="I390">
        <f t="shared" si="24"/>
        <v>151.65</v>
      </c>
      <c r="J390" s="2">
        <v>3378.5201584292058</v>
      </c>
      <c r="K390">
        <f t="shared" si="25"/>
        <v>152033.40712931426</v>
      </c>
      <c r="L390">
        <v>9.1179878523889146E-2</v>
      </c>
      <c r="M390">
        <f t="shared" si="26"/>
        <v>4.1030945335750113</v>
      </c>
      <c r="N390" s="2" t="s">
        <v>576</v>
      </c>
      <c r="O390" s="2">
        <f>VLOOKUP(A390,'Coal savings'!$A$3:$K$543,10,FALSE)</f>
        <v>0</v>
      </c>
      <c r="P390" s="2">
        <f t="shared" si="27"/>
        <v>0</v>
      </c>
      <c r="Q390">
        <f>VLOOKUP(A390,'[13]Thermal generation Mar 19 - Feb'!$C$2:$D$680,2,FALSE)</f>
        <v>56.2</v>
      </c>
    </row>
    <row r="391" spans="1:17" x14ac:dyDescent="0.2">
      <c r="A391" s="2" t="s">
        <v>343</v>
      </c>
      <c r="B391" t="s">
        <v>634</v>
      </c>
      <c r="C391" t="s">
        <v>628</v>
      </c>
      <c r="D391" t="s">
        <v>572</v>
      </c>
      <c r="E391" t="s">
        <v>543</v>
      </c>
      <c r="F391" s="36">
        <v>8.5065023956194299</v>
      </c>
      <c r="G391">
        <v>45</v>
      </c>
      <c r="H391">
        <v>3.68</v>
      </c>
      <c r="I391">
        <f t="shared" si="24"/>
        <v>165.6</v>
      </c>
      <c r="J391" s="2">
        <v>3391.3679754880209</v>
      </c>
      <c r="K391">
        <f t="shared" si="25"/>
        <v>152611.55889696095</v>
      </c>
      <c r="L391">
        <v>0.10171085784825233</v>
      </c>
      <c r="M391">
        <f t="shared" si="26"/>
        <v>4.5769886031713547</v>
      </c>
      <c r="N391" s="2" t="s">
        <v>576</v>
      </c>
      <c r="O391" s="2">
        <f>VLOOKUP(A391,'Coal savings'!$A$3:$K$543,10,FALSE)</f>
        <v>0</v>
      </c>
      <c r="P391" s="2">
        <f t="shared" si="27"/>
        <v>0</v>
      </c>
      <c r="Q391">
        <f>VLOOKUP(A391,'[13]Thermal generation Mar 19 - Feb'!$C$2:$D$680,2,FALSE)</f>
        <v>58.89</v>
      </c>
    </row>
    <row r="392" spans="1:17" x14ac:dyDescent="0.2">
      <c r="A392" s="2" t="s">
        <v>340</v>
      </c>
      <c r="B392" t="s">
        <v>634</v>
      </c>
      <c r="C392" t="s">
        <v>628</v>
      </c>
      <c r="D392" t="s">
        <v>572</v>
      </c>
      <c r="E392" t="s">
        <v>543</v>
      </c>
      <c r="F392" s="36">
        <v>8.33949349760438</v>
      </c>
      <c r="G392">
        <v>45</v>
      </c>
      <c r="H392">
        <v>3.68</v>
      </c>
      <c r="I392">
        <f t="shared" si="24"/>
        <v>165.6</v>
      </c>
      <c r="J392" s="2">
        <v>3393.9555572907116</v>
      </c>
      <c r="K392">
        <f t="shared" si="25"/>
        <v>152728.00007808203</v>
      </c>
      <c r="L392">
        <v>0.10171085784825233</v>
      </c>
      <c r="M392">
        <f t="shared" si="26"/>
        <v>4.5769886031713547</v>
      </c>
      <c r="N392" s="2" t="s">
        <v>576</v>
      </c>
      <c r="O392" s="2">
        <f>VLOOKUP(A392,'Coal savings'!$A$3:$K$543,10,FALSE)</f>
        <v>0</v>
      </c>
      <c r="P392" s="2">
        <f t="shared" si="27"/>
        <v>0</v>
      </c>
      <c r="Q392">
        <f>VLOOKUP(A392,'[13]Thermal generation Mar 19 - Feb'!$C$2:$D$680,2,FALSE)</f>
        <v>43.069999999999901</v>
      </c>
    </row>
    <row r="393" spans="1:17" x14ac:dyDescent="0.2">
      <c r="A393" s="2" t="s">
        <v>393</v>
      </c>
      <c r="B393" t="s">
        <v>621</v>
      </c>
      <c r="C393" t="s">
        <v>625</v>
      </c>
      <c r="D393" t="s">
        <v>571</v>
      </c>
      <c r="E393" t="s">
        <v>546</v>
      </c>
      <c r="F393" s="36">
        <v>24.175222450376399</v>
      </c>
      <c r="G393">
        <v>210</v>
      </c>
      <c r="H393">
        <v>2.59</v>
      </c>
      <c r="I393">
        <f t="shared" si="24"/>
        <v>543.9</v>
      </c>
      <c r="J393" s="2">
        <v>3208.1652363702683</v>
      </c>
      <c r="K393">
        <f t="shared" si="25"/>
        <v>673714.69963775633</v>
      </c>
      <c r="L393">
        <v>8.3678646324733194E-2</v>
      </c>
      <c r="M393">
        <f t="shared" si="26"/>
        <v>17.57251572819397</v>
      </c>
      <c r="N393" s="2" t="s">
        <v>576</v>
      </c>
      <c r="O393" s="2">
        <f>VLOOKUP(A393,'Coal savings'!$A$3:$K$543,10,FALSE)</f>
        <v>0</v>
      </c>
      <c r="P393" s="2">
        <f t="shared" si="27"/>
        <v>0</v>
      </c>
      <c r="Q393">
        <f>VLOOKUP(A393,'[13]Thermal generation Mar 19 - Feb'!$C$2:$D$680,2,FALSE)</f>
        <v>1109.8499999999999</v>
      </c>
    </row>
    <row r="394" spans="1:17" x14ac:dyDescent="0.2">
      <c r="A394" s="2" t="s">
        <v>387</v>
      </c>
      <c r="B394" t="s">
        <v>621</v>
      </c>
      <c r="C394" t="s">
        <v>625</v>
      </c>
      <c r="D394" t="s">
        <v>571</v>
      </c>
      <c r="E394" t="s">
        <v>546</v>
      </c>
      <c r="F394" s="36">
        <v>23.175906913073199</v>
      </c>
      <c r="G394">
        <v>210</v>
      </c>
      <c r="H394">
        <v>2.59</v>
      </c>
      <c r="I394">
        <f t="shared" si="24"/>
        <v>543.9</v>
      </c>
      <c r="J394" s="2">
        <v>3231.7258186118938</v>
      </c>
      <c r="K394">
        <f t="shared" si="25"/>
        <v>678662.42190849769</v>
      </c>
      <c r="L394">
        <v>8.3678646324733194E-2</v>
      </c>
      <c r="M394">
        <f t="shared" si="26"/>
        <v>17.57251572819397</v>
      </c>
      <c r="N394" s="2" t="s">
        <v>576</v>
      </c>
      <c r="O394" s="2">
        <f>VLOOKUP(A394,'Coal savings'!$A$3:$K$543,10,FALSE)</f>
        <v>0</v>
      </c>
      <c r="P394" s="2">
        <f t="shared" si="27"/>
        <v>0</v>
      </c>
      <c r="Q394">
        <f>VLOOKUP(A394,'[13]Thermal generation Mar 19 - Feb'!$C$2:$D$680,2,FALSE)</f>
        <v>595.13</v>
      </c>
    </row>
    <row r="395" spans="1:17" x14ac:dyDescent="0.2">
      <c r="A395" s="2" t="s">
        <v>382</v>
      </c>
      <c r="B395" t="s">
        <v>621</v>
      </c>
      <c r="C395" t="s">
        <v>625</v>
      </c>
      <c r="D395" t="s">
        <v>571</v>
      </c>
      <c r="E395" t="s">
        <v>546</v>
      </c>
      <c r="F395" s="36">
        <v>22.176591375769998</v>
      </c>
      <c r="G395">
        <v>210</v>
      </c>
      <c r="H395">
        <v>2.59</v>
      </c>
      <c r="I395">
        <f t="shared" si="24"/>
        <v>543.9</v>
      </c>
      <c r="J395" s="2">
        <v>3208.9296544774984</v>
      </c>
      <c r="K395">
        <f t="shared" si="25"/>
        <v>673875.22744027467</v>
      </c>
      <c r="L395">
        <v>8.3678646324733194E-2</v>
      </c>
      <c r="M395">
        <f t="shared" si="26"/>
        <v>17.57251572819397</v>
      </c>
      <c r="N395" s="2" t="s">
        <v>576</v>
      </c>
      <c r="O395" s="2">
        <f>VLOOKUP(A395,'Coal savings'!$A$3:$K$543,10,FALSE)</f>
        <v>0</v>
      </c>
      <c r="P395" s="2">
        <f t="shared" si="27"/>
        <v>0</v>
      </c>
      <c r="Q395">
        <f>VLOOKUP(A395,'[13]Thermal generation Mar 19 - Feb'!$C$2:$D$680,2,FALSE)</f>
        <v>1125.95999999999</v>
      </c>
    </row>
    <row r="396" spans="1:17" x14ac:dyDescent="0.2">
      <c r="A396" s="2" t="s">
        <v>337</v>
      </c>
      <c r="B396" t="s">
        <v>621</v>
      </c>
      <c r="C396" t="s">
        <v>625</v>
      </c>
      <c r="D396" t="s">
        <v>571</v>
      </c>
      <c r="E396" t="s">
        <v>545</v>
      </c>
      <c r="F396" s="36">
        <v>15.589322381930099</v>
      </c>
      <c r="G396">
        <v>210</v>
      </c>
      <c r="H396">
        <v>2.59</v>
      </c>
      <c r="I396">
        <f t="shared" si="24"/>
        <v>543.9</v>
      </c>
      <c r="J396" s="2">
        <v>3146.7128723512287</v>
      </c>
      <c r="K396">
        <f t="shared" si="25"/>
        <v>660809.70319375803</v>
      </c>
      <c r="L396">
        <v>8.3678646324733194E-2</v>
      </c>
      <c r="M396">
        <f t="shared" si="26"/>
        <v>17.57251572819397</v>
      </c>
      <c r="N396" s="2" t="s">
        <v>576</v>
      </c>
      <c r="O396" s="2">
        <f>VLOOKUP(A396,'Coal savings'!$A$3:$K$543,10,FALSE)</f>
        <v>0</v>
      </c>
      <c r="P396" s="2">
        <f t="shared" si="27"/>
        <v>0</v>
      </c>
      <c r="Q396">
        <f>VLOOKUP(A396,'[13]Thermal generation Mar 19 - Feb'!$C$2:$D$680,2,FALSE)</f>
        <v>1081.8</v>
      </c>
    </row>
    <row r="397" spans="1:17" x14ac:dyDescent="0.2">
      <c r="A397" s="2" t="s">
        <v>299</v>
      </c>
      <c r="B397" t="s">
        <v>621</v>
      </c>
      <c r="C397" t="s">
        <v>625</v>
      </c>
      <c r="D397" t="s">
        <v>571</v>
      </c>
      <c r="E397" t="s">
        <v>544</v>
      </c>
      <c r="F397" s="36">
        <v>12.5913757700205</v>
      </c>
      <c r="G397">
        <v>250</v>
      </c>
      <c r="H397">
        <v>2.59</v>
      </c>
      <c r="I397">
        <f t="shared" si="24"/>
        <v>647.5</v>
      </c>
      <c r="J397" s="2">
        <v>3069.7091801062388</v>
      </c>
      <c r="K397">
        <f t="shared" si="25"/>
        <v>767427.29502655973</v>
      </c>
      <c r="L397">
        <v>8.3678646324733194E-2</v>
      </c>
      <c r="M397">
        <f t="shared" si="26"/>
        <v>20.919661581183298</v>
      </c>
      <c r="N397" s="2" t="s">
        <v>576</v>
      </c>
      <c r="O397" s="2">
        <f>VLOOKUP(A397,'Coal savings'!$A$3:$K$543,10,FALSE)</f>
        <v>0</v>
      </c>
      <c r="P397" s="2">
        <f t="shared" si="27"/>
        <v>0</v>
      </c>
      <c r="Q397">
        <f>VLOOKUP(A397,'[13]Thermal generation Mar 19 - Feb'!$C$2:$D$680,2,FALSE)</f>
        <v>1749.9199999999901</v>
      </c>
    </row>
    <row r="398" spans="1:17" x14ac:dyDescent="0.2">
      <c r="A398" s="2" t="s">
        <v>307</v>
      </c>
      <c r="B398" t="s">
        <v>621</v>
      </c>
      <c r="C398" t="s">
        <v>625</v>
      </c>
      <c r="D398" t="s">
        <v>571</v>
      </c>
      <c r="E398" t="s">
        <v>544</v>
      </c>
      <c r="F398" s="36">
        <v>13.1772758384668</v>
      </c>
      <c r="G398">
        <v>250</v>
      </c>
      <c r="H398">
        <v>2.59</v>
      </c>
      <c r="I398">
        <f t="shared" si="24"/>
        <v>647.5</v>
      </c>
      <c r="J398" s="2">
        <v>3049.4701834109178</v>
      </c>
      <c r="K398">
        <f t="shared" si="25"/>
        <v>762367.54585272947</v>
      </c>
      <c r="L398">
        <v>8.3678646324733194E-2</v>
      </c>
      <c r="M398">
        <f t="shared" si="26"/>
        <v>20.919661581183298</v>
      </c>
      <c r="N398" s="2" t="s">
        <v>576</v>
      </c>
      <c r="O398" s="2">
        <f>VLOOKUP(A398,'Coal savings'!$A$3:$K$543,10,FALSE)</f>
        <v>0</v>
      </c>
      <c r="P398" s="2">
        <f t="shared" si="27"/>
        <v>0</v>
      </c>
      <c r="Q398">
        <f>VLOOKUP(A398,'[13]Thermal generation Mar 19 - Feb'!$C$2:$D$680,2,FALSE)</f>
        <v>1786.1399999999901</v>
      </c>
    </row>
    <row r="399" spans="1:17" x14ac:dyDescent="0.2">
      <c r="A399" s="2" t="s">
        <v>452</v>
      </c>
      <c r="B399" t="s">
        <v>622</v>
      </c>
      <c r="C399" t="s">
        <v>627</v>
      </c>
      <c r="D399" t="s">
        <v>570</v>
      </c>
      <c r="E399" t="s">
        <v>548</v>
      </c>
      <c r="F399" s="36">
        <v>33.338809034907598</v>
      </c>
      <c r="G399">
        <v>210</v>
      </c>
      <c r="H399">
        <v>3.6</v>
      </c>
      <c r="I399">
        <f t="shared" si="24"/>
        <v>756</v>
      </c>
      <c r="J399" s="2">
        <v>3318.2975417372099</v>
      </c>
      <c r="K399">
        <f t="shared" si="25"/>
        <v>696842.4837648141</v>
      </c>
      <c r="L399">
        <v>7.9545486780113542E-2</v>
      </c>
      <c r="M399">
        <f t="shared" si="26"/>
        <v>16.704552223823843</v>
      </c>
      <c r="N399" s="2" t="s">
        <v>576</v>
      </c>
      <c r="O399" s="2">
        <f>VLOOKUP(A399,'Coal savings'!$A$3:$K$543,10,FALSE)</f>
        <v>0</v>
      </c>
      <c r="P399" s="2">
        <f t="shared" si="27"/>
        <v>0</v>
      </c>
      <c r="Q399">
        <f>VLOOKUP(A399,'[13]Thermal generation Mar 19 - Feb'!$C$2:$D$680,2,FALSE)</f>
        <v>1025.69</v>
      </c>
    </row>
    <row r="400" spans="1:17" x14ac:dyDescent="0.2">
      <c r="A400" s="2" t="s">
        <v>447</v>
      </c>
      <c r="B400" t="s">
        <v>622</v>
      </c>
      <c r="C400" t="s">
        <v>627</v>
      </c>
      <c r="D400" t="s">
        <v>570</v>
      </c>
      <c r="E400" t="s">
        <v>548</v>
      </c>
      <c r="F400" s="36">
        <v>32.4243668720054</v>
      </c>
      <c r="G400">
        <v>210</v>
      </c>
      <c r="H400">
        <v>3.6</v>
      </c>
      <c r="I400">
        <f t="shared" si="24"/>
        <v>756</v>
      </c>
      <c r="J400" s="2">
        <v>3283.2788845943596</v>
      </c>
      <c r="K400">
        <f t="shared" si="25"/>
        <v>689488.56576481555</v>
      </c>
      <c r="L400">
        <v>7.9545486780113542E-2</v>
      </c>
      <c r="M400">
        <f t="shared" si="26"/>
        <v>16.704552223823843</v>
      </c>
      <c r="N400" s="2" t="s">
        <v>576</v>
      </c>
      <c r="O400" s="2">
        <f>VLOOKUP(A400,'Coal savings'!$A$3:$K$543,10,FALSE)</f>
        <v>0</v>
      </c>
      <c r="P400" s="2">
        <f t="shared" si="27"/>
        <v>0</v>
      </c>
      <c r="Q400">
        <f>VLOOKUP(A400,'[13]Thermal generation Mar 19 - Feb'!$C$2:$D$680,2,FALSE)</f>
        <v>1192.6799999999901</v>
      </c>
    </row>
    <row r="401" spans="1:17" x14ac:dyDescent="0.2">
      <c r="A401" s="2" t="s">
        <v>436</v>
      </c>
      <c r="B401" t="s">
        <v>622</v>
      </c>
      <c r="C401" t="s">
        <v>627</v>
      </c>
      <c r="D401" t="s">
        <v>570</v>
      </c>
      <c r="E401" t="s">
        <v>548</v>
      </c>
      <c r="F401" s="36">
        <v>31.175906913073199</v>
      </c>
      <c r="G401">
        <v>210</v>
      </c>
      <c r="H401">
        <v>3.6</v>
      </c>
      <c r="I401">
        <f t="shared" si="24"/>
        <v>756</v>
      </c>
      <c r="J401" s="2">
        <v>3266.6918283117943</v>
      </c>
      <c r="K401">
        <f t="shared" si="25"/>
        <v>686005.28394547675</v>
      </c>
      <c r="L401">
        <v>7.9545486780113542E-2</v>
      </c>
      <c r="M401">
        <f t="shared" si="26"/>
        <v>16.704552223823843</v>
      </c>
      <c r="N401" s="2" t="s">
        <v>576</v>
      </c>
      <c r="O401" s="2">
        <f>VLOOKUP(A401,'Coal savings'!$A$3:$K$543,10,FALSE)</f>
        <v>0</v>
      </c>
      <c r="P401" s="2">
        <f t="shared" si="27"/>
        <v>0</v>
      </c>
      <c r="Q401">
        <f>VLOOKUP(A401,'[13]Thermal generation Mar 19 - Feb'!$C$2:$D$680,2,FALSE)</f>
        <v>1360.3999999999901</v>
      </c>
    </row>
    <row r="402" spans="1:17" x14ac:dyDescent="0.2">
      <c r="A402" s="2" t="s">
        <v>429</v>
      </c>
      <c r="B402" t="s">
        <v>622</v>
      </c>
      <c r="C402" t="s">
        <v>627</v>
      </c>
      <c r="D402" t="s">
        <v>570</v>
      </c>
      <c r="E402" t="s">
        <v>548</v>
      </c>
      <c r="F402" s="36">
        <v>30.176591375769998</v>
      </c>
      <c r="G402">
        <v>210</v>
      </c>
      <c r="H402">
        <v>3.6</v>
      </c>
      <c r="I402">
        <f t="shared" si="24"/>
        <v>756</v>
      </c>
      <c r="J402" s="2">
        <v>3255.3250814804678</v>
      </c>
      <c r="K402">
        <f t="shared" si="25"/>
        <v>683618.26711089828</v>
      </c>
      <c r="L402">
        <v>7.9545486780113542E-2</v>
      </c>
      <c r="M402">
        <f t="shared" si="26"/>
        <v>16.704552223823843</v>
      </c>
      <c r="N402" s="2" t="s">
        <v>576</v>
      </c>
      <c r="O402" s="2">
        <f>VLOOKUP(A402,'Coal savings'!$A$3:$K$543,10,FALSE)</f>
        <v>0</v>
      </c>
      <c r="P402" s="2">
        <f t="shared" si="27"/>
        <v>0</v>
      </c>
      <c r="Q402">
        <f>VLOOKUP(A402,'[13]Thermal generation Mar 19 - Feb'!$C$2:$D$680,2,FALSE)</f>
        <v>1253.8</v>
      </c>
    </row>
    <row r="403" spans="1:17" x14ac:dyDescent="0.2">
      <c r="A403" s="2" t="s">
        <v>248</v>
      </c>
      <c r="B403" t="s">
        <v>613</v>
      </c>
      <c r="C403" t="s">
        <v>626</v>
      </c>
      <c r="D403" t="s">
        <v>572</v>
      </c>
      <c r="E403" t="s">
        <v>544</v>
      </c>
      <c r="F403" s="36">
        <v>10.757015742642</v>
      </c>
      <c r="G403">
        <v>330</v>
      </c>
      <c r="H403">
        <v>2.58</v>
      </c>
      <c r="I403">
        <f t="shared" si="24"/>
        <v>851.4</v>
      </c>
      <c r="J403" s="2">
        <v>3196.9061860799184</v>
      </c>
      <c r="K403">
        <f t="shared" si="25"/>
        <v>1054979.041406373</v>
      </c>
      <c r="L403">
        <v>7.3165418961100362E-2</v>
      </c>
      <c r="M403">
        <f t="shared" si="26"/>
        <v>24.144588257163118</v>
      </c>
      <c r="N403" s="2" t="s">
        <v>576</v>
      </c>
      <c r="O403" s="2">
        <f>VLOOKUP(A403,'Coal savings'!$A$3:$K$543,10,FALSE)</f>
        <v>0</v>
      </c>
      <c r="P403" s="2">
        <f t="shared" si="27"/>
        <v>0</v>
      </c>
      <c r="Q403">
        <f>VLOOKUP(A403,'[13]Thermal generation Mar 19 - Feb'!$C$2:$D$680,2,FALSE)</f>
        <v>2273.03999999999</v>
      </c>
    </row>
    <row r="404" spans="1:17" x14ac:dyDescent="0.2">
      <c r="A404" s="2" t="s">
        <v>239</v>
      </c>
      <c r="B404" t="s">
        <v>613</v>
      </c>
      <c r="C404" t="s">
        <v>626</v>
      </c>
      <c r="D404" t="s">
        <v>572</v>
      </c>
      <c r="E404" t="s">
        <v>544</v>
      </c>
      <c r="F404" s="36">
        <v>10.17659137577</v>
      </c>
      <c r="G404">
        <v>330</v>
      </c>
      <c r="H404">
        <v>2.58</v>
      </c>
      <c r="I404">
        <f t="shared" si="24"/>
        <v>851.4</v>
      </c>
      <c r="J404" s="2">
        <v>3175.2552013704753</v>
      </c>
      <c r="K404">
        <f t="shared" si="25"/>
        <v>1047834.2164522569</v>
      </c>
      <c r="L404">
        <v>7.3165418961100362E-2</v>
      </c>
      <c r="M404">
        <f t="shared" si="26"/>
        <v>24.144588257163118</v>
      </c>
      <c r="N404" s="2" t="s">
        <v>576</v>
      </c>
      <c r="O404" s="2">
        <f>VLOOKUP(A404,'Coal savings'!$A$3:$K$543,10,FALSE)</f>
        <v>0</v>
      </c>
      <c r="P404" s="2">
        <f t="shared" si="27"/>
        <v>0</v>
      </c>
      <c r="Q404">
        <f>VLOOKUP(A404,'[13]Thermal generation Mar 19 - Feb'!$C$2:$D$680,2,FALSE)</f>
        <v>2463.61</v>
      </c>
    </row>
    <row r="405" spans="1:17" x14ac:dyDescent="0.2">
      <c r="A405" s="2" t="s">
        <v>231</v>
      </c>
      <c r="B405" t="s">
        <v>613</v>
      </c>
      <c r="C405" t="s">
        <v>626</v>
      </c>
      <c r="D405" t="s">
        <v>572</v>
      </c>
      <c r="E405" t="s">
        <v>543</v>
      </c>
      <c r="F405" s="36">
        <v>9.7577002053388</v>
      </c>
      <c r="G405">
        <v>330</v>
      </c>
      <c r="H405">
        <v>2.58</v>
      </c>
      <c r="I405">
        <f t="shared" si="24"/>
        <v>851.4</v>
      </c>
      <c r="J405" s="2">
        <v>3172.8557619378917</v>
      </c>
      <c r="K405">
        <f t="shared" si="25"/>
        <v>1047042.4014395042</v>
      </c>
      <c r="L405">
        <v>7.3165418961100362E-2</v>
      </c>
      <c r="M405">
        <f t="shared" si="26"/>
        <v>24.144588257163118</v>
      </c>
      <c r="N405" s="2" t="s">
        <v>576</v>
      </c>
      <c r="O405" s="2">
        <f>VLOOKUP(A405,'Coal savings'!$A$3:$K$543,10,FALSE)</f>
        <v>0</v>
      </c>
      <c r="P405" s="2">
        <f t="shared" si="27"/>
        <v>0</v>
      </c>
      <c r="Q405">
        <f>VLOOKUP(A405,'[13]Thermal generation Mar 19 - Feb'!$C$2:$D$680,2,FALSE)</f>
        <v>2361.2199999999998</v>
      </c>
    </row>
    <row r="406" spans="1:17" x14ac:dyDescent="0.2">
      <c r="A406" s="2" t="s">
        <v>226</v>
      </c>
      <c r="B406" t="s">
        <v>613</v>
      </c>
      <c r="C406" t="s">
        <v>626</v>
      </c>
      <c r="D406" t="s">
        <v>572</v>
      </c>
      <c r="E406" t="s">
        <v>543</v>
      </c>
      <c r="F406" s="36">
        <v>9.4236824093086895</v>
      </c>
      <c r="G406">
        <v>330</v>
      </c>
      <c r="H406">
        <v>2.58</v>
      </c>
      <c r="I406">
        <f t="shared" si="24"/>
        <v>851.4</v>
      </c>
      <c r="J406" s="2">
        <v>3170.9825918361912</v>
      </c>
      <c r="K406">
        <f t="shared" si="25"/>
        <v>1046424.2553059431</v>
      </c>
      <c r="L406">
        <v>7.3165418961100362E-2</v>
      </c>
      <c r="M406">
        <f t="shared" si="26"/>
        <v>24.144588257163118</v>
      </c>
      <c r="N406" s="2" t="s">
        <v>576</v>
      </c>
      <c r="O406" s="2">
        <f>VLOOKUP(A406,'Coal savings'!$A$3:$K$543,10,FALSE)</f>
        <v>0</v>
      </c>
      <c r="P406" s="2">
        <f t="shared" si="27"/>
        <v>0</v>
      </c>
      <c r="Q406">
        <f>VLOOKUP(A406,'[13]Thermal generation Mar 19 - Feb'!$C$2:$D$680,2,FALSE)</f>
        <v>2541.9299999999998</v>
      </c>
    </row>
    <row r="407" spans="1:17" x14ac:dyDescent="0.2">
      <c r="A407" s="2" t="s">
        <v>300</v>
      </c>
      <c r="B407" t="s">
        <v>615</v>
      </c>
      <c r="C407" t="s">
        <v>625</v>
      </c>
      <c r="D407" t="s">
        <v>571</v>
      </c>
      <c r="E407" t="s">
        <v>543</v>
      </c>
      <c r="F407" s="36">
        <v>6.5051334702258696</v>
      </c>
      <c r="G407">
        <v>110</v>
      </c>
      <c r="H407">
        <v>3.39</v>
      </c>
      <c r="I407">
        <f t="shared" si="24"/>
        <v>372.90000000000003</v>
      </c>
      <c r="J407" s="2">
        <v>3220.4231747763038</v>
      </c>
      <c r="K407">
        <f t="shared" si="25"/>
        <v>354246.54922539339</v>
      </c>
      <c r="L407">
        <v>9.4599688742977306E-2</v>
      </c>
      <c r="M407">
        <f t="shared" si="26"/>
        <v>10.405965761727504</v>
      </c>
      <c r="N407" s="2" t="s">
        <v>576</v>
      </c>
      <c r="O407" s="2">
        <f>VLOOKUP(A407,'Coal savings'!$A$3:$K$543,10,FALSE)</f>
        <v>0</v>
      </c>
      <c r="P407" s="2">
        <f t="shared" si="27"/>
        <v>0</v>
      </c>
      <c r="Q407">
        <f>VLOOKUP(A407,'[13]Thermal generation Mar 19 - Feb'!$C$2:$D$680,2,FALSE)</f>
        <v>341.26</v>
      </c>
    </row>
    <row r="408" spans="1:17" x14ac:dyDescent="0.2">
      <c r="A408" s="2" t="s">
        <v>287</v>
      </c>
      <c r="B408" t="s">
        <v>615</v>
      </c>
      <c r="C408" t="s">
        <v>625</v>
      </c>
      <c r="D408" t="s">
        <v>571</v>
      </c>
      <c r="E408" t="s">
        <v>543</v>
      </c>
      <c r="F408" s="36">
        <v>5.5058179329226498</v>
      </c>
      <c r="G408">
        <v>110</v>
      </c>
      <c r="H408">
        <v>3.39</v>
      </c>
      <c r="I408">
        <f t="shared" si="24"/>
        <v>372.90000000000003</v>
      </c>
      <c r="J408" s="2">
        <v>3248.6944075343031</v>
      </c>
      <c r="K408">
        <f t="shared" si="25"/>
        <v>357356.38482877333</v>
      </c>
      <c r="L408">
        <v>9.4599688742977306E-2</v>
      </c>
      <c r="M408">
        <f t="shared" si="26"/>
        <v>10.405965761727504</v>
      </c>
      <c r="N408" s="2" t="s">
        <v>576</v>
      </c>
      <c r="O408" s="2">
        <f>VLOOKUP(A408,'Coal savings'!$A$3:$K$543,10,FALSE)</f>
        <v>0</v>
      </c>
      <c r="P408" s="2">
        <f t="shared" si="27"/>
        <v>0</v>
      </c>
      <c r="Q408">
        <f>VLOOKUP(A408,'[13]Thermal generation Mar 19 - Feb'!$C$2:$D$680,2,FALSE)</f>
        <v>347.79</v>
      </c>
    </row>
    <row r="409" spans="1:17" x14ac:dyDescent="0.2">
      <c r="A409" s="2" t="s">
        <v>251</v>
      </c>
      <c r="B409" t="s">
        <v>615</v>
      </c>
      <c r="C409" t="s">
        <v>625</v>
      </c>
      <c r="D409" t="s">
        <v>571</v>
      </c>
      <c r="E409" t="s">
        <v>543</v>
      </c>
      <c r="F409" s="36">
        <v>5.1772758384667998</v>
      </c>
      <c r="G409">
        <v>195</v>
      </c>
      <c r="H409">
        <v>2.69</v>
      </c>
      <c r="I409">
        <f t="shared" si="24"/>
        <v>524.54999999999995</v>
      </c>
      <c r="J409" s="2">
        <v>3078.1701940591511</v>
      </c>
      <c r="K409">
        <f t="shared" si="25"/>
        <v>600243.1878415345</v>
      </c>
      <c r="L409">
        <v>9.4599688742977306E-2</v>
      </c>
      <c r="M409">
        <f t="shared" si="26"/>
        <v>18.446939304880576</v>
      </c>
      <c r="N409" s="2" t="s">
        <v>576</v>
      </c>
      <c r="O409" s="2">
        <f>VLOOKUP(A409,'Coal savings'!$A$3:$K$543,10,FALSE)</f>
        <v>0</v>
      </c>
      <c r="P409" s="2">
        <f t="shared" si="27"/>
        <v>0</v>
      </c>
      <c r="Q409">
        <f>VLOOKUP(A409,'[13]Thermal generation Mar 19 - Feb'!$C$2:$D$680,2,FALSE)</f>
        <v>1068.8599999999899</v>
      </c>
    </row>
    <row r="410" spans="1:17" x14ac:dyDescent="0.2">
      <c r="A410" s="2" t="s">
        <v>509</v>
      </c>
      <c r="B410" t="s">
        <v>617</v>
      </c>
      <c r="C410" t="s">
        <v>626</v>
      </c>
      <c r="D410" t="s">
        <v>570</v>
      </c>
      <c r="E410" t="s">
        <v>550</v>
      </c>
      <c r="F410" s="36">
        <v>41.0924024640657</v>
      </c>
      <c r="G410">
        <v>210</v>
      </c>
      <c r="H410">
        <v>3.27</v>
      </c>
      <c r="I410">
        <f t="shared" si="24"/>
        <v>686.7</v>
      </c>
      <c r="J410" s="2">
        <v>3395.1120144230922</v>
      </c>
      <c r="K410">
        <f t="shared" si="25"/>
        <v>712973.52302884939</v>
      </c>
      <c r="L410">
        <v>0.10328378773749107</v>
      </c>
      <c r="M410">
        <f t="shared" si="26"/>
        <v>21.689595424873126</v>
      </c>
      <c r="N410" s="2" t="s">
        <v>576</v>
      </c>
      <c r="O410" s="2">
        <f>VLOOKUP(A410,'Coal savings'!$A$3:$K$543,10,FALSE)</f>
        <v>0</v>
      </c>
      <c r="P410" s="2">
        <f t="shared" si="27"/>
        <v>0</v>
      </c>
      <c r="Q410">
        <f>VLOOKUP(A410,'[13]Thermal generation Mar 19 - Feb'!$C$2:$D$680,2,FALSE)</f>
        <v>678.59</v>
      </c>
    </row>
    <row r="411" spans="1:17" x14ac:dyDescent="0.2">
      <c r="A411" s="2" t="s">
        <v>505</v>
      </c>
      <c r="B411" t="s">
        <v>617</v>
      </c>
      <c r="C411" t="s">
        <v>626</v>
      </c>
      <c r="D411" t="s">
        <v>570</v>
      </c>
      <c r="E411" t="s">
        <v>549</v>
      </c>
      <c r="F411" s="36">
        <v>39.841204654346299</v>
      </c>
      <c r="G411">
        <v>210</v>
      </c>
      <c r="H411">
        <v>3.27</v>
      </c>
      <c r="I411">
        <f t="shared" si="24"/>
        <v>686.7</v>
      </c>
      <c r="J411" s="2">
        <v>3341.546201768947</v>
      </c>
      <c r="K411">
        <f t="shared" si="25"/>
        <v>701724.7023714789</v>
      </c>
      <c r="L411">
        <v>0.10328378773749107</v>
      </c>
      <c r="M411">
        <f t="shared" si="26"/>
        <v>21.689595424873126</v>
      </c>
      <c r="N411" s="2" t="s">
        <v>576</v>
      </c>
      <c r="O411" s="2">
        <f>VLOOKUP(A411,'Coal savings'!$A$3:$K$543,10,FALSE)</f>
        <v>0</v>
      </c>
      <c r="P411" s="2">
        <f t="shared" si="27"/>
        <v>0</v>
      </c>
      <c r="Q411">
        <f>VLOOKUP(A411,'[13]Thermal generation Mar 19 - Feb'!$C$2:$D$680,2,FALSE)</f>
        <v>944.80999999999904</v>
      </c>
    </row>
    <row r="412" spans="1:17" x14ac:dyDescent="0.2">
      <c r="A412" s="2" t="s">
        <v>499</v>
      </c>
      <c r="B412" t="s">
        <v>617</v>
      </c>
      <c r="C412" t="s">
        <v>626</v>
      </c>
      <c r="D412" t="s">
        <v>570</v>
      </c>
      <c r="E412" t="s">
        <v>549</v>
      </c>
      <c r="F412" s="36">
        <v>39.337440109513999</v>
      </c>
      <c r="G412">
        <v>210</v>
      </c>
      <c r="H412">
        <v>3.27</v>
      </c>
      <c r="I412">
        <f t="shared" si="24"/>
        <v>686.7</v>
      </c>
      <c r="J412" s="2">
        <v>3406.0493100429985</v>
      </c>
      <c r="K412">
        <f t="shared" si="25"/>
        <v>715270.35510902968</v>
      </c>
      <c r="L412">
        <v>0.10328378773749107</v>
      </c>
      <c r="M412">
        <f t="shared" si="26"/>
        <v>21.689595424873126</v>
      </c>
      <c r="N412" s="2" t="s">
        <v>576</v>
      </c>
      <c r="O412" s="2">
        <f>VLOOKUP(A412,'Coal savings'!$A$3:$K$543,10,FALSE)</f>
        <v>0</v>
      </c>
      <c r="P412" s="2">
        <f t="shared" si="27"/>
        <v>0</v>
      </c>
      <c r="Q412">
        <f>VLOOKUP(A412,'[13]Thermal generation Mar 19 - Feb'!$C$2:$D$680,2,FALSE)</f>
        <v>776.43</v>
      </c>
    </row>
    <row r="413" spans="1:17" x14ac:dyDescent="0.2">
      <c r="A413" s="2" t="s">
        <v>324</v>
      </c>
      <c r="B413" t="s">
        <v>609</v>
      </c>
      <c r="C413" t="s">
        <v>626</v>
      </c>
      <c r="D413" t="s">
        <v>572</v>
      </c>
      <c r="E413" t="s">
        <v>543</v>
      </c>
      <c r="F413" s="36">
        <v>6.4229979466118996</v>
      </c>
      <c r="G413">
        <v>45</v>
      </c>
      <c r="H413">
        <v>1.7841299515598099</v>
      </c>
      <c r="I413">
        <f t="shared" si="24"/>
        <v>80.285847820191449</v>
      </c>
      <c r="J413" s="2">
        <v>3373.6629455509064</v>
      </c>
      <c r="K413">
        <f t="shared" si="25"/>
        <v>151814.83254979079</v>
      </c>
      <c r="L413">
        <v>0.11909037109527723</v>
      </c>
      <c r="M413">
        <f t="shared" si="26"/>
        <v>5.3590666992874754</v>
      </c>
      <c r="N413" s="2" t="s">
        <v>576</v>
      </c>
      <c r="O413" s="2">
        <f>VLOOKUP(A413,'Coal savings'!$A$3:$K$543,10,FALSE)</f>
        <v>0</v>
      </c>
      <c r="P413" s="2">
        <f t="shared" si="27"/>
        <v>0</v>
      </c>
      <c r="Q413">
        <f>VLOOKUP(A413,'[13]Thermal generation Mar 19 - Feb'!$C$2:$D$680,2,FALSE)</f>
        <v>224.599999999999</v>
      </c>
    </row>
    <row r="414" spans="1:17" x14ac:dyDescent="0.2">
      <c r="A414" s="2" t="s">
        <v>266</v>
      </c>
      <c r="B414" t="s">
        <v>609</v>
      </c>
      <c r="C414" t="s">
        <v>626</v>
      </c>
      <c r="D414" t="s">
        <v>572</v>
      </c>
      <c r="E414" t="s">
        <v>542</v>
      </c>
      <c r="F414" s="36">
        <v>0.84325804243668701</v>
      </c>
      <c r="G414">
        <v>45</v>
      </c>
      <c r="H414">
        <v>3.0062276726978059</v>
      </c>
      <c r="I414">
        <f t="shared" si="24"/>
        <v>135.28024527140127</v>
      </c>
      <c r="J414" s="2">
        <v>3443.490186013928</v>
      </c>
      <c r="K414">
        <f t="shared" si="25"/>
        <v>154957.05837062676</v>
      </c>
      <c r="L414" s="1">
        <v>0.11909037109527723</v>
      </c>
      <c r="M414">
        <f t="shared" si="26"/>
        <v>5.3590666992874754</v>
      </c>
      <c r="N414" s="2" t="s">
        <v>576</v>
      </c>
      <c r="O414" s="2">
        <f>VLOOKUP(A414,'Coal savings'!$A$3:$K$543,10,FALSE)</f>
        <v>0</v>
      </c>
      <c r="P414" s="2">
        <f t="shared" si="27"/>
        <v>0</v>
      </c>
      <c r="Q414">
        <f>VLOOKUP(A414,'[13]Thermal generation Mar 19 - Feb'!$C$2:$D$680,2,FALSE)</f>
        <v>1.81</v>
      </c>
    </row>
    <row r="415" spans="1:17" x14ac:dyDescent="0.2">
      <c r="A415" s="2" t="s">
        <v>346</v>
      </c>
      <c r="B415" t="s">
        <v>622</v>
      </c>
      <c r="C415" t="s">
        <v>627</v>
      </c>
      <c r="D415" t="s">
        <v>570</v>
      </c>
      <c r="E415" t="s">
        <v>547</v>
      </c>
      <c r="F415" s="36">
        <v>16.383299110198401</v>
      </c>
      <c r="G415">
        <v>210</v>
      </c>
      <c r="H415">
        <v>3.07</v>
      </c>
      <c r="I415">
        <f t="shared" si="24"/>
        <v>644.69999999999993</v>
      </c>
      <c r="J415" s="2">
        <v>3177.9094861821163</v>
      </c>
      <c r="K415">
        <f t="shared" si="25"/>
        <v>667360.99209824437</v>
      </c>
      <c r="L415">
        <v>7.8776329249988286E-2</v>
      </c>
      <c r="M415">
        <f t="shared" si="26"/>
        <v>16.543029142497542</v>
      </c>
      <c r="N415" s="2" t="s">
        <v>576</v>
      </c>
      <c r="O415" s="2">
        <f>VLOOKUP(A415,'Coal savings'!$A$3:$K$543,10,FALSE)</f>
        <v>0</v>
      </c>
      <c r="P415" s="2">
        <f t="shared" si="27"/>
        <v>0</v>
      </c>
      <c r="Q415">
        <f>VLOOKUP(A415,'[13]Thermal generation Mar 19 - Feb'!$C$2:$D$680,2,FALSE)</f>
        <v>1195.28</v>
      </c>
    </row>
    <row r="416" spans="1:17" x14ac:dyDescent="0.2">
      <c r="A416" s="2" t="s">
        <v>345</v>
      </c>
      <c r="B416" t="s">
        <v>622</v>
      </c>
      <c r="C416" t="s">
        <v>627</v>
      </c>
      <c r="D416" t="s">
        <v>570</v>
      </c>
      <c r="E416" t="s">
        <v>547</v>
      </c>
      <c r="F416" s="36">
        <v>15.9247091033538</v>
      </c>
      <c r="G416">
        <v>210</v>
      </c>
      <c r="H416">
        <v>3.07</v>
      </c>
      <c r="I416">
        <f t="shared" si="24"/>
        <v>644.69999999999993</v>
      </c>
      <c r="J416" s="2">
        <v>3146.2141733658523</v>
      </c>
      <c r="K416">
        <f t="shared" si="25"/>
        <v>660704.97640682897</v>
      </c>
      <c r="L416">
        <v>7.8776329249988286E-2</v>
      </c>
      <c r="M416">
        <f t="shared" si="26"/>
        <v>16.543029142497542</v>
      </c>
      <c r="N416" s="2" t="s">
        <v>576</v>
      </c>
      <c r="O416" s="2">
        <f>VLOOKUP(A416,'Coal savings'!$A$3:$K$543,10,FALSE)</f>
        <v>0</v>
      </c>
      <c r="P416" s="2">
        <f t="shared" si="27"/>
        <v>0</v>
      </c>
      <c r="Q416">
        <f>VLOOKUP(A416,'[13]Thermal generation Mar 19 - Feb'!$C$2:$D$680,2,FALSE)</f>
        <v>1205.5599999999899</v>
      </c>
    </row>
    <row r="417" spans="1:17" x14ac:dyDescent="0.2">
      <c r="A417" s="2" t="s">
        <v>395</v>
      </c>
      <c r="B417" t="s">
        <v>622</v>
      </c>
      <c r="C417" t="s">
        <v>627</v>
      </c>
      <c r="D417" t="s">
        <v>570</v>
      </c>
      <c r="E417" t="s">
        <v>546</v>
      </c>
      <c r="F417" s="36">
        <v>24.2546201232032</v>
      </c>
      <c r="G417">
        <v>210</v>
      </c>
      <c r="H417">
        <v>3.07</v>
      </c>
      <c r="I417">
        <f t="shared" si="24"/>
        <v>644.69999999999993</v>
      </c>
      <c r="J417" s="2">
        <v>3211.738848625751</v>
      </c>
      <c r="K417">
        <f t="shared" si="25"/>
        <v>674465.15821140772</v>
      </c>
      <c r="L417">
        <v>7.8776329249988286E-2</v>
      </c>
      <c r="M417">
        <f t="shared" si="26"/>
        <v>16.543029142497542</v>
      </c>
      <c r="N417" s="2" t="s">
        <v>576</v>
      </c>
      <c r="O417" s="2">
        <f>VLOOKUP(A417,'Coal savings'!$A$3:$K$543,10,FALSE)</f>
        <v>0</v>
      </c>
      <c r="P417" s="2">
        <f t="shared" si="27"/>
        <v>0</v>
      </c>
      <c r="Q417">
        <f>VLOOKUP(A417,'[13]Thermal generation Mar 19 - Feb'!$C$2:$D$680,2,FALSE)</f>
        <v>1072.47</v>
      </c>
    </row>
    <row r="418" spans="1:17" x14ac:dyDescent="0.2">
      <c r="A418" s="2" t="s">
        <v>535</v>
      </c>
      <c r="B418" t="s">
        <v>634</v>
      </c>
      <c r="C418" t="s">
        <v>628</v>
      </c>
      <c r="D418" t="s">
        <v>570</v>
      </c>
      <c r="E418" t="s">
        <v>551</v>
      </c>
      <c r="F418" s="36">
        <v>52.758384668035497</v>
      </c>
      <c r="G418">
        <v>50</v>
      </c>
      <c r="H418">
        <v>2.34</v>
      </c>
      <c r="I418">
        <f t="shared" si="24"/>
        <v>117</v>
      </c>
      <c r="J418" s="2">
        <v>3352.0252585196222</v>
      </c>
      <c r="K418">
        <f t="shared" si="25"/>
        <v>167601.26292598111</v>
      </c>
      <c r="L418">
        <v>9.0180179439313821E-2</v>
      </c>
      <c r="M418">
        <f t="shared" si="26"/>
        <v>4.5090089719656907</v>
      </c>
      <c r="N418" s="2" t="s">
        <v>576</v>
      </c>
      <c r="O418" s="2">
        <f>VLOOKUP(A418,'Coal savings'!$A$3:$K$543,10,FALSE)</f>
        <v>0</v>
      </c>
      <c r="P418" s="2">
        <f t="shared" si="27"/>
        <v>0</v>
      </c>
    </row>
    <row r="419" spans="1:17" x14ac:dyDescent="0.2">
      <c r="A419" s="2" t="s">
        <v>515</v>
      </c>
      <c r="B419" t="s">
        <v>634</v>
      </c>
      <c r="C419" t="s">
        <v>628</v>
      </c>
      <c r="D419" t="s">
        <v>570</v>
      </c>
      <c r="E419" t="s">
        <v>550</v>
      </c>
      <c r="F419" s="36">
        <v>41.338809034907598</v>
      </c>
      <c r="G419">
        <v>200</v>
      </c>
      <c r="H419">
        <v>1.89</v>
      </c>
      <c r="I419">
        <f t="shared" si="24"/>
        <v>378</v>
      </c>
      <c r="J419" s="2">
        <v>3341.6442979257267</v>
      </c>
      <c r="K419">
        <f t="shared" si="25"/>
        <v>668328.85958514537</v>
      </c>
      <c r="L419">
        <v>9.0180179439313821E-2</v>
      </c>
      <c r="M419">
        <f t="shared" si="26"/>
        <v>18.036035887862763</v>
      </c>
      <c r="N419" s="2" t="s">
        <v>576</v>
      </c>
      <c r="O419" s="2">
        <f>VLOOKUP(A419,'Coal savings'!$A$3:$K$543,10,FALSE)</f>
        <v>0</v>
      </c>
      <c r="P419" s="2">
        <f t="shared" si="27"/>
        <v>0</v>
      </c>
      <c r="Q419">
        <f>VLOOKUP(A419,'[13]Thermal generation Mar 19 - Feb'!$C$2:$D$680,2,FALSE)</f>
        <v>1039.3399999999999</v>
      </c>
    </row>
    <row r="420" spans="1:17" x14ac:dyDescent="0.2">
      <c r="A420" s="2" t="s">
        <v>516</v>
      </c>
      <c r="B420" t="s">
        <v>634</v>
      </c>
      <c r="C420" t="s">
        <v>628</v>
      </c>
      <c r="D420" t="s">
        <v>570</v>
      </c>
      <c r="E420" t="s">
        <v>550</v>
      </c>
      <c r="F420" s="36">
        <v>42.4229979466119</v>
      </c>
      <c r="G420">
        <v>200</v>
      </c>
      <c r="H420">
        <v>1.89</v>
      </c>
      <c r="I420">
        <f t="shared" si="24"/>
        <v>378</v>
      </c>
      <c r="J420" s="2">
        <v>3319.3701602006026</v>
      </c>
      <c r="K420">
        <f t="shared" si="25"/>
        <v>663874.03204012057</v>
      </c>
      <c r="L420">
        <v>9.0180179439313821E-2</v>
      </c>
      <c r="M420">
        <f t="shared" si="26"/>
        <v>18.036035887862763</v>
      </c>
      <c r="N420" s="2" t="s">
        <v>576</v>
      </c>
      <c r="O420" s="2">
        <f>VLOOKUP(A420,'Coal savings'!$A$3:$K$543,10,FALSE)</f>
        <v>0</v>
      </c>
      <c r="P420" s="2">
        <f t="shared" si="27"/>
        <v>0</v>
      </c>
      <c r="Q420">
        <f>VLOOKUP(A420,'[13]Thermal generation Mar 19 - Feb'!$C$2:$D$680,2,FALSE)</f>
        <v>1246.9299999999901</v>
      </c>
    </row>
    <row r="421" spans="1:17" x14ac:dyDescent="0.2">
      <c r="A421" s="2" t="s">
        <v>502</v>
      </c>
      <c r="B421" t="s">
        <v>634</v>
      </c>
      <c r="C421" t="s">
        <v>628</v>
      </c>
      <c r="D421" t="s">
        <v>570</v>
      </c>
      <c r="E421" t="s">
        <v>549</v>
      </c>
      <c r="F421" s="36">
        <v>39.175906913073199</v>
      </c>
      <c r="G421">
        <v>200</v>
      </c>
      <c r="H421">
        <v>1.89</v>
      </c>
      <c r="I421">
        <f t="shared" si="24"/>
        <v>378</v>
      </c>
      <c r="J421" s="2">
        <v>3529.0770141889657</v>
      </c>
      <c r="K421">
        <f t="shared" si="25"/>
        <v>705815.40283779311</v>
      </c>
      <c r="L421">
        <v>9.0180179439313821E-2</v>
      </c>
      <c r="M421">
        <f t="shared" si="26"/>
        <v>18.036035887862763</v>
      </c>
      <c r="N421" s="2" t="s">
        <v>576</v>
      </c>
      <c r="O421" s="2">
        <f>VLOOKUP(A421,'Coal savings'!$A$3:$K$543,10,FALSE)</f>
        <v>0</v>
      </c>
      <c r="P421" s="2">
        <f t="shared" si="27"/>
        <v>0</v>
      </c>
      <c r="Q421">
        <f>VLOOKUP(A421,'[13]Thermal generation Mar 19 - Feb'!$C$2:$D$680,2,FALSE)</f>
        <v>28.07</v>
      </c>
    </row>
    <row r="422" spans="1:17" x14ac:dyDescent="0.2">
      <c r="A422" s="2" t="s">
        <v>496</v>
      </c>
      <c r="B422" t="s">
        <v>634</v>
      </c>
      <c r="C422" t="s">
        <v>628</v>
      </c>
      <c r="D422" t="s">
        <v>570</v>
      </c>
      <c r="E422" t="s">
        <v>549</v>
      </c>
      <c r="F422" s="36">
        <v>37.842573579739899</v>
      </c>
      <c r="G422">
        <v>200</v>
      </c>
      <c r="H422">
        <v>1.89</v>
      </c>
      <c r="I422">
        <f t="shared" si="24"/>
        <v>378</v>
      </c>
      <c r="J422" s="2">
        <v>3494.7583388004068</v>
      </c>
      <c r="K422">
        <f t="shared" si="25"/>
        <v>698951.66776008136</v>
      </c>
      <c r="L422">
        <v>9.0180179439313821E-2</v>
      </c>
      <c r="M422">
        <f t="shared" si="26"/>
        <v>18.036035887862763</v>
      </c>
      <c r="N422" s="2" t="s">
        <v>576</v>
      </c>
      <c r="O422" s="2">
        <f>VLOOKUP(A422,'Coal savings'!$A$3:$K$543,10,FALSE)</f>
        <v>0</v>
      </c>
      <c r="P422" s="2">
        <f t="shared" si="27"/>
        <v>0</v>
      </c>
    </row>
    <row r="423" spans="1:17" x14ac:dyDescent="0.2">
      <c r="A423" s="2" t="s">
        <v>506</v>
      </c>
      <c r="B423" t="s">
        <v>634</v>
      </c>
      <c r="C423" t="s">
        <v>628</v>
      </c>
      <c r="D423" t="s">
        <v>570</v>
      </c>
      <c r="E423" t="s">
        <v>549</v>
      </c>
      <c r="F423" s="36">
        <v>39.589322381930103</v>
      </c>
      <c r="G423">
        <v>200</v>
      </c>
      <c r="H423">
        <v>1.89</v>
      </c>
      <c r="I423">
        <f t="shared" si="24"/>
        <v>378</v>
      </c>
      <c r="J423" s="2">
        <v>3315.6628865852663</v>
      </c>
      <c r="K423">
        <f t="shared" si="25"/>
        <v>663132.57731705322</v>
      </c>
      <c r="L423">
        <v>9.0180179439313821E-2</v>
      </c>
      <c r="M423">
        <f t="shared" si="26"/>
        <v>18.036035887862763</v>
      </c>
      <c r="N423" s="2" t="s">
        <v>576</v>
      </c>
      <c r="O423" s="2">
        <f>VLOOKUP(A423,'Coal savings'!$A$3:$K$543,10,FALSE)</f>
        <v>0</v>
      </c>
      <c r="P423" s="2">
        <f t="shared" si="27"/>
        <v>0</v>
      </c>
      <c r="Q423">
        <f>VLOOKUP(A423,'[13]Thermal generation Mar 19 - Feb'!$C$2:$D$680,2,FALSE)</f>
        <v>1355.15</v>
      </c>
    </row>
    <row r="424" spans="1:17" x14ac:dyDescent="0.2">
      <c r="A424" s="2" t="s">
        <v>301</v>
      </c>
      <c r="B424" t="s">
        <v>611</v>
      </c>
      <c r="C424" t="s">
        <v>626</v>
      </c>
      <c r="D424" t="s">
        <v>572</v>
      </c>
      <c r="E424" t="s">
        <v>544</v>
      </c>
      <c r="F424" s="36">
        <v>12.6735112936344</v>
      </c>
      <c r="G424">
        <v>250</v>
      </c>
      <c r="H424">
        <v>2.949348504284746</v>
      </c>
      <c r="I424">
        <f t="shared" si="24"/>
        <v>737.3371260711865</v>
      </c>
      <c r="J424" s="2">
        <v>3224.5243009391625</v>
      </c>
      <c r="K424">
        <f t="shared" si="25"/>
        <v>806131.07523479057</v>
      </c>
      <c r="L424">
        <v>9.6900494936795964E-2</v>
      </c>
      <c r="M424">
        <f t="shared" si="26"/>
        <v>24.225123734198991</v>
      </c>
      <c r="N424" s="2" t="s">
        <v>576</v>
      </c>
      <c r="O424" s="2">
        <f>VLOOKUP(A424,'Coal savings'!$A$3:$K$543,10,FALSE)</f>
        <v>0</v>
      </c>
      <c r="P424" s="2">
        <f t="shared" si="27"/>
        <v>0</v>
      </c>
      <c r="Q424">
        <f>VLOOKUP(A424,'[13]Thermal generation Mar 19 - Feb'!$C$2:$D$680,2,FALSE)</f>
        <v>43.45</v>
      </c>
    </row>
    <row r="425" spans="1:17" x14ac:dyDescent="0.2">
      <c r="A425" s="2" t="s">
        <v>294</v>
      </c>
      <c r="B425" t="s">
        <v>611</v>
      </c>
      <c r="C425" t="s">
        <v>626</v>
      </c>
      <c r="D425" t="s">
        <v>572</v>
      </c>
      <c r="E425" t="s">
        <v>544</v>
      </c>
      <c r="F425" s="36">
        <v>12.2546201232032</v>
      </c>
      <c r="G425">
        <v>250</v>
      </c>
      <c r="H425">
        <v>3.0088047980560875</v>
      </c>
      <c r="I425">
        <f t="shared" si="24"/>
        <v>752.20119951402182</v>
      </c>
      <c r="J425" s="2">
        <v>3249.3815939082251</v>
      </c>
      <c r="K425">
        <f t="shared" si="25"/>
        <v>812345.3984770563</v>
      </c>
      <c r="L425">
        <v>9.6900494936795964E-2</v>
      </c>
      <c r="M425">
        <f t="shared" si="26"/>
        <v>24.225123734198991</v>
      </c>
      <c r="N425" s="2" t="s">
        <v>576</v>
      </c>
      <c r="O425" s="2">
        <f>VLOOKUP(A425,'Coal savings'!$A$3:$K$543,10,FALSE)</f>
        <v>0</v>
      </c>
      <c r="P425" s="2">
        <f t="shared" si="27"/>
        <v>0</v>
      </c>
      <c r="Q425">
        <f>VLOOKUP(A425,'[13]Thermal generation Mar 19 - Feb'!$C$2:$D$680,2,FALSE)</f>
        <v>32.89</v>
      </c>
    </row>
    <row r="426" spans="1:17" x14ac:dyDescent="0.2">
      <c r="A426" s="2" t="s">
        <v>291</v>
      </c>
      <c r="B426" t="s">
        <v>611</v>
      </c>
      <c r="C426" t="s">
        <v>626</v>
      </c>
      <c r="D426" t="s">
        <v>572</v>
      </c>
      <c r="E426" t="s">
        <v>544</v>
      </c>
      <c r="F426" s="36">
        <v>12.175222450376401</v>
      </c>
      <c r="G426">
        <v>250</v>
      </c>
      <c r="H426">
        <v>2.7273424512092577</v>
      </c>
      <c r="I426">
        <f t="shared" si="24"/>
        <v>681.83561280231447</v>
      </c>
      <c r="J426" s="2">
        <v>3123.085979823758</v>
      </c>
      <c r="K426">
        <f t="shared" si="25"/>
        <v>780771.49495593947</v>
      </c>
      <c r="L426">
        <v>9.6900494936795964E-2</v>
      </c>
      <c r="M426">
        <f t="shared" si="26"/>
        <v>24.225123734198991</v>
      </c>
      <c r="N426" s="2" t="s">
        <v>576</v>
      </c>
      <c r="O426" s="2">
        <f>VLOOKUP(A426,'Coal savings'!$A$3:$K$543,10,FALSE)</f>
        <v>0</v>
      </c>
      <c r="P426" s="2">
        <f t="shared" si="27"/>
        <v>0</v>
      </c>
      <c r="Q426">
        <f>VLOOKUP(A426,'[13]Thermal generation Mar 19 - Feb'!$C$2:$D$680,2,FALSE)</f>
        <v>1235.54999999999</v>
      </c>
    </row>
    <row r="427" spans="1:17" x14ac:dyDescent="0.2">
      <c r="A427" s="2" t="s">
        <v>289</v>
      </c>
      <c r="B427" t="s">
        <v>611</v>
      </c>
      <c r="C427" t="s">
        <v>626</v>
      </c>
      <c r="D427" t="s">
        <v>572</v>
      </c>
      <c r="E427" t="s">
        <v>544</v>
      </c>
      <c r="F427" s="36">
        <v>11.9233401779603</v>
      </c>
      <c r="G427">
        <v>250</v>
      </c>
      <c r="H427">
        <v>2.7547444809275095</v>
      </c>
      <c r="I427">
        <f t="shared" si="24"/>
        <v>688.68612023187734</v>
      </c>
      <c r="J427" s="2">
        <v>3134.2961876004333</v>
      </c>
      <c r="K427">
        <f t="shared" si="25"/>
        <v>783574.04690010834</v>
      </c>
      <c r="L427">
        <v>9.6900494936795964E-2</v>
      </c>
      <c r="M427">
        <f t="shared" si="26"/>
        <v>24.225123734198991</v>
      </c>
      <c r="N427" s="2" t="s">
        <v>576</v>
      </c>
      <c r="O427" s="2">
        <f>VLOOKUP(A427,'Coal savings'!$A$3:$K$543,10,FALSE)</f>
        <v>0</v>
      </c>
      <c r="P427" s="2">
        <f t="shared" si="27"/>
        <v>0</v>
      </c>
      <c r="Q427">
        <f>VLOOKUP(A427,'[13]Thermal generation Mar 19 - Feb'!$C$2:$D$680,2,FALSE)</f>
        <v>1167.8699999999999</v>
      </c>
    </row>
    <row r="428" spans="1:17" x14ac:dyDescent="0.2">
      <c r="A428" s="2" t="s">
        <v>438</v>
      </c>
      <c r="B428" t="s">
        <v>619</v>
      </c>
      <c r="C428" t="s">
        <v>628</v>
      </c>
      <c r="D428" t="s">
        <v>570</v>
      </c>
      <c r="E428" t="s">
        <v>548</v>
      </c>
      <c r="F428" s="36">
        <v>31.175906913073199</v>
      </c>
      <c r="G428">
        <v>210</v>
      </c>
      <c r="H428">
        <v>3.92</v>
      </c>
      <c r="I428">
        <f t="shared" si="24"/>
        <v>823.19999999999993</v>
      </c>
      <c r="J428" s="2">
        <v>3444.3549042018371</v>
      </c>
      <c r="K428">
        <f t="shared" si="25"/>
        <v>723314.52988238574</v>
      </c>
      <c r="L428">
        <v>9.6798449718982396E-2</v>
      </c>
      <c r="M428">
        <f t="shared" si="26"/>
        <v>20.327674440986303</v>
      </c>
      <c r="N428" s="2" t="s">
        <v>576</v>
      </c>
      <c r="O428" s="2">
        <f>VLOOKUP(A428,'Coal savings'!$A$3:$K$543,10,FALSE)</f>
        <v>0</v>
      </c>
      <c r="P428" s="2">
        <f t="shared" si="27"/>
        <v>0</v>
      </c>
    </row>
    <row r="429" spans="1:17" x14ac:dyDescent="0.2">
      <c r="A429" s="2" t="s">
        <v>359</v>
      </c>
      <c r="B429" t="s">
        <v>619</v>
      </c>
      <c r="C429" t="s">
        <v>628</v>
      </c>
      <c r="D429" t="s">
        <v>570</v>
      </c>
      <c r="E429" t="s">
        <v>545</v>
      </c>
      <c r="F429" s="36">
        <v>19.175906913073199</v>
      </c>
      <c r="G429">
        <v>210</v>
      </c>
      <c r="H429">
        <v>3.81</v>
      </c>
      <c r="I429">
        <f t="shared" si="24"/>
        <v>800.1</v>
      </c>
      <c r="J429" s="2">
        <v>3329.497075194759</v>
      </c>
      <c r="K429">
        <f t="shared" si="25"/>
        <v>699194.3857908994</v>
      </c>
      <c r="L429">
        <v>9.6798449718982396E-2</v>
      </c>
      <c r="M429">
        <f t="shared" si="26"/>
        <v>20.327674440986303</v>
      </c>
      <c r="N429" s="2" t="s">
        <v>576</v>
      </c>
      <c r="O429" s="2">
        <f>VLOOKUP(A429,'Coal savings'!$A$3:$K$543,10,FALSE)</f>
        <v>0</v>
      </c>
      <c r="P429" s="2">
        <f t="shared" si="27"/>
        <v>0</v>
      </c>
    </row>
    <row r="430" spans="1:17" x14ac:dyDescent="0.2">
      <c r="A430" s="2" t="s">
        <v>325</v>
      </c>
      <c r="B430" t="s">
        <v>619</v>
      </c>
      <c r="C430" t="s">
        <v>628</v>
      </c>
      <c r="D430" t="s">
        <v>570</v>
      </c>
      <c r="E430" t="s">
        <v>545</v>
      </c>
      <c r="F430" s="36">
        <v>15.6714579055441</v>
      </c>
      <c r="G430">
        <v>250</v>
      </c>
      <c r="H430">
        <v>3.56</v>
      </c>
      <c r="I430">
        <f t="shared" si="24"/>
        <v>890</v>
      </c>
      <c r="J430" s="2">
        <v>3129.1454918609811</v>
      </c>
      <c r="K430">
        <f t="shared" si="25"/>
        <v>782286.37296524527</v>
      </c>
      <c r="L430">
        <v>9.6798449718982396E-2</v>
      </c>
      <c r="M430">
        <f t="shared" si="26"/>
        <v>24.199612429745599</v>
      </c>
      <c r="N430" s="2" t="s">
        <v>576</v>
      </c>
      <c r="O430" s="2">
        <f>VLOOKUP(A430,'Coal savings'!$A$3:$K$543,10,FALSE)</f>
        <v>0</v>
      </c>
      <c r="P430" s="2">
        <f t="shared" si="27"/>
        <v>0</v>
      </c>
      <c r="Q430">
        <f>VLOOKUP(A430,'[13]Thermal generation Mar 19 - Feb'!$C$2:$D$680,2,FALSE)</f>
        <v>996.83</v>
      </c>
    </row>
    <row r="431" spans="1:17" x14ac:dyDescent="0.2">
      <c r="A431" s="2" t="s">
        <v>322</v>
      </c>
      <c r="B431" t="s">
        <v>619</v>
      </c>
      <c r="C431" t="s">
        <v>628</v>
      </c>
      <c r="D431" t="s">
        <v>570</v>
      </c>
      <c r="E431" t="s">
        <v>545</v>
      </c>
      <c r="F431" s="36">
        <v>15.337440109514</v>
      </c>
      <c r="G431">
        <v>250</v>
      </c>
      <c r="H431">
        <v>3.57</v>
      </c>
      <c r="I431">
        <f t="shared" si="24"/>
        <v>892.5</v>
      </c>
      <c r="J431" s="2">
        <v>3115.378436211342</v>
      </c>
      <c r="K431">
        <f t="shared" si="25"/>
        <v>778844.6090528355</v>
      </c>
      <c r="L431">
        <v>9.6798449718982396E-2</v>
      </c>
      <c r="M431">
        <f t="shared" si="26"/>
        <v>24.199612429745599</v>
      </c>
      <c r="N431" s="2" t="s">
        <v>576</v>
      </c>
      <c r="O431" s="2">
        <f>VLOOKUP(A431,'Coal savings'!$A$3:$K$543,10,FALSE)</f>
        <v>0</v>
      </c>
      <c r="P431" s="2">
        <f t="shared" si="27"/>
        <v>0</v>
      </c>
      <c r="Q431">
        <f>VLOOKUP(A431,'[13]Thermal generation Mar 19 - Feb'!$C$2:$D$680,2,FALSE)</f>
        <v>1207.57</v>
      </c>
    </row>
    <row r="432" spans="1:17" x14ac:dyDescent="0.2">
      <c r="A432" s="2" t="s">
        <v>304</v>
      </c>
      <c r="B432" t="s">
        <v>617</v>
      </c>
      <c r="C432" t="s">
        <v>626</v>
      </c>
      <c r="D432" t="s">
        <v>570</v>
      </c>
      <c r="E432" t="s">
        <v>544</v>
      </c>
      <c r="F432" s="36">
        <v>13.0102669404517</v>
      </c>
      <c r="G432">
        <v>250</v>
      </c>
      <c r="H432">
        <v>2.2400000000000002</v>
      </c>
      <c r="I432">
        <f t="shared" si="24"/>
        <v>560</v>
      </c>
      <c r="J432" s="2">
        <v>3110.0649254263117</v>
      </c>
      <c r="K432">
        <f t="shared" si="25"/>
        <v>777516.23135657795</v>
      </c>
      <c r="L432">
        <v>0.10363937129574924</v>
      </c>
      <c r="M432">
        <f t="shared" si="26"/>
        <v>25.909842823937311</v>
      </c>
      <c r="N432" s="2" t="s">
        <v>576</v>
      </c>
      <c r="O432" s="2">
        <f>VLOOKUP(A432,'Coal savings'!$A$3:$K$543,10,FALSE)</f>
        <v>0</v>
      </c>
      <c r="P432" s="2">
        <f t="shared" si="27"/>
        <v>0</v>
      </c>
      <c r="Q432">
        <f>VLOOKUP(A432,'[13]Thermal generation Mar 19 - Feb'!$C$2:$D$680,2,FALSE)</f>
        <v>1358.49999999999</v>
      </c>
    </row>
    <row r="433" spans="1:17" x14ac:dyDescent="0.2">
      <c r="A433" s="2" t="s">
        <v>271</v>
      </c>
      <c r="B433" t="s">
        <v>617</v>
      </c>
      <c r="C433" t="s">
        <v>626</v>
      </c>
      <c r="D433" t="s">
        <v>570</v>
      </c>
      <c r="E433" t="s">
        <v>544</v>
      </c>
      <c r="F433" s="36">
        <v>10.17659137577</v>
      </c>
      <c r="G433">
        <v>250</v>
      </c>
      <c r="H433">
        <v>2.2400000000000002</v>
      </c>
      <c r="I433">
        <f t="shared" si="24"/>
        <v>560</v>
      </c>
      <c r="J433" s="2">
        <v>3024.0917455183017</v>
      </c>
      <c r="K433">
        <f t="shared" si="25"/>
        <v>756022.9363795754</v>
      </c>
      <c r="L433">
        <v>0.10363937129574924</v>
      </c>
      <c r="M433">
        <f t="shared" si="26"/>
        <v>25.909842823937311</v>
      </c>
      <c r="N433" s="2" t="s">
        <v>576</v>
      </c>
      <c r="O433" s="2">
        <f>VLOOKUP(A433,'Coal savings'!$A$3:$K$543,10,FALSE)</f>
        <v>0</v>
      </c>
      <c r="P433" s="2">
        <f t="shared" si="27"/>
        <v>0</v>
      </c>
      <c r="Q433">
        <f>VLOOKUP(A433,'[13]Thermal generation Mar 19 - Feb'!$C$2:$D$680,2,FALSE)</f>
        <v>1283.49999999999</v>
      </c>
    </row>
    <row r="434" spans="1:17" x14ac:dyDescent="0.2">
      <c r="A434" s="2" t="s">
        <v>503</v>
      </c>
      <c r="B434" t="s">
        <v>634</v>
      </c>
      <c r="C434" t="s">
        <v>628</v>
      </c>
      <c r="D434" t="s">
        <v>570</v>
      </c>
      <c r="E434" t="s">
        <v>549</v>
      </c>
      <c r="F434" s="36">
        <v>35.2525667351129</v>
      </c>
      <c r="G434">
        <v>110</v>
      </c>
      <c r="H434">
        <v>3.49</v>
      </c>
      <c r="I434">
        <f t="shared" si="24"/>
        <v>383.90000000000003</v>
      </c>
      <c r="J434" s="2">
        <v>3514.0041139908813</v>
      </c>
      <c r="K434">
        <f t="shared" si="25"/>
        <v>386540.45253899693</v>
      </c>
      <c r="L434">
        <v>0.10527848654994208</v>
      </c>
      <c r="M434">
        <f t="shared" si="26"/>
        <v>11.580633520493629</v>
      </c>
      <c r="N434" s="2" t="s">
        <v>576</v>
      </c>
      <c r="O434" s="2">
        <f>VLOOKUP(A434,'Coal savings'!$A$3:$K$543,10,FALSE)</f>
        <v>0</v>
      </c>
      <c r="P434" s="2">
        <f t="shared" si="27"/>
        <v>0</v>
      </c>
      <c r="Q434">
        <f>VLOOKUP(A434,'[13]Thermal generation Mar 19 - Feb'!$C$2:$D$680,2,FALSE)</f>
        <v>241.599999999999</v>
      </c>
    </row>
    <row r="435" spans="1:17" x14ac:dyDescent="0.2">
      <c r="A435" s="2" t="s">
        <v>328</v>
      </c>
      <c r="B435" t="s">
        <v>634</v>
      </c>
      <c r="C435" t="s">
        <v>628</v>
      </c>
      <c r="D435" t="s">
        <v>570</v>
      </c>
      <c r="E435" t="s">
        <v>544</v>
      </c>
      <c r="F435" s="36">
        <v>14.17659137577</v>
      </c>
      <c r="G435">
        <v>210</v>
      </c>
      <c r="H435">
        <v>2.97</v>
      </c>
      <c r="I435">
        <f t="shared" si="24"/>
        <v>623.70000000000005</v>
      </c>
      <c r="J435" s="2">
        <v>3128.2249507079791</v>
      </c>
      <c r="K435">
        <f t="shared" si="25"/>
        <v>656927.23964867566</v>
      </c>
      <c r="L435">
        <v>0.10527848654994208</v>
      </c>
      <c r="M435">
        <f t="shared" si="26"/>
        <v>22.108482175487836</v>
      </c>
      <c r="N435" s="2" t="s">
        <v>576</v>
      </c>
      <c r="O435" s="2">
        <f>VLOOKUP(A435,'Coal savings'!$A$3:$K$543,10,FALSE)</f>
        <v>0</v>
      </c>
      <c r="P435" s="2">
        <f t="shared" si="27"/>
        <v>0</v>
      </c>
      <c r="Q435">
        <f>VLOOKUP(A435,'[13]Thermal generation Mar 19 - Feb'!$C$2:$D$680,2,FALSE)</f>
        <v>1058.3699999999999</v>
      </c>
    </row>
    <row r="436" spans="1:17" x14ac:dyDescent="0.2">
      <c r="A436" s="2" t="s">
        <v>320</v>
      </c>
      <c r="B436" t="s">
        <v>634</v>
      </c>
      <c r="C436" t="s">
        <v>628</v>
      </c>
      <c r="D436" t="s">
        <v>570</v>
      </c>
      <c r="E436" t="s">
        <v>544</v>
      </c>
      <c r="F436" s="36">
        <v>13.423682409308601</v>
      </c>
      <c r="G436">
        <v>210</v>
      </c>
      <c r="H436">
        <v>2.97</v>
      </c>
      <c r="I436">
        <f t="shared" si="24"/>
        <v>623.70000000000005</v>
      </c>
      <c r="J436" s="2">
        <v>3113.7527348826593</v>
      </c>
      <c r="K436">
        <f t="shared" si="25"/>
        <v>653888.0743253585</v>
      </c>
      <c r="L436">
        <v>0.10527848654994208</v>
      </c>
      <c r="M436">
        <f t="shared" si="26"/>
        <v>22.108482175487836</v>
      </c>
      <c r="N436" s="2" t="s">
        <v>576</v>
      </c>
      <c r="O436" s="2">
        <f>VLOOKUP(A436,'Coal savings'!$A$3:$K$543,10,FALSE)</f>
        <v>0</v>
      </c>
      <c r="P436" s="2">
        <f t="shared" si="27"/>
        <v>0</v>
      </c>
      <c r="Q436">
        <f>VLOOKUP(A436,'[13]Thermal generation Mar 19 - Feb'!$C$2:$D$680,2,FALSE)</f>
        <v>1097.6899999999901</v>
      </c>
    </row>
    <row r="437" spans="1:17" x14ac:dyDescent="0.2">
      <c r="A437" s="2" t="s">
        <v>309</v>
      </c>
      <c r="B437" t="s">
        <v>617</v>
      </c>
      <c r="C437" t="s">
        <v>626</v>
      </c>
      <c r="D437" t="s">
        <v>570</v>
      </c>
      <c r="E437" t="s">
        <v>544</v>
      </c>
      <c r="F437" s="36">
        <v>13.2539356605065</v>
      </c>
      <c r="G437">
        <v>250</v>
      </c>
      <c r="H437">
        <v>3.46</v>
      </c>
      <c r="I437">
        <f t="shared" si="24"/>
        <v>865</v>
      </c>
      <c r="J437" s="2">
        <v>3152.7502878454056</v>
      </c>
      <c r="K437">
        <f t="shared" si="25"/>
        <v>788187.57196135144</v>
      </c>
      <c r="L437">
        <v>0.10765374232246352</v>
      </c>
      <c r="M437">
        <f t="shared" si="26"/>
        <v>26.913435580615882</v>
      </c>
      <c r="N437" s="2" t="s">
        <v>576</v>
      </c>
      <c r="O437" s="2">
        <f>VLOOKUP(A437,'Coal savings'!$A$3:$K$543,10,FALSE)</f>
        <v>0</v>
      </c>
      <c r="P437" s="2">
        <f t="shared" si="27"/>
        <v>0</v>
      </c>
      <c r="Q437">
        <f>VLOOKUP(A437,'[13]Thermal generation Mar 19 - Feb'!$C$2:$D$680,2,FALSE)</f>
        <v>641.94000000000005</v>
      </c>
    </row>
    <row r="438" spans="1:17" x14ac:dyDescent="0.2">
      <c r="A438" s="2" t="s">
        <v>275</v>
      </c>
      <c r="B438" t="s">
        <v>617</v>
      </c>
      <c r="C438" t="s">
        <v>626</v>
      </c>
      <c r="D438" t="s">
        <v>570</v>
      </c>
      <c r="E438" t="s">
        <v>544</v>
      </c>
      <c r="F438" s="36">
        <v>10.2532511978097</v>
      </c>
      <c r="G438">
        <v>250</v>
      </c>
      <c r="H438">
        <v>3.46</v>
      </c>
      <c r="I438">
        <f t="shared" si="24"/>
        <v>865</v>
      </c>
      <c r="J438" s="2">
        <v>3149.5090032066091</v>
      </c>
      <c r="K438">
        <f t="shared" si="25"/>
        <v>787377.25080165232</v>
      </c>
      <c r="L438">
        <v>0.10765374232246352</v>
      </c>
      <c r="M438">
        <f t="shared" si="26"/>
        <v>26.913435580615882</v>
      </c>
      <c r="N438" s="2" t="s">
        <v>576</v>
      </c>
      <c r="O438" s="2">
        <f>VLOOKUP(A438,'Coal savings'!$A$3:$K$543,10,FALSE)</f>
        <v>0</v>
      </c>
      <c r="P438" s="2">
        <f t="shared" si="27"/>
        <v>0</v>
      </c>
      <c r="Q438">
        <f>VLOOKUP(A438,'[13]Thermal generation Mar 19 - Feb'!$C$2:$D$680,2,FALSE)</f>
        <v>766.29999999999905</v>
      </c>
    </row>
    <row r="439" spans="1:17" x14ac:dyDescent="0.2">
      <c r="A439" s="2" t="s">
        <v>464</v>
      </c>
      <c r="B439" t="s">
        <v>612</v>
      </c>
      <c r="C439" t="s">
        <v>627</v>
      </c>
      <c r="D439" t="s">
        <v>570</v>
      </c>
      <c r="E439" t="s">
        <v>549</v>
      </c>
      <c r="F439" s="36">
        <v>35.175906913073199</v>
      </c>
      <c r="G439">
        <v>210</v>
      </c>
      <c r="H439">
        <v>3.59</v>
      </c>
      <c r="I439">
        <f t="shared" si="24"/>
        <v>753.9</v>
      </c>
      <c r="J439" s="2">
        <v>3345.6637458790274</v>
      </c>
      <c r="K439">
        <f t="shared" si="25"/>
        <v>702589.38663459569</v>
      </c>
      <c r="L439">
        <v>9.2407885740745169E-2</v>
      </c>
      <c r="M439">
        <f t="shared" si="26"/>
        <v>19.405656005556484</v>
      </c>
      <c r="N439" s="2" t="s">
        <v>576</v>
      </c>
      <c r="O439" s="2">
        <f>VLOOKUP(A439,'Coal savings'!$A$3:$K$543,10,FALSE)</f>
        <v>0</v>
      </c>
      <c r="P439" s="2">
        <f t="shared" si="27"/>
        <v>0</v>
      </c>
      <c r="Q439">
        <f>VLOOKUP(A439,'[13]Thermal generation Mar 19 - Feb'!$C$2:$D$680,2,FALSE)</f>
        <v>783.07</v>
      </c>
    </row>
    <row r="440" spans="1:17" x14ac:dyDescent="0.2">
      <c r="A440" s="2" t="s">
        <v>457</v>
      </c>
      <c r="B440" t="s">
        <v>612</v>
      </c>
      <c r="C440" t="s">
        <v>627</v>
      </c>
      <c r="D440" t="s">
        <v>570</v>
      </c>
      <c r="E440" t="s">
        <v>548</v>
      </c>
      <c r="F440" s="36">
        <v>34.176591375770002</v>
      </c>
      <c r="G440">
        <v>210</v>
      </c>
      <c r="H440">
        <v>3.59</v>
      </c>
      <c r="I440">
        <f t="shared" si="24"/>
        <v>753.9</v>
      </c>
      <c r="J440" s="2">
        <v>3330.9871675598238</v>
      </c>
      <c r="K440">
        <f t="shared" si="25"/>
        <v>699507.30518756295</v>
      </c>
      <c r="L440">
        <v>9.2407885740745169E-2</v>
      </c>
      <c r="M440">
        <f t="shared" si="26"/>
        <v>19.405656005556484</v>
      </c>
      <c r="N440" s="2" t="s">
        <v>576</v>
      </c>
      <c r="O440" s="2">
        <f>VLOOKUP(A440,'Coal savings'!$A$3:$K$543,10,FALSE)</f>
        <v>0</v>
      </c>
      <c r="P440" s="2">
        <f t="shared" si="27"/>
        <v>0</v>
      </c>
      <c r="Q440">
        <f>VLOOKUP(A440,'[13]Thermal generation Mar 19 - Feb'!$C$2:$D$680,2,FALSE)</f>
        <v>1051.51</v>
      </c>
    </row>
    <row r="441" spans="1:17" x14ac:dyDescent="0.2">
      <c r="A441" s="2" t="s">
        <v>424</v>
      </c>
      <c r="B441" t="s">
        <v>612</v>
      </c>
      <c r="C441" t="s">
        <v>627</v>
      </c>
      <c r="D441" t="s">
        <v>570</v>
      </c>
      <c r="E441" t="s">
        <v>547</v>
      </c>
      <c r="F441" s="36">
        <v>29.177275838466802</v>
      </c>
      <c r="G441">
        <v>210</v>
      </c>
      <c r="H441">
        <v>3.59</v>
      </c>
      <c r="I441">
        <f t="shared" si="24"/>
        <v>753.9</v>
      </c>
      <c r="J441" s="2">
        <v>3253.9959911740689</v>
      </c>
      <c r="K441">
        <f t="shared" si="25"/>
        <v>683339.15814655449</v>
      </c>
      <c r="L441">
        <v>9.2407885740745169E-2</v>
      </c>
      <c r="M441">
        <f t="shared" si="26"/>
        <v>19.405656005556484</v>
      </c>
      <c r="N441" s="2" t="s">
        <v>576</v>
      </c>
      <c r="O441" s="2">
        <f>VLOOKUP(A441,'Coal savings'!$A$3:$K$543,10,FALSE)</f>
        <v>0</v>
      </c>
      <c r="P441" s="2">
        <f t="shared" si="27"/>
        <v>0</v>
      </c>
      <c r="Q441">
        <f>VLOOKUP(A441,'[13]Thermal generation Mar 19 - Feb'!$C$2:$D$680,2,FALSE)</f>
        <v>869.479999999999</v>
      </c>
    </row>
    <row r="442" spans="1:17" x14ac:dyDescent="0.2">
      <c r="A442" s="2" t="s">
        <v>402</v>
      </c>
      <c r="B442" t="s">
        <v>612</v>
      </c>
      <c r="C442" t="s">
        <v>627</v>
      </c>
      <c r="D442" t="s">
        <v>570</v>
      </c>
      <c r="E442" t="s">
        <v>547</v>
      </c>
      <c r="F442" s="36">
        <v>25.672826830937701</v>
      </c>
      <c r="G442">
        <v>210</v>
      </c>
      <c r="H442">
        <v>3.59</v>
      </c>
      <c r="I442">
        <f t="shared" si="24"/>
        <v>753.9</v>
      </c>
      <c r="J442" s="2">
        <v>3163.0810621639057</v>
      </c>
      <c r="K442">
        <f t="shared" si="25"/>
        <v>664247.02305442025</v>
      </c>
      <c r="L442">
        <v>9.2407885740745169E-2</v>
      </c>
      <c r="M442">
        <f t="shared" si="26"/>
        <v>19.405656005556484</v>
      </c>
      <c r="N442" s="2" t="s">
        <v>576</v>
      </c>
      <c r="O442" s="2">
        <f>VLOOKUP(A442,'Coal savings'!$A$3:$K$543,10,FALSE)</f>
        <v>0</v>
      </c>
      <c r="P442" s="2">
        <f t="shared" si="27"/>
        <v>0</v>
      </c>
      <c r="Q442">
        <f>VLOOKUP(A442,'[13]Thermal generation Mar 19 - Feb'!$C$2:$D$680,2,FALSE)</f>
        <v>1290.5</v>
      </c>
    </row>
    <row r="443" spans="1:17" x14ac:dyDescent="0.2">
      <c r="A443" s="2" t="s">
        <v>378</v>
      </c>
      <c r="B443" t="s">
        <v>612</v>
      </c>
      <c r="C443" t="s">
        <v>627</v>
      </c>
      <c r="D443" t="s">
        <v>570</v>
      </c>
      <c r="E443" t="s">
        <v>546</v>
      </c>
      <c r="F443" s="36">
        <v>21.338809034907499</v>
      </c>
      <c r="G443">
        <v>210</v>
      </c>
      <c r="H443">
        <v>3.59</v>
      </c>
      <c r="I443">
        <f t="shared" si="24"/>
        <v>753.9</v>
      </c>
      <c r="J443" s="2">
        <v>3147.8796388232222</v>
      </c>
      <c r="K443">
        <f t="shared" si="25"/>
        <v>661054.72415287665</v>
      </c>
      <c r="L443">
        <v>9.2407885740745169E-2</v>
      </c>
      <c r="M443">
        <f t="shared" si="26"/>
        <v>19.405656005556484</v>
      </c>
      <c r="N443" s="2" t="s">
        <v>576</v>
      </c>
      <c r="O443" s="2">
        <f>VLOOKUP(A443,'Coal savings'!$A$3:$K$543,10,FALSE)</f>
        <v>0</v>
      </c>
      <c r="P443" s="2">
        <f t="shared" si="27"/>
        <v>0</v>
      </c>
      <c r="Q443">
        <f>VLOOKUP(A443,'[13]Thermal generation Mar 19 - Feb'!$C$2:$D$680,2,FALSE)</f>
        <v>1123.74</v>
      </c>
    </row>
    <row r="444" spans="1:17" x14ac:dyDescent="0.2">
      <c r="A444" s="2" t="s">
        <v>374</v>
      </c>
      <c r="B444" t="s">
        <v>612</v>
      </c>
      <c r="C444" t="s">
        <v>627</v>
      </c>
      <c r="D444" t="s">
        <v>570</v>
      </c>
      <c r="E444" t="s">
        <v>546</v>
      </c>
      <c r="F444" s="36">
        <v>20.843258042436599</v>
      </c>
      <c r="G444">
        <v>210</v>
      </c>
      <c r="H444">
        <v>3.59</v>
      </c>
      <c r="I444">
        <f t="shared" si="24"/>
        <v>753.9</v>
      </c>
      <c r="J444" s="2">
        <v>3182.1222761559566</v>
      </c>
      <c r="K444">
        <f t="shared" si="25"/>
        <v>668245.67799275089</v>
      </c>
      <c r="L444">
        <v>9.2407885740745169E-2</v>
      </c>
      <c r="M444">
        <f t="shared" si="26"/>
        <v>19.405656005556484</v>
      </c>
      <c r="N444" s="2" t="s">
        <v>576</v>
      </c>
      <c r="O444" s="2">
        <f>VLOOKUP(A444,'Coal savings'!$A$3:$K$543,10,FALSE)</f>
        <v>0</v>
      </c>
      <c r="P444" s="2">
        <f t="shared" si="27"/>
        <v>0</v>
      </c>
      <c r="Q444">
        <f>VLOOKUP(A444,'[13]Thermal generation Mar 19 - Feb'!$C$2:$D$680,2,FALSE)</f>
        <v>1133.1099999999999</v>
      </c>
    </row>
    <row r="445" spans="1:17" x14ac:dyDescent="0.2">
      <c r="A445" s="2" t="s">
        <v>350</v>
      </c>
      <c r="B445" t="s">
        <v>612</v>
      </c>
      <c r="C445" t="s">
        <v>627</v>
      </c>
      <c r="D445" t="s">
        <v>570</v>
      </c>
      <c r="E445" t="s">
        <v>545</v>
      </c>
      <c r="F445" s="36">
        <v>17.423682409308601</v>
      </c>
      <c r="G445">
        <v>210</v>
      </c>
      <c r="H445">
        <v>3.59</v>
      </c>
      <c r="I445">
        <f t="shared" si="24"/>
        <v>753.9</v>
      </c>
      <c r="J445" s="2">
        <v>3196.290130565716</v>
      </c>
      <c r="K445">
        <f t="shared" si="25"/>
        <v>671220.92741880042</v>
      </c>
      <c r="L445">
        <v>9.2407885740745169E-2</v>
      </c>
      <c r="M445">
        <f t="shared" si="26"/>
        <v>19.405656005556484</v>
      </c>
      <c r="N445" s="2" t="s">
        <v>576</v>
      </c>
      <c r="O445" s="2">
        <f>VLOOKUP(A445,'Coal savings'!$A$3:$K$543,10,FALSE)</f>
        <v>0</v>
      </c>
      <c r="P445" s="2">
        <f t="shared" si="27"/>
        <v>0</v>
      </c>
      <c r="Q445">
        <f>VLOOKUP(A445,'[13]Thermal generation Mar 19 - Feb'!$C$2:$D$680,2,FALSE)</f>
        <v>958.3</v>
      </c>
    </row>
    <row r="446" spans="1:17" x14ac:dyDescent="0.2">
      <c r="A446" s="2" t="s">
        <v>529</v>
      </c>
      <c r="B446" t="s">
        <v>610</v>
      </c>
      <c r="C446" t="s">
        <v>627</v>
      </c>
      <c r="D446" t="s">
        <v>570</v>
      </c>
      <c r="E446" t="s">
        <v>551</v>
      </c>
      <c r="F446" s="36">
        <v>48.591375770020498</v>
      </c>
      <c r="G446">
        <v>62.5</v>
      </c>
      <c r="H446">
        <v>2.98</v>
      </c>
      <c r="I446">
        <f t="shared" si="24"/>
        <v>186.25</v>
      </c>
      <c r="J446" s="2">
        <v>3699.3491748998154</v>
      </c>
      <c r="K446">
        <f t="shared" si="25"/>
        <v>231209.32343123847</v>
      </c>
      <c r="L446">
        <v>0.11094719987198574</v>
      </c>
      <c r="M446">
        <f t="shared" si="26"/>
        <v>6.9341999919991091</v>
      </c>
      <c r="N446" s="2" t="s">
        <v>576</v>
      </c>
      <c r="O446" s="2">
        <f>VLOOKUP(A446,'Coal savings'!$A$3:$K$543,10,FALSE)</f>
        <v>0</v>
      </c>
      <c r="P446" s="2">
        <f t="shared" si="27"/>
        <v>0</v>
      </c>
      <c r="Q446">
        <f>VLOOKUP(A446,'[13]Thermal generation Mar 19 - Feb'!$C$2:$D$680,2,FALSE)</f>
        <v>407.47</v>
      </c>
    </row>
    <row r="447" spans="1:17" x14ac:dyDescent="0.2">
      <c r="A447" s="2" t="s">
        <v>482</v>
      </c>
      <c r="B447" t="s">
        <v>610</v>
      </c>
      <c r="C447" t="s">
        <v>627</v>
      </c>
      <c r="D447" t="s">
        <v>571</v>
      </c>
      <c r="E447" t="s">
        <v>549</v>
      </c>
      <c r="F447" s="36">
        <v>36.591375770020498</v>
      </c>
      <c r="G447">
        <v>200</v>
      </c>
      <c r="H447">
        <v>2.52</v>
      </c>
      <c r="I447">
        <f t="shared" si="24"/>
        <v>504</v>
      </c>
      <c r="J447" s="2">
        <v>3257.6465875413769</v>
      </c>
      <c r="K447">
        <f t="shared" si="25"/>
        <v>651529.31750827539</v>
      </c>
      <c r="L447">
        <v>6.1716058959159902E-2</v>
      </c>
      <c r="M447">
        <f t="shared" si="26"/>
        <v>12.34321179183198</v>
      </c>
      <c r="N447" s="2" t="s">
        <v>576</v>
      </c>
      <c r="O447" s="2">
        <f>VLOOKUP(A447,'Coal savings'!$A$3:$K$543,10,FALSE)</f>
        <v>0</v>
      </c>
      <c r="P447" s="2">
        <f t="shared" si="27"/>
        <v>0</v>
      </c>
      <c r="Q447">
        <f>VLOOKUP(A447,'[13]Thermal generation Mar 19 - Feb'!$C$2:$D$680,2,FALSE)</f>
        <v>1264.1199999999999</v>
      </c>
    </row>
    <row r="448" spans="1:17" x14ac:dyDescent="0.2">
      <c r="A448" s="2" t="s">
        <v>476</v>
      </c>
      <c r="B448" t="s">
        <v>610</v>
      </c>
      <c r="C448" t="s">
        <v>627</v>
      </c>
      <c r="D448" t="s">
        <v>571</v>
      </c>
      <c r="E448" t="s">
        <v>549</v>
      </c>
      <c r="F448" s="36">
        <v>36.008213552361397</v>
      </c>
      <c r="G448">
        <v>200</v>
      </c>
      <c r="H448">
        <v>2.52</v>
      </c>
      <c r="I448">
        <f t="shared" si="24"/>
        <v>504</v>
      </c>
      <c r="J448" s="2">
        <v>3238.4989763986628</v>
      </c>
      <c r="K448">
        <f t="shared" si="25"/>
        <v>647699.79527973256</v>
      </c>
      <c r="L448">
        <v>6.1716058959159902E-2</v>
      </c>
      <c r="M448">
        <f t="shared" si="26"/>
        <v>12.34321179183198</v>
      </c>
      <c r="N448" s="2" t="s">
        <v>576</v>
      </c>
      <c r="O448" s="2">
        <f>VLOOKUP(A448,'Coal savings'!$A$3:$K$543,10,FALSE)</f>
        <v>0</v>
      </c>
      <c r="P448" s="2">
        <f t="shared" si="27"/>
        <v>0</v>
      </c>
      <c r="Q448">
        <f>VLOOKUP(A448,'[13]Thermal generation Mar 19 - Feb'!$C$2:$D$680,2,FALSE)</f>
        <v>1272.6499999999901</v>
      </c>
    </row>
    <row r="449" spans="1:17" x14ac:dyDescent="0.2">
      <c r="A449" s="2" t="s">
        <v>470</v>
      </c>
      <c r="B449" t="s">
        <v>610</v>
      </c>
      <c r="C449" t="s">
        <v>627</v>
      </c>
      <c r="D449" t="s">
        <v>571</v>
      </c>
      <c r="E449" t="s">
        <v>549</v>
      </c>
      <c r="F449" s="36">
        <v>35.422313483915097</v>
      </c>
      <c r="G449">
        <v>200</v>
      </c>
      <c r="H449">
        <v>2.52</v>
      </c>
      <c r="I449">
        <f t="shared" si="24"/>
        <v>504</v>
      </c>
      <c r="J449" s="2">
        <v>3222.8333157801794</v>
      </c>
      <c r="K449">
        <f t="shared" si="25"/>
        <v>644566.66315603594</v>
      </c>
      <c r="L449">
        <v>6.1716058959159902E-2</v>
      </c>
      <c r="M449">
        <f t="shared" si="26"/>
        <v>12.34321179183198</v>
      </c>
      <c r="N449" s="2" t="s">
        <v>576</v>
      </c>
      <c r="O449" s="2">
        <f>VLOOKUP(A449,'Coal savings'!$A$3:$K$543,10,FALSE)</f>
        <v>0</v>
      </c>
      <c r="P449" s="2">
        <f t="shared" si="27"/>
        <v>0</v>
      </c>
      <c r="Q449">
        <f>VLOOKUP(A449,'[13]Thermal generation Mar 19 - Feb'!$C$2:$D$680,2,FALSE)</f>
        <v>1390.1799999999901</v>
      </c>
    </row>
    <row r="450" spans="1:17" x14ac:dyDescent="0.2">
      <c r="A450" s="2" t="s">
        <v>329</v>
      </c>
      <c r="B450" t="s">
        <v>611</v>
      </c>
      <c r="C450" t="s">
        <v>626</v>
      </c>
      <c r="D450" t="s">
        <v>572</v>
      </c>
      <c r="E450" t="s">
        <v>543</v>
      </c>
      <c r="F450" s="36">
        <v>7.2525667351129304</v>
      </c>
      <c r="G450">
        <v>50</v>
      </c>
      <c r="H450">
        <v>1.7</v>
      </c>
      <c r="I450">
        <f t="shared" si="24"/>
        <v>85</v>
      </c>
      <c r="J450" s="2">
        <v>3226.9664843936071</v>
      </c>
      <c r="K450">
        <f t="shared" si="25"/>
        <v>161348.32421968036</v>
      </c>
      <c r="L450">
        <v>0.13697380423430899</v>
      </c>
      <c r="M450">
        <f t="shared" si="26"/>
        <v>6.84869021171545</v>
      </c>
      <c r="N450" s="2" t="s">
        <v>576</v>
      </c>
      <c r="O450" s="2">
        <f>VLOOKUP(A450,'Coal savings'!$A$3:$K$543,10,FALSE)</f>
        <v>0</v>
      </c>
      <c r="P450" s="2">
        <f t="shared" si="27"/>
        <v>0</v>
      </c>
      <c r="Q450">
        <f>VLOOKUP(A450,'[13]Thermal generation Mar 19 - Feb'!$C$2:$D$680,2,FALSE)</f>
        <v>327.31999999999903</v>
      </c>
    </row>
    <row r="451" spans="1:17" x14ac:dyDescent="0.2">
      <c r="A451" s="2" t="s">
        <v>295</v>
      </c>
      <c r="B451" t="s">
        <v>611</v>
      </c>
      <c r="C451" t="s">
        <v>626</v>
      </c>
      <c r="D451" t="s">
        <v>572</v>
      </c>
      <c r="E451" t="s">
        <v>542</v>
      </c>
      <c r="F451" s="36">
        <v>3.5044490075290802</v>
      </c>
      <c r="G451">
        <v>50</v>
      </c>
      <c r="H451">
        <v>1.7</v>
      </c>
      <c r="I451">
        <f t="shared" ref="I451:I514" si="28">H451*G451</f>
        <v>85</v>
      </c>
      <c r="J451" s="2">
        <v>3157.753028527653</v>
      </c>
      <c r="K451">
        <f t="shared" ref="K451:K514" si="29">J451*G451</f>
        <v>157887.65142638265</v>
      </c>
      <c r="L451" s="1">
        <v>0.13697380423430899</v>
      </c>
      <c r="M451">
        <f t="shared" ref="M451:M514" si="30">L451*G451</f>
        <v>6.84869021171545</v>
      </c>
      <c r="N451" s="2" t="s">
        <v>576</v>
      </c>
      <c r="O451" s="2">
        <f>VLOOKUP(A451,'Coal savings'!$A$3:$K$543,10,FALSE)</f>
        <v>0</v>
      </c>
      <c r="P451" s="2">
        <f t="shared" ref="P451:P514" si="31">O451*G451</f>
        <v>0</v>
      </c>
      <c r="Q451">
        <f>VLOOKUP(A451,'[13]Thermal generation Mar 19 - Feb'!$C$2:$D$680,2,FALSE)</f>
        <v>390.66</v>
      </c>
    </row>
    <row r="452" spans="1:17" x14ac:dyDescent="0.2">
      <c r="A452" s="2" t="s">
        <v>407</v>
      </c>
      <c r="B452" t="s">
        <v>614</v>
      </c>
      <c r="C452" t="s">
        <v>627</v>
      </c>
      <c r="D452" t="s">
        <v>570</v>
      </c>
      <c r="E452" t="s">
        <v>547</v>
      </c>
      <c r="F452" s="36">
        <v>26.176591375769998</v>
      </c>
      <c r="G452">
        <v>210</v>
      </c>
      <c r="H452">
        <v>3.61</v>
      </c>
      <c r="I452">
        <f t="shared" si="28"/>
        <v>758.1</v>
      </c>
      <c r="J452" s="2">
        <v>3215.5918627423598</v>
      </c>
      <c r="K452">
        <f t="shared" si="29"/>
        <v>675274.2911758956</v>
      </c>
      <c r="L452">
        <v>0.10362859790133408</v>
      </c>
      <c r="M452">
        <f t="shared" si="30"/>
        <v>21.762005559280158</v>
      </c>
      <c r="N452" s="2" t="s">
        <v>576</v>
      </c>
      <c r="O452" s="2">
        <f>VLOOKUP(A452,'Coal savings'!$A$3:$K$543,10,FALSE)</f>
        <v>0</v>
      </c>
      <c r="P452" s="2">
        <f t="shared" si="31"/>
        <v>0</v>
      </c>
      <c r="Q452">
        <f>VLOOKUP(A452,'[13]Thermal generation Mar 19 - Feb'!$C$2:$D$680,2,FALSE)</f>
        <v>958.3</v>
      </c>
    </row>
    <row r="453" spans="1:17" x14ac:dyDescent="0.2">
      <c r="A453" s="2" t="s">
        <v>401</v>
      </c>
      <c r="B453" t="s">
        <v>614</v>
      </c>
      <c r="C453" t="s">
        <v>627</v>
      </c>
      <c r="D453" t="s">
        <v>570</v>
      </c>
      <c r="E453" t="s">
        <v>547</v>
      </c>
      <c r="F453" s="36">
        <v>25.2539356605065</v>
      </c>
      <c r="G453">
        <v>210</v>
      </c>
      <c r="H453">
        <v>3.61</v>
      </c>
      <c r="I453">
        <f t="shared" si="28"/>
        <v>758.1</v>
      </c>
      <c r="J453" s="2">
        <v>3237.3382529434011</v>
      </c>
      <c r="K453">
        <f t="shared" si="29"/>
        <v>679841.03311811422</v>
      </c>
      <c r="L453">
        <v>0.10362859790133408</v>
      </c>
      <c r="M453">
        <f t="shared" si="30"/>
        <v>21.762005559280158</v>
      </c>
      <c r="N453" s="2" t="s">
        <v>576</v>
      </c>
      <c r="O453" s="2">
        <f>VLOOKUP(A453,'Coal savings'!$A$3:$K$543,10,FALSE)</f>
        <v>0</v>
      </c>
      <c r="P453" s="2">
        <f t="shared" si="31"/>
        <v>0</v>
      </c>
      <c r="Q453">
        <f>VLOOKUP(A453,'[13]Thermal generation Mar 19 - Feb'!$C$2:$D$680,2,FALSE)</f>
        <v>632.92999999999995</v>
      </c>
    </row>
    <row r="454" spans="1:17" x14ac:dyDescent="0.2">
      <c r="A454" s="2" t="s">
        <v>319</v>
      </c>
      <c r="B454" t="s">
        <v>614</v>
      </c>
      <c r="C454" t="s">
        <v>627</v>
      </c>
      <c r="D454" t="s">
        <v>570</v>
      </c>
      <c r="E454" t="s">
        <v>544</v>
      </c>
      <c r="F454" s="36">
        <v>13.3388090349075</v>
      </c>
      <c r="G454">
        <v>210</v>
      </c>
      <c r="H454">
        <v>3.61</v>
      </c>
      <c r="I454">
        <f t="shared" si="28"/>
        <v>758.1</v>
      </c>
      <c r="J454" s="2">
        <v>3131.9984292409026</v>
      </c>
      <c r="K454">
        <f t="shared" si="29"/>
        <v>657719.67014058959</v>
      </c>
      <c r="L454">
        <v>0.10362859790133408</v>
      </c>
      <c r="M454">
        <f t="shared" si="30"/>
        <v>21.762005559280158</v>
      </c>
      <c r="N454" s="2" t="s">
        <v>576</v>
      </c>
      <c r="O454" s="2">
        <f>VLOOKUP(A454,'Coal savings'!$A$3:$K$543,10,FALSE)</f>
        <v>0</v>
      </c>
      <c r="P454" s="2">
        <f t="shared" si="31"/>
        <v>0</v>
      </c>
      <c r="Q454">
        <f>VLOOKUP(A454,'[13]Thermal generation Mar 19 - Feb'!$C$2:$D$680,2,FALSE)</f>
        <v>1123.27</v>
      </c>
    </row>
    <row r="455" spans="1:17" x14ac:dyDescent="0.2">
      <c r="A455" s="2" t="s">
        <v>315</v>
      </c>
      <c r="B455" t="s">
        <v>614</v>
      </c>
      <c r="C455" t="s">
        <v>627</v>
      </c>
      <c r="D455" t="s">
        <v>570</v>
      </c>
      <c r="E455" t="s">
        <v>544</v>
      </c>
      <c r="F455" s="36">
        <v>12.5065023956194</v>
      </c>
      <c r="G455">
        <v>210</v>
      </c>
      <c r="H455">
        <v>3.61</v>
      </c>
      <c r="I455">
        <f t="shared" si="28"/>
        <v>758.1</v>
      </c>
      <c r="J455" s="2">
        <v>3099.6100397882587</v>
      </c>
      <c r="K455">
        <f t="shared" si="29"/>
        <v>650918.10835553438</v>
      </c>
      <c r="L455">
        <v>0.10362859790133408</v>
      </c>
      <c r="M455">
        <f t="shared" si="30"/>
        <v>21.762005559280158</v>
      </c>
      <c r="N455" s="2" t="s">
        <v>576</v>
      </c>
      <c r="O455" s="2">
        <f>VLOOKUP(A455,'Coal savings'!$A$3:$K$543,10,FALSE)</f>
        <v>0</v>
      </c>
      <c r="P455" s="2">
        <f t="shared" si="31"/>
        <v>0</v>
      </c>
      <c r="Q455">
        <f>VLOOKUP(A455,'[13]Thermal generation Mar 19 - Feb'!$C$2:$D$680,2,FALSE)</f>
        <v>969.99999999999898</v>
      </c>
    </row>
    <row r="456" spans="1:17" x14ac:dyDescent="0.2">
      <c r="A456" s="2" t="s">
        <v>285</v>
      </c>
      <c r="B456" t="s">
        <v>614</v>
      </c>
      <c r="C456" t="s">
        <v>627</v>
      </c>
      <c r="D456" t="s">
        <v>570</v>
      </c>
      <c r="E456" t="s">
        <v>543</v>
      </c>
      <c r="F456" s="36">
        <v>9.4236824093086895</v>
      </c>
      <c r="G456">
        <v>210</v>
      </c>
      <c r="H456">
        <v>3.61</v>
      </c>
      <c r="I456">
        <f t="shared" si="28"/>
        <v>758.1</v>
      </c>
      <c r="J456" s="2">
        <v>3119.281222848228</v>
      </c>
      <c r="K456">
        <f t="shared" si="29"/>
        <v>655049.05679812783</v>
      </c>
      <c r="L456">
        <v>0.10362859790133408</v>
      </c>
      <c r="M456">
        <f t="shared" si="30"/>
        <v>21.762005559280158</v>
      </c>
      <c r="N456" s="2" t="s">
        <v>576</v>
      </c>
      <c r="O456" s="2">
        <f>VLOOKUP(A456,'Coal savings'!$A$3:$K$543,10,FALSE)</f>
        <v>0</v>
      </c>
      <c r="P456" s="2">
        <f t="shared" si="31"/>
        <v>0</v>
      </c>
      <c r="Q456">
        <f>VLOOKUP(A456,'[13]Thermal generation Mar 19 - Feb'!$C$2:$D$680,2,FALSE)</f>
        <v>697.93999999999903</v>
      </c>
    </row>
    <row r="457" spans="1:17" x14ac:dyDescent="0.2">
      <c r="A457" s="2" t="s">
        <v>446</v>
      </c>
      <c r="B457" t="s">
        <v>618</v>
      </c>
      <c r="C457" t="s">
        <v>628</v>
      </c>
      <c r="D457" t="s">
        <v>570</v>
      </c>
      <c r="E457" t="s">
        <v>548</v>
      </c>
      <c r="F457" s="36">
        <v>32.175222450376403</v>
      </c>
      <c r="G457">
        <v>210</v>
      </c>
      <c r="H457">
        <v>3.78</v>
      </c>
      <c r="I457">
        <f t="shared" si="28"/>
        <v>793.8</v>
      </c>
      <c r="J457" s="2">
        <v>3410.0216229920266</v>
      </c>
      <c r="K457">
        <f t="shared" si="29"/>
        <v>716104.54082832555</v>
      </c>
      <c r="L457">
        <v>8.4396929249325001E-2</v>
      </c>
      <c r="M457">
        <f t="shared" si="30"/>
        <v>17.723355142358251</v>
      </c>
      <c r="N457" s="2" t="s">
        <v>576</v>
      </c>
      <c r="O457" s="2">
        <f>VLOOKUP(A457,'Coal savings'!$A$3:$K$543,10,FALSE)</f>
        <v>0</v>
      </c>
      <c r="P457" s="2">
        <f t="shared" si="31"/>
        <v>0</v>
      </c>
      <c r="Q457">
        <f>VLOOKUP(A457,'[13]Thermal generation Mar 19 - Feb'!$C$2:$D$680,2,FALSE)</f>
        <v>235.6</v>
      </c>
    </row>
    <row r="458" spans="1:17" x14ac:dyDescent="0.2">
      <c r="A458" s="2" t="s">
        <v>441</v>
      </c>
      <c r="B458" t="s">
        <v>618</v>
      </c>
      <c r="C458" t="s">
        <v>628</v>
      </c>
      <c r="D458" t="s">
        <v>570</v>
      </c>
      <c r="E458" t="s">
        <v>548</v>
      </c>
      <c r="F458" s="36">
        <v>31.337440109513999</v>
      </c>
      <c r="G458">
        <v>210</v>
      </c>
      <c r="H458">
        <v>3.78</v>
      </c>
      <c r="I458">
        <f t="shared" si="28"/>
        <v>793.8</v>
      </c>
      <c r="J458" s="2">
        <v>3403.904542636305</v>
      </c>
      <c r="K458">
        <f t="shared" si="29"/>
        <v>714819.953953624</v>
      </c>
      <c r="L458">
        <v>8.4396929249325001E-2</v>
      </c>
      <c r="M458">
        <f t="shared" si="30"/>
        <v>17.723355142358251</v>
      </c>
      <c r="N458" s="2" t="s">
        <v>576</v>
      </c>
      <c r="O458" s="2">
        <f>VLOOKUP(A458,'Coal savings'!$A$3:$K$543,10,FALSE)</f>
        <v>0</v>
      </c>
      <c r="P458" s="2">
        <f t="shared" si="31"/>
        <v>0</v>
      </c>
      <c r="Q458">
        <f>VLOOKUP(A458,'[13]Thermal generation Mar 19 - Feb'!$C$2:$D$680,2,FALSE)</f>
        <v>349.68</v>
      </c>
    </row>
    <row r="459" spans="1:17" x14ac:dyDescent="0.2">
      <c r="A459" s="2" t="s">
        <v>418</v>
      </c>
      <c r="B459" t="s">
        <v>618</v>
      </c>
      <c r="C459" t="s">
        <v>628</v>
      </c>
      <c r="D459" t="s">
        <v>570</v>
      </c>
      <c r="E459" t="s">
        <v>547</v>
      </c>
      <c r="F459" s="36">
        <v>28.175222450376399</v>
      </c>
      <c r="G459">
        <v>210</v>
      </c>
      <c r="H459">
        <v>3.78</v>
      </c>
      <c r="I459">
        <f t="shared" si="28"/>
        <v>793.8</v>
      </c>
      <c r="J459" s="2">
        <v>3364.3324329605211</v>
      </c>
      <c r="K459">
        <f t="shared" si="29"/>
        <v>706509.8109217094</v>
      </c>
      <c r="L459">
        <v>8.4396929249325001E-2</v>
      </c>
      <c r="M459">
        <f t="shared" si="30"/>
        <v>17.723355142358251</v>
      </c>
      <c r="N459" s="2" t="s">
        <v>576</v>
      </c>
      <c r="O459" s="2">
        <f>VLOOKUP(A459,'Coal savings'!$A$3:$K$543,10,FALSE)</f>
        <v>0</v>
      </c>
      <c r="P459" s="2">
        <f t="shared" si="31"/>
        <v>0</v>
      </c>
      <c r="Q459">
        <f>VLOOKUP(A459,'[13]Thermal generation Mar 19 - Feb'!$C$2:$D$680,2,FALSE)</f>
        <v>171.24</v>
      </c>
    </row>
    <row r="460" spans="1:17" x14ac:dyDescent="0.2">
      <c r="A460" s="2" t="s">
        <v>415</v>
      </c>
      <c r="B460" t="s">
        <v>618</v>
      </c>
      <c r="C460" t="s">
        <v>628</v>
      </c>
      <c r="D460" t="s">
        <v>570</v>
      </c>
      <c r="E460" t="s">
        <v>547</v>
      </c>
      <c r="F460" s="36">
        <v>27.175906913073199</v>
      </c>
      <c r="G460">
        <v>210</v>
      </c>
      <c r="H460">
        <v>3.78</v>
      </c>
      <c r="I460">
        <f t="shared" si="28"/>
        <v>793.8</v>
      </c>
      <c r="J460" s="2">
        <v>3353.2744571733165</v>
      </c>
      <c r="K460">
        <f t="shared" si="29"/>
        <v>704187.6360063965</v>
      </c>
      <c r="L460">
        <v>8.4396929249325001E-2</v>
      </c>
      <c r="M460">
        <f t="shared" si="30"/>
        <v>17.723355142358251</v>
      </c>
      <c r="N460" s="2" t="s">
        <v>576</v>
      </c>
      <c r="O460" s="2">
        <f>VLOOKUP(A460,'Coal savings'!$A$3:$K$543,10,FALSE)</f>
        <v>0</v>
      </c>
      <c r="P460" s="2">
        <f t="shared" si="31"/>
        <v>0</v>
      </c>
      <c r="Q460">
        <f>VLOOKUP(A460,'[13]Thermal generation Mar 19 - Feb'!$C$2:$D$680,2,FALSE)</f>
        <v>298.43999999999897</v>
      </c>
    </row>
    <row r="461" spans="1:17" x14ac:dyDescent="0.2">
      <c r="A461" s="2" t="s">
        <v>518</v>
      </c>
      <c r="B461" t="s">
        <v>613</v>
      </c>
      <c r="C461" t="s">
        <v>626</v>
      </c>
      <c r="D461" t="s">
        <v>572</v>
      </c>
      <c r="E461" t="s">
        <v>550</v>
      </c>
      <c r="F461" s="36">
        <v>41.590691307323702</v>
      </c>
      <c r="G461">
        <v>120</v>
      </c>
      <c r="H461">
        <v>3.46</v>
      </c>
      <c r="I461">
        <f t="shared" si="28"/>
        <v>415.2</v>
      </c>
      <c r="J461" s="2">
        <v>3412.5519398612773</v>
      </c>
      <c r="K461">
        <f t="shared" si="29"/>
        <v>409506.23278335331</v>
      </c>
      <c r="L461">
        <v>0.09</v>
      </c>
      <c r="M461">
        <f t="shared" si="30"/>
        <v>10.799999999999999</v>
      </c>
      <c r="N461" s="2" t="s">
        <v>576</v>
      </c>
      <c r="O461" s="2">
        <f>VLOOKUP(A461,'Coal savings'!$A$3:$K$543,10,FALSE)</f>
        <v>0</v>
      </c>
      <c r="P461" s="2">
        <f t="shared" si="31"/>
        <v>0</v>
      </c>
      <c r="Q461">
        <f>VLOOKUP(A461,'[13]Thermal generation Mar 19 - Feb'!$C$2:$D$680,2,FALSE)</f>
        <v>821.10999999999899</v>
      </c>
    </row>
    <row r="462" spans="1:17" x14ac:dyDescent="0.2">
      <c r="A462" s="2" t="s">
        <v>498</v>
      </c>
      <c r="B462" t="s">
        <v>613</v>
      </c>
      <c r="C462" t="s">
        <v>626</v>
      </c>
      <c r="D462" t="s">
        <v>572</v>
      </c>
      <c r="E462" t="s">
        <v>549</v>
      </c>
      <c r="F462" s="36">
        <v>35.422313483915097</v>
      </c>
      <c r="G462">
        <v>121</v>
      </c>
      <c r="H462">
        <v>3.46</v>
      </c>
      <c r="I462">
        <f t="shared" si="28"/>
        <v>418.65999999999997</v>
      </c>
      <c r="J462" s="2">
        <v>3361.773716278371</v>
      </c>
      <c r="K462">
        <f t="shared" si="29"/>
        <v>406774.61966968287</v>
      </c>
      <c r="L462">
        <v>0.09</v>
      </c>
      <c r="M462">
        <f t="shared" si="30"/>
        <v>10.889999999999999</v>
      </c>
      <c r="N462" s="2" t="s">
        <v>576</v>
      </c>
      <c r="O462" s="2">
        <f>VLOOKUP(A462,'Coal savings'!$A$3:$K$543,10,FALSE)</f>
        <v>0</v>
      </c>
      <c r="P462" s="2">
        <f t="shared" si="31"/>
        <v>0</v>
      </c>
      <c r="Q462">
        <f>VLOOKUP(A462,'[13]Thermal generation Mar 19 - Feb'!$C$2:$D$680,2,FALSE)</f>
        <v>770.18</v>
      </c>
    </row>
    <row r="463" spans="1:17" x14ac:dyDescent="0.2">
      <c r="A463" s="2" t="s">
        <v>469</v>
      </c>
      <c r="B463" t="s">
        <v>613</v>
      </c>
      <c r="C463" t="s">
        <v>626</v>
      </c>
      <c r="D463" t="s">
        <v>572</v>
      </c>
      <c r="E463" t="s">
        <v>548</v>
      </c>
      <c r="F463" s="36">
        <v>31.671457905544099</v>
      </c>
      <c r="G463">
        <v>121</v>
      </c>
      <c r="H463">
        <v>3.46</v>
      </c>
      <c r="I463">
        <f t="shared" si="28"/>
        <v>418.65999999999997</v>
      </c>
      <c r="J463" s="2">
        <v>3332.7188526801469</v>
      </c>
      <c r="K463">
        <f t="shared" si="29"/>
        <v>403258.98117429781</v>
      </c>
      <c r="L463">
        <v>0.09</v>
      </c>
      <c r="M463">
        <f t="shared" si="30"/>
        <v>10.889999999999999</v>
      </c>
      <c r="N463" s="2" t="s">
        <v>576</v>
      </c>
      <c r="O463" s="2">
        <f>VLOOKUP(A463,'Coal savings'!$A$3:$K$543,10,FALSE)</f>
        <v>0</v>
      </c>
      <c r="P463" s="2">
        <f t="shared" si="31"/>
        <v>0</v>
      </c>
      <c r="Q463">
        <f>VLOOKUP(A463,'[13]Thermal generation Mar 19 - Feb'!$C$2:$D$680,2,FALSE)</f>
        <v>801.479999999999</v>
      </c>
    </row>
    <row r="464" spans="1:17" x14ac:dyDescent="0.2">
      <c r="A464" s="2" t="s">
        <v>413</v>
      </c>
      <c r="B464" t="s">
        <v>609</v>
      </c>
      <c r="C464" t="s">
        <v>626</v>
      </c>
      <c r="D464" t="s">
        <v>570</v>
      </c>
      <c r="E464" t="s">
        <v>547</v>
      </c>
      <c r="F464" s="36">
        <v>27.175906913073199</v>
      </c>
      <c r="G464">
        <v>210</v>
      </c>
      <c r="H464">
        <v>2.15</v>
      </c>
      <c r="I464">
        <f t="shared" si="28"/>
        <v>451.5</v>
      </c>
      <c r="J464" s="2">
        <v>3225.4628082946965</v>
      </c>
      <c r="K464">
        <f t="shared" si="29"/>
        <v>677347.18974188622</v>
      </c>
      <c r="L464">
        <v>8.2584159496713896E-2</v>
      </c>
      <c r="M464">
        <f t="shared" si="30"/>
        <v>17.342673494309917</v>
      </c>
      <c r="N464" s="2" t="s">
        <v>576</v>
      </c>
      <c r="O464" s="2">
        <f>VLOOKUP(A464,'Coal savings'!$A$3:$K$543,10,FALSE)</f>
        <v>0</v>
      </c>
      <c r="P464" s="2">
        <f t="shared" si="31"/>
        <v>0</v>
      </c>
      <c r="Q464">
        <f>VLOOKUP(A464,'[13]Thermal generation Mar 19 - Feb'!$C$2:$D$680,2,FALSE)</f>
        <v>912.43999999999903</v>
      </c>
    </row>
    <row r="465" spans="1:17" x14ac:dyDescent="0.2">
      <c r="A465" s="2" t="s">
        <v>414</v>
      </c>
      <c r="B465" t="s">
        <v>609</v>
      </c>
      <c r="C465" t="s">
        <v>626</v>
      </c>
      <c r="D465" t="s">
        <v>570</v>
      </c>
      <c r="E465" t="s">
        <v>547</v>
      </c>
      <c r="F465" s="36">
        <v>27.175906913073199</v>
      </c>
      <c r="G465">
        <v>210</v>
      </c>
      <c r="H465">
        <v>2.15</v>
      </c>
      <c r="I465">
        <f t="shared" si="28"/>
        <v>451.5</v>
      </c>
      <c r="J465" s="2">
        <v>3246.9319705184566</v>
      </c>
      <c r="K465">
        <f t="shared" si="29"/>
        <v>681855.71380887588</v>
      </c>
      <c r="L465">
        <v>8.2584159496713896E-2</v>
      </c>
      <c r="M465">
        <f t="shared" si="30"/>
        <v>17.342673494309917</v>
      </c>
      <c r="N465" s="2" t="s">
        <v>576</v>
      </c>
      <c r="O465" s="2">
        <f>VLOOKUP(A465,'Coal savings'!$A$3:$K$543,10,FALSE)</f>
        <v>0</v>
      </c>
      <c r="P465" s="2">
        <f t="shared" si="31"/>
        <v>0</v>
      </c>
      <c r="Q465">
        <f>VLOOKUP(A465,'[13]Thermal generation Mar 19 - Feb'!$C$2:$D$680,2,FALSE)</f>
        <v>678.9</v>
      </c>
    </row>
    <row r="466" spans="1:17" x14ac:dyDescent="0.2">
      <c r="A466" s="2" t="s">
        <v>376</v>
      </c>
      <c r="B466" t="s">
        <v>609</v>
      </c>
      <c r="C466" t="s">
        <v>626</v>
      </c>
      <c r="D466" t="s">
        <v>570</v>
      </c>
      <c r="E466" t="s">
        <v>546</v>
      </c>
      <c r="F466" s="36">
        <v>21.2539356605065</v>
      </c>
      <c r="G466">
        <v>210</v>
      </c>
      <c r="H466">
        <v>2.15</v>
      </c>
      <c r="I466">
        <f t="shared" si="28"/>
        <v>451.5</v>
      </c>
      <c r="J466" s="2">
        <v>3214.0028810795911</v>
      </c>
      <c r="K466">
        <f t="shared" si="29"/>
        <v>674940.60502671415</v>
      </c>
      <c r="L466">
        <v>8.2584159496713896E-2</v>
      </c>
      <c r="M466">
        <f t="shared" si="30"/>
        <v>17.342673494309917</v>
      </c>
      <c r="N466" s="2" t="s">
        <v>576</v>
      </c>
      <c r="O466" s="2">
        <f>VLOOKUP(A466,'Coal savings'!$A$3:$K$543,10,FALSE)</f>
        <v>0</v>
      </c>
      <c r="P466" s="2">
        <f t="shared" si="31"/>
        <v>0</v>
      </c>
      <c r="Q466">
        <f>VLOOKUP(A466,'[13]Thermal generation Mar 19 - Feb'!$C$2:$D$680,2,FALSE)</f>
        <v>635.41</v>
      </c>
    </row>
    <row r="467" spans="1:17" x14ac:dyDescent="0.2">
      <c r="A467" s="2" t="s">
        <v>370</v>
      </c>
      <c r="B467" t="s">
        <v>609</v>
      </c>
      <c r="C467" t="s">
        <v>626</v>
      </c>
      <c r="D467" t="s">
        <v>570</v>
      </c>
      <c r="E467" t="s">
        <v>546</v>
      </c>
      <c r="F467" s="36">
        <v>20.5065023956194</v>
      </c>
      <c r="G467">
        <v>210</v>
      </c>
      <c r="H467">
        <v>2.15</v>
      </c>
      <c r="I467">
        <f t="shared" si="28"/>
        <v>451.5</v>
      </c>
      <c r="J467" s="2">
        <v>3160.2747297623114</v>
      </c>
      <c r="K467">
        <f t="shared" si="29"/>
        <v>663657.69325008534</v>
      </c>
      <c r="L467">
        <v>8.2584159496713896E-2</v>
      </c>
      <c r="M467">
        <f t="shared" si="30"/>
        <v>17.342673494309917</v>
      </c>
      <c r="N467" s="2" t="s">
        <v>576</v>
      </c>
      <c r="O467" s="2">
        <f>VLOOKUP(A467,'Coal savings'!$A$3:$K$543,10,FALSE)</f>
        <v>0</v>
      </c>
      <c r="P467" s="2">
        <f t="shared" si="31"/>
        <v>0</v>
      </c>
      <c r="Q467">
        <f>VLOOKUP(A467,'[13]Thermal generation Mar 19 - Feb'!$C$2:$D$680,2,FALSE)</f>
        <v>1129.9199999999901</v>
      </c>
    </row>
    <row r="468" spans="1:17" x14ac:dyDescent="0.2">
      <c r="A468" s="2" t="s">
        <v>283</v>
      </c>
      <c r="B468" t="s">
        <v>621</v>
      </c>
      <c r="C468" t="s">
        <v>625</v>
      </c>
      <c r="D468" t="s">
        <v>570</v>
      </c>
      <c r="E468" t="s">
        <v>544</v>
      </c>
      <c r="F468" s="36">
        <v>11.0910335386721</v>
      </c>
      <c r="G468">
        <v>250</v>
      </c>
      <c r="H468">
        <v>2.57</v>
      </c>
      <c r="I468">
        <f t="shared" si="28"/>
        <v>642.5</v>
      </c>
      <c r="J468" s="2">
        <v>3024.9604675991991</v>
      </c>
      <c r="K468">
        <f t="shared" si="29"/>
        <v>756240.11689979979</v>
      </c>
      <c r="L468">
        <v>8.5383480246584514E-2</v>
      </c>
      <c r="M468">
        <f t="shared" si="30"/>
        <v>21.345870061646128</v>
      </c>
      <c r="N468" s="2" t="s">
        <v>576</v>
      </c>
      <c r="O468" s="2">
        <f>VLOOKUP(A468,'Coal savings'!$A$3:$K$543,10,FALSE)</f>
        <v>0</v>
      </c>
      <c r="P468" s="2">
        <f t="shared" si="31"/>
        <v>0</v>
      </c>
      <c r="Q468">
        <f>VLOOKUP(A468,'[13]Thermal generation Mar 19 - Feb'!$C$2:$D$680,2,FALSE)</f>
        <v>1721.31</v>
      </c>
    </row>
    <row r="469" spans="1:17" x14ac:dyDescent="0.2">
      <c r="A469" s="2" t="s">
        <v>511</v>
      </c>
      <c r="B469" t="s">
        <v>609</v>
      </c>
      <c r="C469" t="s">
        <v>626</v>
      </c>
      <c r="D469" t="s">
        <v>570</v>
      </c>
      <c r="E469" t="s">
        <v>550</v>
      </c>
      <c r="F469" s="36">
        <v>40.843258042436602</v>
      </c>
      <c r="G469">
        <v>200</v>
      </c>
      <c r="H469">
        <v>2.5299999999999998</v>
      </c>
      <c r="I469">
        <f t="shared" si="28"/>
        <v>505.99999999999994</v>
      </c>
      <c r="J469" s="2">
        <v>3385.9332840002039</v>
      </c>
      <c r="K469">
        <f t="shared" si="29"/>
        <v>677186.65680004074</v>
      </c>
      <c r="L469">
        <v>0.1003219631047786</v>
      </c>
      <c r="M469">
        <f t="shared" si="30"/>
        <v>20.064392620955722</v>
      </c>
      <c r="N469" s="2" t="s">
        <v>576</v>
      </c>
      <c r="O469" s="2">
        <f>VLOOKUP(A469,'Coal savings'!$A$3:$K$543,10,FALSE)</f>
        <v>0</v>
      </c>
      <c r="P469" s="2">
        <f t="shared" si="31"/>
        <v>0</v>
      </c>
      <c r="Q469">
        <f>VLOOKUP(A469,'[13]Thermal generation Mar 19 - Feb'!$C$2:$D$680,2,FALSE)</f>
        <v>784.23</v>
      </c>
    </row>
    <row r="470" spans="1:17" x14ac:dyDescent="0.2">
      <c r="A470" s="2" t="s">
        <v>504</v>
      </c>
      <c r="B470" t="s">
        <v>609</v>
      </c>
      <c r="C470" t="s">
        <v>626</v>
      </c>
      <c r="D470" t="s">
        <v>570</v>
      </c>
      <c r="E470" t="s">
        <v>549</v>
      </c>
      <c r="F470" s="36">
        <v>39.671457905544102</v>
      </c>
      <c r="G470">
        <v>210</v>
      </c>
      <c r="H470">
        <v>2.5299999999999998</v>
      </c>
      <c r="I470">
        <f t="shared" si="28"/>
        <v>531.29999999999995</v>
      </c>
      <c r="J470" s="2">
        <v>3395.2557285371631</v>
      </c>
      <c r="K470">
        <f t="shared" si="29"/>
        <v>713003.70299280423</v>
      </c>
      <c r="L470">
        <v>0.1003219631047786</v>
      </c>
      <c r="M470">
        <f t="shared" si="30"/>
        <v>21.067612252003507</v>
      </c>
      <c r="N470" s="2" t="s">
        <v>576</v>
      </c>
      <c r="O470" s="2">
        <f>VLOOKUP(A470,'Coal savings'!$A$3:$K$543,10,FALSE)</f>
        <v>0</v>
      </c>
      <c r="P470" s="2">
        <f t="shared" si="31"/>
        <v>0</v>
      </c>
      <c r="Q470">
        <f>VLOOKUP(A470,'[13]Thermal generation Mar 19 - Feb'!$C$2:$D$680,2,FALSE)</f>
        <v>793.49999999999898</v>
      </c>
    </row>
    <row r="471" spans="1:17" x14ac:dyDescent="0.2">
      <c r="A471" s="2" t="s">
        <v>486</v>
      </c>
      <c r="B471" t="s">
        <v>609</v>
      </c>
      <c r="C471" t="s">
        <v>626</v>
      </c>
      <c r="D471" t="s">
        <v>570</v>
      </c>
      <c r="E471" t="s">
        <v>549</v>
      </c>
      <c r="F471" s="36">
        <v>37.338809034907598</v>
      </c>
      <c r="G471">
        <v>210</v>
      </c>
      <c r="H471">
        <v>2.5299999999999998</v>
      </c>
      <c r="I471">
        <f t="shared" si="28"/>
        <v>531.29999999999995</v>
      </c>
      <c r="J471" s="2">
        <v>3344.5304350489109</v>
      </c>
      <c r="K471">
        <f t="shared" si="29"/>
        <v>702351.39136027126</v>
      </c>
      <c r="L471">
        <v>0.1003219631047786</v>
      </c>
      <c r="M471">
        <f t="shared" si="30"/>
        <v>21.067612252003507</v>
      </c>
      <c r="N471" s="2" t="s">
        <v>576</v>
      </c>
      <c r="O471" s="2">
        <f>VLOOKUP(A471,'Coal savings'!$A$3:$K$543,10,FALSE)</f>
        <v>0</v>
      </c>
      <c r="P471" s="2">
        <f t="shared" si="31"/>
        <v>0</v>
      </c>
      <c r="Q471">
        <f>VLOOKUP(A471,'[13]Thermal generation Mar 19 - Feb'!$C$2:$D$680,2,FALSE)</f>
        <v>604.719999999999</v>
      </c>
    </row>
    <row r="472" spans="1:17" x14ac:dyDescent="0.2">
      <c r="A472" s="2" t="s">
        <v>474</v>
      </c>
      <c r="B472" t="s">
        <v>609</v>
      </c>
      <c r="C472" t="s">
        <v>626</v>
      </c>
      <c r="D472" t="s">
        <v>570</v>
      </c>
      <c r="E472" t="s">
        <v>549</v>
      </c>
      <c r="F472" s="36">
        <v>36.254620123203203</v>
      </c>
      <c r="G472">
        <v>210</v>
      </c>
      <c r="H472">
        <v>2.5299999999999998</v>
      </c>
      <c r="I472">
        <f t="shared" si="28"/>
        <v>531.29999999999995</v>
      </c>
      <c r="J472" s="2">
        <v>3398.9131495820507</v>
      </c>
      <c r="K472">
        <f t="shared" si="29"/>
        <v>713771.76141223067</v>
      </c>
      <c r="L472">
        <v>0.1003219631047786</v>
      </c>
      <c r="M472">
        <f t="shared" si="30"/>
        <v>21.067612252003507</v>
      </c>
      <c r="N472" s="2" t="s">
        <v>576</v>
      </c>
      <c r="O472" s="2">
        <f>VLOOKUP(A472,'Coal savings'!$A$3:$K$543,10,FALSE)</f>
        <v>0</v>
      </c>
      <c r="P472" s="2">
        <f t="shared" si="31"/>
        <v>0</v>
      </c>
      <c r="Q472">
        <f>VLOOKUP(A472,'[13]Thermal generation Mar 19 - Feb'!$C$2:$D$680,2,FALSE)</f>
        <v>566.29999999999905</v>
      </c>
    </row>
    <row r="473" spans="1:17" x14ac:dyDescent="0.2">
      <c r="A473" s="2" t="s">
        <v>243</v>
      </c>
      <c r="B473" t="s">
        <v>617</v>
      </c>
      <c r="C473" t="s">
        <v>626</v>
      </c>
      <c r="D473" t="s">
        <v>572</v>
      </c>
      <c r="E473" t="s">
        <v>542</v>
      </c>
      <c r="F473" s="36">
        <v>2.6036960985626201</v>
      </c>
      <c r="G473">
        <v>150</v>
      </c>
      <c r="H473">
        <v>3.0229678928240324</v>
      </c>
      <c r="I473">
        <f t="shared" si="28"/>
        <v>453.44518392360487</v>
      </c>
      <c r="J473" s="2">
        <v>3361.1393096889346</v>
      </c>
      <c r="K473">
        <f t="shared" si="29"/>
        <v>504170.89645334019</v>
      </c>
      <c r="M473">
        <f t="shared" si="30"/>
        <v>0</v>
      </c>
      <c r="N473" s="2" t="s">
        <v>576</v>
      </c>
      <c r="O473" s="2">
        <f>VLOOKUP(A473,'Coal savings'!$A$3:$K$543,10,FALSE)</f>
        <v>0</v>
      </c>
      <c r="P473" s="2">
        <f t="shared" si="31"/>
        <v>0</v>
      </c>
    </row>
    <row r="474" spans="1:17" x14ac:dyDescent="0.2">
      <c r="A474" s="2" t="s">
        <v>221</v>
      </c>
      <c r="B474" t="s">
        <v>613</v>
      </c>
      <c r="C474" t="s">
        <v>626</v>
      </c>
      <c r="D474" t="s">
        <v>570</v>
      </c>
      <c r="E474" t="s">
        <v>543</v>
      </c>
      <c r="F474" s="36">
        <v>5.1772758384667998</v>
      </c>
      <c r="G474">
        <v>250</v>
      </c>
      <c r="H474">
        <v>3.81</v>
      </c>
      <c r="I474">
        <f t="shared" si="28"/>
        <v>952.5</v>
      </c>
      <c r="J474" s="2">
        <v>3236.092758707307</v>
      </c>
      <c r="K474">
        <f t="shared" si="29"/>
        <v>809023.1896768267</v>
      </c>
      <c r="L474">
        <v>9.4899722296610672E-2</v>
      </c>
      <c r="M474">
        <f t="shared" si="30"/>
        <v>23.724930574152669</v>
      </c>
      <c r="N474" s="2" t="s">
        <v>576</v>
      </c>
      <c r="O474" s="2">
        <f>VLOOKUP(A474,'Coal savings'!$A$3:$K$543,10,FALSE)</f>
        <v>0</v>
      </c>
      <c r="P474" s="2">
        <f t="shared" si="31"/>
        <v>0</v>
      </c>
      <c r="Q474">
        <f>VLOOKUP(A474,'[13]Thermal generation Mar 19 - Feb'!$C$2:$D$680,2,FALSE)</f>
        <v>1448.41</v>
      </c>
    </row>
    <row r="475" spans="1:17" x14ac:dyDescent="0.2">
      <c r="A475" s="2" t="s">
        <v>215</v>
      </c>
      <c r="B475" t="s">
        <v>613</v>
      </c>
      <c r="C475" t="s">
        <v>626</v>
      </c>
      <c r="D475" t="s">
        <v>570</v>
      </c>
      <c r="E475" t="s">
        <v>542</v>
      </c>
      <c r="F475" s="36">
        <v>4.6735112936344896</v>
      </c>
      <c r="G475">
        <v>250</v>
      </c>
      <c r="H475">
        <v>3.81</v>
      </c>
      <c r="I475">
        <f t="shared" si="28"/>
        <v>952.5</v>
      </c>
      <c r="J475" s="2">
        <v>3246.0771404162501</v>
      </c>
      <c r="K475">
        <f t="shared" si="29"/>
        <v>811519.28510406252</v>
      </c>
      <c r="L475" s="1">
        <v>9.4899722296610672E-2</v>
      </c>
      <c r="M475">
        <f t="shared" si="30"/>
        <v>23.724930574152669</v>
      </c>
      <c r="N475" s="2" t="s">
        <v>576</v>
      </c>
      <c r="O475" s="2">
        <f>VLOOKUP(A475,'Coal savings'!$A$3:$K$543,10,FALSE)</f>
        <v>0</v>
      </c>
      <c r="P475" s="2">
        <f t="shared" si="31"/>
        <v>0</v>
      </c>
      <c r="Q475">
        <f>VLOOKUP(A475,'[13]Thermal generation Mar 19 - Feb'!$C$2:$D$680,2,FALSE)</f>
        <v>1203.1500000000001</v>
      </c>
    </row>
    <row r="476" spans="1:17" x14ac:dyDescent="0.2">
      <c r="A476" s="2" t="s">
        <v>292</v>
      </c>
      <c r="B476" t="s">
        <v>614</v>
      </c>
      <c r="C476" t="s">
        <v>627</v>
      </c>
      <c r="D476" t="s">
        <v>572</v>
      </c>
      <c r="E476" t="s">
        <v>543</v>
      </c>
      <c r="F476" s="36">
        <v>7.8412046543463303</v>
      </c>
      <c r="G476">
        <v>150</v>
      </c>
      <c r="H476">
        <v>3.0609280083981312</v>
      </c>
      <c r="I476">
        <f t="shared" si="28"/>
        <v>459.1392012597197</v>
      </c>
      <c r="J476" s="2">
        <v>3562.3533919957827</v>
      </c>
      <c r="K476">
        <f t="shared" si="29"/>
        <v>534353.00879936735</v>
      </c>
      <c r="L476">
        <v>0.10923025650701258</v>
      </c>
      <c r="M476">
        <f t="shared" si="30"/>
        <v>16.384538476051887</v>
      </c>
      <c r="N476" s="2" t="s">
        <v>576</v>
      </c>
      <c r="O476" s="2">
        <f>VLOOKUP(A476,'Coal savings'!$A$3:$K$543,10,FALSE)</f>
        <v>0</v>
      </c>
      <c r="P476" s="2">
        <f t="shared" si="31"/>
        <v>0</v>
      </c>
    </row>
    <row r="477" spans="1:17" x14ac:dyDescent="0.2">
      <c r="A477" s="2" t="s">
        <v>279</v>
      </c>
      <c r="B477" t="s">
        <v>614</v>
      </c>
      <c r="C477" t="s">
        <v>627</v>
      </c>
      <c r="D477" t="s">
        <v>572</v>
      </c>
      <c r="E477" t="s">
        <v>543</v>
      </c>
      <c r="F477" s="36">
        <v>6.2532511978097096</v>
      </c>
      <c r="G477">
        <v>150</v>
      </c>
      <c r="H477">
        <v>3.0373201285257871</v>
      </c>
      <c r="I477">
        <f t="shared" si="28"/>
        <v>455.59801927886809</v>
      </c>
      <c r="J477" s="2">
        <v>3545.1489690115368</v>
      </c>
      <c r="K477">
        <f t="shared" si="29"/>
        <v>531772.34535173047</v>
      </c>
      <c r="L477">
        <v>0.10923025650701258</v>
      </c>
      <c r="M477">
        <f t="shared" si="30"/>
        <v>16.384538476051887</v>
      </c>
      <c r="N477" s="2" t="s">
        <v>576</v>
      </c>
      <c r="O477" s="2">
        <f>VLOOKUP(A477,'Coal savings'!$A$3:$K$543,10,FALSE)</f>
        <v>0</v>
      </c>
      <c r="P477" s="2">
        <f t="shared" si="31"/>
        <v>0</v>
      </c>
    </row>
    <row r="478" spans="1:17" x14ac:dyDescent="0.2">
      <c r="A478" s="39" t="s">
        <v>497</v>
      </c>
      <c r="B478" t="s">
        <v>634</v>
      </c>
      <c r="C478" t="s">
        <v>628</v>
      </c>
      <c r="D478" t="s">
        <v>571</v>
      </c>
      <c r="E478" t="s">
        <v>549</v>
      </c>
      <c r="F478" s="36">
        <v>38.253251197809703</v>
      </c>
      <c r="G478">
        <v>200</v>
      </c>
      <c r="H478">
        <v>1.43</v>
      </c>
      <c r="I478">
        <f t="shared" si="28"/>
        <v>286</v>
      </c>
      <c r="J478" s="2">
        <v>3254.8894888215145</v>
      </c>
      <c r="K478">
        <f t="shared" si="29"/>
        <v>650977.89776430291</v>
      </c>
      <c r="L478">
        <v>7.690693382449007E-2</v>
      </c>
      <c r="M478">
        <f t="shared" si="30"/>
        <v>15.381386764898014</v>
      </c>
      <c r="N478" s="2" t="s">
        <v>576</v>
      </c>
      <c r="O478" s="2">
        <f>VLOOKUP(A478,'Coal savings'!$A$3:$K$543,10,FALSE)</f>
        <v>0</v>
      </c>
      <c r="P478" s="2">
        <f t="shared" si="31"/>
        <v>0</v>
      </c>
      <c r="Q478">
        <f>VLOOKUP(A478,'[13]Thermal generation Mar 19 - Feb'!$C$2:$D$680,2,FALSE)</f>
        <v>1249.8499999999899</v>
      </c>
    </row>
    <row r="479" spans="1:17" x14ac:dyDescent="0.2">
      <c r="A479" s="39" t="s">
        <v>492</v>
      </c>
      <c r="B479" t="s">
        <v>634</v>
      </c>
      <c r="C479" t="s">
        <v>628</v>
      </c>
      <c r="D479" t="s">
        <v>571</v>
      </c>
      <c r="E479" t="s">
        <v>549</v>
      </c>
      <c r="F479" s="36">
        <v>37.505817932922596</v>
      </c>
      <c r="G479">
        <v>200</v>
      </c>
      <c r="H479">
        <v>1.43</v>
      </c>
      <c r="I479">
        <f t="shared" si="28"/>
        <v>286</v>
      </c>
      <c r="J479" s="2">
        <v>3233.3977337268125</v>
      </c>
      <c r="K479">
        <f t="shared" si="29"/>
        <v>646679.54674536246</v>
      </c>
      <c r="L479">
        <v>7.690693382449007E-2</v>
      </c>
      <c r="M479">
        <f t="shared" si="30"/>
        <v>15.381386764898014</v>
      </c>
      <c r="N479" s="2" t="s">
        <v>576</v>
      </c>
      <c r="O479" s="2">
        <f>VLOOKUP(A479,'Coal savings'!$A$3:$K$543,10,FALSE)</f>
        <v>0</v>
      </c>
      <c r="P479" s="2">
        <f t="shared" si="31"/>
        <v>0</v>
      </c>
      <c r="Q479">
        <f>VLOOKUP(A479,'[13]Thermal generation Mar 19 - Feb'!$C$2:$D$680,2,FALSE)</f>
        <v>1608.59</v>
      </c>
    </row>
    <row r="480" spans="1:17" x14ac:dyDescent="0.2">
      <c r="A480" s="39" t="s">
        <v>489</v>
      </c>
      <c r="B480" t="s">
        <v>634</v>
      </c>
      <c r="C480" t="s">
        <v>628</v>
      </c>
      <c r="D480" t="s">
        <v>571</v>
      </c>
      <c r="E480" t="s">
        <v>549</v>
      </c>
      <c r="F480" s="36">
        <v>37.177275838466798</v>
      </c>
      <c r="G480">
        <v>200</v>
      </c>
      <c r="H480">
        <v>1.43</v>
      </c>
      <c r="I480">
        <f t="shared" si="28"/>
        <v>286</v>
      </c>
      <c r="J480" s="2">
        <v>3244.3798941454424</v>
      </c>
      <c r="K480">
        <f t="shared" si="29"/>
        <v>648875.9788290885</v>
      </c>
      <c r="L480">
        <v>7.690693382449007E-2</v>
      </c>
      <c r="M480">
        <f t="shared" si="30"/>
        <v>15.381386764898014</v>
      </c>
      <c r="N480" s="2" t="s">
        <v>576</v>
      </c>
      <c r="O480" s="2">
        <f>VLOOKUP(A480,'Coal savings'!$A$3:$K$543,10,FALSE)</f>
        <v>0</v>
      </c>
      <c r="P480" s="2">
        <f t="shared" si="31"/>
        <v>0</v>
      </c>
      <c r="Q480">
        <f>VLOOKUP(A480,'[13]Thermal generation Mar 19 - Feb'!$C$2:$D$680,2,FALSE)</f>
        <v>1452.65</v>
      </c>
    </row>
    <row r="481" spans="1:17" x14ac:dyDescent="0.2">
      <c r="A481" s="39" t="s">
        <v>481</v>
      </c>
      <c r="B481" t="s">
        <v>634</v>
      </c>
      <c r="C481" t="s">
        <v>628</v>
      </c>
      <c r="D481" t="s">
        <v>571</v>
      </c>
      <c r="E481" t="s">
        <v>549</v>
      </c>
      <c r="F481" s="36">
        <v>36.5065023956194</v>
      </c>
      <c r="G481">
        <v>200</v>
      </c>
      <c r="H481">
        <v>1.43</v>
      </c>
      <c r="I481">
        <f t="shared" si="28"/>
        <v>286</v>
      </c>
      <c r="J481" s="2">
        <v>3227.1673024321649</v>
      </c>
      <c r="K481">
        <f t="shared" si="29"/>
        <v>645433.460486433</v>
      </c>
      <c r="L481">
        <v>7.690693382449007E-2</v>
      </c>
      <c r="M481">
        <f t="shared" si="30"/>
        <v>15.381386764898014</v>
      </c>
      <c r="N481" s="2" t="s">
        <v>576</v>
      </c>
      <c r="O481" s="2">
        <f>VLOOKUP(A481,'Coal savings'!$A$3:$K$543,10,FALSE)</f>
        <v>0</v>
      </c>
      <c r="P481" s="2">
        <f t="shared" si="31"/>
        <v>0</v>
      </c>
      <c r="Q481">
        <f>VLOOKUP(A481,'[13]Thermal generation Mar 19 - Feb'!$C$2:$D$680,2,FALSE)</f>
        <v>1540.4399999999901</v>
      </c>
    </row>
    <row r="482" spans="1:17" x14ac:dyDescent="0.2">
      <c r="A482" s="39" t="s">
        <v>480</v>
      </c>
      <c r="B482" t="s">
        <v>634</v>
      </c>
      <c r="C482" t="s">
        <v>628</v>
      </c>
      <c r="D482" t="s">
        <v>571</v>
      </c>
      <c r="E482" t="s">
        <v>549</v>
      </c>
      <c r="F482" s="36">
        <v>36.254620123203203</v>
      </c>
      <c r="G482">
        <v>200</v>
      </c>
      <c r="H482">
        <v>1.43</v>
      </c>
      <c r="I482">
        <f t="shared" si="28"/>
        <v>286</v>
      </c>
      <c r="J482" s="2">
        <v>3247.5430998858483</v>
      </c>
      <c r="K482">
        <f t="shared" si="29"/>
        <v>649508.61997716967</v>
      </c>
      <c r="L482">
        <v>7.690693382449007E-2</v>
      </c>
      <c r="M482">
        <f t="shared" si="30"/>
        <v>15.381386764898014</v>
      </c>
      <c r="N482" s="2" t="s">
        <v>576</v>
      </c>
      <c r="O482" s="2">
        <f>VLOOKUP(A482,'Coal savings'!$A$3:$K$543,10,FALSE)</f>
        <v>0</v>
      </c>
      <c r="P482" s="2">
        <f t="shared" si="31"/>
        <v>0</v>
      </c>
      <c r="Q482">
        <f>VLOOKUP(A482,'[13]Thermal generation Mar 19 - Feb'!$C$2:$D$680,2,FALSE)</f>
        <v>1395.1499999999901</v>
      </c>
    </row>
    <row r="483" spans="1:17" x14ac:dyDescent="0.2">
      <c r="A483" s="2" t="s">
        <v>467</v>
      </c>
      <c r="B483" t="s">
        <v>621</v>
      </c>
      <c r="C483" t="s">
        <v>625</v>
      </c>
      <c r="D483" t="s">
        <v>572</v>
      </c>
      <c r="E483" t="s">
        <v>547</v>
      </c>
      <c r="F483" s="36">
        <v>29.0924024640657</v>
      </c>
      <c r="G483">
        <v>68</v>
      </c>
      <c r="H483">
        <v>2.28788678035616</v>
      </c>
      <c r="I483">
        <f t="shared" si="28"/>
        <v>155.57630106421888</v>
      </c>
      <c r="J483" s="2">
        <v>3504.6743418645306</v>
      </c>
      <c r="K483">
        <f t="shared" si="29"/>
        <v>238317.85524678807</v>
      </c>
      <c r="L483">
        <v>9.2383897720522315E-2</v>
      </c>
      <c r="M483">
        <f t="shared" si="30"/>
        <v>6.2821050449955171</v>
      </c>
      <c r="N483" s="2" t="s">
        <v>576</v>
      </c>
      <c r="O483" s="2">
        <f>VLOOKUP(A483,'Coal savings'!$A$3:$K$543,10,FALSE)</f>
        <v>0</v>
      </c>
      <c r="P483" s="2">
        <f t="shared" si="31"/>
        <v>0</v>
      </c>
      <c r="Q483">
        <f>VLOOKUP(A483,'[13]Thermal generation Mar 19 - Feb'!$C$2:$D$680,2,FALSE)</f>
        <v>153.35999999999899</v>
      </c>
    </row>
    <row r="484" spans="1:17" x14ac:dyDescent="0.2">
      <c r="A484" s="2" t="s">
        <v>471</v>
      </c>
      <c r="B484" t="s">
        <v>621</v>
      </c>
      <c r="C484" t="s">
        <v>625</v>
      </c>
      <c r="D484" t="s">
        <v>572</v>
      </c>
      <c r="E484" t="s">
        <v>547</v>
      </c>
      <c r="F484" s="36">
        <v>29.7577002053388</v>
      </c>
      <c r="G484">
        <v>68</v>
      </c>
      <c r="H484">
        <v>2.22980310998165</v>
      </c>
      <c r="I484">
        <f t="shared" si="28"/>
        <v>151.62661147875221</v>
      </c>
      <c r="J484" s="2">
        <v>3481.4615513255881</v>
      </c>
      <c r="K484">
        <f t="shared" si="29"/>
        <v>236739.38549013998</v>
      </c>
      <c r="L484">
        <v>9.2383897720522315E-2</v>
      </c>
      <c r="M484">
        <f t="shared" si="30"/>
        <v>6.2821050449955171</v>
      </c>
      <c r="N484" s="2" t="s">
        <v>576</v>
      </c>
      <c r="O484" s="2">
        <f>VLOOKUP(A484,'Coal savings'!$A$3:$K$543,10,FALSE)</f>
        <v>0</v>
      </c>
      <c r="P484" s="2">
        <f t="shared" si="31"/>
        <v>0</v>
      </c>
      <c r="Q484">
        <f>VLOOKUP(A484,'[13]Thermal generation Mar 19 - Feb'!$C$2:$D$680,2,FALSE)</f>
        <v>200.26</v>
      </c>
    </row>
    <row r="485" spans="1:17" x14ac:dyDescent="0.2">
      <c r="A485" s="2" t="s">
        <v>367</v>
      </c>
      <c r="B485" t="s">
        <v>616</v>
      </c>
      <c r="C485" t="s">
        <v>628</v>
      </c>
      <c r="D485" t="s">
        <v>570</v>
      </c>
      <c r="E485" t="s">
        <v>546</v>
      </c>
      <c r="F485" s="36">
        <v>22.009582477754901</v>
      </c>
      <c r="G485">
        <v>250</v>
      </c>
      <c r="H485">
        <v>3.5</v>
      </c>
      <c r="I485">
        <f t="shared" si="28"/>
        <v>875</v>
      </c>
      <c r="J485" s="2">
        <v>3161.0931209739401</v>
      </c>
      <c r="K485">
        <f t="shared" si="29"/>
        <v>790273.280243485</v>
      </c>
      <c r="L485">
        <v>9.9196739166571735E-2</v>
      </c>
      <c r="M485">
        <f t="shared" si="30"/>
        <v>24.799184791642933</v>
      </c>
      <c r="N485" s="2" t="s">
        <v>576</v>
      </c>
      <c r="O485" s="2">
        <f>VLOOKUP(A485,'Coal savings'!$A$3:$K$543,10,FALSE)</f>
        <v>0</v>
      </c>
      <c r="P485" s="2">
        <f t="shared" si="31"/>
        <v>0</v>
      </c>
      <c r="Q485">
        <f>VLOOKUP(A485,'[13]Thermal generation Mar 19 - Feb'!$C$2:$D$680,2,FALSE)</f>
        <v>1237.1199999999999</v>
      </c>
    </row>
    <row r="486" spans="1:17" x14ac:dyDescent="0.2">
      <c r="A486" s="2" t="s">
        <v>354</v>
      </c>
      <c r="B486" t="s">
        <v>616</v>
      </c>
      <c r="C486" t="s">
        <v>628</v>
      </c>
      <c r="D486" t="s">
        <v>570</v>
      </c>
      <c r="E486" t="s">
        <v>546</v>
      </c>
      <c r="F486" s="36">
        <v>20.175222450376399</v>
      </c>
      <c r="G486">
        <v>250</v>
      </c>
      <c r="H486">
        <v>3.5</v>
      </c>
      <c r="I486">
        <f t="shared" si="28"/>
        <v>875</v>
      </c>
      <c r="J486" s="2">
        <v>3200.3263815697692</v>
      </c>
      <c r="K486">
        <f t="shared" si="29"/>
        <v>800081.59539244231</v>
      </c>
      <c r="L486">
        <v>9.9196739166571735E-2</v>
      </c>
      <c r="M486">
        <f t="shared" si="30"/>
        <v>24.799184791642933</v>
      </c>
      <c r="N486" s="2" t="s">
        <v>576</v>
      </c>
      <c r="O486" s="2">
        <f>VLOOKUP(A486,'Coal savings'!$A$3:$K$543,10,FALSE)</f>
        <v>0</v>
      </c>
      <c r="P486" s="2">
        <f t="shared" si="31"/>
        <v>0</v>
      </c>
      <c r="Q486">
        <f>VLOOKUP(A486,'[13]Thermal generation Mar 19 - Feb'!$C$2:$D$680,2,FALSE)</f>
        <v>625.07999999999902</v>
      </c>
    </row>
    <row r="487" spans="1:17" x14ac:dyDescent="0.2">
      <c r="A487" s="2" t="s">
        <v>349</v>
      </c>
      <c r="B487" t="s">
        <v>616</v>
      </c>
      <c r="C487" t="s">
        <v>628</v>
      </c>
      <c r="D487" t="s">
        <v>570</v>
      </c>
      <c r="E487" t="s">
        <v>545</v>
      </c>
      <c r="F487" s="36">
        <v>18.590006844626899</v>
      </c>
      <c r="G487">
        <v>250</v>
      </c>
      <c r="H487">
        <v>3.5</v>
      </c>
      <c r="I487">
        <f t="shared" si="28"/>
        <v>875</v>
      </c>
      <c r="J487" s="2">
        <v>3180.4175022160462</v>
      </c>
      <c r="K487">
        <f t="shared" si="29"/>
        <v>795104.37555401155</v>
      </c>
      <c r="L487">
        <v>9.9196739166571735E-2</v>
      </c>
      <c r="M487">
        <f t="shared" si="30"/>
        <v>24.799184791642933</v>
      </c>
      <c r="N487" s="2" t="s">
        <v>576</v>
      </c>
      <c r="O487" s="2">
        <f>VLOOKUP(A487,'Coal savings'!$A$3:$K$543,10,FALSE)</f>
        <v>0</v>
      </c>
      <c r="P487" s="2">
        <f t="shared" si="31"/>
        <v>0</v>
      </c>
      <c r="Q487">
        <f>VLOOKUP(A487,'[13]Thermal generation Mar 19 - Feb'!$C$2:$D$680,2,FALSE)</f>
        <v>914.85</v>
      </c>
    </row>
    <row r="488" spans="1:17" x14ac:dyDescent="0.2">
      <c r="A488" s="2" t="s">
        <v>347</v>
      </c>
      <c r="B488" t="s">
        <v>616</v>
      </c>
      <c r="C488" t="s">
        <v>628</v>
      </c>
      <c r="D488" t="s">
        <v>570</v>
      </c>
      <c r="E488" t="s">
        <v>545</v>
      </c>
      <c r="F488" s="36">
        <v>18.176591375769998</v>
      </c>
      <c r="G488">
        <v>250</v>
      </c>
      <c r="H488">
        <v>3.5</v>
      </c>
      <c r="I488">
        <f t="shared" si="28"/>
        <v>875</v>
      </c>
      <c r="J488" s="2">
        <v>3158.2225526757629</v>
      </c>
      <c r="K488">
        <f t="shared" si="29"/>
        <v>789555.63816894079</v>
      </c>
      <c r="L488">
        <v>9.9196739166571735E-2</v>
      </c>
      <c r="M488">
        <f t="shared" si="30"/>
        <v>24.799184791642933</v>
      </c>
      <c r="N488" s="2" t="s">
        <v>576</v>
      </c>
      <c r="O488" s="2">
        <f>VLOOKUP(A488,'Coal savings'!$A$3:$K$543,10,FALSE)</f>
        <v>0</v>
      </c>
      <c r="P488" s="2">
        <f t="shared" si="31"/>
        <v>0</v>
      </c>
      <c r="Q488">
        <f>VLOOKUP(A488,'[13]Thermal generation Mar 19 - Feb'!$C$2:$D$680,2,FALSE)</f>
        <v>896.56999999999903</v>
      </c>
    </row>
    <row r="489" spans="1:17" x14ac:dyDescent="0.2">
      <c r="A489" s="2" t="s">
        <v>332</v>
      </c>
      <c r="B489" t="s">
        <v>616</v>
      </c>
      <c r="C489" t="s">
        <v>628</v>
      </c>
      <c r="D489" t="s">
        <v>570</v>
      </c>
      <c r="E489" t="s">
        <v>545</v>
      </c>
      <c r="F489" s="36">
        <v>16.925393566050602</v>
      </c>
      <c r="G489">
        <v>250</v>
      </c>
      <c r="H489">
        <v>3.5</v>
      </c>
      <c r="I489">
        <f t="shared" si="28"/>
        <v>875</v>
      </c>
      <c r="J489" s="2">
        <v>3159.6907441670619</v>
      </c>
      <c r="K489">
        <f t="shared" si="29"/>
        <v>789922.6860417655</v>
      </c>
      <c r="L489">
        <v>9.9196739166571735E-2</v>
      </c>
      <c r="M489">
        <f t="shared" si="30"/>
        <v>24.799184791642933</v>
      </c>
      <c r="N489" s="2" t="s">
        <v>576</v>
      </c>
      <c r="O489" s="2">
        <f>VLOOKUP(A489,'Coal savings'!$A$3:$K$543,10,FALSE)</f>
        <v>0</v>
      </c>
      <c r="P489" s="2">
        <f t="shared" si="31"/>
        <v>0</v>
      </c>
      <c r="Q489">
        <f>VLOOKUP(A489,'[13]Thermal generation Mar 19 - Feb'!$C$2:$D$680,2,FALSE)</f>
        <v>477.65</v>
      </c>
    </row>
    <row r="490" spans="1:17" x14ac:dyDescent="0.2">
      <c r="A490" s="2" t="s">
        <v>281</v>
      </c>
      <c r="B490" t="s">
        <v>616</v>
      </c>
      <c r="C490" t="s">
        <v>628</v>
      </c>
      <c r="D490" t="s">
        <v>570</v>
      </c>
      <c r="E490" t="s">
        <v>544</v>
      </c>
      <c r="F490" s="36">
        <v>10.757015742642</v>
      </c>
      <c r="G490">
        <v>250</v>
      </c>
      <c r="H490">
        <v>3.5</v>
      </c>
      <c r="I490">
        <f t="shared" si="28"/>
        <v>875</v>
      </c>
      <c r="J490" s="2">
        <v>3137.4112584032246</v>
      </c>
      <c r="K490">
        <f t="shared" si="29"/>
        <v>784352.8146008061</v>
      </c>
      <c r="L490">
        <v>9.9196739166571735E-2</v>
      </c>
      <c r="M490">
        <f t="shared" si="30"/>
        <v>24.799184791642933</v>
      </c>
      <c r="N490" s="2" t="s">
        <v>576</v>
      </c>
      <c r="O490" s="2">
        <f>VLOOKUP(A490,'Coal savings'!$A$3:$K$543,10,FALSE)</f>
        <v>0</v>
      </c>
      <c r="P490" s="2">
        <f t="shared" si="31"/>
        <v>0</v>
      </c>
      <c r="Q490">
        <f>VLOOKUP(A490,'[13]Thermal generation Mar 19 - Feb'!$C$2:$D$680,2,FALSE)</f>
        <v>600.25</v>
      </c>
    </row>
    <row r="491" spans="1:17" x14ac:dyDescent="0.2">
      <c r="A491" s="2" t="s">
        <v>330</v>
      </c>
      <c r="B491" t="s">
        <v>611</v>
      </c>
      <c r="C491" t="s">
        <v>626</v>
      </c>
      <c r="D491" t="s">
        <v>572</v>
      </c>
      <c r="E491" t="s">
        <v>543</v>
      </c>
      <c r="F491" s="36">
        <v>8.4243668720054696</v>
      </c>
      <c r="G491">
        <v>63</v>
      </c>
      <c r="H491">
        <v>2.9197578094847327</v>
      </c>
      <c r="I491">
        <f t="shared" si="28"/>
        <v>183.94474199753816</v>
      </c>
      <c r="J491" s="2">
        <v>3419.8247923831836</v>
      </c>
      <c r="K491">
        <f t="shared" si="29"/>
        <v>215448.96192014057</v>
      </c>
      <c r="L491">
        <v>0.12897083607149668</v>
      </c>
      <c r="M491">
        <f t="shared" si="30"/>
        <v>8.12516267250429</v>
      </c>
      <c r="N491" s="2" t="s">
        <v>576</v>
      </c>
      <c r="O491" s="2">
        <f>VLOOKUP(A491,'Coal savings'!$A$3:$K$543,10,FALSE)</f>
        <v>0</v>
      </c>
      <c r="P491" s="2">
        <f t="shared" si="31"/>
        <v>0</v>
      </c>
      <c r="Q491">
        <f>VLOOKUP(A491,'[13]Thermal generation Mar 19 - Feb'!$C$2:$D$680,2,FALSE)</f>
        <v>278.08999999999901</v>
      </c>
    </row>
    <row r="492" spans="1:17" x14ac:dyDescent="0.2">
      <c r="A492" s="2" t="s">
        <v>531</v>
      </c>
      <c r="B492" t="s">
        <v>608</v>
      </c>
      <c r="C492" t="s">
        <v>625</v>
      </c>
      <c r="D492" t="s">
        <v>571</v>
      </c>
      <c r="E492" t="s">
        <v>551</v>
      </c>
      <c r="F492" s="36">
        <v>49.338809034907598</v>
      </c>
      <c r="G492">
        <v>60</v>
      </c>
      <c r="H492">
        <v>1.67</v>
      </c>
      <c r="I492">
        <f t="shared" si="28"/>
        <v>100.19999999999999</v>
      </c>
      <c r="J492" s="2">
        <v>3433.8542344419475</v>
      </c>
      <c r="K492">
        <f t="shared" si="29"/>
        <v>206031.25406651685</v>
      </c>
      <c r="L492">
        <v>0.10471132406131005</v>
      </c>
      <c r="M492">
        <f t="shared" si="30"/>
        <v>6.2826794436786031</v>
      </c>
      <c r="N492" s="2" t="s">
        <v>576</v>
      </c>
      <c r="O492" s="2">
        <f>VLOOKUP(A492,'Coal savings'!$A$3:$K$543,10,FALSE)</f>
        <v>0</v>
      </c>
      <c r="P492" s="2">
        <f t="shared" si="31"/>
        <v>0</v>
      </c>
      <c r="Q492">
        <f>VLOOKUP(A492,'[13]Thermal generation Mar 19 - Feb'!$C$2:$D$680,2,FALSE)</f>
        <v>443.39</v>
      </c>
    </row>
    <row r="493" spans="1:17" x14ac:dyDescent="0.2">
      <c r="A493" s="2" t="s">
        <v>530</v>
      </c>
      <c r="B493" t="s">
        <v>608</v>
      </c>
      <c r="C493" t="s">
        <v>625</v>
      </c>
      <c r="D493" t="s">
        <v>571</v>
      </c>
      <c r="E493" t="s">
        <v>551</v>
      </c>
      <c r="F493" s="36">
        <v>48.925393566050602</v>
      </c>
      <c r="G493">
        <v>60</v>
      </c>
      <c r="H493">
        <v>1.67</v>
      </c>
      <c r="I493">
        <f t="shared" si="28"/>
        <v>100.19999999999999</v>
      </c>
      <c r="J493" s="2">
        <v>3419.1211451090498</v>
      </c>
      <c r="K493">
        <f t="shared" si="29"/>
        <v>205147.26870654299</v>
      </c>
      <c r="L493">
        <v>0.10471132406131005</v>
      </c>
      <c r="M493">
        <f t="shared" si="30"/>
        <v>6.2826794436786031</v>
      </c>
      <c r="N493" s="2" t="s">
        <v>576</v>
      </c>
      <c r="O493" s="2">
        <f>VLOOKUP(A493,'Coal savings'!$A$3:$K$543,10,FALSE)</f>
        <v>0</v>
      </c>
      <c r="P493" s="2">
        <f t="shared" si="31"/>
        <v>0</v>
      </c>
      <c r="Q493">
        <f>VLOOKUP(A493,'[13]Thermal generation Mar 19 - Feb'!$C$2:$D$680,2,FALSE)</f>
        <v>479.95999999999901</v>
      </c>
    </row>
    <row r="494" spans="1:17" x14ac:dyDescent="0.2">
      <c r="A494" s="2" t="s">
        <v>528</v>
      </c>
      <c r="B494" t="s">
        <v>608</v>
      </c>
      <c r="C494" t="s">
        <v>625</v>
      </c>
      <c r="D494" t="s">
        <v>571</v>
      </c>
      <c r="E494" t="s">
        <v>551</v>
      </c>
      <c r="F494" s="36">
        <v>48.339493497604302</v>
      </c>
      <c r="G494">
        <v>60</v>
      </c>
      <c r="H494">
        <v>1.67</v>
      </c>
      <c r="I494">
        <f t="shared" si="28"/>
        <v>100.19999999999999</v>
      </c>
      <c r="J494" s="2">
        <v>3431.6125816015629</v>
      </c>
      <c r="K494">
        <f t="shared" si="29"/>
        <v>205896.75489609377</v>
      </c>
      <c r="L494">
        <v>0.10471132406131005</v>
      </c>
      <c r="M494">
        <f t="shared" si="30"/>
        <v>6.2826794436786031</v>
      </c>
      <c r="N494" s="2" t="s">
        <v>576</v>
      </c>
      <c r="O494" s="2">
        <f>VLOOKUP(A494,'Coal savings'!$A$3:$K$543,10,FALSE)</f>
        <v>0</v>
      </c>
      <c r="P494" s="2">
        <f t="shared" si="31"/>
        <v>0</v>
      </c>
      <c r="Q494">
        <f>VLOOKUP(A494,'[13]Thermal generation Mar 19 - Feb'!$C$2:$D$680,2,FALSE)</f>
        <v>452.55000000000098</v>
      </c>
    </row>
    <row r="495" spans="1:17" x14ac:dyDescent="0.2">
      <c r="A495" s="2" t="s">
        <v>527</v>
      </c>
      <c r="B495" t="s">
        <v>608</v>
      </c>
      <c r="C495" t="s">
        <v>625</v>
      </c>
      <c r="D495" t="s">
        <v>571</v>
      </c>
      <c r="E495" t="s">
        <v>551</v>
      </c>
      <c r="F495" s="36">
        <v>47.923340177960299</v>
      </c>
      <c r="G495">
        <v>60</v>
      </c>
      <c r="H495">
        <v>1.67</v>
      </c>
      <c r="I495">
        <f t="shared" si="28"/>
        <v>100.19999999999999</v>
      </c>
      <c r="J495" s="2">
        <v>3438.6086664836366</v>
      </c>
      <c r="K495">
        <f t="shared" si="29"/>
        <v>206316.51998901821</v>
      </c>
      <c r="L495">
        <v>0.10471132406131005</v>
      </c>
      <c r="M495">
        <f t="shared" si="30"/>
        <v>6.2826794436786031</v>
      </c>
      <c r="N495" s="2" t="s">
        <v>576</v>
      </c>
      <c r="O495" s="2">
        <f>VLOOKUP(A495,'Coal savings'!$A$3:$K$543,10,FALSE)</f>
        <v>0</v>
      </c>
      <c r="P495" s="2">
        <f t="shared" si="31"/>
        <v>0</v>
      </c>
      <c r="Q495">
        <f>VLOOKUP(A495,'[13]Thermal generation Mar 19 - Feb'!$C$2:$D$680,2,FALSE)</f>
        <v>457.36000000000098</v>
      </c>
    </row>
    <row r="496" spans="1:17" x14ac:dyDescent="0.2">
      <c r="A496" s="2" t="s">
        <v>526</v>
      </c>
      <c r="B496" t="s">
        <v>608</v>
      </c>
      <c r="C496" t="s">
        <v>625</v>
      </c>
      <c r="D496" t="s">
        <v>571</v>
      </c>
      <c r="E496" t="s">
        <v>551</v>
      </c>
      <c r="F496" s="36">
        <v>47.337440109513999</v>
      </c>
      <c r="G496">
        <v>110</v>
      </c>
      <c r="H496">
        <v>1.67</v>
      </c>
      <c r="I496">
        <f t="shared" si="28"/>
        <v>183.7</v>
      </c>
      <c r="J496" s="2">
        <v>3413.1790123975225</v>
      </c>
      <c r="K496">
        <f t="shared" si="29"/>
        <v>375449.69136372744</v>
      </c>
      <c r="L496">
        <v>0.10471132406131005</v>
      </c>
      <c r="M496">
        <f t="shared" si="30"/>
        <v>11.518245646744106</v>
      </c>
      <c r="N496" s="2" t="s">
        <v>576</v>
      </c>
      <c r="O496" s="2">
        <f>VLOOKUP(A496,'Coal savings'!$A$3:$K$543,10,FALSE)</f>
        <v>0</v>
      </c>
      <c r="P496" s="2">
        <f t="shared" si="31"/>
        <v>0</v>
      </c>
      <c r="Q496">
        <f>VLOOKUP(A496,'[13]Thermal generation Mar 19 - Feb'!$C$2:$D$680,2,FALSE)</f>
        <v>762.70999999999697</v>
      </c>
    </row>
    <row r="497" spans="1:17" x14ac:dyDescent="0.2">
      <c r="A497" s="2" t="s">
        <v>525</v>
      </c>
      <c r="B497" t="s">
        <v>608</v>
      </c>
      <c r="C497" t="s">
        <v>625</v>
      </c>
      <c r="D497" t="s">
        <v>571</v>
      </c>
      <c r="E497" t="s">
        <v>551</v>
      </c>
      <c r="F497" s="36">
        <v>46.924024640657002</v>
      </c>
      <c r="G497">
        <v>110</v>
      </c>
      <c r="H497">
        <v>1.67</v>
      </c>
      <c r="I497">
        <f t="shared" si="28"/>
        <v>183.7</v>
      </c>
      <c r="J497" s="2">
        <v>3382.2855567002393</v>
      </c>
      <c r="K497">
        <f t="shared" si="29"/>
        <v>372051.41123702633</v>
      </c>
      <c r="L497">
        <v>0.10471132406131005</v>
      </c>
      <c r="M497">
        <f t="shared" si="30"/>
        <v>11.518245646744106</v>
      </c>
      <c r="N497" s="2" t="s">
        <v>576</v>
      </c>
      <c r="O497" s="2">
        <f>VLOOKUP(A497,'Coal savings'!$A$3:$K$543,10,FALSE)</f>
        <v>0</v>
      </c>
      <c r="P497" s="2">
        <f t="shared" si="31"/>
        <v>0</v>
      </c>
      <c r="Q497">
        <f>VLOOKUP(A497,'[13]Thermal generation Mar 19 - Feb'!$C$2:$D$680,2,FALSE)</f>
        <v>811.21999999999696</v>
      </c>
    </row>
    <row r="498" spans="1:17" x14ac:dyDescent="0.2">
      <c r="A498" s="2" t="s">
        <v>478</v>
      </c>
      <c r="B498" t="s">
        <v>634</v>
      </c>
      <c r="C498" t="s">
        <v>628</v>
      </c>
      <c r="D498" t="s">
        <v>571</v>
      </c>
      <c r="E498" t="s">
        <v>548</v>
      </c>
      <c r="F498" s="36">
        <v>32.175222450376403</v>
      </c>
      <c r="G498">
        <v>110</v>
      </c>
      <c r="H498">
        <v>2.88</v>
      </c>
      <c r="I498">
        <f t="shared" si="28"/>
        <v>316.8</v>
      </c>
      <c r="J498" s="2">
        <v>3339.8005575516227</v>
      </c>
      <c r="K498">
        <f t="shared" si="29"/>
        <v>367378.06133067847</v>
      </c>
      <c r="L498">
        <v>0.12115813368341415</v>
      </c>
      <c r="M498">
        <f t="shared" si="30"/>
        <v>13.327394705175555</v>
      </c>
      <c r="N498" s="2" t="s">
        <v>576</v>
      </c>
      <c r="O498" s="2">
        <f>VLOOKUP(A498,'Coal savings'!$A$3:$K$543,10,FALSE)</f>
        <v>0</v>
      </c>
      <c r="P498" s="2">
        <f t="shared" si="31"/>
        <v>0</v>
      </c>
      <c r="Q498">
        <f>VLOOKUP(A498,'[13]Thermal generation Mar 19 - Feb'!$C$2:$D$680,2,FALSE)</f>
        <v>510.92</v>
      </c>
    </row>
    <row r="499" spans="1:17" x14ac:dyDescent="0.2">
      <c r="A499" s="2" t="s">
        <v>468</v>
      </c>
      <c r="B499" t="s">
        <v>634</v>
      </c>
      <c r="C499" t="s">
        <v>628</v>
      </c>
      <c r="D499" t="s">
        <v>571</v>
      </c>
      <c r="E499" t="s">
        <v>548</v>
      </c>
      <c r="F499" s="36">
        <v>31.175906913073199</v>
      </c>
      <c r="G499">
        <v>110</v>
      </c>
      <c r="H499">
        <v>2.88</v>
      </c>
      <c r="I499">
        <f t="shared" si="28"/>
        <v>316.8</v>
      </c>
      <c r="J499" s="2">
        <v>3335.0896580124286</v>
      </c>
      <c r="K499">
        <f t="shared" si="29"/>
        <v>366859.86238136713</v>
      </c>
      <c r="L499">
        <v>0.12115813368341415</v>
      </c>
      <c r="M499">
        <f t="shared" si="30"/>
        <v>13.327394705175555</v>
      </c>
      <c r="N499" s="2" t="s">
        <v>576</v>
      </c>
      <c r="O499" s="2">
        <f>VLOOKUP(A499,'Coal savings'!$A$3:$K$543,10,FALSE)</f>
        <v>0</v>
      </c>
      <c r="P499" s="2">
        <f t="shared" si="31"/>
        <v>0</v>
      </c>
      <c r="Q499">
        <f>VLOOKUP(A499,'[13]Thermal generation Mar 19 - Feb'!$C$2:$D$680,2,FALSE)</f>
        <v>450.27999999999901</v>
      </c>
    </row>
    <row r="500" spans="1:17" x14ac:dyDescent="0.2">
      <c r="A500" s="2" t="s">
        <v>461</v>
      </c>
      <c r="B500" t="s">
        <v>634</v>
      </c>
      <c r="C500" t="s">
        <v>628</v>
      </c>
      <c r="D500" t="s">
        <v>571</v>
      </c>
      <c r="E500" t="s">
        <v>548</v>
      </c>
      <c r="F500" s="36">
        <v>30.176591375769998</v>
      </c>
      <c r="G500">
        <v>110</v>
      </c>
      <c r="H500">
        <v>2.88</v>
      </c>
      <c r="I500">
        <f t="shared" si="28"/>
        <v>316.8</v>
      </c>
      <c r="J500" s="2">
        <v>3332.9769725759907</v>
      </c>
      <c r="K500">
        <f t="shared" si="29"/>
        <v>366627.46698335896</v>
      </c>
      <c r="L500">
        <v>0.12115813368341415</v>
      </c>
      <c r="M500">
        <f t="shared" si="30"/>
        <v>13.327394705175555</v>
      </c>
      <c r="N500" s="2" t="s">
        <v>576</v>
      </c>
      <c r="O500" s="2">
        <f>VLOOKUP(A500,'Coal savings'!$A$3:$K$543,10,FALSE)</f>
        <v>0</v>
      </c>
      <c r="P500" s="2">
        <f t="shared" si="31"/>
        <v>0</v>
      </c>
      <c r="Q500">
        <f>VLOOKUP(A500,'[13]Thermal generation Mar 19 - Feb'!$C$2:$D$680,2,FALSE)</f>
        <v>551.08000000000004</v>
      </c>
    </row>
    <row r="501" spans="1:17" x14ac:dyDescent="0.2">
      <c r="A501" s="2" t="s">
        <v>410</v>
      </c>
      <c r="B501" t="s">
        <v>634</v>
      </c>
      <c r="C501" t="s">
        <v>628</v>
      </c>
      <c r="D501" t="s">
        <v>571</v>
      </c>
      <c r="E501" t="s">
        <v>546</v>
      </c>
      <c r="F501" s="36">
        <v>22.2532511978097</v>
      </c>
      <c r="G501">
        <v>110</v>
      </c>
      <c r="H501">
        <v>2.88</v>
      </c>
      <c r="I501">
        <f t="shared" si="28"/>
        <v>316.8</v>
      </c>
      <c r="J501" s="2">
        <v>3266.5754987121668</v>
      </c>
      <c r="K501">
        <f t="shared" si="29"/>
        <v>359323.30485833832</v>
      </c>
      <c r="L501">
        <v>0.12115813368341415</v>
      </c>
      <c r="M501">
        <f t="shared" si="30"/>
        <v>13.327394705175555</v>
      </c>
      <c r="N501" s="2" t="s">
        <v>576</v>
      </c>
      <c r="O501" s="2">
        <f>VLOOKUP(A501,'Coal savings'!$A$3:$K$543,10,FALSE)</f>
        <v>0</v>
      </c>
      <c r="P501" s="2">
        <f t="shared" si="31"/>
        <v>0</v>
      </c>
      <c r="Q501">
        <f>VLOOKUP(A501,'[13]Thermal generation Mar 19 - Feb'!$C$2:$D$680,2,FALSE)</f>
        <v>551.62999999999897</v>
      </c>
    </row>
    <row r="502" spans="1:17" x14ac:dyDescent="0.2">
      <c r="A502" s="2" t="s">
        <v>392</v>
      </c>
      <c r="B502" t="s">
        <v>623</v>
      </c>
      <c r="C502" t="s">
        <v>625</v>
      </c>
      <c r="D502" t="s">
        <v>570</v>
      </c>
      <c r="E502" t="s">
        <v>546</v>
      </c>
      <c r="F502" s="36">
        <v>23.671457905544099</v>
      </c>
      <c r="G502">
        <v>210</v>
      </c>
      <c r="H502">
        <v>1.93</v>
      </c>
      <c r="I502">
        <f t="shared" si="28"/>
        <v>405.3</v>
      </c>
      <c r="J502" s="2">
        <v>3233.5462241064861</v>
      </c>
      <c r="K502">
        <f t="shared" si="29"/>
        <v>679044.70706236211</v>
      </c>
      <c r="L502">
        <v>0.12642862786873815</v>
      </c>
      <c r="M502">
        <f t="shared" si="30"/>
        <v>26.550011852435013</v>
      </c>
      <c r="N502" s="2" t="s">
        <v>576</v>
      </c>
      <c r="O502" s="2">
        <f>VLOOKUP(A502,'Coal savings'!$A$3:$K$543,10,FALSE)</f>
        <v>0</v>
      </c>
      <c r="P502" s="2">
        <f t="shared" si="31"/>
        <v>0</v>
      </c>
      <c r="Q502">
        <f>VLOOKUP(A502,'[13]Thermal generation Mar 19 - Feb'!$C$2:$D$680,2,FALSE)</f>
        <v>1190.08</v>
      </c>
    </row>
    <row r="503" spans="1:17" x14ac:dyDescent="0.2">
      <c r="A503" s="2" t="s">
        <v>386</v>
      </c>
      <c r="B503" t="s">
        <v>623</v>
      </c>
      <c r="C503" t="s">
        <v>625</v>
      </c>
      <c r="D503" t="s">
        <v>570</v>
      </c>
      <c r="E503" t="s">
        <v>546</v>
      </c>
      <c r="F503" s="36">
        <v>22.672142368240898</v>
      </c>
      <c r="G503">
        <v>210</v>
      </c>
      <c r="H503">
        <v>1.93</v>
      </c>
      <c r="I503">
        <f t="shared" si="28"/>
        <v>405.3</v>
      </c>
      <c r="J503" s="2">
        <v>3193.266544183261</v>
      </c>
      <c r="K503">
        <f t="shared" si="29"/>
        <v>670585.97427848482</v>
      </c>
      <c r="L503">
        <v>0.12642862786873815</v>
      </c>
      <c r="M503">
        <f t="shared" si="30"/>
        <v>26.550011852435013</v>
      </c>
      <c r="N503" s="2" t="s">
        <v>576</v>
      </c>
      <c r="O503" s="2">
        <f>VLOOKUP(A503,'Coal savings'!$A$3:$K$543,10,FALSE)</f>
        <v>0</v>
      </c>
      <c r="P503" s="2">
        <f t="shared" si="31"/>
        <v>0</v>
      </c>
      <c r="Q503">
        <f>VLOOKUP(A503,'[13]Thermal generation Mar 19 - Feb'!$C$2:$D$680,2,FALSE)</f>
        <v>1127.8800000000001</v>
      </c>
    </row>
    <row r="504" spans="1:17" x14ac:dyDescent="0.2">
      <c r="A504" s="2" t="s">
        <v>298</v>
      </c>
      <c r="B504" t="s">
        <v>614</v>
      </c>
      <c r="C504" t="s">
        <v>627</v>
      </c>
      <c r="D504" t="s">
        <v>572</v>
      </c>
      <c r="E504" t="s">
        <v>543</v>
      </c>
      <c r="F504" s="36">
        <v>8.1752224503764506</v>
      </c>
      <c r="G504">
        <v>150</v>
      </c>
      <c r="H504">
        <v>3.0435133574326607</v>
      </c>
      <c r="I504">
        <f t="shared" si="28"/>
        <v>456.52700361489912</v>
      </c>
      <c r="J504" s="2">
        <v>3555.956267486391</v>
      </c>
      <c r="K504">
        <f t="shared" si="29"/>
        <v>533393.44012295862</v>
      </c>
      <c r="L504">
        <v>0.1233619249363473</v>
      </c>
      <c r="M504">
        <f t="shared" si="30"/>
        <v>18.504288740452097</v>
      </c>
      <c r="N504" s="2" t="s">
        <v>576</v>
      </c>
      <c r="O504" s="2">
        <f>VLOOKUP(A504,'Coal savings'!$A$3:$K$543,10,FALSE)</f>
        <v>0</v>
      </c>
      <c r="P504" s="2">
        <f t="shared" si="31"/>
        <v>0</v>
      </c>
    </row>
    <row r="505" spans="1:17" x14ac:dyDescent="0.2">
      <c r="A505" s="2" t="s">
        <v>293</v>
      </c>
      <c r="B505" t="s">
        <v>614</v>
      </c>
      <c r="C505" t="s">
        <v>627</v>
      </c>
      <c r="D505" t="s">
        <v>572</v>
      </c>
      <c r="E505" t="s">
        <v>543</v>
      </c>
      <c r="F505" s="36">
        <v>7.8412046543463303</v>
      </c>
      <c r="G505">
        <v>150</v>
      </c>
      <c r="H505">
        <v>3.0256664269830327</v>
      </c>
      <c r="I505">
        <f t="shared" si="28"/>
        <v>453.84996404745488</v>
      </c>
      <c r="J505" s="2">
        <v>3546.5726744886597</v>
      </c>
      <c r="K505">
        <f t="shared" si="29"/>
        <v>531985.90117329895</v>
      </c>
      <c r="L505">
        <v>0.1233619249363473</v>
      </c>
      <c r="M505">
        <f t="shared" si="30"/>
        <v>18.504288740452097</v>
      </c>
      <c r="N505" s="2" t="s">
        <v>576</v>
      </c>
      <c r="O505" s="2">
        <f>VLOOKUP(A505,'Coal savings'!$A$3:$K$543,10,FALSE)</f>
        <v>0</v>
      </c>
      <c r="P505" s="2">
        <f t="shared" si="31"/>
        <v>0</v>
      </c>
    </row>
    <row r="506" spans="1:17" x14ac:dyDescent="0.2">
      <c r="A506" s="2" t="s">
        <v>398</v>
      </c>
      <c r="B506" t="s">
        <v>612</v>
      </c>
      <c r="C506" t="s">
        <v>627</v>
      </c>
      <c r="D506" t="s">
        <v>572</v>
      </c>
      <c r="E506" t="s">
        <v>546</v>
      </c>
      <c r="F506" s="36">
        <v>21.338809034907499</v>
      </c>
      <c r="G506">
        <v>130</v>
      </c>
      <c r="H506">
        <v>2.5934702527617701</v>
      </c>
      <c r="I506">
        <f t="shared" si="28"/>
        <v>337.1511328590301</v>
      </c>
      <c r="J506" s="2">
        <v>3428.0980386927176</v>
      </c>
      <c r="K506">
        <f t="shared" si="29"/>
        <v>445652.74503005331</v>
      </c>
      <c r="L506">
        <v>7.183708757655409E-2</v>
      </c>
      <c r="M506">
        <f t="shared" si="30"/>
        <v>9.3388213849520323</v>
      </c>
      <c r="N506" s="2" t="s">
        <v>576</v>
      </c>
      <c r="O506" s="2">
        <f>VLOOKUP(A506,'Coal savings'!$A$3:$K$543,10,FALSE)</f>
        <v>0</v>
      </c>
      <c r="P506" s="2">
        <f t="shared" si="31"/>
        <v>0</v>
      </c>
      <c r="Q506">
        <f>VLOOKUP(A506,'[13]Thermal generation Mar 19 - Feb'!$C$2:$D$680,2,FALSE)</f>
        <v>1108.9100000000001</v>
      </c>
    </row>
    <row r="507" spans="1:17" x14ac:dyDescent="0.2">
      <c r="A507" s="2" t="s">
        <v>396</v>
      </c>
      <c r="B507" t="s">
        <v>612</v>
      </c>
      <c r="C507" t="s">
        <v>627</v>
      </c>
      <c r="D507" t="s">
        <v>572</v>
      </c>
      <c r="E507" t="s">
        <v>546</v>
      </c>
      <c r="F507" s="36">
        <v>21.0102669404517</v>
      </c>
      <c r="G507">
        <v>130</v>
      </c>
      <c r="H507">
        <v>2.8954423434688423</v>
      </c>
      <c r="I507">
        <f t="shared" si="28"/>
        <v>376.40750465094948</v>
      </c>
      <c r="J507" s="2">
        <v>3561.8668706672634</v>
      </c>
      <c r="K507">
        <f t="shared" si="29"/>
        <v>463042.69318674423</v>
      </c>
      <c r="L507">
        <v>7.183708757655409E-2</v>
      </c>
      <c r="M507">
        <f t="shared" si="30"/>
        <v>9.3388213849520323</v>
      </c>
      <c r="N507" s="2" t="s">
        <v>576</v>
      </c>
      <c r="O507" s="2">
        <f>VLOOKUP(A507,'Coal savings'!$A$3:$K$543,10,FALSE)</f>
        <v>0</v>
      </c>
      <c r="P507" s="2">
        <f t="shared" si="31"/>
        <v>0</v>
      </c>
      <c r="Q507">
        <f>VLOOKUP(A507,'[13]Thermal generation Mar 19 - Feb'!$C$2:$D$680,2,FALSE)</f>
        <v>19.709999999999901</v>
      </c>
    </row>
    <row r="508" spans="1:17" x14ac:dyDescent="0.2">
      <c r="A508" s="2" t="s">
        <v>262</v>
      </c>
      <c r="B508" t="s">
        <v>612</v>
      </c>
      <c r="C508" t="s">
        <v>627</v>
      </c>
      <c r="D508" t="s">
        <v>572</v>
      </c>
      <c r="E508" t="s">
        <v>544</v>
      </c>
      <c r="F508" s="36">
        <v>11.0910335386721</v>
      </c>
      <c r="G508">
        <v>300</v>
      </c>
      <c r="H508">
        <v>2.6506499885796617</v>
      </c>
      <c r="I508">
        <f t="shared" si="28"/>
        <v>795.19499657389849</v>
      </c>
      <c r="J508" s="2">
        <v>3241.3756714842771</v>
      </c>
      <c r="K508">
        <f t="shared" si="29"/>
        <v>972412.70144528314</v>
      </c>
      <c r="L508">
        <v>7.7914431957709626E-2</v>
      </c>
      <c r="M508">
        <f t="shared" si="30"/>
        <v>23.374329587312889</v>
      </c>
      <c r="N508" s="2" t="s">
        <v>576</v>
      </c>
      <c r="O508" s="2">
        <f>VLOOKUP(A508,'Coal savings'!$A$3:$K$543,10,FALSE)</f>
        <v>0</v>
      </c>
      <c r="P508" s="2">
        <f t="shared" si="31"/>
        <v>0</v>
      </c>
      <c r="Q508">
        <f>VLOOKUP(A508,'[13]Thermal generation Mar 19 - Feb'!$C$2:$D$680,2,FALSE)</f>
        <v>1528.6399999999901</v>
      </c>
    </row>
    <row r="509" spans="1:17" x14ac:dyDescent="0.2">
      <c r="A509" s="2" t="s">
        <v>258</v>
      </c>
      <c r="B509" t="s">
        <v>612</v>
      </c>
      <c r="C509" t="s">
        <v>627</v>
      </c>
      <c r="D509" t="s">
        <v>572</v>
      </c>
      <c r="E509" t="s">
        <v>544</v>
      </c>
      <c r="F509" s="36">
        <v>10.757015742642</v>
      </c>
      <c r="G509">
        <v>300</v>
      </c>
      <c r="H509">
        <v>2.9129883048913001</v>
      </c>
      <c r="I509">
        <f t="shared" si="28"/>
        <v>873.89649146738998</v>
      </c>
      <c r="J509" s="2">
        <v>3357.3841922647989</v>
      </c>
      <c r="K509">
        <f t="shared" si="29"/>
        <v>1007215.2576794396</v>
      </c>
      <c r="L509">
        <v>7.7914431957709626E-2</v>
      </c>
      <c r="M509">
        <f t="shared" si="30"/>
        <v>23.374329587312889</v>
      </c>
      <c r="N509" s="2" t="s">
        <v>576</v>
      </c>
      <c r="O509" s="2">
        <f>VLOOKUP(A509,'Coal savings'!$A$3:$K$543,10,FALSE)</f>
        <v>0</v>
      </c>
      <c r="P509" s="2">
        <f t="shared" si="31"/>
        <v>0</v>
      </c>
      <c r="Q509">
        <f>VLOOKUP(A509,'[13]Thermal generation Mar 19 - Feb'!$C$2:$D$680,2,FALSE)</f>
        <v>334.95</v>
      </c>
    </row>
    <row r="510" spans="1:17" x14ac:dyDescent="0.2">
      <c r="A510" s="2" t="s">
        <v>391</v>
      </c>
      <c r="B510" t="s">
        <v>617</v>
      </c>
      <c r="C510" t="s">
        <v>626</v>
      </c>
      <c r="D510" t="s">
        <v>572</v>
      </c>
      <c r="E510" t="s">
        <v>549</v>
      </c>
      <c r="F510" s="36">
        <v>36.339493497604302</v>
      </c>
      <c r="G510">
        <v>500</v>
      </c>
      <c r="H510">
        <v>3.76</v>
      </c>
      <c r="I510">
        <f t="shared" si="28"/>
        <v>1880</v>
      </c>
      <c r="J510" s="2">
        <v>3221.6563818890554</v>
      </c>
      <c r="K510">
        <f t="shared" si="29"/>
        <v>1610828.1909445277</v>
      </c>
      <c r="L510">
        <v>5.8556660392843879E-2</v>
      </c>
      <c r="M510">
        <f t="shared" si="30"/>
        <v>29.27833019642194</v>
      </c>
      <c r="N510" s="2" t="s">
        <v>576</v>
      </c>
      <c r="O510" s="2">
        <f>VLOOKUP(A510,'Coal savings'!$A$3:$K$543,10,FALSE)</f>
        <v>0</v>
      </c>
      <c r="P510" s="2">
        <f t="shared" si="31"/>
        <v>0</v>
      </c>
      <c r="Q510">
        <f>VLOOKUP(A510,'[13]Thermal generation Mar 19 - Feb'!$C$2:$D$680,2,FALSE)</f>
        <v>3145.07</v>
      </c>
    </row>
    <row r="511" spans="1:17" x14ac:dyDescent="0.2">
      <c r="A511" s="2" t="s">
        <v>284</v>
      </c>
      <c r="B511" t="s">
        <v>617</v>
      </c>
      <c r="C511" t="s">
        <v>626</v>
      </c>
      <c r="D511" t="s">
        <v>572</v>
      </c>
      <c r="E511" t="s">
        <v>544</v>
      </c>
      <c r="F511" s="36">
        <v>11.1759069130732</v>
      </c>
      <c r="G511">
        <v>250</v>
      </c>
      <c r="H511">
        <v>3.92</v>
      </c>
      <c r="I511">
        <f t="shared" si="28"/>
        <v>980</v>
      </c>
      <c r="J511" s="2">
        <v>3235.246119258315</v>
      </c>
      <c r="K511">
        <f t="shared" si="29"/>
        <v>808811.52981457871</v>
      </c>
      <c r="L511">
        <v>5.8556660392843879E-2</v>
      </c>
      <c r="M511">
        <f t="shared" si="30"/>
        <v>14.63916509821097</v>
      </c>
      <c r="N511" s="2" t="s">
        <v>576</v>
      </c>
      <c r="O511" s="2">
        <f>VLOOKUP(A511,'Coal savings'!$A$3:$K$543,10,FALSE)</f>
        <v>0</v>
      </c>
      <c r="P511" s="2">
        <f t="shared" si="31"/>
        <v>0</v>
      </c>
      <c r="Q511">
        <f>VLOOKUP(A511,'[13]Thermal generation Mar 19 - Feb'!$C$2:$D$680,2,FALSE)</f>
        <v>1632.78999999999</v>
      </c>
    </row>
    <row r="512" spans="1:17" x14ac:dyDescent="0.2">
      <c r="A512" s="2" t="s">
        <v>508</v>
      </c>
      <c r="B512" t="s">
        <v>622</v>
      </c>
      <c r="C512" t="s">
        <v>627</v>
      </c>
      <c r="D512" t="s">
        <v>570</v>
      </c>
      <c r="E512" t="s">
        <v>550</v>
      </c>
      <c r="F512" s="36">
        <v>40.821355236139603</v>
      </c>
      <c r="G512">
        <v>210</v>
      </c>
      <c r="H512">
        <v>3.39</v>
      </c>
      <c r="I512">
        <f t="shared" si="28"/>
        <v>711.9</v>
      </c>
      <c r="J512" s="2">
        <v>3419.9715579587428</v>
      </c>
      <c r="K512">
        <f t="shared" si="29"/>
        <v>718194.027171336</v>
      </c>
      <c r="L512">
        <v>8.1569433810636374E-2</v>
      </c>
      <c r="M512">
        <f t="shared" si="30"/>
        <v>17.12958110023364</v>
      </c>
      <c r="N512" s="2" t="s">
        <v>576</v>
      </c>
      <c r="O512" s="2">
        <f>VLOOKUP(A512,'Coal savings'!$A$3:$K$543,10,FALSE)</f>
        <v>0</v>
      </c>
      <c r="P512" s="2">
        <f t="shared" si="31"/>
        <v>0</v>
      </c>
      <c r="Q512">
        <f>VLOOKUP(A512,'[13]Thermal generation Mar 19 - Feb'!$C$2:$D$680,2,FALSE)</f>
        <v>781.81000000000097</v>
      </c>
    </row>
    <row r="513" spans="1:17" x14ac:dyDescent="0.2">
      <c r="A513" s="2" t="s">
        <v>500</v>
      </c>
      <c r="B513" t="s">
        <v>622</v>
      </c>
      <c r="C513" t="s">
        <v>627</v>
      </c>
      <c r="D513" t="s">
        <v>570</v>
      </c>
      <c r="E513" t="s">
        <v>549</v>
      </c>
      <c r="F513" s="36">
        <v>39.378507871320998</v>
      </c>
      <c r="G513">
        <v>210</v>
      </c>
      <c r="H513">
        <v>3.39</v>
      </c>
      <c r="I513">
        <f t="shared" si="28"/>
        <v>711.9</v>
      </c>
      <c r="J513" s="2">
        <v>3356.6174483352252</v>
      </c>
      <c r="K513">
        <f t="shared" si="29"/>
        <v>704889.66415039729</v>
      </c>
      <c r="L513">
        <v>8.1569433810636374E-2</v>
      </c>
      <c r="M513">
        <f t="shared" si="30"/>
        <v>17.12958110023364</v>
      </c>
      <c r="N513" s="2" t="s">
        <v>576</v>
      </c>
      <c r="O513" s="2">
        <f>VLOOKUP(A513,'Coal savings'!$A$3:$K$543,10,FALSE)</f>
        <v>0</v>
      </c>
      <c r="P513" s="2">
        <f t="shared" si="31"/>
        <v>0</v>
      </c>
      <c r="Q513">
        <f>VLOOKUP(A513,'[13]Thermal generation Mar 19 - Feb'!$C$2:$D$680,2,FALSE)</f>
        <v>1298.57</v>
      </c>
    </row>
    <row r="514" spans="1:17" x14ac:dyDescent="0.2">
      <c r="A514" s="2" t="s">
        <v>493</v>
      </c>
      <c r="B514" t="s">
        <v>622</v>
      </c>
      <c r="C514" t="s">
        <v>627</v>
      </c>
      <c r="D514" t="s">
        <v>570</v>
      </c>
      <c r="E514" t="s">
        <v>549</v>
      </c>
      <c r="F514" s="36">
        <v>38.050650239561897</v>
      </c>
      <c r="G514">
        <v>210</v>
      </c>
      <c r="H514">
        <v>3.39</v>
      </c>
      <c r="I514">
        <f t="shared" si="28"/>
        <v>711.9</v>
      </c>
      <c r="J514" s="2">
        <v>3346.7299187838235</v>
      </c>
      <c r="K514">
        <f t="shared" si="29"/>
        <v>702813.28294460289</v>
      </c>
      <c r="L514">
        <v>8.1569433810636374E-2</v>
      </c>
      <c r="M514">
        <f t="shared" si="30"/>
        <v>17.12958110023364</v>
      </c>
      <c r="N514" s="2" t="s">
        <v>576</v>
      </c>
      <c r="O514" s="2">
        <f>VLOOKUP(A514,'Coal savings'!$A$3:$K$543,10,FALSE)</f>
        <v>0</v>
      </c>
      <c r="P514" s="2">
        <f t="shared" si="31"/>
        <v>0</v>
      </c>
      <c r="Q514">
        <f>VLOOKUP(A514,'[13]Thermal generation Mar 19 - Feb'!$C$2:$D$680,2,FALSE)</f>
        <v>1158.78999999999</v>
      </c>
    </row>
    <row r="515" spans="1:17" x14ac:dyDescent="0.2">
      <c r="A515" s="2" t="s">
        <v>420</v>
      </c>
      <c r="B515" t="s">
        <v>622</v>
      </c>
      <c r="C515" t="s">
        <v>627</v>
      </c>
      <c r="D515" t="s">
        <v>570</v>
      </c>
      <c r="E515" t="s">
        <v>547</v>
      </c>
      <c r="F515" s="36">
        <v>28.227241615331899</v>
      </c>
      <c r="G515">
        <v>210</v>
      </c>
      <c r="H515">
        <v>3.39</v>
      </c>
      <c r="I515">
        <f t="shared" ref="I515:I542" si="32">H515*G515</f>
        <v>711.9</v>
      </c>
      <c r="J515" s="2">
        <v>3273.0009108985432</v>
      </c>
      <c r="K515">
        <f t="shared" ref="K515:K542" si="33">J515*G515</f>
        <v>687330.19128869404</v>
      </c>
      <c r="L515">
        <v>8.1569433810636374E-2</v>
      </c>
      <c r="M515">
        <f t="shared" ref="M515:M542" si="34">L515*G515</f>
        <v>17.12958110023364</v>
      </c>
      <c r="N515" s="2" t="s">
        <v>576</v>
      </c>
      <c r="O515" s="2">
        <f>VLOOKUP(A515,'Coal savings'!$A$3:$K$543,10,FALSE)</f>
        <v>0</v>
      </c>
      <c r="P515" s="2">
        <f t="shared" ref="P515:P542" si="35">O515*G515</f>
        <v>0</v>
      </c>
      <c r="Q515">
        <f>VLOOKUP(A515,'[13]Thermal generation Mar 19 - Feb'!$C$2:$D$680,2,FALSE)</f>
        <v>1272.8099999999899</v>
      </c>
    </row>
    <row r="516" spans="1:17" x14ac:dyDescent="0.2">
      <c r="A516" s="2" t="s">
        <v>423</v>
      </c>
      <c r="B516" t="s">
        <v>622</v>
      </c>
      <c r="C516" t="s">
        <v>627</v>
      </c>
      <c r="D516" t="s">
        <v>570</v>
      </c>
      <c r="E516" t="s">
        <v>547</v>
      </c>
      <c r="F516" s="36">
        <v>29.095140314852799</v>
      </c>
      <c r="G516">
        <v>210</v>
      </c>
      <c r="H516">
        <v>3.39</v>
      </c>
      <c r="I516">
        <f t="shared" si="32"/>
        <v>711.9</v>
      </c>
      <c r="J516" s="2">
        <v>3283.5694020813398</v>
      </c>
      <c r="K516">
        <f t="shared" si="33"/>
        <v>689549.57443708135</v>
      </c>
      <c r="L516">
        <v>8.1569433810636374E-2</v>
      </c>
      <c r="M516">
        <f t="shared" si="34"/>
        <v>17.12958110023364</v>
      </c>
      <c r="N516" s="2" t="s">
        <v>576</v>
      </c>
      <c r="O516" s="2">
        <f>VLOOKUP(A516,'Coal savings'!$A$3:$K$543,10,FALSE)</f>
        <v>0</v>
      </c>
      <c r="P516" s="2">
        <f t="shared" si="35"/>
        <v>0</v>
      </c>
      <c r="Q516">
        <f>VLOOKUP(A516,'[13]Thermal generation Mar 19 - Feb'!$C$2:$D$680,2,FALSE)</f>
        <v>858.11</v>
      </c>
    </row>
    <row r="517" spans="1:17" x14ac:dyDescent="0.2">
      <c r="A517" s="2" t="s">
        <v>514</v>
      </c>
      <c r="B517" t="s">
        <v>613</v>
      </c>
      <c r="C517" t="s">
        <v>626</v>
      </c>
      <c r="D517" t="s">
        <v>570</v>
      </c>
      <c r="E517" t="s">
        <v>550</v>
      </c>
      <c r="F517" s="36">
        <v>41.338809034907598</v>
      </c>
      <c r="G517">
        <v>200</v>
      </c>
      <c r="H517">
        <v>3.59</v>
      </c>
      <c r="I517">
        <f t="shared" si="32"/>
        <v>718</v>
      </c>
      <c r="J517" s="2">
        <v>3352.2609853750323</v>
      </c>
      <c r="K517">
        <f t="shared" si="33"/>
        <v>670452.19707500644</v>
      </c>
      <c r="L517">
        <v>8.0187863271519652E-2</v>
      </c>
      <c r="M517">
        <f t="shared" si="34"/>
        <v>16.037572654303929</v>
      </c>
      <c r="N517" s="2" t="s">
        <v>576</v>
      </c>
      <c r="O517" s="2">
        <f>VLOOKUP(A517,'Coal savings'!$A$3:$K$543,10,FALSE)</f>
        <v>0</v>
      </c>
      <c r="P517" s="2">
        <f t="shared" si="35"/>
        <v>0</v>
      </c>
      <c r="Q517">
        <f>VLOOKUP(A517,'[13]Thermal generation Mar 19 - Feb'!$C$2:$D$680,2,FALSE)</f>
        <v>975.06999999999903</v>
      </c>
    </row>
    <row r="518" spans="1:17" x14ac:dyDescent="0.2">
      <c r="A518" s="2" t="s">
        <v>512</v>
      </c>
      <c r="B518" t="s">
        <v>613</v>
      </c>
      <c r="C518" t="s">
        <v>626</v>
      </c>
      <c r="D518" t="s">
        <v>570</v>
      </c>
      <c r="E518" t="s">
        <v>550</v>
      </c>
      <c r="F518" s="36">
        <v>41.177275838466798</v>
      </c>
      <c r="G518">
        <v>200</v>
      </c>
      <c r="H518">
        <v>3.59</v>
      </c>
      <c r="I518">
        <f t="shared" si="32"/>
        <v>718</v>
      </c>
      <c r="J518" s="2">
        <v>3326.5226581781831</v>
      </c>
      <c r="K518">
        <f t="shared" si="33"/>
        <v>665304.53163563658</v>
      </c>
      <c r="L518">
        <v>8.0187863271519652E-2</v>
      </c>
      <c r="M518">
        <f t="shared" si="34"/>
        <v>16.037572654303929</v>
      </c>
      <c r="N518" s="2" t="s">
        <v>576</v>
      </c>
      <c r="O518" s="2">
        <f>VLOOKUP(A518,'Coal savings'!$A$3:$K$543,10,FALSE)</f>
        <v>0</v>
      </c>
      <c r="P518" s="2">
        <f t="shared" si="35"/>
        <v>0</v>
      </c>
      <c r="Q518">
        <f>VLOOKUP(A518,'[13]Thermal generation Mar 19 - Feb'!$C$2:$D$680,2,FALSE)</f>
        <v>1148.6499999999901</v>
      </c>
    </row>
    <row r="519" spans="1:17" x14ac:dyDescent="0.2">
      <c r="A519" s="2" t="s">
        <v>466</v>
      </c>
      <c r="B519" t="s">
        <v>613</v>
      </c>
      <c r="C519" t="s">
        <v>626</v>
      </c>
      <c r="D519" t="s">
        <v>570</v>
      </c>
      <c r="E519" t="s">
        <v>549</v>
      </c>
      <c r="F519" s="36">
        <v>35.337440109513999</v>
      </c>
      <c r="G519">
        <v>210</v>
      </c>
      <c r="H519">
        <v>3.59</v>
      </c>
      <c r="I519">
        <f t="shared" si="32"/>
        <v>753.9</v>
      </c>
      <c r="J519" s="2">
        <v>3292.4679737578217</v>
      </c>
      <c r="K519">
        <f t="shared" si="33"/>
        <v>691418.27448914258</v>
      </c>
      <c r="L519">
        <v>8.0187863271519652E-2</v>
      </c>
      <c r="M519">
        <f t="shared" si="34"/>
        <v>16.839451287019127</v>
      </c>
      <c r="N519" s="2" t="s">
        <v>576</v>
      </c>
      <c r="O519" s="2">
        <f>VLOOKUP(A519,'Coal savings'!$A$3:$K$543,10,FALSE)</f>
        <v>0</v>
      </c>
      <c r="P519" s="2">
        <f t="shared" si="35"/>
        <v>0</v>
      </c>
      <c r="Q519">
        <f>VLOOKUP(A519,'[13]Thermal generation Mar 19 - Feb'!$C$2:$D$680,2,FALSE)</f>
        <v>1027.3699999999999</v>
      </c>
    </row>
    <row r="520" spans="1:17" x14ac:dyDescent="0.2">
      <c r="A520" s="2" t="s">
        <v>442</v>
      </c>
      <c r="B520" t="s">
        <v>634</v>
      </c>
      <c r="C520" t="s">
        <v>628</v>
      </c>
      <c r="D520" t="s">
        <v>571</v>
      </c>
      <c r="E520" t="s">
        <v>548</v>
      </c>
      <c r="F520" s="36">
        <v>31.504449007529001</v>
      </c>
      <c r="G520">
        <v>210</v>
      </c>
      <c r="H520">
        <v>3.13</v>
      </c>
      <c r="I520">
        <f t="shared" si="32"/>
        <v>657.3</v>
      </c>
      <c r="J520" s="2">
        <v>3249.7755094254094</v>
      </c>
      <c r="K520">
        <f t="shared" si="33"/>
        <v>682452.85697933601</v>
      </c>
      <c r="L520">
        <v>0.10083552828968442</v>
      </c>
      <c r="M520">
        <f t="shared" si="34"/>
        <v>21.17546094083373</v>
      </c>
      <c r="N520" s="2" t="s">
        <v>576</v>
      </c>
      <c r="O520" s="2">
        <f>VLOOKUP(A520,'Coal savings'!$A$3:$K$543,10,FALSE)</f>
        <v>0</v>
      </c>
      <c r="P520" s="2">
        <f t="shared" si="35"/>
        <v>0</v>
      </c>
      <c r="Q520">
        <f>VLOOKUP(A520,'[13]Thermal generation Mar 19 - Feb'!$C$2:$D$680,2,FALSE)</f>
        <v>1105.8999999999901</v>
      </c>
    </row>
    <row r="521" spans="1:17" x14ac:dyDescent="0.2">
      <c r="A521" s="2" t="s">
        <v>437</v>
      </c>
      <c r="B521" t="s">
        <v>634</v>
      </c>
      <c r="C521" t="s">
        <v>628</v>
      </c>
      <c r="D521" t="s">
        <v>571</v>
      </c>
      <c r="E521" t="s">
        <v>548</v>
      </c>
      <c r="F521" s="36">
        <v>31.175906913073199</v>
      </c>
      <c r="G521">
        <v>210</v>
      </c>
      <c r="H521">
        <v>3.13</v>
      </c>
      <c r="I521">
        <f t="shared" si="32"/>
        <v>657.3</v>
      </c>
      <c r="J521" s="2">
        <v>3236.7329407326306</v>
      </c>
      <c r="K521">
        <f t="shared" si="33"/>
        <v>679713.91755385243</v>
      </c>
      <c r="L521">
        <v>0.10083552828968442</v>
      </c>
      <c r="M521">
        <f t="shared" si="34"/>
        <v>21.17546094083373</v>
      </c>
      <c r="N521" s="2" t="s">
        <v>576</v>
      </c>
      <c r="O521" s="2">
        <f>VLOOKUP(A521,'Coal savings'!$A$3:$K$543,10,FALSE)</f>
        <v>0</v>
      </c>
      <c r="P521" s="2">
        <f t="shared" si="35"/>
        <v>0</v>
      </c>
      <c r="Q521">
        <f>VLOOKUP(A521,'[13]Thermal generation Mar 19 - Feb'!$C$2:$D$680,2,FALSE)</f>
        <v>1210.4399999999901</v>
      </c>
    </row>
    <row r="522" spans="1:17" x14ac:dyDescent="0.2">
      <c r="A522" s="2" t="s">
        <v>377</v>
      </c>
      <c r="B522" t="s">
        <v>634</v>
      </c>
      <c r="C522" t="s">
        <v>628</v>
      </c>
      <c r="D522" t="s">
        <v>571</v>
      </c>
      <c r="E522" t="s">
        <v>546</v>
      </c>
      <c r="F522" s="36">
        <v>21.338809034907499</v>
      </c>
      <c r="G522">
        <v>210</v>
      </c>
      <c r="H522">
        <v>3.11</v>
      </c>
      <c r="I522">
        <f t="shared" si="32"/>
        <v>653.1</v>
      </c>
      <c r="J522" s="2">
        <v>3163.0703088471378</v>
      </c>
      <c r="K522">
        <f t="shared" si="33"/>
        <v>664244.76485789893</v>
      </c>
      <c r="L522">
        <v>0.10083552828968442</v>
      </c>
      <c r="M522">
        <f t="shared" si="34"/>
        <v>21.17546094083373</v>
      </c>
      <c r="N522" s="2" t="s">
        <v>576</v>
      </c>
      <c r="O522" s="2">
        <f>VLOOKUP(A522,'Coal savings'!$A$3:$K$543,10,FALSE)</f>
        <v>0</v>
      </c>
      <c r="P522" s="2">
        <f t="shared" si="35"/>
        <v>0</v>
      </c>
      <c r="Q522">
        <f>VLOOKUP(A522,'[13]Thermal generation Mar 19 - Feb'!$C$2:$D$680,2,FALSE)</f>
        <v>1096.8699999999899</v>
      </c>
    </row>
    <row r="523" spans="1:17" x14ac:dyDescent="0.2">
      <c r="A523" s="2" t="s">
        <v>371</v>
      </c>
      <c r="B523" t="s">
        <v>634</v>
      </c>
      <c r="C523" t="s">
        <v>628</v>
      </c>
      <c r="D523" t="s">
        <v>571</v>
      </c>
      <c r="E523" t="s">
        <v>546</v>
      </c>
      <c r="F523" s="36">
        <v>20.591375770020498</v>
      </c>
      <c r="G523">
        <v>210</v>
      </c>
      <c r="H523">
        <v>3.11</v>
      </c>
      <c r="I523">
        <f t="shared" si="32"/>
        <v>653.1</v>
      </c>
      <c r="J523" s="2">
        <v>3149.6774175165233</v>
      </c>
      <c r="K523">
        <f t="shared" si="33"/>
        <v>661432.25767846988</v>
      </c>
      <c r="L523">
        <v>0.10083552828968442</v>
      </c>
      <c r="M523">
        <f t="shared" si="34"/>
        <v>21.17546094083373</v>
      </c>
      <c r="N523" s="2" t="s">
        <v>576</v>
      </c>
      <c r="O523" s="2">
        <f>VLOOKUP(A523,'Coal savings'!$A$3:$K$543,10,FALSE)</f>
        <v>0</v>
      </c>
      <c r="P523" s="2">
        <f t="shared" si="35"/>
        <v>0</v>
      </c>
      <c r="Q523">
        <f>VLOOKUP(A523,'[13]Thermal generation Mar 19 - Feb'!$C$2:$D$680,2,FALSE)</f>
        <v>1214.51</v>
      </c>
    </row>
    <row r="524" spans="1:17" x14ac:dyDescent="0.2">
      <c r="A524" s="2" t="s">
        <v>323</v>
      </c>
      <c r="B524" t="s">
        <v>634</v>
      </c>
      <c r="C524" t="s">
        <v>628</v>
      </c>
      <c r="D524" t="s">
        <v>571</v>
      </c>
      <c r="E524" t="s">
        <v>544</v>
      </c>
      <c r="F524" s="36">
        <v>13.6728268309377</v>
      </c>
      <c r="G524">
        <v>210</v>
      </c>
      <c r="H524">
        <v>3.11</v>
      </c>
      <c r="I524">
        <f t="shared" si="32"/>
        <v>653.1</v>
      </c>
      <c r="J524" s="2">
        <v>3101.217139212315</v>
      </c>
      <c r="K524">
        <f t="shared" si="33"/>
        <v>651255.59923458612</v>
      </c>
      <c r="L524">
        <v>0.10083552828968442</v>
      </c>
      <c r="M524">
        <f t="shared" si="34"/>
        <v>21.17546094083373</v>
      </c>
      <c r="N524" s="2" t="s">
        <v>576</v>
      </c>
      <c r="O524" s="2">
        <f>VLOOKUP(A524,'Coal savings'!$A$3:$K$543,10,FALSE)</f>
        <v>0</v>
      </c>
      <c r="P524" s="2">
        <f t="shared" si="35"/>
        <v>0</v>
      </c>
      <c r="Q524">
        <f>VLOOKUP(A524,'[13]Thermal generation Mar 19 - Feb'!$C$2:$D$680,2,FALSE)</f>
        <v>1191.95999999999</v>
      </c>
    </row>
    <row r="525" spans="1:17" x14ac:dyDescent="0.2">
      <c r="A525" s="2" t="s">
        <v>336</v>
      </c>
      <c r="B525" t="s">
        <v>634</v>
      </c>
      <c r="C525" t="s">
        <v>628</v>
      </c>
      <c r="D525" t="s">
        <v>572</v>
      </c>
      <c r="E525" t="s">
        <v>543</v>
      </c>
      <c r="F525" s="36">
        <v>8.2546201232032796</v>
      </c>
      <c r="G525">
        <v>45</v>
      </c>
      <c r="H525">
        <v>3.49</v>
      </c>
      <c r="I525">
        <f t="shared" si="32"/>
        <v>157.05000000000001</v>
      </c>
      <c r="J525" s="2">
        <v>3376.1427066707715</v>
      </c>
      <c r="K525">
        <f t="shared" si="33"/>
        <v>151926.42180018473</v>
      </c>
      <c r="L525">
        <v>0.11683063103919883</v>
      </c>
      <c r="M525">
        <f t="shared" si="34"/>
        <v>5.2573783967639471</v>
      </c>
      <c r="N525" s="2" t="s">
        <v>576</v>
      </c>
      <c r="O525" s="2">
        <f>VLOOKUP(A525,'Coal savings'!$A$3:$K$543,10,FALSE)</f>
        <v>0</v>
      </c>
      <c r="P525" s="2">
        <f t="shared" si="35"/>
        <v>0</v>
      </c>
      <c r="Q525">
        <f>VLOOKUP(A525,'[13]Thermal generation Mar 19 - Feb'!$C$2:$D$680,2,FALSE)</f>
        <v>73.680000000000007</v>
      </c>
    </row>
    <row r="526" spans="1:17" x14ac:dyDescent="0.2">
      <c r="A526" s="2" t="s">
        <v>334</v>
      </c>
      <c r="B526" t="s">
        <v>634</v>
      </c>
      <c r="C526" t="s">
        <v>628</v>
      </c>
      <c r="D526" t="s">
        <v>572</v>
      </c>
      <c r="E526" t="s">
        <v>543</v>
      </c>
      <c r="F526" s="36">
        <v>8.1752224503764506</v>
      </c>
      <c r="G526">
        <v>45</v>
      </c>
      <c r="H526">
        <v>3.49</v>
      </c>
      <c r="I526">
        <f t="shared" si="32"/>
        <v>157.05000000000001</v>
      </c>
      <c r="J526" s="2">
        <v>3378.741340427126</v>
      </c>
      <c r="K526">
        <f t="shared" si="33"/>
        <v>152043.36031922066</v>
      </c>
      <c r="L526">
        <v>0.11683063103919883</v>
      </c>
      <c r="M526">
        <f t="shared" si="34"/>
        <v>5.2573783967639471</v>
      </c>
      <c r="N526" s="2" t="s">
        <v>576</v>
      </c>
      <c r="O526" s="2">
        <f>VLOOKUP(A526,'Coal savings'!$A$3:$K$543,10,FALSE)</f>
        <v>0</v>
      </c>
      <c r="P526" s="2">
        <f t="shared" si="35"/>
        <v>0</v>
      </c>
      <c r="Q526">
        <f>VLOOKUP(A526,'[13]Thermal generation Mar 19 - Feb'!$C$2:$D$680,2,FALSE)</f>
        <v>46.969999999999899</v>
      </c>
    </row>
    <row r="527" spans="1:17" x14ac:dyDescent="0.2">
      <c r="A527" s="2" t="s">
        <v>449</v>
      </c>
      <c r="B527" t="s">
        <v>609</v>
      </c>
      <c r="C527" t="s">
        <v>626</v>
      </c>
      <c r="D527" t="s">
        <v>571</v>
      </c>
      <c r="E527" t="s">
        <v>548</v>
      </c>
      <c r="F527" s="36">
        <v>32.591375770020498</v>
      </c>
      <c r="G527">
        <v>210</v>
      </c>
      <c r="H527">
        <v>1.64</v>
      </c>
      <c r="I527">
        <f t="shared" si="32"/>
        <v>344.4</v>
      </c>
      <c r="J527" s="2">
        <v>3157.2268591545344</v>
      </c>
      <c r="K527">
        <f t="shared" si="33"/>
        <v>663017.64042245224</v>
      </c>
      <c r="L527">
        <v>6.5179373950034494E-2</v>
      </c>
      <c r="M527">
        <f t="shared" si="34"/>
        <v>13.687668529507244</v>
      </c>
      <c r="N527" s="2" t="s">
        <v>576</v>
      </c>
      <c r="O527" s="2">
        <f>VLOOKUP(A527,'Coal savings'!$A$3:$K$543,10,FALSE)</f>
        <v>0</v>
      </c>
      <c r="P527" s="2">
        <f t="shared" si="35"/>
        <v>0</v>
      </c>
      <c r="Q527">
        <f>VLOOKUP(A527,'[13]Thermal generation Mar 19 - Feb'!$C$2:$D$680,2,FALSE)</f>
        <v>1632.3399999999899</v>
      </c>
    </row>
    <row r="528" spans="1:17" x14ac:dyDescent="0.2">
      <c r="A528" s="2" t="s">
        <v>444</v>
      </c>
      <c r="B528" t="s">
        <v>609</v>
      </c>
      <c r="C528" t="s">
        <v>626</v>
      </c>
      <c r="D528" t="s">
        <v>571</v>
      </c>
      <c r="E528" t="s">
        <v>548</v>
      </c>
      <c r="F528" s="36">
        <v>31.841204654346299</v>
      </c>
      <c r="G528">
        <v>210</v>
      </c>
      <c r="H528">
        <v>1.64</v>
      </c>
      <c r="I528">
        <f t="shared" si="32"/>
        <v>344.4</v>
      </c>
      <c r="J528" s="2">
        <v>3172.9682772728984</v>
      </c>
      <c r="K528">
        <f t="shared" si="33"/>
        <v>666323.3382273087</v>
      </c>
      <c r="L528">
        <v>6.5179373950034494E-2</v>
      </c>
      <c r="M528">
        <f t="shared" si="34"/>
        <v>13.687668529507244</v>
      </c>
      <c r="N528" s="2" t="s">
        <v>576</v>
      </c>
      <c r="O528" s="2">
        <f>VLOOKUP(A528,'Coal savings'!$A$3:$K$543,10,FALSE)</f>
        <v>0</v>
      </c>
      <c r="P528" s="2">
        <f t="shared" si="35"/>
        <v>0</v>
      </c>
      <c r="Q528">
        <f>VLOOKUP(A528,'[13]Thermal generation Mar 19 - Feb'!$C$2:$D$680,2,FALSE)</f>
        <v>1644.7</v>
      </c>
    </row>
    <row r="529" spans="1:17" x14ac:dyDescent="0.2">
      <c r="A529" s="2" t="s">
        <v>440</v>
      </c>
      <c r="B529" t="s">
        <v>609</v>
      </c>
      <c r="C529" t="s">
        <v>626</v>
      </c>
      <c r="D529" t="s">
        <v>571</v>
      </c>
      <c r="E529" t="s">
        <v>548</v>
      </c>
      <c r="F529" s="36">
        <v>31.2525667351129</v>
      </c>
      <c r="G529">
        <v>210</v>
      </c>
      <c r="H529">
        <v>1.64</v>
      </c>
      <c r="I529">
        <f t="shared" si="32"/>
        <v>344.4</v>
      </c>
      <c r="J529" s="2">
        <v>3164.9307960764068</v>
      </c>
      <c r="K529">
        <f t="shared" si="33"/>
        <v>664635.46717604541</v>
      </c>
      <c r="L529">
        <v>6.5179373950034494E-2</v>
      </c>
      <c r="M529">
        <f t="shared" si="34"/>
        <v>13.687668529507244</v>
      </c>
      <c r="N529" s="2" t="s">
        <v>576</v>
      </c>
      <c r="O529" s="2">
        <f>VLOOKUP(A529,'Coal savings'!$A$3:$K$543,10,FALSE)</f>
        <v>0</v>
      </c>
      <c r="P529" s="2">
        <f t="shared" si="35"/>
        <v>0</v>
      </c>
      <c r="Q529">
        <f>VLOOKUP(A529,'[13]Thermal generation Mar 19 - Feb'!$C$2:$D$680,2,FALSE)</f>
        <v>1539.25</v>
      </c>
    </row>
    <row r="530" spans="1:17" x14ac:dyDescent="0.2">
      <c r="A530" s="2" t="s">
        <v>433</v>
      </c>
      <c r="B530" t="s">
        <v>609</v>
      </c>
      <c r="C530" t="s">
        <v>626</v>
      </c>
      <c r="D530" t="s">
        <v>571</v>
      </c>
      <c r="E530" t="s">
        <v>548</v>
      </c>
      <c r="F530" s="36">
        <v>30.4229979466119</v>
      </c>
      <c r="G530">
        <v>210</v>
      </c>
      <c r="H530">
        <v>1.64</v>
      </c>
      <c r="I530">
        <f t="shared" si="32"/>
        <v>344.4</v>
      </c>
      <c r="J530" s="2">
        <v>3170.7855154096569</v>
      </c>
      <c r="K530">
        <f t="shared" si="33"/>
        <v>665864.95823602797</v>
      </c>
      <c r="L530">
        <v>6.5179373950034494E-2</v>
      </c>
      <c r="M530">
        <f t="shared" si="34"/>
        <v>13.687668529507244</v>
      </c>
      <c r="N530" s="2" t="s">
        <v>576</v>
      </c>
      <c r="O530" s="2">
        <f>VLOOKUP(A530,'Coal savings'!$A$3:$K$543,10,FALSE)</f>
        <v>0</v>
      </c>
      <c r="P530" s="2">
        <f t="shared" si="35"/>
        <v>0</v>
      </c>
      <c r="Q530">
        <f>VLOOKUP(A530,'[13]Thermal generation Mar 19 - Feb'!$C$2:$D$680,2,FALSE)</f>
        <v>1469.34</v>
      </c>
    </row>
    <row r="531" spans="1:17" x14ac:dyDescent="0.2">
      <c r="A531" s="2" t="s">
        <v>431</v>
      </c>
      <c r="B531" t="s">
        <v>609</v>
      </c>
      <c r="C531" t="s">
        <v>626</v>
      </c>
      <c r="D531" t="s">
        <v>571</v>
      </c>
      <c r="E531" t="s">
        <v>548</v>
      </c>
      <c r="F531" s="36">
        <v>30.176591375769998</v>
      </c>
      <c r="G531">
        <v>210</v>
      </c>
      <c r="H531">
        <v>1.64</v>
      </c>
      <c r="I531">
        <f t="shared" si="32"/>
        <v>344.4</v>
      </c>
      <c r="J531" s="2">
        <v>3173.6952089431752</v>
      </c>
      <c r="K531">
        <f t="shared" si="33"/>
        <v>666475.99387806677</v>
      </c>
      <c r="L531">
        <v>6.5179373950034494E-2</v>
      </c>
      <c r="M531">
        <f t="shared" si="34"/>
        <v>13.687668529507244</v>
      </c>
      <c r="N531" s="2" t="s">
        <v>576</v>
      </c>
      <c r="O531" s="2">
        <f>VLOOKUP(A531,'Coal savings'!$A$3:$K$543,10,FALSE)</f>
        <v>0</v>
      </c>
      <c r="P531" s="2">
        <f t="shared" si="35"/>
        <v>0</v>
      </c>
      <c r="Q531">
        <f>VLOOKUP(A531,'[13]Thermal generation Mar 19 - Feb'!$C$2:$D$680,2,FALSE)</f>
        <v>1480.8199999999899</v>
      </c>
    </row>
    <row r="532" spans="1:17" x14ac:dyDescent="0.2">
      <c r="A532" s="2" t="s">
        <v>426</v>
      </c>
      <c r="B532" t="s">
        <v>609</v>
      </c>
      <c r="C532" t="s">
        <v>626</v>
      </c>
      <c r="D532" t="s">
        <v>571</v>
      </c>
      <c r="E532" t="s">
        <v>547</v>
      </c>
      <c r="F532" s="36">
        <v>29.2539356605065</v>
      </c>
      <c r="G532">
        <v>210</v>
      </c>
      <c r="H532">
        <v>1.64</v>
      </c>
      <c r="I532">
        <f t="shared" si="32"/>
        <v>344.4</v>
      </c>
      <c r="J532" s="2">
        <v>3166.4735150388956</v>
      </c>
      <c r="K532">
        <f t="shared" si="33"/>
        <v>664959.43815816811</v>
      </c>
      <c r="L532">
        <v>6.5179373950034494E-2</v>
      </c>
      <c r="M532">
        <f t="shared" si="34"/>
        <v>13.687668529507244</v>
      </c>
      <c r="N532" s="2" t="s">
        <v>576</v>
      </c>
      <c r="O532" s="2">
        <f>VLOOKUP(A532,'Coal savings'!$A$3:$K$543,10,FALSE)</f>
        <v>0</v>
      </c>
      <c r="P532" s="2">
        <f t="shared" si="35"/>
        <v>0</v>
      </c>
      <c r="Q532">
        <f>VLOOKUP(A532,'[13]Thermal generation Mar 19 - Feb'!$C$2:$D$680,2,FALSE)</f>
        <v>1454.27</v>
      </c>
    </row>
    <row r="533" spans="1:17" x14ac:dyDescent="0.2">
      <c r="A533" s="2" t="s">
        <v>494</v>
      </c>
      <c r="B533" t="s">
        <v>613</v>
      </c>
      <c r="C533" t="s">
        <v>626</v>
      </c>
      <c r="D533" t="s">
        <v>570</v>
      </c>
      <c r="E533" t="s">
        <v>549</v>
      </c>
      <c r="F533" s="36">
        <v>38.176591375770002</v>
      </c>
      <c r="G533">
        <v>210</v>
      </c>
      <c r="H533">
        <v>3.83</v>
      </c>
      <c r="I533">
        <f t="shared" si="32"/>
        <v>804.30000000000007</v>
      </c>
      <c r="J533" s="2">
        <v>3399.9459424428956</v>
      </c>
      <c r="K533">
        <f t="shared" si="33"/>
        <v>713988.64791300811</v>
      </c>
      <c r="L533">
        <v>9.2496856160444826E-2</v>
      </c>
      <c r="M533">
        <f t="shared" si="34"/>
        <v>19.424339793693413</v>
      </c>
      <c r="N533" s="2" t="s">
        <v>576</v>
      </c>
      <c r="O533" s="2">
        <f>VLOOKUP(A533,'Coal savings'!$A$3:$K$543,10,FALSE)</f>
        <v>0</v>
      </c>
      <c r="P533" s="2">
        <f t="shared" si="35"/>
        <v>0</v>
      </c>
      <c r="Q533">
        <f>VLOOKUP(A533,'[13]Thermal generation Mar 19 - Feb'!$C$2:$D$680,2,FALSE)</f>
        <v>360.51999999999902</v>
      </c>
    </row>
    <row r="534" spans="1:17" x14ac:dyDescent="0.2">
      <c r="A534" s="2" t="s">
        <v>485</v>
      </c>
      <c r="B534" t="s">
        <v>613</v>
      </c>
      <c r="C534" t="s">
        <v>626</v>
      </c>
      <c r="D534" t="s">
        <v>570</v>
      </c>
      <c r="E534" t="s">
        <v>549</v>
      </c>
      <c r="F534" s="36">
        <v>37.338809034907598</v>
      </c>
      <c r="G534">
        <v>210</v>
      </c>
      <c r="H534">
        <v>3.83</v>
      </c>
      <c r="I534">
        <f t="shared" si="32"/>
        <v>804.30000000000007</v>
      </c>
      <c r="J534" s="2">
        <v>3386.51419112432</v>
      </c>
      <c r="K534">
        <f t="shared" si="33"/>
        <v>711167.98013610719</v>
      </c>
      <c r="L534">
        <v>9.2496856160444826E-2</v>
      </c>
      <c r="M534">
        <f t="shared" si="34"/>
        <v>19.424339793693413</v>
      </c>
      <c r="N534" s="2" t="s">
        <v>576</v>
      </c>
      <c r="O534" s="2">
        <f>VLOOKUP(A534,'Coal savings'!$A$3:$K$543,10,FALSE)</f>
        <v>0</v>
      </c>
      <c r="P534" s="2">
        <f t="shared" si="35"/>
        <v>0</v>
      </c>
      <c r="Q534">
        <f>VLOOKUP(A534,'[13]Thermal generation Mar 19 - Feb'!$C$2:$D$680,2,FALSE)</f>
        <v>461.67</v>
      </c>
    </row>
    <row r="535" spans="1:17" x14ac:dyDescent="0.2">
      <c r="A535" s="2" t="s">
        <v>472</v>
      </c>
      <c r="B535" t="s">
        <v>613</v>
      </c>
      <c r="C535" t="s">
        <v>626</v>
      </c>
      <c r="D535" t="s">
        <v>570</v>
      </c>
      <c r="E535" t="s">
        <v>549</v>
      </c>
      <c r="F535" s="36">
        <v>36.175222450376403</v>
      </c>
      <c r="G535">
        <v>210</v>
      </c>
      <c r="H535">
        <v>3.83</v>
      </c>
      <c r="I535">
        <f t="shared" si="32"/>
        <v>804.30000000000007</v>
      </c>
      <c r="J535" s="2">
        <v>3297.6499983182221</v>
      </c>
      <c r="K535">
        <f t="shared" si="33"/>
        <v>692506.49964682665</v>
      </c>
      <c r="L535">
        <v>9.2496856160444826E-2</v>
      </c>
      <c r="M535">
        <f t="shared" si="34"/>
        <v>19.424339793693413</v>
      </c>
      <c r="N535" s="2" t="s">
        <v>576</v>
      </c>
      <c r="O535" s="2">
        <f>VLOOKUP(A535,'Coal savings'!$A$3:$K$543,10,FALSE)</f>
        <v>0</v>
      </c>
      <c r="P535" s="2">
        <f t="shared" si="35"/>
        <v>0</v>
      </c>
      <c r="Q535">
        <f>VLOOKUP(A535,'[13]Thermal generation Mar 19 - Feb'!$C$2:$D$680,2,FALSE)</f>
        <v>1173.8599999999899</v>
      </c>
    </row>
    <row r="536" spans="1:17" x14ac:dyDescent="0.2">
      <c r="A536" s="2" t="s">
        <v>455</v>
      </c>
      <c r="B536" t="s">
        <v>613</v>
      </c>
      <c r="C536" t="s">
        <v>626</v>
      </c>
      <c r="D536" t="s">
        <v>570</v>
      </c>
      <c r="E536" t="s">
        <v>548</v>
      </c>
      <c r="F536" s="36">
        <v>34.176591375770002</v>
      </c>
      <c r="G536">
        <v>210</v>
      </c>
      <c r="H536">
        <v>3.83</v>
      </c>
      <c r="I536">
        <f t="shared" si="32"/>
        <v>804.30000000000007</v>
      </c>
      <c r="J536" s="2">
        <v>3310.1750581411502</v>
      </c>
      <c r="K536">
        <f t="shared" si="33"/>
        <v>695136.76220964151</v>
      </c>
      <c r="L536">
        <v>9.2496856160444826E-2</v>
      </c>
      <c r="M536">
        <f t="shared" si="34"/>
        <v>19.424339793693413</v>
      </c>
      <c r="N536" s="2" t="s">
        <v>576</v>
      </c>
      <c r="O536" s="2">
        <f>VLOOKUP(A536,'Coal savings'!$A$3:$K$543,10,FALSE)</f>
        <v>0</v>
      </c>
      <c r="P536" s="2">
        <f t="shared" si="35"/>
        <v>0</v>
      </c>
      <c r="Q536">
        <f>VLOOKUP(A536,'[13]Thermal generation Mar 19 - Feb'!$C$2:$D$680,2,FALSE)</f>
        <v>679.41999999999905</v>
      </c>
    </row>
    <row r="537" spans="1:17" x14ac:dyDescent="0.2">
      <c r="A537" s="2" t="s">
        <v>453</v>
      </c>
      <c r="B537" t="s">
        <v>613</v>
      </c>
      <c r="C537" t="s">
        <v>626</v>
      </c>
      <c r="D537" t="s">
        <v>570</v>
      </c>
      <c r="E537" t="s">
        <v>548</v>
      </c>
      <c r="F537" s="36">
        <v>33.672826830937701</v>
      </c>
      <c r="G537">
        <v>210</v>
      </c>
      <c r="H537">
        <v>3.83</v>
      </c>
      <c r="I537">
        <f t="shared" si="32"/>
        <v>804.30000000000007</v>
      </c>
      <c r="J537" s="2">
        <v>3314.4577925323483</v>
      </c>
      <c r="K537">
        <f t="shared" si="33"/>
        <v>696036.1364317931</v>
      </c>
      <c r="L537">
        <v>9.2496856160444826E-2</v>
      </c>
      <c r="M537">
        <f t="shared" si="34"/>
        <v>19.424339793693413</v>
      </c>
      <c r="N537" s="2" t="s">
        <v>576</v>
      </c>
      <c r="O537" s="2">
        <f>VLOOKUP(A537,'Coal savings'!$A$3:$K$543,10,FALSE)</f>
        <v>0</v>
      </c>
      <c r="P537" s="2">
        <f t="shared" si="35"/>
        <v>0</v>
      </c>
      <c r="Q537">
        <f>VLOOKUP(A537,'[13]Thermal generation Mar 19 - Feb'!$C$2:$D$680,2,FALSE)</f>
        <v>711.479999999999</v>
      </c>
    </row>
    <row r="538" spans="1:17" x14ac:dyDescent="0.2">
      <c r="A538" s="2" t="s">
        <v>448</v>
      </c>
      <c r="B538" t="s">
        <v>613</v>
      </c>
      <c r="C538" t="s">
        <v>626</v>
      </c>
      <c r="D538" t="s">
        <v>570</v>
      </c>
      <c r="E538" t="s">
        <v>548</v>
      </c>
      <c r="F538" s="36">
        <v>32.5065023956194</v>
      </c>
      <c r="G538">
        <v>210</v>
      </c>
      <c r="H538">
        <v>3.83</v>
      </c>
      <c r="I538">
        <f t="shared" si="32"/>
        <v>804.30000000000007</v>
      </c>
      <c r="J538" s="2">
        <v>3303.7980296427277</v>
      </c>
      <c r="K538">
        <f t="shared" si="33"/>
        <v>693797.58622497285</v>
      </c>
      <c r="L538">
        <v>9.2496856160444826E-2</v>
      </c>
      <c r="M538">
        <f t="shared" si="34"/>
        <v>19.424339793693413</v>
      </c>
      <c r="N538" s="2" t="s">
        <v>576</v>
      </c>
      <c r="O538" s="2">
        <f>VLOOKUP(A538,'Coal savings'!$A$3:$K$543,10,FALSE)</f>
        <v>0</v>
      </c>
      <c r="P538" s="2">
        <f t="shared" si="35"/>
        <v>0</v>
      </c>
      <c r="Q538">
        <f>VLOOKUP(A538,'[13]Thermal generation Mar 19 - Feb'!$C$2:$D$680,2,FALSE)</f>
        <v>688.32</v>
      </c>
    </row>
    <row r="539" spans="1:17" x14ac:dyDescent="0.2">
      <c r="A539" s="2" t="s">
        <v>380</v>
      </c>
      <c r="B539" t="s">
        <v>613</v>
      </c>
      <c r="C539" t="s">
        <v>626</v>
      </c>
      <c r="D539" t="s">
        <v>570</v>
      </c>
      <c r="E539" t="s">
        <v>546</v>
      </c>
      <c r="F539" s="36">
        <v>21.423682409308601</v>
      </c>
      <c r="G539">
        <v>210</v>
      </c>
      <c r="H539">
        <v>3.66</v>
      </c>
      <c r="I539">
        <f t="shared" si="32"/>
        <v>768.6</v>
      </c>
      <c r="J539" s="2">
        <v>3157.0075054040867</v>
      </c>
      <c r="K539">
        <f t="shared" si="33"/>
        <v>662971.57613485819</v>
      </c>
      <c r="L539">
        <v>9.2496856160444826E-2</v>
      </c>
      <c r="M539">
        <f t="shared" si="34"/>
        <v>19.424339793693413</v>
      </c>
      <c r="N539" s="2" t="s">
        <v>576</v>
      </c>
      <c r="O539" s="2">
        <f>VLOOKUP(A539,'Coal savings'!$A$3:$K$543,10,FALSE)</f>
        <v>0</v>
      </c>
      <c r="P539" s="2">
        <f t="shared" si="35"/>
        <v>0</v>
      </c>
      <c r="Q539">
        <f>VLOOKUP(A539,'[13]Thermal generation Mar 19 - Feb'!$C$2:$D$680,2,FALSE)</f>
        <v>1167.23999999999</v>
      </c>
    </row>
    <row r="540" spans="1:17" x14ac:dyDescent="0.2">
      <c r="A540" s="2" t="s">
        <v>317</v>
      </c>
      <c r="B540" t="s">
        <v>617</v>
      </c>
      <c r="C540" t="s">
        <v>626</v>
      </c>
      <c r="D540" t="s">
        <v>572</v>
      </c>
      <c r="E540" t="s">
        <v>543</v>
      </c>
      <c r="F540" s="36">
        <v>9.5906913073237501</v>
      </c>
      <c r="G540">
        <v>135</v>
      </c>
      <c r="H540">
        <v>3.052278236188442</v>
      </c>
      <c r="I540">
        <f t="shared" si="32"/>
        <v>412.05756188543967</v>
      </c>
      <c r="J540" s="2">
        <v>3354.2273479368127</v>
      </c>
      <c r="K540">
        <f t="shared" si="33"/>
        <v>452820.69197146973</v>
      </c>
      <c r="L540">
        <v>0.11099569562813016</v>
      </c>
      <c r="M540">
        <f t="shared" si="34"/>
        <v>14.984418909797572</v>
      </c>
      <c r="N540" s="2" t="s">
        <v>576</v>
      </c>
      <c r="O540" s="2">
        <f>VLOOKUP(A540,'Coal savings'!$A$3:$K$543,10,FALSE)</f>
        <v>0</v>
      </c>
      <c r="P540" s="2">
        <f t="shared" si="35"/>
        <v>0</v>
      </c>
      <c r="Q540">
        <f>VLOOKUP(A540,'[13]Thermal generation Mar 19 - Feb'!$C$2:$D$680,2,FALSE)</f>
        <v>51.819999999999901</v>
      </c>
    </row>
    <row r="541" spans="1:17" x14ac:dyDescent="0.2">
      <c r="A541" s="2" t="s">
        <v>316</v>
      </c>
      <c r="B541" t="s">
        <v>617</v>
      </c>
      <c r="C541" t="s">
        <v>626</v>
      </c>
      <c r="D541" t="s">
        <v>572</v>
      </c>
      <c r="E541" t="s">
        <v>543</v>
      </c>
      <c r="F541" s="36">
        <v>9.3388090349075892</v>
      </c>
      <c r="G541">
        <v>135</v>
      </c>
      <c r="H541">
        <v>2.8726044703129405</v>
      </c>
      <c r="I541">
        <f t="shared" si="32"/>
        <v>387.80160349224695</v>
      </c>
      <c r="J541" s="2">
        <v>3272.7643260486211</v>
      </c>
      <c r="K541">
        <f t="shared" si="33"/>
        <v>441823.18401656387</v>
      </c>
      <c r="L541">
        <v>0.11099569562813016</v>
      </c>
      <c r="M541">
        <f t="shared" si="34"/>
        <v>14.984418909797572</v>
      </c>
      <c r="N541" s="2" t="s">
        <v>576</v>
      </c>
      <c r="O541" s="2">
        <f>VLOOKUP(A541,'Coal savings'!$A$3:$K$543,10,FALSE)</f>
        <v>0</v>
      </c>
      <c r="P541" s="2">
        <f t="shared" si="35"/>
        <v>0</v>
      </c>
      <c r="Q541">
        <f>VLOOKUP(A541,'[13]Thermal generation Mar 19 - Feb'!$C$2:$D$680,2,FALSE)</f>
        <v>42.709999999999901</v>
      </c>
    </row>
    <row r="542" spans="1:17" x14ac:dyDescent="0.2">
      <c r="A542" s="2" t="s">
        <v>312</v>
      </c>
      <c r="B542" t="s">
        <v>617</v>
      </c>
      <c r="C542" t="s">
        <v>626</v>
      </c>
      <c r="D542" t="s">
        <v>572</v>
      </c>
      <c r="E542" t="s">
        <v>543</v>
      </c>
      <c r="F542" s="36">
        <v>9.0924024640656995</v>
      </c>
      <c r="G542">
        <v>135</v>
      </c>
      <c r="H542">
        <v>2.8580881490737098</v>
      </c>
      <c r="I542">
        <f t="shared" si="32"/>
        <v>385.84190012495083</v>
      </c>
      <c r="J542" s="2">
        <v>3265.2375865115437</v>
      </c>
      <c r="K542">
        <f t="shared" si="33"/>
        <v>440807.07417905837</v>
      </c>
      <c r="L542">
        <v>0.11099569562813016</v>
      </c>
      <c r="M542">
        <f t="shared" si="34"/>
        <v>14.984418909797572</v>
      </c>
      <c r="N542" s="2" t="s">
        <v>576</v>
      </c>
      <c r="O542" s="2">
        <f>VLOOKUP(A542,'Coal savings'!$A$3:$K$543,10,FALSE)</f>
        <v>0</v>
      </c>
      <c r="P542" s="2">
        <f t="shared" si="35"/>
        <v>0</v>
      </c>
    </row>
    <row r="544" spans="1:17" x14ac:dyDescent="0.2">
      <c r="G544">
        <f>_xlfn.AGGREGATE(9,1,G2:G542)</f>
        <v>194023.5</v>
      </c>
      <c r="I544">
        <f>_xlfn.AGGREGATE(9,1,I2:I542)/G544</f>
        <v>2.5024683533411385</v>
      </c>
      <c r="K544">
        <f>_xlfn.AGGREGATE(9,1,K2:K542)/G544</f>
        <v>2905.8338570955998</v>
      </c>
      <c r="M544" s="72">
        <f>_xlfn.AGGREGATE(9,1,M2:M542)/G544</f>
        <v>7.3936603257938494E-2</v>
      </c>
    </row>
  </sheetData>
  <autoFilter ref="A1:Q542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543"/>
  <sheetViews>
    <sheetView topLeftCell="O1" workbookViewId="0">
      <selection activeCell="AD2" sqref="AD2:AD19"/>
    </sheetView>
  </sheetViews>
  <sheetFormatPr baseColWidth="10" defaultColWidth="8.83203125" defaultRowHeight="15" x14ac:dyDescent="0.2"/>
  <cols>
    <col min="1" max="1" width="31" bestFit="1" customWidth="1"/>
    <col min="2" max="2" width="15.6640625" bestFit="1" customWidth="1"/>
    <col min="4" max="4" width="16.1640625" bestFit="1" customWidth="1"/>
    <col min="5" max="5" width="12.6640625" bestFit="1" customWidth="1"/>
    <col min="6" max="6" width="12" bestFit="1" customWidth="1"/>
    <col min="7" max="7" width="8.5" bestFit="1" customWidth="1"/>
    <col min="8" max="8" width="11.5" bestFit="1" customWidth="1"/>
    <col min="9" max="9" width="18.5" bestFit="1" customWidth="1"/>
    <col min="14" max="14" width="30.83203125" bestFit="1" customWidth="1"/>
    <col min="15" max="15" width="15.6640625" bestFit="1" customWidth="1"/>
    <col min="16" max="16" width="16.1640625" bestFit="1" customWidth="1"/>
  </cols>
  <sheetData>
    <row r="1" spans="1:30" x14ac:dyDescent="0.2">
      <c r="A1" t="s">
        <v>556</v>
      </c>
      <c r="B1" t="s">
        <v>558</v>
      </c>
      <c r="C1" t="s">
        <v>607</v>
      </c>
      <c r="D1" t="s">
        <v>559</v>
      </c>
      <c r="E1" t="s">
        <v>555</v>
      </c>
      <c r="F1" t="s">
        <v>541</v>
      </c>
      <c r="G1" t="s">
        <v>557</v>
      </c>
      <c r="H1" t="s">
        <v>574</v>
      </c>
      <c r="I1" t="s">
        <v>655</v>
      </c>
      <c r="J1" t="s">
        <v>656</v>
      </c>
      <c r="N1" s="2" t="s">
        <v>556</v>
      </c>
      <c r="O1" s="2" t="s">
        <v>558</v>
      </c>
      <c r="P1" s="2" t="s">
        <v>559</v>
      </c>
      <c r="Q1" s="2" t="s">
        <v>541</v>
      </c>
      <c r="R1" s="2" t="s">
        <v>557</v>
      </c>
      <c r="T1" s="2" t="s">
        <v>556</v>
      </c>
      <c r="U1" s="2" t="s">
        <v>558</v>
      </c>
      <c r="V1" s="2" t="s">
        <v>559</v>
      </c>
      <c r="W1" s="2" t="s">
        <v>541</v>
      </c>
      <c r="X1" s="2" t="s">
        <v>557</v>
      </c>
      <c r="Z1" s="2" t="s">
        <v>556</v>
      </c>
      <c r="AA1" s="2" t="s">
        <v>558</v>
      </c>
      <c r="AB1" s="2" t="s">
        <v>559</v>
      </c>
      <c r="AC1" s="2" t="s">
        <v>541</v>
      </c>
      <c r="AD1" s="2" t="s">
        <v>557</v>
      </c>
    </row>
    <row r="2" spans="1:30" x14ac:dyDescent="0.2">
      <c r="A2" t="s">
        <v>51</v>
      </c>
      <c r="B2" t="s">
        <v>611</v>
      </c>
      <c r="C2" t="s">
        <v>626</v>
      </c>
      <c r="D2" t="s">
        <v>572</v>
      </c>
      <c r="E2" t="s">
        <v>542</v>
      </c>
      <c r="F2">
        <v>2.3381245722108099</v>
      </c>
      <c r="G2">
        <v>600</v>
      </c>
      <c r="H2" t="s">
        <v>598</v>
      </c>
      <c r="I2">
        <v>600</v>
      </c>
      <c r="J2">
        <v>0</v>
      </c>
      <c r="N2" s="2" t="s">
        <v>302</v>
      </c>
      <c r="O2" s="2" t="s">
        <v>621</v>
      </c>
      <c r="P2" s="2" t="s">
        <v>570</v>
      </c>
      <c r="Q2" s="12">
        <v>10.924024640657001</v>
      </c>
      <c r="R2" s="2">
        <v>210</v>
      </c>
      <c r="T2" s="2" t="s">
        <v>311</v>
      </c>
      <c r="U2" s="2" t="s">
        <v>609</v>
      </c>
      <c r="V2" s="2" t="s">
        <v>570</v>
      </c>
      <c r="W2" s="12">
        <v>11.9233401779603</v>
      </c>
      <c r="X2" s="2">
        <v>210</v>
      </c>
      <c r="Z2" s="2" t="s">
        <v>375</v>
      </c>
      <c r="AA2" s="2" t="s">
        <v>621</v>
      </c>
      <c r="AB2" s="2" t="s">
        <v>572</v>
      </c>
      <c r="AC2" s="12">
        <v>22.672142368240898</v>
      </c>
      <c r="AD2" s="2">
        <v>250</v>
      </c>
    </row>
    <row r="3" spans="1:30" x14ac:dyDescent="0.2">
      <c r="A3" t="s">
        <v>110</v>
      </c>
      <c r="B3" t="s">
        <v>611</v>
      </c>
      <c r="C3" t="s">
        <v>626</v>
      </c>
      <c r="D3" t="s">
        <v>572</v>
      </c>
      <c r="E3" t="s">
        <v>543</v>
      </c>
      <c r="F3">
        <v>6.7570157426420199</v>
      </c>
      <c r="G3">
        <v>600</v>
      </c>
      <c r="H3" t="s">
        <v>598</v>
      </c>
      <c r="I3">
        <v>600</v>
      </c>
      <c r="J3">
        <v>0</v>
      </c>
      <c r="N3" s="2" t="s">
        <v>373</v>
      </c>
      <c r="O3" s="2" t="s">
        <v>621</v>
      </c>
      <c r="P3" s="2" t="s">
        <v>570</v>
      </c>
      <c r="Q3" s="12">
        <v>20.843258042436599</v>
      </c>
      <c r="R3" s="2">
        <v>210</v>
      </c>
      <c r="T3" s="2" t="s">
        <v>341</v>
      </c>
      <c r="U3" s="2" t="s">
        <v>634</v>
      </c>
      <c r="V3" s="2" t="s">
        <v>572</v>
      </c>
      <c r="W3" s="12">
        <v>8.5065023956194299</v>
      </c>
      <c r="X3" s="2">
        <v>45</v>
      </c>
      <c r="Z3" s="2" t="s">
        <v>361</v>
      </c>
      <c r="AA3" s="2" t="s">
        <v>621</v>
      </c>
      <c r="AB3" s="2" t="s">
        <v>572</v>
      </c>
      <c r="AC3" s="12">
        <v>21.177275838466802</v>
      </c>
      <c r="AD3" s="2">
        <v>250</v>
      </c>
    </row>
    <row r="4" spans="1:30" x14ac:dyDescent="0.2">
      <c r="A4" t="s">
        <v>98</v>
      </c>
      <c r="B4" t="s">
        <v>611</v>
      </c>
      <c r="C4" t="s">
        <v>626</v>
      </c>
      <c r="D4" t="s">
        <v>572</v>
      </c>
      <c r="E4" t="s">
        <v>543</v>
      </c>
      <c r="F4">
        <v>5.7577002053388</v>
      </c>
      <c r="G4">
        <v>600</v>
      </c>
      <c r="H4" t="s">
        <v>598</v>
      </c>
      <c r="J4">
        <v>600</v>
      </c>
      <c r="N4" s="2" t="s">
        <v>365</v>
      </c>
      <c r="O4" s="2" t="s">
        <v>621</v>
      </c>
      <c r="P4" s="2" t="s">
        <v>570</v>
      </c>
      <c r="Q4" s="12">
        <v>20.008213552361301</v>
      </c>
      <c r="R4" s="2">
        <v>210</v>
      </c>
      <c r="T4" s="2" t="s">
        <v>339</v>
      </c>
      <c r="U4" s="2" t="s">
        <v>634</v>
      </c>
      <c r="V4" s="2" t="s">
        <v>572</v>
      </c>
      <c r="W4" s="12">
        <v>8.33949349760438</v>
      </c>
      <c r="X4" s="2">
        <v>45</v>
      </c>
      <c r="Z4" s="2" t="s">
        <v>390</v>
      </c>
      <c r="AA4" s="2" t="s">
        <v>617</v>
      </c>
      <c r="AB4" s="2" t="s">
        <v>572</v>
      </c>
      <c r="AC4" s="12">
        <v>25.338809034907499</v>
      </c>
      <c r="AD4" s="2">
        <v>250</v>
      </c>
    </row>
    <row r="5" spans="1:30" x14ac:dyDescent="0.2">
      <c r="A5" t="s">
        <v>311</v>
      </c>
      <c r="B5" t="s">
        <v>609</v>
      </c>
      <c r="C5" t="s">
        <v>626</v>
      </c>
      <c r="D5" t="s">
        <v>570</v>
      </c>
      <c r="E5" t="s">
        <v>544</v>
      </c>
      <c r="F5">
        <v>11.9233401779603</v>
      </c>
      <c r="G5">
        <v>210</v>
      </c>
      <c r="H5" t="s">
        <v>576</v>
      </c>
      <c r="I5">
        <v>210</v>
      </c>
      <c r="J5">
        <v>0</v>
      </c>
      <c r="N5" s="2" t="s">
        <v>358</v>
      </c>
      <c r="O5" s="2" t="s">
        <v>621</v>
      </c>
      <c r="P5" s="2" t="s">
        <v>570</v>
      </c>
      <c r="Q5" s="12">
        <v>19.175906913073199</v>
      </c>
      <c r="R5" s="2">
        <v>210</v>
      </c>
      <c r="T5" s="2" t="s">
        <v>233</v>
      </c>
      <c r="U5" s="2" t="s">
        <v>617</v>
      </c>
      <c r="V5" s="2" t="s">
        <v>572</v>
      </c>
      <c r="W5" s="12">
        <v>7.1759069130732298</v>
      </c>
      <c r="X5" s="2">
        <v>270</v>
      </c>
      <c r="Z5" s="2" t="s">
        <v>389</v>
      </c>
      <c r="AA5" s="2" t="s">
        <v>617</v>
      </c>
      <c r="AB5" s="2" t="s">
        <v>572</v>
      </c>
      <c r="AC5" s="12">
        <v>25.177275838466802</v>
      </c>
      <c r="AD5" s="2">
        <v>250</v>
      </c>
    </row>
    <row r="6" spans="1:30" x14ac:dyDescent="0.2">
      <c r="A6" t="s">
        <v>234</v>
      </c>
      <c r="B6" t="s">
        <v>617</v>
      </c>
      <c r="C6" t="s">
        <v>626</v>
      </c>
      <c r="D6" t="s">
        <v>572</v>
      </c>
      <c r="E6" t="s">
        <v>543</v>
      </c>
      <c r="F6">
        <v>7.1759069130732298</v>
      </c>
      <c r="G6">
        <v>270</v>
      </c>
      <c r="H6" t="s">
        <v>598</v>
      </c>
      <c r="I6">
        <v>270</v>
      </c>
      <c r="J6">
        <v>0</v>
      </c>
      <c r="N6" s="2" t="s">
        <v>313</v>
      </c>
      <c r="O6" s="2" t="s">
        <v>621</v>
      </c>
      <c r="P6" s="2" t="s">
        <v>570</v>
      </c>
      <c r="Q6" s="12">
        <v>12.4243668720054</v>
      </c>
      <c r="R6" s="2">
        <v>210</v>
      </c>
      <c r="T6" s="2" t="s">
        <v>290</v>
      </c>
      <c r="U6" s="2" t="s">
        <v>611</v>
      </c>
      <c r="V6" s="2" t="s">
        <v>571</v>
      </c>
      <c r="W6" s="12">
        <v>12.090349075975301</v>
      </c>
      <c r="X6" s="2">
        <v>250</v>
      </c>
      <c r="Z6" s="2" t="s">
        <v>383</v>
      </c>
      <c r="AA6" s="2" t="s">
        <v>613</v>
      </c>
      <c r="AB6" s="2" t="s">
        <v>570</v>
      </c>
      <c r="AC6" s="12">
        <v>22.176591375769998</v>
      </c>
      <c r="AD6" s="2">
        <v>210</v>
      </c>
    </row>
    <row r="7" spans="1:30" x14ac:dyDescent="0.2">
      <c r="A7" t="s">
        <v>222</v>
      </c>
      <c r="B7" t="s">
        <v>617</v>
      </c>
      <c r="C7" t="s">
        <v>626</v>
      </c>
      <c r="D7" t="s">
        <v>572</v>
      </c>
      <c r="E7" t="s">
        <v>543</v>
      </c>
      <c r="F7">
        <v>6.2532511978097096</v>
      </c>
      <c r="G7">
        <v>270</v>
      </c>
      <c r="H7" t="s">
        <v>598</v>
      </c>
      <c r="I7">
        <v>270</v>
      </c>
      <c r="J7">
        <v>0</v>
      </c>
      <c r="N7" s="2" t="s">
        <v>540</v>
      </c>
      <c r="O7" s="2" t="s">
        <v>621</v>
      </c>
      <c r="P7" s="2" t="s">
        <v>570</v>
      </c>
      <c r="Q7" s="12">
        <v>54.672142368240898</v>
      </c>
      <c r="R7" s="2">
        <v>60</v>
      </c>
      <c r="T7" s="2" t="s">
        <v>282</v>
      </c>
      <c r="U7" s="2" t="s">
        <v>611</v>
      </c>
      <c r="V7" s="2" t="s">
        <v>571</v>
      </c>
      <c r="W7" s="12">
        <v>10.841889117043101</v>
      </c>
      <c r="X7" s="2">
        <v>250</v>
      </c>
      <c r="Z7" s="2" t="s">
        <v>385</v>
      </c>
      <c r="AA7" s="2" t="s">
        <v>618</v>
      </c>
      <c r="AB7" s="2" t="s">
        <v>570</v>
      </c>
      <c r="AC7" s="12">
        <v>22.4229979466119</v>
      </c>
      <c r="AD7" s="2">
        <v>210</v>
      </c>
    </row>
    <row r="8" spans="1:30" x14ac:dyDescent="0.2">
      <c r="A8" t="s">
        <v>213</v>
      </c>
      <c r="B8" t="s">
        <v>617</v>
      </c>
      <c r="C8" t="s">
        <v>626</v>
      </c>
      <c r="D8" t="s">
        <v>572</v>
      </c>
      <c r="E8" t="s">
        <v>543</v>
      </c>
      <c r="F8">
        <v>5.3388090349075901</v>
      </c>
      <c r="G8">
        <v>270</v>
      </c>
      <c r="H8" t="s">
        <v>598</v>
      </c>
      <c r="I8">
        <v>270</v>
      </c>
      <c r="J8">
        <v>0</v>
      </c>
      <c r="N8" s="2" t="s">
        <v>539</v>
      </c>
      <c r="O8" s="2" t="s">
        <v>621</v>
      </c>
      <c r="P8" s="2" t="s">
        <v>570</v>
      </c>
      <c r="Q8" s="12">
        <v>54.590006844626899</v>
      </c>
      <c r="R8" s="2">
        <v>60</v>
      </c>
      <c r="T8" s="2" t="s">
        <v>280</v>
      </c>
      <c r="U8" s="2" t="s">
        <v>621</v>
      </c>
      <c r="V8" s="2" t="s">
        <v>572</v>
      </c>
      <c r="W8" s="12">
        <v>10.6721423682409</v>
      </c>
      <c r="X8" s="2">
        <v>250</v>
      </c>
      <c r="Z8" s="2" t="s">
        <v>381</v>
      </c>
      <c r="AA8" s="2" t="s">
        <v>618</v>
      </c>
      <c r="AB8" s="2" t="s">
        <v>570</v>
      </c>
      <c r="AC8" s="12">
        <v>21.590691307323699</v>
      </c>
      <c r="AD8" s="2">
        <v>210</v>
      </c>
    </row>
    <row r="9" spans="1:30" x14ac:dyDescent="0.2">
      <c r="A9" t="s">
        <v>210</v>
      </c>
      <c r="B9" t="s">
        <v>617</v>
      </c>
      <c r="C9" t="s">
        <v>626</v>
      </c>
      <c r="D9" t="s">
        <v>572</v>
      </c>
      <c r="E9" t="s">
        <v>543</v>
      </c>
      <c r="F9">
        <v>5.1772758384667998</v>
      </c>
      <c r="G9">
        <v>270</v>
      </c>
      <c r="H9" t="s">
        <v>598</v>
      </c>
      <c r="I9">
        <v>270</v>
      </c>
      <c r="J9">
        <v>0</v>
      </c>
      <c r="N9" s="2" t="s">
        <v>488</v>
      </c>
      <c r="O9" s="2" t="s">
        <v>621</v>
      </c>
      <c r="P9" s="2" t="s">
        <v>570</v>
      </c>
      <c r="Q9" s="12">
        <v>37.590691307323702</v>
      </c>
      <c r="R9" s="2">
        <v>210</v>
      </c>
      <c r="T9" s="2" t="s">
        <v>327</v>
      </c>
      <c r="U9" s="2" t="s">
        <v>611</v>
      </c>
      <c r="V9" s="2" t="s">
        <v>572</v>
      </c>
      <c r="W9" s="12">
        <v>6.1765913757700197</v>
      </c>
      <c r="X9" s="2">
        <v>30</v>
      </c>
      <c r="Z9" s="2" t="s">
        <v>382</v>
      </c>
      <c r="AA9" s="2" t="s">
        <v>621</v>
      </c>
      <c r="AB9" s="2" t="s">
        <v>571</v>
      </c>
      <c r="AC9" s="12">
        <v>22.176591375769998</v>
      </c>
      <c r="AD9" s="2">
        <v>210</v>
      </c>
    </row>
    <row r="10" spans="1:30" x14ac:dyDescent="0.2">
      <c r="A10" t="s">
        <v>209</v>
      </c>
      <c r="B10" t="s">
        <v>617</v>
      </c>
      <c r="C10" t="s">
        <v>626</v>
      </c>
      <c r="D10" t="s">
        <v>572</v>
      </c>
      <c r="E10" t="s">
        <v>543</v>
      </c>
      <c r="F10">
        <v>5.1772758384667998</v>
      </c>
      <c r="G10">
        <v>270</v>
      </c>
      <c r="H10" t="s">
        <v>598</v>
      </c>
      <c r="I10">
        <v>270</v>
      </c>
      <c r="J10">
        <v>0</v>
      </c>
      <c r="N10" s="2" t="s">
        <v>265</v>
      </c>
      <c r="O10" s="2" t="s">
        <v>615</v>
      </c>
      <c r="P10" s="2" t="s">
        <v>571</v>
      </c>
      <c r="Q10" s="12">
        <v>3.4962354551676902</v>
      </c>
      <c r="R10" s="2">
        <v>110</v>
      </c>
      <c r="T10" s="2" t="s">
        <v>277</v>
      </c>
      <c r="U10" s="2" t="s">
        <v>623</v>
      </c>
      <c r="V10" s="2" t="s">
        <v>571</v>
      </c>
      <c r="W10" s="12">
        <v>10.5051334702258</v>
      </c>
      <c r="X10" s="2">
        <v>250</v>
      </c>
      <c r="Z10" s="2" t="s">
        <v>376</v>
      </c>
      <c r="AA10" s="2" t="s">
        <v>609</v>
      </c>
      <c r="AB10" s="2" t="s">
        <v>570</v>
      </c>
      <c r="AC10" s="12">
        <v>21.2539356605065</v>
      </c>
      <c r="AD10" s="2">
        <v>210</v>
      </c>
    </row>
    <row r="11" spans="1:30" x14ac:dyDescent="0.2">
      <c r="A11" t="s">
        <v>127</v>
      </c>
      <c r="B11" t="s">
        <v>634</v>
      </c>
      <c r="C11" t="s">
        <v>628</v>
      </c>
      <c r="D11" t="s">
        <v>572</v>
      </c>
      <c r="E11" t="s">
        <v>543</v>
      </c>
      <c r="F11">
        <v>8.5913757700205302</v>
      </c>
      <c r="G11">
        <v>600</v>
      </c>
      <c r="H11" t="s">
        <v>598</v>
      </c>
      <c r="I11">
        <v>540</v>
      </c>
      <c r="J11">
        <v>60</v>
      </c>
      <c r="N11" s="2" t="s">
        <v>411</v>
      </c>
      <c r="O11" s="2" t="s">
        <v>623</v>
      </c>
      <c r="P11" s="2" t="s">
        <v>571</v>
      </c>
      <c r="Q11" s="12">
        <v>26.757015742642</v>
      </c>
      <c r="R11" s="2">
        <v>210</v>
      </c>
      <c r="T11" s="2" t="s">
        <v>270</v>
      </c>
      <c r="U11" s="2" t="s">
        <v>623</v>
      </c>
      <c r="V11" s="2" t="s">
        <v>571</v>
      </c>
      <c r="W11" s="12">
        <v>10.17659137577</v>
      </c>
      <c r="X11" s="2">
        <v>250</v>
      </c>
      <c r="Z11" s="2" t="s">
        <v>370</v>
      </c>
      <c r="AA11" s="2" t="s">
        <v>609</v>
      </c>
      <c r="AB11" s="2" t="s">
        <v>570</v>
      </c>
      <c r="AC11" s="12">
        <v>20.5065023956194</v>
      </c>
      <c r="AD11" s="2">
        <v>210</v>
      </c>
    </row>
    <row r="12" spans="1:30" x14ac:dyDescent="0.2">
      <c r="A12" t="s">
        <v>124</v>
      </c>
      <c r="B12" t="s">
        <v>634</v>
      </c>
      <c r="C12" t="s">
        <v>628</v>
      </c>
      <c r="D12" t="s">
        <v>572</v>
      </c>
      <c r="E12" t="s">
        <v>543</v>
      </c>
      <c r="F12">
        <v>8.33949349760438</v>
      </c>
      <c r="G12">
        <v>600</v>
      </c>
      <c r="H12" t="s">
        <v>598</v>
      </c>
      <c r="I12">
        <v>540</v>
      </c>
      <c r="J12">
        <v>60</v>
      </c>
      <c r="N12" s="2" t="s">
        <v>507</v>
      </c>
      <c r="O12" s="2" t="s">
        <v>614</v>
      </c>
      <c r="P12" s="2" t="s">
        <v>570</v>
      </c>
      <c r="Q12" s="12">
        <v>40.5065023956194</v>
      </c>
      <c r="R12" s="2">
        <v>210</v>
      </c>
      <c r="T12" s="2" t="s">
        <v>278</v>
      </c>
      <c r="U12" s="2" t="s">
        <v>616</v>
      </c>
      <c r="V12" s="2" t="s">
        <v>570</v>
      </c>
      <c r="W12" s="12">
        <v>10.590006844626901</v>
      </c>
      <c r="X12" s="2">
        <v>250</v>
      </c>
      <c r="Z12" s="2" t="s">
        <v>367</v>
      </c>
      <c r="AA12" s="2" t="s">
        <v>616</v>
      </c>
      <c r="AB12" s="2" t="s">
        <v>570</v>
      </c>
      <c r="AC12" s="12">
        <v>22.009582477754901</v>
      </c>
      <c r="AD12" s="2">
        <v>250</v>
      </c>
    </row>
    <row r="13" spans="1:30" x14ac:dyDescent="0.2">
      <c r="A13" t="s">
        <v>456</v>
      </c>
      <c r="B13" t="s">
        <v>634</v>
      </c>
      <c r="C13" t="s">
        <v>628</v>
      </c>
      <c r="D13" t="s">
        <v>570</v>
      </c>
      <c r="E13" t="s">
        <v>548</v>
      </c>
      <c r="F13">
        <v>34.176591375770002</v>
      </c>
      <c r="G13">
        <v>210</v>
      </c>
      <c r="H13" t="s">
        <v>576</v>
      </c>
      <c r="I13">
        <v>189</v>
      </c>
      <c r="J13">
        <v>21</v>
      </c>
      <c r="N13" s="2" t="s">
        <v>501</v>
      </c>
      <c r="O13" s="2" t="s">
        <v>614</v>
      </c>
      <c r="P13" s="2" t="s">
        <v>570</v>
      </c>
      <c r="Q13" s="12">
        <v>39.564681724845997</v>
      </c>
      <c r="R13" s="2">
        <v>210</v>
      </c>
      <c r="T13" s="2" t="s">
        <v>269</v>
      </c>
      <c r="U13" s="2" t="s">
        <v>616</v>
      </c>
      <c r="V13" s="2" t="s">
        <v>570</v>
      </c>
      <c r="W13" s="12">
        <v>10.009582477754901</v>
      </c>
      <c r="X13" s="2">
        <v>250</v>
      </c>
      <c r="Z13" s="2" t="s">
        <v>354</v>
      </c>
      <c r="AA13" s="2" t="s">
        <v>616</v>
      </c>
      <c r="AB13" s="2" t="s">
        <v>570</v>
      </c>
      <c r="AC13" s="12">
        <v>20.175222450376399</v>
      </c>
      <c r="AD13" s="2">
        <v>250</v>
      </c>
    </row>
    <row r="14" spans="1:30" x14ac:dyDescent="0.2">
      <c r="A14" t="s">
        <v>451</v>
      </c>
      <c r="B14" t="s">
        <v>634</v>
      </c>
      <c r="C14" t="s">
        <v>628</v>
      </c>
      <c r="D14" t="s">
        <v>570</v>
      </c>
      <c r="E14" t="s">
        <v>548</v>
      </c>
      <c r="F14">
        <v>33.2539356605065</v>
      </c>
      <c r="G14">
        <v>210</v>
      </c>
      <c r="H14" t="s">
        <v>576</v>
      </c>
      <c r="I14">
        <v>189</v>
      </c>
      <c r="J14">
        <v>21</v>
      </c>
      <c r="N14" s="2" t="s">
        <v>434</v>
      </c>
      <c r="O14" s="2" t="s">
        <v>614</v>
      </c>
      <c r="P14" s="2" t="s">
        <v>570</v>
      </c>
      <c r="Q14" s="12">
        <v>30.579055441478399</v>
      </c>
      <c r="R14" s="2">
        <v>210</v>
      </c>
      <c r="T14" s="2" t="s">
        <v>306</v>
      </c>
      <c r="U14" s="2" t="s">
        <v>611</v>
      </c>
      <c r="V14" s="2" t="s">
        <v>570</v>
      </c>
      <c r="W14" s="12">
        <v>13.1772758384668</v>
      </c>
      <c r="X14" s="2">
        <v>250</v>
      </c>
      <c r="Z14" s="2" t="s">
        <v>398</v>
      </c>
      <c r="AA14" s="2" t="s">
        <v>612</v>
      </c>
      <c r="AB14" s="2" t="s">
        <v>572</v>
      </c>
      <c r="AC14" s="12">
        <v>21.338809034907499</v>
      </c>
      <c r="AD14" s="2">
        <v>130</v>
      </c>
    </row>
    <row r="15" spans="1:30" x14ac:dyDescent="0.2">
      <c r="A15" t="s">
        <v>445</v>
      </c>
      <c r="B15" t="s">
        <v>634</v>
      </c>
      <c r="C15" t="s">
        <v>628</v>
      </c>
      <c r="D15" t="s">
        <v>570</v>
      </c>
      <c r="E15" t="s">
        <v>548</v>
      </c>
      <c r="F15">
        <v>32.175222450376403</v>
      </c>
      <c r="G15">
        <v>210</v>
      </c>
      <c r="H15" t="s">
        <v>576</v>
      </c>
      <c r="I15">
        <v>189</v>
      </c>
      <c r="J15">
        <v>21</v>
      </c>
      <c r="N15" s="2" t="s">
        <v>427</v>
      </c>
      <c r="O15" s="2" t="s">
        <v>614</v>
      </c>
      <c r="P15" s="2" t="s">
        <v>570</v>
      </c>
      <c r="Q15" s="12">
        <v>29.6974674880219</v>
      </c>
      <c r="R15" s="2">
        <v>210</v>
      </c>
      <c r="T15" s="2" t="s">
        <v>297</v>
      </c>
      <c r="U15" s="2" t="s">
        <v>611</v>
      </c>
      <c r="V15" s="2" t="s">
        <v>570</v>
      </c>
      <c r="W15" s="12">
        <v>12.4243668720054</v>
      </c>
      <c r="X15" s="2">
        <v>250</v>
      </c>
      <c r="Z15" s="2" t="s">
        <v>396</v>
      </c>
      <c r="AA15" s="2" t="s">
        <v>612</v>
      </c>
      <c r="AB15" s="2" t="s">
        <v>572</v>
      </c>
      <c r="AC15" s="12">
        <v>21.0102669404517</v>
      </c>
      <c r="AD15" s="2">
        <v>130</v>
      </c>
    </row>
    <row r="16" spans="1:30" x14ac:dyDescent="0.2">
      <c r="A16" t="s">
        <v>326</v>
      </c>
      <c r="B16" t="s">
        <v>634</v>
      </c>
      <c r="C16" t="s">
        <v>628</v>
      </c>
      <c r="D16" t="s">
        <v>570</v>
      </c>
      <c r="E16" t="s">
        <v>547</v>
      </c>
      <c r="F16">
        <v>26.841889117043099</v>
      </c>
      <c r="G16">
        <v>500</v>
      </c>
      <c r="H16" t="s">
        <v>598</v>
      </c>
      <c r="I16">
        <v>450</v>
      </c>
      <c r="J16">
        <v>50</v>
      </c>
      <c r="N16" s="2" t="s">
        <v>404</v>
      </c>
      <c r="O16" s="2" t="s">
        <v>614</v>
      </c>
      <c r="P16" s="2" t="s">
        <v>570</v>
      </c>
      <c r="Q16" s="12">
        <v>26.094455852155999</v>
      </c>
      <c r="R16" s="2">
        <v>210</v>
      </c>
      <c r="T16" s="2" t="s">
        <v>296</v>
      </c>
      <c r="U16" s="2" t="s">
        <v>618</v>
      </c>
      <c r="V16" s="2" t="s">
        <v>570</v>
      </c>
      <c r="W16" s="12">
        <v>12.3394934976043</v>
      </c>
      <c r="X16" s="2">
        <v>250</v>
      </c>
      <c r="Z16" s="2" t="s">
        <v>391</v>
      </c>
      <c r="AA16" s="2" t="s">
        <v>617</v>
      </c>
      <c r="AB16" s="2" t="s">
        <v>572</v>
      </c>
      <c r="AC16" s="12">
        <v>36.339493497604302</v>
      </c>
      <c r="AD16" s="2">
        <v>500</v>
      </c>
    </row>
    <row r="17" spans="1:30" x14ac:dyDescent="0.2">
      <c r="A17" t="s">
        <v>318</v>
      </c>
      <c r="B17" t="s">
        <v>634</v>
      </c>
      <c r="C17" t="s">
        <v>628</v>
      </c>
      <c r="D17" t="s">
        <v>570</v>
      </c>
      <c r="E17" t="s">
        <v>547</v>
      </c>
      <c r="F17">
        <v>25.842573579739899</v>
      </c>
      <c r="G17">
        <v>500</v>
      </c>
      <c r="H17" t="s">
        <v>598</v>
      </c>
      <c r="I17">
        <v>450</v>
      </c>
      <c r="J17">
        <v>50</v>
      </c>
      <c r="N17" s="2" t="s">
        <v>400</v>
      </c>
      <c r="O17" s="2" t="s">
        <v>614</v>
      </c>
      <c r="P17" s="2" t="s">
        <v>570</v>
      </c>
      <c r="Q17" s="12">
        <v>25.190965092402401</v>
      </c>
      <c r="R17" s="2">
        <v>210</v>
      </c>
      <c r="T17" s="2" t="s">
        <v>288</v>
      </c>
      <c r="U17" s="2" t="s">
        <v>618</v>
      </c>
      <c r="V17" s="2" t="s">
        <v>570</v>
      </c>
      <c r="W17" s="12">
        <v>11.841204654346299</v>
      </c>
      <c r="X17" s="2">
        <v>250</v>
      </c>
      <c r="Z17" s="2" t="s">
        <v>377</v>
      </c>
      <c r="AA17" s="2" t="s">
        <v>634</v>
      </c>
      <c r="AB17" s="2" t="s">
        <v>571</v>
      </c>
      <c r="AC17" s="12">
        <v>21.338809034907499</v>
      </c>
      <c r="AD17" s="2">
        <v>210</v>
      </c>
    </row>
    <row r="18" spans="1:30" x14ac:dyDescent="0.2">
      <c r="A18" t="s">
        <v>82</v>
      </c>
      <c r="B18" t="s">
        <v>634</v>
      </c>
      <c r="C18" t="s">
        <v>628</v>
      </c>
      <c r="D18" t="s">
        <v>570</v>
      </c>
      <c r="E18" t="s">
        <v>542</v>
      </c>
      <c r="F18">
        <v>4.9253935660506496</v>
      </c>
      <c r="G18">
        <v>600</v>
      </c>
      <c r="H18" t="s">
        <v>598</v>
      </c>
      <c r="I18">
        <v>450</v>
      </c>
      <c r="J18">
        <v>150</v>
      </c>
      <c r="N18" s="2" t="s">
        <v>484</v>
      </c>
      <c r="O18" s="2" t="s">
        <v>621</v>
      </c>
      <c r="P18" s="2" t="s">
        <v>571</v>
      </c>
      <c r="Q18" s="12">
        <v>37.672826830937701</v>
      </c>
      <c r="R18" s="2">
        <v>220</v>
      </c>
      <c r="T18" s="2" t="s">
        <v>388</v>
      </c>
      <c r="U18" s="2" t="s">
        <v>623</v>
      </c>
      <c r="V18" s="2" t="s">
        <v>572</v>
      </c>
      <c r="W18" s="12">
        <v>19.337440109513999</v>
      </c>
      <c r="X18" s="2">
        <v>120</v>
      </c>
      <c r="Z18" s="2" t="s">
        <v>371</v>
      </c>
      <c r="AA18" s="2" t="s">
        <v>634</v>
      </c>
      <c r="AB18" s="2" t="s">
        <v>571</v>
      </c>
      <c r="AC18" s="12">
        <v>20.591375770020498</v>
      </c>
      <c r="AD18" s="2">
        <v>210</v>
      </c>
    </row>
    <row r="19" spans="1:30" x14ac:dyDescent="0.2">
      <c r="A19" t="s">
        <v>70</v>
      </c>
      <c r="B19" t="s">
        <v>634</v>
      </c>
      <c r="C19" t="s">
        <v>628</v>
      </c>
      <c r="D19" t="s">
        <v>570</v>
      </c>
      <c r="E19" t="s">
        <v>542</v>
      </c>
      <c r="F19">
        <v>4.1752224503764497</v>
      </c>
      <c r="G19">
        <v>600</v>
      </c>
      <c r="H19" t="s">
        <v>598</v>
      </c>
      <c r="I19">
        <v>450</v>
      </c>
      <c r="J19">
        <v>150</v>
      </c>
      <c r="N19" s="2" t="s">
        <v>520</v>
      </c>
      <c r="O19" s="2" t="s">
        <v>634</v>
      </c>
      <c r="P19" s="2" t="s">
        <v>570</v>
      </c>
      <c r="Q19" s="12">
        <v>42.176591375770002</v>
      </c>
      <c r="R19" s="2">
        <v>105</v>
      </c>
      <c r="T19" s="2" t="s">
        <v>384</v>
      </c>
      <c r="U19" s="2" t="s">
        <v>623</v>
      </c>
      <c r="V19" s="2" t="s">
        <v>572</v>
      </c>
      <c r="W19" s="12">
        <v>18.338124572210798</v>
      </c>
      <c r="X19" s="2">
        <v>120</v>
      </c>
      <c r="Z19" s="2" t="s">
        <v>380</v>
      </c>
      <c r="AA19" s="2" t="s">
        <v>613</v>
      </c>
      <c r="AB19" s="2" t="s">
        <v>570</v>
      </c>
      <c r="AC19" s="12">
        <v>21.423682409308601</v>
      </c>
      <c r="AD19" s="2">
        <v>210</v>
      </c>
    </row>
    <row r="20" spans="1:30" x14ac:dyDescent="0.2">
      <c r="A20" t="s">
        <v>84</v>
      </c>
      <c r="B20" t="s">
        <v>609</v>
      </c>
      <c r="C20" t="s">
        <v>626</v>
      </c>
      <c r="D20" t="s">
        <v>572</v>
      </c>
      <c r="E20" t="s">
        <v>542</v>
      </c>
      <c r="F20">
        <v>5.0924024640657004</v>
      </c>
      <c r="G20">
        <v>600</v>
      </c>
      <c r="H20" t="s">
        <v>598</v>
      </c>
      <c r="I20">
        <v>600</v>
      </c>
      <c r="J20">
        <v>0</v>
      </c>
      <c r="N20" s="2" t="s">
        <v>537</v>
      </c>
      <c r="O20" s="2" t="s">
        <v>611</v>
      </c>
      <c r="P20" s="2" t="s">
        <v>570</v>
      </c>
      <c r="Q20" s="12">
        <v>53.0102669404517</v>
      </c>
      <c r="R20" s="2">
        <v>50</v>
      </c>
      <c r="T20" s="2" t="s">
        <v>250</v>
      </c>
      <c r="U20" s="2" t="s">
        <v>617</v>
      </c>
      <c r="V20" s="2" t="s">
        <v>572</v>
      </c>
      <c r="W20" s="12">
        <v>9.7577002053388</v>
      </c>
      <c r="X20" s="2">
        <v>300</v>
      </c>
    </row>
    <row r="21" spans="1:30" x14ac:dyDescent="0.2">
      <c r="A21" t="s">
        <v>71</v>
      </c>
      <c r="B21" t="s">
        <v>609</v>
      </c>
      <c r="C21" t="s">
        <v>626</v>
      </c>
      <c r="D21" t="s">
        <v>572</v>
      </c>
      <c r="E21" t="s">
        <v>542</v>
      </c>
      <c r="F21">
        <v>4.1752224503764497</v>
      </c>
      <c r="G21">
        <v>600</v>
      </c>
      <c r="H21" t="s">
        <v>598</v>
      </c>
      <c r="J21">
        <v>600</v>
      </c>
      <c r="N21" s="2" t="s">
        <v>533</v>
      </c>
      <c r="O21" s="2" t="s">
        <v>611</v>
      </c>
      <c r="P21" s="2" t="s">
        <v>570</v>
      </c>
      <c r="Q21" s="12">
        <v>52.175222450376403</v>
      </c>
      <c r="R21" s="2">
        <v>50</v>
      </c>
      <c r="T21" s="2" t="s">
        <v>247</v>
      </c>
      <c r="U21" s="2" t="s">
        <v>617</v>
      </c>
      <c r="V21" s="2" t="s">
        <v>572</v>
      </c>
      <c r="W21" s="12">
        <v>9.4236824093086895</v>
      </c>
      <c r="X21" s="2">
        <v>300</v>
      </c>
    </row>
    <row r="22" spans="1:30" x14ac:dyDescent="0.2">
      <c r="A22" t="s">
        <v>103</v>
      </c>
      <c r="B22" t="s">
        <v>611</v>
      </c>
      <c r="C22" t="s">
        <v>626</v>
      </c>
      <c r="D22" t="s">
        <v>572</v>
      </c>
      <c r="E22" t="s">
        <v>543</v>
      </c>
      <c r="F22">
        <v>6.1765913757700197</v>
      </c>
      <c r="G22">
        <v>600</v>
      </c>
      <c r="H22" t="s">
        <v>598</v>
      </c>
      <c r="J22">
        <v>600</v>
      </c>
      <c r="N22" s="2" t="s">
        <v>532</v>
      </c>
      <c r="O22" s="2" t="s">
        <v>611</v>
      </c>
      <c r="P22" s="2" t="s">
        <v>570</v>
      </c>
      <c r="Q22" s="12">
        <v>51.589322381930103</v>
      </c>
      <c r="R22" s="2">
        <v>50</v>
      </c>
      <c r="T22" s="2" t="s">
        <v>242</v>
      </c>
      <c r="U22" s="2" t="s">
        <v>617</v>
      </c>
      <c r="V22" s="2" t="s">
        <v>572</v>
      </c>
      <c r="W22" s="12">
        <v>9.0102669404517393</v>
      </c>
      <c r="X22" s="2">
        <v>300</v>
      </c>
    </row>
    <row r="23" spans="1:30" x14ac:dyDescent="0.2">
      <c r="A23" t="s">
        <v>302</v>
      </c>
      <c r="B23" t="s">
        <v>621</v>
      </c>
      <c r="C23" t="s">
        <v>625</v>
      </c>
      <c r="D23" t="s">
        <v>570</v>
      </c>
      <c r="E23" t="s">
        <v>544</v>
      </c>
      <c r="F23">
        <v>10.924024640657001</v>
      </c>
      <c r="G23">
        <v>210</v>
      </c>
      <c r="H23" t="s">
        <v>576</v>
      </c>
      <c r="I23">
        <v>210</v>
      </c>
      <c r="J23">
        <v>0</v>
      </c>
      <c r="N23" s="2" t="s">
        <v>522</v>
      </c>
      <c r="O23" s="2" t="s">
        <v>611</v>
      </c>
      <c r="P23" s="2" t="s">
        <v>570</v>
      </c>
      <c r="Q23" s="12">
        <v>44.090349075975297</v>
      </c>
      <c r="R23" s="2">
        <v>120</v>
      </c>
      <c r="T23" s="2" t="s">
        <v>236</v>
      </c>
      <c r="U23" s="2" t="s">
        <v>617</v>
      </c>
      <c r="V23" s="2" t="s">
        <v>572</v>
      </c>
      <c r="W23" s="12">
        <v>8.5913757700205302</v>
      </c>
      <c r="X23" s="2">
        <v>300</v>
      </c>
    </row>
    <row r="24" spans="1:30" x14ac:dyDescent="0.2">
      <c r="A24" t="s">
        <v>373</v>
      </c>
      <c r="B24" t="s">
        <v>621</v>
      </c>
      <c r="C24" t="s">
        <v>625</v>
      </c>
      <c r="D24" t="s">
        <v>570</v>
      </c>
      <c r="E24" t="s">
        <v>546</v>
      </c>
      <c r="F24">
        <v>20.843258042436599</v>
      </c>
      <c r="G24">
        <v>210</v>
      </c>
      <c r="H24" t="s">
        <v>576</v>
      </c>
      <c r="I24">
        <v>210</v>
      </c>
      <c r="J24">
        <v>0</v>
      </c>
      <c r="N24" s="2" t="s">
        <v>517</v>
      </c>
      <c r="O24" s="2" t="s">
        <v>611</v>
      </c>
      <c r="P24" s="2" t="s">
        <v>570</v>
      </c>
      <c r="Q24" s="12">
        <v>39.0910335386721</v>
      </c>
      <c r="R24" s="2">
        <v>120</v>
      </c>
      <c r="T24" s="2" t="s">
        <v>310</v>
      </c>
      <c r="U24" s="2" t="s">
        <v>611</v>
      </c>
      <c r="V24" s="2" t="s">
        <v>572</v>
      </c>
      <c r="W24" s="12">
        <v>8.4243668720054696</v>
      </c>
      <c r="X24" s="2">
        <v>135</v>
      </c>
    </row>
    <row r="25" spans="1:30" x14ac:dyDescent="0.2">
      <c r="A25" t="s">
        <v>365</v>
      </c>
      <c r="B25" t="s">
        <v>621</v>
      </c>
      <c r="C25" t="s">
        <v>625</v>
      </c>
      <c r="D25" t="s">
        <v>570</v>
      </c>
      <c r="E25" t="s">
        <v>545</v>
      </c>
      <c r="F25">
        <v>20.008213552361301</v>
      </c>
      <c r="G25">
        <v>210</v>
      </c>
      <c r="H25" t="s">
        <v>576</v>
      </c>
      <c r="I25">
        <v>210</v>
      </c>
      <c r="J25">
        <v>0</v>
      </c>
      <c r="N25" s="2" t="s">
        <v>477</v>
      </c>
      <c r="O25" s="2" t="s">
        <v>611</v>
      </c>
      <c r="P25" s="2" t="s">
        <v>570</v>
      </c>
      <c r="Q25" s="12">
        <v>36.925393566050602</v>
      </c>
      <c r="R25" s="2">
        <v>210</v>
      </c>
      <c r="T25" s="2" t="s">
        <v>303</v>
      </c>
      <c r="U25" s="2" t="s">
        <v>611</v>
      </c>
      <c r="V25" s="2" t="s">
        <v>572</v>
      </c>
      <c r="W25" s="12">
        <v>7.9233401779603003</v>
      </c>
      <c r="X25" s="2">
        <v>135</v>
      </c>
    </row>
    <row r="26" spans="1:30" x14ac:dyDescent="0.2">
      <c r="A26" t="s">
        <v>358</v>
      </c>
      <c r="B26" t="s">
        <v>621</v>
      </c>
      <c r="C26" t="s">
        <v>625</v>
      </c>
      <c r="D26" t="s">
        <v>570</v>
      </c>
      <c r="E26" t="s">
        <v>545</v>
      </c>
      <c r="F26">
        <v>19.175906913073199</v>
      </c>
      <c r="G26">
        <v>210</v>
      </c>
      <c r="H26" t="s">
        <v>576</v>
      </c>
      <c r="I26">
        <v>210</v>
      </c>
      <c r="J26">
        <v>0</v>
      </c>
      <c r="N26" s="2" t="s">
        <v>473</v>
      </c>
      <c r="O26" s="2" t="s">
        <v>611</v>
      </c>
      <c r="P26" s="2" t="s">
        <v>570</v>
      </c>
      <c r="Q26" s="12">
        <v>36.175222450376403</v>
      </c>
      <c r="R26" s="2">
        <v>210</v>
      </c>
      <c r="T26" s="2" t="s">
        <v>344</v>
      </c>
      <c r="U26" s="2" t="s">
        <v>634</v>
      </c>
      <c r="V26" s="2" t="s">
        <v>572</v>
      </c>
      <c r="W26" s="12">
        <v>8.5913757700205302</v>
      </c>
      <c r="X26" s="2">
        <v>45</v>
      </c>
    </row>
    <row r="27" spans="1:30" x14ac:dyDescent="0.2">
      <c r="A27" t="s">
        <v>313</v>
      </c>
      <c r="B27" t="s">
        <v>621</v>
      </c>
      <c r="C27" t="s">
        <v>625</v>
      </c>
      <c r="D27" t="s">
        <v>570</v>
      </c>
      <c r="E27" t="s">
        <v>544</v>
      </c>
      <c r="F27">
        <v>12.4243668720054</v>
      </c>
      <c r="G27">
        <v>210</v>
      </c>
      <c r="H27" t="s">
        <v>576</v>
      </c>
      <c r="I27">
        <v>210</v>
      </c>
      <c r="J27">
        <v>0</v>
      </c>
      <c r="N27" s="2" t="s">
        <v>465</v>
      </c>
      <c r="O27" s="2" t="s">
        <v>611</v>
      </c>
      <c r="P27" s="2" t="s">
        <v>570</v>
      </c>
      <c r="Q27" s="12">
        <v>35.175906913073199</v>
      </c>
      <c r="R27" s="2">
        <v>210</v>
      </c>
      <c r="T27" s="2" t="s">
        <v>342</v>
      </c>
      <c r="U27" s="2" t="s">
        <v>634</v>
      </c>
      <c r="V27" s="2" t="s">
        <v>572</v>
      </c>
      <c r="W27" s="12">
        <v>8.5065023956194299</v>
      </c>
      <c r="X27" s="2">
        <v>45</v>
      </c>
    </row>
    <row r="28" spans="1:30" x14ac:dyDescent="0.2">
      <c r="A28" t="s">
        <v>195</v>
      </c>
      <c r="B28" t="s">
        <v>611</v>
      </c>
      <c r="C28" t="s">
        <v>626</v>
      </c>
      <c r="D28" t="s">
        <v>572</v>
      </c>
      <c r="E28" t="s">
        <v>542</v>
      </c>
      <c r="F28">
        <v>4.9253935660506496</v>
      </c>
      <c r="G28">
        <v>300</v>
      </c>
      <c r="H28" t="s">
        <v>598</v>
      </c>
      <c r="I28">
        <v>300</v>
      </c>
      <c r="J28">
        <v>0</v>
      </c>
      <c r="N28" s="2" t="s">
        <v>458</v>
      </c>
      <c r="O28" s="2" t="s">
        <v>611</v>
      </c>
      <c r="P28" s="2" t="s">
        <v>570</v>
      </c>
      <c r="Q28" s="12">
        <v>34.176591375770002</v>
      </c>
      <c r="R28" s="2">
        <v>210</v>
      </c>
      <c r="T28" s="2" t="s">
        <v>366</v>
      </c>
      <c r="U28" s="2" t="s">
        <v>617</v>
      </c>
      <c r="V28" s="2" t="s">
        <v>570</v>
      </c>
      <c r="W28" s="12">
        <v>20.008213552361301</v>
      </c>
      <c r="X28" s="2">
        <v>210</v>
      </c>
    </row>
    <row r="29" spans="1:30" x14ac:dyDescent="0.2">
      <c r="A29" t="s">
        <v>189</v>
      </c>
      <c r="B29" t="s">
        <v>611</v>
      </c>
      <c r="C29" t="s">
        <v>626</v>
      </c>
      <c r="D29" t="s">
        <v>572</v>
      </c>
      <c r="E29" t="s">
        <v>542</v>
      </c>
      <c r="F29">
        <v>4.1752224503764497</v>
      </c>
      <c r="G29">
        <v>300</v>
      </c>
      <c r="H29" t="s">
        <v>598</v>
      </c>
      <c r="I29">
        <v>300</v>
      </c>
      <c r="J29">
        <v>0</v>
      </c>
      <c r="N29" s="2" t="s">
        <v>513</v>
      </c>
      <c r="O29" s="2" t="s">
        <v>616</v>
      </c>
      <c r="P29" s="2" t="s">
        <v>570</v>
      </c>
      <c r="Q29" s="12">
        <v>37.338809034907598</v>
      </c>
      <c r="R29" s="2">
        <v>110</v>
      </c>
      <c r="T29" s="2" t="s">
        <v>360</v>
      </c>
      <c r="U29" s="2" t="s">
        <v>617</v>
      </c>
      <c r="V29" s="2" t="s">
        <v>570</v>
      </c>
      <c r="W29" s="12">
        <v>19.337440109513999</v>
      </c>
      <c r="X29" s="2">
        <v>210</v>
      </c>
    </row>
    <row r="30" spans="1:30" x14ac:dyDescent="0.2">
      <c r="A30" t="s">
        <v>194</v>
      </c>
      <c r="B30" t="s">
        <v>611</v>
      </c>
      <c r="C30" t="s">
        <v>626</v>
      </c>
      <c r="D30" t="s">
        <v>572</v>
      </c>
      <c r="E30" t="s">
        <v>542</v>
      </c>
      <c r="F30">
        <v>4.8432580424366796</v>
      </c>
      <c r="G30">
        <v>300</v>
      </c>
      <c r="H30" t="s">
        <v>598</v>
      </c>
      <c r="I30">
        <v>300</v>
      </c>
      <c r="J30">
        <v>0</v>
      </c>
      <c r="N30" s="2" t="s">
        <v>510</v>
      </c>
      <c r="O30" s="2" t="s">
        <v>616</v>
      </c>
      <c r="P30" s="2" t="s">
        <v>570</v>
      </c>
      <c r="Q30" s="12">
        <v>36.843258042436602</v>
      </c>
      <c r="R30" s="2">
        <v>110</v>
      </c>
      <c r="T30" s="2" t="s">
        <v>351</v>
      </c>
      <c r="U30" s="2" t="s">
        <v>616</v>
      </c>
      <c r="V30" s="2" t="s">
        <v>570</v>
      </c>
      <c r="W30" s="12">
        <v>16.843258042436599</v>
      </c>
      <c r="X30" s="2">
        <v>195</v>
      </c>
    </row>
    <row r="31" spans="1:30" x14ac:dyDescent="0.2">
      <c r="A31" t="s">
        <v>540</v>
      </c>
      <c r="B31" t="s">
        <v>621</v>
      </c>
      <c r="C31" t="s">
        <v>625</v>
      </c>
      <c r="D31" t="s">
        <v>570</v>
      </c>
      <c r="E31" t="s">
        <v>551</v>
      </c>
      <c r="F31">
        <v>54.672142368240898</v>
      </c>
      <c r="G31">
        <v>60</v>
      </c>
      <c r="H31" t="s">
        <v>576</v>
      </c>
      <c r="J31">
        <v>60</v>
      </c>
      <c r="N31" s="2" t="s">
        <v>443</v>
      </c>
      <c r="O31" s="2" t="s">
        <v>616</v>
      </c>
      <c r="P31" s="2" t="s">
        <v>570</v>
      </c>
      <c r="Q31" s="12">
        <v>31.671457905544099</v>
      </c>
      <c r="R31" s="2">
        <v>210</v>
      </c>
      <c r="T31" s="2" t="s">
        <v>305</v>
      </c>
      <c r="U31" s="2" t="s">
        <v>616</v>
      </c>
      <c r="V31" s="2" t="s">
        <v>570</v>
      </c>
      <c r="W31" s="12">
        <v>10.757015742642</v>
      </c>
      <c r="X31" s="2">
        <v>195</v>
      </c>
    </row>
    <row r="32" spans="1:30" x14ac:dyDescent="0.2">
      <c r="A32" t="s">
        <v>539</v>
      </c>
      <c r="B32" t="s">
        <v>621</v>
      </c>
      <c r="C32" t="s">
        <v>625</v>
      </c>
      <c r="D32" t="s">
        <v>570</v>
      </c>
      <c r="E32" t="s">
        <v>551</v>
      </c>
      <c r="F32">
        <v>54.590006844626899</v>
      </c>
      <c r="G32">
        <v>60</v>
      </c>
      <c r="H32" t="s">
        <v>576</v>
      </c>
      <c r="J32">
        <v>60</v>
      </c>
      <c r="N32" s="2" t="s">
        <v>435</v>
      </c>
      <c r="O32" s="2" t="s">
        <v>616</v>
      </c>
      <c r="P32" s="2" t="s">
        <v>570</v>
      </c>
      <c r="Q32" s="12">
        <v>31.008898015058101</v>
      </c>
      <c r="R32" s="2">
        <v>210</v>
      </c>
      <c r="T32" s="2" t="s">
        <v>338</v>
      </c>
      <c r="U32" s="2" t="s">
        <v>634</v>
      </c>
      <c r="V32" s="2" t="s">
        <v>572</v>
      </c>
      <c r="W32" s="12">
        <v>8.33949349760438</v>
      </c>
      <c r="X32" s="2">
        <v>45</v>
      </c>
    </row>
    <row r="33" spans="1:24" x14ac:dyDescent="0.2">
      <c r="A33" t="s">
        <v>488</v>
      </c>
      <c r="B33" t="s">
        <v>621</v>
      </c>
      <c r="C33" t="s">
        <v>625</v>
      </c>
      <c r="D33" t="s">
        <v>570</v>
      </c>
      <c r="E33" t="s">
        <v>549</v>
      </c>
      <c r="F33">
        <v>37.590691307323702</v>
      </c>
      <c r="G33">
        <v>210</v>
      </c>
      <c r="H33" t="s">
        <v>576</v>
      </c>
      <c r="J33">
        <v>210</v>
      </c>
      <c r="N33" s="2" t="s">
        <v>406</v>
      </c>
      <c r="O33" s="2" t="s">
        <v>616</v>
      </c>
      <c r="P33" s="2" t="s">
        <v>570</v>
      </c>
      <c r="Q33" s="12">
        <v>26.176591375769998</v>
      </c>
      <c r="R33" s="2">
        <v>210</v>
      </c>
      <c r="T33" s="2" t="s">
        <v>335</v>
      </c>
      <c r="U33" s="2" t="s">
        <v>634</v>
      </c>
      <c r="V33" s="2" t="s">
        <v>572</v>
      </c>
      <c r="W33" s="12">
        <v>8.2546201232032796</v>
      </c>
      <c r="X33" s="2">
        <v>45</v>
      </c>
    </row>
    <row r="34" spans="1:24" x14ac:dyDescent="0.2">
      <c r="A34" t="s">
        <v>35</v>
      </c>
      <c r="B34" t="s">
        <v>634</v>
      </c>
      <c r="C34" t="s">
        <v>628</v>
      </c>
      <c r="D34" t="s">
        <v>572</v>
      </c>
      <c r="E34" t="s">
        <v>542</v>
      </c>
      <c r="F34">
        <v>3.4223134839151199</v>
      </c>
      <c r="G34">
        <v>660</v>
      </c>
      <c r="H34" t="s">
        <v>598</v>
      </c>
      <c r="I34">
        <v>660</v>
      </c>
      <c r="J34">
        <v>0</v>
      </c>
      <c r="N34" s="2" t="s">
        <v>369</v>
      </c>
      <c r="O34" s="2" t="s">
        <v>610</v>
      </c>
      <c r="P34" s="2" t="s">
        <v>570</v>
      </c>
      <c r="Q34" s="12">
        <v>22.179329226557101</v>
      </c>
      <c r="R34" s="2">
        <v>250</v>
      </c>
      <c r="T34" s="2" t="s">
        <v>343</v>
      </c>
      <c r="U34" s="2" t="s">
        <v>634</v>
      </c>
      <c r="V34" s="2" t="s">
        <v>572</v>
      </c>
      <c r="W34" s="12">
        <v>8.5065023956194299</v>
      </c>
      <c r="X34" s="2">
        <v>45</v>
      </c>
    </row>
    <row r="35" spans="1:24" x14ac:dyDescent="0.2">
      <c r="A35" t="s">
        <v>49</v>
      </c>
      <c r="B35" t="s">
        <v>634</v>
      </c>
      <c r="C35" t="s">
        <v>628</v>
      </c>
      <c r="D35" t="s">
        <v>572</v>
      </c>
      <c r="E35" t="s">
        <v>542</v>
      </c>
      <c r="F35">
        <v>4.6735112936344896</v>
      </c>
      <c r="G35">
        <v>660</v>
      </c>
      <c r="H35" t="s">
        <v>598</v>
      </c>
      <c r="I35">
        <v>660</v>
      </c>
      <c r="J35">
        <v>0</v>
      </c>
      <c r="N35" s="2" t="s">
        <v>379</v>
      </c>
      <c r="O35" s="2" t="s">
        <v>610</v>
      </c>
      <c r="P35" s="2" t="s">
        <v>570</v>
      </c>
      <c r="Q35" s="12">
        <v>23.104722792607799</v>
      </c>
      <c r="R35" s="2">
        <v>250</v>
      </c>
      <c r="T35" s="2" t="s">
        <v>340</v>
      </c>
      <c r="U35" s="2" t="s">
        <v>634</v>
      </c>
      <c r="V35" s="2" t="s">
        <v>572</v>
      </c>
      <c r="W35" s="12">
        <v>8.33949349760438</v>
      </c>
      <c r="X35" s="2">
        <v>45</v>
      </c>
    </row>
    <row r="36" spans="1:24" x14ac:dyDescent="0.2">
      <c r="A36" t="s">
        <v>28</v>
      </c>
      <c r="B36" t="s">
        <v>634</v>
      </c>
      <c r="C36" t="s">
        <v>628</v>
      </c>
      <c r="D36" t="s">
        <v>572</v>
      </c>
      <c r="E36" t="s">
        <v>542</v>
      </c>
      <c r="F36">
        <v>3.0088980150581701</v>
      </c>
      <c r="G36">
        <v>660</v>
      </c>
      <c r="H36" t="s">
        <v>598</v>
      </c>
      <c r="I36">
        <v>660</v>
      </c>
      <c r="J36">
        <v>0</v>
      </c>
      <c r="N36" s="2" t="s">
        <v>538</v>
      </c>
      <c r="O36" s="2" t="s">
        <v>610</v>
      </c>
      <c r="P36" s="2" t="s">
        <v>570</v>
      </c>
      <c r="Q36" s="12">
        <v>53.834360027378501</v>
      </c>
      <c r="R36" s="2">
        <v>60</v>
      </c>
      <c r="T36" s="2" t="s">
        <v>337</v>
      </c>
      <c r="U36" s="2" t="s">
        <v>621</v>
      </c>
      <c r="V36" s="2" t="s">
        <v>571</v>
      </c>
      <c r="W36" s="12">
        <v>15.589322381930099</v>
      </c>
      <c r="X36" s="2">
        <v>210</v>
      </c>
    </row>
    <row r="37" spans="1:24" x14ac:dyDescent="0.2">
      <c r="A37" t="s">
        <v>107</v>
      </c>
      <c r="B37" t="s">
        <v>611</v>
      </c>
      <c r="C37" t="s">
        <v>626</v>
      </c>
      <c r="D37" t="s">
        <v>572</v>
      </c>
      <c r="E37" t="s">
        <v>543</v>
      </c>
      <c r="F37">
        <v>6.2532511978097096</v>
      </c>
      <c r="G37">
        <v>600</v>
      </c>
      <c r="H37" t="s">
        <v>598</v>
      </c>
      <c r="I37">
        <v>600</v>
      </c>
      <c r="J37">
        <v>0</v>
      </c>
      <c r="N37" s="2" t="s">
        <v>536</v>
      </c>
      <c r="O37" s="2" t="s">
        <v>610</v>
      </c>
      <c r="P37" s="2" t="s">
        <v>570</v>
      </c>
      <c r="Q37" s="12">
        <v>53.4346338124572</v>
      </c>
      <c r="R37" s="2">
        <v>60</v>
      </c>
      <c r="T37" s="2" t="s">
        <v>299</v>
      </c>
      <c r="U37" s="2" t="s">
        <v>621</v>
      </c>
      <c r="V37" s="2" t="s">
        <v>571</v>
      </c>
      <c r="W37" s="12">
        <v>12.5913757700205</v>
      </c>
      <c r="X37" s="2">
        <v>250</v>
      </c>
    </row>
    <row r="38" spans="1:24" x14ac:dyDescent="0.2">
      <c r="A38" t="s">
        <v>86</v>
      </c>
      <c r="B38" t="s">
        <v>611</v>
      </c>
      <c r="C38" t="s">
        <v>626</v>
      </c>
      <c r="D38" t="s">
        <v>572</v>
      </c>
      <c r="E38" t="s">
        <v>543</v>
      </c>
      <c r="F38">
        <v>5.1772758384667998</v>
      </c>
      <c r="G38">
        <v>600</v>
      </c>
      <c r="H38" t="s">
        <v>598</v>
      </c>
      <c r="I38">
        <v>600</v>
      </c>
      <c r="J38">
        <v>0</v>
      </c>
      <c r="N38" s="2" t="s">
        <v>534</v>
      </c>
      <c r="O38" s="2" t="s">
        <v>610</v>
      </c>
      <c r="P38" s="2" t="s">
        <v>570</v>
      </c>
      <c r="Q38" s="12">
        <v>52.824093086926702</v>
      </c>
      <c r="R38" s="2">
        <v>60</v>
      </c>
      <c r="T38" s="2" t="s">
        <v>307</v>
      </c>
      <c r="U38" s="2" t="s">
        <v>621</v>
      </c>
      <c r="V38" s="2" t="s">
        <v>571</v>
      </c>
      <c r="W38" s="12">
        <v>13.1772758384668</v>
      </c>
      <c r="X38" s="2">
        <v>250</v>
      </c>
    </row>
    <row r="39" spans="1:24" x14ac:dyDescent="0.2">
      <c r="A39" t="s">
        <v>265</v>
      </c>
      <c r="B39" t="s">
        <v>615</v>
      </c>
      <c r="C39" t="s">
        <v>625</v>
      </c>
      <c r="D39" t="s">
        <v>571</v>
      </c>
      <c r="E39" t="s">
        <v>542</v>
      </c>
      <c r="F39">
        <v>3.4962354551676902</v>
      </c>
      <c r="G39">
        <v>110</v>
      </c>
      <c r="H39" t="s">
        <v>576</v>
      </c>
      <c r="J39">
        <v>110</v>
      </c>
      <c r="N39" s="2" t="s">
        <v>524</v>
      </c>
      <c r="O39" s="2" t="s">
        <v>610</v>
      </c>
      <c r="P39" s="2" t="s">
        <v>570</v>
      </c>
      <c r="Q39" s="12">
        <v>45.724845995893197</v>
      </c>
      <c r="R39" s="2">
        <v>120</v>
      </c>
      <c r="T39" s="2" t="s">
        <v>248</v>
      </c>
      <c r="U39" s="2" t="s">
        <v>613</v>
      </c>
      <c r="V39" s="2" t="s">
        <v>572</v>
      </c>
      <c r="W39" s="12">
        <v>10.757015742642</v>
      </c>
      <c r="X39" s="2">
        <v>330</v>
      </c>
    </row>
    <row r="40" spans="1:24" x14ac:dyDescent="0.2">
      <c r="A40" t="s">
        <v>193</v>
      </c>
      <c r="B40" t="s">
        <v>615</v>
      </c>
      <c r="C40" t="s">
        <v>625</v>
      </c>
      <c r="D40" t="s">
        <v>571</v>
      </c>
      <c r="E40" t="s">
        <v>542</v>
      </c>
      <c r="F40">
        <v>2.3381245722108099</v>
      </c>
      <c r="G40">
        <v>250</v>
      </c>
      <c r="H40" t="s">
        <v>598</v>
      </c>
      <c r="I40">
        <v>250</v>
      </c>
      <c r="J40">
        <v>0</v>
      </c>
      <c r="N40" s="2" t="s">
        <v>523</v>
      </c>
      <c r="O40" s="2" t="s">
        <v>610</v>
      </c>
      <c r="P40" s="2" t="s">
        <v>570</v>
      </c>
      <c r="Q40" s="12">
        <v>45.3744010951403</v>
      </c>
      <c r="R40" s="2">
        <v>120</v>
      </c>
      <c r="T40" s="2" t="s">
        <v>239</v>
      </c>
      <c r="U40" s="2" t="s">
        <v>613</v>
      </c>
      <c r="V40" s="2" t="s">
        <v>572</v>
      </c>
      <c r="W40" s="12">
        <v>10.17659137577</v>
      </c>
      <c r="X40" s="2">
        <v>330</v>
      </c>
    </row>
    <row r="41" spans="1:24" x14ac:dyDescent="0.2">
      <c r="A41" t="s">
        <v>67</v>
      </c>
      <c r="B41" t="s">
        <v>615</v>
      </c>
      <c r="C41" t="s">
        <v>625</v>
      </c>
      <c r="D41" t="s">
        <v>571</v>
      </c>
      <c r="E41" t="s">
        <v>543</v>
      </c>
      <c r="F41">
        <v>6.5051334702258696</v>
      </c>
      <c r="G41">
        <v>660</v>
      </c>
      <c r="H41" t="s">
        <v>598</v>
      </c>
      <c r="I41">
        <v>660</v>
      </c>
      <c r="J41">
        <v>0</v>
      </c>
      <c r="N41" s="2" t="s">
        <v>521</v>
      </c>
      <c r="O41" s="2" t="s">
        <v>610</v>
      </c>
      <c r="P41" s="2" t="s">
        <v>570</v>
      </c>
      <c r="Q41" s="12">
        <v>43.151266255989</v>
      </c>
      <c r="R41" s="2">
        <v>120</v>
      </c>
      <c r="T41" s="2" t="s">
        <v>231</v>
      </c>
      <c r="U41" s="2" t="s">
        <v>613</v>
      </c>
      <c r="V41" s="2" t="s">
        <v>572</v>
      </c>
      <c r="W41" s="12">
        <v>9.7577002053388</v>
      </c>
      <c r="X41" s="2">
        <v>330</v>
      </c>
    </row>
    <row r="42" spans="1:24" x14ac:dyDescent="0.2">
      <c r="A42" t="s">
        <v>53</v>
      </c>
      <c r="B42" t="s">
        <v>615</v>
      </c>
      <c r="C42" t="s">
        <v>625</v>
      </c>
      <c r="D42" t="s">
        <v>571</v>
      </c>
      <c r="E42" t="s">
        <v>543</v>
      </c>
      <c r="F42">
        <v>5.1772758384667998</v>
      </c>
      <c r="G42">
        <v>660</v>
      </c>
      <c r="H42" t="s">
        <v>598</v>
      </c>
      <c r="I42">
        <v>660</v>
      </c>
      <c r="J42">
        <v>0</v>
      </c>
      <c r="N42" s="2" t="s">
        <v>519</v>
      </c>
      <c r="O42" s="2" t="s">
        <v>610</v>
      </c>
      <c r="P42" s="2" t="s">
        <v>570</v>
      </c>
      <c r="Q42" s="12">
        <v>42.313483915126596</v>
      </c>
      <c r="R42" s="2">
        <v>120</v>
      </c>
      <c r="T42" s="2" t="s">
        <v>226</v>
      </c>
      <c r="U42" s="2" t="s">
        <v>613</v>
      </c>
      <c r="V42" s="2" t="s">
        <v>572</v>
      </c>
      <c r="W42" s="12">
        <v>9.4236824093086895</v>
      </c>
      <c r="X42" s="2">
        <v>330</v>
      </c>
    </row>
    <row r="43" spans="1:24" x14ac:dyDescent="0.2">
      <c r="A43" t="s">
        <v>341</v>
      </c>
      <c r="B43" t="s">
        <v>634</v>
      </c>
      <c r="C43" t="s">
        <v>628</v>
      </c>
      <c r="D43" t="s">
        <v>572</v>
      </c>
      <c r="E43" t="s">
        <v>543</v>
      </c>
      <c r="F43">
        <v>8.5065023956194299</v>
      </c>
      <c r="G43">
        <v>45</v>
      </c>
      <c r="H43" t="s">
        <v>576</v>
      </c>
      <c r="I43">
        <v>41</v>
      </c>
      <c r="J43">
        <v>4</v>
      </c>
      <c r="N43" s="2" t="s">
        <v>452</v>
      </c>
      <c r="O43" s="2" t="s">
        <v>622</v>
      </c>
      <c r="P43" s="2" t="s">
        <v>570</v>
      </c>
      <c r="Q43" s="12">
        <v>33.338809034907598</v>
      </c>
      <c r="R43" s="2">
        <v>210</v>
      </c>
      <c r="T43" s="2" t="s">
        <v>251</v>
      </c>
      <c r="U43" s="2" t="s">
        <v>615</v>
      </c>
      <c r="V43" s="2" t="s">
        <v>571</v>
      </c>
      <c r="W43" s="12">
        <v>5.1772758384667998</v>
      </c>
      <c r="X43" s="2">
        <v>195</v>
      </c>
    </row>
    <row r="44" spans="1:24" x14ac:dyDescent="0.2">
      <c r="A44" t="s">
        <v>339</v>
      </c>
      <c r="B44" t="s">
        <v>634</v>
      </c>
      <c r="C44" t="s">
        <v>628</v>
      </c>
      <c r="D44" t="s">
        <v>572</v>
      </c>
      <c r="E44" t="s">
        <v>543</v>
      </c>
      <c r="F44">
        <v>8.33949349760438</v>
      </c>
      <c r="G44">
        <v>45</v>
      </c>
      <c r="H44" t="s">
        <v>576</v>
      </c>
      <c r="I44">
        <v>41</v>
      </c>
      <c r="J44">
        <v>4</v>
      </c>
      <c r="N44" s="2" t="s">
        <v>447</v>
      </c>
      <c r="O44" s="2" t="s">
        <v>622</v>
      </c>
      <c r="P44" s="2" t="s">
        <v>570</v>
      </c>
      <c r="Q44" s="12">
        <v>32.4243668720054</v>
      </c>
      <c r="R44" s="2">
        <v>210</v>
      </c>
      <c r="T44" s="2" t="s">
        <v>324</v>
      </c>
      <c r="U44" s="2" t="s">
        <v>609</v>
      </c>
      <c r="V44" s="2" t="s">
        <v>572</v>
      </c>
      <c r="W44" s="12">
        <v>6.4229979466118996</v>
      </c>
      <c r="X44" s="2">
        <v>45</v>
      </c>
    </row>
    <row r="45" spans="1:24" x14ac:dyDescent="0.2">
      <c r="A45" t="s">
        <v>233</v>
      </c>
      <c r="B45" t="s">
        <v>617</v>
      </c>
      <c r="C45" t="s">
        <v>626</v>
      </c>
      <c r="D45" t="s">
        <v>572</v>
      </c>
      <c r="E45" t="s">
        <v>543</v>
      </c>
      <c r="F45">
        <v>7.1759069130732298</v>
      </c>
      <c r="G45">
        <v>270</v>
      </c>
      <c r="H45" t="s">
        <v>576</v>
      </c>
      <c r="J45">
        <v>270</v>
      </c>
      <c r="N45" s="2" t="s">
        <v>436</v>
      </c>
      <c r="O45" s="2" t="s">
        <v>622</v>
      </c>
      <c r="P45" s="2" t="s">
        <v>570</v>
      </c>
      <c r="Q45" s="12">
        <v>31.175906913073199</v>
      </c>
      <c r="R45" s="2">
        <v>210</v>
      </c>
      <c r="T45" s="2" t="s">
        <v>266</v>
      </c>
      <c r="U45" s="2" t="s">
        <v>609</v>
      </c>
      <c r="V45" s="2" t="s">
        <v>572</v>
      </c>
      <c r="W45" s="13">
        <v>0.84325804243668701</v>
      </c>
      <c r="X45" s="2">
        <v>45</v>
      </c>
    </row>
    <row r="46" spans="1:24" x14ac:dyDescent="0.2">
      <c r="A46" t="s">
        <v>185</v>
      </c>
      <c r="B46" t="s">
        <v>612</v>
      </c>
      <c r="C46" t="s">
        <v>627</v>
      </c>
      <c r="D46" t="s">
        <v>570</v>
      </c>
      <c r="E46" t="s">
        <v>544</v>
      </c>
      <c r="F46">
        <v>12.4243668720054</v>
      </c>
      <c r="G46">
        <v>500</v>
      </c>
      <c r="H46" t="s">
        <v>598</v>
      </c>
      <c r="I46">
        <v>500</v>
      </c>
      <c r="J46">
        <v>0</v>
      </c>
      <c r="N46" s="2" t="s">
        <v>429</v>
      </c>
      <c r="O46" s="2" t="s">
        <v>622</v>
      </c>
      <c r="P46" s="2" t="s">
        <v>570</v>
      </c>
      <c r="Q46" s="12">
        <v>30.176591375769998</v>
      </c>
      <c r="R46" s="2">
        <v>210</v>
      </c>
      <c r="T46" s="2" t="s">
        <v>301</v>
      </c>
      <c r="U46" s="2" t="s">
        <v>611</v>
      </c>
      <c r="V46" s="2" t="s">
        <v>572</v>
      </c>
      <c r="W46" s="12">
        <v>12.6735112936344</v>
      </c>
      <c r="X46" s="2">
        <v>250</v>
      </c>
    </row>
    <row r="47" spans="1:24" x14ac:dyDescent="0.2">
      <c r="A47" t="s">
        <v>156</v>
      </c>
      <c r="B47" t="s">
        <v>612</v>
      </c>
      <c r="C47" t="s">
        <v>627</v>
      </c>
      <c r="D47" t="s">
        <v>570</v>
      </c>
      <c r="E47" t="s">
        <v>543</v>
      </c>
      <c r="F47">
        <v>8.1752224503764506</v>
      </c>
      <c r="G47">
        <v>500</v>
      </c>
      <c r="H47" t="s">
        <v>598</v>
      </c>
      <c r="I47">
        <v>500</v>
      </c>
      <c r="J47">
        <v>0</v>
      </c>
      <c r="N47" s="39" t="s">
        <v>300</v>
      </c>
      <c r="O47" s="39" t="s">
        <v>615</v>
      </c>
      <c r="P47" s="39" t="s">
        <v>571</v>
      </c>
      <c r="Q47" s="57">
        <v>6.5051334702258696</v>
      </c>
      <c r="R47" s="39">
        <v>110</v>
      </c>
      <c r="T47" s="2" t="s">
        <v>294</v>
      </c>
      <c r="U47" s="2" t="s">
        <v>611</v>
      </c>
      <c r="V47" s="2" t="s">
        <v>572</v>
      </c>
      <c r="W47" s="12">
        <v>12.2546201232032</v>
      </c>
      <c r="X47" s="2">
        <v>250</v>
      </c>
    </row>
    <row r="48" spans="1:24" x14ac:dyDescent="0.2">
      <c r="A48" t="s">
        <v>27</v>
      </c>
      <c r="B48" t="s">
        <v>612</v>
      </c>
      <c r="C48" t="s">
        <v>627</v>
      </c>
      <c r="D48" t="s">
        <v>570</v>
      </c>
      <c r="E48" t="s">
        <v>542</v>
      </c>
      <c r="F48">
        <v>4.1752224503764497</v>
      </c>
      <c r="G48">
        <v>700</v>
      </c>
      <c r="H48" t="s">
        <v>598</v>
      </c>
      <c r="I48">
        <v>700</v>
      </c>
      <c r="J48">
        <v>0</v>
      </c>
      <c r="N48" s="39" t="s">
        <v>287</v>
      </c>
      <c r="O48" s="39" t="s">
        <v>615</v>
      </c>
      <c r="P48" s="39" t="s">
        <v>571</v>
      </c>
      <c r="Q48" s="57">
        <v>5.5058179329226498</v>
      </c>
      <c r="R48" s="39">
        <v>110</v>
      </c>
      <c r="T48" s="2" t="s">
        <v>291</v>
      </c>
      <c r="U48" s="2" t="s">
        <v>611</v>
      </c>
      <c r="V48" s="2" t="s">
        <v>572</v>
      </c>
      <c r="W48" s="12">
        <v>12.175222450376401</v>
      </c>
      <c r="X48" s="2">
        <v>250</v>
      </c>
    </row>
    <row r="49" spans="1:24" x14ac:dyDescent="0.2">
      <c r="A49" t="s">
        <v>290</v>
      </c>
      <c r="B49" t="s">
        <v>611</v>
      </c>
      <c r="C49" t="s">
        <v>626</v>
      </c>
      <c r="D49" t="s">
        <v>571</v>
      </c>
      <c r="E49" t="s">
        <v>544</v>
      </c>
      <c r="F49">
        <v>12.090349075975301</v>
      </c>
      <c r="G49">
        <v>250</v>
      </c>
      <c r="H49" t="s">
        <v>576</v>
      </c>
      <c r="I49">
        <v>250</v>
      </c>
      <c r="J49">
        <v>0</v>
      </c>
      <c r="N49" s="2" t="s">
        <v>346</v>
      </c>
      <c r="O49" s="2" t="s">
        <v>622</v>
      </c>
      <c r="P49" s="2" t="s">
        <v>570</v>
      </c>
      <c r="Q49" s="12">
        <v>16.383299110198401</v>
      </c>
      <c r="R49" s="2">
        <v>210</v>
      </c>
      <c r="T49" s="2" t="s">
        <v>289</v>
      </c>
      <c r="U49" s="2" t="s">
        <v>611</v>
      </c>
      <c r="V49" s="2" t="s">
        <v>572</v>
      </c>
      <c r="W49" s="12">
        <v>11.9233401779603</v>
      </c>
      <c r="X49" s="2">
        <v>250</v>
      </c>
    </row>
    <row r="50" spans="1:24" x14ac:dyDescent="0.2">
      <c r="A50" t="s">
        <v>282</v>
      </c>
      <c r="B50" t="s">
        <v>611</v>
      </c>
      <c r="C50" t="s">
        <v>626</v>
      </c>
      <c r="D50" t="s">
        <v>571</v>
      </c>
      <c r="E50" t="s">
        <v>544</v>
      </c>
      <c r="F50">
        <v>10.841889117043101</v>
      </c>
      <c r="G50">
        <v>250</v>
      </c>
      <c r="H50" t="s">
        <v>576</v>
      </c>
      <c r="I50">
        <v>250</v>
      </c>
      <c r="J50">
        <v>0</v>
      </c>
      <c r="N50" s="2" t="s">
        <v>345</v>
      </c>
      <c r="O50" s="2" t="s">
        <v>622</v>
      </c>
      <c r="P50" s="2" t="s">
        <v>570</v>
      </c>
      <c r="Q50" s="12">
        <v>15.9247091033538</v>
      </c>
      <c r="R50" s="2">
        <v>210</v>
      </c>
      <c r="T50" s="2" t="s">
        <v>359</v>
      </c>
      <c r="U50" s="2" t="s">
        <v>619</v>
      </c>
      <c r="V50" s="2" t="s">
        <v>570</v>
      </c>
      <c r="W50" s="12">
        <v>19.175906913073199</v>
      </c>
      <c r="X50" s="2">
        <v>210</v>
      </c>
    </row>
    <row r="51" spans="1:24" x14ac:dyDescent="0.2">
      <c r="A51" t="s">
        <v>490</v>
      </c>
      <c r="B51" t="s">
        <v>617</v>
      </c>
      <c r="C51" t="s">
        <v>626</v>
      </c>
      <c r="D51" t="s">
        <v>570</v>
      </c>
      <c r="E51" t="s">
        <v>549</v>
      </c>
      <c r="F51">
        <v>37.672826830937701</v>
      </c>
      <c r="G51">
        <v>210</v>
      </c>
      <c r="H51" t="s">
        <v>576</v>
      </c>
      <c r="I51">
        <v>210</v>
      </c>
      <c r="J51">
        <v>0</v>
      </c>
      <c r="N51" s="2" t="s">
        <v>395</v>
      </c>
      <c r="O51" s="2" t="s">
        <v>622</v>
      </c>
      <c r="P51" s="2" t="s">
        <v>570</v>
      </c>
      <c r="Q51" s="12">
        <v>24.2546201232032</v>
      </c>
      <c r="R51" s="2">
        <v>210</v>
      </c>
      <c r="T51" s="2" t="s">
        <v>325</v>
      </c>
      <c r="U51" s="2" t="s">
        <v>619</v>
      </c>
      <c r="V51" s="2" t="s">
        <v>570</v>
      </c>
      <c r="W51" s="12">
        <v>15.6714579055441</v>
      </c>
      <c r="X51" s="2">
        <v>250</v>
      </c>
    </row>
    <row r="52" spans="1:24" x14ac:dyDescent="0.2">
      <c r="A52" t="s">
        <v>155</v>
      </c>
      <c r="B52" t="s">
        <v>617</v>
      </c>
      <c r="C52" t="s">
        <v>626</v>
      </c>
      <c r="D52" t="s">
        <v>570</v>
      </c>
      <c r="E52" t="s">
        <v>543</v>
      </c>
      <c r="F52">
        <v>8.1752224503764506</v>
      </c>
      <c r="G52">
        <v>500</v>
      </c>
      <c r="H52" t="s">
        <v>598</v>
      </c>
      <c r="I52">
        <v>500</v>
      </c>
      <c r="J52">
        <v>0</v>
      </c>
      <c r="N52" s="2" t="s">
        <v>535</v>
      </c>
      <c r="O52" s="2" t="s">
        <v>634</v>
      </c>
      <c r="P52" s="2" t="s">
        <v>570</v>
      </c>
      <c r="Q52" s="12">
        <v>52.758384668035497</v>
      </c>
      <c r="R52" s="2">
        <v>50</v>
      </c>
      <c r="T52" s="2" t="s">
        <v>322</v>
      </c>
      <c r="U52" s="2" t="s">
        <v>619</v>
      </c>
      <c r="V52" s="2" t="s">
        <v>570</v>
      </c>
      <c r="W52" s="12">
        <v>15.337440109514</v>
      </c>
      <c r="X52" s="2">
        <v>250</v>
      </c>
    </row>
    <row r="53" spans="1:24" x14ac:dyDescent="0.2">
      <c r="A53" t="s">
        <v>154</v>
      </c>
      <c r="B53" t="s">
        <v>617</v>
      </c>
      <c r="C53" t="s">
        <v>626</v>
      </c>
      <c r="D53" t="s">
        <v>570</v>
      </c>
      <c r="E53" t="s">
        <v>543</v>
      </c>
      <c r="F53">
        <v>8.1752224503764506</v>
      </c>
      <c r="G53">
        <v>500</v>
      </c>
      <c r="H53" t="s">
        <v>598</v>
      </c>
      <c r="I53">
        <v>500</v>
      </c>
      <c r="J53">
        <v>0</v>
      </c>
      <c r="N53" s="2" t="s">
        <v>438</v>
      </c>
      <c r="O53" s="2" t="s">
        <v>619</v>
      </c>
      <c r="P53" s="2" t="s">
        <v>570</v>
      </c>
      <c r="Q53" s="12">
        <v>31.175906913073199</v>
      </c>
      <c r="R53" s="2">
        <v>210</v>
      </c>
      <c r="T53" s="2" t="s">
        <v>304</v>
      </c>
      <c r="U53" s="2" t="s">
        <v>617</v>
      </c>
      <c r="V53" s="2" t="s">
        <v>570</v>
      </c>
      <c r="W53" s="12">
        <v>13.0102669404517</v>
      </c>
      <c r="X53" s="2">
        <v>250</v>
      </c>
    </row>
    <row r="54" spans="1:24" x14ac:dyDescent="0.2">
      <c r="A54" t="s">
        <v>253</v>
      </c>
      <c r="B54" t="s">
        <v>609</v>
      </c>
      <c r="C54" t="s">
        <v>626</v>
      </c>
      <c r="D54" t="s">
        <v>572</v>
      </c>
      <c r="E54" t="s">
        <v>543</v>
      </c>
      <c r="F54">
        <v>7.7563312799452397</v>
      </c>
      <c r="G54">
        <v>250</v>
      </c>
      <c r="H54" t="s">
        <v>598</v>
      </c>
      <c r="I54">
        <v>250</v>
      </c>
      <c r="J54">
        <v>0</v>
      </c>
      <c r="N54" s="2" t="s">
        <v>503</v>
      </c>
      <c r="O54" s="2" t="s">
        <v>634</v>
      </c>
      <c r="P54" s="2" t="s">
        <v>570</v>
      </c>
      <c r="Q54" s="12">
        <v>35.2525667351129</v>
      </c>
      <c r="R54" s="2">
        <v>110</v>
      </c>
      <c r="T54" s="2" t="s">
        <v>271</v>
      </c>
      <c r="U54" s="2" t="s">
        <v>617</v>
      </c>
      <c r="V54" s="2" t="s">
        <v>570</v>
      </c>
      <c r="W54" s="12">
        <v>10.17659137577</v>
      </c>
      <c r="X54" s="2">
        <v>250</v>
      </c>
    </row>
    <row r="55" spans="1:24" x14ac:dyDescent="0.2">
      <c r="A55" t="s">
        <v>246</v>
      </c>
      <c r="B55" t="s">
        <v>609</v>
      </c>
      <c r="C55" t="s">
        <v>626</v>
      </c>
      <c r="D55" t="s">
        <v>572</v>
      </c>
      <c r="E55" t="s">
        <v>543</v>
      </c>
      <c r="F55">
        <v>7.1759069130732298</v>
      </c>
      <c r="G55">
        <v>250</v>
      </c>
      <c r="H55" t="s">
        <v>598</v>
      </c>
      <c r="I55">
        <v>250</v>
      </c>
      <c r="J55">
        <v>0</v>
      </c>
      <c r="N55" s="2" t="s">
        <v>464</v>
      </c>
      <c r="O55" s="2" t="s">
        <v>612</v>
      </c>
      <c r="P55" s="2" t="s">
        <v>570</v>
      </c>
      <c r="Q55" s="12">
        <v>35.175906913073199</v>
      </c>
      <c r="R55" s="2">
        <v>210</v>
      </c>
      <c r="T55" s="2" t="s">
        <v>328</v>
      </c>
      <c r="U55" s="2" t="s">
        <v>634</v>
      </c>
      <c r="V55" s="2" t="s">
        <v>570</v>
      </c>
      <c r="W55" s="12">
        <v>14.17659137577</v>
      </c>
      <c r="X55" s="2">
        <v>210</v>
      </c>
    </row>
    <row r="56" spans="1:24" x14ac:dyDescent="0.2">
      <c r="A56" t="s">
        <v>179</v>
      </c>
      <c r="B56" t="s">
        <v>611</v>
      </c>
      <c r="C56" t="s">
        <v>626</v>
      </c>
      <c r="D56" t="s">
        <v>572</v>
      </c>
      <c r="E56" t="s">
        <v>542</v>
      </c>
      <c r="F56">
        <v>3.0910335386721401</v>
      </c>
      <c r="G56">
        <v>300</v>
      </c>
      <c r="H56" t="s">
        <v>598</v>
      </c>
      <c r="J56">
        <v>300</v>
      </c>
      <c r="N56" s="2" t="s">
        <v>457</v>
      </c>
      <c r="O56" s="2" t="s">
        <v>612</v>
      </c>
      <c r="P56" s="2" t="s">
        <v>570</v>
      </c>
      <c r="Q56" s="12">
        <v>34.176591375770002</v>
      </c>
      <c r="R56" s="2">
        <v>210</v>
      </c>
      <c r="T56" s="2" t="s">
        <v>320</v>
      </c>
      <c r="U56" s="2" t="s">
        <v>634</v>
      </c>
      <c r="V56" s="2" t="s">
        <v>570</v>
      </c>
      <c r="W56" s="12">
        <v>13.423682409308601</v>
      </c>
      <c r="X56" s="2">
        <v>210</v>
      </c>
    </row>
    <row r="57" spans="1:24" x14ac:dyDescent="0.2">
      <c r="A57" t="s">
        <v>176</v>
      </c>
      <c r="B57" t="s">
        <v>611</v>
      </c>
      <c r="C57" t="s">
        <v>626</v>
      </c>
      <c r="D57" t="s">
        <v>572</v>
      </c>
      <c r="E57" t="s">
        <v>542</v>
      </c>
      <c r="F57">
        <v>2.0917180013689198</v>
      </c>
      <c r="G57">
        <v>300</v>
      </c>
      <c r="H57" t="s">
        <v>598</v>
      </c>
      <c r="J57">
        <v>300</v>
      </c>
      <c r="N57" s="2" t="s">
        <v>424</v>
      </c>
      <c r="O57" s="2" t="s">
        <v>612</v>
      </c>
      <c r="P57" s="2" t="s">
        <v>570</v>
      </c>
      <c r="Q57" s="12">
        <v>29.177275838466802</v>
      </c>
      <c r="R57" s="2">
        <v>210</v>
      </c>
      <c r="T57" s="2" t="s">
        <v>309</v>
      </c>
      <c r="U57" s="2" t="s">
        <v>617</v>
      </c>
      <c r="V57" s="2" t="s">
        <v>570</v>
      </c>
      <c r="W57" s="12">
        <v>13.2539356605065</v>
      </c>
      <c r="X57" s="2">
        <v>250</v>
      </c>
    </row>
    <row r="58" spans="1:24" x14ac:dyDescent="0.2">
      <c r="A58" t="s">
        <v>126</v>
      </c>
      <c r="B58" t="s">
        <v>623</v>
      </c>
      <c r="C58" t="s">
        <v>625</v>
      </c>
      <c r="D58" t="s">
        <v>571</v>
      </c>
      <c r="E58" t="s">
        <v>542</v>
      </c>
      <c r="F58">
        <v>4.1752224503764497</v>
      </c>
      <c r="G58">
        <v>500</v>
      </c>
      <c r="H58" t="s">
        <v>598</v>
      </c>
      <c r="J58">
        <v>500</v>
      </c>
      <c r="N58" s="2" t="s">
        <v>402</v>
      </c>
      <c r="O58" s="2" t="s">
        <v>612</v>
      </c>
      <c r="P58" s="2" t="s">
        <v>570</v>
      </c>
      <c r="Q58" s="12">
        <v>25.672826830937701</v>
      </c>
      <c r="R58" s="2">
        <v>210</v>
      </c>
      <c r="T58" s="2" t="s">
        <v>275</v>
      </c>
      <c r="U58" s="2" t="s">
        <v>617</v>
      </c>
      <c r="V58" s="2" t="s">
        <v>570</v>
      </c>
      <c r="W58" s="12">
        <v>10.2532511978097</v>
      </c>
      <c r="X58" s="2">
        <v>250</v>
      </c>
    </row>
    <row r="59" spans="1:24" x14ac:dyDescent="0.2">
      <c r="A59" t="s">
        <v>411</v>
      </c>
      <c r="B59" t="s">
        <v>623</v>
      </c>
      <c r="C59" t="s">
        <v>625</v>
      </c>
      <c r="D59" t="s">
        <v>571</v>
      </c>
      <c r="E59" t="s">
        <v>547</v>
      </c>
      <c r="F59">
        <v>26.757015742642</v>
      </c>
      <c r="G59">
        <v>210</v>
      </c>
      <c r="H59" t="s">
        <v>576</v>
      </c>
      <c r="J59">
        <v>210</v>
      </c>
      <c r="N59" s="2" t="s">
        <v>378</v>
      </c>
      <c r="O59" s="2" t="s">
        <v>612</v>
      </c>
      <c r="P59" s="2" t="s">
        <v>570</v>
      </c>
      <c r="Q59" s="12">
        <v>21.338809034907499</v>
      </c>
      <c r="R59" s="2">
        <v>210</v>
      </c>
      <c r="T59" s="2" t="s">
        <v>329</v>
      </c>
      <c r="U59" s="2" t="s">
        <v>611</v>
      </c>
      <c r="V59" s="2" t="s">
        <v>572</v>
      </c>
      <c r="W59" s="12">
        <v>7.2525667351129304</v>
      </c>
      <c r="X59" s="2">
        <v>50</v>
      </c>
    </row>
    <row r="60" spans="1:24" x14ac:dyDescent="0.2">
      <c r="A60" t="s">
        <v>217</v>
      </c>
      <c r="B60" t="s">
        <v>624</v>
      </c>
      <c r="C60" t="s">
        <v>629</v>
      </c>
      <c r="D60" t="s">
        <v>571</v>
      </c>
      <c r="E60" t="s">
        <v>542</v>
      </c>
      <c r="F60">
        <v>4.9253935660506496</v>
      </c>
      <c r="G60">
        <v>250</v>
      </c>
      <c r="H60" t="s">
        <v>598</v>
      </c>
      <c r="I60">
        <v>250</v>
      </c>
      <c r="J60">
        <v>0</v>
      </c>
      <c r="N60" s="2" t="s">
        <v>374</v>
      </c>
      <c r="O60" s="2" t="s">
        <v>612</v>
      </c>
      <c r="P60" s="2" t="s">
        <v>570</v>
      </c>
      <c r="Q60" s="12">
        <v>20.843258042436599</v>
      </c>
      <c r="R60" s="2">
        <v>210</v>
      </c>
      <c r="T60" s="2" t="s">
        <v>295</v>
      </c>
      <c r="U60" s="2" t="s">
        <v>611</v>
      </c>
      <c r="V60" s="2" t="s">
        <v>572</v>
      </c>
      <c r="W60" s="12">
        <v>3.5044490075290802</v>
      </c>
      <c r="X60" s="2">
        <v>50</v>
      </c>
    </row>
    <row r="61" spans="1:24" x14ac:dyDescent="0.2">
      <c r="A61" t="s">
        <v>200</v>
      </c>
      <c r="B61" t="s">
        <v>624</v>
      </c>
      <c r="C61" t="s">
        <v>629</v>
      </c>
      <c r="D61" t="s">
        <v>571</v>
      </c>
      <c r="E61" t="s">
        <v>542</v>
      </c>
      <c r="F61">
        <v>3.1074606433949299</v>
      </c>
      <c r="G61">
        <v>250</v>
      </c>
      <c r="H61" t="s">
        <v>598</v>
      </c>
      <c r="J61">
        <v>250</v>
      </c>
      <c r="N61" s="2" t="s">
        <v>350</v>
      </c>
      <c r="O61" s="2" t="s">
        <v>612</v>
      </c>
      <c r="P61" s="2" t="s">
        <v>570</v>
      </c>
      <c r="Q61" s="12">
        <v>17.423682409308601</v>
      </c>
      <c r="R61" s="2">
        <v>210</v>
      </c>
      <c r="T61" s="2" t="s">
        <v>319</v>
      </c>
      <c r="U61" s="2" t="s">
        <v>614</v>
      </c>
      <c r="V61" s="2" t="s">
        <v>570</v>
      </c>
      <c r="W61" s="12">
        <v>13.3388090349075</v>
      </c>
      <c r="X61" s="2">
        <v>210</v>
      </c>
    </row>
    <row r="62" spans="1:24" x14ac:dyDescent="0.2">
      <c r="A62" t="s">
        <v>184</v>
      </c>
      <c r="B62" t="s">
        <v>624</v>
      </c>
      <c r="C62" t="s">
        <v>629</v>
      </c>
      <c r="D62" t="s">
        <v>571</v>
      </c>
      <c r="E62" t="s">
        <v>542</v>
      </c>
      <c r="F62">
        <v>1.3388090349075901</v>
      </c>
      <c r="G62">
        <v>250</v>
      </c>
      <c r="H62" t="s">
        <v>598</v>
      </c>
      <c r="J62">
        <v>250</v>
      </c>
      <c r="N62" s="2" t="s">
        <v>529</v>
      </c>
      <c r="O62" s="2" t="s">
        <v>610</v>
      </c>
      <c r="P62" s="2" t="s">
        <v>570</v>
      </c>
      <c r="Q62" s="12">
        <v>48.591375770020498</v>
      </c>
      <c r="R62" s="2">
        <v>62.5</v>
      </c>
      <c r="T62" s="2" t="s">
        <v>315</v>
      </c>
      <c r="U62" s="2" t="s">
        <v>614</v>
      </c>
      <c r="V62" s="2" t="s">
        <v>570</v>
      </c>
      <c r="W62" s="12">
        <v>12.5065023956194</v>
      </c>
      <c r="X62" s="2">
        <v>210</v>
      </c>
    </row>
    <row r="63" spans="1:24" x14ac:dyDescent="0.2">
      <c r="A63" t="s">
        <v>375</v>
      </c>
      <c r="B63" t="s">
        <v>621</v>
      </c>
      <c r="C63" t="s">
        <v>625</v>
      </c>
      <c r="D63" t="s">
        <v>572</v>
      </c>
      <c r="E63" t="s">
        <v>546</v>
      </c>
      <c r="F63">
        <v>22.672142368240898</v>
      </c>
      <c r="G63">
        <v>250</v>
      </c>
      <c r="H63" t="s">
        <v>576</v>
      </c>
      <c r="I63">
        <v>250</v>
      </c>
      <c r="J63">
        <v>0</v>
      </c>
      <c r="N63" s="2" t="s">
        <v>446</v>
      </c>
      <c r="O63" s="2" t="s">
        <v>618</v>
      </c>
      <c r="P63" s="2" t="s">
        <v>570</v>
      </c>
      <c r="Q63" s="12">
        <v>32.175222450376403</v>
      </c>
      <c r="R63" s="2">
        <v>210</v>
      </c>
      <c r="T63" s="2" t="s">
        <v>285</v>
      </c>
      <c r="U63" s="2" t="s">
        <v>614</v>
      </c>
      <c r="V63" s="2" t="s">
        <v>570</v>
      </c>
      <c r="W63" s="12">
        <v>9.4236824093086895</v>
      </c>
      <c r="X63" s="2">
        <v>210</v>
      </c>
    </row>
    <row r="64" spans="1:24" x14ac:dyDescent="0.2">
      <c r="A64" t="s">
        <v>361</v>
      </c>
      <c r="B64" t="s">
        <v>621</v>
      </c>
      <c r="C64" t="s">
        <v>625</v>
      </c>
      <c r="D64" t="s">
        <v>572</v>
      </c>
      <c r="E64" t="s">
        <v>546</v>
      </c>
      <c r="F64">
        <v>21.177275838466802</v>
      </c>
      <c r="G64">
        <v>250</v>
      </c>
      <c r="H64" t="s">
        <v>576</v>
      </c>
      <c r="I64">
        <v>250</v>
      </c>
      <c r="J64">
        <v>0</v>
      </c>
      <c r="N64" s="2" t="s">
        <v>441</v>
      </c>
      <c r="O64" s="2" t="s">
        <v>618</v>
      </c>
      <c r="P64" s="2" t="s">
        <v>570</v>
      </c>
      <c r="Q64" s="12">
        <v>31.337440109513999</v>
      </c>
      <c r="R64" s="2">
        <v>210</v>
      </c>
      <c r="T64" s="2" t="s">
        <v>283</v>
      </c>
      <c r="U64" s="2" t="s">
        <v>621</v>
      </c>
      <c r="V64" s="2" t="s">
        <v>570</v>
      </c>
      <c r="W64" s="12">
        <v>11.0910335386721</v>
      </c>
      <c r="X64" s="2">
        <v>250</v>
      </c>
    </row>
    <row r="65" spans="1:24" x14ac:dyDescent="0.2">
      <c r="A65" t="s">
        <v>280</v>
      </c>
      <c r="B65" t="s">
        <v>621</v>
      </c>
      <c r="C65" t="s">
        <v>625</v>
      </c>
      <c r="D65" t="s">
        <v>572</v>
      </c>
      <c r="E65" t="s">
        <v>544</v>
      </c>
      <c r="F65">
        <v>10.6721423682409</v>
      </c>
      <c r="G65">
        <v>250</v>
      </c>
      <c r="H65" t="s">
        <v>576</v>
      </c>
      <c r="I65">
        <v>250</v>
      </c>
      <c r="J65">
        <v>0</v>
      </c>
      <c r="N65" s="2" t="s">
        <v>418</v>
      </c>
      <c r="O65" s="2" t="s">
        <v>618</v>
      </c>
      <c r="P65" s="2" t="s">
        <v>570</v>
      </c>
      <c r="Q65" s="12">
        <v>28.175222450376399</v>
      </c>
      <c r="R65" s="2">
        <v>210</v>
      </c>
      <c r="T65" s="2" t="s">
        <v>243</v>
      </c>
      <c r="U65" s="2" t="s">
        <v>617</v>
      </c>
      <c r="V65" s="2" t="s">
        <v>572</v>
      </c>
      <c r="W65" s="12">
        <v>2.6036960985626201</v>
      </c>
      <c r="X65" s="2">
        <v>150</v>
      </c>
    </row>
    <row r="66" spans="1:24" x14ac:dyDescent="0.2">
      <c r="A66" t="s">
        <v>223</v>
      </c>
      <c r="B66" t="s">
        <v>617</v>
      </c>
      <c r="C66" t="s">
        <v>626</v>
      </c>
      <c r="D66" t="s">
        <v>572</v>
      </c>
      <c r="E66" t="s">
        <v>543</v>
      </c>
      <c r="F66">
        <v>7.7563312799452397</v>
      </c>
      <c r="G66">
        <v>300</v>
      </c>
      <c r="H66" t="s">
        <v>598</v>
      </c>
      <c r="I66">
        <v>300</v>
      </c>
      <c r="J66">
        <v>0</v>
      </c>
      <c r="N66" s="2" t="s">
        <v>415</v>
      </c>
      <c r="O66" s="2" t="s">
        <v>618</v>
      </c>
      <c r="P66" s="2" t="s">
        <v>570</v>
      </c>
      <c r="Q66" s="12">
        <v>27.175906913073199</v>
      </c>
      <c r="R66" s="2">
        <v>210</v>
      </c>
      <c r="T66" s="2" t="s">
        <v>221</v>
      </c>
      <c r="U66" s="2" t="s">
        <v>613</v>
      </c>
      <c r="V66" s="2" t="s">
        <v>570</v>
      </c>
      <c r="W66" s="12">
        <v>5.1772758384667998</v>
      </c>
      <c r="X66" s="2">
        <v>250</v>
      </c>
    </row>
    <row r="67" spans="1:24" x14ac:dyDescent="0.2">
      <c r="A67" t="s">
        <v>218</v>
      </c>
      <c r="B67" t="s">
        <v>617</v>
      </c>
      <c r="C67" t="s">
        <v>626</v>
      </c>
      <c r="D67" t="s">
        <v>572</v>
      </c>
      <c r="E67" t="s">
        <v>543</v>
      </c>
      <c r="F67">
        <v>7.1759069130732298</v>
      </c>
      <c r="G67">
        <v>300</v>
      </c>
      <c r="H67" t="s">
        <v>598</v>
      </c>
      <c r="I67">
        <v>300</v>
      </c>
      <c r="J67">
        <v>0</v>
      </c>
      <c r="N67" s="2" t="s">
        <v>511</v>
      </c>
      <c r="O67" s="2" t="s">
        <v>609</v>
      </c>
      <c r="P67" s="2" t="s">
        <v>570</v>
      </c>
      <c r="Q67" s="12">
        <v>40.843258042436602</v>
      </c>
      <c r="R67" s="2">
        <v>200</v>
      </c>
      <c r="T67" s="2" t="s">
        <v>215</v>
      </c>
      <c r="U67" s="2" t="s">
        <v>613</v>
      </c>
      <c r="V67" s="2" t="s">
        <v>570</v>
      </c>
      <c r="W67" s="12">
        <v>4.6735112936344896</v>
      </c>
      <c r="X67" s="2">
        <v>250</v>
      </c>
    </row>
    <row r="68" spans="1:24" x14ac:dyDescent="0.2">
      <c r="A68" t="s">
        <v>327</v>
      </c>
      <c r="B68" t="s">
        <v>611</v>
      </c>
      <c r="C68" t="s">
        <v>626</v>
      </c>
      <c r="D68" t="s">
        <v>572</v>
      </c>
      <c r="E68" t="s">
        <v>543</v>
      </c>
      <c r="F68">
        <v>6.1765913757700197</v>
      </c>
      <c r="G68">
        <v>30</v>
      </c>
      <c r="H68" t="s">
        <v>576</v>
      </c>
      <c r="J68">
        <v>30</v>
      </c>
      <c r="N68" s="2" t="s">
        <v>504</v>
      </c>
      <c r="O68" s="2" t="s">
        <v>609</v>
      </c>
      <c r="P68" s="2" t="s">
        <v>570</v>
      </c>
      <c r="Q68" s="12">
        <v>39.671457905544102</v>
      </c>
      <c r="R68" s="2">
        <v>210</v>
      </c>
      <c r="T68" s="2" t="s">
        <v>292</v>
      </c>
      <c r="U68" s="2" t="s">
        <v>614</v>
      </c>
      <c r="V68" s="2" t="s">
        <v>572</v>
      </c>
      <c r="W68" s="12">
        <v>7.8412046543463303</v>
      </c>
      <c r="X68" s="2">
        <v>150</v>
      </c>
    </row>
    <row r="69" spans="1:24" x14ac:dyDescent="0.2">
      <c r="A69" t="s">
        <v>463</v>
      </c>
      <c r="B69" t="s">
        <v>617</v>
      </c>
      <c r="C69" t="s">
        <v>626</v>
      </c>
      <c r="D69" t="s">
        <v>570</v>
      </c>
      <c r="E69" t="s">
        <v>548</v>
      </c>
      <c r="F69">
        <v>35.008898015058101</v>
      </c>
      <c r="G69">
        <v>210</v>
      </c>
      <c r="H69" t="s">
        <v>576</v>
      </c>
      <c r="I69">
        <v>210</v>
      </c>
      <c r="J69">
        <v>0</v>
      </c>
      <c r="N69" s="2" t="s">
        <v>486</v>
      </c>
      <c r="O69" s="2" t="s">
        <v>609</v>
      </c>
      <c r="P69" s="2" t="s">
        <v>570</v>
      </c>
      <c r="Q69" s="12">
        <v>37.338809034907598</v>
      </c>
      <c r="R69" s="2">
        <v>210</v>
      </c>
      <c r="T69" s="2" t="s">
        <v>279</v>
      </c>
      <c r="U69" s="2" t="s">
        <v>614</v>
      </c>
      <c r="V69" s="2" t="s">
        <v>572</v>
      </c>
      <c r="W69" s="12">
        <v>6.2532511978097096</v>
      </c>
      <c r="X69" s="2">
        <v>150</v>
      </c>
    </row>
    <row r="70" spans="1:24" x14ac:dyDescent="0.2">
      <c r="A70" t="s">
        <v>459</v>
      </c>
      <c r="B70" t="s">
        <v>617</v>
      </c>
      <c r="C70" t="s">
        <v>626</v>
      </c>
      <c r="D70" t="s">
        <v>570</v>
      </c>
      <c r="E70" t="s">
        <v>548</v>
      </c>
      <c r="F70">
        <v>34.176591375770002</v>
      </c>
      <c r="G70">
        <v>210</v>
      </c>
      <c r="H70" t="s">
        <v>576</v>
      </c>
      <c r="I70">
        <v>210</v>
      </c>
      <c r="J70">
        <v>0</v>
      </c>
      <c r="N70" s="2" t="s">
        <v>474</v>
      </c>
      <c r="O70" s="2" t="s">
        <v>609</v>
      </c>
      <c r="P70" s="2" t="s">
        <v>570</v>
      </c>
      <c r="Q70" s="12">
        <v>36.254620123203203</v>
      </c>
      <c r="R70" s="2">
        <v>210</v>
      </c>
      <c r="T70" s="2" t="s">
        <v>349</v>
      </c>
      <c r="U70" s="2" t="s">
        <v>616</v>
      </c>
      <c r="V70" s="2" t="s">
        <v>570</v>
      </c>
      <c r="W70" s="12">
        <v>18.590006844626899</v>
      </c>
      <c r="X70" s="2">
        <v>250</v>
      </c>
    </row>
    <row r="71" spans="1:24" x14ac:dyDescent="0.2">
      <c r="A71" t="s">
        <v>348</v>
      </c>
      <c r="B71" t="s">
        <v>617</v>
      </c>
      <c r="C71" t="s">
        <v>626</v>
      </c>
      <c r="D71" t="s">
        <v>570</v>
      </c>
      <c r="E71" t="s">
        <v>547</v>
      </c>
      <c r="F71">
        <v>29.177275838466802</v>
      </c>
      <c r="G71">
        <v>500</v>
      </c>
      <c r="H71" t="s">
        <v>598</v>
      </c>
      <c r="I71">
        <v>500</v>
      </c>
      <c r="J71">
        <v>0</v>
      </c>
      <c r="N71" s="2" t="s">
        <v>531</v>
      </c>
      <c r="O71" s="2" t="s">
        <v>608</v>
      </c>
      <c r="P71" s="2" t="s">
        <v>571</v>
      </c>
      <c r="Q71" s="12">
        <v>49.338809034907598</v>
      </c>
      <c r="R71" s="2">
        <v>60</v>
      </c>
      <c r="T71" s="2" t="s">
        <v>347</v>
      </c>
      <c r="U71" s="2" t="s">
        <v>616</v>
      </c>
      <c r="V71" s="2" t="s">
        <v>570</v>
      </c>
      <c r="W71" s="12">
        <v>18.176591375769998</v>
      </c>
      <c r="X71" s="2">
        <v>250</v>
      </c>
    </row>
    <row r="72" spans="1:24" x14ac:dyDescent="0.2">
      <c r="A72" t="s">
        <v>333</v>
      </c>
      <c r="B72" t="s">
        <v>617</v>
      </c>
      <c r="C72" t="s">
        <v>626</v>
      </c>
      <c r="D72" t="s">
        <v>570</v>
      </c>
      <c r="E72" t="s">
        <v>547</v>
      </c>
      <c r="F72">
        <v>28.175222450376399</v>
      </c>
      <c r="G72">
        <v>500</v>
      </c>
      <c r="H72" t="s">
        <v>598</v>
      </c>
      <c r="I72">
        <v>500</v>
      </c>
      <c r="J72">
        <v>0</v>
      </c>
      <c r="N72" s="2" t="s">
        <v>530</v>
      </c>
      <c r="O72" s="2" t="s">
        <v>608</v>
      </c>
      <c r="P72" s="2" t="s">
        <v>571</v>
      </c>
      <c r="Q72" s="12">
        <v>48.925393566050602</v>
      </c>
      <c r="R72" s="2">
        <v>60</v>
      </c>
      <c r="T72" s="2" t="s">
        <v>332</v>
      </c>
      <c r="U72" s="2" t="s">
        <v>616</v>
      </c>
      <c r="V72" s="2" t="s">
        <v>570</v>
      </c>
      <c r="W72" s="12">
        <v>16.925393566050602</v>
      </c>
      <c r="X72" s="2">
        <v>250</v>
      </c>
    </row>
    <row r="73" spans="1:24" x14ac:dyDescent="0.2">
      <c r="A73" t="s">
        <v>286</v>
      </c>
      <c r="B73" t="s">
        <v>617</v>
      </c>
      <c r="C73" t="s">
        <v>626</v>
      </c>
      <c r="D73" t="s">
        <v>570</v>
      </c>
      <c r="E73" t="s">
        <v>546</v>
      </c>
      <c r="F73">
        <v>22.590006844626899</v>
      </c>
      <c r="G73">
        <v>500</v>
      </c>
      <c r="H73" t="s">
        <v>598</v>
      </c>
      <c r="I73">
        <v>500</v>
      </c>
      <c r="J73">
        <v>0</v>
      </c>
      <c r="N73" s="2" t="s">
        <v>528</v>
      </c>
      <c r="O73" s="2" t="s">
        <v>608</v>
      </c>
      <c r="P73" s="2" t="s">
        <v>571</v>
      </c>
      <c r="Q73" s="12">
        <v>48.339493497604302</v>
      </c>
      <c r="R73" s="2">
        <v>60</v>
      </c>
      <c r="T73" s="2" t="s">
        <v>281</v>
      </c>
      <c r="U73" s="2" t="s">
        <v>616</v>
      </c>
      <c r="V73" s="2" t="s">
        <v>570</v>
      </c>
      <c r="W73" s="12">
        <v>10.757015742642</v>
      </c>
      <c r="X73" s="2">
        <v>250</v>
      </c>
    </row>
    <row r="74" spans="1:24" x14ac:dyDescent="0.2">
      <c r="A74" t="s">
        <v>133</v>
      </c>
      <c r="B74" t="s">
        <v>617</v>
      </c>
      <c r="C74" t="s">
        <v>626</v>
      </c>
      <c r="D74" t="s">
        <v>570</v>
      </c>
      <c r="E74" t="s">
        <v>543</v>
      </c>
      <c r="F74">
        <v>5.1772758384667998</v>
      </c>
      <c r="G74">
        <v>500</v>
      </c>
      <c r="H74" t="s">
        <v>598</v>
      </c>
      <c r="I74">
        <v>500</v>
      </c>
      <c r="J74">
        <v>0</v>
      </c>
      <c r="N74" s="2" t="s">
        <v>527</v>
      </c>
      <c r="O74" s="2" t="s">
        <v>608</v>
      </c>
      <c r="P74" s="2" t="s">
        <v>571</v>
      </c>
      <c r="Q74" s="12">
        <v>47.923340177960299</v>
      </c>
      <c r="R74" s="2">
        <v>60</v>
      </c>
      <c r="T74" s="2" t="s">
        <v>330</v>
      </c>
      <c r="U74" s="2" t="s">
        <v>611</v>
      </c>
      <c r="V74" s="2" t="s">
        <v>572</v>
      </c>
      <c r="W74" s="12">
        <v>8.4243668720054696</v>
      </c>
      <c r="X74" s="2">
        <v>63</v>
      </c>
    </row>
    <row r="75" spans="1:24" x14ac:dyDescent="0.2">
      <c r="A75" t="s">
        <v>125</v>
      </c>
      <c r="B75" t="s">
        <v>617</v>
      </c>
      <c r="C75" t="s">
        <v>626</v>
      </c>
      <c r="D75" t="s">
        <v>570</v>
      </c>
      <c r="E75" t="s">
        <v>542</v>
      </c>
      <c r="F75">
        <v>4.1752224503764497</v>
      </c>
      <c r="G75">
        <v>500</v>
      </c>
      <c r="H75" t="s">
        <v>598</v>
      </c>
      <c r="I75">
        <v>500</v>
      </c>
      <c r="J75">
        <v>0</v>
      </c>
      <c r="N75" s="2" t="s">
        <v>526</v>
      </c>
      <c r="O75" s="2" t="s">
        <v>608</v>
      </c>
      <c r="P75" s="2" t="s">
        <v>571</v>
      </c>
      <c r="Q75" s="12">
        <v>47.337440109513999</v>
      </c>
      <c r="R75" s="2">
        <v>110</v>
      </c>
      <c r="T75" s="2" t="s">
        <v>298</v>
      </c>
      <c r="U75" s="2" t="s">
        <v>614</v>
      </c>
      <c r="V75" s="2" t="s">
        <v>572</v>
      </c>
      <c r="W75" s="12">
        <v>8.1752224503764506</v>
      </c>
      <c r="X75" s="2">
        <v>150</v>
      </c>
    </row>
    <row r="76" spans="1:24" x14ac:dyDescent="0.2">
      <c r="A76" t="s">
        <v>277</v>
      </c>
      <c r="B76" t="s">
        <v>623</v>
      </c>
      <c r="C76" t="s">
        <v>625</v>
      </c>
      <c r="D76" t="s">
        <v>571</v>
      </c>
      <c r="E76" t="s">
        <v>544</v>
      </c>
      <c r="F76">
        <v>10.5051334702258</v>
      </c>
      <c r="G76">
        <v>250</v>
      </c>
      <c r="H76" t="s">
        <v>576</v>
      </c>
      <c r="I76">
        <v>250</v>
      </c>
      <c r="J76">
        <v>0</v>
      </c>
      <c r="N76" s="2" t="s">
        <v>525</v>
      </c>
      <c r="O76" s="2" t="s">
        <v>608</v>
      </c>
      <c r="P76" s="2" t="s">
        <v>571</v>
      </c>
      <c r="Q76" s="12">
        <v>46.924024640657002</v>
      </c>
      <c r="R76" s="2">
        <v>110</v>
      </c>
      <c r="T76" s="2" t="s">
        <v>293</v>
      </c>
      <c r="U76" s="2" t="s">
        <v>614</v>
      </c>
      <c r="V76" s="2" t="s">
        <v>572</v>
      </c>
      <c r="W76" s="12">
        <v>7.8412046543463303</v>
      </c>
      <c r="X76" s="2">
        <v>150</v>
      </c>
    </row>
    <row r="77" spans="1:24" x14ac:dyDescent="0.2">
      <c r="A77" t="s">
        <v>270</v>
      </c>
      <c r="B77" t="s">
        <v>623</v>
      </c>
      <c r="C77" t="s">
        <v>625</v>
      </c>
      <c r="D77" t="s">
        <v>571</v>
      </c>
      <c r="E77" t="s">
        <v>544</v>
      </c>
      <c r="F77">
        <v>10.17659137577</v>
      </c>
      <c r="G77">
        <v>250</v>
      </c>
      <c r="H77" t="s">
        <v>576</v>
      </c>
      <c r="I77">
        <v>250</v>
      </c>
      <c r="J77">
        <v>0</v>
      </c>
      <c r="N77" s="2" t="s">
        <v>478</v>
      </c>
      <c r="O77" s="2" t="s">
        <v>634</v>
      </c>
      <c r="P77" s="2" t="s">
        <v>571</v>
      </c>
      <c r="Q77" s="12">
        <v>32.175222450376403</v>
      </c>
      <c r="R77" s="2">
        <v>110</v>
      </c>
      <c r="T77" s="2" t="s">
        <v>262</v>
      </c>
      <c r="U77" s="2" t="s">
        <v>612</v>
      </c>
      <c r="V77" s="2" t="s">
        <v>572</v>
      </c>
      <c r="W77" s="12">
        <v>11.0910335386721</v>
      </c>
      <c r="X77" s="2">
        <v>300</v>
      </c>
    </row>
    <row r="78" spans="1:24" x14ac:dyDescent="0.2">
      <c r="A78" t="s">
        <v>278</v>
      </c>
      <c r="B78" t="s">
        <v>616</v>
      </c>
      <c r="C78" t="s">
        <v>628</v>
      </c>
      <c r="D78" t="s">
        <v>570</v>
      </c>
      <c r="E78" t="s">
        <v>544</v>
      </c>
      <c r="F78">
        <v>10.590006844626901</v>
      </c>
      <c r="G78">
        <v>250</v>
      </c>
      <c r="H78" t="s">
        <v>576</v>
      </c>
      <c r="I78">
        <v>250</v>
      </c>
      <c r="J78">
        <v>0</v>
      </c>
      <c r="N78" s="2" t="s">
        <v>468</v>
      </c>
      <c r="O78" s="2" t="s">
        <v>634</v>
      </c>
      <c r="P78" s="2" t="s">
        <v>571</v>
      </c>
      <c r="Q78" s="12">
        <v>31.175906913073199</v>
      </c>
      <c r="R78" s="2">
        <v>110</v>
      </c>
      <c r="T78" s="2" t="s">
        <v>258</v>
      </c>
      <c r="U78" s="2" t="s">
        <v>612</v>
      </c>
      <c r="V78" s="2" t="s">
        <v>572</v>
      </c>
      <c r="W78" s="12">
        <v>10.757015742642</v>
      </c>
      <c r="X78" s="2">
        <v>300</v>
      </c>
    </row>
    <row r="79" spans="1:24" x14ac:dyDescent="0.2">
      <c r="A79" t="s">
        <v>269</v>
      </c>
      <c r="B79" t="s">
        <v>616</v>
      </c>
      <c r="C79" t="s">
        <v>628</v>
      </c>
      <c r="D79" t="s">
        <v>570</v>
      </c>
      <c r="E79" t="s">
        <v>543</v>
      </c>
      <c r="F79">
        <v>10.009582477754901</v>
      </c>
      <c r="G79">
        <v>250</v>
      </c>
      <c r="H79" t="s">
        <v>576</v>
      </c>
      <c r="I79">
        <v>250</v>
      </c>
      <c r="J79">
        <v>0</v>
      </c>
      <c r="N79" s="2" t="s">
        <v>461</v>
      </c>
      <c r="O79" s="2" t="s">
        <v>634</v>
      </c>
      <c r="P79" s="2" t="s">
        <v>571</v>
      </c>
      <c r="Q79" s="12">
        <v>30.176591375769998</v>
      </c>
      <c r="R79" s="2">
        <v>110</v>
      </c>
      <c r="T79" s="2" t="s">
        <v>284</v>
      </c>
      <c r="U79" s="2" t="s">
        <v>617</v>
      </c>
      <c r="V79" s="2" t="s">
        <v>572</v>
      </c>
      <c r="W79" s="12">
        <v>11.1759069130732</v>
      </c>
      <c r="X79" s="2">
        <v>250</v>
      </c>
    </row>
    <row r="80" spans="1:24" x14ac:dyDescent="0.2">
      <c r="A80" t="s">
        <v>240</v>
      </c>
      <c r="B80" t="s">
        <v>616</v>
      </c>
      <c r="C80" t="s">
        <v>628</v>
      </c>
      <c r="D80" t="s">
        <v>570</v>
      </c>
      <c r="E80" t="s">
        <v>543</v>
      </c>
      <c r="F80">
        <v>6.6721423682409302</v>
      </c>
      <c r="G80">
        <v>250</v>
      </c>
      <c r="H80" t="s">
        <v>598</v>
      </c>
      <c r="I80">
        <v>250</v>
      </c>
      <c r="J80">
        <v>0</v>
      </c>
      <c r="N80" s="2" t="s">
        <v>410</v>
      </c>
      <c r="O80" s="2" t="s">
        <v>634</v>
      </c>
      <c r="P80" s="2" t="s">
        <v>571</v>
      </c>
      <c r="Q80" s="12">
        <v>22.2532511978097</v>
      </c>
      <c r="R80" s="2">
        <v>110</v>
      </c>
      <c r="T80" s="2" t="s">
        <v>323</v>
      </c>
      <c r="U80" s="2" t="s">
        <v>634</v>
      </c>
      <c r="V80" s="2" t="s">
        <v>571</v>
      </c>
      <c r="W80" s="12">
        <v>13.6728268309377</v>
      </c>
      <c r="X80" s="2">
        <v>210</v>
      </c>
    </row>
    <row r="81" spans="1:24" x14ac:dyDescent="0.2">
      <c r="A81" t="s">
        <v>227</v>
      </c>
      <c r="B81" t="s">
        <v>616</v>
      </c>
      <c r="C81" t="s">
        <v>628</v>
      </c>
      <c r="D81" t="s">
        <v>570</v>
      </c>
      <c r="E81" t="s">
        <v>543</v>
      </c>
      <c r="F81">
        <v>5.9247091033538597</v>
      </c>
      <c r="G81">
        <v>250</v>
      </c>
      <c r="H81" t="s">
        <v>598</v>
      </c>
      <c r="I81">
        <v>250</v>
      </c>
      <c r="J81">
        <v>0</v>
      </c>
      <c r="N81" s="2" t="s">
        <v>392</v>
      </c>
      <c r="O81" s="2" t="s">
        <v>623</v>
      </c>
      <c r="P81" s="2" t="s">
        <v>570</v>
      </c>
      <c r="Q81" s="12">
        <v>23.671457905544099</v>
      </c>
      <c r="R81" s="2">
        <v>210</v>
      </c>
      <c r="T81" s="2" t="s">
        <v>336</v>
      </c>
      <c r="U81" s="2" t="s">
        <v>634</v>
      </c>
      <c r="V81" s="2" t="s">
        <v>572</v>
      </c>
      <c r="W81" s="12">
        <v>8.2546201232032796</v>
      </c>
      <c r="X81" s="2">
        <v>45</v>
      </c>
    </row>
    <row r="82" spans="1:24" x14ac:dyDescent="0.2">
      <c r="A82" t="s">
        <v>30</v>
      </c>
      <c r="B82" t="s">
        <v>616</v>
      </c>
      <c r="C82" t="s">
        <v>628</v>
      </c>
      <c r="D82" t="s">
        <v>570</v>
      </c>
      <c r="E82" t="s">
        <v>542</v>
      </c>
      <c r="F82">
        <v>3.0910335386721401</v>
      </c>
      <c r="G82">
        <v>660</v>
      </c>
      <c r="H82" t="s">
        <v>598</v>
      </c>
      <c r="I82">
        <v>660</v>
      </c>
      <c r="J82">
        <v>0</v>
      </c>
      <c r="N82" s="2" t="s">
        <v>386</v>
      </c>
      <c r="O82" s="2" t="s">
        <v>623</v>
      </c>
      <c r="P82" s="2" t="s">
        <v>570</v>
      </c>
      <c r="Q82" s="12">
        <v>22.672142368240898</v>
      </c>
      <c r="R82" s="2">
        <v>210</v>
      </c>
      <c r="T82" s="2" t="s">
        <v>334</v>
      </c>
      <c r="U82" s="2" t="s">
        <v>634</v>
      </c>
      <c r="V82" s="2" t="s">
        <v>572</v>
      </c>
      <c r="W82" s="12">
        <v>8.1752224503764506</v>
      </c>
      <c r="X82" s="2">
        <v>45</v>
      </c>
    </row>
    <row r="83" spans="1:24" x14ac:dyDescent="0.2">
      <c r="A83" t="s">
        <v>18</v>
      </c>
      <c r="B83" t="s">
        <v>616</v>
      </c>
      <c r="C83" t="s">
        <v>628</v>
      </c>
      <c r="D83" t="s">
        <v>570</v>
      </c>
      <c r="E83" t="s">
        <v>542</v>
      </c>
      <c r="F83">
        <v>1.06776180698151</v>
      </c>
      <c r="G83">
        <v>660</v>
      </c>
      <c r="H83" t="s">
        <v>598</v>
      </c>
      <c r="I83">
        <v>660</v>
      </c>
      <c r="J83">
        <v>0</v>
      </c>
      <c r="N83" s="2" t="s">
        <v>508</v>
      </c>
      <c r="O83" s="2" t="s">
        <v>622</v>
      </c>
      <c r="P83" s="2" t="s">
        <v>570</v>
      </c>
      <c r="Q83" s="12">
        <v>40.821355236139603</v>
      </c>
      <c r="R83" s="2">
        <v>210</v>
      </c>
      <c r="T83" s="2" t="s">
        <v>317</v>
      </c>
      <c r="U83" s="2" t="s">
        <v>617</v>
      </c>
      <c r="V83" s="2" t="s">
        <v>572</v>
      </c>
      <c r="W83" s="12">
        <v>9.5906913073237501</v>
      </c>
      <c r="X83" s="2">
        <v>135</v>
      </c>
    </row>
    <row r="84" spans="1:24" x14ac:dyDescent="0.2">
      <c r="A84" t="s">
        <v>274</v>
      </c>
      <c r="B84" t="s">
        <v>621</v>
      </c>
      <c r="C84" t="s">
        <v>625</v>
      </c>
      <c r="D84" t="s">
        <v>570</v>
      </c>
      <c r="E84" t="s">
        <v>544</v>
      </c>
      <c r="F84">
        <v>12.4435318275154</v>
      </c>
      <c r="G84">
        <v>300</v>
      </c>
      <c r="H84" t="s">
        <v>598</v>
      </c>
      <c r="J84">
        <v>300</v>
      </c>
      <c r="N84" s="2" t="s">
        <v>500</v>
      </c>
      <c r="O84" s="2" t="s">
        <v>622</v>
      </c>
      <c r="P84" s="2" t="s">
        <v>570</v>
      </c>
      <c r="Q84" s="12">
        <v>39.378507871320998</v>
      </c>
      <c r="R84" s="2">
        <v>210</v>
      </c>
      <c r="T84" s="2" t="s">
        <v>316</v>
      </c>
      <c r="U84" s="2" t="s">
        <v>617</v>
      </c>
      <c r="V84" s="2" t="s">
        <v>572</v>
      </c>
      <c r="W84" s="12">
        <v>9.3388090349075892</v>
      </c>
      <c r="X84" s="2">
        <v>135</v>
      </c>
    </row>
    <row r="85" spans="1:24" x14ac:dyDescent="0.2">
      <c r="A85" t="s">
        <v>229</v>
      </c>
      <c r="B85" t="s">
        <v>621</v>
      </c>
      <c r="C85" t="s">
        <v>625</v>
      </c>
      <c r="D85" t="s">
        <v>570</v>
      </c>
      <c r="E85" t="s">
        <v>543</v>
      </c>
      <c r="F85">
        <v>6.1765913757700197</v>
      </c>
      <c r="G85">
        <v>250</v>
      </c>
      <c r="H85" t="s">
        <v>598</v>
      </c>
      <c r="J85">
        <v>250</v>
      </c>
      <c r="N85" s="2" t="s">
        <v>493</v>
      </c>
      <c r="O85" s="2" t="s">
        <v>622</v>
      </c>
      <c r="P85" s="2" t="s">
        <v>570</v>
      </c>
      <c r="Q85" s="12">
        <v>38.050650239561897</v>
      </c>
      <c r="R85" s="2">
        <v>210</v>
      </c>
      <c r="T85" s="2" t="s">
        <v>312</v>
      </c>
      <c r="U85" s="2" t="s">
        <v>617</v>
      </c>
      <c r="V85" s="2" t="s">
        <v>572</v>
      </c>
      <c r="W85" s="12">
        <v>9.0924024640656995</v>
      </c>
      <c r="X85" s="2">
        <v>135</v>
      </c>
    </row>
    <row r="86" spans="1:24" x14ac:dyDescent="0.2">
      <c r="A86" t="s">
        <v>421</v>
      </c>
      <c r="B86" t="s">
        <v>634</v>
      </c>
      <c r="C86" t="s">
        <v>628</v>
      </c>
      <c r="D86" t="s">
        <v>571</v>
      </c>
      <c r="E86" t="s">
        <v>547</v>
      </c>
      <c r="F86">
        <v>28.4243668720054</v>
      </c>
      <c r="G86">
        <v>210</v>
      </c>
      <c r="H86" t="s">
        <v>576</v>
      </c>
      <c r="I86">
        <v>210</v>
      </c>
      <c r="J86">
        <v>0</v>
      </c>
      <c r="N86" s="2" t="s">
        <v>420</v>
      </c>
      <c r="O86" s="2" t="s">
        <v>622</v>
      </c>
      <c r="P86" s="2" t="s">
        <v>570</v>
      </c>
      <c r="Q86" s="12">
        <v>28.227241615331899</v>
      </c>
      <c r="R86" s="2">
        <v>210</v>
      </c>
    </row>
    <row r="87" spans="1:24" x14ac:dyDescent="0.2">
      <c r="A87" t="s">
        <v>417</v>
      </c>
      <c r="B87" t="s">
        <v>634</v>
      </c>
      <c r="C87" t="s">
        <v>628</v>
      </c>
      <c r="D87" t="s">
        <v>571</v>
      </c>
      <c r="E87" t="s">
        <v>547</v>
      </c>
      <c r="F87">
        <v>27.422313483915101</v>
      </c>
      <c r="G87">
        <v>210</v>
      </c>
      <c r="H87" t="s">
        <v>576</v>
      </c>
      <c r="I87">
        <v>210</v>
      </c>
      <c r="J87">
        <v>0</v>
      </c>
      <c r="N87" s="2" t="s">
        <v>423</v>
      </c>
      <c r="O87" s="2" t="s">
        <v>622</v>
      </c>
      <c r="P87" s="2" t="s">
        <v>570</v>
      </c>
      <c r="Q87" s="12">
        <v>29.095140314852799</v>
      </c>
      <c r="R87" s="2">
        <v>210</v>
      </c>
    </row>
    <row r="88" spans="1:24" x14ac:dyDescent="0.2">
      <c r="A88" t="s">
        <v>412</v>
      </c>
      <c r="B88" t="s">
        <v>634</v>
      </c>
      <c r="C88" t="s">
        <v>628</v>
      </c>
      <c r="D88" t="s">
        <v>571</v>
      </c>
      <c r="E88" t="s">
        <v>547</v>
      </c>
      <c r="F88">
        <v>27.175906913073199</v>
      </c>
      <c r="G88">
        <v>210</v>
      </c>
      <c r="H88" t="s">
        <v>576</v>
      </c>
      <c r="I88">
        <v>210</v>
      </c>
      <c r="J88">
        <v>0</v>
      </c>
      <c r="N88" s="2" t="s">
        <v>456</v>
      </c>
      <c r="O88" s="2" t="s">
        <v>634</v>
      </c>
      <c r="P88" s="2" t="s">
        <v>570</v>
      </c>
      <c r="Q88" s="12">
        <v>34.176591375770002</v>
      </c>
      <c r="R88" s="2">
        <v>210</v>
      </c>
    </row>
    <row r="89" spans="1:24" x14ac:dyDescent="0.2">
      <c r="A89" t="s">
        <v>405</v>
      </c>
      <c r="B89" t="s">
        <v>634</v>
      </c>
      <c r="C89" t="s">
        <v>628</v>
      </c>
      <c r="D89" t="s">
        <v>571</v>
      </c>
      <c r="E89" t="s">
        <v>547</v>
      </c>
      <c r="F89">
        <v>26.176591375769998</v>
      </c>
      <c r="G89">
        <v>210</v>
      </c>
      <c r="H89" t="s">
        <v>576</v>
      </c>
      <c r="I89">
        <v>210</v>
      </c>
      <c r="J89">
        <v>0</v>
      </c>
      <c r="N89" s="2" t="s">
        <v>451</v>
      </c>
      <c r="O89" s="2" t="s">
        <v>634</v>
      </c>
      <c r="P89" s="2" t="s">
        <v>570</v>
      </c>
      <c r="Q89" s="12">
        <v>33.2539356605065</v>
      </c>
      <c r="R89" s="2">
        <v>210</v>
      </c>
    </row>
    <row r="90" spans="1:24" x14ac:dyDescent="0.2">
      <c r="A90" t="s">
        <v>174</v>
      </c>
      <c r="B90" t="s">
        <v>634</v>
      </c>
      <c r="C90" t="s">
        <v>628</v>
      </c>
      <c r="D90" t="s">
        <v>571</v>
      </c>
      <c r="E90" t="s">
        <v>544</v>
      </c>
      <c r="F90">
        <v>10.3381245722108</v>
      </c>
      <c r="G90">
        <v>490</v>
      </c>
      <c r="H90" t="s">
        <v>598</v>
      </c>
      <c r="I90">
        <v>490</v>
      </c>
      <c r="J90">
        <v>0</v>
      </c>
      <c r="N90" s="2" t="s">
        <v>445</v>
      </c>
      <c r="O90" s="2" t="s">
        <v>634</v>
      </c>
      <c r="P90" s="2" t="s">
        <v>570</v>
      </c>
      <c r="Q90" s="12">
        <v>32.175222450376403</v>
      </c>
      <c r="R90" s="2">
        <v>210</v>
      </c>
    </row>
    <row r="91" spans="1:24" x14ac:dyDescent="0.2">
      <c r="A91" t="s">
        <v>170</v>
      </c>
      <c r="B91" t="s">
        <v>634</v>
      </c>
      <c r="C91" t="s">
        <v>628</v>
      </c>
      <c r="D91" t="s">
        <v>571</v>
      </c>
      <c r="E91" t="s">
        <v>543</v>
      </c>
      <c r="F91">
        <v>9.8425735797399003</v>
      </c>
      <c r="G91">
        <v>490</v>
      </c>
      <c r="H91" t="s">
        <v>598</v>
      </c>
      <c r="I91">
        <v>490</v>
      </c>
      <c r="J91">
        <v>0</v>
      </c>
      <c r="N91" s="2" t="s">
        <v>490</v>
      </c>
      <c r="O91" s="2" t="s">
        <v>617</v>
      </c>
      <c r="P91" s="2" t="s">
        <v>570</v>
      </c>
      <c r="Q91" s="12">
        <v>37.672826830937701</v>
      </c>
      <c r="R91" s="2">
        <v>210</v>
      </c>
    </row>
    <row r="92" spans="1:24" x14ac:dyDescent="0.2">
      <c r="A92" t="s">
        <v>390</v>
      </c>
      <c r="B92" t="s">
        <v>617</v>
      </c>
      <c r="C92" t="s">
        <v>626</v>
      </c>
      <c r="D92" t="s">
        <v>572</v>
      </c>
      <c r="E92" t="s">
        <v>547</v>
      </c>
      <c r="F92">
        <v>25.338809034907499</v>
      </c>
      <c r="G92">
        <v>250</v>
      </c>
      <c r="H92" t="s">
        <v>576</v>
      </c>
      <c r="I92">
        <v>250</v>
      </c>
      <c r="J92">
        <v>0</v>
      </c>
      <c r="N92" s="2" t="s">
        <v>463</v>
      </c>
      <c r="O92" s="2" t="s">
        <v>617</v>
      </c>
      <c r="P92" s="2" t="s">
        <v>570</v>
      </c>
      <c r="Q92" s="12">
        <v>35.008898015058101</v>
      </c>
      <c r="R92" s="2">
        <v>210</v>
      </c>
    </row>
    <row r="93" spans="1:24" x14ac:dyDescent="0.2">
      <c r="A93" t="s">
        <v>389</v>
      </c>
      <c r="B93" t="s">
        <v>617</v>
      </c>
      <c r="C93" t="s">
        <v>626</v>
      </c>
      <c r="D93" t="s">
        <v>572</v>
      </c>
      <c r="E93" t="s">
        <v>547</v>
      </c>
      <c r="F93">
        <v>25.177275838466802</v>
      </c>
      <c r="G93">
        <v>250</v>
      </c>
      <c r="H93" t="s">
        <v>576</v>
      </c>
      <c r="I93">
        <v>250</v>
      </c>
      <c r="J93">
        <v>0</v>
      </c>
      <c r="N93" s="2" t="s">
        <v>459</v>
      </c>
      <c r="O93" s="2" t="s">
        <v>617</v>
      </c>
      <c r="P93" s="2" t="s">
        <v>570</v>
      </c>
      <c r="Q93" s="12">
        <v>34.176591375770002</v>
      </c>
      <c r="R93" s="2">
        <v>210</v>
      </c>
    </row>
    <row r="94" spans="1:24" x14ac:dyDescent="0.2">
      <c r="A94" t="s">
        <v>11</v>
      </c>
      <c r="B94" t="s">
        <v>614</v>
      </c>
      <c r="C94" t="s">
        <v>627</v>
      </c>
      <c r="D94" t="s">
        <v>570</v>
      </c>
      <c r="E94" t="s">
        <v>543</v>
      </c>
      <c r="F94">
        <v>5.7577002053388</v>
      </c>
      <c r="G94">
        <v>800</v>
      </c>
      <c r="H94" t="s">
        <v>598</v>
      </c>
      <c r="I94">
        <v>800</v>
      </c>
      <c r="J94">
        <v>0</v>
      </c>
      <c r="N94" s="2" t="s">
        <v>421</v>
      </c>
      <c r="O94" s="2" t="s">
        <v>634</v>
      </c>
      <c r="P94" s="2" t="s">
        <v>571</v>
      </c>
      <c r="Q94" s="12">
        <v>28.4243668720054</v>
      </c>
      <c r="R94" s="2">
        <v>210</v>
      </c>
    </row>
    <row r="95" spans="1:24" x14ac:dyDescent="0.2">
      <c r="A95" t="s">
        <v>10</v>
      </c>
      <c r="B95" t="s">
        <v>614</v>
      </c>
      <c r="C95" t="s">
        <v>627</v>
      </c>
      <c r="D95" t="s">
        <v>570</v>
      </c>
      <c r="E95" t="s">
        <v>543</v>
      </c>
      <c r="F95">
        <v>5.1772758384667998</v>
      </c>
      <c r="G95">
        <v>800</v>
      </c>
      <c r="H95" t="s">
        <v>598</v>
      </c>
      <c r="I95">
        <v>800</v>
      </c>
      <c r="J95">
        <v>0</v>
      </c>
      <c r="N95" s="2" t="s">
        <v>417</v>
      </c>
      <c r="O95" s="2" t="s">
        <v>634</v>
      </c>
      <c r="P95" s="2" t="s">
        <v>571</v>
      </c>
      <c r="Q95" s="12">
        <v>27.422313483915101</v>
      </c>
      <c r="R95" s="2">
        <v>210</v>
      </c>
    </row>
    <row r="96" spans="1:24" x14ac:dyDescent="0.2">
      <c r="A96" t="s">
        <v>0</v>
      </c>
      <c r="B96" t="s">
        <v>608</v>
      </c>
      <c r="C96" t="s">
        <v>625</v>
      </c>
      <c r="D96" t="s">
        <v>571</v>
      </c>
      <c r="E96" t="s">
        <v>542</v>
      </c>
      <c r="F96">
        <v>0.34223134839151198</v>
      </c>
      <c r="G96">
        <v>800</v>
      </c>
      <c r="H96" t="s">
        <v>598</v>
      </c>
      <c r="I96">
        <v>800</v>
      </c>
      <c r="J96">
        <v>0</v>
      </c>
      <c r="N96" s="2" t="s">
        <v>412</v>
      </c>
      <c r="O96" s="2" t="s">
        <v>634</v>
      </c>
      <c r="P96" s="2" t="s">
        <v>571</v>
      </c>
      <c r="Q96" s="12">
        <v>27.175906913073199</v>
      </c>
      <c r="R96" s="2">
        <v>210</v>
      </c>
    </row>
    <row r="97" spans="1:18" x14ac:dyDescent="0.2">
      <c r="A97" t="s">
        <v>102</v>
      </c>
      <c r="B97" t="s">
        <v>608</v>
      </c>
      <c r="C97" t="s">
        <v>625</v>
      </c>
      <c r="D97" t="s">
        <v>572</v>
      </c>
      <c r="E97" t="s">
        <v>543</v>
      </c>
      <c r="F97">
        <v>6.0917180013689203</v>
      </c>
      <c r="G97">
        <v>600</v>
      </c>
      <c r="H97" t="s">
        <v>598</v>
      </c>
      <c r="I97">
        <v>600</v>
      </c>
      <c r="J97">
        <v>0</v>
      </c>
      <c r="N97" s="2" t="s">
        <v>405</v>
      </c>
      <c r="O97" s="2" t="s">
        <v>634</v>
      </c>
      <c r="P97" s="2" t="s">
        <v>571</v>
      </c>
      <c r="Q97" s="12">
        <v>26.176591375769998</v>
      </c>
      <c r="R97" s="2">
        <v>210</v>
      </c>
    </row>
    <row r="98" spans="1:18" x14ac:dyDescent="0.2">
      <c r="A98" t="s">
        <v>89</v>
      </c>
      <c r="B98" t="s">
        <v>608</v>
      </c>
      <c r="C98" t="s">
        <v>625</v>
      </c>
      <c r="D98" t="s">
        <v>572</v>
      </c>
      <c r="E98" t="s">
        <v>543</v>
      </c>
      <c r="F98">
        <v>5.3388090349075901</v>
      </c>
      <c r="G98">
        <v>600</v>
      </c>
      <c r="H98" t="s">
        <v>598</v>
      </c>
      <c r="I98">
        <v>600</v>
      </c>
      <c r="J98">
        <v>0</v>
      </c>
      <c r="N98" s="2" t="s">
        <v>462</v>
      </c>
      <c r="O98" s="2" t="s">
        <v>621</v>
      </c>
      <c r="P98" s="2" t="s">
        <v>571</v>
      </c>
      <c r="Q98" s="12">
        <v>34.338124572210802</v>
      </c>
      <c r="R98" s="2">
        <v>200</v>
      </c>
    </row>
    <row r="99" spans="1:18" x14ac:dyDescent="0.2">
      <c r="A99" t="s">
        <v>211</v>
      </c>
      <c r="B99" t="s">
        <v>617</v>
      </c>
      <c r="C99" t="s">
        <v>626</v>
      </c>
      <c r="D99" t="s">
        <v>572</v>
      </c>
      <c r="E99" t="s">
        <v>543</v>
      </c>
      <c r="F99">
        <v>6.5051334702258696</v>
      </c>
      <c r="G99">
        <v>300</v>
      </c>
      <c r="H99" t="s">
        <v>598</v>
      </c>
      <c r="I99">
        <v>300</v>
      </c>
      <c r="J99">
        <v>0</v>
      </c>
      <c r="N99" s="2" t="s">
        <v>454</v>
      </c>
      <c r="O99" s="2" t="s">
        <v>621</v>
      </c>
      <c r="P99" s="2" t="s">
        <v>571</v>
      </c>
      <c r="Q99" s="12">
        <v>33.423682409308597</v>
      </c>
      <c r="R99" s="2">
        <v>200</v>
      </c>
    </row>
    <row r="100" spans="1:18" x14ac:dyDescent="0.2">
      <c r="A100" t="s">
        <v>205</v>
      </c>
      <c r="B100" t="s">
        <v>617</v>
      </c>
      <c r="C100" t="s">
        <v>626</v>
      </c>
      <c r="D100" t="s">
        <v>572</v>
      </c>
      <c r="E100" t="s">
        <v>543</v>
      </c>
      <c r="F100">
        <v>6.00958247775496</v>
      </c>
      <c r="G100">
        <v>300</v>
      </c>
      <c r="H100" t="s">
        <v>598</v>
      </c>
      <c r="J100">
        <v>300</v>
      </c>
      <c r="N100" s="2" t="s">
        <v>450</v>
      </c>
      <c r="O100" s="2" t="s">
        <v>621</v>
      </c>
      <c r="P100" s="2" t="s">
        <v>571</v>
      </c>
      <c r="Q100" s="12">
        <v>32.758384668035497</v>
      </c>
      <c r="R100" s="2">
        <v>200</v>
      </c>
    </row>
    <row r="101" spans="1:18" x14ac:dyDescent="0.2">
      <c r="A101" t="s">
        <v>507</v>
      </c>
      <c r="B101" t="s">
        <v>614</v>
      </c>
      <c r="C101" t="s">
        <v>627</v>
      </c>
      <c r="D101" t="s">
        <v>570</v>
      </c>
      <c r="E101" t="s">
        <v>550</v>
      </c>
      <c r="F101">
        <v>40.5065023956194</v>
      </c>
      <c r="G101">
        <v>210</v>
      </c>
      <c r="H101" t="s">
        <v>576</v>
      </c>
      <c r="I101">
        <v>210</v>
      </c>
      <c r="J101">
        <v>0</v>
      </c>
      <c r="N101" s="2" t="s">
        <v>430</v>
      </c>
      <c r="O101" s="2" t="s">
        <v>613</v>
      </c>
      <c r="P101" s="2" t="s">
        <v>570</v>
      </c>
      <c r="Q101" s="12">
        <v>30.176591375769998</v>
      </c>
      <c r="R101" s="2">
        <v>210</v>
      </c>
    </row>
    <row r="102" spans="1:18" x14ac:dyDescent="0.2">
      <c r="A102" t="s">
        <v>501</v>
      </c>
      <c r="B102" t="s">
        <v>614</v>
      </c>
      <c r="C102" t="s">
        <v>627</v>
      </c>
      <c r="D102" t="s">
        <v>570</v>
      </c>
      <c r="E102" t="s">
        <v>549</v>
      </c>
      <c r="F102">
        <v>39.564681724845997</v>
      </c>
      <c r="G102">
        <v>210</v>
      </c>
      <c r="H102" t="s">
        <v>576</v>
      </c>
      <c r="I102">
        <v>210</v>
      </c>
      <c r="J102">
        <v>0</v>
      </c>
      <c r="N102" s="2" t="s">
        <v>422</v>
      </c>
      <c r="O102" s="2" t="s">
        <v>613</v>
      </c>
      <c r="P102" s="2" t="s">
        <v>570</v>
      </c>
      <c r="Q102" s="12">
        <v>28.843258042436599</v>
      </c>
      <c r="R102" s="2">
        <v>210</v>
      </c>
    </row>
    <row r="103" spans="1:18" x14ac:dyDescent="0.2">
      <c r="A103" t="s">
        <v>434</v>
      </c>
      <c r="B103" t="s">
        <v>614</v>
      </c>
      <c r="C103" t="s">
        <v>627</v>
      </c>
      <c r="D103" t="s">
        <v>570</v>
      </c>
      <c r="E103" t="s">
        <v>548</v>
      </c>
      <c r="F103">
        <v>30.579055441478399</v>
      </c>
      <c r="G103">
        <v>210</v>
      </c>
      <c r="H103" t="s">
        <v>576</v>
      </c>
      <c r="I103">
        <v>210</v>
      </c>
      <c r="J103">
        <v>0</v>
      </c>
      <c r="N103" s="2" t="s">
        <v>403</v>
      </c>
      <c r="O103" s="2" t="s">
        <v>608</v>
      </c>
      <c r="P103" s="2" t="s">
        <v>570</v>
      </c>
      <c r="Q103" s="12">
        <v>25.924709103353798</v>
      </c>
      <c r="R103" s="2">
        <v>210</v>
      </c>
    </row>
    <row r="104" spans="1:18" x14ac:dyDescent="0.2">
      <c r="A104" t="s">
        <v>427</v>
      </c>
      <c r="B104" t="s">
        <v>614</v>
      </c>
      <c r="C104" t="s">
        <v>627</v>
      </c>
      <c r="D104" t="s">
        <v>570</v>
      </c>
      <c r="E104" t="s">
        <v>547</v>
      </c>
      <c r="F104">
        <v>29.6974674880219</v>
      </c>
      <c r="G104">
        <v>210</v>
      </c>
      <c r="H104" t="s">
        <v>576</v>
      </c>
      <c r="I104">
        <v>210</v>
      </c>
      <c r="J104">
        <v>0</v>
      </c>
      <c r="N104" s="2" t="s">
        <v>397</v>
      </c>
      <c r="O104" s="2" t="s">
        <v>608</v>
      </c>
      <c r="P104" s="2" t="s">
        <v>570</v>
      </c>
      <c r="Q104" s="12">
        <v>24.591375770020498</v>
      </c>
      <c r="R104" s="2">
        <v>210</v>
      </c>
    </row>
    <row r="105" spans="1:18" x14ac:dyDescent="0.2">
      <c r="A105" t="s">
        <v>404</v>
      </c>
      <c r="B105" t="s">
        <v>614</v>
      </c>
      <c r="C105" t="s">
        <v>627</v>
      </c>
      <c r="D105" t="s">
        <v>570</v>
      </c>
      <c r="E105" t="s">
        <v>547</v>
      </c>
      <c r="F105">
        <v>26.094455852155999</v>
      </c>
      <c r="G105">
        <v>210</v>
      </c>
      <c r="H105" t="s">
        <v>576</v>
      </c>
      <c r="I105">
        <v>210</v>
      </c>
      <c r="J105">
        <v>0</v>
      </c>
      <c r="N105" s="2" t="s">
        <v>419</v>
      </c>
      <c r="O105" s="2" t="s">
        <v>615</v>
      </c>
      <c r="P105" s="2" t="s">
        <v>571</v>
      </c>
      <c r="Q105" s="12">
        <v>28.175222450376399</v>
      </c>
      <c r="R105" s="2">
        <v>210</v>
      </c>
    </row>
    <row r="106" spans="1:18" x14ac:dyDescent="0.2">
      <c r="A106" t="s">
        <v>400</v>
      </c>
      <c r="B106" t="s">
        <v>614</v>
      </c>
      <c r="C106" t="s">
        <v>627</v>
      </c>
      <c r="D106" t="s">
        <v>570</v>
      </c>
      <c r="E106" t="s">
        <v>547</v>
      </c>
      <c r="F106">
        <v>25.190965092402401</v>
      </c>
      <c r="G106">
        <v>210</v>
      </c>
      <c r="H106" t="s">
        <v>576</v>
      </c>
      <c r="I106">
        <v>210</v>
      </c>
      <c r="J106">
        <v>0</v>
      </c>
      <c r="N106" s="2" t="s">
        <v>408</v>
      </c>
      <c r="O106" s="2" t="s">
        <v>615</v>
      </c>
      <c r="P106" s="2" t="s">
        <v>571</v>
      </c>
      <c r="Q106" s="12">
        <v>26.176591375769998</v>
      </c>
      <c r="R106" s="2">
        <v>210</v>
      </c>
    </row>
    <row r="107" spans="1:18" x14ac:dyDescent="0.2">
      <c r="A107" t="s">
        <v>172</v>
      </c>
      <c r="B107" t="s">
        <v>614</v>
      </c>
      <c r="C107" t="s">
        <v>627</v>
      </c>
      <c r="D107" t="s">
        <v>570</v>
      </c>
      <c r="E107" t="s">
        <v>544</v>
      </c>
      <c r="F107">
        <v>10.590006844626901</v>
      </c>
      <c r="G107">
        <v>500</v>
      </c>
      <c r="H107" t="s">
        <v>598</v>
      </c>
      <c r="I107">
        <v>500</v>
      </c>
      <c r="J107">
        <v>0</v>
      </c>
      <c r="N107" s="2" t="s">
        <v>399</v>
      </c>
      <c r="O107" s="2" t="s">
        <v>615</v>
      </c>
      <c r="P107" s="2" t="s">
        <v>571</v>
      </c>
      <c r="Q107" s="12">
        <v>25.177275838466802</v>
      </c>
      <c r="R107" s="2">
        <v>210</v>
      </c>
    </row>
    <row r="108" spans="1:18" x14ac:dyDescent="0.2">
      <c r="A108" t="s">
        <v>306</v>
      </c>
      <c r="B108" t="s">
        <v>611</v>
      </c>
      <c r="C108" t="s">
        <v>626</v>
      </c>
      <c r="D108" t="s">
        <v>570</v>
      </c>
      <c r="E108" t="s">
        <v>544</v>
      </c>
      <c r="F108">
        <v>13.1772758384668</v>
      </c>
      <c r="G108">
        <v>250</v>
      </c>
      <c r="H108" t="s">
        <v>576</v>
      </c>
      <c r="I108">
        <v>250</v>
      </c>
      <c r="J108">
        <v>0</v>
      </c>
      <c r="N108" s="2" t="s">
        <v>394</v>
      </c>
      <c r="O108" s="2" t="s">
        <v>615</v>
      </c>
      <c r="P108" s="2" t="s">
        <v>571</v>
      </c>
      <c r="Q108" s="12">
        <v>24.175222450376399</v>
      </c>
      <c r="R108" s="2">
        <v>210</v>
      </c>
    </row>
    <row r="109" spans="1:18" x14ac:dyDescent="0.2">
      <c r="A109" t="s">
        <v>297</v>
      </c>
      <c r="B109" t="s">
        <v>611</v>
      </c>
      <c r="C109" t="s">
        <v>626</v>
      </c>
      <c r="D109" t="s">
        <v>570</v>
      </c>
      <c r="E109" t="s">
        <v>544</v>
      </c>
      <c r="F109">
        <v>12.4243668720054</v>
      </c>
      <c r="G109">
        <v>250</v>
      </c>
      <c r="H109" t="s">
        <v>576</v>
      </c>
      <c r="I109">
        <v>250</v>
      </c>
      <c r="J109">
        <v>0</v>
      </c>
      <c r="N109" s="2" t="s">
        <v>439</v>
      </c>
      <c r="O109" s="2" t="s">
        <v>617</v>
      </c>
      <c r="P109" s="2" t="s">
        <v>570</v>
      </c>
      <c r="Q109" s="12">
        <v>31.175906913073199</v>
      </c>
      <c r="R109" s="2">
        <v>210</v>
      </c>
    </row>
    <row r="110" spans="1:18" x14ac:dyDescent="0.2">
      <c r="A110" t="s">
        <v>161</v>
      </c>
      <c r="B110" t="s">
        <v>621</v>
      </c>
      <c r="C110" t="s">
        <v>625</v>
      </c>
      <c r="D110" t="s">
        <v>571</v>
      </c>
      <c r="E110" t="s">
        <v>543</v>
      </c>
      <c r="F110">
        <v>8.8432580424366805</v>
      </c>
      <c r="G110">
        <v>500</v>
      </c>
      <c r="H110" t="s">
        <v>598</v>
      </c>
      <c r="I110">
        <v>500</v>
      </c>
      <c r="J110">
        <v>0</v>
      </c>
      <c r="N110" s="2" t="s">
        <v>432</v>
      </c>
      <c r="O110" s="2" t="s">
        <v>617</v>
      </c>
      <c r="P110" s="2" t="s">
        <v>570</v>
      </c>
      <c r="Q110" s="12">
        <v>30.338124572210798</v>
      </c>
      <c r="R110" s="2">
        <v>210</v>
      </c>
    </row>
    <row r="111" spans="1:18" x14ac:dyDescent="0.2">
      <c r="A111" t="s">
        <v>152</v>
      </c>
      <c r="B111" t="s">
        <v>621</v>
      </c>
      <c r="C111" t="s">
        <v>625</v>
      </c>
      <c r="D111" t="s">
        <v>571</v>
      </c>
      <c r="E111" t="s">
        <v>543</v>
      </c>
      <c r="F111">
        <v>8.1752224503764506</v>
      </c>
      <c r="G111">
        <v>500</v>
      </c>
      <c r="H111" t="s">
        <v>598</v>
      </c>
      <c r="I111">
        <v>500</v>
      </c>
      <c r="J111">
        <v>0</v>
      </c>
      <c r="N111" s="2" t="s">
        <v>416</v>
      </c>
      <c r="O111" s="2" t="s">
        <v>621</v>
      </c>
      <c r="P111" s="2" t="s">
        <v>570</v>
      </c>
      <c r="Q111" s="12">
        <v>27.337440109513999</v>
      </c>
      <c r="R111" s="2">
        <v>210</v>
      </c>
    </row>
    <row r="112" spans="1:18" x14ac:dyDescent="0.2">
      <c r="A112" t="s">
        <v>484</v>
      </c>
      <c r="B112" t="s">
        <v>621</v>
      </c>
      <c r="C112" t="s">
        <v>625</v>
      </c>
      <c r="D112" t="s">
        <v>571</v>
      </c>
      <c r="E112" t="s">
        <v>549</v>
      </c>
      <c r="F112">
        <v>37.672826830937701</v>
      </c>
      <c r="G112">
        <v>220</v>
      </c>
      <c r="H112" t="s">
        <v>576</v>
      </c>
      <c r="I112">
        <v>220</v>
      </c>
      <c r="J112">
        <v>0</v>
      </c>
      <c r="N112" s="2" t="s">
        <v>428</v>
      </c>
      <c r="O112" s="2" t="s">
        <v>621</v>
      </c>
      <c r="P112" s="2" t="s">
        <v>570</v>
      </c>
      <c r="Q112" s="12">
        <v>29.7577002053388</v>
      </c>
      <c r="R112" s="2">
        <v>210</v>
      </c>
    </row>
    <row r="113" spans="1:18" x14ac:dyDescent="0.2">
      <c r="A113" t="s">
        <v>462</v>
      </c>
      <c r="B113" t="s">
        <v>621</v>
      </c>
      <c r="C113" t="s">
        <v>625</v>
      </c>
      <c r="D113" t="s">
        <v>571</v>
      </c>
      <c r="E113" t="s">
        <v>548</v>
      </c>
      <c r="F113">
        <v>34.338124572210802</v>
      </c>
      <c r="G113">
        <v>200</v>
      </c>
      <c r="H113" t="s">
        <v>576</v>
      </c>
      <c r="I113">
        <v>200</v>
      </c>
      <c r="J113">
        <v>0</v>
      </c>
      <c r="N113" s="2" t="s">
        <v>460</v>
      </c>
      <c r="O113" s="2" t="s">
        <v>621</v>
      </c>
      <c r="P113" s="2" t="s">
        <v>570</v>
      </c>
      <c r="Q113" s="12">
        <v>34.4229979466119</v>
      </c>
      <c r="R113" s="2">
        <v>210</v>
      </c>
    </row>
    <row r="114" spans="1:18" x14ac:dyDescent="0.2">
      <c r="A114" t="s">
        <v>454</v>
      </c>
      <c r="B114" t="s">
        <v>621</v>
      </c>
      <c r="C114" t="s">
        <v>625</v>
      </c>
      <c r="D114" t="s">
        <v>571</v>
      </c>
      <c r="E114" t="s">
        <v>548</v>
      </c>
      <c r="F114">
        <v>33.423682409308597</v>
      </c>
      <c r="G114">
        <v>200</v>
      </c>
      <c r="H114" t="s">
        <v>576</v>
      </c>
      <c r="I114">
        <v>200</v>
      </c>
      <c r="J114">
        <v>0</v>
      </c>
      <c r="N114" s="2" t="s">
        <v>475</v>
      </c>
      <c r="O114" s="2" t="s">
        <v>621</v>
      </c>
      <c r="P114" s="2" t="s">
        <v>570</v>
      </c>
      <c r="Q114" s="12">
        <v>36.339493497604302</v>
      </c>
      <c r="R114" s="2">
        <v>210</v>
      </c>
    </row>
    <row r="115" spans="1:18" x14ac:dyDescent="0.2">
      <c r="A115" t="s">
        <v>450</v>
      </c>
      <c r="B115" t="s">
        <v>621</v>
      </c>
      <c r="C115" t="s">
        <v>625</v>
      </c>
      <c r="D115" t="s">
        <v>571</v>
      </c>
      <c r="E115" t="s">
        <v>548</v>
      </c>
      <c r="F115">
        <v>32.758384668035497</v>
      </c>
      <c r="G115">
        <v>200</v>
      </c>
      <c r="H115" t="s">
        <v>576</v>
      </c>
      <c r="I115">
        <v>200</v>
      </c>
      <c r="J115">
        <v>0</v>
      </c>
      <c r="N115" s="2" t="s">
        <v>409</v>
      </c>
      <c r="O115" s="2" t="s">
        <v>621</v>
      </c>
      <c r="P115" s="2" t="s">
        <v>570</v>
      </c>
      <c r="Q115" s="12">
        <v>26.4229979466119</v>
      </c>
      <c r="R115" s="2">
        <v>210</v>
      </c>
    </row>
    <row r="116" spans="1:18" x14ac:dyDescent="0.2">
      <c r="A116" t="s">
        <v>331</v>
      </c>
      <c r="B116" t="s">
        <v>621</v>
      </c>
      <c r="C116" t="s">
        <v>625</v>
      </c>
      <c r="D116" t="s">
        <v>571</v>
      </c>
      <c r="E116" t="s">
        <v>547</v>
      </c>
      <c r="F116">
        <v>27.671457905544099</v>
      </c>
      <c r="G116">
        <v>500</v>
      </c>
      <c r="H116" t="s">
        <v>598</v>
      </c>
      <c r="I116">
        <v>500</v>
      </c>
      <c r="J116">
        <v>0</v>
      </c>
      <c r="N116" s="2" t="s">
        <v>425</v>
      </c>
      <c r="O116" s="2" t="s">
        <v>621</v>
      </c>
      <c r="P116" s="2" t="s">
        <v>570</v>
      </c>
      <c r="Q116" s="12">
        <v>29.177275838466802</v>
      </c>
      <c r="R116" s="2">
        <v>210</v>
      </c>
    </row>
    <row r="117" spans="1:18" x14ac:dyDescent="0.2">
      <c r="A117" t="s">
        <v>321</v>
      </c>
      <c r="B117" t="s">
        <v>621</v>
      </c>
      <c r="C117" t="s">
        <v>625</v>
      </c>
      <c r="D117" t="s">
        <v>571</v>
      </c>
      <c r="E117" t="s">
        <v>547</v>
      </c>
      <c r="F117">
        <v>26.2532511978097</v>
      </c>
      <c r="G117">
        <v>500</v>
      </c>
      <c r="H117" t="s">
        <v>598</v>
      </c>
      <c r="I117">
        <v>500</v>
      </c>
      <c r="J117">
        <v>0</v>
      </c>
      <c r="N117" s="2" t="s">
        <v>495</v>
      </c>
      <c r="O117" s="2" t="s">
        <v>617</v>
      </c>
      <c r="P117" s="2" t="s">
        <v>570</v>
      </c>
      <c r="Q117" s="12">
        <v>38.176591375770002</v>
      </c>
      <c r="R117" s="2">
        <v>210</v>
      </c>
    </row>
    <row r="118" spans="1:18" x14ac:dyDescent="0.2">
      <c r="A118" t="s">
        <v>165</v>
      </c>
      <c r="B118" t="s">
        <v>621</v>
      </c>
      <c r="C118" t="s">
        <v>625</v>
      </c>
      <c r="D118" t="s">
        <v>571</v>
      </c>
      <c r="E118" t="s">
        <v>543</v>
      </c>
      <c r="F118">
        <v>9.1772758384667998</v>
      </c>
      <c r="G118">
        <v>500</v>
      </c>
      <c r="H118" t="s">
        <v>598</v>
      </c>
      <c r="I118">
        <v>500</v>
      </c>
      <c r="J118">
        <v>0</v>
      </c>
      <c r="N118" s="2" t="s">
        <v>487</v>
      </c>
      <c r="O118" s="2" t="s">
        <v>617</v>
      </c>
      <c r="P118" s="2" t="s">
        <v>570</v>
      </c>
      <c r="Q118" s="12">
        <v>37.338809034907598</v>
      </c>
      <c r="R118" s="2">
        <v>210</v>
      </c>
    </row>
    <row r="119" spans="1:18" x14ac:dyDescent="0.2">
      <c r="A119" t="s">
        <v>2</v>
      </c>
      <c r="B119" t="s">
        <v>609</v>
      </c>
      <c r="C119" t="s">
        <v>626</v>
      </c>
      <c r="D119" t="s">
        <v>571</v>
      </c>
      <c r="E119" t="s">
        <v>542</v>
      </c>
      <c r="F119">
        <v>1.06776180698151</v>
      </c>
      <c r="G119">
        <v>800</v>
      </c>
      <c r="H119" t="s">
        <v>598</v>
      </c>
      <c r="I119">
        <v>800</v>
      </c>
      <c r="J119">
        <v>0</v>
      </c>
      <c r="N119" s="2" t="s">
        <v>491</v>
      </c>
      <c r="O119" s="2" t="s">
        <v>611</v>
      </c>
      <c r="P119" s="2" t="s">
        <v>571</v>
      </c>
      <c r="Q119" s="12">
        <v>37.2539356605065</v>
      </c>
      <c r="R119" s="2">
        <v>200</v>
      </c>
    </row>
    <row r="120" spans="1:18" x14ac:dyDescent="0.2">
      <c r="A120" t="s">
        <v>430</v>
      </c>
      <c r="B120" t="s">
        <v>613</v>
      </c>
      <c r="C120" t="s">
        <v>626</v>
      </c>
      <c r="D120" t="s">
        <v>570</v>
      </c>
      <c r="E120" t="s">
        <v>548</v>
      </c>
      <c r="F120">
        <v>30.176591375769998</v>
      </c>
      <c r="G120">
        <v>210</v>
      </c>
      <c r="H120" t="s">
        <v>576</v>
      </c>
      <c r="I120">
        <v>210</v>
      </c>
      <c r="J120">
        <v>0</v>
      </c>
      <c r="N120" s="2" t="s">
        <v>483</v>
      </c>
      <c r="O120" s="2" t="s">
        <v>611</v>
      </c>
      <c r="P120" s="2" t="s">
        <v>571</v>
      </c>
      <c r="Q120" s="12">
        <v>36.591375770020498</v>
      </c>
      <c r="R120" s="2">
        <v>200</v>
      </c>
    </row>
    <row r="121" spans="1:18" x14ac:dyDescent="0.2">
      <c r="A121" t="s">
        <v>422</v>
      </c>
      <c r="B121" t="s">
        <v>613</v>
      </c>
      <c r="C121" t="s">
        <v>626</v>
      </c>
      <c r="D121" t="s">
        <v>570</v>
      </c>
      <c r="E121" t="s">
        <v>547</v>
      </c>
      <c r="F121">
        <v>28.843258042436599</v>
      </c>
      <c r="G121">
        <v>210</v>
      </c>
      <c r="H121" t="s">
        <v>576</v>
      </c>
      <c r="I121">
        <v>210</v>
      </c>
      <c r="J121">
        <v>0</v>
      </c>
      <c r="N121" s="2" t="s">
        <v>479</v>
      </c>
      <c r="O121" s="2" t="s">
        <v>611</v>
      </c>
      <c r="P121" s="2" t="s">
        <v>571</v>
      </c>
      <c r="Q121" s="12">
        <v>36.175222450376403</v>
      </c>
      <c r="R121" s="2">
        <v>200</v>
      </c>
    </row>
    <row r="122" spans="1:18" x14ac:dyDescent="0.2">
      <c r="A122" t="s">
        <v>383</v>
      </c>
      <c r="B122" t="s">
        <v>613</v>
      </c>
      <c r="C122" t="s">
        <v>626</v>
      </c>
      <c r="D122" t="s">
        <v>570</v>
      </c>
      <c r="E122" t="s">
        <v>546</v>
      </c>
      <c r="F122">
        <v>22.176591375769998</v>
      </c>
      <c r="G122">
        <v>210</v>
      </c>
      <c r="H122" t="s">
        <v>576</v>
      </c>
      <c r="I122">
        <v>210</v>
      </c>
      <c r="J122">
        <v>0</v>
      </c>
      <c r="N122" s="2" t="s">
        <v>393</v>
      </c>
      <c r="O122" s="2" t="s">
        <v>621</v>
      </c>
      <c r="P122" s="2" t="s">
        <v>571</v>
      </c>
      <c r="Q122" s="12">
        <v>24.175222450376399</v>
      </c>
      <c r="R122" s="2">
        <v>210</v>
      </c>
    </row>
    <row r="123" spans="1:18" x14ac:dyDescent="0.2">
      <c r="A123" t="s">
        <v>385</v>
      </c>
      <c r="B123" t="s">
        <v>618</v>
      </c>
      <c r="C123" t="s">
        <v>628</v>
      </c>
      <c r="D123" t="s">
        <v>570</v>
      </c>
      <c r="E123" t="s">
        <v>546</v>
      </c>
      <c r="F123">
        <v>22.4229979466119</v>
      </c>
      <c r="G123">
        <v>210</v>
      </c>
      <c r="H123" t="s">
        <v>576</v>
      </c>
      <c r="I123">
        <v>210</v>
      </c>
      <c r="J123">
        <v>0</v>
      </c>
      <c r="N123" s="2" t="s">
        <v>387</v>
      </c>
      <c r="O123" s="2" t="s">
        <v>621</v>
      </c>
      <c r="P123" s="2" t="s">
        <v>571</v>
      </c>
      <c r="Q123" s="12">
        <v>23.175906913073199</v>
      </c>
      <c r="R123" s="2">
        <v>210</v>
      </c>
    </row>
    <row r="124" spans="1:18" x14ac:dyDescent="0.2">
      <c r="A124" t="s">
        <v>381</v>
      </c>
      <c r="B124" t="s">
        <v>618</v>
      </c>
      <c r="C124" t="s">
        <v>628</v>
      </c>
      <c r="D124" t="s">
        <v>570</v>
      </c>
      <c r="E124" t="s">
        <v>546</v>
      </c>
      <c r="F124">
        <v>21.590691307323699</v>
      </c>
      <c r="G124">
        <v>210</v>
      </c>
      <c r="H124" t="s">
        <v>576</v>
      </c>
      <c r="I124">
        <v>210</v>
      </c>
      <c r="J124">
        <v>0</v>
      </c>
      <c r="N124" s="2" t="s">
        <v>509</v>
      </c>
      <c r="O124" s="2" t="s">
        <v>617</v>
      </c>
      <c r="P124" s="2" t="s">
        <v>570</v>
      </c>
      <c r="Q124" s="12">
        <v>41.0924024640657</v>
      </c>
      <c r="R124" s="2">
        <v>210</v>
      </c>
    </row>
    <row r="125" spans="1:18" x14ac:dyDescent="0.2">
      <c r="A125" t="s">
        <v>296</v>
      </c>
      <c r="B125" t="s">
        <v>618</v>
      </c>
      <c r="C125" t="s">
        <v>628</v>
      </c>
      <c r="D125" t="s">
        <v>570</v>
      </c>
      <c r="E125" t="s">
        <v>544</v>
      </c>
      <c r="F125">
        <v>12.3394934976043</v>
      </c>
      <c r="G125">
        <v>250</v>
      </c>
      <c r="H125" t="s">
        <v>576</v>
      </c>
      <c r="I125">
        <v>250</v>
      </c>
      <c r="J125">
        <v>0</v>
      </c>
      <c r="N125" s="2" t="s">
        <v>505</v>
      </c>
      <c r="O125" s="2" t="s">
        <v>617</v>
      </c>
      <c r="P125" s="2" t="s">
        <v>570</v>
      </c>
      <c r="Q125" s="12">
        <v>39.841204654346299</v>
      </c>
      <c r="R125" s="2">
        <v>210</v>
      </c>
    </row>
    <row r="126" spans="1:18" x14ac:dyDescent="0.2">
      <c r="A126" t="s">
        <v>288</v>
      </c>
      <c r="B126" t="s">
        <v>618</v>
      </c>
      <c r="C126" t="s">
        <v>628</v>
      </c>
      <c r="D126" t="s">
        <v>570</v>
      </c>
      <c r="E126" t="s">
        <v>544</v>
      </c>
      <c r="F126">
        <v>11.841204654346299</v>
      </c>
      <c r="G126">
        <v>250</v>
      </c>
      <c r="H126" t="s">
        <v>576</v>
      </c>
      <c r="I126">
        <v>250</v>
      </c>
      <c r="J126">
        <v>0</v>
      </c>
      <c r="N126" s="2" t="s">
        <v>499</v>
      </c>
      <c r="O126" s="2" t="s">
        <v>617</v>
      </c>
      <c r="P126" s="2" t="s">
        <v>570</v>
      </c>
      <c r="Q126" s="12">
        <v>39.337440109513999</v>
      </c>
      <c r="R126" s="2">
        <v>210</v>
      </c>
    </row>
    <row r="127" spans="1:18" x14ac:dyDescent="0.2">
      <c r="A127" t="s">
        <v>220</v>
      </c>
      <c r="B127" t="s">
        <v>617</v>
      </c>
      <c r="C127" t="s">
        <v>626</v>
      </c>
      <c r="D127" t="s">
        <v>572</v>
      </c>
      <c r="E127" t="s">
        <v>543</v>
      </c>
      <c r="F127">
        <v>7.2525667351129304</v>
      </c>
      <c r="G127">
        <v>300</v>
      </c>
      <c r="H127" t="s">
        <v>598</v>
      </c>
      <c r="I127">
        <v>300</v>
      </c>
      <c r="J127">
        <v>0</v>
      </c>
      <c r="N127" s="2" t="s">
        <v>515</v>
      </c>
      <c r="O127" s="2" t="s">
        <v>634</v>
      </c>
      <c r="P127" s="2" t="s">
        <v>570</v>
      </c>
      <c r="Q127" s="12">
        <v>41.338809034907598</v>
      </c>
      <c r="R127" s="2">
        <v>200</v>
      </c>
    </row>
    <row r="128" spans="1:18" x14ac:dyDescent="0.2">
      <c r="A128" t="s">
        <v>214</v>
      </c>
      <c r="B128" t="s">
        <v>617</v>
      </c>
      <c r="C128" t="s">
        <v>626</v>
      </c>
      <c r="D128" t="s">
        <v>572</v>
      </c>
      <c r="E128" t="s">
        <v>543</v>
      </c>
      <c r="F128">
        <v>6.7570157426420199</v>
      </c>
      <c r="G128">
        <v>300</v>
      </c>
      <c r="H128" t="s">
        <v>598</v>
      </c>
      <c r="I128">
        <v>300</v>
      </c>
      <c r="J128">
        <v>0</v>
      </c>
      <c r="N128" s="2" t="s">
        <v>516</v>
      </c>
      <c r="O128" s="2" t="s">
        <v>634</v>
      </c>
      <c r="P128" s="2" t="s">
        <v>570</v>
      </c>
      <c r="Q128" s="12">
        <v>42.4229979466119</v>
      </c>
      <c r="R128" s="2">
        <v>200</v>
      </c>
    </row>
    <row r="129" spans="1:18" x14ac:dyDescent="0.2">
      <c r="A129" t="s">
        <v>203</v>
      </c>
      <c r="B129" t="s">
        <v>618</v>
      </c>
      <c r="C129" t="s">
        <v>628</v>
      </c>
      <c r="D129" t="s">
        <v>572</v>
      </c>
      <c r="E129" t="s">
        <v>542</v>
      </c>
      <c r="F129">
        <v>4.2546201232032796</v>
      </c>
      <c r="G129">
        <v>270</v>
      </c>
      <c r="H129" t="s">
        <v>598</v>
      </c>
      <c r="I129">
        <v>270</v>
      </c>
      <c r="J129">
        <v>0</v>
      </c>
      <c r="N129" s="2" t="s">
        <v>502</v>
      </c>
      <c r="O129" s="2" t="s">
        <v>634</v>
      </c>
      <c r="P129" s="2" t="s">
        <v>570</v>
      </c>
      <c r="Q129" s="12">
        <v>39.175906913073199</v>
      </c>
      <c r="R129" s="2">
        <v>200</v>
      </c>
    </row>
    <row r="130" spans="1:18" x14ac:dyDescent="0.2">
      <c r="A130" t="s">
        <v>202</v>
      </c>
      <c r="B130" t="s">
        <v>618</v>
      </c>
      <c r="C130" t="s">
        <v>628</v>
      </c>
      <c r="D130" t="s">
        <v>572</v>
      </c>
      <c r="E130" t="s">
        <v>542</v>
      </c>
      <c r="F130">
        <v>4.1752224503764497</v>
      </c>
      <c r="G130">
        <v>270</v>
      </c>
      <c r="H130" t="s">
        <v>598</v>
      </c>
      <c r="I130">
        <v>270</v>
      </c>
      <c r="J130">
        <v>0</v>
      </c>
      <c r="N130" s="2" t="s">
        <v>496</v>
      </c>
      <c r="O130" s="2" t="s">
        <v>634</v>
      </c>
      <c r="P130" s="2" t="s">
        <v>570</v>
      </c>
      <c r="Q130" s="12">
        <v>37.842573579739899</v>
      </c>
      <c r="R130" s="2">
        <v>200</v>
      </c>
    </row>
    <row r="131" spans="1:18" x14ac:dyDescent="0.2">
      <c r="A131" t="s">
        <v>201</v>
      </c>
      <c r="B131" t="s">
        <v>621</v>
      </c>
      <c r="C131" t="s">
        <v>625</v>
      </c>
      <c r="D131" t="s">
        <v>572</v>
      </c>
      <c r="E131" t="s">
        <v>543</v>
      </c>
      <c r="F131">
        <v>5.3388090349075901</v>
      </c>
      <c r="G131">
        <v>300</v>
      </c>
      <c r="H131" t="s">
        <v>598</v>
      </c>
      <c r="J131">
        <v>300</v>
      </c>
      <c r="N131" s="2" t="s">
        <v>506</v>
      </c>
      <c r="O131" s="2" t="s">
        <v>634</v>
      </c>
      <c r="P131" s="2" t="s">
        <v>570</v>
      </c>
      <c r="Q131" s="12">
        <v>39.589322381930103</v>
      </c>
      <c r="R131" s="2">
        <v>200</v>
      </c>
    </row>
    <row r="132" spans="1:18" x14ac:dyDescent="0.2">
      <c r="A132" t="s">
        <v>198</v>
      </c>
      <c r="B132" t="s">
        <v>621</v>
      </c>
      <c r="C132" t="s">
        <v>625</v>
      </c>
      <c r="D132" t="s">
        <v>572</v>
      </c>
      <c r="E132" t="s">
        <v>543</v>
      </c>
      <c r="F132">
        <v>5.2539356605065004</v>
      </c>
      <c r="G132">
        <v>300</v>
      </c>
      <c r="H132" t="s">
        <v>598</v>
      </c>
      <c r="J132">
        <v>300</v>
      </c>
      <c r="N132" s="2" t="s">
        <v>482</v>
      </c>
      <c r="O132" s="2" t="s">
        <v>610</v>
      </c>
      <c r="P132" s="2" t="s">
        <v>571</v>
      </c>
      <c r="Q132" s="12">
        <v>36.591375770020498</v>
      </c>
      <c r="R132" s="2">
        <v>200</v>
      </c>
    </row>
    <row r="133" spans="1:18" x14ac:dyDescent="0.2">
      <c r="A133" t="s">
        <v>520</v>
      </c>
      <c r="B133" t="s">
        <v>634</v>
      </c>
      <c r="C133" t="s">
        <v>628</v>
      </c>
      <c r="D133" t="s">
        <v>570</v>
      </c>
      <c r="E133" t="s">
        <v>550</v>
      </c>
      <c r="F133">
        <v>42.176591375770002</v>
      </c>
      <c r="G133">
        <v>105</v>
      </c>
      <c r="H133" t="s">
        <v>576</v>
      </c>
      <c r="I133">
        <v>94</v>
      </c>
      <c r="J133">
        <v>11</v>
      </c>
      <c r="N133" s="2" t="s">
        <v>476</v>
      </c>
      <c r="O133" s="2" t="s">
        <v>610</v>
      </c>
      <c r="P133" s="2" t="s">
        <v>571</v>
      </c>
      <c r="Q133" s="12">
        <v>36.008213552361397</v>
      </c>
      <c r="R133" s="2">
        <v>200</v>
      </c>
    </row>
    <row r="134" spans="1:18" x14ac:dyDescent="0.2">
      <c r="A134" t="s">
        <v>260</v>
      </c>
      <c r="B134" t="s">
        <v>634</v>
      </c>
      <c r="C134" t="s">
        <v>628</v>
      </c>
      <c r="D134" t="s">
        <v>570</v>
      </c>
      <c r="E134" t="s">
        <v>543</v>
      </c>
      <c r="F134">
        <v>8.6735112936344905</v>
      </c>
      <c r="G134">
        <v>250</v>
      </c>
      <c r="H134" t="s">
        <v>598</v>
      </c>
      <c r="I134">
        <v>202.5</v>
      </c>
      <c r="J134">
        <v>47.5</v>
      </c>
      <c r="N134" s="2" t="s">
        <v>470</v>
      </c>
      <c r="O134" s="2" t="s">
        <v>610</v>
      </c>
      <c r="P134" s="2" t="s">
        <v>571</v>
      </c>
      <c r="Q134" s="12">
        <v>35.422313483915097</v>
      </c>
      <c r="R134" s="2">
        <v>200</v>
      </c>
    </row>
    <row r="135" spans="1:18" x14ac:dyDescent="0.2">
      <c r="A135" t="s">
        <v>255</v>
      </c>
      <c r="B135" t="s">
        <v>634</v>
      </c>
      <c r="C135" t="s">
        <v>628</v>
      </c>
      <c r="D135" t="s">
        <v>570</v>
      </c>
      <c r="E135" t="s">
        <v>543</v>
      </c>
      <c r="F135">
        <v>8.00821355236139</v>
      </c>
      <c r="G135">
        <v>250</v>
      </c>
      <c r="H135" t="s">
        <v>598</v>
      </c>
      <c r="I135">
        <v>202.5</v>
      </c>
      <c r="J135">
        <v>47.5</v>
      </c>
      <c r="N135" s="2" t="s">
        <v>407</v>
      </c>
      <c r="O135" s="2" t="s">
        <v>614</v>
      </c>
      <c r="P135" s="2" t="s">
        <v>570</v>
      </c>
      <c r="Q135" s="12">
        <v>26.176591375769998</v>
      </c>
      <c r="R135" s="2">
        <v>210</v>
      </c>
    </row>
    <row r="136" spans="1:18" x14ac:dyDescent="0.2">
      <c r="A136" t="s">
        <v>403</v>
      </c>
      <c r="B136" t="s">
        <v>608</v>
      </c>
      <c r="C136" t="s">
        <v>625</v>
      </c>
      <c r="D136" t="s">
        <v>570</v>
      </c>
      <c r="E136" t="s">
        <v>547</v>
      </c>
      <c r="F136">
        <v>25.924709103353798</v>
      </c>
      <c r="G136">
        <v>210</v>
      </c>
      <c r="H136" t="s">
        <v>576</v>
      </c>
      <c r="I136">
        <v>210</v>
      </c>
      <c r="J136">
        <v>0</v>
      </c>
      <c r="N136" s="2" t="s">
        <v>401</v>
      </c>
      <c r="O136" s="2" t="s">
        <v>614</v>
      </c>
      <c r="P136" s="2" t="s">
        <v>570</v>
      </c>
      <c r="Q136" s="12">
        <v>25.2539356605065</v>
      </c>
      <c r="R136" s="2">
        <v>210</v>
      </c>
    </row>
    <row r="137" spans="1:18" x14ac:dyDescent="0.2">
      <c r="A137" t="s">
        <v>397</v>
      </c>
      <c r="B137" t="s">
        <v>608</v>
      </c>
      <c r="C137" t="s">
        <v>625</v>
      </c>
      <c r="D137" t="s">
        <v>570</v>
      </c>
      <c r="E137" t="s">
        <v>546</v>
      </c>
      <c r="F137">
        <v>24.591375770020498</v>
      </c>
      <c r="G137">
        <v>210</v>
      </c>
      <c r="H137" t="s">
        <v>576</v>
      </c>
      <c r="I137">
        <v>210</v>
      </c>
      <c r="J137">
        <v>0</v>
      </c>
      <c r="N137" s="2" t="s">
        <v>518</v>
      </c>
      <c r="O137" s="2" t="s">
        <v>613</v>
      </c>
      <c r="P137" s="2" t="s">
        <v>572</v>
      </c>
      <c r="Q137" s="12">
        <v>41.590691307323702</v>
      </c>
      <c r="R137" s="2">
        <v>120</v>
      </c>
    </row>
    <row r="138" spans="1:18" x14ac:dyDescent="0.2">
      <c r="A138" t="s">
        <v>16</v>
      </c>
      <c r="B138" t="s">
        <v>608</v>
      </c>
      <c r="C138" t="s">
        <v>625</v>
      </c>
      <c r="D138" t="s">
        <v>570</v>
      </c>
      <c r="E138" t="s">
        <v>542</v>
      </c>
      <c r="F138">
        <v>0.84052019164955505</v>
      </c>
      <c r="G138">
        <v>660</v>
      </c>
      <c r="H138" t="s">
        <v>598</v>
      </c>
      <c r="I138">
        <v>660</v>
      </c>
      <c r="J138">
        <v>0</v>
      </c>
      <c r="N138" s="2" t="s">
        <v>498</v>
      </c>
      <c r="O138" s="2" t="s">
        <v>613</v>
      </c>
      <c r="P138" s="2" t="s">
        <v>572</v>
      </c>
      <c r="Q138" s="12">
        <v>35.422313483915097</v>
      </c>
      <c r="R138" s="2">
        <v>121</v>
      </c>
    </row>
    <row r="139" spans="1:18" x14ac:dyDescent="0.2">
      <c r="A139" t="s">
        <v>14</v>
      </c>
      <c r="B139" t="s">
        <v>608</v>
      </c>
      <c r="C139" t="s">
        <v>625</v>
      </c>
      <c r="D139" t="s">
        <v>570</v>
      </c>
      <c r="E139" t="s">
        <v>542</v>
      </c>
      <c r="F139">
        <v>0.67898699520876105</v>
      </c>
      <c r="G139">
        <v>660</v>
      </c>
      <c r="H139" t="s">
        <v>598</v>
      </c>
      <c r="I139">
        <v>660</v>
      </c>
      <c r="J139">
        <v>0</v>
      </c>
      <c r="N139" s="2" t="s">
        <v>469</v>
      </c>
      <c r="O139" s="2" t="s">
        <v>613</v>
      </c>
      <c r="P139" s="2" t="s">
        <v>572</v>
      </c>
      <c r="Q139" s="12">
        <v>31.671457905544099</v>
      </c>
      <c r="R139" s="2">
        <v>121</v>
      </c>
    </row>
    <row r="140" spans="1:18" x14ac:dyDescent="0.2">
      <c r="A140" t="s">
        <v>167</v>
      </c>
      <c r="B140" t="s">
        <v>619</v>
      </c>
      <c r="C140" t="s">
        <v>628</v>
      </c>
      <c r="D140" t="s">
        <v>571</v>
      </c>
      <c r="E140" t="s">
        <v>543</v>
      </c>
      <c r="F140">
        <v>9.5906913073237501</v>
      </c>
      <c r="G140">
        <v>500</v>
      </c>
      <c r="H140" t="s">
        <v>598</v>
      </c>
      <c r="I140">
        <v>500</v>
      </c>
      <c r="J140">
        <v>0</v>
      </c>
      <c r="N140" s="2" t="s">
        <v>413</v>
      </c>
      <c r="O140" s="2" t="s">
        <v>609</v>
      </c>
      <c r="P140" s="2" t="s">
        <v>570</v>
      </c>
      <c r="Q140" s="12">
        <v>27.175906913073199</v>
      </c>
      <c r="R140" s="2">
        <v>210</v>
      </c>
    </row>
    <row r="141" spans="1:18" x14ac:dyDescent="0.2">
      <c r="A141" t="s">
        <v>158</v>
      </c>
      <c r="B141" t="s">
        <v>619</v>
      </c>
      <c r="C141" t="s">
        <v>628</v>
      </c>
      <c r="D141" t="s">
        <v>571</v>
      </c>
      <c r="E141" t="s">
        <v>543</v>
      </c>
      <c r="F141">
        <v>8.5065023956194299</v>
      </c>
      <c r="G141">
        <v>500</v>
      </c>
      <c r="H141" t="s">
        <v>598</v>
      </c>
      <c r="I141">
        <v>500</v>
      </c>
      <c r="J141">
        <v>0</v>
      </c>
      <c r="N141" s="2" t="s">
        <v>414</v>
      </c>
      <c r="O141" s="2" t="s">
        <v>609</v>
      </c>
      <c r="P141" s="2" t="s">
        <v>570</v>
      </c>
      <c r="Q141" s="12">
        <v>27.175906913073199</v>
      </c>
      <c r="R141" s="2">
        <v>210</v>
      </c>
    </row>
    <row r="142" spans="1:18" x14ac:dyDescent="0.2">
      <c r="A142" t="s">
        <v>147</v>
      </c>
      <c r="B142" t="s">
        <v>619</v>
      </c>
      <c r="C142" t="s">
        <v>628</v>
      </c>
      <c r="D142" t="s">
        <v>571</v>
      </c>
      <c r="E142" t="s">
        <v>543</v>
      </c>
      <c r="F142">
        <v>7.5044490075290797</v>
      </c>
      <c r="G142">
        <v>500</v>
      </c>
      <c r="H142" t="s">
        <v>598</v>
      </c>
      <c r="I142">
        <v>500</v>
      </c>
      <c r="J142">
        <v>0</v>
      </c>
      <c r="N142" s="39" t="s">
        <v>497</v>
      </c>
      <c r="O142" s="2" t="s">
        <v>634</v>
      </c>
      <c r="P142" s="2" t="s">
        <v>571</v>
      </c>
      <c r="Q142" s="12">
        <v>38.253251197809703</v>
      </c>
      <c r="R142" s="2">
        <v>200</v>
      </c>
    </row>
    <row r="143" spans="1:18" x14ac:dyDescent="0.2">
      <c r="A143" t="s">
        <v>80</v>
      </c>
      <c r="B143" t="s">
        <v>622</v>
      </c>
      <c r="C143" t="s">
        <v>627</v>
      </c>
      <c r="D143" t="s">
        <v>572</v>
      </c>
      <c r="E143" t="s">
        <v>542</v>
      </c>
      <c r="F143">
        <v>4.6735112936344896</v>
      </c>
      <c r="G143">
        <v>600</v>
      </c>
      <c r="H143" t="s">
        <v>598</v>
      </c>
      <c r="I143">
        <v>540</v>
      </c>
      <c r="J143">
        <v>60</v>
      </c>
      <c r="N143" s="39" t="s">
        <v>492</v>
      </c>
      <c r="O143" s="2" t="s">
        <v>634</v>
      </c>
      <c r="P143" s="2" t="s">
        <v>571</v>
      </c>
      <c r="Q143" s="12">
        <v>37.505817932922596</v>
      </c>
      <c r="R143" s="2">
        <v>200</v>
      </c>
    </row>
    <row r="144" spans="1:18" x14ac:dyDescent="0.2">
      <c r="A144" t="s">
        <v>68</v>
      </c>
      <c r="B144" t="s">
        <v>622</v>
      </c>
      <c r="C144" t="s">
        <v>627</v>
      </c>
      <c r="D144" t="s">
        <v>572</v>
      </c>
      <c r="E144" t="s">
        <v>542</v>
      </c>
      <c r="F144">
        <v>4.0903490759753502</v>
      </c>
      <c r="G144">
        <v>600</v>
      </c>
      <c r="H144" t="s">
        <v>598</v>
      </c>
      <c r="I144">
        <v>558</v>
      </c>
      <c r="J144">
        <v>42</v>
      </c>
      <c r="N144" s="39" t="s">
        <v>489</v>
      </c>
      <c r="O144" s="2" t="s">
        <v>634</v>
      </c>
      <c r="P144" s="2" t="s">
        <v>571</v>
      </c>
      <c r="Q144" s="12">
        <v>37.177275838466798</v>
      </c>
      <c r="R144" s="2">
        <v>200</v>
      </c>
    </row>
    <row r="145" spans="1:18" x14ac:dyDescent="0.2">
      <c r="A145" t="s">
        <v>388</v>
      </c>
      <c r="B145" t="s">
        <v>623</v>
      </c>
      <c r="C145" t="s">
        <v>625</v>
      </c>
      <c r="D145" t="s">
        <v>572</v>
      </c>
      <c r="E145" t="s">
        <v>545</v>
      </c>
      <c r="F145">
        <v>19.337440109513999</v>
      </c>
      <c r="G145">
        <v>120</v>
      </c>
      <c r="H145" t="s">
        <v>576</v>
      </c>
      <c r="J145">
        <v>120</v>
      </c>
      <c r="N145" s="39" t="s">
        <v>481</v>
      </c>
      <c r="O145" s="2" t="s">
        <v>634</v>
      </c>
      <c r="P145" s="2" t="s">
        <v>571</v>
      </c>
      <c r="Q145" s="12">
        <v>36.5065023956194</v>
      </c>
      <c r="R145" s="2">
        <v>200</v>
      </c>
    </row>
    <row r="146" spans="1:18" x14ac:dyDescent="0.2">
      <c r="A146" t="s">
        <v>384</v>
      </c>
      <c r="B146" t="s">
        <v>623</v>
      </c>
      <c r="C146" t="s">
        <v>625</v>
      </c>
      <c r="D146" t="s">
        <v>572</v>
      </c>
      <c r="E146" t="s">
        <v>545</v>
      </c>
      <c r="F146">
        <v>18.338124572210798</v>
      </c>
      <c r="G146">
        <v>120</v>
      </c>
      <c r="H146" t="s">
        <v>576</v>
      </c>
      <c r="J146">
        <v>120</v>
      </c>
      <c r="N146" s="39" t="s">
        <v>480</v>
      </c>
      <c r="O146" s="2" t="s">
        <v>634</v>
      </c>
      <c r="P146" s="2" t="s">
        <v>571</v>
      </c>
      <c r="Q146" s="12">
        <v>36.254620123203203</v>
      </c>
      <c r="R146" s="2">
        <v>200</v>
      </c>
    </row>
    <row r="147" spans="1:18" x14ac:dyDescent="0.2">
      <c r="A147" t="s">
        <v>250</v>
      </c>
      <c r="B147" t="s">
        <v>617</v>
      </c>
      <c r="C147" t="s">
        <v>626</v>
      </c>
      <c r="D147" t="s">
        <v>572</v>
      </c>
      <c r="E147" t="s">
        <v>543</v>
      </c>
      <c r="F147">
        <v>9.7577002053388</v>
      </c>
      <c r="G147">
        <v>300</v>
      </c>
      <c r="H147" t="s">
        <v>576</v>
      </c>
      <c r="I147">
        <v>300</v>
      </c>
      <c r="J147">
        <v>0</v>
      </c>
      <c r="N147" s="2" t="s">
        <v>467</v>
      </c>
      <c r="O147" s="2" t="s">
        <v>621</v>
      </c>
      <c r="P147" s="2" t="s">
        <v>572</v>
      </c>
      <c r="Q147" s="12">
        <v>29.0924024640657</v>
      </c>
      <c r="R147" s="2">
        <v>68</v>
      </c>
    </row>
    <row r="148" spans="1:18" x14ac:dyDescent="0.2">
      <c r="A148" t="s">
        <v>247</v>
      </c>
      <c r="B148" t="s">
        <v>617</v>
      </c>
      <c r="C148" t="s">
        <v>626</v>
      </c>
      <c r="D148" t="s">
        <v>572</v>
      </c>
      <c r="E148" t="s">
        <v>543</v>
      </c>
      <c r="F148">
        <v>9.4236824093086895</v>
      </c>
      <c r="G148">
        <v>300</v>
      </c>
      <c r="H148" t="s">
        <v>576</v>
      </c>
      <c r="J148">
        <v>300</v>
      </c>
      <c r="N148" s="2" t="s">
        <v>471</v>
      </c>
      <c r="O148" s="2" t="s">
        <v>621</v>
      </c>
      <c r="P148" s="2" t="s">
        <v>572</v>
      </c>
      <c r="Q148" s="12">
        <v>29.7577002053388</v>
      </c>
      <c r="R148" s="2">
        <v>68</v>
      </c>
    </row>
    <row r="149" spans="1:18" x14ac:dyDescent="0.2">
      <c r="A149" t="s">
        <v>242</v>
      </c>
      <c r="B149" t="s">
        <v>617</v>
      </c>
      <c r="C149" t="s">
        <v>626</v>
      </c>
      <c r="D149" t="s">
        <v>572</v>
      </c>
      <c r="E149" t="s">
        <v>543</v>
      </c>
      <c r="F149">
        <v>9.0102669404517393</v>
      </c>
      <c r="G149">
        <v>300</v>
      </c>
      <c r="H149" t="s">
        <v>576</v>
      </c>
      <c r="J149">
        <v>300</v>
      </c>
      <c r="N149" s="2" t="s">
        <v>514</v>
      </c>
      <c r="O149" s="2" t="s">
        <v>613</v>
      </c>
      <c r="P149" s="2" t="s">
        <v>570</v>
      </c>
      <c r="Q149" s="12">
        <v>41.338809034907598</v>
      </c>
      <c r="R149" s="2">
        <v>200</v>
      </c>
    </row>
    <row r="150" spans="1:18" x14ac:dyDescent="0.2">
      <c r="A150" t="s">
        <v>236</v>
      </c>
      <c r="B150" t="s">
        <v>617</v>
      </c>
      <c r="C150" t="s">
        <v>626</v>
      </c>
      <c r="D150" t="s">
        <v>572</v>
      </c>
      <c r="E150" t="s">
        <v>543</v>
      </c>
      <c r="F150">
        <v>8.5913757700205302</v>
      </c>
      <c r="G150">
        <v>300</v>
      </c>
      <c r="H150" t="s">
        <v>576</v>
      </c>
      <c r="J150">
        <v>300</v>
      </c>
      <c r="N150" s="2" t="s">
        <v>512</v>
      </c>
      <c r="O150" s="2" t="s">
        <v>613</v>
      </c>
      <c r="P150" s="2" t="s">
        <v>570</v>
      </c>
      <c r="Q150" s="12">
        <v>41.177275838466798</v>
      </c>
      <c r="R150" s="2">
        <v>200</v>
      </c>
    </row>
    <row r="151" spans="1:18" x14ac:dyDescent="0.2">
      <c r="A151" t="s">
        <v>419</v>
      </c>
      <c r="B151" t="s">
        <v>615</v>
      </c>
      <c r="C151" t="s">
        <v>625</v>
      </c>
      <c r="D151" t="s">
        <v>571</v>
      </c>
      <c r="E151" t="s">
        <v>547</v>
      </c>
      <c r="F151">
        <v>28.175222450376399</v>
      </c>
      <c r="G151">
        <v>210</v>
      </c>
      <c r="H151" t="s">
        <v>576</v>
      </c>
      <c r="I151">
        <v>210</v>
      </c>
      <c r="J151">
        <v>0</v>
      </c>
      <c r="N151" s="2" t="s">
        <v>466</v>
      </c>
      <c r="O151" s="2" t="s">
        <v>613</v>
      </c>
      <c r="P151" s="2" t="s">
        <v>570</v>
      </c>
      <c r="Q151" s="12">
        <v>35.337440109513999</v>
      </c>
      <c r="R151" s="2">
        <v>210</v>
      </c>
    </row>
    <row r="152" spans="1:18" x14ac:dyDescent="0.2">
      <c r="A152" t="s">
        <v>408</v>
      </c>
      <c r="B152" t="s">
        <v>615</v>
      </c>
      <c r="C152" t="s">
        <v>625</v>
      </c>
      <c r="D152" t="s">
        <v>571</v>
      </c>
      <c r="E152" t="s">
        <v>547</v>
      </c>
      <c r="F152">
        <v>26.176591375769998</v>
      </c>
      <c r="G152">
        <v>210</v>
      </c>
      <c r="H152" t="s">
        <v>576</v>
      </c>
      <c r="I152">
        <v>210</v>
      </c>
      <c r="J152">
        <v>0</v>
      </c>
      <c r="N152" s="2" t="s">
        <v>442</v>
      </c>
      <c r="O152" s="2" t="s">
        <v>634</v>
      </c>
      <c r="P152" s="2" t="s">
        <v>571</v>
      </c>
      <c r="Q152" s="12">
        <v>31.504449007529001</v>
      </c>
      <c r="R152" s="2">
        <v>210</v>
      </c>
    </row>
    <row r="153" spans="1:18" x14ac:dyDescent="0.2">
      <c r="A153" t="s">
        <v>399</v>
      </c>
      <c r="B153" t="s">
        <v>615</v>
      </c>
      <c r="C153" t="s">
        <v>625</v>
      </c>
      <c r="D153" t="s">
        <v>571</v>
      </c>
      <c r="E153" t="s">
        <v>547</v>
      </c>
      <c r="F153">
        <v>25.177275838466802</v>
      </c>
      <c r="G153">
        <v>210</v>
      </c>
      <c r="H153" t="s">
        <v>576</v>
      </c>
      <c r="I153">
        <v>210</v>
      </c>
      <c r="J153">
        <v>0</v>
      </c>
      <c r="N153" s="2" t="s">
        <v>437</v>
      </c>
      <c r="O153" s="2" t="s">
        <v>634</v>
      </c>
      <c r="P153" s="2" t="s">
        <v>571</v>
      </c>
      <c r="Q153" s="12">
        <v>31.175906913073199</v>
      </c>
      <c r="R153" s="2">
        <v>210</v>
      </c>
    </row>
    <row r="154" spans="1:18" x14ac:dyDescent="0.2">
      <c r="A154" t="s">
        <v>394</v>
      </c>
      <c r="B154" t="s">
        <v>615</v>
      </c>
      <c r="C154" t="s">
        <v>625</v>
      </c>
      <c r="D154" t="s">
        <v>571</v>
      </c>
      <c r="E154" t="s">
        <v>546</v>
      </c>
      <c r="F154">
        <v>24.175222450376399</v>
      </c>
      <c r="G154">
        <v>210</v>
      </c>
      <c r="H154" t="s">
        <v>576</v>
      </c>
      <c r="I154">
        <v>210</v>
      </c>
      <c r="J154">
        <v>0</v>
      </c>
      <c r="N154" s="2" t="s">
        <v>449</v>
      </c>
      <c r="O154" s="2" t="s">
        <v>609</v>
      </c>
      <c r="P154" s="2" t="s">
        <v>571</v>
      </c>
      <c r="Q154" s="12">
        <v>32.591375770020498</v>
      </c>
      <c r="R154" s="2">
        <v>210</v>
      </c>
    </row>
    <row r="155" spans="1:18" x14ac:dyDescent="0.2">
      <c r="A155" t="s">
        <v>191</v>
      </c>
      <c r="B155" t="s">
        <v>615</v>
      </c>
      <c r="C155" t="s">
        <v>625</v>
      </c>
      <c r="D155" t="s">
        <v>571</v>
      </c>
      <c r="E155" t="s">
        <v>544</v>
      </c>
      <c r="F155">
        <v>13.1772758384668</v>
      </c>
      <c r="G155">
        <v>500</v>
      </c>
      <c r="H155" t="s">
        <v>598</v>
      </c>
      <c r="I155">
        <v>500</v>
      </c>
      <c r="J155">
        <v>0</v>
      </c>
      <c r="N155" s="2" t="s">
        <v>444</v>
      </c>
      <c r="O155" s="2" t="s">
        <v>609</v>
      </c>
      <c r="P155" s="2" t="s">
        <v>571</v>
      </c>
      <c r="Q155" s="12">
        <v>31.841204654346299</v>
      </c>
      <c r="R155" s="2">
        <v>210</v>
      </c>
    </row>
    <row r="156" spans="1:18" x14ac:dyDescent="0.2">
      <c r="A156" t="s">
        <v>182</v>
      </c>
      <c r="B156" t="s">
        <v>615</v>
      </c>
      <c r="C156" t="s">
        <v>625</v>
      </c>
      <c r="D156" t="s">
        <v>571</v>
      </c>
      <c r="E156" t="s">
        <v>544</v>
      </c>
      <c r="F156">
        <v>12.175222450376401</v>
      </c>
      <c r="G156">
        <v>500</v>
      </c>
      <c r="H156" t="s">
        <v>598</v>
      </c>
      <c r="I156">
        <v>500</v>
      </c>
      <c r="J156">
        <v>0</v>
      </c>
      <c r="N156" s="2" t="s">
        <v>440</v>
      </c>
      <c r="O156" s="2" t="s">
        <v>609</v>
      </c>
      <c r="P156" s="2" t="s">
        <v>571</v>
      </c>
      <c r="Q156" s="12">
        <v>31.2525667351129</v>
      </c>
      <c r="R156" s="2">
        <v>210</v>
      </c>
    </row>
    <row r="157" spans="1:18" x14ac:dyDescent="0.2">
      <c r="A157" t="s">
        <v>175</v>
      </c>
      <c r="B157" t="s">
        <v>615</v>
      </c>
      <c r="C157" t="s">
        <v>625</v>
      </c>
      <c r="D157" t="s">
        <v>571</v>
      </c>
      <c r="E157" t="s">
        <v>544</v>
      </c>
      <c r="F157">
        <v>10.841889117043101</v>
      </c>
      <c r="G157">
        <v>500</v>
      </c>
      <c r="H157" t="s">
        <v>598</v>
      </c>
      <c r="I157">
        <v>500</v>
      </c>
      <c r="J157">
        <v>0</v>
      </c>
      <c r="N157" s="2" t="s">
        <v>433</v>
      </c>
      <c r="O157" s="2" t="s">
        <v>609</v>
      </c>
      <c r="P157" s="2" t="s">
        <v>571</v>
      </c>
      <c r="Q157" s="12">
        <v>30.4229979466119</v>
      </c>
      <c r="R157" s="2">
        <v>210</v>
      </c>
    </row>
    <row r="158" spans="1:18" x14ac:dyDescent="0.2">
      <c r="A158" t="s">
        <v>169</v>
      </c>
      <c r="B158" t="s">
        <v>610</v>
      </c>
      <c r="C158" t="s">
        <v>627</v>
      </c>
      <c r="D158" t="s">
        <v>570</v>
      </c>
      <c r="E158" t="s">
        <v>543</v>
      </c>
      <c r="F158">
        <v>10.009582477754901</v>
      </c>
      <c r="G158">
        <v>500</v>
      </c>
      <c r="H158" t="s">
        <v>598</v>
      </c>
      <c r="I158">
        <v>500</v>
      </c>
      <c r="J158">
        <v>0</v>
      </c>
      <c r="N158" s="2" t="s">
        <v>431</v>
      </c>
      <c r="O158" s="2" t="s">
        <v>609</v>
      </c>
      <c r="P158" s="2" t="s">
        <v>571</v>
      </c>
      <c r="Q158" s="12">
        <v>30.176591375769998</v>
      </c>
      <c r="R158" s="2">
        <v>210</v>
      </c>
    </row>
    <row r="159" spans="1:18" x14ac:dyDescent="0.2">
      <c r="A159" t="s">
        <v>78</v>
      </c>
      <c r="B159" t="s">
        <v>610</v>
      </c>
      <c r="C159" t="s">
        <v>627</v>
      </c>
      <c r="D159" t="s">
        <v>570</v>
      </c>
      <c r="E159" t="s">
        <v>542</v>
      </c>
      <c r="F159">
        <v>4.4243668720054696</v>
      </c>
      <c r="G159">
        <v>600</v>
      </c>
      <c r="H159" t="s">
        <v>598</v>
      </c>
      <c r="I159">
        <v>600</v>
      </c>
      <c r="J159">
        <v>0</v>
      </c>
      <c r="N159" s="2" t="s">
        <v>426</v>
      </c>
      <c r="O159" s="2" t="s">
        <v>609</v>
      </c>
      <c r="P159" s="2" t="s">
        <v>571</v>
      </c>
      <c r="Q159" s="12">
        <v>29.2539356605065</v>
      </c>
      <c r="R159" s="2">
        <v>210</v>
      </c>
    </row>
    <row r="160" spans="1:18" x14ac:dyDescent="0.2">
      <c r="A160" t="s">
        <v>101</v>
      </c>
      <c r="B160" t="s">
        <v>616</v>
      </c>
      <c r="C160" t="s">
        <v>628</v>
      </c>
      <c r="D160" t="s">
        <v>570</v>
      </c>
      <c r="E160" t="s">
        <v>543</v>
      </c>
      <c r="F160">
        <v>6.00958247775496</v>
      </c>
      <c r="G160">
        <v>600</v>
      </c>
      <c r="H160" t="s">
        <v>598</v>
      </c>
      <c r="I160">
        <v>600</v>
      </c>
      <c r="J160">
        <v>0</v>
      </c>
      <c r="N160" s="2" t="s">
        <v>494</v>
      </c>
      <c r="O160" s="2" t="s">
        <v>613</v>
      </c>
      <c r="P160" s="2" t="s">
        <v>570</v>
      </c>
      <c r="Q160" s="12">
        <v>38.176591375770002</v>
      </c>
      <c r="R160" s="2">
        <v>210</v>
      </c>
    </row>
    <row r="161" spans="1:18" x14ac:dyDescent="0.2">
      <c r="A161" t="s">
        <v>81</v>
      </c>
      <c r="B161" t="s">
        <v>616</v>
      </c>
      <c r="C161" t="s">
        <v>628</v>
      </c>
      <c r="D161" t="s">
        <v>570</v>
      </c>
      <c r="E161" t="s">
        <v>542</v>
      </c>
      <c r="F161">
        <v>4.9253935660506496</v>
      </c>
      <c r="G161">
        <v>600</v>
      </c>
      <c r="H161" t="s">
        <v>598</v>
      </c>
      <c r="I161">
        <v>600</v>
      </c>
      <c r="J161">
        <v>0</v>
      </c>
      <c r="N161" s="2" t="s">
        <v>485</v>
      </c>
      <c r="O161" s="2" t="s">
        <v>613</v>
      </c>
      <c r="P161" s="2" t="s">
        <v>570</v>
      </c>
      <c r="Q161" s="12">
        <v>37.338809034907598</v>
      </c>
      <c r="R161" s="2">
        <v>210</v>
      </c>
    </row>
    <row r="162" spans="1:18" x14ac:dyDescent="0.2">
      <c r="A162" t="s">
        <v>196</v>
      </c>
      <c r="B162" t="s">
        <v>608</v>
      </c>
      <c r="C162" t="s">
        <v>625</v>
      </c>
      <c r="D162" t="s">
        <v>572</v>
      </c>
      <c r="E162" t="s">
        <v>543</v>
      </c>
      <c r="F162">
        <v>7.1759069130732298</v>
      </c>
      <c r="G162">
        <v>350</v>
      </c>
      <c r="H162" t="s">
        <v>598</v>
      </c>
      <c r="I162">
        <v>87.333333333333329</v>
      </c>
      <c r="J162">
        <v>262.66666666666669</v>
      </c>
      <c r="N162" s="2" t="s">
        <v>472</v>
      </c>
      <c r="O162" s="2" t="s">
        <v>613</v>
      </c>
      <c r="P162" s="2" t="s">
        <v>570</v>
      </c>
      <c r="Q162" s="12">
        <v>36.175222450376403</v>
      </c>
      <c r="R162" s="2">
        <v>210</v>
      </c>
    </row>
    <row r="163" spans="1:18" x14ac:dyDescent="0.2">
      <c r="A163" t="s">
        <v>192</v>
      </c>
      <c r="B163" t="s">
        <v>608</v>
      </c>
      <c r="C163" t="s">
        <v>625</v>
      </c>
      <c r="D163" t="s">
        <v>572</v>
      </c>
      <c r="E163" t="s">
        <v>543</v>
      </c>
      <c r="F163">
        <v>6.6721423682409302</v>
      </c>
      <c r="G163">
        <v>350</v>
      </c>
      <c r="H163" t="s">
        <v>598</v>
      </c>
      <c r="I163">
        <v>87.333333333333329</v>
      </c>
      <c r="J163">
        <v>262.66666666666669</v>
      </c>
      <c r="N163" s="2" t="s">
        <v>455</v>
      </c>
      <c r="O163" s="2" t="s">
        <v>613</v>
      </c>
      <c r="P163" s="2" t="s">
        <v>570</v>
      </c>
      <c r="Q163" s="12">
        <v>34.176591375770002</v>
      </c>
      <c r="R163" s="2">
        <v>210</v>
      </c>
    </row>
    <row r="164" spans="1:18" x14ac:dyDescent="0.2">
      <c r="A164" t="s">
        <v>187</v>
      </c>
      <c r="B164" t="s">
        <v>608</v>
      </c>
      <c r="C164" t="s">
        <v>625</v>
      </c>
      <c r="D164" t="s">
        <v>572</v>
      </c>
      <c r="E164" t="s">
        <v>543</v>
      </c>
      <c r="F164">
        <v>6.1765913757700197</v>
      </c>
      <c r="G164">
        <v>350</v>
      </c>
      <c r="H164" t="s">
        <v>598</v>
      </c>
      <c r="I164">
        <v>87.333333333333329</v>
      </c>
      <c r="J164">
        <v>262.66666666666669</v>
      </c>
      <c r="N164" s="2" t="s">
        <v>453</v>
      </c>
      <c r="O164" s="2" t="s">
        <v>613</v>
      </c>
      <c r="P164" s="2" t="s">
        <v>570</v>
      </c>
      <c r="Q164" s="12">
        <v>33.672826830937701</v>
      </c>
      <c r="R164" s="2">
        <v>210</v>
      </c>
    </row>
    <row r="165" spans="1:18" x14ac:dyDescent="0.2">
      <c r="A165" t="s">
        <v>310</v>
      </c>
      <c r="B165" t="s">
        <v>611</v>
      </c>
      <c r="C165" t="s">
        <v>626</v>
      </c>
      <c r="D165" t="s">
        <v>572</v>
      </c>
      <c r="E165" t="s">
        <v>543</v>
      </c>
      <c r="F165">
        <v>8.4243668720054696</v>
      </c>
      <c r="G165">
        <v>135</v>
      </c>
      <c r="H165" t="s">
        <v>576</v>
      </c>
      <c r="I165">
        <v>135</v>
      </c>
      <c r="J165">
        <v>0</v>
      </c>
      <c r="N165" s="2" t="s">
        <v>448</v>
      </c>
      <c r="O165" s="2" t="s">
        <v>613</v>
      </c>
      <c r="P165" s="2" t="s">
        <v>570</v>
      </c>
      <c r="Q165" s="12">
        <v>32.5065023956194</v>
      </c>
      <c r="R165" s="2">
        <v>210</v>
      </c>
    </row>
    <row r="166" spans="1:18" x14ac:dyDescent="0.2">
      <c r="A166" t="s">
        <v>303</v>
      </c>
      <c r="B166" t="s">
        <v>611</v>
      </c>
      <c r="C166" t="s">
        <v>626</v>
      </c>
      <c r="D166" t="s">
        <v>572</v>
      </c>
      <c r="E166" t="s">
        <v>543</v>
      </c>
      <c r="F166">
        <v>7.9233401779603003</v>
      </c>
      <c r="G166">
        <v>135</v>
      </c>
      <c r="H166" t="s">
        <v>576</v>
      </c>
      <c r="I166">
        <v>135</v>
      </c>
      <c r="J166">
        <v>0</v>
      </c>
    </row>
    <row r="167" spans="1:18" x14ac:dyDescent="0.2">
      <c r="A167" t="s">
        <v>77</v>
      </c>
      <c r="B167" t="s">
        <v>616</v>
      </c>
      <c r="C167" t="s">
        <v>628</v>
      </c>
      <c r="D167" t="s">
        <v>572</v>
      </c>
      <c r="E167" t="s">
        <v>543</v>
      </c>
      <c r="F167">
        <v>7.0088980150581701</v>
      </c>
      <c r="G167">
        <v>660</v>
      </c>
      <c r="H167" t="s">
        <v>598</v>
      </c>
      <c r="I167">
        <v>660</v>
      </c>
      <c r="J167">
        <v>0</v>
      </c>
    </row>
    <row r="168" spans="1:18" x14ac:dyDescent="0.2">
      <c r="A168" t="s">
        <v>66</v>
      </c>
      <c r="B168" t="s">
        <v>616</v>
      </c>
      <c r="C168" t="s">
        <v>628</v>
      </c>
      <c r="D168" t="s">
        <v>572</v>
      </c>
      <c r="E168" t="s">
        <v>543</v>
      </c>
      <c r="F168">
        <v>6.4229979466118996</v>
      </c>
      <c r="G168">
        <v>660</v>
      </c>
      <c r="H168" t="s">
        <v>598</v>
      </c>
      <c r="I168">
        <v>660</v>
      </c>
      <c r="J168">
        <v>0</v>
      </c>
    </row>
    <row r="169" spans="1:18" x14ac:dyDescent="0.2">
      <c r="A169" t="s">
        <v>344</v>
      </c>
      <c r="B169" t="s">
        <v>634</v>
      </c>
      <c r="C169" t="s">
        <v>628</v>
      </c>
      <c r="D169" t="s">
        <v>572</v>
      </c>
      <c r="E169" t="s">
        <v>543</v>
      </c>
      <c r="F169">
        <v>8.5913757700205302</v>
      </c>
      <c r="G169">
        <v>45</v>
      </c>
      <c r="H169" t="s">
        <v>576</v>
      </c>
      <c r="I169">
        <v>40</v>
      </c>
      <c r="J169">
        <v>5</v>
      </c>
    </row>
    <row r="170" spans="1:18" x14ac:dyDescent="0.2">
      <c r="A170" t="s">
        <v>342</v>
      </c>
      <c r="B170" t="s">
        <v>634</v>
      </c>
      <c r="C170" t="s">
        <v>628</v>
      </c>
      <c r="D170" t="s">
        <v>572</v>
      </c>
      <c r="E170" t="s">
        <v>543</v>
      </c>
      <c r="F170">
        <v>8.5065023956194299</v>
      </c>
      <c r="G170">
        <v>45</v>
      </c>
      <c r="H170" t="s">
        <v>576</v>
      </c>
      <c r="I170">
        <v>40</v>
      </c>
      <c r="J170">
        <v>5</v>
      </c>
    </row>
    <row r="171" spans="1:18" x14ac:dyDescent="0.2">
      <c r="A171" t="s">
        <v>439</v>
      </c>
      <c r="B171" t="s">
        <v>617</v>
      </c>
      <c r="C171" t="s">
        <v>626</v>
      </c>
      <c r="D171" t="s">
        <v>570</v>
      </c>
      <c r="E171" t="s">
        <v>548</v>
      </c>
      <c r="F171">
        <v>31.175906913073199</v>
      </c>
      <c r="G171">
        <v>210</v>
      </c>
      <c r="H171" t="s">
        <v>576</v>
      </c>
      <c r="I171">
        <v>210</v>
      </c>
      <c r="J171">
        <v>0</v>
      </c>
    </row>
    <row r="172" spans="1:18" x14ac:dyDescent="0.2">
      <c r="A172" t="s">
        <v>432</v>
      </c>
      <c r="B172" t="s">
        <v>617</v>
      </c>
      <c r="C172" t="s">
        <v>626</v>
      </c>
      <c r="D172" t="s">
        <v>570</v>
      </c>
      <c r="E172" t="s">
        <v>548</v>
      </c>
      <c r="F172">
        <v>30.338124572210798</v>
      </c>
      <c r="G172">
        <v>210</v>
      </c>
      <c r="H172" t="s">
        <v>576</v>
      </c>
      <c r="I172">
        <v>210</v>
      </c>
      <c r="J172">
        <v>0</v>
      </c>
    </row>
    <row r="173" spans="1:18" x14ac:dyDescent="0.2">
      <c r="A173" t="s">
        <v>366</v>
      </c>
      <c r="B173" t="s">
        <v>617</v>
      </c>
      <c r="C173" t="s">
        <v>626</v>
      </c>
      <c r="D173" t="s">
        <v>570</v>
      </c>
      <c r="E173" t="s">
        <v>545</v>
      </c>
      <c r="F173">
        <v>20.008213552361301</v>
      </c>
      <c r="G173">
        <v>210</v>
      </c>
      <c r="H173" t="s">
        <v>576</v>
      </c>
      <c r="I173">
        <v>210</v>
      </c>
      <c r="J173">
        <v>0</v>
      </c>
    </row>
    <row r="174" spans="1:18" x14ac:dyDescent="0.2">
      <c r="A174" t="s">
        <v>360</v>
      </c>
      <c r="B174" t="s">
        <v>617</v>
      </c>
      <c r="C174" t="s">
        <v>626</v>
      </c>
      <c r="D174" t="s">
        <v>570</v>
      </c>
      <c r="E174" t="s">
        <v>545</v>
      </c>
      <c r="F174">
        <v>19.337440109513999</v>
      </c>
      <c r="G174">
        <v>210</v>
      </c>
      <c r="H174" t="s">
        <v>576</v>
      </c>
      <c r="I174">
        <v>210</v>
      </c>
      <c r="J174">
        <v>0</v>
      </c>
    </row>
    <row r="175" spans="1:18" x14ac:dyDescent="0.2">
      <c r="A175" t="s">
        <v>159</v>
      </c>
      <c r="B175" t="s">
        <v>617</v>
      </c>
      <c r="C175" t="s">
        <v>626</v>
      </c>
      <c r="D175" t="s">
        <v>570</v>
      </c>
      <c r="E175" t="s">
        <v>543</v>
      </c>
      <c r="F175">
        <v>8.7583846680355908</v>
      </c>
      <c r="G175">
        <v>500</v>
      </c>
      <c r="H175" t="s">
        <v>598</v>
      </c>
      <c r="I175">
        <v>500</v>
      </c>
      <c r="J175">
        <v>0</v>
      </c>
    </row>
    <row r="176" spans="1:18" x14ac:dyDescent="0.2">
      <c r="A176" t="s">
        <v>13</v>
      </c>
      <c r="B176" t="s">
        <v>609</v>
      </c>
      <c r="C176" t="s">
        <v>626</v>
      </c>
      <c r="D176" t="s">
        <v>571</v>
      </c>
      <c r="E176" t="s">
        <v>542</v>
      </c>
      <c r="F176">
        <v>0.60232717316906204</v>
      </c>
      <c r="G176">
        <v>660</v>
      </c>
      <c r="H176" t="s">
        <v>598</v>
      </c>
      <c r="I176">
        <v>660</v>
      </c>
      <c r="J176">
        <v>0</v>
      </c>
    </row>
    <row r="177" spans="1:10" x14ac:dyDescent="0.2">
      <c r="A177" t="s">
        <v>160</v>
      </c>
      <c r="B177" t="s">
        <v>623</v>
      </c>
      <c r="C177" t="s">
        <v>625</v>
      </c>
      <c r="D177" t="s">
        <v>571</v>
      </c>
      <c r="E177" t="s">
        <v>543</v>
      </c>
      <c r="F177">
        <v>8.8432580424366805</v>
      </c>
      <c r="G177">
        <v>500</v>
      </c>
      <c r="H177" t="s">
        <v>598</v>
      </c>
      <c r="I177">
        <v>500</v>
      </c>
      <c r="J177">
        <v>0</v>
      </c>
    </row>
    <row r="178" spans="1:10" x14ac:dyDescent="0.2">
      <c r="A178" t="s">
        <v>145</v>
      </c>
      <c r="B178" t="s">
        <v>623</v>
      </c>
      <c r="C178" t="s">
        <v>625</v>
      </c>
      <c r="D178" t="s">
        <v>571</v>
      </c>
      <c r="E178" t="s">
        <v>543</v>
      </c>
      <c r="F178">
        <v>7.2525667351129304</v>
      </c>
      <c r="G178">
        <v>500</v>
      </c>
      <c r="H178" t="s">
        <v>598</v>
      </c>
      <c r="I178">
        <v>500</v>
      </c>
      <c r="J178">
        <v>0</v>
      </c>
    </row>
    <row r="179" spans="1:10" x14ac:dyDescent="0.2">
      <c r="A179" t="s">
        <v>416</v>
      </c>
      <c r="B179" t="s">
        <v>621</v>
      </c>
      <c r="C179" t="s">
        <v>625</v>
      </c>
      <c r="D179" t="s">
        <v>570</v>
      </c>
      <c r="E179" t="s">
        <v>547</v>
      </c>
      <c r="F179">
        <v>27.337440109513999</v>
      </c>
      <c r="G179">
        <v>210</v>
      </c>
      <c r="H179" t="s">
        <v>576</v>
      </c>
      <c r="I179">
        <v>210</v>
      </c>
      <c r="J179">
        <v>0</v>
      </c>
    </row>
    <row r="180" spans="1:10" x14ac:dyDescent="0.2">
      <c r="A180" t="s">
        <v>428</v>
      </c>
      <c r="B180" t="s">
        <v>621</v>
      </c>
      <c r="C180" t="s">
        <v>625</v>
      </c>
      <c r="D180" t="s">
        <v>570</v>
      </c>
      <c r="E180" t="s">
        <v>547</v>
      </c>
      <c r="F180">
        <v>29.7577002053388</v>
      </c>
      <c r="G180">
        <v>210</v>
      </c>
      <c r="H180" t="s">
        <v>576</v>
      </c>
      <c r="I180">
        <v>210</v>
      </c>
      <c r="J180">
        <v>0</v>
      </c>
    </row>
    <row r="181" spans="1:10" x14ac:dyDescent="0.2">
      <c r="A181" t="s">
        <v>460</v>
      </c>
      <c r="B181" t="s">
        <v>621</v>
      </c>
      <c r="C181" t="s">
        <v>625</v>
      </c>
      <c r="D181" t="s">
        <v>570</v>
      </c>
      <c r="E181" t="s">
        <v>548</v>
      </c>
      <c r="F181">
        <v>34.4229979466119</v>
      </c>
      <c r="G181">
        <v>210</v>
      </c>
      <c r="H181" t="s">
        <v>576</v>
      </c>
      <c r="I181">
        <v>210</v>
      </c>
      <c r="J181">
        <v>0</v>
      </c>
    </row>
    <row r="182" spans="1:10" x14ac:dyDescent="0.2">
      <c r="A182" t="s">
        <v>475</v>
      </c>
      <c r="B182" t="s">
        <v>621</v>
      </c>
      <c r="C182" t="s">
        <v>625</v>
      </c>
      <c r="D182" t="s">
        <v>570</v>
      </c>
      <c r="E182" t="s">
        <v>549</v>
      </c>
      <c r="F182">
        <v>36.339493497604302</v>
      </c>
      <c r="G182">
        <v>210</v>
      </c>
      <c r="H182" t="s">
        <v>576</v>
      </c>
      <c r="I182">
        <v>210</v>
      </c>
      <c r="J182">
        <v>0</v>
      </c>
    </row>
    <row r="183" spans="1:10" x14ac:dyDescent="0.2">
      <c r="A183" t="s">
        <v>409</v>
      </c>
      <c r="B183" t="s">
        <v>621</v>
      </c>
      <c r="C183" t="s">
        <v>625</v>
      </c>
      <c r="D183" t="s">
        <v>570</v>
      </c>
      <c r="E183" t="s">
        <v>547</v>
      </c>
      <c r="F183">
        <v>26.4229979466119</v>
      </c>
      <c r="G183">
        <v>210</v>
      </c>
      <c r="H183" t="s">
        <v>576</v>
      </c>
      <c r="I183">
        <v>210</v>
      </c>
      <c r="J183">
        <v>0</v>
      </c>
    </row>
    <row r="184" spans="1:10" x14ac:dyDescent="0.2">
      <c r="A184" t="s">
        <v>425</v>
      </c>
      <c r="B184" t="s">
        <v>621</v>
      </c>
      <c r="C184" t="s">
        <v>625</v>
      </c>
      <c r="D184" t="s">
        <v>570</v>
      </c>
      <c r="E184" t="s">
        <v>547</v>
      </c>
      <c r="F184">
        <v>29.177275838466802</v>
      </c>
      <c r="G184">
        <v>210</v>
      </c>
      <c r="H184" t="s">
        <v>576</v>
      </c>
      <c r="I184">
        <v>210</v>
      </c>
      <c r="J184">
        <v>0</v>
      </c>
    </row>
    <row r="185" spans="1:10" x14ac:dyDescent="0.2">
      <c r="A185" t="s">
        <v>34</v>
      </c>
      <c r="B185" t="s">
        <v>617</v>
      </c>
      <c r="C185" t="s">
        <v>626</v>
      </c>
      <c r="D185" t="s">
        <v>570</v>
      </c>
      <c r="E185" t="s">
        <v>542</v>
      </c>
      <c r="F185">
        <v>3.4223134839151199</v>
      </c>
      <c r="G185">
        <v>660</v>
      </c>
      <c r="H185" t="s">
        <v>598</v>
      </c>
      <c r="I185">
        <v>660</v>
      </c>
      <c r="J185">
        <v>0</v>
      </c>
    </row>
    <row r="186" spans="1:10" x14ac:dyDescent="0.2">
      <c r="A186" t="s">
        <v>495</v>
      </c>
      <c r="B186" t="s">
        <v>617</v>
      </c>
      <c r="C186" t="s">
        <v>626</v>
      </c>
      <c r="D186" t="s">
        <v>570</v>
      </c>
      <c r="E186" t="s">
        <v>549</v>
      </c>
      <c r="F186">
        <v>38.176591375770002</v>
      </c>
      <c r="G186">
        <v>210</v>
      </c>
      <c r="H186" t="s">
        <v>576</v>
      </c>
      <c r="I186">
        <v>210</v>
      </c>
      <c r="J186">
        <v>0</v>
      </c>
    </row>
    <row r="187" spans="1:10" x14ac:dyDescent="0.2">
      <c r="A187" t="s">
        <v>487</v>
      </c>
      <c r="B187" t="s">
        <v>617</v>
      </c>
      <c r="C187" t="s">
        <v>626</v>
      </c>
      <c r="D187" t="s">
        <v>570</v>
      </c>
      <c r="E187" t="s">
        <v>549</v>
      </c>
      <c r="F187">
        <v>37.338809034907598</v>
      </c>
      <c r="G187">
        <v>210</v>
      </c>
      <c r="H187" t="s">
        <v>576</v>
      </c>
      <c r="I187">
        <v>210</v>
      </c>
      <c r="J187">
        <v>0</v>
      </c>
    </row>
    <row r="188" spans="1:10" x14ac:dyDescent="0.2">
      <c r="A188" t="s">
        <v>54</v>
      </c>
      <c r="B188" t="s">
        <v>617</v>
      </c>
      <c r="C188" t="s">
        <v>626</v>
      </c>
      <c r="D188" t="s">
        <v>570</v>
      </c>
      <c r="E188" t="s">
        <v>543</v>
      </c>
      <c r="F188">
        <v>5.1772758384667998</v>
      </c>
      <c r="G188">
        <v>660</v>
      </c>
      <c r="H188" t="s">
        <v>598</v>
      </c>
      <c r="I188">
        <v>660</v>
      </c>
      <c r="J188">
        <v>0</v>
      </c>
    </row>
    <row r="189" spans="1:10" x14ac:dyDescent="0.2">
      <c r="A189" t="s">
        <v>41</v>
      </c>
      <c r="B189" t="s">
        <v>617</v>
      </c>
      <c r="C189" t="s">
        <v>626</v>
      </c>
      <c r="D189" t="s">
        <v>570</v>
      </c>
      <c r="E189" t="s">
        <v>542</v>
      </c>
      <c r="F189">
        <v>4.1752224503764497</v>
      </c>
      <c r="G189">
        <v>660</v>
      </c>
      <c r="H189" t="s">
        <v>598</v>
      </c>
      <c r="I189">
        <v>660</v>
      </c>
      <c r="J189">
        <v>0</v>
      </c>
    </row>
    <row r="190" spans="1:10" x14ac:dyDescent="0.2">
      <c r="A190" t="s">
        <v>491</v>
      </c>
      <c r="B190" t="s">
        <v>611</v>
      </c>
      <c r="C190" t="s">
        <v>626</v>
      </c>
      <c r="D190" t="s">
        <v>571</v>
      </c>
      <c r="E190" t="s">
        <v>549</v>
      </c>
      <c r="F190">
        <v>37.2539356605065</v>
      </c>
      <c r="G190">
        <v>200</v>
      </c>
      <c r="H190" t="s">
        <v>576</v>
      </c>
      <c r="I190">
        <v>200</v>
      </c>
      <c r="J190">
        <v>0</v>
      </c>
    </row>
    <row r="191" spans="1:10" x14ac:dyDescent="0.2">
      <c r="A191" t="s">
        <v>483</v>
      </c>
      <c r="B191" t="s">
        <v>611</v>
      </c>
      <c r="C191" t="s">
        <v>626</v>
      </c>
      <c r="D191" t="s">
        <v>571</v>
      </c>
      <c r="E191" t="s">
        <v>549</v>
      </c>
      <c r="F191">
        <v>36.591375770020498</v>
      </c>
      <c r="G191">
        <v>200</v>
      </c>
      <c r="H191" t="s">
        <v>576</v>
      </c>
      <c r="I191">
        <v>200</v>
      </c>
      <c r="J191">
        <v>0</v>
      </c>
    </row>
    <row r="192" spans="1:10" x14ac:dyDescent="0.2">
      <c r="A192" t="s">
        <v>479</v>
      </c>
      <c r="B192" t="s">
        <v>611</v>
      </c>
      <c r="C192" t="s">
        <v>626</v>
      </c>
      <c r="D192" t="s">
        <v>571</v>
      </c>
      <c r="E192" t="s">
        <v>549</v>
      </c>
      <c r="F192">
        <v>36.175222450376403</v>
      </c>
      <c r="G192">
        <v>200</v>
      </c>
      <c r="H192" t="s">
        <v>576</v>
      </c>
      <c r="I192">
        <v>200</v>
      </c>
      <c r="J192">
        <v>0</v>
      </c>
    </row>
    <row r="193" spans="1:10" x14ac:dyDescent="0.2">
      <c r="A193" t="s">
        <v>368</v>
      </c>
      <c r="B193" t="s">
        <v>611</v>
      </c>
      <c r="C193" t="s">
        <v>626</v>
      </c>
      <c r="D193" t="s">
        <v>571</v>
      </c>
      <c r="E193" t="s">
        <v>548</v>
      </c>
      <c r="F193">
        <v>33.0102669404517</v>
      </c>
      <c r="G193">
        <v>500</v>
      </c>
      <c r="H193" t="s">
        <v>598</v>
      </c>
      <c r="I193">
        <v>500</v>
      </c>
      <c r="J193">
        <v>0</v>
      </c>
    </row>
    <row r="194" spans="1:10" x14ac:dyDescent="0.2">
      <c r="A194" t="s">
        <v>363</v>
      </c>
      <c r="B194" t="s">
        <v>611</v>
      </c>
      <c r="C194" t="s">
        <v>626</v>
      </c>
      <c r="D194" t="s">
        <v>571</v>
      </c>
      <c r="E194" t="s">
        <v>548</v>
      </c>
      <c r="F194">
        <v>32.175222450376403</v>
      </c>
      <c r="G194">
        <v>500</v>
      </c>
      <c r="H194" t="s">
        <v>598</v>
      </c>
      <c r="I194">
        <v>500</v>
      </c>
      <c r="J194">
        <v>0</v>
      </c>
    </row>
    <row r="195" spans="1:10" x14ac:dyDescent="0.2">
      <c r="A195" t="s">
        <v>356</v>
      </c>
      <c r="B195" t="s">
        <v>611</v>
      </c>
      <c r="C195" t="s">
        <v>626</v>
      </c>
      <c r="D195" t="s">
        <v>571</v>
      </c>
      <c r="E195" t="s">
        <v>548</v>
      </c>
      <c r="F195">
        <v>31.2525667351129</v>
      </c>
      <c r="G195">
        <v>500</v>
      </c>
      <c r="H195" t="s">
        <v>598</v>
      </c>
      <c r="I195">
        <v>500</v>
      </c>
      <c r="J195">
        <v>0</v>
      </c>
    </row>
    <row r="196" spans="1:10" x14ac:dyDescent="0.2">
      <c r="A196" t="s">
        <v>166</v>
      </c>
      <c r="B196" t="s">
        <v>611</v>
      </c>
      <c r="C196" t="s">
        <v>626</v>
      </c>
      <c r="D196" t="s">
        <v>571</v>
      </c>
      <c r="E196" t="s">
        <v>543</v>
      </c>
      <c r="F196">
        <v>9.5058179329226498</v>
      </c>
      <c r="G196">
        <v>500</v>
      </c>
      <c r="H196" t="s">
        <v>598</v>
      </c>
      <c r="I196">
        <v>475</v>
      </c>
      <c r="J196">
        <v>25</v>
      </c>
    </row>
    <row r="197" spans="1:10" x14ac:dyDescent="0.2">
      <c r="A197" t="s">
        <v>537</v>
      </c>
      <c r="B197" t="s">
        <v>611</v>
      </c>
      <c r="C197" t="s">
        <v>626</v>
      </c>
      <c r="D197" t="s">
        <v>570</v>
      </c>
      <c r="E197" t="s">
        <v>551</v>
      </c>
      <c r="F197">
        <v>53.0102669404517</v>
      </c>
      <c r="G197">
        <v>50</v>
      </c>
      <c r="H197" t="s">
        <v>576</v>
      </c>
      <c r="J197">
        <v>50</v>
      </c>
    </row>
    <row r="198" spans="1:10" x14ac:dyDescent="0.2">
      <c r="A198" t="s">
        <v>533</v>
      </c>
      <c r="B198" t="s">
        <v>611</v>
      </c>
      <c r="C198" t="s">
        <v>626</v>
      </c>
      <c r="D198" t="s">
        <v>570</v>
      </c>
      <c r="E198" t="s">
        <v>551</v>
      </c>
      <c r="F198">
        <v>52.175222450376403</v>
      </c>
      <c r="G198">
        <v>50</v>
      </c>
      <c r="H198" t="s">
        <v>576</v>
      </c>
      <c r="J198">
        <v>50</v>
      </c>
    </row>
    <row r="199" spans="1:10" x14ac:dyDescent="0.2">
      <c r="A199" t="s">
        <v>532</v>
      </c>
      <c r="B199" t="s">
        <v>611</v>
      </c>
      <c r="C199" t="s">
        <v>626</v>
      </c>
      <c r="D199" t="s">
        <v>570</v>
      </c>
      <c r="E199" t="s">
        <v>551</v>
      </c>
      <c r="F199">
        <v>51.589322381930103</v>
      </c>
      <c r="G199">
        <v>50</v>
      </c>
      <c r="H199" t="s">
        <v>576</v>
      </c>
      <c r="J199">
        <v>50</v>
      </c>
    </row>
    <row r="200" spans="1:10" x14ac:dyDescent="0.2">
      <c r="A200" t="s">
        <v>522</v>
      </c>
      <c r="B200" t="s">
        <v>611</v>
      </c>
      <c r="C200" t="s">
        <v>626</v>
      </c>
      <c r="D200" t="s">
        <v>570</v>
      </c>
      <c r="E200" t="s">
        <v>550</v>
      </c>
      <c r="F200">
        <v>44.090349075975297</v>
      </c>
      <c r="G200">
        <v>120</v>
      </c>
      <c r="H200" t="s">
        <v>576</v>
      </c>
      <c r="J200">
        <v>120</v>
      </c>
    </row>
    <row r="201" spans="1:10" x14ac:dyDescent="0.2">
      <c r="A201" t="s">
        <v>517</v>
      </c>
      <c r="B201" t="s">
        <v>611</v>
      </c>
      <c r="C201" t="s">
        <v>626</v>
      </c>
      <c r="D201" t="s">
        <v>570</v>
      </c>
      <c r="E201" t="s">
        <v>549</v>
      </c>
      <c r="F201">
        <v>39.0910335386721</v>
      </c>
      <c r="G201">
        <v>120</v>
      </c>
      <c r="H201" t="s">
        <v>576</v>
      </c>
      <c r="J201">
        <v>120</v>
      </c>
    </row>
    <row r="202" spans="1:10" x14ac:dyDescent="0.2">
      <c r="A202" t="s">
        <v>477</v>
      </c>
      <c r="B202" t="s">
        <v>611</v>
      </c>
      <c r="C202" t="s">
        <v>626</v>
      </c>
      <c r="D202" t="s">
        <v>570</v>
      </c>
      <c r="E202" t="s">
        <v>549</v>
      </c>
      <c r="F202">
        <v>36.925393566050602</v>
      </c>
      <c r="G202">
        <v>210</v>
      </c>
      <c r="H202" t="s">
        <v>576</v>
      </c>
      <c r="I202">
        <v>210</v>
      </c>
      <c r="J202">
        <v>0</v>
      </c>
    </row>
    <row r="203" spans="1:10" x14ac:dyDescent="0.2">
      <c r="A203" t="s">
        <v>473</v>
      </c>
      <c r="B203" t="s">
        <v>611</v>
      </c>
      <c r="C203" t="s">
        <v>626</v>
      </c>
      <c r="D203" t="s">
        <v>570</v>
      </c>
      <c r="E203" t="s">
        <v>549</v>
      </c>
      <c r="F203">
        <v>36.175222450376403</v>
      </c>
      <c r="G203">
        <v>210</v>
      </c>
      <c r="H203" t="s">
        <v>576</v>
      </c>
      <c r="I203">
        <v>210</v>
      </c>
      <c r="J203">
        <v>0</v>
      </c>
    </row>
    <row r="204" spans="1:10" x14ac:dyDescent="0.2">
      <c r="A204" t="s">
        <v>465</v>
      </c>
      <c r="B204" t="s">
        <v>611</v>
      </c>
      <c r="C204" t="s">
        <v>626</v>
      </c>
      <c r="D204" t="s">
        <v>570</v>
      </c>
      <c r="E204" t="s">
        <v>549</v>
      </c>
      <c r="F204">
        <v>35.175906913073199</v>
      </c>
      <c r="G204">
        <v>210</v>
      </c>
      <c r="H204" t="s">
        <v>576</v>
      </c>
      <c r="I204">
        <v>210</v>
      </c>
      <c r="J204">
        <v>0</v>
      </c>
    </row>
    <row r="205" spans="1:10" x14ac:dyDescent="0.2">
      <c r="A205" t="s">
        <v>458</v>
      </c>
      <c r="B205" t="s">
        <v>611</v>
      </c>
      <c r="C205" t="s">
        <v>626</v>
      </c>
      <c r="D205" t="s">
        <v>570</v>
      </c>
      <c r="E205" t="s">
        <v>548</v>
      </c>
      <c r="F205">
        <v>34.176591375770002</v>
      </c>
      <c r="G205">
        <v>210</v>
      </c>
      <c r="H205" t="s">
        <v>576</v>
      </c>
      <c r="I205">
        <v>210</v>
      </c>
      <c r="J205">
        <v>0</v>
      </c>
    </row>
    <row r="206" spans="1:10" x14ac:dyDescent="0.2">
      <c r="A206" t="s">
        <v>141</v>
      </c>
      <c r="B206" t="s">
        <v>611</v>
      </c>
      <c r="C206" t="s">
        <v>626</v>
      </c>
      <c r="D206" t="s">
        <v>570</v>
      </c>
      <c r="E206" t="s">
        <v>543</v>
      </c>
      <c r="F206">
        <v>6.8418891170431202</v>
      </c>
      <c r="G206">
        <v>500</v>
      </c>
      <c r="H206" t="s">
        <v>598</v>
      </c>
      <c r="I206">
        <v>500</v>
      </c>
      <c r="J206">
        <v>0</v>
      </c>
    </row>
    <row r="207" spans="1:10" x14ac:dyDescent="0.2">
      <c r="A207" t="s">
        <v>513</v>
      </c>
      <c r="B207" t="s">
        <v>616</v>
      </c>
      <c r="C207" t="s">
        <v>628</v>
      </c>
      <c r="D207" t="s">
        <v>570</v>
      </c>
      <c r="E207" t="s">
        <v>549</v>
      </c>
      <c r="F207">
        <v>37.338809034907598</v>
      </c>
      <c r="G207">
        <v>110</v>
      </c>
      <c r="H207" t="s">
        <v>576</v>
      </c>
      <c r="I207">
        <v>110</v>
      </c>
      <c r="J207">
        <v>0</v>
      </c>
    </row>
    <row r="208" spans="1:10" x14ac:dyDescent="0.2">
      <c r="A208" t="s">
        <v>510</v>
      </c>
      <c r="B208" t="s">
        <v>616</v>
      </c>
      <c r="C208" t="s">
        <v>628</v>
      </c>
      <c r="D208" t="s">
        <v>570</v>
      </c>
      <c r="E208" t="s">
        <v>549</v>
      </c>
      <c r="F208">
        <v>36.843258042436602</v>
      </c>
      <c r="G208">
        <v>110</v>
      </c>
      <c r="H208" t="s">
        <v>576</v>
      </c>
      <c r="I208">
        <v>110</v>
      </c>
      <c r="J208">
        <v>0</v>
      </c>
    </row>
    <row r="209" spans="1:10" x14ac:dyDescent="0.2">
      <c r="A209" t="s">
        <v>443</v>
      </c>
      <c r="B209" t="s">
        <v>616</v>
      </c>
      <c r="C209" t="s">
        <v>628</v>
      </c>
      <c r="D209" t="s">
        <v>570</v>
      </c>
      <c r="E209" t="s">
        <v>548</v>
      </c>
      <c r="F209">
        <v>31.671457905544099</v>
      </c>
      <c r="G209">
        <v>210</v>
      </c>
      <c r="H209" t="s">
        <v>576</v>
      </c>
      <c r="I209">
        <v>210</v>
      </c>
      <c r="J209">
        <v>0</v>
      </c>
    </row>
    <row r="210" spans="1:10" x14ac:dyDescent="0.2">
      <c r="A210" t="s">
        <v>435</v>
      </c>
      <c r="B210" t="s">
        <v>616</v>
      </c>
      <c r="C210" t="s">
        <v>628</v>
      </c>
      <c r="D210" t="s">
        <v>570</v>
      </c>
      <c r="E210" t="s">
        <v>548</v>
      </c>
      <c r="F210">
        <v>31.008898015058101</v>
      </c>
      <c r="G210">
        <v>210</v>
      </c>
      <c r="H210" t="s">
        <v>576</v>
      </c>
      <c r="I210">
        <v>210</v>
      </c>
      <c r="J210">
        <v>0</v>
      </c>
    </row>
    <row r="211" spans="1:10" x14ac:dyDescent="0.2">
      <c r="A211" t="s">
        <v>406</v>
      </c>
      <c r="B211" t="s">
        <v>616</v>
      </c>
      <c r="C211" t="s">
        <v>628</v>
      </c>
      <c r="D211" t="s">
        <v>570</v>
      </c>
      <c r="E211" t="s">
        <v>547</v>
      </c>
      <c r="F211">
        <v>26.176591375769998</v>
      </c>
      <c r="G211">
        <v>210</v>
      </c>
      <c r="H211" t="s">
        <v>576</v>
      </c>
      <c r="I211">
        <v>210</v>
      </c>
      <c r="J211">
        <v>0</v>
      </c>
    </row>
    <row r="212" spans="1:10" x14ac:dyDescent="0.2">
      <c r="A212" t="s">
        <v>351</v>
      </c>
      <c r="B212" t="s">
        <v>616</v>
      </c>
      <c r="C212" t="s">
        <v>628</v>
      </c>
      <c r="D212" t="s">
        <v>570</v>
      </c>
      <c r="E212" t="s">
        <v>545</v>
      </c>
      <c r="F212">
        <v>16.843258042436599</v>
      </c>
      <c r="G212">
        <v>195</v>
      </c>
      <c r="H212" t="s">
        <v>576</v>
      </c>
      <c r="I212">
        <v>195</v>
      </c>
      <c r="J212">
        <v>0</v>
      </c>
    </row>
    <row r="213" spans="1:10" x14ac:dyDescent="0.2">
      <c r="A213" t="s">
        <v>305</v>
      </c>
      <c r="B213" t="s">
        <v>616</v>
      </c>
      <c r="C213" t="s">
        <v>628</v>
      </c>
      <c r="D213" t="s">
        <v>570</v>
      </c>
      <c r="E213" t="s">
        <v>544</v>
      </c>
      <c r="F213">
        <v>10.757015742642</v>
      </c>
      <c r="G213">
        <v>195</v>
      </c>
      <c r="H213" t="s">
        <v>576</v>
      </c>
      <c r="I213">
        <v>195</v>
      </c>
      <c r="J213">
        <v>0</v>
      </c>
    </row>
    <row r="214" spans="1:10" x14ac:dyDescent="0.2">
      <c r="A214" t="s">
        <v>369</v>
      </c>
      <c r="B214" t="s">
        <v>610</v>
      </c>
      <c r="C214" t="s">
        <v>627</v>
      </c>
      <c r="D214" t="s">
        <v>570</v>
      </c>
      <c r="E214" t="s">
        <v>546</v>
      </c>
      <c r="F214">
        <v>22.179329226557101</v>
      </c>
      <c r="G214">
        <v>250</v>
      </c>
      <c r="H214" t="s">
        <v>576</v>
      </c>
      <c r="I214">
        <v>250</v>
      </c>
      <c r="J214">
        <v>0</v>
      </c>
    </row>
    <row r="215" spans="1:10" x14ac:dyDescent="0.2">
      <c r="A215" t="s">
        <v>162</v>
      </c>
      <c r="B215" t="s">
        <v>610</v>
      </c>
      <c r="C215" t="s">
        <v>627</v>
      </c>
      <c r="D215" t="s">
        <v>570</v>
      </c>
      <c r="E215" t="s">
        <v>543</v>
      </c>
      <c r="F215">
        <v>8.9253935660506496</v>
      </c>
      <c r="G215">
        <v>500</v>
      </c>
      <c r="H215" t="s">
        <v>598</v>
      </c>
      <c r="I215">
        <v>500</v>
      </c>
      <c r="J215">
        <v>0</v>
      </c>
    </row>
    <row r="216" spans="1:10" x14ac:dyDescent="0.2">
      <c r="A216" t="s">
        <v>379</v>
      </c>
      <c r="B216" t="s">
        <v>610</v>
      </c>
      <c r="C216" t="s">
        <v>627</v>
      </c>
      <c r="D216" t="s">
        <v>570</v>
      </c>
      <c r="E216" t="s">
        <v>546</v>
      </c>
      <c r="F216">
        <v>23.104722792607799</v>
      </c>
      <c r="G216">
        <v>250</v>
      </c>
      <c r="H216" t="s">
        <v>576</v>
      </c>
      <c r="I216">
        <v>250</v>
      </c>
      <c r="J216">
        <v>0</v>
      </c>
    </row>
    <row r="217" spans="1:10" x14ac:dyDescent="0.2">
      <c r="A217" t="s">
        <v>3</v>
      </c>
      <c r="B217" t="s">
        <v>610</v>
      </c>
      <c r="C217" t="s">
        <v>627</v>
      </c>
      <c r="D217" t="s">
        <v>570</v>
      </c>
      <c r="E217" t="s">
        <v>542</v>
      </c>
      <c r="F217">
        <v>1.9603011635865799</v>
      </c>
      <c r="G217">
        <v>800</v>
      </c>
      <c r="H217" t="s">
        <v>598</v>
      </c>
      <c r="I217">
        <v>800</v>
      </c>
      <c r="J217">
        <v>0</v>
      </c>
    </row>
    <row r="218" spans="1:10" x14ac:dyDescent="0.2">
      <c r="A218" t="s">
        <v>538</v>
      </c>
      <c r="B218" t="s">
        <v>610</v>
      </c>
      <c r="C218" t="s">
        <v>627</v>
      </c>
      <c r="D218" t="s">
        <v>570</v>
      </c>
      <c r="E218" t="s">
        <v>551</v>
      </c>
      <c r="F218">
        <v>53.834360027378501</v>
      </c>
      <c r="G218">
        <v>60</v>
      </c>
      <c r="H218" t="s">
        <v>576</v>
      </c>
      <c r="J218">
        <v>60</v>
      </c>
    </row>
    <row r="219" spans="1:10" x14ac:dyDescent="0.2">
      <c r="A219" t="s">
        <v>536</v>
      </c>
      <c r="B219" t="s">
        <v>610</v>
      </c>
      <c r="C219" t="s">
        <v>627</v>
      </c>
      <c r="D219" t="s">
        <v>570</v>
      </c>
      <c r="E219" t="s">
        <v>551</v>
      </c>
      <c r="F219">
        <v>53.4346338124572</v>
      </c>
      <c r="G219">
        <v>60</v>
      </c>
      <c r="H219" t="s">
        <v>576</v>
      </c>
      <c r="J219">
        <v>60</v>
      </c>
    </row>
    <row r="220" spans="1:10" x14ac:dyDescent="0.2">
      <c r="A220" t="s">
        <v>534</v>
      </c>
      <c r="B220" t="s">
        <v>610</v>
      </c>
      <c r="C220" t="s">
        <v>627</v>
      </c>
      <c r="D220" t="s">
        <v>570</v>
      </c>
      <c r="E220" t="s">
        <v>551</v>
      </c>
      <c r="F220">
        <v>52.824093086926702</v>
      </c>
      <c r="G220">
        <v>60</v>
      </c>
      <c r="H220" t="s">
        <v>576</v>
      </c>
      <c r="J220">
        <v>60</v>
      </c>
    </row>
    <row r="221" spans="1:10" x14ac:dyDescent="0.2">
      <c r="A221" t="s">
        <v>524</v>
      </c>
      <c r="B221" t="s">
        <v>610</v>
      </c>
      <c r="C221" t="s">
        <v>627</v>
      </c>
      <c r="D221" t="s">
        <v>570</v>
      </c>
      <c r="E221" t="s">
        <v>551</v>
      </c>
      <c r="F221">
        <v>45.724845995893197</v>
      </c>
      <c r="G221">
        <v>120</v>
      </c>
      <c r="H221" t="s">
        <v>576</v>
      </c>
      <c r="J221">
        <v>120</v>
      </c>
    </row>
    <row r="222" spans="1:10" x14ac:dyDescent="0.2">
      <c r="A222" t="s">
        <v>523</v>
      </c>
      <c r="B222" t="s">
        <v>610</v>
      </c>
      <c r="C222" t="s">
        <v>627</v>
      </c>
      <c r="D222" t="s">
        <v>570</v>
      </c>
      <c r="E222" t="s">
        <v>550</v>
      </c>
      <c r="F222">
        <v>45.3744010951403</v>
      </c>
      <c r="G222">
        <v>120</v>
      </c>
      <c r="H222" t="s">
        <v>576</v>
      </c>
      <c r="J222">
        <v>120</v>
      </c>
    </row>
    <row r="223" spans="1:10" x14ac:dyDescent="0.2">
      <c r="A223" t="s">
        <v>521</v>
      </c>
      <c r="B223" t="s">
        <v>610</v>
      </c>
      <c r="C223" t="s">
        <v>627</v>
      </c>
      <c r="D223" t="s">
        <v>570</v>
      </c>
      <c r="E223" t="s">
        <v>550</v>
      </c>
      <c r="F223">
        <v>43.151266255989</v>
      </c>
      <c r="G223">
        <v>120</v>
      </c>
      <c r="H223" t="s">
        <v>576</v>
      </c>
      <c r="J223">
        <v>120</v>
      </c>
    </row>
    <row r="224" spans="1:10" x14ac:dyDescent="0.2">
      <c r="A224" t="s">
        <v>519</v>
      </c>
      <c r="B224" t="s">
        <v>610</v>
      </c>
      <c r="C224" t="s">
        <v>627</v>
      </c>
      <c r="D224" t="s">
        <v>570</v>
      </c>
      <c r="E224" t="s">
        <v>550</v>
      </c>
      <c r="F224">
        <v>42.313483915126596</v>
      </c>
      <c r="G224">
        <v>120</v>
      </c>
      <c r="H224" t="s">
        <v>576</v>
      </c>
      <c r="J224">
        <v>120</v>
      </c>
    </row>
    <row r="225" spans="1:10" x14ac:dyDescent="0.2">
      <c r="A225" t="s">
        <v>8</v>
      </c>
      <c r="B225" t="s">
        <v>612</v>
      </c>
      <c r="C225" t="s">
        <v>627</v>
      </c>
      <c r="D225" t="s">
        <v>571</v>
      </c>
      <c r="E225" t="s">
        <v>542</v>
      </c>
      <c r="F225">
        <v>3.3566050650239498</v>
      </c>
      <c r="G225">
        <v>800</v>
      </c>
      <c r="H225" t="s">
        <v>598</v>
      </c>
      <c r="I225">
        <v>800</v>
      </c>
      <c r="J225">
        <v>0</v>
      </c>
    </row>
    <row r="226" spans="1:10" x14ac:dyDescent="0.2">
      <c r="A226" t="s">
        <v>7</v>
      </c>
      <c r="B226" t="s">
        <v>612</v>
      </c>
      <c r="C226" t="s">
        <v>627</v>
      </c>
      <c r="D226" t="s">
        <v>571</v>
      </c>
      <c r="E226" t="s">
        <v>542</v>
      </c>
      <c r="F226">
        <v>3.1074606433949299</v>
      </c>
      <c r="G226">
        <v>800</v>
      </c>
      <c r="H226" t="s">
        <v>598</v>
      </c>
      <c r="I226">
        <v>800</v>
      </c>
      <c r="J226">
        <v>0</v>
      </c>
    </row>
    <row r="227" spans="1:10" x14ac:dyDescent="0.2">
      <c r="A227" t="s">
        <v>5</v>
      </c>
      <c r="B227" t="s">
        <v>612</v>
      </c>
      <c r="C227" t="s">
        <v>627</v>
      </c>
      <c r="D227" t="s">
        <v>571</v>
      </c>
      <c r="E227" t="s">
        <v>542</v>
      </c>
      <c r="F227">
        <v>2.1163586584531102</v>
      </c>
      <c r="G227">
        <v>800</v>
      </c>
      <c r="H227" t="s">
        <v>598</v>
      </c>
      <c r="I227">
        <v>800</v>
      </c>
      <c r="J227">
        <v>0</v>
      </c>
    </row>
    <row r="228" spans="1:10" x14ac:dyDescent="0.2">
      <c r="A228" t="s">
        <v>338</v>
      </c>
      <c r="B228" t="s">
        <v>634</v>
      </c>
      <c r="C228" t="s">
        <v>628</v>
      </c>
      <c r="D228" t="s">
        <v>572</v>
      </c>
      <c r="E228" t="s">
        <v>543</v>
      </c>
      <c r="F228">
        <v>8.33949349760438</v>
      </c>
      <c r="G228">
        <v>45</v>
      </c>
      <c r="H228" t="s">
        <v>576</v>
      </c>
      <c r="I228">
        <v>41</v>
      </c>
      <c r="J228">
        <v>4</v>
      </c>
    </row>
    <row r="229" spans="1:10" x14ac:dyDescent="0.2">
      <c r="A229" t="s">
        <v>335</v>
      </c>
      <c r="B229" t="s">
        <v>634</v>
      </c>
      <c r="C229" t="s">
        <v>628</v>
      </c>
      <c r="D229" t="s">
        <v>572</v>
      </c>
      <c r="E229" t="s">
        <v>543</v>
      </c>
      <c r="F229">
        <v>8.2546201232032796</v>
      </c>
      <c r="G229">
        <v>45</v>
      </c>
      <c r="H229" t="s">
        <v>576</v>
      </c>
      <c r="I229">
        <v>41</v>
      </c>
      <c r="J229">
        <v>4</v>
      </c>
    </row>
    <row r="230" spans="1:10" x14ac:dyDescent="0.2">
      <c r="A230" t="s">
        <v>40</v>
      </c>
      <c r="B230" t="s">
        <v>634</v>
      </c>
      <c r="C230" t="s">
        <v>628</v>
      </c>
      <c r="D230" t="s">
        <v>572</v>
      </c>
      <c r="E230" t="s">
        <v>542</v>
      </c>
      <c r="F230">
        <v>4.1752224503764497</v>
      </c>
      <c r="G230">
        <v>660</v>
      </c>
      <c r="H230" t="s">
        <v>598</v>
      </c>
      <c r="I230">
        <v>625</v>
      </c>
      <c r="J230">
        <v>35</v>
      </c>
    </row>
    <row r="231" spans="1:10" x14ac:dyDescent="0.2">
      <c r="A231" t="s">
        <v>45</v>
      </c>
      <c r="B231" t="s">
        <v>634</v>
      </c>
      <c r="C231" t="s">
        <v>628</v>
      </c>
      <c r="D231" t="s">
        <v>572</v>
      </c>
      <c r="E231" t="s">
        <v>542</v>
      </c>
      <c r="F231">
        <v>4.33949349760438</v>
      </c>
      <c r="G231">
        <v>660</v>
      </c>
      <c r="H231" t="s">
        <v>598</v>
      </c>
      <c r="I231">
        <v>625</v>
      </c>
      <c r="J231">
        <v>35</v>
      </c>
    </row>
    <row r="232" spans="1:10" x14ac:dyDescent="0.2">
      <c r="A232" t="s">
        <v>38</v>
      </c>
      <c r="B232" t="s">
        <v>634</v>
      </c>
      <c r="C232" t="s">
        <v>628</v>
      </c>
      <c r="D232" t="s">
        <v>572</v>
      </c>
      <c r="E232" t="s">
        <v>542</v>
      </c>
      <c r="F232">
        <v>4.0903490759753502</v>
      </c>
      <c r="G232">
        <v>660</v>
      </c>
      <c r="H232" t="s">
        <v>598</v>
      </c>
      <c r="I232">
        <v>625</v>
      </c>
      <c r="J232">
        <v>35</v>
      </c>
    </row>
    <row r="233" spans="1:10" x14ac:dyDescent="0.2">
      <c r="A233" t="s">
        <v>4</v>
      </c>
      <c r="B233" t="s">
        <v>611</v>
      </c>
      <c r="C233" t="s">
        <v>626</v>
      </c>
      <c r="D233" t="s">
        <v>571</v>
      </c>
      <c r="E233" t="s">
        <v>542</v>
      </c>
      <c r="F233">
        <v>2.0917180013689198</v>
      </c>
      <c r="G233">
        <v>800</v>
      </c>
      <c r="H233" t="s">
        <v>598</v>
      </c>
      <c r="I233">
        <v>800</v>
      </c>
      <c r="J233">
        <v>0</v>
      </c>
    </row>
    <row r="234" spans="1:10" x14ac:dyDescent="0.2">
      <c r="A234" t="s">
        <v>238</v>
      </c>
      <c r="B234" t="s">
        <v>623</v>
      </c>
      <c r="C234" t="s">
        <v>625</v>
      </c>
      <c r="D234" t="s">
        <v>572</v>
      </c>
      <c r="E234" t="s">
        <v>543</v>
      </c>
      <c r="F234">
        <v>7.5044490075290797</v>
      </c>
      <c r="G234">
        <v>270</v>
      </c>
      <c r="H234" t="s">
        <v>598</v>
      </c>
      <c r="I234">
        <v>270</v>
      </c>
      <c r="J234">
        <v>0</v>
      </c>
    </row>
    <row r="235" spans="1:10" x14ac:dyDescent="0.2">
      <c r="A235" t="s">
        <v>235</v>
      </c>
      <c r="B235" t="s">
        <v>623</v>
      </c>
      <c r="C235" t="s">
        <v>625</v>
      </c>
      <c r="D235" t="s">
        <v>572</v>
      </c>
      <c r="E235" t="s">
        <v>543</v>
      </c>
      <c r="F235">
        <v>7.1759069130732298</v>
      </c>
      <c r="G235">
        <v>270</v>
      </c>
      <c r="H235" t="s">
        <v>598</v>
      </c>
      <c r="I235">
        <v>270</v>
      </c>
      <c r="J235">
        <v>0</v>
      </c>
    </row>
    <row r="236" spans="1:10" x14ac:dyDescent="0.2">
      <c r="A236" t="s">
        <v>113</v>
      </c>
      <c r="B236" t="s">
        <v>609</v>
      </c>
      <c r="C236" t="s">
        <v>626</v>
      </c>
      <c r="D236" t="s">
        <v>572</v>
      </c>
      <c r="E236" t="s">
        <v>543</v>
      </c>
      <c r="F236">
        <v>7.2525667351129304</v>
      </c>
      <c r="G236">
        <v>600</v>
      </c>
      <c r="H236" t="s">
        <v>598</v>
      </c>
      <c r="J236">
        <v>600</v>
      </c>
    </row>
    <row r="237" spans="1:10" x14ac:dyDescent="0.2">
      <c r="A237" t="s">
        <v>44</v>
      </c>
      <c r="B237" t="s">
        <v>609</v>
      </c>
      <c r="C237" t="s">
        <v>626</v>
      </c>
      <c r="D237" t="s">
        <v>572</v>
      </c>
      <c r="E237" t="s">
        <v>542</v>
      </c>
      <c r="F237">
        <v>1.67008898015058</v>
      </c>
      <c r="G237">
        <v>600</v>
      </c>
      <c r="H237" t="s">
        <v>598</v>
      </c>
      <c r="J237">
        <v>600</v>
      </c>
    </row>
    <row r="238" spans="1:10" x14ac:dyDescent="0.2">
      <c r="A238" t="s">
        <v>96</v>
      </c>
      <c r="B238" t="s">
        <v>619</v>
      </c>
      <c r="C238" t="s">
        <v>628</v>
      </c>
      <c r="D238" t="s">
        <v>572</v>
      </c>
      <c r="E238" t="s">
        <v>543</v>
      </c>
      <c r="F238">
        <v>8.33949349760438</v>
      </c>
      <c r="G238">
        <v>660</v>
      </c>
      <c r="H238" t="s">
        <v>598</v>
      </c>
      <c r="I238">
        <v>660</v>
      </c>
      <c r="J238">
        <v>0</v>
      </c>
    </row>
    <row r="239" spans="1:10" x14ac:dyDescent="0.2">
      <c r="A239" t="s">
        <v>92</v>
      </c>
      <c r="B239" t="s">
        <v>619</v>
      </c>
      <c r="C239" t="s">
        <v>628</v>
      </c>
      <c r="D239" t="s">
        <v>572</v>
      </c>
      <c r="E239" t="s">
        <v>543</v>
      </c>
      <c r="F239">
        <v>8.0903490759753591</v>
      </c>
      <c r="G239">
        <v>660</v>
      </c>
      <c r="H239" t="s">
        <v>598</v>
      </c>
      <c r="I239">
        <v>660</v>
      </c>
      <c r="J239">
        <v>0</v>
      </c>
    </row>
    <row r="240" spans="1:10" x14ac:dyDescent="0.2">
      <c r="A240" t="s">
        <v>148</v>
      </c>
      <c r="B240" t="s">
        <v>623</v>
      </c>
      <c r="C240" t="s">
        <v>625</v>
      </c>
      <c r="D240" t="s">
        <v>572</v>
      </c>
      <c r="E240" t="s">
        <v>543</v>
      </c>
      <c r="F240">
        <v>8.6735112936344905</v>
      </c>
      <c r="G240">
        <v>525</v>
      </c>
      <c r="H240" t="s">
        <v>598</v>
      </c>
      <c r="I240">
        <v>525</v>
      </c>
      <c r="J240">
        <v>0</v>
      </c>
    </row>
    <row r="241" spans="1:10" x14ac:dyDescent="0.2">
      <c r="A241" t="s">
        <v>140</v>
      </c>
      <c r="B241" t="s">
        <v>623</v>
      </c>
      <c r="C241" t="s">
        <v>625</v>
      </c>
      <c r="D241" t="s">
        <v>572</v>
      </c>
      <c r="E241" t="s">
        <v>543</v>
      </c>
      <c r="F241">
        <v>7.8412046543463303</v>
      </c>
      <c r="G241">
        <v>525</v>
      </c>
      <c r="H241" t="s">
        <v>598</v>
      </c>
      <c r="I241">
        <v>525</v>
      </c>
      <c r="J241">
        <v>0</v>
      </c>
    </row>
    <row r="242" spans="1:10" x14ac:dyDescent="0.2">
      <c r="A242" t="s">
        <v>343</v>
      </c>
      <c r="B242" t="s">
        <v>634</v>
      </c>
      <c r="C242" t="s">
        <v>628</v>
      </c>
      <c r="D242" t="s">
        <v>572</v>
      </c>
      <c r="E242" t="s">
        <v>543</v>
      </c>
      <c r="F242">
        <v>8.5065023956194299</v>
      </c>
      <c r="G242">
        <v>45</v>
      </c>
      <c r="H242" t="s">
        <v>576</v>
      </c>
      <c r="I242">
        <v>41</v>
      </c>
      <c r="J242">
        <v>4</v>
      </c>
    </row>
    <row r="243" spans="1:10" x14ac:dyDescent="0.2">
      <c r="A243" t="s">
        <v>340</v>
      </c>
      <c r="B243" t="s">
        <v>634</v>
      </c>
      <c r="C243" t="s">
        <v>628</v>
      </c>
      <c r="D243" t="s">
        <v>572</v>
      </c>
      <c r="E243" t="s">
        <v>543</v>
      </c>
      <c r="F243">
        <v>8.33949349760438</v>
      </c>
      <c r="G243">
        <v>45</v>
      </c>
      <c r="H243" t="s">
        <v>576</v>
      </c>
      <c r="I243">
        <v>41</v>
      </c>
      <c r="J243">
        <v>4</v>
      </c>
    </row>
    <row r="244" spans="1:10" x14ac:dyDescent="0.2">
      <c r="A244" t="s">
        <v>137</v>
      </c>
      <c r="B244" t="s">
        <v>611</v>
      </c>
      <c r="C244" t="s">
        <v>626</v>
      </c>
      <c r="D244" t="s">
        <v>570</v>
      </c>
      <c r="E244" t="s">
        <v>543</v>
      </c>
      <c r="F244">
        <v>6.1765913757700197</v>
      </c>
      <c r="G244">
        <v>500</v>
      </c>
      <c r="H244" t="s">
        <v>598</v>
      </c>
      <c r="I244">
        <v>500</v>
      </c>
      <c r="J244">
        <v>0</v>
      </c>
    </row>
    <row r="245" spans="1:10" x14ac:dyDescent="0.2">
      <c r="A245" t="s">
        <v>122</v>
      </c>
      <c r="B245" t="s">
        <v>611</v>
      </c>
      <c r="C245" t="s">
        <v>626</v>
      </c>
      <c r="D245" t="s">
        <v>570</v>
      </c>
      <c r="E245" t="s">
        <v>542</v>
      </c>
      <c r="F245">
        <v>3.8412046543463298</v>
      </c>
      <c r="G245">
        <v>500</v>
      </c>
      <c r="H245" t="s">
        <v>598</v>
      </c>
      <c r="I245">
        <v>500</v>
      </c>
      <c r="J245">
        <v>0</v>
      </c>
    </row>
    <row r="246" spans="1:10" x14ac:dyDescent="0.2">
      <c r="A246" t="s">
        <v>151</v>
      </c>
      <c r="B246" t="s">
        <v>617</v>
      </c>
      <c r="C246" t="s">
        <v>626</v>
      </c>
      <c r="D246" t="s">
        <v>571</v>
      </c>
      <c r="E246" t="s">
        <v>543</v>
      </c>
      <c r="F246">
        <v>8.0903490759753591</v>
      </c>
      <c r="G246">
        <v>500</v>
      </c>
      <c r="H246" t="s">
        <v>598</v>
      </c>
      <c r="I246">
        <v>500</v>
      </c>
      <c r="J246">
        <v>0</v>
      </c>
    </row>
    <row r="247" spans="1:10" x14ac:dyDescent="0.2">
      <c r="A247" t="s">
        <v>144</v>
      </c>
      <c r="B247" t="s">
        <v>617</v>
      </c>
      <c r="C247" t="s">
        <v>626</v>
      </c>
      <c r="D247" t="s">
        <v>571</v>
      </c>
      <c r="E247" t="s">
        <v>543</v>
      </c>
      <c r="F247">
        <v>7.1759069130732298</v>
      </c>
      <c r="G247">
        <v>500</v>
      </c>
      <c r="H247" t="s">
        <v>598</v>
      </c>
      <c r="I247">
        <v>500</v>
      </c>
      <c r="J247">
        <v>0</v>
      </c>
    </row>
    <row r="248" spans="1:10" x14ac:dyDescent="0.2">
      <c r="A248" t="s">
        <v>43</v>
      </c>
      <c r="B248" t="s">
        <v>617</v>
      </c>
      <c r="C248" t="s">
        <v>626</v>
      </c>
      <c r="D248" t="s">
        <v>571</v>
      </c>
      <c r="E248" t="s">
        <v>542</v>
      </c>
      <c r="F248">
        <v>4.1752224503764497</v>
      </c>
      <c r="G248">
        <v>660</v>
      </c>
      <c r="H248" t="s">
        <v>598</v>
      </c>
      <c r="I248">
        <v>660</v>
      </c>
      <c r="J248">
        <v>0</v>
      </c>
    </row>
    <row r="249" spans="1:10" x14ac:dyDescent="0.2">
      <c r="A249" t="s">
        <v>33</v>
      </c>
      <c r="B249" t="s">
        <v>617</v>
      </c>
      <c r="C249" t="s">
        <v>626</v>
      </c>
      <c r="D249" t="s">
        <v>571</v>
      </c>
      <c r="E249" t="s">
        <v>542</v>
      </c>
      <c r="F249">
        <v>3.1759069130732298</v>
      </c>
      <c r="G249">
        <v>660</v>
      </c>
      <c r="H249" t="s">
        <v>598</v>
      </c>
      <c r="I249">
        <v>660</v>
      </c>
      <c r="J249">
        <v>0</v>
      </c>
    </row>
    <row r="250" spans="1:10" x14ac:dyDescent="0.2">
      <c r="A250" t="s">
        <v>26</v>
      </c>
      <c r="B250" t="s">
        <v>634</v>
      </c>
      <c r="C250" t="s">
        <v>628</v>
      </c>
      <c r="D250" t="s">
        <v>571</v>
      </c>
      <c r="E250" t="s">
        <v>542</v>
      </c>
      <c r="F250">
        <v>2.0917180013689198</v>
      </c>
      <c r="G250">
        <v>660</v>
      </c>
      <c r="H250" t="s">
        <v>598</v>
      </c>
      <c r="I250">
        <v>660</v>
      </c>
      <c r="J250">
        <v>0</v>
      </c>
    </row>
    <row r="251" spans="1:10" x14ac:dyDescent="0.2">
      <c r="A251" t="s">
        <v>393</v>
      </c>
      <c r="B251" t="s">
        <v>621</v>
      </c>
      <c r="C251" t="s">
        <v>625</v>
      </c>
      <c r="D251" t="s">
        <v>571</v>
      </c>
      <c r="E251" t="s">
        <v>546</v>
      </c>
      <c r="F251">
        <v>24.175222450376399</v>
      </c>
      <c r="G251">
        <v>210</v>
      </c>
      <c r="H251" t="s">
        <v>576</v>
      </c>
      <c r="I251">
        <v>210</v>
      </c>
      <c r="J251">
        <v>0</v>
      </c>
    </row>
    <row r="252" spans="1:10" x14ac:dyDescent="0.2">
      <c r="A252" t="s">
        <v>387</v>
      </c>
      <c r="B252" t="s">
        <v>621</v>
      </c>
      <c r="C252" t="s">
        <v>625</v>
      </c>
      <c r="D252" t="s">
        <v>571</v>
      </c>
      <c r="E252" t="s">
        <v>546</v>
      </c>
      <c r="F252">
        <v>23.175906913073199</v>
      </c>
      <c r="G252">
        <v>210</v>
      </c>
      <c r="H252" t="s">
        <v>576</v>
      </c>
      <c r="I252">
        <v>210</v>
      </c>
      <c r="J252">
        <v>0</v>
      </c>
    </row>
    <row r="253" spans="1:10" x14ac:dyDescent="0.2">
      <c r="A253" t="s">
        <v>382</v>
      </c>
      <c r="B253" t="s">
        <v>621</v>
      </c>
      <c r="C253" t="s">
        <v>625</v>
      </c>
      <c r="D253" t="s">
        <v>571</v>
      </c>
      <c r="E253" t="s">
        <v>546</v>
      </c>
      <c r="F253">
        <v>22.176591375769998</v>
      </c>
      <c r="G253">
        <v>210</v>
      </c>
      <c r="H253" t="s">
        <v>576</v>
      </c>
      <c r="I253">
        <v>210</v>
      </c>
      <c r="J253">
        <v>0</v>
      </c>
    </row>
    <row r="254" spans="1:10" x14ac:dyDescent="0.2">
      <c r="A254" t="s">
        <v>337</v>
      </c>
      <c r="B254" t="s">
        <v>621</v>
      </c>
      <c r="C254" t="s">
        <v>625</v>
      </c>
      <c r="D254" t="s">
        <v>571</v>
      </c>
      <c r="E254" t="s">
        <v>545</v>
      </c>
      <c r="F254">
        <v>15.589322381930099</v>
      </c>
      <c r="G254">
        <v>210</v>
      </c>
      <c r="H254" t="s">
        <v>576</v>
      </c>
      <c r="I254">
        <v>210</v>
      </c>
      <c r="J254">
        <v>0</v>
      </c>
    </row>
    <row r="255" spans="1:10" x14ac:dyDescent="0.2">
      <c r="A255" t="s">
        <v>299</v>
      </c>
      <c r="B255" t="s">
        <v>621</v>
      </c>
      <c r="C255" t="s">
        <v>625</v>
      </c>
      <c r="D255" t="s">
        <v>571</v>
      </c>
      <c r="E255" t="s">
        <v>544</v>
      </c>
      <c r="F255">
        <v>12.5913757700205</v>
      </c>
      <c r="G255">
        <v>250</v>
      </c>
      <c r="H255" t="s">
        <v>576</v>
      </c>
      <c r="I255">
        <v>250</v>
      </c>
      <c r="J255">
        <v>0</v>
      </c>
    </row>
    <row r="256" spans="1:10" x14ac:dyDescent="0.2">
      <c r="A256" t="s">
        <v>307</v>
      </c>
      <c r="B256" t="s">
        <v>621</v>
      </c>
      <c r="C256" t="s">
        <v>625</v>
      </c>
      <c r="D256" t="s">
        <v>571</v>
      </c>
      <c r="E256" t="s">
        <v>544</v>
      </c>
      <c r="F256">
        <v>13.1772758384668</v>
      </c>
      <c r="G256">
        <v>250</v>
      </c>
      <c r="H256" t="s">
        <v>576</v>
      </c>
      <c r="I256">
        <v>250</v>
      </c>
      <c r="J256">
        <v>0</v>
      </c>
    </row>
    <row r="257" spans="1:10" x14ac:dyDescent="0.2">
      <c r="A257" t="s">
        <v>168</v>
      </c>
      <c r="B257" t="s">
        <v>621</v>
      </c>
      <c r="C257" t="s">
        <v>625</v>
      </c>
      <c r="D257" t="s">
        <v>571</v>
      </c>
      <c r="E257" t="s">
        <v>543</v>
      </c>
      <c r="F257">
        <v>9.6728268309377103</v>
      </c>
      <c r="G257">
        <v>500</v>
      </c>
      <c r="H257" t="s">
        <v>598</v>
      </c>
      <c r="J257">
        <v>500</v>
      </c>
    </row>
    <row r="258" spans="1:10" x14ac:dyDescent="0.2">
      <c r="A258" t="s">
        <v>164</v>
      </c>
      <c r="B258" t="s">
        <v>621</v>
      </c>
      <c r="C258" t="s">
        <v>625</v>
      </c>
      <c r="D258" t="s">
        <v>571</v>
      </c>
      <c r="E258" t="s">
        <v>543</v>
      </c>
      <c r="F258">
        <v>9.1772758384667998</v>
      </c>
      <c r="G258">
        <v>500</v>
      </c>
      <c r="H258" t="s">
        <v>598</v>
      </c>
      <c r="J258">
        <v>500</v>
      </c>
    </row>
    <row r="259" spans="1:10" x14ac:dyDescent="0.2">
      <c r="A259" t="s">
        <v>115</v>
      </c>
      <c r="B259" t="s">
        <v>622</v>
      </c>
      <c r="C259" t="s">
        <v>627</v>
      </c>
      <c r="D259" t="s">
        <v>570</v>
      </c>
      <c r="E259" t="s">
        <v>543</v>
      </c>
      <c r="F259">
        <v>7.5893223819301801</v>
      </c>
      <c r="G259">
        <v>600</v>
      </c>
      <c r="H259" t="s">
        <v>598</v>
      </c>
      <c r="I259">
        <v>600</v>
      </c>
      <c r="J259">
        <v>0</v>
      </c>
    </row>
    <row r="260" spans="1:10" x14ac:dyDescent="0.2">
      <c r="A260" t="s">
        <v>452</v>
      </c>
      <c r="B260" t="s">
        <v>622</v>
      </c>
      <c r="C260" t="s">
        <v>627</v>
      </c>
      <c r="D260" t="s">
        <v>570</v>
      </c>
      <c r="E260" t="s">
        <v>548</v>
      </c>
      <c r="F260">
        <v>33.338809034907598</v>
      </c>
      <c r="G260">
        <v>210</v>
      </c>
      <c r="H260" t="s">
        <v>576</v>
      </c>
      <c r="I260">
        <v>210</v>
      </c>
      <c r="J260">
        <v>0</v>
      </c>
    </row>
    <row r="261" spans="1:10" x14ac:dyDescent="0.2">
      <c r="A261" t="s">
        <v>447</v>
      </c>
      <c r="B261" t="s">
        <v>622</v>
      </c>
      <c r="C261" t="s">
        <v>627</v>
      </c>
      <c r="D261" t="s">
        <v>570</v>
      </c>
      <c r="E261" t="s">
        <v>548</v>
      </c>
      <c r="F261">
        <v>32.4243668720054</v>
      </c>
      <c r="G261">
        <v>210</v>
      </c>
      <c r="H261" t="s">
        <v>576</v>
      </c>
      <c r="I261">
        <v>210</v>
      </c>
      <c r="J261">
        <v>0</v>
      </c>
    </row>
    <row r="262" spans="1:10" x14ac:dyDescent="0.2">
      <c r="A262" t="s">
        <v>436</v>
      </c>
      <c r="B262" t="s">
        <v>622</v>
      </c>
      <c r="C262" t="s">
        <v>627</v>
      </c>
      <c r="D262" t="s">
        <v>570</v>
      </c>
      <c r="E262" t="s">
        <v>548</v>
      </c>
      <c r="F262">
        <v>31.175906913073199</v>
      </c>
      <c r="G262">
        <v>210</v>
      </c>
      <c r="H262" t="s">
        <v>576</v>
      </c>
      <c r="I262">
        <v>210</v>
      </c>
      <c r="J262">
        <v>0</v>
      </c>
    </row>
    <row r="263" spans="1:10" x14ac:dyDescent="0.2">
      <c r="A263" t="s">
        <v>429</v>
      </c>
      <c r="B263" t="s">
        <v>622</v>
      </c>
      <c r="C263" t="s">
        <v>627</v>
      </c>
      <c r="D263" t="s">
        <v>570</v>
      </c>
      <c r="E263" t="s">
        <v>548</v>
      </c>
      <c r="F263">
        <v>30.176591375769998</v>
      </c>
      <c r="G263">
        <v>210</v>
      </c>
      <c r="H263" t="s">
        <v>576</v>
      </c>
      <c r="I263">
        <v>210</v>
      </c>
      <c r="J263">
        <v>0</v>
      </c>
    </row>
    <row r="264" spans="1:10" x14ac:dyDescent="0.2">
      <c r="A264" t="s">
        <v>248</v>
      </c>
      <c r="B264" t="s">
        <v>613</v>
      </c>
      <c r="C264" t="s">
        <v>626</v>
      </c>
      <c r="D264" t="s">
        <v>572</v>
      </c>
      <c r="E264" t="s">
        <v>544</v>
      </c>
      <c r="F264">
        <v>10.757015742642</v>
      </c>
      <c r="G264">
        <v>330</v>
      </c>
      <c r="H264" t="s">
        <v>576</v>
      </c>
      <c r="I264">
        <v>330</v>
      </c>
      <c r="J264">
        <v>0</v>
      </c>
    </row>
    <row r="265" spans="1:10" x14ac:dyDescent="0.2">
      <c r="A265" t="s">
        <v>239</v>
      </c>
      <c r="B265" t="s">
        <v>613</v>
      </c>
      <c r="C265" t="s">
        <v>626</v>
      </c>
      <c r="D265" t="s">
        <v>572</v>
      </c>
      <c r="E265" t="s">
        <v>544</v>
      </c>
      <c r="F265">
        <v>10.17659137577</v>
      </c>
      <c r="G265">
        <v>330</v>
      </c>
      <c r="H265" t="s">
        <v>576</v>
      </c>
      <c r="I265">
        <v>330</v>
      </c>
      <c r="J265">
        <v>0</v>
      </c>
    </row>
    <row r="266" spans="1:10" x14ac:dyDescent="0.2">
      <c r="A266" t="s">
        <v>231</v>
      </c>
      <c r="B266" t="s">
        <v>613</v>
      </c>
      <c r="C266" t="s">
        <v>626</v>
      </c>
      <c r="D266" t="s">
        <v>572</v>
      </c>
      <c r="E266" t="s">
        <v>543</v>
      </c>
      <c r="F266">
        <v>9.7577002053388</v>
      </c>
      <c r="G266">
        <v>330</v>
      </c>
      <c r="H266" t="s">
        <v>576</v>
      </c>
      <c r="I266">
        <v>330</v>
      </c>
      <c r="J266">
        <v>0</v>
      </c>
    </row>
    <row r="267" spans="1:10" x14ac:dyDescent="0.2">
      <c r="A267" t="s">
        <v>226</v>
      </c>
      <c r="B267" t="s">
        <v>613</v>
      </c>
      <c r="C267" t="s">
        <v>626</v>
      </c>
      <c r="D267" t="s">
        <v>572</v>
      </c>
      <c r="E267" t="s">
        <v>543</v>
      </c>
      <c r="F267">
        <v>9.4236824093086895</v>
      </c>
      <c r="G267">
        <v>330</v>
      </c>
      <c r="H267" t="s">
        <v>576</v>
      </c>
      <c r="I267">
        <v>330</v>
      </c>
      <c r="J267">
        <v>0</v>
      </c>
    </row>
    <row r="268" spans="1:10" x14ac:dyDescent="0.2">
      <c r="A268" t="s">
        <v>111</v>
      </c>
      <c r="B268" t="s">
        <v>613</v>
      </c>
      <c r="C268" t="s">
        <v>626</v>
      </c>
      <c r="D268" t="s">
        <v>572</v>
      </c>
      <c r="E268" t="s">
        <v>543</v>
      </c>
      <c r="F268">
        <v>9.4236824093086895</v>
      </c>
      <c r="G268">
        <v>660</v>
      </c>
      <c r="H268" t="s">
        <v>598</v>
      </c>
      <c r="I268">
        <v>660</v>
      </c>
      <c r="J268">
        <v>0</v>
      </c>
    </row>
    <row r="269" spans="1:10" x14ac:dyDescent="0.2">
      <c r="A269" t="s">
        <v>106</v>
      </c>
      <c r="B269" t="s">
        <v>613</v>
      </c>
      <c r="C269" t="s">
        <v>626</v>
      </c>
      <c r="D269" t="s">
        <v>572</v>
      </c>
      <c r="E269" t="s">
        <v>543</v>
      </c>
      <c r="F269">
        <v>8.8432580424366805</v>
      </c>
      <c r="G269">
        <v>660</v>
      </c>
      <c r="H269" t="s">
        <v>598</v>
      </c>
      <c r="I269">
        <v>660</v>
      </c>
      <c r="J269">
        <v>0</v>
      </c>
    </row>
    <row r="270" spans="1:10" x14ac:dyDescent="0.2">
      <c r="A270" t="s">
        <v>99</v>
      </c>
      <c r="B270" t="s">
        <v>613</v>
      </c>
      <c r="C270" t="s">
        <v>626</v>
      </c>
      <c r="D270" t="s">
        <v>572</v>
      </c>
      <c r="E270" t="s">
        <v>543</v>
      </c>
      <c r="F270">
        <v>8.5065023956194299</v>
      </c>
      <c r="G270">
        <v>660</v>
      </c>
      <c r="H270" t="s">
        <v>598</v>
      </c>
      <c r="I270">
        <v>660</v>
      </c>
      <c r="J270">
        <v>0</v>
      </c>
    </row>
    <row r="271" spans="1:10" x14ac:dyDescent="0.2">
      <c r="A271" t="s">
        <v>93</v>
      </c>
      <c r="B271" t="s">
        <v>613</v>
      </c>
      <c r="C271" t="s">
        <v>626</v>
      </c>
      <c r="D271" t="s">
        <v>572</v>
      </c>
      <c r="E271" t="s">
        <v>543</v>
      </c>
      <c r="F271">
        <v>8.1752224503764506</v>
      </c>
      <c r="G271">
        <v>660</v>
      </c>
      <c r="H271" t="s">
        <v>598</v>
      </c>
      <c r="I271">
        <v>660</v>
      </c>
      <c r="J271">
        <v>0</v>
      </c>
    </row>
    <row r="272" spans="1:10" x14ac:dyDescent="0.2">
      <c r="A272" t="s">
        <v>94</v>
      </c>
      <c r="B272" t="s">
        <v>613</v>
      </c>
      <c r="C272" t="s">
        <v>626</v>
      </c>
      <c r="D272" t="s">
        <v>572</v>
      </c>
      <c r="E272" t="s">
        <v>543</v>
      </c>
      <c r="F272">
        <v>8.1752224503764506</v>
      </c>
      <c r="G272">
        <v>660</v>
      </c>
      <c r="H272" t="s">
        <v>598</v>
      </c>
      <c r="I272">
        <v>660</v>
      </c>
      <c r="J272">
        <v>0</v>
      </c>
    </row>
    <row r="273" spans="1:10" x14ac:dyDescent="0.2">
      <c r="A273" t="s">
        <v>25</v>
      </c>
      <c r="B273" t="s">
        <v>613</v>
      </c>
      <c r="C273" t="s">
        <v>626</v>
      </c>
      <c r="D273" t="s">
        <v>572</v>
      </c>
      <c r="E273" t="s">
        <v>543</v>
      </c>
      <c r="F273">
        <v>8.1752224503764506</v>
      </c>
      <c r="G273">
        <v>800</v>
      </c>
      <c r="H273" t="s">
        <v>598</v>
      </c>
      <c r="I273">
        <v>800</v>
      </c>
      <c r="J273">
        <v>0</v>
      </c>
    </row>
    <row r="274" spans="1:10" x14ac:dyDescent="0.2">
      <c r="A274" t="s">
        <v>24</v>
      </c>
      <c r="B274" t="s">
        <v>613</v>
      </c>
      <c r="C274" t="s">
        <v>626</v>
      </c>
      <c r="D274" t="s">
        <v>572</v>
      </c>
      <c r="E274" t="s">
        <v>543</v>
      </c>
      <c r="F274">
        <v>7.8412046543463303</v>
      </c>
      <c r="G274">
        <v>800</v>
      </c>
      <c r="H274" t="s">
        <v>598</v>
      </c>
      <c r="I274">
        <v>800</v>
      </c>
      <c r="J274">
        <v>0</v>
      </c>
    </row>
    <row r="275" spans="1:10" x14ac:dyDescent="0.2">
      <c r="A275" t="s">
        <v>22</v>
      </c>
      <c r="B275" t="s">
        <v>613</v>
      </c>
      <c r="C275" t="s">
        <v>626</v>
      </c>
      <c r="D275" t="s">
        <v>572</v>
      </c>
      <c r="E275" t="s">
        <v>543</v>
      </c>
      <c r="F275">
        <v>7.5893223819301801</v>
      </c>
      <c r="G275">
        <v>800</v>
      </c>
      <c r="H275" t="s">
        <v>598</v>
      </c>
      <c r="I275">
        <v>800</v>
      </c>
      <c r="J275">
        <v>0</v>
      </c>
    </row>
    <row r="276" spans="1:10" x14ac:dyDescent="0.2">
      <c r="A276" t="s">
        <v>21</v>
      </c>
      <c r="B276" t="s">
        <v>613</v>
      </c>
      <c r="C276" t="s">
        <v>626</v>
      </c>
      <c r="D276" t="s">
        <v>572</v>
      </c>
      <c r="E276" t="s">
        <v>543</v>
      </c>
      <c r="F276">
        <v>7.3374401095140298</v>
      </c>
      <c r="G276">
        <v>800</v>
      </c>
      <c r="H276" t="s">
        <v>598</v>
      </c>
      <c r="I276">
        <v>800</v>
      </c>
      <c r="J276">
        <v>0</v>
      </c>
    </row>
    <row r="277" spans="1:10" x14ac:dyDescent="0.2">
      <c r="A277" t="s">
        <v>17</v>
      </c>
      <c r="B277" t="s">
        <v>613</v>
      </c>
      <c r="C277" t="s">
        <v>626</v>
      </c>
      <c r="D277" t="s">
        <v>572</v>
      </c>
      <c r="E277" t="s">
        <v>543</v>
      </c>
      <c r="F277">
        <v>7.1759069130732298</v>
      </c>
      <c r="G277">
        <v>800</v>
      </c>
      <c r="H277" t="s">
        <v>598</v>
      </c>
      <c r="I277">
        <v>800</v>
      </c>
      <c r="J277">
        <v>0</v>
      </c>
    </row>
    <row r="278" spans="1:10" x14ac:dyDescent="0.2">
      <c r="A278" t="s">
        <v>91</v>
      </c>
      <c r="B278" t="s">
        <v>622</v>
      </c>
      <c r="C278" t="s">
        <v>627</v>
      </c>
      <c r="D278" t="s">
        <v>572</v>
      </c>
      <c r="E278" t="s">
        <v>543</v>
      </c>
      <c r="F278">
        <v>5.4236824093086904</v>
      </c>
      <c r="G278">
        <v>600</v>
      </c>
      <c r="H278" t="s">
        <v>598</v>
      </c>
      <c r="I278">
        <v>600</v>
      </c>
      <c r="J278">
        <v>0</v>
      </c>
    </row>
    <row r="279" spans="1:10" x14ac:dyDescent="0.2">
      <c r="A279" t="s">
        <v>75</v>
      </c>
      <c r="B279" t="s">
        <v>622</v>
      </c>
      <c r="C279" t="s">
        <v>627</v>
      </c>
      <c r="D279" t="s">
        <v>572</v>
      </c>
      <c r="E279" t="s">
        <v>542</v>
      </c>
      <c r="F279">
        <v>4.33949349760438</v>
      </c>
      <c r="G279">
        <v>600</v>
      </c>
      <c r="H279" t="s">
        <v>598</v>
      </c>
      <c r="I279">
        <v>600</v>
      </c>
      <c r="J279">
        <v>0</v>
      </c>
    </row>
    <row r="280" spans="1:10" x14ac:dyDescent="0.2">
      <c r="A280" t="s">
        <v>300</v>
      </c>
      <c r="B280" t="s">
        <v>615</v>
      </c>
      <c r="C280" t="s">
        <v>625</v>
      </c>
      <c r="D280" t="s">
        <v>571</v>
      </c>
      <c r="E280" t="s">
        <v>543</v>
      </c>
      <c r="F280">
        <v>6.5051334702258696</v>
      </c>
      <c r="G280">
        <v>110</v>
      </c>
      <c r="H280" t="s">
        <v>576</v>
      </c>
      <c r="I280">
        <v>110</v>
      </c>
      <c r="J280">
        <v>0</v>
      </c>
    </row>
    <row r="281" spans="1:10" x14ac:dyDescent="0.2">
      <c r="A281" t="s">
        <v>287</v>
      </c>
      <c r="B281" t="s">
        <v>615</v>
      </c>
      <c r="C281" t="s">
        <v>625</v>
      </c>
      <c r="D281" t="s">
        <v>571</v>
      </c>
      <c r="E281" t="s">
        <v>543</v>
      </c>
      <c r="F281">
        <v>5.5058179329226498</v>
      </c>
      <c r="G281">
        <v>110</v>
      </c>
      <c r="H281" t="s">
        <v>576</v>
      </c>
      <c r="I281">
        <v>110</v>
      </c>
      <c r="J281">
        <v>0</v>
      </c>
    </row>
    <row r="282" spans="1:10" x14ac:dyDescent="0.2">
      <c r="A282" t="s">
        <v>251</v>
      </c>
      <c r="B282" t="s">
        <v>615</v>
      </c>
      <c r="C282" t="s">
        <v>625</v>
      </c>
      <c r="D282" t="s">
        <v>571</v>
      </c>
      <c r="E282" t="s">
        <v>543</v>
      </c>
      <c r="F282">
        <v>5.1772758384667998</v>
      </c>
      <c r="G282">
        <v>195</v>
      </c>
      <c r="H282" t="s">
        <v>576</v>
      </c>
      <c r="I282">
        <v>195</v>
      </c>
      <c r="J282">
        <v>0</v>
      </c>
    </row>
    <row r="283" spans="1:10" x14ac:dyDescent="0.2">
      <c r="A283" t="s">
        <v>224</v>
      </c>
      <c r="B283" t="s">
        <v>615</v>
      </c>
      <c r="C283" t="s">
        <v>625</v>
      </c>
      <c r="D283" t="s">
        <v>571</v>
      </c>
      <c r="E283" t="s">
        <v>542</v>
      </c>
      <c r="F283">
        <v>3.1759069130732298</v>
      </c>
      <c r="G283">
        <v>195</v>
      </c>
      <c r="H283" t="s">
        <v>598</v>
      </c>
      <c r="I283">
        <v>195</v>
      </c>
      <c r="J283">
        <v>0</v>
      </c>
    </row>
    <row r="284" spans="1:10" x14ac:dyDescent="0.2">
      <c r="A284" t="s">
        <v>206</v>
      </c>
      <c r="B284" t="s">
        <v>615</v>
      </c>
      <c r="C284" t="s">
        <v>625</v>
      </c>
      <c r="D284" t="s">
        <v>571</v>
      </c>
      <c r="E284" t="s">
        <v>542</v>
      </c>
      <c r="F284">
        <v>4.1752224503764497</v>
      </c>
      <c r="G284">
        <v>250</v>
      </c>
      <c r="H284" t="s">
        <v>598</v>
      </c>
      <c r="I284">
        <v>250</v>
      </c>
      <c r="J284">
        <v>0</v>
      </c>
    </row>
    <row r="285" spans="1:10" x14ac:dyDescent="0.2">
      <c r="A285" t="s">
        <v>199</v>
      </c>
      <c r="B285" t="s">
        <v>615</v>
      </c>
      <c r="C285" t="s">
        <v>625</v>
      </c>
      <c r="D285" t="s">
        <v>571</v>
      </c>
      <c r="E285" t="s">
        <v>542</v>
      </c>
      <c r="F285">
        <v>3.0910335386721401</v>
      </c>
      <c r="G285">
        <v>250</v>
      </c>
      <c r="H285" t="s">
        <v>598</v>
      </c>
      <c r="I285">
        <v>250</v>
      </c>
      <c r="J285">
        <v>0</v>
      </c>
    </row>
    <row r="286" spans="1:10" x14ac:dyDescent="0.2">
      <c r="A286" t="s">
        <v>183</v>
      </c>
      <c r="B286" t="s">
        <v>615</v>
      </c>
      <c r="C286" t="s">
        <v>625</v>
      </c>
      <c r="D286" t="s">
        <v>571</v>
      </c>
      <c r="E286" t="s">
        <v>542</v>
      </c>
      <c r="F286">
        <v>1.2539356605065</v>
      </c>
      <c r="G286">
        <v>250</v>
      </c>
      <c r="H286" t="s">
        <v>598</v>
      </c>
      <c r="I286">
        <v>250</v>
      </c>
      <c r="J286">
        <v>0</v>
      </c>
    </row>
    <row r="287" spans="1:10" x14ac:dyDescent="0.2">
      <c r="A287" t="s">
        <v>15</v>
      </c>
      <c r="B287" t="s">
        <v>615</v>
      </c>
      <c r="C287" t="s">
        <v>625</v>
      </c>
      <c r="D287" t="s">
        <v>571</v>
      </c>
      <c r="E287" t="s">
        <v>542</v>
      </c>
      <c r="F287">
        <v>0.81040383299110197</v>
      </c>
      <c r="G287">
        <v>660</v>
      </c>
      <c r="H287" t="s">
        <v>598</v>
      </c>
      <c r="I287">
        <v>660</v>
      </c>
      <c r="J287">
        <v>0</v>
      </c>
    </row>
    <row r="288" spans="1:10" x14ac:dyDescent="0.2">
      <c r="A288" t="s">
        <v>509</v>
      </c>
      <c r="B288" t="s">
        <v>617</v>
      </c>
      <c r="C288" t="s">
        <v>626</v>
      </c>
      <c r="D288" t="s">
        <v>570</v>
      </c>
      <c r="E288" t="s">
        <v>550</v>
      </c>
      <c r="F288">
        <v>41.0924024640657</v>
      </c>
      <c r="G288">
        <v>210</v>
      </c>
      <c r="H288" t="s">
        <v>576</v>
      </c>
      <c r="I288">
        <v>210</v>
      </c>
      <c r="J288">
        <v>0</v>
      </c>
    </row>
    <row r="289" spans="1:10" x14ac:dyDescent="0.2">
      <c r="A289" t="s">
        <v>505</v>
      </c>
      <c r="B289" t="s">
        <v>617</v>
      </c>
      <c r="C289" t="s">
        <v>626</v>
      </c>
      <c r="D289" t="s">
        <v>570</v>
      </c>
      <c r="E289" t="s">
        <v>549</v>
      </c>
      <c r="F289">
        <v>39.841204654346299</v>
      </c>
      <c r="G289">
        <v>210</v>
      </c>
      <c r="H289" t="s">
        <v>576</v>
      </c>
      <c r="I289">
        <v>210</v>
      </c>
      <c r="J289">
        <v>0</v>
      </c>
    </row>
    <row r="290" spans="1:10" x14ac:dyDescent="0.2">
      <c r="A290" t="s">
        <v>499</v>
      </c>
      <c r="B290" t="s">
        <v>617</v>
      </c>
      <c r="C290" t="s">
        <v>626</v>
      </c>
      <c r="D290" t="s">
        <v>570</v>
      </c>
      <c r="E290" t="s">
        <v>549</v>
      </c>
      <c r="F290">
        <v>39.337440109513999</v>
      </c>
      <c r="G290">
        <v>210</v>
      </c>
      <c r="H290" t="s">
        <v>576</v>
      </c>
      <c r="I290">
        <v>210</v>
      </c>
      <c r="J290">
        <v>0</v>
      </c>
    </row>
    <row r="291" spans="1:10" x14ac:dyDescent="0.2">
      <c r="A291" t="s">
        <v>186</v>
      </c>
      <c r="B291" t="s">
        <v>611</v>
      </c>
      <c r="C291" t="s">
        <v>626</v>
      </c>
      <c r="D291" t="s">
        <v>572</v>
      </c>
      <c r="E291" t="s">
        <v>542</v>
      </c>
      <c r="F291">
        <v>3.7563312799452402</v>
      </c>
      <c r="G291">
        <v>300</v>
      </c>
      <c r="H291" t="s">
        <v>598</v>
      </c>
      <c r="I291">
        <v>300</v>
      </c>
      <c r="J291">
        <v>0</v>
      </c>
    </row>
    <row r="292" spans="1:10" x14ac:dyDescent="0.2">
      <c r="A292" t="s">
        <v>180</v>
      </c>
      <c r="B292" t="s">
        <v>611</v>
      </c>
      <c r="C292" t="s">
        <v>626</v>
      </c>
      <c r="D292" t="s">
        <v>572</v>
      </c>
      <c r="E292" t="s">
        <v>542</v>
      </c>
      <c r="F292">
        <v>3.0910335386721401</v>
      </c>
      <c r="G292">
        <v>300</v>
      </c>
      <c r="H292" t="s">
        <v>598</v>
      </c>
      <c r="I292">
        <v>300</v>
      </c>
      <c r="J292">
        <v>0</v>
      </c>
    </row>
    <row r="293" spans="1:10" x14ac:dyDescent="0.2">
      <c r="A293" t="s">
        <v>59</v>
      </c>
      <c r="B293" t="s">
        <v>609</v>
      </c>
      <c r="C293" t="s">
        <v>626</v>
      </c>
      <c r="D293" t="s">
        <v>572</v>
      </c>
      <c r="E293" t="s">
        <v>543</v>
      </c>
      <c r="F293">
        <v>5.7577002053388</v>
      </c>
      <c r="G293">
        <v>660</v>
      </c>
      <c r="H293" t="s">
        <v>598</v>
      </c>
      <c r="I293">
        <v>660</v>
      </c>
      <c r="J293">
        <v>0</v>
      </c>
    </row>
    <row r="294" spans="1:10" x14ac:dyDescent="0.2">
      <c r="A294" t="s">
        <v>56</v>
      </c>
      <c r="B294" t="s">
        <v>609</v>
      </c>
      <c r="C294" t="s">
        <v>626</v>
      </c>
      <c r="D294" t="s">
        <v>572</v>
      </c>
      <c r="E294" t="s">
        <v>543</v>
      </c>
      <c r="F294">
        <v>5.2539356605065004</v>
      </c>
      <c r="G294">
        <v>660</v>
      </c>
      <c r="H294" t="s">
        <v>598</v>
      </c>
      <c r="I294">
        <v>660</v>
      </c>
      <c r="J294">
        <v>0</v>
      </c>
    </row>
    <row r="295" spans="1:10" x14ac:dyDescent="0.2">
      <c r="A295" t="s">
        <v>324</v>
      </c>
      <c r="B295" t="s">
        <v>609</v>
      </c>
      <c r="C295" t="s">
        <v>626</v>
      </c>
      <c r="D295" t="s">
        <v>572</v>
      </c>
      <c r="E295" t="s">
        <v>543</v>
      </c>
      <c r="F295">
        <v>6.4229979466118996</v>
      </c>
      <c r="G295">
        <v>45</v>
      </c>
      <c r="H295" t="s">
        <v>576</v>
      </c>
      <c r="J295">
        <v>45</v>
      </c>
    </row>
    <row r="296" spans="1:10" x14ac:dyDescent="0.2">
      <c r="A296" t="s">
        <v>266</v>
      </c>
      <c r="B296" t="s">
        <v>609</v>
      </c>
      <c r="C296" t="s">
        <v>626</v>
      </c>
      <c r="D296" t="s">
        <v>572</v>
      </c>
      <c r="E296" t="s">
        <v>542</v>
      </c>
      <c r="F296">
        <v>0.84325804243668701</v>
      </c>
      <c r="G296">
        <v>45</v>
      </c>
      <c r="H296" t="s">
        <v>576</v>
      </c>
      <c r="J296">
        <v>45</v>
      </c>
    </row>
    <row r="297" spans="1:10" x14ac:dyDescent="0.2">
      <c r="A297" t="s">
        <v>346</v>
      </c>
      <c r="B297" t="s">
        <v>622</v>
      </c>
      <c r="C297" t="s">
        <v>627</v>
      </c>
      <c r="D297" t="s">
        <v>570</v>
      </c>
      <c r="E297" t="s">
        <v>547</v>
      </c>
      <c r="F297">
        <v>16.383299110198401</v>
      </c>
      <c r="G297">
        <v>210</v>
      </c>
      <c r="H297" t="s">
        <v>576</v>
      </c>
      <c r="I297">
        <v>210</v>
      </c>
      <c r="J297">
        <v>0</v>
      </c>
    </row>
    <row r="298" spans="1:10" x14ac:dyDescent="0.2">
      <c r="A298" t="s">
        <v>345</v>
      </c>
      <c r="B298" t="s">
        <v>622</v>
      </c>
      <c r="C298" t="s">
        <v>627</v>
      </c>
      <c r="D298" t="s">
        <v>570</v>
      </c>
      <c r="E298" t="s">
        <v>547</v>
      </c>
      <c r="F298">
        <v>15.9247091033538</v>
      </c>
      <c r="G298">
        <v>210</v>
      </c>
      <c r="H298" t="s">
        <v>576</v>
      </c>
      <c r="I298">
        <v>210</v>
      </c>
      <c r="J298">
        <v>0</v>
      </c>
    </row>
    <row r="299" spans="1:10" x14ac:dyDescent="0.2">
      <c r="A299" t="s">
        <v>395</v>
      </c>
      <c r="B299" t="s">
        <v>622</v>
      </c>
      <c r="C299" t="s">
        <v>627</v>
      </c>
      <c r="D299" t="s">
        <v>570</v>
      </c>
      <c r="E299" t="s">
        <v>546</v>
      </c>
      <c r="F299">
        <v>24.2546201232032</v>
      </c>
      <c r="G299">
        <v>210</v>
      </c>
      <c r="H299" t="s">
        <v>576</v>
      </c>
      <c r="I299">
        <v>210</v>
      </c>
      <c r="J299">
        <v>0</v>
      </c>
    </row>
    <row r="300" spans="1:10" x14ac:dyDescent="0.2">
      <c r="A300" t="s">
        <v>109</v>
      </c>
      <c r="B300" t="s">
        <v>622</v>
      </c>
      <c r="C300" t="s">
        <v>627</v>
      </c>
      <c r="D300" t="s">
        <v>570</v>
      </c>
      <c r="E300" t="s">
        <v>543</v>
      </c>
      <c r="F300">
        <v>6.6009582477754902</v>
      </c>
      <c r="G300">
        <v>600</v>
      </c>
      <c r="H300" t="s">
        <v>598</v>
      </c>
      <c r="I300">
        <v>600</v>
      </c>
      <c r="J300">
        <v>0</v>
      </c>
    </row>
    <row r="301" spans="1:10" x14ac:dyDescent="0.2">
      <c r="A301" t="s">
        <v>112</v>
      </c>
      <c r="B301" t="s">
        <v>622</v>
      </c>
      <c r="C301" t="s">
        <v>627</v>
      </c>
      <c r="D301" t="s">
        <v>570</v>
      </c>
      <c r="E301" t="s">
        <v>543</v>
      </c>
      <c r="F301">
        <v>7.1348391512662497</v>
      </c>
      <c r="G301">
        <v>600</v>
      </c>
      <c r="H301" t="s">
        <v>598</v>
      </c>
      <c r="I301">
        <v>600</v>
      </c>
      <c r="J301">
        <v>0</v>
      </c>
    </row>
    <row r="302" spans="1:10" x14ac:dyDescent="0.2">
      <c r="A302" t="s">
        <v>132</v>
      </c>
      <c r="B302" t="s">
        <v>622</v>
      </c>
      <c r="C302" t="s">
        <v>627</v>
      </c>
      <c r="D302" t="s">
        <v>571</v>
      </c>
      <c r="E302" t="s">
        <v>543</v>
      </c>
      <c r="F302">
        <v>5.1772758384667998</v>
      </c>
      <c r="G302">
        <v>500</v>
      </c>
      <c r="H302" t="s">
        <v>598</v>
      </c>
      <c r="I302">
        <v>500</v>
      </c>
      <c r="J302">
        <v>0</v>
      </c>
    </row>
    <row r="303" spans="1:10" x14ac:dyDescent="0.2">
      <c r="A303" t="s">
        <v>130</v>
      </c>
      <c r="B303" t="s">
        <v>622</v>
      </c>
      <c r="C303" t="s">
        <v>627</v>
      </c>
      <c r="D303" t="s">
        <v>571</v>
      </c>
      <c r="E303" t="s">
        <v>542</v>
      </c>
      <c r="F303">
        <v>4.8432580424366796</v>
      </c>
      <c r="G303">
        <v>500</v>
      </c>
      <c r="H303" t="s">
        <v>598</v>
      </c>
      <c r="I303">
        <v>500</v>
      </c>
      <c r="J303">
        <v>0</v>
      </c>
    </row>
    <row r="304" spans="1:10" x14ac:dyDescent="0.2">
      <c r="A304" t="s">
        <v>535</v>
      </c>
      <c r="B304" t="s">
        <v>634</v>
      </c>
      <c r="C304" t="s">
        <v>628</v>
      </c>
      <c r="D304" t="s">
        <v>570</v>
      </c>
      <c r="E304" t="s">
        <v>551</v>
      </c>
      <c r="F304">
        <v>52.758384668035497</v>
      </c>
      <c r="G304">
        <v>50</v>
      </c>
      <c r="H304" t="s">
        <v>576</v>
      </c>
      <c r="I304">
        <v>50</v>
      </c>
      <c r="J304">
        <v>0</v>
      </c>
    </row>
    <row r="305" spans="1:10" x14ac:dyDescent="0.2">
      <c r="A305" t="s">
        <v>515</v>
      </c>
      <c r="B305" t="s">
        <v>634</v>
      </c>
      <c r="C305" t="s">
        <v>628</v>
      </c>
      <c r="D305" t="s">
        <v>570</v>
      </c>
      <c r="E305" t="s">
        <v>550</v>
      </c>
      <c r="F305">
        <v>41.338809034907598</v>
      </c>
      <c r="G305">
        <v>200</v>
      </c>
      <c r="H305" t="s">
        <v>576</v>
      </c>
      <c r="I305">
        <v>180</v>
      </c>
      <c r="J305">
        <v>20</v>
      </c>
    </row>
    <row r="306" spans="1:10" x14ac:dyDescent="0.2">
      <c r="A306" t="s">
        <v>516</v>
      </c>
      <c r="B306" t="s">
        <v>634</v>
      </c>
      <c r="C306" t="s">
        <v>628</v>
      </c>
      <c r="D306" t="s">
        <v>570</v>
      </c>
      <c r="E306" t="s">
        <v>550</v>
      </c>
      <c r="F306">
        <v>42.4229979466119</v>
      </c>
      <c r="G306">
        <v>200</v>
      </c>
      <c r="H306" t="s">
        <v>576</v>
      </c>
      <c r="I306">
        <v>180</v>
      </c>
      <c r="J306">
        <v>20</v>
      </c>
    </row>
    <row r="307" spans="1:10" x14ac:dyDescent="0.2">
      <c r="A307" t="s">
        <v>502</v>
      </c>
      <c r="B307" t="s">
        <v>634</v>
      </c>
      <c r="C307" t="s">
        <v>628</v>
      </c>
      <c r="D307" t="s">
        <v>570</v>
      </c>
      <c r="E307" t="s">
        <v>549</v>
      </c>
      <c r="F307">
        <v>39.175906913073199</v>
      </c>
      <c r="G307">
        <v>200</v>
      </c>
      <c r="H307" t="s">
        <v>576</v>
      </c>
      <c r="I307">
        <v>180</v>
      </c>
      <c r="J307">
        <v>20</v>
      </c>
    </row>
    <row r="308" spans="1:10" x14ac:dyDescent="0.2">
      <c r="A308" t="s">
        <v>496</v>
      </c>
      <c r="B308" t="s">
        <v>634</v>
      </c>
      <c r="C308" t="s">
        <v>628</v>
      </c>
      <c r="D308" t="s">
        <v>570</v>
      </c>
      <c r="E308" t="s">
        <v>549</v>
      </c>
      <c r="F308">
        <v>37.842573579739899</v>
      </c>
      <c r="G308">
        <v>200</v>
      </c>
      <c r="H308" t="s">
        <v>576</v>
      </c>
      <c r="I308">
        <v>180</v>
      </c>
      <c r="J308">
        <v>20</v>
      </c>
    </row>
    <row r="309" spans="1:10" x14ac:dyDescent="0.2">
      <c r="A309" t="s">
        <v>506</v>
      </c>
      <c r="B309" t="s">
        <v>634</v>
      </c>
      <c r="C309" t="s">
        <v>628</v>
      </c>
      <c r="D309" t="s">
        <v>570</v>
      </c>
      <c r="E309" t="s">
        <v>549</v>
      </c>
      <c r="F309">
        <v>39.589322381930103</v>
      </c>
      <c r="G309">
        <v>200</v>
      </c>
      <c r="H309" t="s">
        <v>576</v>
      </c>
      <c r="I309">
        <v>180</v>
      </c>
      <c r="J309">
        <v>20</v>
      </c>
    </row>
    <row r="310" spans="1:10" x14ac:dyDescent="0.2">
      <c r="A310" t="s">
        <v>301</v>
      </c>
      <c r="B310" t="s">
        <v>611</v>
      </c>
      <c r="C310" t="s">
        <v>626</v>
      </c>
      <c r="D310" t="s">
        <v>572</v>
      </c>
      <c r="E310" t="s">
        <v>544</v>
      </c>
      <c r="F310">
        <v>12.6735112936344</v>
      </c>
      <c r="G310">
        <v>250</v>
      </c>
      <c r="H310" t="s">
        <v>576</v>
      </c>
      <c r="I310">
        <v>250</v>
      </c>
      <c r="J310">
        <v>0</v>
      </c>
    </row>
    <row r="311" spans="1:10" x14ac:dyDescent="0.2">
      <c r="A311" t="s">
        <v>294</v>
      </c>
      <c r="B311" t="s">
        <v>611</v>
      </c>
      <c r="C311" t="s">
        <v>626</v>
      </c>
      <c r="D311" t="s">
        <v>572</v>
      </c>
      <c r="E311" t="s">
        <v>544</v>
      </c>
      <c r="F311">
        <v>12.2546201232032</v>
      </c>
      <c r="G311">
        <v>250</v>
      </c>
      <c r="H311" t="s">
        <v>576</v>
      </c>
      <c r="I311">
        <v>250</v>
      </c>
      <c r="J311">
        <v>0</v>
      </c>
    </row>
    <row r="312" spans="1:10" x14ac:dyDescent="0.2">
      <c r="A312" t="s">
        <v>105</v>
      </c>
      <c r="B312" t="s">
        <v>611</v>
      </c>
      <c r="C312" t="s">
        <v>626</v>
      </c>
      <c r="D312" t="s">
        <v>572</v>
      </c>
      <c r="E312" t="s">
        <v>543</v>
      </c>
      <c r="F312">
        <v>6.1765913757700197</v>
      </c>
      <c r="G312">
        <v>600</v>
      </c>
      <c r="H312" t="s">
        <v>598</v>
      </c>
      <c r="I312">
        <v>600</v>
      </c>
      <c r="J312">
        <v>0</v>
      </c>
    </row>
    <row r="313" spans="1:10" x14ac:dyDescent="0.2">
      <c r="A313" t="s">
        <v>104</v>
      </c>
      <c r="B313" t="s">
        <v>611</v>
      </c>
      <c r="C313" t="s">
        <v>626</v>
      </c>
      <c r="D313" t="s">
        <v>572</v>
      </c>
      <c r="E313" t="s">
        <v>543</v>
      </c>
      <c r="F313">
        <v>6.1765913757700197</v>
      </c>
      <c r="G313">
        <v>600</v>
      </c>
      <c r="H313" t="s">
        <v>598</v>
      </c>
      <c r="I313">
        <v>600</v>
      </c>
      <c r="J313">
        <v>0</v>
      </c>
    </row>
    <row r="314" spans="1:10" x14ac:dyDescent="0.2">
      <c r="A314" t="s">
        <v>88</v>
      </c>
      <c r="B314" t="s">
        <v>611</v>
      </c>
      <c r="C314" t="s">
        <v>626</v>
      </c>
      <c r="D314" t="s">
        <v>572</v>
      </c>
      <c r="E314" t="s">
        <v>543</v>
      </c>
      <c r="F314">
        <v>5.3388090349075901</v>
      </c>
      <c r="G314">
        <v>600</v>
      </c>
      <c r="H314" t="s">
        <v>598</v>
      </c>
      <c r="I314">
        <v>600</v>
      </c>
      <c r="J314">
        <v>0</v>
      </c>
    </row>
    <row r="315" spans="1:10" x14ac:dyDescent="0.2">
      <c r="A315" t="s">
        <v>87</v>
      </c>
      <c r="B315" t="s">
        <v>611</v>
      </c>
      <c r="C315" t="s">
        <v>626</v>
      </c>
      <c r="D315" t="s">
        <v>572</v>
      </c>
      <c r="E315" t="s">
        <v>543</v>
      </c>
      <c r="F315">
        <v>5.1772758384667998</v>
      </c>
      <c r="G315">
        <v>600</v>
      </c>
      <c r="H315" t="s">
        <v>598</v>
      </c>
      <c r="I315">
        <v>600</v>
      </c>
      <c r="J315">
        <v>0</v>
      </c>
    </row>
    <row r="316" spans="1:10" x14ac:dyDescent="0.2">
      <c r="A316" t="s">
        <v>291</v>
      </c>
      <c r="B316" t="s">
        <v>611</v>
      </c>
      <c r="C316" t="s">
        <v>626</v>
      </c>
      <c r="D316" t="s">
        <v>572</v>
      </c>
      <c r="E316" t="s">
        <v>544</v>
      </c>
      <c r="F316">
        <v>12.175222450376401</v>
      </c>
      <c r="G316">
        <v>250</v>
      </c>
      <c r="H316" t="s">
        <v>576</v>
      </c>
      <c r="I316">
        <v>250</v>
      </c>
      <c r="J316">
        <v>0</v>
      </c>
    </row>
    <row r="317" spans="1:10" x14ac:dyDescent="0.2">
      <c r="A317" t="s">
        <v>289</v>
      </c>
      <c r="B317" t="s">
        <v>611</v>
      </c>
      <c r="C317" t="s">
        <v>626</v>
      </c>
      <c r="D317" t="s">
        <v>572</v>
      </c>
      <c r="E317" t="s">
        <v>544</v>
      </c>
      <c r="F317">
        <v>11.9233401779603</v>
      </c>
      <c r="G317">
        <v>250</v>
      </c>
      <c r="H317" t="s">
        <v>576</v>
      </c>
      <c r="I317">
        <v>250</v>
      </c>
      <c r="J317">
        <v>0</v>
      </c>
    </row>
    <row r="318" spans="1:10" x14ac:dyDescent="0.2">
      <c r="A318" t="s">
        <v>55</v>
      </c>
      <c r="B318" t="s">
        <v>614</v>
      </c>
      <c r="C318" t="s">
        <v>627</v>
      </c>
      <c r="D318" t="s">
        <v>572</v>
      </c>
      <c r="E318" t="s">
        <v>543</v>
      </c>
      <c r="F318">
        <v>5.2539356605065004</v>
      </c>
      <c r="G318">
        <v>660</v>
      </c>
      <c r="H318" t="s">
        <v>598</v>
      </c>
      <c r="I318">
        <v>500</v>
      </c>
      <c r="J318">
        <v>160</v>
      </c>
    </row>
    <row r="319" spans="1:10" x14ac:dyDescent="0.2">
      <c r="A319" t="s">
        <v>48</v>
      </c>
      <c r="B319" t="s">
        <v>614</v>
      </c>
      <c r="C319" t="s">
        <v>627</v>
      </c>
      <c r="D319" t="s">
        <v>572</v>
      </c>
      <c r="E319" t="s">
        <v>542</v>
      </c>
      <c r="F319">
        <v>4.6735112936344896</v>
      </c>
      <c r="G319">
        <v>660</v>
      </c>
      <c r="H319" t="s">
        <v>598</v>
      </c>
      <c r="I319">
        <v>500</v>
      </c>
      <c r="J319">
        <v>160</v>
      </c>
    </row>
    <row r="320" spans="1:10" x14ac:dyDescent="0.2">
      <c r="A320" t="s">
        <v>438</v>
      </c>
      <c r="B320" t="s">
        <v>619</v>
      </c>
      <c r="C320" t="s">
        <v>628</v>
      </c>
      <c r="D320" t="s">
        <v>570</v>
      </c>
      <c r="E320" t="s">
        <v>548</v>
      </c>
      <c r="F320">
        <v>31.175906913073199</v>
      </c>
      <c r="G320">
        <v>210</v>
      </c>
      <c r="H320" t="s">
        <v>576</v>
      </c>
      <c r="I320">
        <v>210</v>
      </c>
      <c r="J320">
        <v>0</v>
      </c>
    </row>
    <row r="321" spans="1:10" x14ac:dyDescent="0.2">
      <c r="A321" t="s">
        <v>359</v>
      </c>
      <c r="B321" t="s">
        <v>619</v>
      </c>
      <c r="C321" t="s">
        <v>628</v>
      </c>
      <c r="D321" t="s">
        <v>570</v>
      </c>
      <c r="E321" t="s">
        <v>545</v>
      </c>
      <c r="F321">
        <v>19.175906913073199</v>
      </c>
      <c r="G321">
        <v>210</v>
      </c>
      <c r="H321" t="s">
        <v>576</v>
      </c>
      <c r="I321">
        <v>210</v>
      </c>
      <c r="J321">
        <v>0</v>
      </c>
    </row>
    <row r="322" spans="1:10" x14ac:dyDescent="0.2">
      <c r="A322" t="s">
        <v>325</v>
      </c>
      <c r="B322" t="s">
        <v>619</v>
      </c>
      <c r="C322" t="s">
        <v>628</v>
      </c>
      <c r="D322" t="s">
        <v>570</v>
      </c>
      <c r="E322" t="s">
        <v>545</v>
      </c>
      <c r="F322">
        <v>15.6714579055441</v>
      </c>
      <c r="G322">
        <v>250</v>
      </c>
      <c r="H322" t="s">
        <v>576</v>
      </c>
      <c r="I322">
        <v>250</v>
      </c>
      <c r="J322">
        <v>0</v>
      </c>
    </row>
    <row r="323" spans="1:10" x14ac:dyDescent="0.2">
      <c r="A323" t="s">
        <v>322</v>
      </c>
      <c r="B323" t="s">
        <v>619</v>
      </c>
      <c r="C323" t="s">
        <v>628</v>
      </c>
      <c r="D323" t="s">
        <v>570</v>
      </c>
      <c r="E323" t="s">
        <v>545</v>
      </c>
      <c r="F323">
        <v>15.337440109514</v>
      </c>
      <c r="G323">
        <v>250</v>
      </c>
      <c r="H323" t="s">
        <v>576</v>
      </c>
      <c r="I323">
        <v>250</v>
      </c>
      <c r="J323">
        <v>0</v>
      </c>
    </row>
    <row r="324" spans="1:10" x14ac:dyDescent="0.2">
      <c r="A324" t="s">
        <v>304</v>
      </c>
      <c r="B324" t="s">
        <v>617</v>
      </c>
      <c r="C324" t="s">
        <v>626</v>
      </c>
      <c r="D324" t="s">
        <v>570</v>
      </c>
      <c r="E324" t="s">
        <v>544</v>
      </c>
      <c r="F324">
        <v>13.0102669404517</v>
      </c>
      <c r="G324">
        <v>250</v>
      </c>
      <c r="H324" t="s">
        <v>576</v>
      </c>
      <c r="I324">
        <v>250</v>
      </c>
      <c r="J324">
        <v>0</v>
      </c>
    </row>
    <row r="325" spans="1:10" x14ac:dyDescent="0.2">
      <c r="A325" t="s">
        <v>271</v>
      </c>
      <c r="B325" t="s">
        <v>617</v>
      </c>
      <c r="C325" t="s">
        <v>626</v>
      </c>
      <c r="D325" t="s">
        <v>570</v>
      </c>
      <c r="E325" t="s">
        <v>544</v>
      </c>
      <c r="F325">
        <v>10.17659137577</v>
      </c>
      <c r="G325">
        <v>250</v>
      </c>
      <c r="H325" t="s">
        <v>576</v>
      </c>
      <c r="I325">
        <v>250</v>
      </c>
      <c r="J325">
        <v>0</v>
      </c>
    </row>
    <row r="326" spans="1:10" x14ac:dyDescent="0.2">
      <c r="A326" t="s">
        <v>503</v>
      </c>
      <c r="B326" t="s">
        <v>634</v>
      </c>
      <c r="C326" t="s">
        <v>628</v>
      </c>
      <c r="D326" t="s">
        <v>570</v>
      </c>
      <c r="E326" t="s">
        <v>549</v>
      </c>
      <c r="F326">
        <v>35.2525667351129</v>
      </c>
      <c r="G326">
        <v>110</v>
      </c>
      <c r="H326" t="s">
        <v>576</v>
      </c>
      <c r="I326">
        <v>99</v>
      </c>
      <c r="J326">
        <v>11</v>
      </c>
    </row>
    <row r="327" spans="1:10" x14ac:dyDescent="0.2">
      <c r="A327" t="s">
        <v>328</v>
      </c>
      <c r="B327" t="s">
        <v>634</v>
      </c>
      <c r="C327" t="s">
        <v>628</v>
      </c>
      <c r="D327" t="s">
        <v>570</v>
      </c>
      <c r="E327" t="s">
        <v>544</v>
      </c>
      <c r="F327">
        <v>14.17659137577</v>
      </c>
      <c r="G327">
        <v>210</v>
      </c>
      <c r="H327" t="s">
        <v>576</v>
      </c>
      <c r="I327">
        <v>189</v>
      </c>
      <c r="J327">
        <v>21</v>
      </c>
    </row>
    <row r="328" spans="1:10" x14ac:dyDescent="0.2">
      <c r="A328" t="s">
        <v>320</v>
      </c>
      <c r="B328" t="s">
        <v>634</v>
      </c>
      <c r="C328" t="s">
        <v>628</v>
      </c>
      <c r="D328" t="s">
        <v>570</v>
      </c>
      <c r="E328" t="s">
        <v>544</v>
      </c>
      <c r="F328">
        <v>13.423682409308601</v>
      </c>
      <c r="G328">
        <v>210</v>
      </c>
      <c r="H328" t="s">
        <v>576</v>
      </c>
      <c r="I328">
        <v>189</v>
      </c>
      <c r="J328">
        <v>21</v>
      </c>
    </row>
    <row r="329" spans="1:10" x14ac:dyDescent="0.2">
      <c r="A329" t="s">
        <v>256</v>
      </c>
      <c r="B329" t="s">
        <v>634</v>
      </c>
      <c r="C329" t="s">
        <v>628</v>
      </c>
      <c r="D329" t="s">
        <v>570</v>
      </c>
      <c r="E329" t="s">
        <v>543</v>
      </c>
      <c r="F329">
        <v>8.00821355236139</v>
      </c>
      <c r="G329">
        <v>250</v>
      </c>
      <c r="H329" t="s">
        <v>598</v>
      </c>
      <c r="I329">
        <v>202.5</v>
      </c>
      <c r="J329">
        <v>47.5</v>
      </c>
    </row>
    <row r="330" spans="1:10" x14ac:dyDescent="0.2">
      <c r="A330" t="s">
        <v>245</v>
      </c>
      <c r="B330" t="s">
        <v>634</v>
      </c>
      <c r="C330" t="s">
        <v>628</v>
      </c>
      <c r="D330" t="s">
        <v>570</v>
      </c>
      <c r="E330" t="s">
        <v>543</v>
      </c>
      <c r="F330">
        <v>7.1759069130732298</v>
      </c>
      <c r="G330">
        <v>250</v>
      </c>
      <c r="H330" t="s">
        <v>598</v>
      </c>
      <c r="I330">
        <v>202.5</v>
      </c>
      <c r="J330">
        <v>47.5</v>
      </c>
    </row>
    <row r="331" spans="1:10" x14ac:dyDescent="0.2">
      <c r="A331" t="s">
        <v>309</v>
      </c>
      <c r="B331" t="s">
        <v>617</v>
      </c>
      <c r="C331" t="s">
        <v>626</v>
      </c>
      <c r="D331" t="s">
        <v>570</v>
      </c>
      <c r="E331" t="s">
        <v>544</v>
      </c>
      <c r="F331">
        <v>13.2539356605065</v>
      </c>
      <c r="G331">
        <v>250</v>
      </c>
      <c r="H331" t="s">
        <v>576</v>
      </c>
      <c r="I331">
        <v>250</v>
      </c>
      <c r="J331">
        <v>0</v>
      </c>
    </row>
    <row r="332" spans="1:10" x14ac:dyDescent="0.2">
      <c r="A332" t="s">
        <v>275</v>
      </c>
      <c r="B332" t="s">
        <v>617</v>
      </c>
      <c r="C332" t="s">
        <v>626</v>
      </c>
      <c r="D332" t="s">
        <v>570</v>
      </c>
      <c r="E332" t="s">
        <v>544</v>
      </c>
      <c r="F332">
        <v>10.2532511978097</v>
      </c>
      <c r="G332">
        <v>250</v>
      </c>
      <c r="H332" t="s">
        <v>576</v>
      </c>
      <c r="I332">
        <v>250</v>
      </c>
      <c r="J332">
        <v>0</v>
      </c>
    </row>
    <row r="333" spans="1:10" x14ac:dyDescent="0.2">
      <c r="A333" t="s">
        <v>207</v>
      </c>
      <c r="B333" t="s">
        <v>617</v>
      </c>
      <c r="C333" t="s">
        <v>626</v>
      </c>
      <c r="D333" t="s">
        <v>570</v>
      </c>
      <c r="E333" t="s">
        <v>542</v>
      </c>
      <c r="F333">
        <v>4.1752224503764497</v>
      </c>
      <c r="G333">
        <v>250</v>
      </c>
      <c r="H333" t="s">
        <v>598</v>
      </c>
      <c r="I333">
        <v>250</v>
      </c>
      <c r="J333">
        <v>0</v>
      </c>
    </row>
    <row r="334" spans="1:10" x14ac:dyDescent="0.2">
      <c r="A334" t="s">
        <v>261</v>
      </c>
      <c r="B334" t="s">
        <v>611</v>
      </c>
      <c r="C334" t="s">
        <v>626</v>
      </c>
      <c r="D334" t="s">
        <v>572</v>
      </c>
      <c r="E334" t="s">
        <v>544</v>
      </c>
      <c r="F334">
        <v>10.924024640657001</v>
      </c>
      <c r="G334">
        <v>300</v>
      </c>
      <c r="H334" t="s">
        <v>598</v>
      </c>
      <c r="I334">
        <v>300</v>
      </c>
      <c r="J334">
        <v>0</v>
      </c>
    </row>
    <row r="335" spans="1:10" x14ac:dyDescent="0.2">
      <c r="A335" t="s">
        <v>254</v>
      </c>
      <c r="B335" t="s">
        <v>611</v>
      </c>
      <c r="C335" t="s">
        <v>626</v>
      </c>
      <c r="D335" t="s">
        <v>572</v>
      </c>
      <c r="E335" t="s">
        <v>544</v>
      </c>
      <c r="F335">
        <v>10.17659137577</v>
      </c>
      <c r="G335">
        <v>300</v>
      </c>
      <c r="H335" t="s">
        <v>598</v>
      </c>
      <c r="I335">
        <v>300</v>
      </c>
      <c r="J335">
        <v>0</v>
      </c>
    </row>
    <row r="336" spans="1:10" x14ac:dyDescent="0.2">
      <c r="A336" t="s">
        <v>97</v>
      </c>
      <c r="B336" t="s">
        <v>621</v>
      </c>
      <c r="C336" t="s">
        <v>625</v>
      </c>
      <c r="D336" t="s">
        <v>571</v>
      </c>
      <c r="E336" t="s">
        <v>543</v>
      </c>
      <c r="F336">
        <v>5.7577002053388</v>
      </c>
      <c r="G336">
        <v>600</v>
      </c>
      <c r="H336" t="s">
        <v>598</v>
      </c>
      <c r="I336">
        <v>600</v>
      </c>
      <c r="J336">
        <v>0</v>
      </c>
    </row>
    <row r="337" spans="1:10" x14ac:dyDescent="0.2">
      <c r="A337" t="s">
        <v>74</v>
      </c>
      <c r="B337" t="s">
        <v>621</v>
      </c>
      <c r="C337" t="s">
        <v>625</v>
      </c>
      <c r="D337" t="s">
        <v>571</v>
      </c>
      <c r="E337" t="s">
        <v>542</v>
      </c>
      <c r="F337">
        <v>4.33949349760438</v>
      </c>
      <c r="G337">
        <v>600</v>
      </c>
      <c r="H337" t="s">
        <v>598</v>
      </c>
      <c r="I337">
        <v>600</v>
      </c>
      <c r="J337">
        <v>0</v>
      </c>
    </row>
    <row r="338" spans="1:10" x14ac:dyDescent="0.2">
      <c r="A338" t="s">
        <v>464</v>
      </c>
      <c r="B338" t="s">
        <v>612</v>
      </c>
      <c r="C338" t="s">
        <v>627</v>
      </c>
      <c r="D338" t="s">
        <v>570</v>
      </c>
      <c r="E338" t="s">
        <v>549</v>
      </c>
      <c r="F338">
        <v>35.175906913073199</v>
      </c>
      <c r="G338">
        <v>210</v>
      </c>
      <c r="H338" t="s">
        <v>576</v>
      </c>
      <c r="I338">
        <v>210</v>
      </c>
      <c r="J338">
        <v>0</v>
      </c>
    </row>
    <row r="339" spans="1:10" x14ac:dyDescent="0.2">
      <c r="A339" t="s">
        <v>457</v>
      </c>
      <c r="B339" t="s">
        <v>612</v>
      </c>
      <c r="C339" t="s">
        <v>627</v>
      </c>
      <c r="D339" t="s">
        <v>570</v>
      </c>
      <c r="E339" t="s">
        <v>548</v>
      </c>
      <c r="F339">
        <v>34.176591375770002</v>
      </c>
      <c r="G339">
        <v>210</v>
      </c>
      <c r="H339" t="s">
        <v>576</v>
      </c>
      <c r="I339">
        <v>210</v>
      </c>
      <c r="J339">
        <v>0</v>
      </c>
    </row>
    <row r="340" spans="1:10" x14ac:dyDescent="0.2">
      <c r="A340" t="s">
        <v>424</v>
      </c>
      <c r="B340" t="s">
        <v>612</v>
      </c>
      <c r="C340" t="s">
        <v>627</v>
      </c>
      <c r="D340" t="s">
        <v>570</v>
      </c>
      <c r="E340" t="s">
        <v>547</v>
      </c>
      <c r="F340">
        <v>29.177275838466802</v>
      </c>
      <c r="G340">
        <v>210</v>
      </c>
      <c r="H340" t="s">
        <v>576</v>
      </c>
      <c r="I340">
        <v>210</v>
      </c>
      <c r="J340">
        <v>0</v>
      </c>
    </row>
    <row r="341" spans="1:10" x14ac:dyDescent="0.2">
      <c r="A341" t="s">
        <v>402</v>
      </c>
      <c r="B341" t="s">
        <v>612</v>
      </c>
      <c r="C341" t="s">
        <v>627</v>
      </c>
      <c r="D341" t="s">
        <v>570</v>
      </c>
      <c r="E341" t="s">
        <v>547</v>
      </c>
      <c r="F341">
        <v>25.672826830937701</v>
      </c>
      <c r="G341">
        <v>210</v>
      </c>
      <c r="H341" t="s">
        <v>576</v>
      </c>
      <c r="I341">
        <v>210</v>
      </c>
      <c r="J341">
        <v>0</v>
      </c>
    </row>
    <row r="342" spans="1:10" x14ac:dyDescent="0.2">
      <c r="A342" t="s">
        <v>378</v>
      </c>
      <c r="B342" t="s">
        <v>612</v>
      </c>
      <c r="C342" t="s">
        <v>627</v>
      </c>
      <c r="D342" t="s">
        <v>570</v>
      </c>
      <c r="E342" t="s">
        <v>546</v>
      </c>
      <c r="F342">
        <v>21.338809034907499</v>
      </c>
      <c r="G342">
        <v>210</v>
      </c>
      <c r="H342" t="s">
        <v>576</v>
      </c>
      <c r="I342">
        <v>210</v>
      </c>
      <c r="J342">
        <v>0</v>
      </c>
    </row>
    <row r="343" spans="1:10" x14ac:dyDescent="0.2">
      <c r="A343" t="s">
        <v>374</v>
      </c>
      <c r="B343" t="s">
        <v>612</v>
      </c>
      <c r="C343" t="s">
        <v>627</v>
      </c>
      <c r="D343" t="s">
        <v>570</v>
      </c>
      <c r="E343" t="s">
        <v>546</v>
      </c>
      <c r="F343">
        <v>20.843258042436599</v>
      </c>
      <c r="G343">
        <v>210</v>
      </c>
      <c r="H343" t="s">
        <v>576</v>
      </c>
      <c r="I343">
        <v>210</v>
      </c>
      <c r="J343">
        <v>0</v>
      </c>
    </row>
    <row r="344" spans="1:10" x14ac:dyDescent="0.2">
      <c r="A344" t="s">
        <v>350</v>
      </c>
      <c r="B344" t="s">
        <v>612</v>
      </c>
      <c r="C344" t="s">
        <v>627</v>
      </c>
      <c r="D344" t="s">
        <v>570</v>
      </c>
      <c r="E344" t="s">
        <v>545</v>
      </c>
      <c r="F344">
        <v>17.423682409308601</v>
      </c>
      <c r="G344">
        <v>210</v>
      </c>
      <c r="H344" t="s">
        <v>576</v>
      </c>
      <c r="I344">
        <v>210</v>
      </c>
      <c r="J344">
        <v>0</v>
      </c>
    </row>
    <row r="345" spans="1:10" x14ac:dyDescent="0.2">
      <c r="A345" t="s">
        <v>267</v>
      </c>
      <c r="B345" t="s">
        <v>612</v>
      </c>
      <c r="C345" t="s">
        <v>627</v>
      </c>
      <c r="D345" t="s">
        <v>570</v>
      </c>
      <c r="E345" t="s">
        <v>543</v>
      </c>
      <c r="F345">
        <v>9.9247091033538606</v>
      </c>
      <c r="G345">
        <v>250</v>
      </c>
      <c r="H345" t="s">
        <v>598</v>
      </c>
      <c r="I345">
        <v>250</v>
      </c>
      <c r="J345">
        <v>0</v>
      </c>
    </row>
    <row r="346" spans="1:10" x14ac:dyDescent="0.2">
      <c r="A346" t="s">
        <v>39</v>
      </c>
      <c r="B346" t="s">
        <v>611</v>
      </c>
      <c r="C346" t="s">
        <v>626</v>
      </c>
      <c r="D346" t="s">
        <v>572</v>
      </c>
      <c r="E346" t="s">
        <v>543</v>
      </c>
      <c r="F346">
        <v>5.2539356605065004</v>
      </c>
      <c r="G346">
        <v>685</v>
      </c>
      <c r="H346" t="s">
        <v>598</v>
      </c>
      <c r="J346">
        <v>685</v>
      </c>
    </row>
    <row r="347" spans="1:10" x14ac:dyDescent="0.2">
      <c r="A347" t="s">
        <v>29</v>
      </c>
      <c r="B347" t="s">
        <v>611</v>
      </c>
      <c r="C347" t="s">
        <v>626</v>
      </c>
      <c r="D347" t="s">
        <v>572</v>
      </c>
      <c r="E347" t="s">
        <v>542</v>
      </c>
      <c r="F347">
        <v>4.1752224503764497</v>
      </c>
      <c r="G347">
        <v>685</v>
      </c>
      <c r="H347" t="s">
        <v>598</v>
      </c>
      <c r="J347">
        <v>685</v>
      </c>
    </row>
    <row r="348" spans="1:10" x14ac:dyDescent="0.2">
      <c r="A348" t="s">
        <v>135</v>
      </c>
      <c r="B348" t="s">
        <v>619</v>
      </c>
      <c r="C348" t="s">
        <v>628</v>
      </c>
      <c r="D348" t="s">
        <v>570</v>
      </c>
      <c r="E348" t="s">
        <v>544</v>
      </c>
      <c r="F348">
        <v>10.17659137577</v>
      </c>
      <c r="G348">
        <v>600</v>
      </c>
      <c r="H348" t="s">
        <v>598</v>
      </c>
      <c r="I348">
        <v>600</v>
      </c>
      <c r="J348">
        <v>0</v>
      </c>
    </row>
    <row r="349" spans="1:10" x14ac:dyDescent="0.2">
      <c r="A349" t="s">
        <v>134</v>
      </c>
      <c r="B349" t="s">
        <v>619</v>
      </c>
      <c r="C349" t="s">
        <v>628</v>
      </c>
      <c r="D349" t="s">
        <v>570</v>
      </c>
      <c r="E349" t="s">
        <v>543</v>
      </c>
      <c r="F349">
        <v>9.5906913073237501</v>
      </c>
      <c r="G349">
        <v>600</v>
      </c>
      <c r="H349" t="s">
        <v>598</v>
      </c>
      <c r="I349">
        <v>600</v>
      </c>
      <c r="J349">
        <v>0</v>
      </c>
    </row>
    <row r="350" spans="1:10" x14ac:dyDescent="0.2">
      <c r="A350" t="s">
        <v>46</v>
      </c>
      <c r="B350" t="s">
        <v>618</v>
      </c>
      <c r="C350" t="s">
        <v>628</v>
      </c>
      <c r="D350" t="s">
        <v>572</v>
      </c>
      <c r="E350" t="s">
        <v>543</v>
      </c>
      <c r="F350">
        <v>6.3381245722108099</v>
      </c>
      <c r="G350">
        <v>700</v>
      </c>
      <c r="H350" t="s">
        <v>598</v>
      </c>
      <c r="J350">
        <v>700</v>
      </c>
    </row>
    <row r="351" spans="1:10" x14ac:dyDescent="0.2">
      <c r="A351" t="s">
        <v>37</v>
      </c>
      <c r="B351" t="s">
        <v>618</v>
      </c>
      <c r="C351" t="s">
        <v>628</v>
      </c>
      <c r="D351" t="s">
        <v>572</v>
      </c>
      <c r="E351" t="s">
        <v>543</v>
      </c>
      <c r="F351">
        <v>5.8425735797399003</v>
      </c>
      <c r="G351">
        <v>700</v>
      </c>
      <c r="H351" t="s">
        <v>598</v>
      </c>
      <c r="J351">
        <v>700</v>
      </c>
    </row>
    <row r="352" spans="1:10" x14ac:dyDescent="0.2">
      <c r="A352" t="s">
        <v>529</v>
      </c>
      <c r="B352" t="s">
        <v>610</v>
      </c>
      <c r="C352" t="s">
        <v>627</v>
      </c>
      <c r="D352" t="s">
        <v>570</v>
      </c>
      <c r="E352" t="s">
        <v>551</v>
      </c>
      <c r="F352">
        <v>48.591375770020498</v>
      </c>
      <c r="G352">
        <v>62.5</v>
      </c>
      <c r="H352" t="s">
        <v>576</v>
      </c>
      <c r="I352">
        <v>62.5</v>
      </c>
      <c r="J352">
        <v>0</v>
      </c>
    </row>
    <row r="353" spans="1:10" x14ac:dyDescent="0.2">
      <c r="A353" t="s">
        <v>482</v>
      </c>
      <c r="B353" t="s">
        <v>610</v>
      </c>
      <c r="C353" t="s">
        <v>627</v>
      </c>
      <c r="D353" t="s">
        <v>571</v>
      </c>
      <c r="E353" t="s">
        <v>549</v>
      </c>
      <c r="F353">
        <v>36.591375770020498</v>
      </c>
      <c r="G353">
        <v>200</v>
      </c>
      <c r="H353" t="s">
        <v>576</v>
      </c>
      <c r="I353">
        <v>200</v>
      </c>
      <c r="J353">
        <v>0</v>
      </c>
    </row>
    <row r="354" spans="1:10" x14ac:dyDescent="0.2">
      <c r="A354" t="s">
        <v>476</v>
      </c>
      <c r="B354" t="s">
        <v>610</v>
      </c>
      <c r="C354" t="s">
        <v>627</v>
      </c>
      <c r="D354" t="s">
        <v>571</v>
      </c>
      <c r="E354" t="s">
        <v>549</v>
      </c>
      <c r="F354">
        <v>36.008213552361397</v>
      </c>
      <c r="G354">
        <v>200</v>
      </c>
      <c r="H354" t="s">
        <v>576</v>
      </c>
      <c r="I354">
        <v>200</v>
      </c>
      <c r="J354">
        <v>0</v>
      </c>
    </row>
    <row r="355" spans="1:10" x14ac:dyDescent="0.2">
      <c r="A355" t="s">
        <v>470</v>
      </c>
      <c r="B355" t="s">
        <v>610</v>
      </c>
      <c r="C355" t="s">
        <v>627</v>
      </c>
      <c r="D355" t="s">
        <v>571</v>
      </c>
      <c r="E355" t="s">
        <v>549</v>
      </c>
      <c r="F355">
        <v>35.422313483915097</v>
      </c>
      <c r="G355">
        <v>200</v>
      </c>
      <c r="H355" t="s">
        <v>576</v>
      </c>
      <c r="I355">
        <v>200</v>
      </c>
      <c r="J355">
        <v>0</v>
      </c>
    </row>
    <row r="356" spans="1:10" x14ac:dyDescent="0.2">
      <c r="A356" t="s">
        <v>357</v>
      </c>
      <c r="B356" t="s">
        <v>610</v>
      </c>
      <c r="C356" t="s">
        <v>627</v>
      </c>
      <c r="D356" t="s">
        <v>571</v>
      </c>
      <c r="E356" t="s">
        <v>548</v>
      </c>
      <c r="F356">
        <v>31.923340177960299</v>
      </c>
      <c r="G356">
        <v>500</v>
      </c>
      <c r="H356" t="s">
        <v>598</v>
      </c>
      <c r="I356">
        <v>500</v>
      </c>
      <c r="J356">
        <v>0</v>
      </c>
    </row>
    <row r="357" spans="1:10" x14ac:dyDescent="0.2">
      <c r="A357" t="s">
        <v>355</v>
      </c>
      <c r="B357" t="s">
        <v>610</v>
      </c>
      <c r="C357" t="s">
        <v>627</v>
      </c>
      <c r="D357" t="s">
        <v>571</v>
      </c>
      <c r="E357" t="s">
        <v>548</v>
      </c>
      <c r="F357">
        <v>31.175906913073199</v>
      </c>
      <c r="G357">
        <v>500</v>
      </c>
      <c r="H357" t="s">
        <v>598</v>
      </c>
      <c r="I357">
        <v>500</v>
      </c>
      <c r="J357">
        <v>0</v>
      </c>
    </row>
    <row r="358" spans="1:10" x14ac:dyDescent="0.2">
      <c r="A358" t="s">
        <v>352</v>
      </c>
      <c r="B358" t="s">
        <v>610</v>
      </c>
      <c r="C358" t="s">
        <v>627</v>
      </c>
      <c r="D358" t="s">
        <v>571</v>
      </c>
      <c r="E358" t="s">
        <v>548</v>
      </c>
      <c r="F358">
        <v>30.590006844626899</v>
      </c>
      <c r="G358">
        <v>500</v>
      </c>
      <c r="H358" t="s">
        <v>598</v>
      </c>
      <c r="I358">
        <v>500</v>
      </c>
      <c r="J358">
        <v>0</v>
      </c>
    </row>
    <row r="359" spans="1:10" x14ac:dyDescent="0.2">
      <c r="A359" t="s">
        <v>216</v>
      </c>
      <c r="B359" t="s">
        <v>610</v>
      </c>
      <c r="C359" t="s">
        <v>627</v>
      </c>
      <c r="D359" t="s">
        <v>571</v>
      </c>
      <c r="E359" t="s">
        <v>545</v>
      </c>
      <c r="F359">
        <v>15.6714579055441</v>
      </c>
      <c r="G359">
        <v>500</v>
      </c>
      <c r="H359" t="s">
        <v>598</v>
      </c>
      <c r="I359">
        <v>500</v>
      </c>
      <c r="J359">
        <v>0</v>
      </c>
    </row>
    <row r="360" spans="1:10" x14ac:dyDescent="0.2">
      <c r="A360" t="s">
        <v>329</v>
      </c>
      <c r="B360" t="s">
        <v>611</v>
      </c>
      <c r="C360" t="s">
        <v>626</v>
      </c>
      <c r="D360" t="s">
        <v>572</v>
      </c>
      <c r="E360" t="s">
        <v>543</v>
      </c>
      <c r="F360">
        <v>7.2525667351129304</v>
      </c>
      <c r="G360">
        <v>50</v>
      </c>
      <c r="H360" t="s">
        <v>576</v>
      </c>
      <c r="I360">
        <v>50</v>
      </c>
      <c r="J360">
        <v>0</v>
      </c>
    </row>
    <row r="361" spans="1:10" x14ac:dyDescent="0.2">
      <c r="A361" t="s">
        <v>295</v>
      </c>
      <c r="B361" t="s">
        <v>611</v>
      </c>
      <c r="C361" t="s">
        <v>626</v>
      </c>
      <c r="D361" t="s">
        <v>572</v>
      </c>
      <c r="E361" t="s">
        <v>542</v>
      </c>
      <c r="F361">
        <v>3.5044490075290802</v>
      </c>
      <c r="G361">
        <v>50</v>
      </c>
      <c r="H361" t="s">
        <v>576</v>
      </c>
      <c r="J361">
        <v>50</v>
      </c>
    </row>
    <row r="362" spans="1:10" x14ac:dyDescent="0.2">
      <c r="A362" t="s">
        <v>407</v>
      </c>
      <c r="B362" t="s">
        <v>614</v>
      </c>
      <c r="C362" t="s">
        <v>627</v>
      </c>
      <c r="D362" t="s">
        <v>570</v>
      </c>
      <c r="E362" t="s">
        <v>547</v>
      </c>
      <c r="F362">
        <v>26.176591375769998</v>
      </c>
      <c r="G362">
        <v>210</v>
      </c>
      <c r="H362" t="s">
        <v>576</v>
      </c>
      <c r="I362">
        <v>210</v>
      </c>
      <c r="J362">
        <v>0</v>
      </c>
    </row>
    <row r="363" spans="1:10" x14ac:dyDescent="0.2">
      <c r="A363" t="s">
        <v>401</v>
      </c>
      <c r="B363" t="s">
        <v>614</v>
      </c>
      <c r="C363" t="s">
        <v>627</v>
      </c>
      <c r="D363" t="s">
        <v>570</v>
      </c>
      <c r="E363" t="s">
        <v>547</v>
      </c>
      <c r="F363">
        <v>25.2539356605065</v>
      </c>
      <c r="G363">
        <v>210</v>
      </c>
      <c r="H363" t="s">
        <v>576</v>
      </c>
      <c r="I363">
        <v>210</v>
      </c>
      <c r="J363">
        <v>0</v>
      </c>
    </row>
    <row r="364" spans="1:10" x14ac:dyDescent="0.2">
      <c r="A364" t="s">
        <v>319</v>
      </c>
      <c r="B364" t="s">
        <v>614</v>
      </c>
      <c r="C364" t="s">
        <v>627</v>
      </c>
      <c r="D364" t="s">
        <v>570</v>
      </c>
      <c r="E364" t="s">
        <v>544</v>
      </c>
      <c r="F364">
        <v>13.3388090349075</v>
      </c>
      <c r="G364">
        <v>210</v>
      </c>
      <c r="H364" t="s">
        <v>576</v>
      </c>
      <c r="I364">
        <v>210</v>
      </c>
      <c r="J364">
        <v>0</v>
      </c>
    </row>
    <row r="365" spans="1:10" x14ac:dyDescent="0.2">
      <c r="A365" t="s">
        <v>315</v>
      </c>
      <c r="B365" t="s">
        <v>614</v>
      </c>
      <c r="C365" t="s">
        <v>627</v>
      </c>
      <c r="D365" t="s">
        <v>570</v>
      </c>
      <c r="E365" t="s">
        <v>544</v>
      </c>
      <c r="F365">
        <v>12.5065023956194</v>
      </c>
      <c r="G365">
        <v>210</v>
      </c>
      <c r="H365" t="s">
        <v>576</v>
      </c>
      <c r="I365">
        <v>210</v>
      </c>
      <c r="J365">
        <v>0</v>
      </c>
    </row>
    <row r="366" spans="1:10" x14ac:dyDescent="0.2">
      <c r="A366" t="s">
        <v>285</v>
      </c>
      <c r="B366" t="s">
        <v>614</v>
      </c>
      <c r="C366" t="s">
        <v>627</v>
      </c>
      <c r="D366" t="s">
        <v>570</v>
      </c>
      <c r="E366" t="s">
        <v>543</v>
      </c>
      <c r="F366">
        <v>9.4236824093086895</v>
      </c>
      <c r="G366">
        <v>210</v>
      </c>
      <c r="H366" t="s">
        <v>576</v>
      </c>
      <c r="I366">
        <v>210</v>
      </c>
      <c r="J366">
        <v>0</v>
      </c>
    </row>
    <row r="367" spans="1:10" x14ac:dyDescent="0.2">
      <c r="A367" t="s">
        <v>50</v>
      </c>
      <c r="B367" t="s">
        <v>614</v>
      </c>
      <c r="C367" t="s">
        <v>627</v>
      </c>
      <c r="D367" t="s">
        <v>570</v>
      </c>
      <c r="E367" t="s">
        <v>542</v>
      </c>
      <c r="F367">
        <v>2.1163586584531102</v>
      </c>
      <c r="G367">
        <v>600</v>
      </c>
      <c r="H367" t="s">
        <v>598</v>
      </c>
      <c r="I367">
        <v>600</v>
      </c>
      <c r="J367">
        <v>0</v>
      </c>
    </row>
    <row r="368" spans="1:10" x14ac:dyDescent="0.2">
      <c r="A368" t="s">
        <v>362</v>
      </c>
      <c r="B368" t="s">
        <v>634</v>
      </c>
      <c r="C368" t="s">
        <v>628</v>
      </c>
      <c r="D368" t="s">
        <v>571</v>
      </c>
      <c r="E368" t="s">
        <v>548</v>
      </c>
      <c r="F368">
        <v>32.175222450376403</v>
      </c>
      <c r="G368">
        <v>500</v>
      </c>
      <c r="H368" t="s">
        <v>598</v>
      </c>
      <c r="I368">
        <v>500</v>
      </c>
      <c r="J368">
        <v>0</v>
      </c>
    </row>
    <row r="369" spans="1:10" x14ac:dyDescent="0.2">
      <c r="A369" t="s">
        <v>353</v>
      </c>
      <c r="B369" t="s">
        <v>634</v>
      </c>
      <c r="C369" t="s">
        <v>628</v>
      </c>
      <c r="D369" t="s">
        <v>571</v>
      </c>
      <c r="E369" t="s">
        <v>548</v>
      </c>
      <c r="F369">
        <v>30.841889117043099</v>
      </c>
      <c r="G369">
        <v>500</v>
      </c>
      <c r="H369" t="s">
        <v>598</v>
      </c>
      <c r="I369">
        <v>500</v>
      </c>
      <c r="J369">
        <v>0</v>
      </c>
    </row>
    <row r="370" spans="1:10" x14ac:dyDescent="0.2">
      <c r="A370" t="s">
        <v>212</v>
      </c>
      <c r="B370" t="s">
        <v>634</v>
      </c>
      <c r="C370" t="s">
        <v>628</v>
      </c>
      <c r="D370" t="s">
        <v>571</v>
      </c>
      <c r="E370" t="s">
        <v>545</v>
      </c>
      <c r="F370">
        <v>15.337440109514</v>
      </c>
      <c r="G370">
        <v>500</v>
      </c>
      <c r="H370" t="s">
        <v>598</v>
      </c>
      <c r="I370">
        <v>500</v>
      </c>
      <c r="J370">
        <v>0</v>
      </c>
    </row>
    <row r="371" spans="1:10" x14ac:dyDescent="0.2">
      <c r="A371" t="s">
        <v>204</v>
      </c>
      <c r="B371" t="s">
        <v>634</v>
      </c>
      <c r="C371" t="s">
        <v>628</v>
      </c>
      <c r="D371" t="s">
        <v>571</v>
      </c>
      <c r="E371" t="s">
        <v>544</v>
      </c>
      <c r="F371">
        <v>14.6721423682409</v>
      </c>
      <c r="G371">
        <v>500</v>
      </c>
      <c r="H371" t="s">
        <v>598</v>
      </c>
      <c r="I371">
        <v>500</v>
      </c>
      <c r="J371">
        <v>0</v>
      </c>
    </row>
    <row r="372" spans="1:10" x14ac:dyDescent="0.2">
      <c r="A372" t="s">
        <v>150</v>
      </c>
      <c r="B372" t="s">
        <v>634</v>
      </c>
      <c r="C372" t="s">
        <v>628</v>
      </c>
      <c r="D372" t="s">
        <v>571</v>
      </c>
      <c r="E372" t="s">
        <v>543</v>
      </c>
      <c r="F372">
        <v>8.00821355236139</v>
      </c>
      <c r="G372">
        <v>500</v>
      </c>
      <c r="H372" t="s">
        <v>598</v>
      </c>
      <c r="I372">
        <v>500</v>
      </c>
      <c r="J372">
        <v>0</v>
      </c>
    </row>
    <row r="373" spans="1:10" x14ac:dyDescent="0.2">
      <c r="A373" t="s">
        <v>139</v>
      </c>
      <c r="B373" t="s">
        <v>634</v>
      </c>
      <c r="C373" t="s">
        <v>628</v>
      </c>
      <c r="D373" t="s">
        <v>571</v>
      </c>
      <c r="E373" t="s">
        <v>543</v>
      </c>
      <c r="F373">
        <v>6.5900068446269602</v>
      </c>
      <c r="G373">
        <v>500</v>
      </c>
      <c r="H373" t="s">
        <v>598</v>
      </c>
      <c r="I373">
        <v>500</v>
      </c>
      <c r="J373">
        <v>0</v>
      </c>
    </row>
    <row r="374" spans="1:10" x14ac:dyDescent="0.2">
      <c r="A374" t="s">
        <v>446</v>
      </c>
      <c r="B374" t="s">
        <v>618</v>
      </c>
      <c r="C374" t="s">
        <v>628</v>
      </c>
      <c r="D374" t="s">
        <v>570</v>
      </c>
      <c r="E374" t="s">
        <v>548</v>
      </c>
      <c r="F374">
        <v>32.175222450376403</v>
      </c>
      <c r="G374">
        <v>210</v>
      </c>
      <c r="H374" t="s">
        <v>576</v>
      </c>
      <c r="I374">
        <v>192.16666666666666</v>
      </c>
      <c r="J374">
        <v>17.833333333333343</v>
      </c>
    </row>
    <row r="375" spans="1:10" x14ac:dyDescent="0.2">
      <c r="A375" t="s">
        <v>441</v>
      </c>
      <c r="B375" t="s">
        <v>618</v>
      </c>
      <c r="C375" t="s">
        <v>628</v>
      </c>
      <c r="D375" t="s">
        <v>570</v>
      </c>
      <c r="E375" t="s">
        <v>548</v>
      </c>
      <c r="F375">
        <v>31.337440109513999</v>
      </c>
      <c r="G375">
        <v>210</v>
      </c>
      <c r="H375" t="s">
        <v>576</v>
      </c>
      <c r="I375">
        <v>192.16666666666666</v>
      </c>
      <c r="J375">
        <v>17.833333333333343</v>
      </c>
    </row>
    <row r="376" spans="1:10" x14ac:dyDescent="0.2">
      <c r="A376" t="s">
        <v>418</v>
      </c>
      <c r="B376" t="s">
        <v>618</v>
      </c>
      <c r="C376" t="s">
        <v>628</v>
      </c>
      <c r="D376" t="s">
        <v>570</v>
      </c>
      <c r="E376" t="s">
        <v>547</v>
      </c>
      <c r="F376">
        <v>28.175222450376399</v>
      </c>
      <c r="G376">
        <v>210</v>
      </c>
      <c r="H376" t="s">
        <v>576</v>
      </c>
      <c r="I376">
        <v>192.16666666666666</v>
      </c>
      <c r="J376">
        <v>17.833333333333343</v>
      </c>
    </row>
    <row r="377" spans="1:10" x14ac:dyDescent="0.2">
      <c r="A377" t="s">
        <v>415</v>
      </c>
      <c r="B377" t="s">
        <v>618</v>
      </c>
      <c r="C377" t="s">
        <v>628</v>
      </c>
      <c r="D377" t="s">
        <v>570</v>
      </c>
      <c r="E377" t="s">
        <v>547</v>
      </c>
      <c r="F377">
        <v>27.175906913073199</v>
      </c>
      <c r="G377">
        <v>210</v>
      </c>
      <c r="H377" t="s">
        <v>576</v>
      </c>
      <c r="I377">
        <v>192.16666666666666</v>
      </c>
      <c r="J377">
        <v>17.833333333333343</v>
      </c>
    </row>
    <row r="378" spans="1:10" x14ac:dyDescent="0.2">
      <c r="A378" t="s">
        <v>257</v>
      </c>
      <c r="B378" t="s">
        <v>634</v>
      </c>
      <c r="C378" t="s">
        <v>628</v>
      </c>
      <c r="D378" t="s">
        <v>572</v>
      </c>
      <c r="E378" t="s">
        <v>544</v>
      </c>
      <c r="F378">
        <v>10.2532511978097</v>
      </c>
      <c r="G378">
        <v>300</v>
      </c>
      <c r="H378" t="s">
        <v>598</v>
      </c>
      <c r="I378">
        <v>285</v>
      </c>
      <c r="J378">
        <v>15</v>
      </c>
    </row>
    <row r="379" spans="1:10" x14ac:dyDescent="0.2">
      <c r="A379" t="s">
        <v>252</v>
      </c>
      <c r="B379" t="s">
        <v>634</v>
      </c>
      <c r="C379" t="s">
        <v>628</v>
      </c>
      <c r="D379" t="s">
        <v>572</v>
      </c>
      <c r="E379" t="s">
        <v>543</v>
      </c>
      <c r="F379">
        <v>9.9247091033538606</v>
      </c>
      <c r="G379">
        <v>300</v>
      </c>
      <c r="H379" t="s">
        <v>598</v>
      </c>
      <c r="I379">
        <v>285</v>
      </c>
      <c r="J379">
        <v>15</v>
      </c>
    </row>
    <row r="380" spans="1:10" x14ac:dyDescent="0.2">
      <c r="A380" t="s">
        <v>230</v>
      </c>
      <c r="B380" t="s">
        <v>634</v>
      </c>
      <c r="C380" t="s">
        <v>628</v>
      </c>
      <c r="D380" t="s">
        <v>572</v>
      </c>
      <c r="E380" t="s">
        <v>543</v>
      </c>
      <c r="F380">
        <v>8.4243668720054696</v>
      </c>
      <c r="G380">
        <v>300</v>
      </c>
      <c r="H380" t="s">
        <v>598</v>
      </c>
      <c r="I380">
        <v>285</v>
      </c>
      <c r="J380">
        <v>15</v>
      </c>
    </row>
    <row r="381" spans="1:10" x14ac:dyDescent="0.2">
      <c r="A381" t="s">
        <v>228</v>
      </c>
      <c r="B381" t="s">
        <v>634</v>
      </c>
      <c r="C381" t="s">
        <v>628</v>
      </c>
      <c r="D381" t="s">
        <v>572</v>
      </c>
      <c r="E381" t="s">
        <v>543</v>
      </c>
      <c r="F381">
        <v>8.1752224503764506</v>
      </c>
      <c r="G381">
        <v>300</v>
      </c>
      <c r="H381" t="s">
        <v>598</v>
      </c>
      <c r="I381">
        <v>285</v>
      </c>
      <c r="J381">
        <v>15</v>
      </c>
    </row>
    <row r="382" spans="1:10" x14ac:dyDescent="0.2">
      <c r="A382" t="s">
        <v>518</v>
      </c>
      <c r="B382" t="s">
        <v>613</v>
      </c>
      <c r="C382" t="s">
        <v>626</v>
      </c>
      <c r="D382" t="s">
        <v>572</v>
      </c>
      <c r="E382" t="s">
        <v>550</v>
      </c>
      <c r="F382">
        <v>41.590691307323702</v>
      </c>
      <c r="G382">
        <v>120</v>
      </c>
      <c r="H382" t="s">
        <v>576</v>
      </c>
      <c r="I382">
        <v>120</v>
      </c>
      <c r="J382">
        <v>0</v>
      </c>
    </row>
    <row r="383" spans="1:10" x14ac:dyDescent="0.2">
      <c r="A383" t="s">
        <v>498</v>
      </c>
      <c r="B383" t="s">
        <v>613</v>
      </c>
      <c r="C383" t="s">
        <v>626</v>
      </c>
      <c r="D383" t="s">
        <v>572</v>
      </c>
      <c r="E383" t="s">
        <v>549</v>
      </c>
      <c r="F383">
        <v>35.422313483915097</v>
      </c>
      <c r="G383">
        <v>121</v>
      </c>
      <c r="H383" t="s">
        <v>576</v>
      </c>
      <c r="I383">
        <v>121</v>
      </c>
      <c r="J383">
        <v>0</v>
      </c>
    </row>
    <row r="384" spans="1:10" x14ac:dyDescent="0.2">
      <c r="A384" t="s">
        <v>469</v>
      </c>
      <c r="B384" t="s">
        <v>613</v>
      </c>
      <c r="C384" t="s">
        <v>626</v>
      </c>
      <c r="D384" t="s">
        <v>572</v>
      </c>
      <c r="E384" t="s">
        <v>548</v>
      </c>
      <c r="F384">
        <v>31.671457905544099</v>
      </c>
      <c r="G384">
        <v>121</v>
      </c>
      <c r="H384" t="s">
        <v>576</v>
      </c>
      <c r="I384">
        <v>121</v>
      </c>
      <c r="J384">
        <v>0</v>
      </c>
    </row>
    <row r="385" spans="1:10" x14ac:dyDescent="0.2">
      <c r="A385" t="s">
        <v>264</v>
      </c>
      <c r="B385" t="s">
        <v>621</v>
      </c>
      <c r="C385" t="s">
        <v>625</v>
      </c>
      <c r="D385" t="s">
        <v>570</v>
      </c>
      <c r="E385" t="s">
        <v>544</v>
      </c>
      <c r="F385">
        <v>11.841204654346299</v>
      </c>
      <c r="G385">
        <v>300</v>
      </c>
      <c r="H385" t="s">
        <v>598</v>
      </c>
      <c r="I385">
        <v>300</v>
      </c>
      <c r="J385">
        <v>0</v>
      </c>
    </row>
    <row r="386" spans="1:10" x14ac:dyDescent="0.2">
      <c r="A386" t="s">
        <v>273</v>
      </c>
      <c r="B386" t="s">
        <v>621</v>
      </c>
      <c r="C386" t="s">
        <v>625</v>
      </c>
      <c r="D386" t="s">
        <v>570</v>
      </c>
      <c r="E386" t="s">
        <v>544</v>
      </c>
      <c r="F386">
        <v>12.4243668720054</v>
      </c>
      <c r="G386">
        <v>300</v>
      </c>
      <c r="H386" t="s">
        <v>598</v>
      </c>
      <c r="I386">
        <v>300</v>
      </c>
      <c r="J386">
        <v>0</v>
      </c>
    </row>
    <row r="387" spans="1:10" x14ac:dyDescent="0.2">
      <c r="A387" t="s">
        <v>128</v>
      </c>
      <c r="B387" t="s">
        <v>621</v>
      </c>
      <c r="C387" t="s">
        <v>625</v>
      </c>
      <c r="D387" t="s">
        <v>570</v>
      </c>
      <c r="E387" t="s">
        <v>542</v>
      </c>
      <c r="F387">
        <v>4.4243668720054696</v>
      </c>
      <c r="G387">
        <v>500</v>
      </c>
      <c r="H387" t="s">
        <v>598</v>
      </c>
      <c r="I387">
        <v>500</v>
      </c>
      <c r="J387">
        <v>0</v>
      </c>
    </row>
    <row r="388" spans="1:10" x14ac:dyDescent="0.2">
      <c r="A388" t="s">
        <v>117</v>
      </c>
      <c r="B388" t="s">
        <v>621</v>
      </c>
      <c r="C388" t="s">
        <v>625</v>
      </c>
      <c r="D388" t="s">
        <v>570</v>
      </c>
      <c r="E388" t="s">
        <v>542</v>
      </c>
      <c r="F388">
        <v>3.4223134839151199</v>
      </c>
      <c r="G388">
        <v>500</v>
      </c>
      <c r="H388" t="s">
        <v>598</v>
      </c>
      <c r="I388">
        <v>500</v>
      </c>
      <c r="J388">
        <v>0</v>
      </c>
    </row>
    <row r="389" spans="1:10" x14ac:dyDescent="0.2">
      <c r="A389" t="s">
        <v>123</v>
      </c>
      <c r="B389" t="s">
        <v>613</v>
      </c>
      <c r="C389" t="s">
        <v>626</v>
      </c>
      <c r="D389" t="s">
        <v>572</v>
      </c>
      <c r="E389" t="s">
        <v>543</v>
      </c>
      <c r="F389">
        <v>8.33949349760438</v>
      </c>
      <c r="G389">
        <v>600</v>
      </c>
      <c r="H389" t="s">
        <v>598</v>
      </c>
      <c r="I389">
        <v>600</v>
      </c>
      <c r="J389">
        <v>0</v>
      </c>
    </row>
    <row r="390" spans="1:10" x14ac:dyDescent="0.2">
      <c r="A390" t="s">
        <v>118</v>
      </c>
      <c r="B390" t="s">
        <v>613</v>
      </c>
      <c r="C390" t="s">
        <v>626</v>
      </c>
      <c r="D390" t="s">
        <v>572</v>
      </c>
      <c r="E390" t="s">
        <v>543</v>
      </c>
      <c r="F390">
        <v>7.9233401779603003</v>
      </c>
      <c r="G390">
        <v>600</v>
      </c>
      <c r="H390" t="s">
        <v>598</v>
      </c>
      <c r="I390">
        <v>600</v>
      </c>
      <c r="J390">
        <v>0</v>
      </c>
    </row>
    <row r="391" spans="1:10" x14ac:dyDescent="0.2">
      <c r="A391" t="s">
        <v>413</v>
      </c>
      <c r="B391" t="s">
        <v>609</v>
      </c>
      <c r="C391" t="s">
        <v>626</v>
      </c>
      <c r="D391" t="s">
        <v>570</v>
      </c>
      <c r="E391" t="s">
        <v>547</v>
      </c>
      <c r="F391">
        <v>27.175906913073199</v>
      </c>
      <c r="G391">
        <v>210</v>
      </c>
      <c r="H391" t="s">
        <v>576</v>
      </c>
      <c r="I391">
        <v>210</v>
      </c>
      <c r="J391">
        <v>0</v>
      </c>
    </row>
    <row r="392" spans="1:10" x14ac:dyDescent="0.2">
      <c r="A392" t="s">
        <v>414</v>
      </c>
      <c r="B392" t="s">
        <v>609</v>
      </c>
      <c r="C392" t="s">
        <v>626</v>
      </c>
      <c r="D392" t="s">
        <v>570</v>
      </c>
      <c r="E392" t="s">
        <v>547</v>
      </c>
      <c r="F392">
        <v>27.175906913073199</v>
      </c>
      <c r="G392">
        <v>210</v>
      </c>
      <c r="H392" t="s">
        <v>576</v>
      </c>
      <c r="I392">
        <v>210</v>
      </c>
      <c r="J392">
        <v>0</v>
      </c>
    </row>
    <row r="393" spans="1:10" x14ac:dyDescent="0.2">
      <c r="A393" t="s">
        <v>376</v>
      </c>
      <c r="B393" t="s">
        <v>609</v>
      </c>
      <c r="C393" t="s">
        <v>626</v>
      </c>
      <c r="D393" t="s">
        <v>570</v>
      </c>
      <c r="E393" t="s">
        <v>546</v>
      </c>
      <c r="F393">
        <v>21.2539356605065</v>
      </c>
      <c r="G393">
        <v>210</v>
      </c>
      <c r="H393" t="s">
        <v>576</v>
      </c>
      <c r="I393">
        <v>210</v>
      </c>
      <c r="J393">
        <v>0</v>
      </c>
    </row>
    <row r="394" spans="1:10" x14ac:dyDescent="0.2">
      <c r="A394" t="s">
        <v>370</v>
      </c>
      <c r="B394" t="s">
        <v>609</v>
      </c>
      <c r="C394" t="s">
        <v>626</v>
      </c>
      <c r="D394" t="s">
        <v>570</v>
      </c>
      <c r="E394" t="s">
        <v>546</v>
      </c>
      <c r="F394">
        <v>20.5065023956194</v>
      </c>
      <c r="G394">
        <v>210</v>
      </c>
      <c r="H394" t="s">
        <v>576</v>
      </c>
      <c r="I394">
        <v>210</v>
      </c>
      <c r="J394">
        <v>0</v>
      </c>
    </row>
    <row r="395" spans="1:10" x14ac:dyDescent="0.2">
      <c r="A395" t="s">
        <v>188</v>
      </c>
      <c r="B395" t="s">
        <v>609</v>
      </c>
      <c r="C395" t="s">
        <v>626</v>
      </c>
      <c r="D395" t="s">
        <v>570</v>
      </c>
      <c r="E395" t="s">
        <v>544</v>
      </c>
      <c r="F395">
        <v>12.9253935660506</v>
      </c>
      <c r="G395">
        <v>500</v>
      </c>
      <c r="H395" t="s">
        <v>598</v>
      </c>
      <c r="I395">
        <v>500</v>
      </c>
      <c r="J395">
        <v>0</v>
      </c>
    </row>
    <row r="396" spans="1:10" x14ac:dyDescent="0.2">
      <c r="A396" t="s">
        <v>283</v>
      </c>
      <c r="B396" t="s">
        <v>621</v>
      </c>
      <c r="C396" t="s">
        <v>625</v>
      </c>
      <c r="D396" t="s">
        <v>570</v>
      </c>
      <c r="E396" t="s">
        <v>544</v>
      </c>
      <c r="F396">
        <v>11.0910335386721</v>
      </c>
      <c r="G396">
        <v>250</v>
      </c>
      <c r="H396" t="s">
        <v>576</v>
      </c>
      <c r="I396">
        <v>250</v>
      </c>
      <c r="J396">
        <v>0</v>
      </c>
    </row>
    <row r="397" spans="1:10" x14ac:dyDescent="0.2">
      <c r="A397" t="s">
        <v>259</v>
      </c>
      <c r="B397" t="s">
        <v>621</v>
      </c>
      <c r="C397" t="s">
        <v>625</v>
      </c>
      <c r="D397" t="s">
        <v>570</v>
      </c>
      <c r="E397" t="s">
        <v>543</v>
      </c>
      <c r="F397">
        <v>8.5941136208076596</v>
      </c>
      <c r="G397">
        <v>250</v>
      </c>
      <c r="H397" t="s">
        <v>598</v>
      </c>
      <c r="I397">
        <v>250</v>
      </c>
      <c r="J397">
        <v>0</v>
      </c>
    </row>
    <row r="398" spans="1:10" x14ac:dyDescent="0.2">
      <c r="A398" t="s">
        <v>76</v>
      </c>
      <c r="B398" t="s">
        <v>609</v>
      </c>
      <c r="C398" t="s">
        <v>626</v>
      </c>
      <c r="D398" t="s">
        <v>572</v>
      </c>
      <c r="E398" t="s">
        <v>543</v>
      </c>
      <c r="F398">
        <v>7.0088980150581701</v>
      </c>
      <c r="G398">
        <v>660</v>
      </c>
      <c r="H398" t="s">
        <v>598</v>
      </c>
      <c r="I398">
        <v>660</v>
      </c>
      <c r="J398">
        <v>0</v>
      </c>
    </row>
    <row r="399" spans="1:10" x14ac:dyDescent="0.2">
      <c r="A399" t="s">
        <v>65</v>
      </c>
      <c r="B399" t="s">
        <v>609</v>
      </c>
      <c r="C399" t="s">
        <v>626</v>
      </c>
      <c r="D399" t="s">
        <v>572</v>
      </c>
      <c r="E399" t="s">
        <v>543</v>
      </c>
      <c r="F399">
        <v>6.4229979466118996</v>
      </c>
      <c r="G399">
        <v>660</v>
      </c>
      <c r="H399" t="s">
        <v>598</v>
      </c>
      <c r="I399">
        <v>660</v>
      </c>
      <c r="J399">
        <v>0</v>
      </c>
    </row>
    <row r="400" spans="1:10" x14ac:dyDescent="0.2">
      <c r="A400" t="s">
        <v>61</v>
      </c>
      <c r="B400" t="s">
        <v>609</v>
      </c>
      <c r="C400" t="s">
        <v>626</v>
      </c>
      <c r="D400" t="s">
        <v>572</v>
      </c>
      <c r="E400" t="s">
        <v>543</v>
      </c>
      <c r="F400">
        <v>6.00958247775496</v>
      </c>
      <c r="G400">
        <v>660</v>
      </c>
      <c r="H400" t="s">
        <v>598</v>
      </c>
      <c r="I400">
        <v>660</v>
      </c>
      <c r="J400">
        <v>0</v>
      </c>
    </row>
    <row r="401" spans="1:10" x14ac:dyDescent="0.2">
      <c r="A401" t="s">
        <v>63</v>
      </c>
      <c r="B401" t="s">
        <v>609</v>
      </c>
      <c r="C401" t="s">
        <v>626</v>
      </c>
      <c r="D401" t="s">
        <v>572</v>
      </c>
      <c r="E401" t="s">
        <v>543</v>
      </c>
      <c r="F401">
        <v>6.1765913757700197</v>
      </c>
      <c r="G401">
        <v>660</v>
      </c>
      <c r="H401" t="s">
        <v>598</v>
      </c>
      <c r="I401">
        <v>660</v>
      </c>
      <c r="J401">
        <v>0</v>
      </c>
    </row>
    <row r="402" spans="1:10" x14ac:dyDescent="0.2">
      <c r="A402" t="s">
        <v>58</v>
      </c>
      <c r="B402" t="s">
        <v>609</v>
      </c>
      <c r="C402" t="s">
        <v>626</v>
      </c>
      <c r="D402" t="s">
        <v>572</v>
      </c>
      <c r="E402" t="s">
        <v>543</v>
      </c>
      <c r="F402">
        <v>5.7577002053388</v>
      </c>
      <c r="G402">
        <v>660</v>
      </c>
      <c r="H402" t="s">
        <v>598</v>
      </c>
      <c r="I402">
        <v>660</v>
      </c>
      <c r="J402">
        <v>0</v>
      </c>
    </row>
    <row r="403" spans="1:10" x14ac:dyDescent="0.2">
      <c r="A403" t="s">
        <v>52</v>
      </c>
      <c r="B403" t="s">
        <v>609</v>
      </c>
      <c r="C403" t="s">
        <v>626</v>
      </c>
      <c r="D403" t="s">
        <v>572</v>
      </c>
      <c r="E403" t="s">
        <v>543</v>
      </c>
      <c r="F403">
        <v>5.1772758384667998</v>
      </c>
      <c r="G403">
        <v>660</v>
      </c>
      <c r="H403" t="s">
        <v>598</v>
      </c>
      <c r="I403">
        <v>660</v>
      </c>
      <c r="J403">
        <v>0</v>
      </c>
    </row>
    <row r="404" spans="1:10" x14ac:dyDescent="0.2">
      <c r="A404" t="s">
        <v>244</v>
      </c>
      <c r="B404" t="s">
        <v>609</v>
      </c>
      <c r="C404" t="s">
        <v>626</v>
      </c>
      <c r="D404" t="s">
        <v>570</v>
      </c>
      <c r="E404" t="s">
        <v>543</v>
      </c>
      <c r="F404">
        <v>7.1759069130732298</v>
      </c>
      <c r="G404">
        <v>250</v>
      </c>
      <c r="H404" t="s">
        <v>598</v>
      </c>
      <c r="I404">
        <v>250</v>
      </c>
      <c r="J404">
        <v>0</v>
      </c>
    </row>
    <row r="405" spans="1:10" x14ac:dyDescent="0.2">
      <c r="A405" t="s">
        <v>237</v>
      </c>
      <c r="B405" t="s">
        <v>609</v>
      </c>
      <c r="C405" t="s">
        <v>626</v>
      </c>
      <c r="D405" t="s">
        <v>570</v>
      </c>
      <c r="E405" t="s">
        <v>543</v>
      </c>
      <c r="F405">
        <v>6.4229979466118996</v>
      </c>
      <c r="G405">
        <v>250</v>
      </c>
      <c r="H405" t="s">
        <v>598</v>
      </c>
      <c r="I405">
        <v>250</v>
      </c>
      <c r="J405">
        <v>0</v>
      </c>
    </row>
    <row r="406" spans="1:10" x14ac:dyDescent="0.2">
      <c r="A406" t="s">
        <v>511</v>
      </c>
      <c r="B406" t="s">
        <v>609</v>
      </c>
      <c r="C406" t="s">
        <v>626</v>
      </c>
      <c r="D406" t="s">
        <v>570</v>
      </c>
      <c r="E406" t="s">
        <v>550</v>
      </c>
      <c r="F406">
        <v>40.843258042436602</v>
      </c>
      <c r="G406">
        <v>200</v>
      </c>
      <c r="H406" t="s">
        <v>576</v>
      </c>
      <c r="I406">
        <v>200</v>
      </c>
      <c r="J406">
        <v>0</v>
      </c>
    </row>
    <row r="407" spans="1:10" x14ac:dyDescent="0.2">
      <c r="A407" t="s">
        <v>504</v>
      </c>
      <c r="B407" t="s">
        <v>609</v>
      </c>
      <c r="C407" t="s">
        <v>626</v>
      </c>
      <c r="D407" t="s">
        <v>570</v>
      </c>
      <c r="E407" t="s">
        <v>549</v>
      </c>
      <c r="F407">
        <v>39.671457905544102</v>
      </c>
      <c r="G407">
        <v>210</v>
      </c>
      <c r="H407" t="s">
        <v>576</v>
      </c>
      <c r="I407">
        <v>210</v>
      </c>
      <c r="J407">
        <v>0</v>
      </c>
    </row>
    <row r="408" spans="1:10" x14ac:dyDescent="0.2">
      <c r="A408" t="s">
        <v>486</v>
      </c>
      <c r="B408" t="s">
        <v>609</v>
      </c>
      <c r="C408" t="s">
        <v>626</v>
      </c>
      <c r="D408" t="s">
        <v>570</v>
      </c>
      <c r="E408" t="s">
        <v>549</v>
      </c>
      <c r="F408">
        <v>37.338809034907598</v>
      </c>
      <c r="G408">
        <v>210</v>
      </c>
      <c r="H408" t="s">
        <v>576</v>
      </c>
      <c r="I408">
        <v>210</v>
      </c>
      <c r="J408">
        <v>0</v>
      </c>
    </row>
    <row r="409" spans="1:10" x14ac:dyDescent="0.2">
      <c r="A409" t="s">
        <v>474</v>
      </c>
      <c r="B409" t="s">
        <v>609</v>
      </c>
      <c r="C409" t="s">
        <v>626</v>
      </c>
      <c r="D409" t="s">
        <v>570</v>
      </c>
      <c r="E409" t="s">
        <v>549</v>
      </c>
      <c r="F409">
        <v>36.254620123203203</v>
      </c>
      <c r="G409">
        <v>210</v>
      </c>
      <c r="H409" t="s">
        <v>576</v>
      </c>
      <c r="I409">
        <v>210</v>
      </c>
      <c r="J409">
        <v>0</v>
      </c>
    </row>
    <row r="410" spans="1:10" x14ac:dyDescent="0.2">
      <c r="A410" t="s">
        <v>72</v>
      </c>
      <c r="B410" t="s">
        <v>609</v>
      </c>
      <c r="C410" t="s">
        <v>626</v>
      </c>
      <c r="D410" t="s">
        <v>572</v>
      </c>
      <c r="E410" t="s">
        <v>542</v>
      </c>
      <c r="F410">
        <v>4.1752224503764497</v>
      </c>
      <c r="G410">
        <v>600</v>
      </c>
      <c r="H410" t="s">
        <v>598</v>
      </c>
      <c r="I410">
        <v>600</v>
      </c>
      <c r="J410">
        <v>0</v>
      </c>
    </row>
    <row r="411" spans="1:10" x14ac:dyDescent="0.2">
      <c r="A411" t="s">
        <v>36</v>
      </c>
      <c r="B411" t="s">
        <v>614</v>
      </c>
      <c r="C411" t="s">
        <v>627</v>
      </c>
      <c r="D411" t="s">
        <v>572</v>
      </c>
      <c r="E411" t="s">
        <v>542</v>
      </c>
      <c r="F411">
        <v>3.5044490075290802</v>
      </c>
      <c r="G411">
        <v>660</v>
      </c>
      <c r="H411" t="s">
        <v>598</v>
      </c>
      <c r="J411">
        <v>660</v>
      </c>
    </row>
    <row r="412" spans="1:10" x14ac:dyDescent="0.2">
      <c r="A412" t="s">
        <v>32</v>
      </c>
      <c r="B412" t="s">
        <v>614</v>
      </c>
      <c r="C412" t="s">
        <v>627</v>
      </c>
      <c r="D412" t="s">
        <v>572</v>
      </c>
      <c r="E412" t="s">
        <v>542</v>
      </c>
      <c r="F412">
        <v>3.1649555099247002</v>
      </c>
      <c r="G412">
        <v>660</v>
      </c>
      <c r="H412" t="s">
        <v>598</v>
      </c>
      <c r="J412">
        <v>660</v>
      </c>
    </row>
    <row r="413" spans="1:10" x14ac:dyDescent="0.2">
      <c r="A413" t="s">
        <v>243</v>
      </c>
      <c r="B413" t="s">
        <v>617</v>
      </c>
      <c r="C413" t="s">
        <v>626</v>
      </c>
      <c r="D413" t="s">
        <v>572</v>
      </c>
      <c r="E413" t="s">
        <v>542</v>
      </c>
      <c r="F413">
        <v>2.6036960985626201</v>
      </c>
      <c r="G413">
        <v>150</v>
      </c>
      <c r="H413" t="s">
        <v>576</v>
      </c>
      <c r="J413">
        <v>150</v>
      </c>
    </row>
    <row r="414" spans="1:10" x14ac:dyDescent="0.2">
      <c r="A414" t="s">
        <v>108</v>
      </c>
      <c r="B414" t="s">
        <v>609</v>
      </c>
      <c r="C414" t="s">
        <v>626</v>
      </c>
      <c r="D414" t="s">
        <v>570</v>
      </c>
      <c r="E414" t="s">
        <v>543</v>
      </c>
      <c r="F414">
        <v>6.5051334702258696</v>
      </c>
      <c r="G414">
        <v>600</v>
      </c>
      <c r="H414" t="s">
        <v>598</v>
      </c>
      <c r="I414">
        <v>600</v>
      </c>
      <c r="J414">
        <v>0</v>
      </c>
    </row>
    <row r="415" spans="1:10" x14ac:dyDescent="0.2">
      <c r="A415" t="s">
        <v>95</v>
      </c>
      <c r="B415" t="s">
        <v>609</v>
      </c>
      <c r="C415" t="s">
        <v>626</v>
      </c>
      <c r="D415" t="s">
        <v>570</v>
      </c>
      <c r="E415" t="s">
        <v>543</v>
      </c>
      <c r="F415">
        <v>5.5906913073237501</v>
      </c>
      <c r="G415">
        <v>600</v>
      </c>
      <c r="H415" t="s">
        <v>598</v>
      </c>
      <c r="I415">
        <v>600</v>
      </c>
      <c r="J415">
        <v>0</v>
      </c>
    </row>
    <row r="416" spans="1:10" x14ac:dyDescent="0.2">
      <c r="A416" t="s">
        <v>23</v>
      </c>
      <c r="B416" t="s">
        <v>609</v>
      </c>
      <c r="C416" t="s">
        <v>626</v>
      </c>
      <c r="D416" t="s">
        <v>570</v>
      </c>
      <c r="E416" t="s">
        <v>542</v>
      </c>
      <c r="F416">
        <v>1.45379876796714</v>
      </c>
      <c r="G416">
        <v>660</v>
      </c>
      <c r="H416" t="s">
        <v>598</v>
      </c>
      <c r="I416">
        <v>660</v>
      </c>
      <c r="J416">
        <v>0</v>
      </c>
    </row>
    <row r="417" spans="1:10" x14ac:dyDescent="0.2">
      <c r="A417" t="s">
        <v>19</v>
      </c>
      <c r="B417" t="s">
        <v>609</v>
      </c>
      <c r="C417" t="s">
        <v>626</v>
      </c>
      <c r="D417" t="s">
        <v>570</v>
      </c>
      <c r="E417" t="s">
        <v>542</v>
      </c>
      <c r="F417">
        <v>1.06776180698151</v>
      </c>
      <c r="G417">
        <v>660</v>
      </c>
      <c r="H417" t="s">
        <v>598</v>
      </c>
      <c r="I417">
        <v>660</v>
      </c>
      <c r="J417">
        <v>0</v>
      </c>
    </row>
    <row r="418" spans="1:10" x14ac:dyDescent="0.2">
      <c r="A418" t="s">
        <v>221</v>
      </c>
      <c r="B418" t="s">
        <v>613</v>
      </c>
      <c r="C418" t="s">
        <v>626</v>
      </c>
      <c r="D418" t="s">
        <v>570</v>
      </c>
      <c r="E418" t="s">
        <v>543</v>
      </c>
      <c r="F418">
        <v>5.1772758384667998</v>
      </c>
      <c r="G418">
        <v>250</v>
      </c>
      <c r="H418" t="s">
        <v>576</v>
      </c>
      <c r="I418">
        <v>250</v>
      </c>
      <c r="J418">
        <v>0</v>
      </c>
    </row>
    <row r="419" spans="1:10" x14ac:dyDescent="0.2">
      <c r="A419" t="s">
        <v>215</v>
      </c>
      <c r="B419" t="s">
        <v>613</v>
      </c>
      <c r="C419" t="s">
        <v>626</v>
      </c>
      <c r="D419" t="s">
        <v>570</v>
      </c>
      <c r="E419" t="s">
        <v>542</v>
      </c>
      <c r="F419">
        <v>4.6735112936344896</v>
      </c>
      <c r="G419">
        <v>250</v>
      </c>
      <c r="H419" t="s">
        <v>576</v>
      </c>
      <c r="I419">
        <v>250</v>
      </c>
      <c r="J419">
        <v>0</v>
      </c>
    </row>
    <row r="420" spans="1:10" x14ac:dyDescent="0.2">
      <c r="A420" t="s">
        <v>249</v>
      </c>
      <c r="B420" t="s">
        <v>614</v>
      </c>
      <c r="C420" t="s">
        <v>627</v>
      </c>
      <c r="D420" t="s">
        <v>571</v>
      </c>
      <c r="E420" t="s">
        <v>545</v>
      </c>
      <c r="F420">
        <v>18.2532511978097</v>
      </c>
      <c r="G420">
        <v>500</v>
      </c>
      <c r="H420" t="s">
        <v>598</v>
      </c>
      <c r="I420">
        <v>500</v>
      </c>
      <c r="J420">
        <v>0</v>
      </c>
    </row>
    <row r="421" spans="1:10" x14ac:dyDescent="0.2">
      <c r="A421" t="s">
        <v>241</v>
      </c>
      <c r="B421" t="s">
        <v>614</v>
      </c>
      <c r="C421" t="s">
        <v>627</v>
      </c>
      <c r="D421" t="s">
        <v>571</v>
      </c>
      <c r="E421" t="s">
        <v>545</v>
      </c>
      <c r="F421">
        <v>17.7577002053388</v>
      </c>
      <c r="G421">
        <v>500</v>
      </c>
      <c r="H421" t="s">
        <v>598</v>
      </c>
      <c r="I421">
        <v>500</v>
      </c>
      <c r="J421">
        <v>0</v>
      </c>
    </row>
    <row r="422" spans="1:10" x14ac:dyDescent="0.2">
      <c r="A422" t="s">
        <v>163</v>
      </c>
      <c r="B422" t="s">
        <v>614</v>
      </c>
      <c r="C422" t="s">
        <v>627</v>
      </c>
      <c r="D422" t="s">
        <v>571</v>
      </c>
      <c r="E422" t="s">
        <v>543</v>
      </c>
      <c r="F422">
        <v>9.1772758384667998</v>
      </c>
      <c r="G422">
        <v>500</v>
      </c>
      <c r="H422" t="s">
        <v>598</v>
      </c>
      <c r="I422">
        <v>500</v>
      </c>
      <c r="J422">
        <v>0</v>
      </c>
    </row>
    <row r="423" spans="1:10" x14ac:dyDescent="0.2">
      <c r="A423" t="s">
        <v>153</v>
      </c>
      <c r="B423" t="s">
        <v>614</v>
      </c>
      <c r="C423" t="s">
        <v>627</v>
      </c>
      <c r="D423" t="s">
        <v>571</v>
      </c>
      <c r="E423" t="s">
        <v>543</v>
      </c>
      <c r="F423">
        <v>8.1752224503764506</v>
      </c>
      <c r="G423">
        <v>500</v>
      </c>
      <c r="H423" t="s">
        <v>598</v>
      </c>
      <c r="I423">
        <v>500</v>
      </c>
      <c r="J423">
        <v>0</v>
      </c>
    </row>
    <row r="424" spans="1:10" x14ac:dyDescent="0.2">
      <c r="A424" t="s">
        <v>292</v>
      </c>
      <c r="B424" t="s">
        <v>614</v>
      </c>
      <c r="C424" t="s">
        <v>627</v>
      </c>
      <c r="D424" t="s">
        <v>572</v>
      </c>
      <c r="E424" t="s">
        <v>543</v>
      </c>
      <c r="F424">
        <v>7.8412046543463303</v>
      </c>
      <c r="G424">
        <v>150</v>
      </c>
      <c r="H424" t="s">
        <v>576</v>
      </c>
      <c r="J424">
        <v>150</v>
      </c>
    </row>
    <row r="425" spans="1:10" x14ac:dyDescent="0.2">
      <c r="A425" t="s">
        <v>279</v>
      </c>
      <c r="B425" t="s">
        <v>614</v>
      </c>
      <c r="C425" t="s">
        <v>627</v>
      </c>
      <c r="D425" t="s">
        <v>572</v>
      </c>
      <c r="E425" t="s">
        <v>543</v>
      </c>
      <c r="F425">
        <v>6.2532511978097096</v>
      </c>
      <c r="G425">
        <v>150</v>
      </c>
      <c r="H425" t="s">
        <v>576</v>
      </c>
      <c r="J425">
        <v>150</v>
      </c>
    </row>
    <row r="426" spans="1:10" x14ac:dyDescent="0.2">
      <c r="A426" t="s">
        <v>69</v>
      </c>
      <c r="B426" t="s">
        <v>610</v>
      </c>
      <c r="C426" t="s">
        <v>627</v>
      </c>
      <c r="D426" t="s">
        <v>570</v>
      </c>
      <c r="E426" t="s">
        <v>542</v>
      </c>
      <c r="F426">
        <v>4.1752224503764497</v>
      </c>
      <c r="G426">
        <v>600</v>
      </c>
      <c r="H426" t="s">
        <v>598</v>
      </c>
      <c r="I426">
        <v>600</v>
      </c>
      <c r="J426">
        <v>0</v>
      </c>
    </row>
    <row r="427" spans="1:10" x14ac:dyDescent="0.2">
      <c r="A427" t="s">
        <v>62</v>
      </c>
      <c r="B427" t="s">
        <v>610</v>
      </c>
      <c r="C427" t="s">
        <v>627</v>
      </c>
      <c r="D427" t="s">
        <v>570</v>
      </c>
      <c r="E427" t="s">
        <v>542</v>
      </c>
      <c r="F427">
        <v>3.4250513347022502</v>
      </c>
      <c r="G427">
        <v>600</v>
      </c>
      <c r="H427" t="s">
        <v>598</v>
      </c>
      <c r="I427">
        <v>600</v>
      </c>
      <c r="J427">
        <v>0</v>
      </c>
    </row>
    <row r="428" spans="1:10" x14ac:dyDescent="0.2">
      <c r="A428" t="s">
        <v>497</v>
      </c>
      <c r="B428" t="s">
        <v>634</v>
      </c>
      <c r="C428" t="s">
        <v>628</v>
      </c>
      <c r="D428" t="s">
        <v>571</v>
      </c>
      <c r="E428" t="s">
        <v>549</v>
      </c>
      <c r="F428">
        <v>38.253251197809703</v>
      </c>
      <c r="G428">
        <v>200</v>
      </c>
      <c r="H428" t="s">
        <v>576</v>
      </c>
      <c r="I428">
        <v>200</v>
      </c>
      <c r="J428">
        <v>0</v>
      </c>
    </row>
    <row r="429" spans="1:10" x14ac:dyDescent="0.2">
      <c r="A429" t="s">
        <v>492</v>
      </c>
      <c r="B429" t="s">
        <v>634</v>
      </c>
      <c r="C429" t="s">
        <v>628</v>
      </c>
      <c r="D429" t="s">
        <v>571</v>
      </c>
      <c r="E429" t="s">
        <v>549</v>
      </c>
      <c r="F429">
        <v>37.505817932922596</v>
      </c>
      <c r="G429">
        <v>200</v>
      </c>
      <c r="H429" t="s">
        <v>576</v>
      </c>
      <c r="I429">
        <v>200</v>
      </c>
      <c r="J429">
        <v>0</v>
      </c>
    </row>
    <row r="430" spans="1:10" x14ac:dyDescent="0.2">
      <c r="A430" t="s">
        <v>489</v>
      </c>
      <c r="B430" t="s">
        <v>634</v>
      </c>
      <c r="C430" t="s">
        <v>628</v>
      </c>
      <c r="D430" t="s">
        <v>571</v>
      </c>
      <c r="E430" t="s">
        <v>549</v>
      </c>
      <c r="F430">
        <v>37.177275838466798</v>
      </c>
      <c r="G430">
        <v>200</v>
      </c>
      <c r="H430" t="s">
        <v>576</v>
      </c>
      <c r="I430">
        <v>200</v>
      </c>
      <c r="J430">
        <v>0</v>
      </c>
    </row>
    <row r="431" spans="1:10" x14ac:dyDescent="0.2">
      <c r="A431" t="s">
        <v>481</v>
      </c>
      <c r="B431" t="s">
        <v>634</v>
      </c>
      <c r="C431" t="s">
        <v>628</v>
      </c>
      <c r="D431" t="s">
        <v>571</v>
      </c>
      <c r="E431" t="s">
        <v>549</v>
      </c>
      <c r="F431">
        <v>36.5065023956194</v>
      </c>
      <c r="G431">
        <v>200</v>
      </c>
      <c r="H431" t="s">
        <v>576</v>
      </c>
      <c r="I431">
        <v>200</v>
      </c>
      <c r="J431">
        <v>0</v>
      </c>
    </row>
    <row r="432" spans="1:10" x14ac:dyDescent="0.2">
      <c r="A432" t="s">
        <v>480</v>
      </c>
      <c r="B432" t="s">
        <v>634</v>
      </c>
      <c r="C432" t="s">
        <v>628</v>
      </c>
      <c r="D432" t="s">
        <v>571</v>
      </c>
      <c r="E432" t="s">
        <v>549</v>
      </c>
      <c r="F432">
        <v>36.254620123203203</v>
      </c>
      <c r="G432">
        <v>200</v>
      </c>
      <c r="H432" t="s">
        <v>576</v>
      </c>
      <c r="I432">
        <v>200</v>
      </c>
      <c r="J432">
        <v>0</v>
      </c>
    </row>
    <row r="433" spans="1:10" x14ac:dyDescent="0.2">
      <c r="A433" t="s">
        <v>372</v>
      </c>
      <c r="B433" t="s">
        <v>634</v>
      </c>
      <c r="C433" t="s">
        <v>628</v>
      </c>
      <c r="D433" t="s">
        <v>571</v>
      </c>
      <c r="E433" t="s">
        <v>548</v>
      </c>
      <c r="F433">
        <v>33.423682409308597</v>
      </c>
      <c r="G433">
        <v>500</v>
      </c>
      <c r="H433" t="s">
        <v>598</v>
      </c>
      <c r="I433">
        <v>500</v>
      </c>
      <c r="J433">
        <v>0</v>
      </c>
    </row>
    <row r="434" spans="1:10" x14ac:dyDescent="0.2">
      <c r="A434" t="s">
        <v>364</v>
      </c>
      <c r="B434" t="s">
        <v>634</v>
      </c>
      <c r="C434" t="s">
        <v>628</v>
      </c>
      <c r="D434" t="s">
        <v>571</v>
      </c>
      <c r="E434" t="s">
        <v>548</v>
      </c>
      <c r="F434">
        <v>32.5065023956194</v>
      </c>
      <c r="G434">
        <v>500</v>
      </c>
      <c r="H434" t="s">
        <v>598</v>
      </c>
      <c r="I434">
        <v>500</v>
      </c>
      <c r="J434">
        <v>0</v>
      </c>
    </row>
    <row r="435" spans="1:10" x14ac:dyDescent="0.2">
      <c r="A435" t="s">
        <v>100</v>
      </c>
      <c r="B435" t="s">
        <v>611</v>
      </c>
      <c r="C435" t="s">
        <v>626</v>
      </c>
      <c r="D435" t="s">
        <v>571</v>
      </c>
      <c r="E435" t="s">
        <v>543</v>
      </c>
      <c r="F435">
        <v>8.5913757700205302</v>
      </c>
      <c r="G435">
        <v>660</v>
      </c>
      <c r="H435" t="s">
        <v>598</v>
      </c>
      <c r="I435">
        <v>660</v>
      </c>
      <c r="J435">
        <v>0</v>
      </c>
    </row>
    <row r="436" spans="1:10" x14ac:dyDescent="0.2">
      <c r="A436" t="s">
        <v>90</v>
      </c>
      <c r="B436" t="s">
        <v>611</v>
      </c>
      <c r="C436" t="s">
        <v>626</v>
      </c>
      <c r="D436" t="s">
        <v>571</v>
      </c>
      <c r="E436" t="s">
        <v>543</v>
      </c>
      <c r="F436">
        <v>8.00821355236139</v>
      </c>
      <c r="G436">
        <v>660</v>
      </c>
      <c r="H436" t="s">
        <v>598</v>
      </c>
      <c r="I436">
        <v>660</v>
      </c>
      <c r="J436">
        <v>0</v>
      </c>
    </row>
    <row r="437" spans="1:10" x14ac:dyDescent="0.2">
      <c r="A437" t="s">
        <v>85</v>
      </c>
      <c r="B437" t="s">
        <v>611</v>
      </c>
      <c r="C437" t="s">
        <v>626</v>
      </c>
      <c r="D437" t="s">
        <v>571</v>
      </c>
      <c r="E437" t="s">
        <v>543</v>
      </c>
      <c r="F437">
        <v>7.7563312799452397</v>
      </c>
      <c r="G437">
        <v>660</v>
      </c>
      <c r="H437" t="s">
        <v>598</v>
      </c>
      <c r="I437">
        <v>660</v>
      </c>
      <c r="J437">
        <v>0</v>
      </c>
    </row>
    <row r="438" spans="1:10" x14ac:dyDescent="0.2">
      <c r="A438" t="s">
        <v>181</v>
      </c>
      <c r="B438" t="s">
        <v>611</v>
      </c>
      <c r="C438" t="s">
        <v>626</v>
      </c>
      <c r="D438" t="s">
        <v>571</v>
      </c>
      <c r="E438" t="s">
        <v>544</v>
      </c>
      <c r="F438">
        <v>11.9233401779603</v>
      </c>
      <c r="G438">
        <v>500</v>
      </c>
      <c r="H438" t="s">
        <v>598</v>
      </c>
      <c r="I438">
        <v>500</v>
      </c>
      <c r="J438">
        <v>0</v>
      </c>
    </row>
    <row r="439" spans="1:10" x14ac:dyDescent="0.2">
      <c r="A439" t="s">
        <v>178</v>
      </c>
      <c r="B439" t="s">
        <v>611</v>
      </c>
      <c r="C439" t="s">
        <v>626</v>
      </c>
      <c r="D439" t="s">
        <v>571</v>
      </c>
      <c r="E439" t="s">
        <v>544</v>
      </c>
      <c r="F439">
        <v>11.337440109514</v>
      </c>
      <c r="G439">
        <v>500</v>
      </c>
      <c r="H439" t="s">
        <v>598</v>
      </c>
      <c r="I439">
        <v>500</v>
      </c>
      <c r="J439">
        <v>0</v>
      </c>
    </row>
    <row r="440" spans="1:10" x14ac:dyDescent="0.2">
      <c r="A440" t="s">
        <v>31</v>
      </c>
      <c r="B440" t="s">
        <v>617</v>
      </c>
      <c r="C440" t="s">
        <v>626</v>
      </c>
      <c r="D440" t="s">
        <v>571</v>
      </c>
      <c r="E440" t="s">
        <v>542</v>
      </c>
      <c r="F440">
        <v>3.0910335386721401</v>
      </c>
      <c r="G440">
        <v>660</v>
      </c>
      <c r="H440" t="s">
        <v>598</v>
      </c>
      <c r="I440">
        <v>660</v>
      </c>
      <c r="J440">
        <v>0</v>
      </c>
    </row>
    <row r="441" spans="1:10" x14ac:dyDescent="0.2">
      <c r="A441" t="s">
        <v>20</v>
      </c>
      <c r="B441" t="s">
        <v>617</v>
      </c>
      <c r="C441" t="s">
        <v>626</v>
      </c>
      <c r="D441" t="s">
        <v>571</v>
      </c>
      <c r="E441" t="s">
        <v>542</v>
      </c>
      <c r="F441">
        <v>1.06776180698151</v>
      </c>
      <c r="G441">
        <v>660</v>
      </c>
      <c r="H441" t="s">
        <v>598</v>
      </c>
      <c r="I441">
        <v>660</v>
      </c>
      <c r="J441">
        <v>0</v>
      </c>
    </row>
    <row r="442" spans="1:10" x14ac:dyDescent="0.2">
      <c r="A442" t="s">
        <v>467</v>
      </c>
      <c r="B442" t="s">
        <v>621</v>
      </c>
      <c r="C442" t="s">
        <v>625</v>
      </c>
      <c r="D442" t="s">
        <v>572</v>
      </c>
      <c r="E442" t="s">
        <v>547</v>
      </c>
      <c r="F442">
        <v>29.0924024640657</v>
      </c>
      <c r="G442">
        <v>68</v>
      </c>
      <c r="H442" t="s">
        <v>576</v>
      </c>
      <c r="I442">
        <v>68</v>
      </c>
      <c r="J442">
        <v>0</v>
      </c>
    </row>
    <row r="443" spans="1:10" x14ac:dyDescent="0.2">
      <c r="A443" t="s">
        <v>471</v>
      </c>
      <c r="B443" t="s">
        <v>621</v>
      </c>
      <c r="C443" t="s">
        <v>625</v>
      </c>
      <c r="D443" t="s">
        <v>572</v>
      </c>
      <c r="E443" t="s">
        <v>547</v>
      </c>
      <c r="F443">
        <v>29.7577002053388</v>
      </c>
      <c r="G443">
        <v>68</v>
      </c>
      <c r="H443" t="s">
        <v>576</v>
      </c>
      <c r="I443">
        <v>68</v>
      </c>
      <c r="J443">
        <v>0</v>
      </c>
    </row>
    <row r="444" spans="1:10" x14ac:dyDescent="0.2">
      <c r="A444" t="s">
        <v>136</v>
      </c>
      <c r="B444" t="s">
        <v>608</v>
      </c>
      <c r="C444" t="s">
        <v>625</v>
      </c>
      <c r="D444" t="s">
        <v>572</v>
      </c>
      <c r="E444" t="s">
        <v>544</v>
      </c>
      <c r="F444">
        <v>10.17659137577</v>
      </c>
      <c r="G444">
        <v>600</v>
      </c>
      <c r="H444" t="s">
        <v>598</v>
      </c>
      <c r="I444">
        <v>300</v>
      </c>
      <c r="J444">
        <v>300</v>
      </c>
    </row>
    <row r="445" spans="1:10" x14ac:dyDescent="0.2">
      <c r="A445" t="s">
        <v>131</v>
      </c>
      <c r="B445" t="s">
        <v>608</v>
      </c>
      <c r="C445" t="s">
        <v>625</v>
      </c>
      <c r="D445" t="s">
        <v>572</v>
      </c>
      <c r="E445" t="s">
        <v>543</v>
      </c>
      <c r="F445">
        <v>9.4236824093086895</v>
      </c>
      <c r="G445">
        <v>600</v>
      </c>
      <c r="H445" t="s">
        <v>598</v>
      </c>
      <c r="I445">
        <v>300</v>
      </c>
      <c r="J445">
        <v>300</v>
      </c>
    </row>
    <row r="446" spans="1:10" x14ac:dyDescent="0.2">
      <c r="A446" t="s">
        <v>367</v>
      </c>
      <c r="B446" t="s">
        <v>616</v>
      </c>
      <c r="C446" t="s">
        <v>628</v>
      </c>
      <c r="D446" t="s">
        <v>570</v>
      </c>
      <c r="E446" t="s">
        <v>546</v>
      </c>
      <c r="F446">
        <v>22.009582477754901</v>
      </c>
      <c r="G446">
        <v>250</v>
      </c>
      <c r="H446" t="s">
        <v>576</v>
      </c>
      <c r="I446">
        <v>250</v>
      </c>
      <c r="J446">
        <v>0</v>
      </c>
    </row>
    <row r="447" spans="1:10" x14ac:dyDescent="0.2">
      <c r="A447" t="s">
        <v>354</v>
      </c>
      <c r="B447" t="s">
        <v>616</v>
      </c>
      <c r="C447" t="s">
        <v>628</v>
      </c>
      <c r="D447" t="s">
        <v>570</v>
      </c>
      <c r="E447" t="s">
        <v>546</v>
      </c>
      <c r="F447">
        <v>20.175222450376399</v>
      </c>
      <c r="G447">
        <v>250</v>
      </c>
      <c r="H447" t="s">
        <v>576</v>
      </c>
      <c r="I447">
        <v>250</v>
      </c>
      <c r="J447">
        <v>0</v>
      </c>
    </row>
    <row r="448" spans="1:10" x14ac:dyDescent="0.2">
      <c r="A448" t="s">
        <v>349</v>
      </c>
      <c r="B448" t="s">
        <v>616</v>
      </c>
      <c r="C448" t="s">
        <v>628</v>
      </c>
      <c r="D448" t="s">
        <v>570</v>
      </c>
      <c r="E448" t="s">
        <v>545</v>
      </c>
      <c r="F448">
        <v>18.590006844626899</v>
      </c>
      <c r="G448">
        <v>250</v>
      </c>
      <c r="H448" t="s">
        <v>576</v>
      </c>
      <c r="I448">
        <v>250</v>
      </c>
      <c r="J448">
        <v>0</v>
      </c>
    </row>
    <row r="449" spans="1:10" x14ac:dyDescent="0.2">
      <c r="A449" t="s">
        <v>347</v>
      </c>
      <c r="B449" t="s">
        <v>616</v>
      </c>
      <c r="C449" t="s">
        <v>628</v>
      </c>
      <c r="D449" t="s">
        <v>570</v>
      </c>
      <c r="E449" t="s">
        <v>545</v>
      </c>
      <c r="F449">
        <v>18.176591375769998</v>
      </c>
      <c r="G449">
        <v>250</v>
      </c>
      <c r="H449" t="s">
        <v>576</v>
      </c>
      <c r="I449">
        <v>250</v>
      </c>
      <c r="J449">
        <v>0</v>
      </c>
    </row>
    <row r="450" spans="1:10" x14ac:dyDescent="0.2">
      <c r="A450" t="s">
        <v>332</v>
      </c>
      <c r="B450" t="s">
        <v>616</v>
      </c>
      <c r="C450" t="s">
        <v>628</v>
      </c>
      <c r="D450" t="s">
        <v>570</v>
      </c>
      <c r="E450" t="s">
        <v>545</v>
      </c>
      <c r="F450">
        <v>16.925393566050602</v>
      </c>
      <c r="G450">
        <v>250</v>
      </c>
      <c r="H450" t="s">
        <v>576</v>
      </c>
      <c r="I450">
        <v>250</v>
      </c>
      <c r="J450">
        <v>0</v>
      </c>
    </row>
    <row r="451" spans="1:10" x14ac:dyDescent="0.2">
      <c r="A451" t="s">
        <v>281</v>
      </c>
      <c r="B451" t="s">
        <v>616</v>
      </c>
      <c r="C451" t="s">
        <v>628</v>
      </c>
      <c r="D451" t="s">
        <v>570</v>
      </c>
      <c r="E451" t="s">
        <v>544</v>
      </c>
      <c r="F451">
        <v>10.757015742642</v>
      </c>
      <c r="G451">
        <v>250</v>
      </c>
      <c r="H451" t="s">
        <v>576</v>
      </c>
      <c r="I451">
        <v>250</v>
      </c>
      <c r="J451">
        <v>0</v>
      </c>
    </row>
    <row r="452" spans="1:10" x14ac:dyDescent="0.2">
      <c r="A452" t="s">
        <v>330</v>
      </c>
      <c r="B452" t="s">
        <v>611</v>
      </c>
      <c r="C452" t="s">
        <v>626</v>
      </c>
      <c r="D452" t="s">
        <v>572</v>
      </c>
      <c r="E452" t="s">
        <v>543</v>
      </c>
      <c r="F452">
        <v>8.4243668720054696</v>
      </c>
      <c r="G452">
        <v>63</v>
      </c>
      <c r="H452" t="s">
        <v>576</v>
      </c>
      <c r="I452">
        <v>63</v>
      </c>
      <c r="J452">
        <v>0</v>
      </c>
    </row>
    <row r="453" spans="1:10" x14ac:dyDescent="0.2">
      <c r="A453" t="s">
        <v>531</v>
      </c>
      <c r="B453" t="s">
        <v>608</v>
      </c>
      <c r="C453" t="s">
        <v>625</v>
      </c>
      <c r="D453" t="s">
        <v>571</v>
      </c>
      <c r="E453" t="s">
        <v>551</v>
      </c>
      <c r="F453">
        <v>49.338809034907598</v>
      </c>
      <c r="G453">
        <v>60</v>
      </c>
      <c r="H453" t="s">
        <v>576</v>
      </c>
      <c r="I453">
        <v>60</v>
      </c>
      <c r="J453">
        <v>0</v>
      </c>
    </row>
    <row r="454" spans="1:10" x14ac:dyDescent="0.2">
      <c r="A454" t="s">
        <v>530</v>
      </c>
      <c r="B454" t="s">
        <v>608</v>
      </c>
      <c r="C454" t="s">
        <v>625</v>
      </c>
      <c r="D454" t="s">
        <v>571</v>
      </c>
      <c r="E454" t="s">
        <v>551</v>
      </c>
      <c r="F454">
        <v>48.925393566050602</v>
      </c>
      <c r="G454">
        <v>60</v>
      </c>
      <c r="H454" t="s">
        <v>576</v>
      </c>
      <c r="I454">
        <v>60</v>
      </c>
      <c r="J454">
        <v>0</v>
      </c>
    </row>
    <row r="455" spans="1:10" x14ac:dyDescent="0.2">
      <c r="A455" t="s">
        <v>528</v>
      </c>
      <c r="B455" t="s">
        <v>608</v>
      </c>
      <c r="C455" t="s">
        <v>625</v>
      </c>
      <c r="D455" t="s">
        <v>571</v>
      </c>
      <c r="E455" t="s">
        <v>551</v>
      </c>
      <c r="F455">
        <v>48.339493497604302</v>
      </c>
      <c r="G455">
        <v>60</v>
      </c>
      <c r="H455" t="s">
        <v>576</v>
      </c>
      <c r="I455">
        <v>60</v>
      </c>
      <c r="J455">
        <v>0</v>
      </c>
    </row>
    <row r="456" spans="1:10" x14ac:dyDescent="0.2">
      <c r="A456" t="s">
        <v>527</v>
      </c>
      <c r="B456" t="s">
        <v>608</v>
      </c>
      <c r="C456" t="s">
        <v>625</v>
      </c>
      <c r="D456" t="s">
        <v>571</v>
      </c>
      <c r="E456" t="s">
        <v>551</v>
      </c>
      <c r="F456">
        <v>47.923340177960299</v>
      </c>
      <c r="G456">
        <v>60</v>
      </c>
      <c r="H456" t="s">
        <v>576</v>
      </c>
      <c r="I456">
        <v>60</v>
      </c>
      <c r="J456">
        <v>0</v>
      </c>
    </row>
    <row r="457" spans="1:10" x14ac:dyDescent="0.2">
      <c r="A457" t="s">
        <v>526</v>
      </c>
      <c r="B457" t="s">
        <v>608</v>
      </c>
      <c r="C457" t="s">
        <v>625</v>
      </c>
      <c r="D457" t="s">
        <v>571</v>
      </c>
      <c r="E457" t="s">
        <v>551</v>
      </c>
      <c r="F457">
        <v>47.337440109513999</v>
      </c>
      <c r="G457">
        <v>110</v>
      </c>
      <c r="H457" t="s">
        <v>576</v>
      </c>
      <c r="I457">
        <v>110</v>
      </c>
      <c r="J457">
        <v>0</v>
      </c>
    </row>
    <row r="458" spans="1:10" x14ac:dyDescent="0.2">
      <c r="A458" t="s">
        <v>525</v>
      </c>
      <c r="B458" t="s">
        <v>608</v>
      </c>
      <c r="C458" t="s">
        <v>625</v>
      </c>
      <c r="D458" t="s">
        <v>571</v>
      </c>
      <c r="E458" t="s">
        <v>551</v>
      </c>
      <c r="F458">
        <v>46.924024640657002</v>
      </c>
      <c r="G458">
        <v>110</v>
      </c>
      <c r="H458" t="s">
        <v>576</v>
      </c>
      <c r="I458">
        <v>110</v>
      </c>
      <c r="J458">
        <v>0</v>
      </c>
    </row>
    <row r="459" spans="1:10" x14ac:dyDescent="0.2">
      <c r="A459" t="s">
        <v>314</v>
      </c>
      <c r="B459" t="s">
        <v>608</v>
      </c>
      <c r="C459" t="s">
        <v>625</v>
      </c>
      <c r="D459" t="s">
        <v>571</v>
      </c>
      <c r="E459" t="s">
        <v>547</v>
      </c>
      <c r="F459">
        <v>25.2539356605065</v>
      </c>
      <c r="G459">
        <v>500</v>
      </c>
      <c r="H459" t="s">
        <v>598</v>
      </c>
      <c r="I459">
        <v>500</v>
      </c>
      <c r="J459">
        <v>0</v>
      </c>
    </row>
    <row r="460" spans="1:10" x14ac:dyDescent="0.2">
      <c r="A460" t="s">
        <v>308</v>
      </c>
      <c r="B460" t="s">
        <v>608</v>
      </c>
      <c r="C460" t="s">
        <v>625</v>
      </c>
      <c r="D460" t="s">
        <v>571</v>
      </c>
      <c r="E460" t="s">
        <v>546</v>
      </c>
      <c r="F460">
        <v>24.175222450376399</v>
      </c>
      <c r="G460">
        <v>500</v>
      </c>
      <c r="H460" t="s">
        <v>598</v>
      </c>
      <c r="I460">
        <v>500</v>
      </c>
      <c r="J460">
        <v>0</v>
      </c>
    </row>
    <row r="461" spans="1:10" x14ac:dyDescent="0.2">
      <c r="A461" t="s">
        <v>232</v>
      </c>
      <c r="B461" t="s">
        <v>608</v>
      </c>
      <c r="C461" t="s">
        <v>625</v>
      </c>
      <c r="D461" t="s">
        <v>571</v>
      </c>
      <c r="E461" t="s">
        <v>545</v>
      </c>
      <c r="F461">
        <v>17.2539356605065</v>
      </c>
      <c r="G461">
        <v>500</v>
      </c>
      <c r="H461" t="s">
        <v>598</v>
      </c>
      <c r="I461">
        <v>500</v>
      </c>
      <c r="J461">
        <v>0</v>
      </c>
    </row>
    <row r="462" spans="1:10" x14ac:dyDescent="0.2">
      <c r="A462" t="s">
        <v>225</v>
      </c>
      <c r="B462" t="s">
        <v>608</v>
      </c>
      <c r="C462" t="s">
        <v>625</v>
      </c>
      <c r="D462" t="s">
        <v>571</v>
      </c>
      <c r="E462" t="s">
        <v>545</v>
      </c>
      <c r="F462">
        <v>16.591375770020498</v>
      </c>
      <c r="G462">
        <v>500</v>
      </c>
      <c r="H462" t="s">
        <v>598</v>
      </c>
      <c r="I462">
        <v>500</v>
      </c>
      <c r="J462">
        <v>0</v>
      </c>
    </row>
    <row r="463" spans="1:10" x14ac:dyDescent="0.2">
      <c r="A463" t="s">
        <v>219</v>
      </c>
      <c r="B463" t="s">
        <v>608</v>
      </c>
      <c r="C463" t="s">
        <v>625</v>
      </c>
      <c r="D463" t="s">
        <v>571</v>
      </c>
      <c r="E463" t="s">
        <v>545</v>
      </c>
      <c r="F463">
        <v>16.008213552361301</v>
      </c>
      <c r="G463">
        <v>500</v>
      </c>
      <c r="H463" t="s">
        <v>598</v>
      </c>
      <c r="I463">
        <v>500</v>
      </c>
      <c r="J463">
        <v>0</v>
      </c>
    </row>
    <row r="464" spans="1:10" x14ac:dyDescent="0.2">
      <c r="A464" t="s">
        <v>208</v>
      </c>
      <c r="B464" t="s">
        <v>608</v>
      </c>
      <c r="C464" t="s">
        <v>625</v>
      </c>
      <c r="D464" t="s">
        <v>571</v>
      </c>
      <c r="E464" t="s">
        <v>545</v>
      </c>
      <c r="F464">
        <v>15.2525667351129</v>
      </c>
      <c r="G464">
        <v>500</v>
      </c>
      <c r="H464" t="s">
        <v>598</v>
      </c>
      <c r="I464">
        <v>500</v>
      </c>
      <c r="J464">
        <v>0</v>
      </c>
    </row>
    <row r="465" spans="1:10" x14ac:dyDescent="0.2">
      <c r="A465" t="s">
        <v>60</v>
      </c>
      <c r="B465" t="s">
        <v>618</v>
      </c>
      <c r="C465" t="s">
        <v>628</v>
      </c>
      <c r="D465" t="s">
        <v>572</v>
      </c>
      <c r="E465" t="s">
        <v>543</v>
      </c>
      <c r="F465">
        <v>5.9247091033538597</v>
      </c>
      <c r="G465">
        <v>660</v>
      </c>
      <c r="H465" t="s">
        <v>598</v>
      </c>
      <c r="I465">
        <v>660</v>
      </c>
      <c r="J465">
        <v>0</v>
      </c>
    </row>
    <row r="466" spans="1:10" x14ac:dyDescent="0.2">
      <c r="A466" t="s">
        <v>47</v>
      </c>
      <c r="B466" t="s">
        <v>618</v>
      </c>
      <c r="C466" t="s">
        <v>628</v>
      </c>
      <c r="D466" t="s">
        <v>572</v>
      </c>
      <c r="E466" t="s">
        <v>542</v>
      </c>
      <c r="F466">
        <v>4.5913757700205302</v>
      </c>
      <c r="G466">
        <v>660</v>
      </c>
      <c r="H466" t="s">
        <v>598</v>
      </c>
      <c r="I466">
        <v>660</v>
      </c>
      <c r="J466">
        <v>0</v>
      </c>
    </row>
    <row r="467" spans="1:10" x14ac:dyDescent="0.2">
      <c r="A467" t="s">
        <v>42</v>
      </c>
      <c r="B467" t="s">
        <v>618</v>
      </c>
      <c r="C467" t="s">
        <v>628</v>
      </c>
      <c r="D467" t="s">
        <v>572</v>
      </c>
      <c r="E467" t="s">
        <v>542</v>
      </c>
      <c r="F467">
        <v>4.1752224503764497</v>
      </c>
      <c r="G467">
        <v>660</v>
      </c>
      <c r="H467" t="s">
        <v>598</v>
      </c>
      <c r="I467">
        <v>660</v>
      </c>
      <c r="J467">
        <v>0</v>
      </c>
    </row>
    <row r="468" spans="1:10" x14ac:dyDescent="0.2">
      <c r="A468" t="s">
        <v>478</v>
      </c>
      <c r="B468" t="s">
        <v>634</v>
      </c>
      <c r="C468" t="s">
        <v>628</v>
      </c>
      <c r="D468" t="s">
        <v>571</v>
      </c>
      <c r="E468" t="s">
        <v>548</v>
      </c>
      <c r="F468">
        <v>32.175222450376403</v>
      </c>
      <c r="G468">
        <v>110</v>
      </c>
      <c r="H468" t="s">
        <v>576</v>
      </c>
      <c r="I468">
        <v>99</v>
      </c>
      <c r="J468">
        <v>11</v>
      </c>
    </row>
    <row r="469" spans="1:10" x14ac:dyDescent="0.2">
      <c r="A469" t="s">
        <v>468</v>
      </c>
      <c r="B469" t="s">
        <v>634</v>
      </c>
      <c r="C469" t="s">
        <v>628</v>
      </c>
      <c r="D469" t="s">
        <v>571</v>
      </c>
      <c r="E469" t="s">
        <v>548</v>
      </c>
      <c r="F469">
        <v>31.175906913073199</v>
      </c>
      <c r="G469">
        <v>110</v>
      </c>
      <c r="H469" t="s">
        <v>576</v>
      </c>
      <c r="I469">
        <v>99</v>
      </c>
      <c r="J469">
        <v>11</v>
      </c>
    </row>
    <row r="470" spans="1:10" x14ac:dyDescent="0.2">
      <c r="A470" t="s">
        <v>461</v>
      </c>
      <c r="B470" t="s">
        <v>634</v>
      </c>
      <c r="C470" t="s">
        <v>628</v>
      </c>
      <c r="D470" t="s">
        <v>571</v>
      </c>
      <c r="E470" t="s">
        <v>548</v>
      </c>
      <c r="F470">
        <v>30.176591375769998</v>
      </c>
      <c r="G470">
        <v>110</v>
      </c>
      <c r="H470" t="s">
        <v>576</v>
      </c>
      <c r="I470">
        <v>99</v>
      </c>
      <c r="J470">
        <v>11</v>
      </c>
    </row>
    <row r="471" spans="1:10" x14ac:dyDescent="0.2">
      <c r="A471" t="s">
        <v>410</v>
      </c>
      <c r="B471" t="s">
        <v>634</v>
      </c>
      <c r="C471" t="s">
        <v>628</v>
      </c>
      <c r="D471" t="s">
        <v>571</v>
      </c>
      <c r="E471" t="s">
        <v>546</v>
      </c>
      <c r="F471">
        <v>22.2532511978097</v>
      </c>
      <c r="G471">
        <v>110</v>
      </c>
      <c r="H471" t="s">
        <v>576</v>
      </c>
      <c r="I471">
        <v>99</v>
      </c>
      <c r="J471">
        <v>11</v>
      </c>
    </row>
    <row r="472" spans="1:10" x14ac:dyDescent="0.2">
      <c r="A472" t="s">
        <v>12</v>
      </c>
      <c r="B472" t="s">
        <v>634</v>
      </c>
      <c r="C472" t="s">
        <v>628</v>
      </c>
      <c r="D472" t="s">
        <v>571</v>
      </c>
      <c r="E472" t="s">
        <v>542</v>
      </c>
      <c r="F472">
        <v>0.60232717316906204</v>
      </c>
      <c r="G472">
        <v>660</v>
      </c>
      <c r="H472" t="s">
        <v>598</v>
      </c>
      <c r="I472">
        <v>660</v>
      </c>
      <c r="J472">
        <v>0</v>
      </c>
    </row>
    <row r="473" spans="1:10" x14ac:dyDescent="0.2">
      <c r="A473" t="s">
        <v>392</v>
      </c>
      <c r="B473" t="s">
        <v>623</v>
      </c>
      <c r="C473" t="s">
        <v>625</v>
      </c>
      <c r="D473" t="s">
        <v>570</v>
      </c>
      <c r="E473" t="s">
        <v>546</v>
      </c>
      <c r="F473">
        <v>23.671457905544099</v>
      </c>
      <c r="G473">
        <v>210</v>
      </c>
      <c r="H473" t="s">
        <v>576</v>
      </c>
      <c r="I473">
        <v>210</v>
      </c>
      <c r="J473">
        <v>0</v>
      </c>
    </row>
    <row r="474" spans="1:10" x14ac:dyDescent="0.2">
      <c r="A474" t="s">
        <v>386</v>
      </c>
      <c r="B474" t="s">
        <v>623</v>
      </c>
      <c r="C474" t="s">
        <v>625</v>
      </c>
      <c r="D474" t="s">
        <v>570</v>
      </c>
      <c r="E474" t="s">
        <v>546</v>
      </c>
      <c r="F474">
        <v>22.672142368240898</v>
      </c>
      <c r="G474">
        <v>210</v>
      </c>
      <c r="H474" t="s">
        <v>576</v>
      </c>
      <c r="I474">
        <v>210</v>
      </c>
      <c r="J474">
        <v>0</v>
      </c>
    </row>
    <row r="475" spans="1:10" x14ac:dyDescent="0.2">
      <c r="A475" t="s">
        <v>298</v>
      </c>
      <c r="B475" t="s">
        <v>614</v>
      </c>
      <c r="C475" t="s">
        <v>627</v>
      </c>
      <c r="D475" t="s">
        <v>572</v>
      </c>
      <c r="E475" t="s">
        <v>543</v>
      </c>
      <c r="F475">
        <v>8.1752224503764506</v>
      </c>
      <c r="G475">
        <v>150</v>
      </c>
      <c r="H475" t="s">
        <v>576</v>
      </c>
      <c r="J475">
        <v>150</v>
      </c>
    </row>
    <row r="476" spans="1:10" x14ac:dyDescent="0.2">
      <c r="A476" t="s">
        <v>293</v>
      </c>
      <c r="B476" t="s">
        <v>614</v>
      </c>
      <c r="C476" t="s">
        <v>627</v>
      </c>
      <c r="D476" t="s">
        <v>572</v>
      </c>
      <c r="E476" t="s">
        <v>543</v>
      </c>
      <c r="F476">
        <v>7.8412046543463303</v>
      </c>
      <c r="G476">
        <v>150</v>
      </c>
      <c r="H476" t="s">
        <v>576</v>
      </c>
      <c r="J476">
        <v>150</v>
      </c>
    </row>
    <row r="477" spans="1:10" x14ac:dyDescent="0.2">
      <c r="A477" t="s">
        <v>83</v>
      </c>
      <c r="B477" t="s">
        <v>617</v>
      </c>
      <c r="C477" t="s">
        <v>626</v>
      </c>
      <c r="D477" t="s">
        <v>572</v>
      </c>
      <c r="E477" t="s">
        <v>543</v>
      </c>
      <c r="F477">
        <v>7.6714579055441403</v>
      </c>
      <c r="G477">
        <v>660</v>
      </c>
      <c r="H477" t="s">
        <v>598</v>
      </c>
      <c r="I477">
        <v>660</v>
      </c>
      <c r="J477">
        <v>0</v>
      </c>
    </row>
    <row r="478" spans="1:10" x14ac:dyDescent="0.2">
      <c r="A478" t="s">
        <v>79</v>
      </c>
      <c r="B478" t="s">
        <v>617</v>
      </c>
      <c r="C478" t="s">
        <v>626</v>
      </c>
      <c r="D478" t="s">
        <v>572</v>
      </c>
      <c r="E478" t="s">
        <v>543</v>
      </c>
      <c r="F478">
        <v>7.1759069130732298</v>
      </c>
      <c r="G478">
        <v>660</v>
      </c>
      <c r="H478" t="s">
        <v>598</v>
      </c>
      <c r="I478">
        <v>660</v>
      </c>
      <c r="J478">
        <v>0</v>
      </c>
    </row>
    <row r="479" spans="1:10" x14ac:dyDescent="0.2">
      <c r="A479" t="s">
        <v>73</v>
      </c>
      <c r="B479" t="s">
        <v>617</v>
      </c>
      <c r="C479" t="s">
        <v>626</v>
      </c>
      <c r="D479" t="s">
        <v>572</v>
      </c>
      <c r="E479" t="s">
        <v>543</v>
      </c>
      <c r="F479">
        <v>6.9240246406570796</v>
      </c>
      <c r="G479">
        <v>660</v>
      </c>
      <c r="H479" t="s">
        <v>598</v>
      </c>
      <c r="I479">
        <v>660</v>
      </c>
      <c r="J479">
        <v>0</v>
      </c>
    </row>
    <row r="480" spans="1:10" x14ac:dyDescent="0.2">
      <c r="A480" t="s">
        <v>64</v>
      </c>
      <c r="B480" t="s">
        <v>617</v>
      </c>
      <c r="C480" t="s">
        <v>626</v>
      </c>
      <c r="D480" t="s">
        <v>572</v>
      </c>
      <c r="E480" t="s">
        <v>543</v>
      </c>
      <c r="F480">
        <v>6.1765913757700197</v>
      </c>
      <c r="G480">
        <v>660</v>
      </c>
      <c r="H480" t="s">
        <v>598</v>
      </c>
      <c r="I480">
        <v>660</v>
      </c>
      <c r="J480">
        <v>0</v>
      </c>
    </row>
    <row r="481" spans="1:10" x14ac:dyDescent="0.2">
      <c r="A481" t="s">
        <v>57</v>
      </c>
      <c r="B481" t="s">
        <v>617</v>
      </c>
      <c r="C481" t="s">
        <v>626</v>
      </c>
      <c r="D481" t="s">
        <v>572</v>
      </c>
      <c r="E481" t="s">
        <v>543</v>
      </c>
      <c r="F481">
        <v>5.6728268309377103</v>
      </c>
      <c r="G481">
        <v>660</v>
      </c>
      <c r="H481" t="s">
        <v>598</v>
      </c>
      <c r="I481">
        <v>660</v>
      </c>
      <c r="J481">
        <v>0</v>
      </c>
    </row>
    <row r="482" spans="1:10" x14ac:dyDescent="0.2">
      <c r="A482" t="s">
        <v>398</v>
      </c>
      <c r="B482" t="s">
        <v>612</v>
      </c>
      <c r="C482" t="s">
        <v>627</v>
      </c>
      <c r="D482" t="s">
        <v>572</v>
      </c>
      <c r="E482" t="s">
        <v>546</v>
      </c>
      <c r="F482">
        <v>21.338809034907499</v>
      </c>
      <c r="G482">
        <v>130</v>
      </c>
      <c r="H482" t="s">
        <v>576</v>
      </c>
      <c r="J482">
        <v>130</v>
      </c>
    </row>
    <row r="483" spans="1:10" x14ac:dyDescent="0.2">
      <c r="A483" t="s">
        <v>396</v>
      </c>
      <c r="B483" t="s">
        <v>612</v>
      </c>
      <c r="C483" t="s">
        <v>627</v>
      </c>
      <c r="D483" t="s">
        <v>572</v>
      </c>
      <c r="E483" t="s">
        <v>546</v>
      </c>
      <c r="F483">
        <v>21.0102669404517</v>
      </c>
      <c r="G483">
        <v>130</v>
      </c>
      <c r="H483" t="s">
        <v>576</v>
      </c>
      <c r="J483">
        <v>130</v>
      </c>
    </row>
    <row r="484" spans="1:10" x14ac:dyDescent="0.2">
      <c r="A484" t="s">
        <v>262</v>
      </c>
      <c r="B484" t="s">
        <v>612</v>
      </c>
      <c r="C484" t="s">
        <v>627</v>
      </c>
      <c r="D484" t="s">
        <v>572</v>
      </c>
      <c r="E484" t="s">
        <v>544</v>
      </c>
      <c r="F484">
        <v>11.0910335386721</v>
      </c>
      <c r="G484">
        <v>300</v>
      </c>
      <c r="H484" t="s">
        <v>576</v>
      </c>
      <c r="J484">
        <v>300</v>
      </c>
    </row>
    <row r="485" spans="1:10" x14ac:dyDescent="0.2">
      <c r="A485" t="s">
        <v>258</v>
      </c>
      <c r="B485" t="s">
        <v>612</v>
      </c>
      <c r="C485" t="s">
        <v>627</v>
      </c>
      <c r="D485" t="s">
        <v>572</v>
      </c>
      <c r="E485" t="s">
        <v>544</v>
      </c>
      <c r="F485">
        <v>10.757015742642</v>
      </c>
      <c r="G485">
        <v>300</v>
      </c>
      <c r="H485" t="s">
        <v>576</v>
      </c>
      <c r="J485">
        <v>300</v>
      </c>
    </row>
    <row r="486" spans="1:10" x14ac:dyDescent="0.2">
      <c r="A486" t="s">
        <v>391</v>
      </c>
      <c r="B486" t="s">
        <v>617</v>
      </c>
      <c r="C486" t="s">
        <v>626</v>
      </c>
      <c r="D486" t="s">
        <v>572</v>
      </c>
      <c r="E486" t="s">
        <v>549</v>
      </c>
      <c r="F486">
        <v>36.339493497604302</v>
      </c>
      <c r="G486">
        <v>500</v>
      </c>
      <c r="H486" t="s">
        <v>576</v>
      </c>
      <c r="I486">
        <v>500</v>
      </c>
      <c r="J486">
        <v>0</v>
      </c>
    </row>
    <row r="487" spans="1:10" x14ac:dyDescent="0.2">
      <c r="A487" t="s">
        <v>284</v>
      </c>
      <c r="B487" t="s">
        <v>617</v>
      </c>
      <c r="C487" t="s">
        <v>626</v>
      </c>
      <c r="D487" t="s">
        <v>572</v>
      </c>
      <c r="E487" t="s">
        <v>544</v>
      </c>
      <c r="F487">
        <v>11.1759069130732</v>
      </c>
      <c r="G487">
        <v>250</v>
      </c>
      <c r="H487" t="s">
        <v>576</v>
      </c>
      <c r="I487">
        <v>250</v>
      </c>
      <c r="J487">
        <v>0</v>
      </c>
    </row>
    <row r="488" spans="1:10" x14ac:dyDescent="0.2">
      <c r="A488" t="s">
        <v>508</v>
      </c>
      <c r="B488" t="s">
        <v>622</v>
      </c>
      <c r="C488" t="s">
        <v>627</v>
      </c>
      <c r="D488" t="s">
        <v>570</v>
      </c>
      <c r="E488" t="s">
        <v>550</v>
      </c>
      <c r="F488">
        <v>40.821355236139603</v>
      </c>
      <c r="G488">
        <v>210</v>
      </c>
      <c r="H488" t="s">
        <v>576</v>
      </c>
      <c r="I488">
        <v>210</v>
      </c>
      <c r="J488">
        <v>0</v>
      </c>
    </row>
    <row r="489" spans="1:10" x14ac:dyDescent="0.2">
      <c r="A489" t="s">
        <v>500</v>
      </c>
      <c r="B489" t="s">
        <v>622</v>
      </c>
      <c r="C489" t="s">
        <v>627</v>
      </c>
      <c r="D489" t="s">
        <v>570</v>
      </c>
      <c r="E489" t="s">
        <v>549</v>
      </c>
      <c r="F489">
        <v>39.378507871320998</v>
      </c>
      <c r="G489">
        <v>210</v>
      </c>
      <c r="H489" t="s">
        <v>576</v>
      </c>
      <c r="I489">
        <v>210</v>
      </c>
      <c r="J489">
        <v>0</v>
      </c>
    </row>
    <row r="490" spans="1:10" x14ac:dyDescent="0.2">
      <c r="A490" t="s">
        <v>493</v>
      </c>
      <c r="B490" t="s">
        <v>622</v>
      </c>
      <c r="C490" t="s">
        <v>627</v>
      </c>
      <c r="D490" t="s">
        <v>570</v>
      </c>
      <c r="E490" t="s">
        <v>549</v>
      </c>
      <c r="F490">
        <v>38.050650239561897</v>
      </c>
      <c r="G490">
        <v>210</v>
      </c>
      <c r="H490" t="s">
        <v>576</v>
      </c>
      <c r="I490">
        <v>210</v>
      </c>
      <c r="J490">
        <v>0</v>
      </c>
    </row>
    <row r="491" spans="1:10" x14ac:dyDescent="0.2">
      <c r="A491" t="s">
        <v>420</v>
      </c>
      <c r="B491" t="s">
        <v>622</v>
      </c>
      <c r="C491" t="s">
        <v>627</v>
      </c>
      <c r="D491" t="s">
        <v>570</v>
      </c>
      <c r="E491" t="s">
        <v>547</v>
      </c>
      <c r="F491">
        <v>28.227241615331899</v>
      </c>
      <c r="G491">
        <v>210</v>
      </c>
      <c r="H491" t="s">
        <v>576</v>
      </c>
      <c r="I491">
        <v>210</v>
      </c>
      <c r="J491">
        <v>0</v>
      </c>
    </row>
    <row r="492" spans="1:10" x14ac:dyDescent="0.2">
      <c r="A492" t="s">
        <v>423</v>
      </c>
      <c r="B492" t="s">
        <v>622</v>
      </c>
      <c r="C492" t="s">
        <v>627</v>
      </c>
      <c r="D492" t="s">
        <v>570</v>
      </c>
      <c r="E492" t="s">
        <v>547</v>
      </c>
      <c r="F492">
        <v>29.095140314852799</v>
      </c>
      <c r="G492">
        <v>210</v>
      </c>
      <c r="H492" t="s">
        <v>576</v>
      </c>
      <c r="I492">
        <v>210</v>
      </c>
      <c r="J492">
        <v>0</v>
      </c>
    </row>
    <row r="493" spans="1:10" x14ac:dyDescent="0.2">
      <c r="A493" t="s">
        <v>173</v>
      </c>
      <c r="B493" t="s">
        <v>611</v>
      </c>
      <c r="C493" t="s">
        <v>626</v>
      </c>
      <c r="D493" t="s">
        <v>572</v>
      </c>
      <c r="E493" t="s">
        <v>542</v>
      </c>
      <c r="F493">
        <v>4.5913757700205302</v>
      </c>
      <c r="G493">
        <v>360</v>
      </c>
      <c r="H493" t="s">
        <v>598</v>
      </c>
      <c r="I493">
        <v>360</v>
      </c>
      <c r="J493">
        <v>0</v>
      </c>
    </row>
    <row r="494" spans="1:10" x14ac:dyDescent="0.2">
      <c r="A494" t="s">
        <v>177</v>
      </c>
      <c r="B494" t="s">
        <v>611</v>
      </c>
      <c r="C494" t="s">
        <v>626</v>
      </c>
      <c r="D494" t="s">
        <v>572</v>
      </c>
      <c r="E494" t="s">
        <v>542</v>
      </c>
      <c r="F494">
        <v>4.8240930869267604</v>
      </c>
      <c r="G494">
        <v>360</v>
      </c>
      <c r="H494" t="s">
        <v>598</v>
      </c>
      <c r="I494">
        <v>360</v>
      </c>
      <c r="J494">
        <v>0</v>
      </c>
    </row>
    <row r="495" spans="1:10" x14ac:dyDescent="0.2">
      <c r="A495" t="s">
        <v>171</v>
      </c>
      <c r="B495" t="s">
        <v>611</v>
      </c>
      <c r="C495" t="s">
        <v>626</v>
      </c>
      <c r="D495" t="s">
        <v>572</v>
      </c>
      <c r="E495" t="s">
        <v>542</v>
      </c>
      <c r="F495">
        <v>4.33949349760438</v>
      </c>
      <c r="G495">
        <v>360</v>
      </c>
      <c r="H495" t="s">
        <v>598</v>
      </c>
      <c r="J495">
        <v>360</v>
      </c>
    </row>
    <row r="496" spans="1:10" x14ac:dyDescent="0.2">
      <c r="A496" t="s">
        <v>121</v>
      </c>
      <c r="B496" t="s">
        <v>612</v>
      </c>
      <c r="C496" t="s">
        <v>627</v>
      </c>
      <c r="D496" t="s">
        <v>572</v>
      </c>
      <c r="E496" t="s">
        <v>543</v>
      </c>
      <c r="F496">
        <v>8.1752224503764506</v>
      </c>
      <c r="G496">
        <v>600</v>
      </c>
      <c r="H496" t="s">
        <v>598</v>
      </c>
      <c r="I496">
        <v>600</v>
      </c>
      <c r="J496">
        <v>0</v>
      </c>
    </row>
    <row r="497" spans="1:10" x14ac:dyDescent="0.2">
      <c r="A497" t="s">
        <v>120</v>
      </c>
      <c r="B497" t="s">
        <v>612</v>
      </c>
      <c r="C497" t="s">
        <v>627</v>
      </c>
      <c r="D497" t="s">
        <v>572</v>
      </c>
      <c r="E497" t="s">
        <v>543</v>
      </c>
      <c r="F497">
        <v>8.1752224503764506</v>
      </c>
      <c r="G497">
        <v>600</v>
      </c>
      <c r="H497" t="s">
        <v>598</v>
      </c>
      <c r="I497">
        <v>600</v>
      </c>
      <c r="J497">
        <v>0</v>
      </c>
    </row>
    <row r="498" spans="1:10" x14ac:dyDescent="0.2">
      <c r="A498" t="s">
        <v>514</v>
      </c>
      <c r="B498" t="s">
        <v>613</v>
      </c>
      <c r="C498" t="s">
        <v>626</v>
      </c>
      <c r="D498" t="s">
        <v>570</v>
      </c>
      <c r="E498" t="s">
        <v>550</v>
      </c>
      <c r="F498">
        <v>41.338809034907598</v>
      </c>
      <c r="G498">
        <v>200</v>
      </c>
      <c r="H498" t="s">
        <v>576</v>
      </c>
      <c r="I498">
        <v>200</v>
      </c>
      <c r="J498">
        <v>0</v>
      </c>
    </row>
    <row r="499" spans="1:10" x14ac:dyDescent="0.2">
      <c r="A499" t="s">
        <v>512</v>
      </c>
      <c r="B499" t="s">
        <v>613</v>
      </c>
      <c r="C499" t="s">
        <v>626</v>
      </c>
      <c r="D499" t="s">
        <v>570</v>
      </c>
      <c r="E499" t="s">
        <v>550</v>
      </c>
      <c r="F499">
        <v>41.177275838466798</v>
      </c>
      <c r="G499">
        <v>200</v>
      </c>
      <c r="H499" t="s">
        <v>576</v>
      </c>
      <c r="I499">
        <v>200</v>
      </c>
      <c r="J499">
        <v>0</v>
      </c>
    </row>
    <row r="500" spans="1:10" x14ac:dyDescent="0.2">
      <c r="A500" t="s">
        <v>466</v>
      </c>
      <c r="B500" t="s">
        <v>613</v>
      </c>
      <c r="C500" t="s">
        <v>626</v>
      </c>
      <c r="D500" t="s">
        <v>570</v>
      </c>
      <c r="E500" t="s">
        <v>549</v>
      </c>
      <c r="F500">
        <v>35.337440109513999</v>
      </c>
      <c r="G500">
        <v>210</v>
      </c>
      <c r="H500" t="s">
        <v>576</v>
      </c>
      <c r="I500">
        <v>210</v>
      </c>
      <c r="J500">
        <v>0</v>
      </c>
    </row>
    <row r="501" spans="1:10" x14ac:dyDescent="0.2">
      <c r="A501" t="s">
        <v>142</v>
      </c>
      <c r="B501" t="s">
        <v>613</v>
      </c>
      <c r="C501" t="s">
        <v>626</v>
      </c>
      <c r="D501" t="s">
        <v>570</v>
      </c>
      <c r="E501" t="s">
        <v>543</v>
      </c>
      <c r="F501">
        <v>7.1759069130732298</v>
      </c>
      <c r="G501">
        <v>500</v>
      </c>
      <c r="H501" t="s">
        <v>598</v>
      </c>
      <c r="I501">
        <v>500</v>
      </c>
      <c r="J501">
        <v>0</v>
      </c>
    </row>
    <row r="502" spans="1:10" x14ac:dyDescent="0.2">
      <c r="A502" t="s">
        <v>442</v>
      </c>
      <c r="B502" t="s">
        <v>634</v>
      </c>
      <c r="C502" t="s">
        <v>628</v>
      </c>
      <c r="D502" t="s">
        <v>571</v>
      </c>
      <c r="E502" t="s">
        <v>548</v>
      </c>
      <c r="F502">
        <v>31.504449007529001</v>
      </c>
      <c r="G502">
        <v>210</v>
      </c>
      <c r="H502" t="s">
        <v>576</v>
      </c>
      <c r="I502">
        <v>210</v>
      </c>
      <c r="J502">
        <v>0</v>
      </c>
    </row>
    <row r="503" spans="1:10" x14ac:dyDescent="0.2">
      <c r="A503" t="s">
        <v>437</v>
      </c>
      <c r="B503" t="s">
        <v>634</v>
      </c>
      <c r="C503" t="s">
        <v>628</v>
      </c>
      <c r="D503" t="s">
        <v>571</v>
      </c>
      <c r="E503" t="s">
        <v>548</v>
      </c>
      <c r="F503">
        <v>31.175906913073199</v>
      </c>
      <c r="G503">
        <v>210</v>
      </c>
      <c r="H503" t="s">
        <v>576</v>
      </c>
      <c r="I503">
        <v>210</v>
      </c>
      <c r="J503">
        <v>0</v>
      </c>
    </row>
    <row r="504" spans="1:10" x14ac:dyDescent="0.2">
      <c r="A504" t="s">
        <v>377</v>
      </c>
      <c r="B504" t="s">
        <v>634</v>
      </c>
      <c r="C504" t="s">
        <v>628</v>
      </c>
      <c r="D504" t="s">
        <v>571</v>
      </c>
      <c r="E504" t="s">
        <v>546</v>
      </c>
      <c r="F504">
        <v>21.338809034907499</v>
      </c>
      <c r="G504">
        <v>210</v>
      </c>
      <c r="H504" t="s">
        <v>576</v>
      </c>
      <c r="I504">
        <v>210</v>
      </c>
      <c r="J504">
        <v>0</v>
      </c>
    </row>
    <row r="505" spans="1:10" x14ac:dyDescent="0.2">
      <c r="A505" t="s">
        <v>371</v>
      </c>
      <c r="B505" t="s">
        <v>634</v>
      </c>
      <c r="C505" t="s">
        <v>628</v>
      </c>
      <c r="D505" t="s">
        <v>571</v>
      </c>
      <c r="E505" t="s">
        <v>546</v>
      </c>
      <c r="F505">
        <v>20.591375770020498</v>
      </c>
      <c r="G505">
        <v>210</v>
      </c>
      <c r="H505" t="s">
        <v>576</v>
      </c>
      <c r="I505">
        <v>210</v>
      </c>
      <c r="J505">
        <v>0</v>
      </c>
    </row>
    <row r="506" spans="1:10" x14ac:dyDescent="0.2">
      <c r="A506" t="s">
        <v>323</v>
      </c>
      <c r="B506" t="s">
        <v>634</v>
      </c>
      <c r="C506" t="s">
        <v>628</v>
      </c>
      <c r="D506" t="s">
        <v>571</v>
      </c>
      <c r="E506" t="s">
        <v>544</v>
      </c>
      <c r="F506">
        <v>13.6728268309377</v>
      </c>
      <c r="G506">
        <v>210</v>
      </c>
      <c r="H506" t="s">
        <v>576</v>
      </c>
      <c r="I506">
        <v>210</v>
      </c>
      <c r="J506">
        <v>0</v>
      </c>
    </row>
    <row r="507" spans="1:10" x14ac:dyDescent="0.2">
      <c r="A507" t="s">
        <v>114</v>
      </c>
      <c r="B507" t="s">
        <v>634</v>
      </c>
      <c r="C507" t="s">
        <v>628</v>
      </c>
      <c r="D507" t="s">
        <v>571</v>
      </c>
      <c r="E507" t="s">
        <v>542</v>
      </c>
      <c r="F507">
        <v>3.1759069130732298</v>
      </c>
      <c r="G507">
        <v>500</v>
      </c>
      <c r="H507" t="s">
        <v>598</v>
      </c>
      <c r="I507">
        <v>500</v>
      </c>
      <c r="J507">
        <v>0</v>
      </c>
    </row>
    <row r="508" spans="1:10" x14ac:dyDescent="0.2">
      <c r="A508" t="s">
        <v>336</v>
      </c>
      <c r="B508" t="s">
        <v>634</v>
      </c>
      <c r="C508" t="s">
        <v>628</v>
      </c>
      <c r="D508" t="s">
        <v>572</v>
      </c>
      <c r="E508" t="s">
        <v>543</v>
      </c>
      <c r="F508">
        <v>8.2546201232032796</v>
      </c>
      <c r="G508">
        <v>45</v>
      </c>
      <c r="H508" t="s">
        <v>576</v>
      </c>
      <c r="I508">
        <v>41</v>
      </c>
      <c r="J508">
        <v>4</v>
      </c>
    </row>
    <row r="509" spans="1:10" x14ac:dyDescent="0.2">
      <c r="A509" t="s">
        <v>334</v>
      </c>
      <c r="B509" t="s">
        <v>634</v>
      </c>
      <c r="C509" t="s">
        <v>628</v>
      </c>
      <c r="D509" t="s">
        <v>572</v>
      </c>
      <c r="E509" t="s">
        <v>543</v>
      </c>
      <c r="F509">
        <v>8.1752224503764506</v>
      </c>
      <c r="G509">
        <v>45</v>
      </c>
      <c r="H509" t="s">
        <v>576</v>
      </c>
      <c r="I509">
        <v>41</v>
      </c>
      <c r="J509">
        <v>4</v>
      </c>
    </row>
    <row r="510" spans="1:10" x14ac:dyDescent="0.2">
      <c r="A510" t="s">
        <v>157</v>
      </c>
      <c r="B510" t="s">
        <v>622</v>
      </c>
      <c r="C510" t="s">
        <v>627</v>
      </c>
      <c r="D510" t="s">
        <v>571</v>
      </c>
      <c r="E510" t="s">
        <v>543</v>
      </c>
      <c r="F510">
        <v>8.1752224503764506</v>
      </c>
      <c r="G510">
        <v>500</v>
      </c>
      <c r="H510" t="s">
        <v>598</v>
      </c>
      <c r="I510">
        <v>500</v>
      </c>
      <c r="J510">
        <v>0</v>
      </c>
    </row>
    <row r="511" spans="1:10" x14ac:dyDescent="0.2">
      <c r="A511" t="s">
        <v>146</v>
      </c>
      <c r="B511" t="s">
        <v>622</v>
      </c>
      <c r="C511" t="s">
        <v>627</v>
      </c>
      <c r="D511" t="s">
        <v>571</v>
      </c>
      <c r="E511" t="s">
        <v>543</v>
      </c>
      <c r="F511">
        <v>7.2525667351129304</v>
      </c>
      <c r="G511">
        <v>500</v>
      </c>
      <c r="H511" t="s">
        <v>598</v>
      </c>
      <c r="I511">
        <v>500</v>
      </c>
      <c r="J511">
        <v>0</v>
      </c>
    </row>
    <row r="512" spans="1:10" x14ac:dyDescent="0.2">
      <c r="A512" t="s">
        <v>138</v>
      </c>
      <c r="B512" t="s">
        <v>622</v>
      </c>
      <c r="C512" t="s">
        <v>627</v>
      </c>
      <c r="D512" t="s">
        <v>571</v>
      </c>
      <c r="E512" t="s">
        <v>543</v>
      </c>
      <c r="F512">
        <v>6.2532511978097096</v>
      </c>
      <c r="G512">
        <v>500</v>
      </c>
      <c r="H512" t="s">
        <v>598</v>
      </c>
      <c r="I512">
        <v>500</v>
      </c>
      <c r="J512">
        <v>0</v>
      </c>
    </row>
    <row r="513" spans="1:10" x14ac:dyDescent="0.2">
      <c r="A513" t="s">
        <v>449</v>
      </c>
      <c r="B513" t="s">
        <v>609</v>
      </c>
      <c r="C513" t="s">
        <v>626</v>
      </c>
      <c r="D513" t="s">
        <v>571</v>
      </c>
      <c r="E513" t="s">
        <v>548</v>
      </c>
      <c r="F513">
        <v>32.591375770020498</v>
      </c>
      <c r="G513">
        <v>210</v>
      </c>
      <c r="H513" t="s">
        <v>576</v>
      </c>
      <c r="I513">
        <v>210</v>
      </c>
      <c r="J513">
        <v>0</v>
      </c>
    </row>
    <row r="514" spans="1:10" x14ac:dyDescent="0.2">
      <c r="A514" t="s">
        <v>190</v>
      </c>
      <c r="B514" t="s">
        <v>609</v>
      </c>
      <c r="C514" t="s">
        <v>626</v>
      </c>
      <c r="D514" t="s">
        <v>571</v>
      </c>
      <c r="E514" t="s">
        <v>544</v>
      </c>
      <c r="F514">
        <v>13.1772758384668</v>
      </c>
      <c r="G514">
        <v>500</v>
      </c>
      <c r="H514" t="s">
        <v>598</v>
      </c>
      <c r="I514">
        <v>500</v>
      </c>
      <c r="J514">
        <v>0</v>
      </c>
    </row>
    <row r="515" spans="1:10" x14ac:dyDescent="0.2">
      <c r="A515" t="s">
        <v>149</v>
      </c>
      <c r="B515" t="s">
        <v>609</v>
      </c>
      <c r="C515" t="s">
        <v>626</v>
      </c>
      <c r="D515" t="s">
        <v>571</v>
      </c>
      <c r="E515" t="s">
        <v>543</v>
      </c>
      <c r="F515">
        <v>7.9233401779603003</v>
      </c>
      <c r="G515">
        <v>500</v>
      </c>
      <c r="H515" t="s">
        <v>598</v>
      </c>
      <c r="I515">
        <v>500</v>
      </c>
      <c r="J515">
        <v>0</v>
      </c>
    </row>
    <row r="516" spans="1:10" x14ac:dyDescent="0.2">
      <c r="A516" t="s">
        <v>143</v>
      </c>
      <c r="B516" t="s">
        <v>609</v>
      </c>
      <c r="C516" t="s">
        <v>626</v>
      </c>
      <c r="D516" t="s">
        <v>571</v>
      </c>
      <c r="E516" t="s">
        <v>543</v>
      </c>
      <c r="F516">
        <v>7.1759069130732298</v>
      </c>
      <c r="G516">
        <v>500</v>
      </c>
      <c r="H516" t="s">
        <v>598</v>
      </c>
      <c r="I516">
        <v>500</v>
      </c>
      <c r="J516">
        <v>0</v>
      </c>
    </row>
    <row r="517" spans="1:10" x14ac:dyDescent="0.2">
      <c r="A517" t="s">
        <v>129</v>
      </c>
      <c r="B517" t="s">
        <v>609</v>
      </c>
      <c r="C517" t="s">
        <v>626</v>
      </c>
      <c r="D517" t="s">
        <v>571</v>
      </c>
      <c r="E517" t="s">
        <v>542</v>
      </c>
      <c r="F517">
        <v>4.7583846680355899</v>
      </c>
      <c r="G517">
        <v>500</v>
      </c>
      <c r="H517" t="s">
        <v>598</v>
      </c>
      <c r="I517">
        <v>500</v>
      </c>
      <c r="J517">
        <v>0</v>
      </c>
    </row>
    <row r="518" spans="1:10" x14ac:dyDescent="0.2">
      <c r="A518" t="s">
        <v>444</v>
      </c>
      <c r="B518" t="s">
        <v>609</v>
      </c>
      <c r="C518" t="s">
        <v>626</v>
      </c>
      <c r="D518" t="s">
        <v>571</v>
      </c>
      <c r="E518" t="s">
        <v>548</v>
      </c>
      <c r="F518">
        <v>31.841204654346299</v>
      </c>
      <c r="G518">
        <v>210</v>
      </c>
      <c r="H518" t="s">
        <v>576</v>
      </c>
      <c r="I518">
        <v>210</v>
      </c>
      <c r="J518">
        <v>0</v>
      </c>
    </row>
    <row r="519" spans="1:10" x14ac:dyDescent="0.2">
      <c r="A519" t="s">
        <v>440</v>
      </c>
      <c r="B519" t="s">
        <v>609</v>
      </c>
      <c r="C519" t="s">
        <v>626</v>
      </c>
      <c r="D519" t="s">
        <v>571</v>
      </c>
      <c r="E519" t="s">
        <v>548</v>
      </c>
      <c r="F519">
        <v>31.2525667351129</v>
      </c>
      <c r="G519">
        <v>210</v>
      </c>
      <c r="H519" t="s">
        <v>576</v>
      </c>
      <c r="I519">
        <v>210</v>
      </c>
      <c r="J519">
        <v>0</v>
      </c>
    </row>
    <row r="520" spans="1:10" x14ac:dyDescent="0.2">
      <c r="A520" t="s">
        <v>433</v>
      </c>
      <c r="B520" t="s">
        <v>609</v>
      </c>
      <c r="C520" t="s">
        <v>626</v>
      </c>
      <c r="D520" t="s">
        <v>571</v>
      </c>
      <c r="E520" t="s">
        <v>548</v>
      </c>
      <c r="F520">
        <v>30.4229979466119</v>
      </c>
      <c r="G520">
        <v>210</v>
      </c>
      <c r="H520" t="s">
        <v>576</v>
      </c>
      <c r="I520">
        <v>210</v>
      </c>
      <c r="J520">
        <v>0</v>
      </c>
    </row>
    <row r="521" spans="1:10" x14ac:dyDescent="0.2">
      <c r="A521" t="s">
        <v>431</v>
      </c>
      <c r="B521" t="s">
        <v>609</v>
      </c>
      <c r="C521" t="s">
        <v>626</v>
      </c>
      <c r="D521" t="s">
        <v>571</v>
      </c>
      <c r="E521" t="s">
        <v>548</v>
      </c>
      <c r="F521">
        <v>30.176591375769998</v>
      </c>
      <c r="G521">
        <v>210</v>
      </c>
      <c r="H521" t="s">
        <v>576</v>
      </c>
      <c r="I521">
        <v>210</v>
      </c>
      <c r="J521">
        <v>0</v>
      </c>
    </row>
    <row r="522" spans="1:10" x14ac:dyDescent="0.2">
      <c r="A522" t="s">
        <v>426</v>
      </c>
      <c r="B522" t="s">
        <v>609</v>
      </c>
      <c r="C522" t="s">
        <v>626</v>
      </c>
      <c r="D522" t="s">
        <v>571</v>
      </c>
      <c r="E522" t="s">
        <v>547</v>
      </c>
      <c r="F522">
        <v>29.2539356605065</v>
      </c>
      <c r="G522">
        <v>210</v>
      </c>
      <c r="H522" t="s">
        <v>576</v>
      </c>
      <c r="I522">
        <v>210</v>
      </c>
      <c r="J522">
        <v>0</v>
      </c>
    </row>
    <row r="523" spans="1:10" x14ac:dyDescent="0.2">
      <c r="A523" t="s">
        <v>272</v>
      </c>
      <c r="B523" t="s">
        <v>609</v>
      </c>
      <c r="C523" t="s">
        <v>626</v>
      </c>
      <c r="D523" t="s">
        <v>571</v>
      </c>
      <c r="E523" t="s">
        <v>546</v>
      </c>
      <c r="F523">
        <v>21.177275838466802</v>
      </c>
      <c r="G523">
        <v>500</v>
      </c>
      <c r="H523" t="s">
        <v>598</v>
      </c>
      <c r="I523">
        <v>500</v>
      </c>
      <c r="J523">
        <v>0</v>
      </c>
    </row>
    <row r="524" spans="1:10" x14ac:dyDescent="0.2">
      <c r="A524" t="s">
        <v>263</v>
      </c>
      <c r="B524" t="s">
        <v>609</v>
      </c>
      <c r="C524" t="s">
        <v>626</v>
      </c>
      <c r="D524" t="s">
        <v>571</v>
      </c>
      <c r="E524" t="s">
        <v>546</v>
      </c>
      <c r="F524">
        <v>20.2546201232032</v>
      </c>
      <c r="G524">
        <v>500</v>
      </c>
      <c r="H524" t="s">
        <v>598</v>
      </c>
      <c r="I524">
        <v>500</v>
      </c>
      <c r="J524">
        <v>0</v>
      </c>
    </row>
    <row r="525" spans="1:10" x14ac:dyDescent="0.2">
      <c r="A525" t="s">
        <v>197</v>
      </c>
      <c r="B525" t="s">
        <v>609</v>
      </c>
      <c r="C525" t="s">
        <v>626</v>
      </c>
      <c r="D525" t="s">
        <v>571</v>
      </c>
      <c r="E525" t="s">
        <v>544</v>
      </c>
      <c r="F525">
        <v>13.8425735797399</v>
      </c>
      <c r="G525">
        <v>500</v>
      </c>
      <c r="H525" t="s">
        <v>598</v>
      </c>
      <c r="I525">
        <v>500</v>
      </c>
      <c r="J525">
        <v>0</v>
      </c>
    </row>
    <row r="526" spans="1:10" x14ac:dyDescent="0.2">
      <c r="A526" t="s">
        <v>119</v>
      </c>
      <c r="B526" t="s">
        <v>614</v>
      </c>
      <c r="C526" t="s">
        <v>627</v>
      </c>
      <c r="D526" t="s">
        <v>572</v>
      </c>
      <c r="E526" t="s">
        <v>542</v>
      </c>
      <c r="F526">
        <v>4.4243668720054696</v>
      </c>
      <c r="G526">
        <v>520</v>
      </c>
      <c r="H526" t="s">
        <v>598</v>
      </c>
      <c r="I526">
        <v>520</v>
      </c>
      <c r="J526">
        <v>0</v>
      </c>
    </row>
    <row r="527" spans="1:10" x14ac:dyDescent="0.2">
      <c r="A527" t="s">
        <v>116</v>
      </c>
      <c r="B527" t="s">
        <v>614</v>
      </c>
      <c r="C527" t="s">
        <v>627</v>
      </c>
      <c r="D527" t="s">
        <v>572</v>
      </c>
      <c r="E527" t="s">
        <v>542</v>
      </c>
      <c r="F527">
        <v>4.1752224503764497</v>
      </c>
      <c r="G527">
        <v>520</v>
      </c>
      <c r="H527" t="s">
        <v>598</v>
      </c>
      <c r="I527">
        <v>520</v>
      </c>
      <c r="J527">
        <v>0</v>
      </c>
    </row>
    <row r="528" spans="1:10" x14ac:dyDescent="0.2">
      <c r="A528" t="s">
        <v>494</v>
      </c>
      <c r="B528" t="s">
        <v>613</v>
      </c>
      <c r="C528" t="s">
        <v>626</v>
      </c>
      <c r="D528" t="s">
        <v>570</v>
      </c>
      <c r="E528" t="s">
        <v>549</v>
      </c>
      <c r="F528">
        <v>38.176591375770002</v>
      </c>
      <c r="G528">
        <v>210</v>
      </c>
      <c r="H528" t="s">
        <v>576</v>
      </c>
      <c r="I528">
        <v>210</v>
      </c>
      <c r="J528">
        <v>0</v>
      </c>
    </row>
    <row r="529" spans="1:10" x14ac:dyDescent="0.2">
      <c r="A529" t="s">
        <v>485</v>
      </c>
      <c r="B529" t="s">
        <v>613</v>
      </c>
      <c r="C529" t="s">
        <v>626</v>
      </c>
      <c r="D529" t="s">
        <v>570</v>
      </c>
      <c r="E529" t="s">
        <v>549</v>
      </c>
      <c r="F529">
        <v>37.338809034907598</v>
      </c>
      <c r="G529">
        <v>210</v>
      </c>
      <c r="H529" t="s">
        <v>576</v>
      </c>
      <c r="I529">
        <v>210</v>
      </c>
      <c r="J529">
        <v>0</v>
      </c>
    </row>
    <row r="530" spans="1:10" x14ac:dyDescent="0.2">
      <c r="A530" t="s">
        <v>472</v>
      </c>
      <c r="B530" t="s">
        <v>613</v>
      </c>
      <c r="C530" t="s">
        <v>626</v>
      </c>
      <c r="D530" t="s">
        <v>570</v>
      </c>
      <c r="E530" t="s">
        <v>549</v>
      </c>
      <c r="F530">
        <v>36.175222450376403</v>
      </c>
      <c r="G530">
        <v>210</v>
      </c>
      <c r="H530" t="s">
        <v>576</v>
      </c>
      <c r="I530">
        <v>210</v>
      </c>
      <c r="J530">
        <v>0</v>
      </c>
    </row>
    <row r="531" spans="1:10" x14ac:dyDescent="0.2">
      <c r="A531" t="s">
        <v>455</v>
      </c>
      <c r="B531" t="s">
        <v>613</v>
      </c>
      <c r="C531" t="s">
        <v>626</v>
      </c>
      <c r="D531" t="s">
        <v>570</v>
      </c>
      <c r="E531" t="s">
        <v>548</v>
      </c>
      <c r="F531">
        <v>34.176591375770002</v>
      </c>
      <c r="G531">
        <v>210</v>
      </c>
      <c r="H531" t="s">
        <v>576</v>
      </c>
      <c r="I531">
        <v>210</v>
      </c>
      <c r="J531">
        <v>0</v>
      </c>
    </row>
    <row r="532" spans="1:10" x14ac:dyDescent="0.2">
      <c r="A532" t="s">
        <v>453</v>
      </c>
      <c r="B532" t="s">
        <v>613</v>
      </c>
      <c r="C532" t="s">
        <v>626</v>
      </c>
      <c r="D532" t="s">
        <v>570</v>
      </c>
      <c r="E532" t="s">
        <v>548</v>
      </c>
      <c r="F532">
        <v>33.672826830937701</v>
      </c>
      <c r="G532">
        <v>210</v>
      </c>
      <c r="H532" t="s">
        <v>576</v>
      </c>
      <c r="I532">
        <v>210</v>
      </c>
      <c r="J532">
        <v>0</v>
      </c>
    </row>
    <row r="533" spans="1:10" x14ac:dyDescent="0.2">
      <c r="A533" t="s">
        <v>448</v>
      </c>
      <c r="B533" t="s">
        <v>613</v>
      </c>
      <c r="C533" t="s">
        <v>626</v>
      </c>
      <c r="D533" t="s">
        <v>570</v>
      </c>
      <c r="E533" t="s">
        <v>548</v>
      </c>
      <c r="F533">
        <v>32.5065023956194</v>
      </c>
      <c r="G533">
        <v>210</v>
      </c>
      <c r="H533" t="s">
        <v>576</v>
      </c>
      <c r="I533">
        <v>210</v>
      </c>
      <c r="J533">
        <v>0</v>
      </c>
    </row>
    <row r="534" spans="1:10" x14ac:dyDescent="0.2">
      <c r="A534" t="s">
        <v>380</v>
      </c>
      <c r="B534" t="s">
        <v>613</v>
      </c>
      <c r="C534" t="s">
        <v>626</v>
      </c>
      <c r="D534" t="s">
        <v>570</v>
      </c>
      <c r="E534" t="s">
        <v>546</v>
      </c>
      <c r="F534">
        <v>21.423682409308601</v>
      </c>
      <c r="G534">
        <v>210</v>
      </c>
      <c r="H534" t="s">
        <v>576</v>
      </c>
      <c r="I534">
        <v>210</v>
      </c>
      <c r="J534">
        <v>0</v>
      </c>
    </row>
    <row r="535" spans="1:10" x14ac:dyDescent="0.2">
      <c r="A535" t="s">
        <v>1</v>
      </c>
      <c r="B535" t="s">
        <v>613</v>
      </c>
      <c r="C535" t="s">
        <v>626</v>
      </c>
      <c r="D535" t="s">
        <v>570</v>
      </c>
      <c r="E535" t="s">
        <v>542</v>
      </c>
      <c r="F535">
        <v>0.53661875427789096</v>
      </c>
      <c r="G535">
        <v>800</v>
      </c>
      <c r="H535" t="s">
        <v>598</v>
      </c>
      <c r="I535">
        <v>800</v>
      </c>
      <c r="J535">
        <v>0</v>
      </c>
    </row>
    <row r="536" spans="1:10" x14ac:dyDescent="0.2">
      <c r="A536" t="s">
        <v>317</v>
      </c>
      <c r="B536" t="s">
        <v>617</v>
      </c>
      <c r="C536" t="s">
        <v>626</v>
      </c>
      <c r="D536" t="s">
        <v>572</v>
      </c>
      <c r="E536" t="s">
        <v>543</v>
      </c>
      <c r="F536">
        <v>9.5906913073237501</v>
      </c>
      <c r="G536">
        <v>135</v>
      </c>
      <c r="H536" t="s">
        <v>576</v>
      </c>
      <c r="J536">
        <v>135</v>
      </c>
    </row>
    <row r="537" spans="1:10" x14ac:dyDescent="0.2">
      <c r="A537" t="s">
        <v>316</v>
      </c>
      <c r="B537" t="s">
        <v>617</v>
      </c>
      <c r="C537" t="s">
        <v>626</v>
      </c>
      <c r="D537" t="s">
        <v>572</v>
      </c>
      <c r="E537" t="s">
        <v>543</v>
      </c>
      <c r="F537">
        <v>9.3388090349075892</v>
      </c>
      <c r="G537">
        <v>135</v>
      </c>
      <c r="H537" t="s">
        <v>576</v>
      </c>
      <c r="J537">
        <v>135</v>
      </c>
    </row>
    <row r="538" spans="1:10" x14ac:dyDescent="0.2">
      <c r="A538" t="s">
        <v>312</v>
      </c>
      <c r="B538" t="s">
        <v>617</v>
      </c>
      <c r="C538" t="s">
        <v>626</v>
      </c>
      <c r="D538" t="s">
        <v>572</v>
      </c>
      <c r="E538" t="s">
        <v>543</v>
      </c>
      <c r="F538">
        <v>9.0924024640656995</v>
      </c>
      <c r="G538">
        <v>135</v>
      </c>
      <c r="H538" t="s">
        <v>576</v>
      </c>
      <c r="J538">
        <v>135</v>
      </c>
    </row>
    <row r="539" spans="1:10" x14ac:dyDescent="0.2">
      <c r="A539" t="s">
        <v>276</v>
      </c>
      <c r="B539" t="s">
        <v>619</v>
      </c>
      <c r="C539" t="s">
        <v>628</v>
      </c>
      <c r="D539" t="s">
        <v>570</v>
      </c>
      <c r="E539" t="s">
        <v>544</v>
      </c>
      <c r="F539">
        <v>12.5065023956194</v>
      </c>
      <c r="G539">
        <v>300</v>
      </c>
      <c r="H539" t="s">
        <v>598</v>
      </c>
      <c r="I539">
        <v>300</v>
      </c>
      <c r="J539">
        <v>0</v>
      </c>
    </row>
    <row r="540" spans="1:10" x14ac:dyDescent="0.2">
      <c r="A540" t="s">
        <v>268</v>
      </c>
      <c r="B540" t="s">
        <v>619</v>
      </c>
      <c r="C540" t="s">
        <v>628</v>
      </c>
      <c r="D540" t="s">
        <v>570</v>
      </c>
      <c r="E540" t="s">
        <v>544</v>
      </c>
      <c r="F540">
        <v>12.175222450376401</v>
      </c>
      <c r="G540">
        <v>300</v>
      </c>
      <c r="H540" t="s">
        <v>598</v>
      </c>
      <c r="I540">
        <v>300</v>
      </c>
      <c r="J540">
        <v>0</v>
      </c>
    </row>
    <row r="541" spans="1:10" x14ac:dyDescent="0.2">
      <c r="A541" t="s">
        <v>9</v>
      </c>
      <c r="B541" t="s">
        <v>612</v>
      </c>
      <c r="C541" t="s">
        <v>627</v>
      </c>
      <c r="D541" t="s">
        <v>570</v>
      </c>
      <c r="E541" t="s">
        <v>542</v>
      </c>
      <c r="F541">
        <v>4.1752224503764497</v>
      </c>
      <c r="G541">
        <v>800</v>
      </c>
      <c r="H541" t="s">
        <v>598</v>
      </c>
      <c r="I541">
        <v>800</v>
      </c>
      <c r="J541">
        <v>0</v>
      </c>
    </row>
    <row r="542" spans="1:10" x14ac:dyDescent="0.2">
      <c r="A542" t="s">
        <v>6</v>
      </c>
      <c r="B542" t="s">
        <v>612</v>
      </c>
      <c r="C542" t="s">
        <v>627</v>
      </c>
      <c r="D542" t="s">
        <v>570</v>
      </c>
      <c r="E542" t="s">
        <v>542</v>
      </c>
      <c r="F542">
        <v>3.0910335386721401</v>
      </c>
      <c r="G542">
        <v>800</v>
      </c>
      <c r="H542" t="s">
        <v>598</v>
      </c>
      <c r="I542">
        <v>800</v>
      </c>
      <c r="J542">
        <v>0</v>
      </c>
    </row>
    <row r="543" spans="1:10" x14ac:dyDescent="0.2">
      <c r="I543">
        <v>174134.16666666669</v>
      </c>
      <c r="J543">
        <v>19889.333333333336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9"/>
  <sheetViews>
    <sheetView workbookViewId="0">
      <selection activeCell="O21" sqref="O21"/>
    </sheetView>
  </sheetViews>
  <sheetFormatPr baseColWidth="10" defaultColWidth="8.83203125" defaultRowHeight="15" x14ac:dyDescent="0.2"/>
  <cols>
    <col min="1" max="1" width="11.5" bestFit="1" customWidth="1"/>
    <col min="2" max="2" width="10" bestFit="1" customWidth="1"/>
    <col min="9" max="9" width="17.5" customWidth="1"/>
  </cols>
  <sheetData>
    <row r="1" spans="1:10" x14ac:dyDescent="0.2">
      <c r="A1" s="2" t="s">
        <v>553</v>
      </c>
      <c r="B1" s="2" t="s">
        <v>554</v>
      </c>
      <c r="I1" s="2" t="s">
        <v>558</v>
      </c>
      <c r="J1" s="2" t="s">
        <v>607</v>
      </c>
    </row>
    <row r="2" spans="1:10" x14ac:dyDescent="0.2">
      <c r="A2" s="2" t="s">
        <v>542</v>
      </c>
      <c r="B2" s="3">
        <v>0.85</v>
      </c>
      <c r="I2" s="2" t="s">
        <v>608</v>
      </c>
      <c r="J2" s="2" t="s">
        <v>625</v>
      </c>
    </row>
    <row r="3" spans="1:10" x14ac:dyDescent="0.2">
      <c r="A3" s="2" t="s">
        <v>543</v>
      </c>
      <c r="B3" s="3">
        <v>0.85</v>
      </c>
      <c r="I3" s="2" t="s">
        <v>615</v>
      </c>
      <c r="J3" s="2" t="s">
        <v>625</v>
      </c>
    </row>
    <row r="4" spans="1:10" x14ac:dyDescent="0.2">
      <c r="A4" s="2" t="s">
        <v>544</v>
      </c>
      <c r="B4" s="3">
        <v>0.8</v>
      </c>
      <c r="I4" s="2" t="s">
        <v>621</v>
      </c>
      <c r="J4" s="2" t="s">
        <v>625</v>
      </c>
    </row>
    <row r="5" spans="1:10" x14ac:dyDescent="0.2">
      <c r="A5" s="2" t="s">
        <v>545</v>
      </c>
      <c r="B5" s="3">
        <v>0.75</v>
      </c>
      <c r="I5" s="2" t="s">
        <v>623</v>
      </c>
      <c r="J5" s="2" t="s">
        <v>625</v>
      </c>
    </row>
    <row r="6" spans="1:10" x14ac:dyDescent="0.2">
      <c r="A6" s="2" t="s">
        <v>546</v>
      </c>
      <c r="B6" s="3">
        <v>0.7</v>
      </c>
      <c r="I6" s="2" t="s">
        <v>624</v>
      </c>
      <c r="J6" s="2" t="s">
        <v>629</v>
      </c>
    </row>
    <row r="7" spans="1:10" x14ac:dyDescent="0.2">
      <c r="A7" s="2" t="s">
        <v>547</v>
      </c>
      <c r="B7" s="3">
        <v>0.65</v>
      </c>
      <c r="I7" s="2" t="s">
        <v>634</v>
      </c>
      <c r="J7" s="2" t="s">
        <v>628</v>
      </c>
    </row>
    <row r="8" spans="1:10" x14ac:dyDescent="0.2">
      <c r="A8" s="2" t="s">
        <v>548</v>
      </c>
      <c r="B8" s="3">
        <v>0.6</v>
      </c>
      <c r="I8" s="2" t="s">
        <v>616</v>
      </c>
      <c r="J8" s="2" t="s">
        <v>628</v>
      </c>
    </row>
    <row r="9" spans="1:10" x14ac:dyDescent="0.2">
      <c r="A9" s="2" t="s">
        <v>549</v>
      </c>
      <c r="B9" s="3">
        <v>0.55000000000000004</v>
      </c>
      <c r="I9" s="2" t="s">
        <v>618</v>
      </c>
      <c r="J9" s="2" t="s">
        <v>628</v>
      </c>
    </row>
    <row r="10" spans="1:10" x14ac:dyDescent="0.2">
      <c r="A10" s="2" t="s">
        <v>550</v>
      </c>
      <c r="B10" s="3">
        <v>0.55000000000000004</v>
      </c>
      <c r="I10" s="2" t="s">
        <v>619</v>
      </c>
      <c r="J10" s="2" t="s">
        <v>628</v>
      </c>
    </row>
    <row r="11" spans="1:10" x14ac:dyDescent="0.2">
      <c r="A11" s="2" t="s">
        <v>551</v>
      </c>
      <c r="B11" s="3">
        <v>0.55000000000000004</v>
      </c>
      <c r="I11" s="2" t="s">
        <v>610</v>
      </c>
      <c r="J11" s="2" t="s">
        <v>627</v>
      </c>
    </row>
    <row r="12" spans="1:10" x14ac:dyDescent="0.2">
      <c r="I12" s="2" t="s">
        <v>612</v>
      </c>
      <c r="J12" s="2" t="s">
        <v>627</v>
      </c>
    </row>
    <row r="13" spans="1:10" x14ac:dyDescent="0.2">
      <c r="I13" s="2" t="s">
        <v>614</v>
      </c>
      <c r="J13" s="2" t="s">
        <v>627</v>
      </c>
    </row>
    <row r="14" spans="1:10" x14ac:dyDescent="0.2">
      <c r="I14" s="2" t="s">
        <v>620</v>
      </c>
      <c r="J14" s="2" t="s">
        <v>627</v>
      </c>
    </row>
    <row r="15" spans="1:10" x14ac:dyDescent="0.2">
      <c r="I15" s="2" t="s">
        <v>622</v>
      </c>
      <c r="J15" s="2" t="s">
        <v>627</v>
      </c>
    </row>
    <row r="16" spans="1:10" x14ac:dyDescent="0.2">
      <c r="I16" s="2" t="s">
        <v>609</v>
      </c>
      <c r="J16" s="2" t="s">
        <v>626</v>
      </c>
    </row>
    <row r="17" spans="9:10" x14ac:dyDescent="0.2">
      <c r="I17" s="2" t="s">
        <v>611</v>
      </c>
      <c r="J17" s="2" t="s">
        <v>626</v>
      </c>
    </row>
    <row r="18" spans="9:10" x14ac:dyDescent="0.2">
      <c r="I18" s="2" t="s">
        <v>613</v>
      </c>
      <c r="J18" s="2" t="s">
        <v>626</v>
      </c>
    </row>
    <row r="19" spans="9:10" x14ac:dyDescent="0.2">
      <c r="I19" s="2" t="s">
        <v>617</v>
      </c>
      <c r="J19" s="2" t="s">
        <v>626</v>
      </c>
    </row>
  </sheetData>
  <sortState xmlns:xlrd2="http://schemas.microsoft.com/office/spreadsheetml/2017/richdata2" ref="I1:J19">
    <sortCondition ref="J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684"/>
  <sheetViews>
    <sheetView topLeftCell="H1" workbookViewId="0">
      <selection activeCell="A23" sqref="A23"/>
    </sheetView>
  </sheetViews>
  <sheetFormatPr baseColWidth="10" defaultColWidth="8.83203125" defaultRowHeight="15" x14ac:dyDescent="0.2"/>
  <cols>
    <col min="1" max="1" width="31" bestFit="1" customWidth="1"/>
    <col min="2" max="2" width="31" customWidth="1"/>
    <col min="8" max="8" width="32.83203125" bestFit="1" customWidth="1"/>
    <col min="10" max="10" width="11.5" bestFit="1" customWidth="1"/>
    <col min="12" max="12" width="32.83203125" bestFit="1" customWidth="1"/>
  </cols>
  <sheetData>
    <row r="1" spans="1:46" x14ac:dyDescent="0.2">
      <c r="A1" s="2" t="s">
        <v>556</v>
      </c>
      <c r="B1" s="2" t="s">
        <v>974</v>
      </c>
      <c r="C1" s="2" t="s">
        <v>569</v>
      </c>
      <c r="D1" s="2" t="s">
        <v>562</v>
      </c>
      <c r="H1" t="s">
        <v>1181</v>
      </c>
      <c r="I1" t="s">
        <v>651</v>
      </c>
      <c r="J1" t="s">
        <v>1182</v>
      </c>
      <c r="L1" s="69" t="s">
        <v>638</v>
      </c>
      <c r="M1" s="69" t="s">
        <v>614</v>
      </c>
      <c r="N1" s="69" t="s">
        <v>1200</v>
      </c>
      <c r="O1" s="69" t="s">
        <v>624</v>
      </c>
      <c r="P1" s="69" t="s">
        <v>615</v>
      </c>
      <c r="Q1" s="69" t="s">
        <v>1201</v>
      </c>
      <c r="R1" s="69" t="s">
        <v>1202</v>
      </c>
      <c r="S1" s="69" t="s">
        <v>1203</v>
      </c>
      <c r="T1" s="69" t="s">
        <v>1204</v>
      </c>
      <c r="U1" s="69" t="s">
        <v>678</v>
      </c>
      <c r="V1" s="69" t="s">
        <v>681</v>
      </c>
      <c r="W1" s="69" t="s">
        <v>613</v>
      </c>
      <c r="X1" s="69" t="s">
        <v>619</v>
      </c>
      <c r="Y1" s="69" t="s">
        <v>684</v>
      </c>
      <c r="Z1" s="69" t="s">
        <v>1205</v>
      </c>
      <c r="AA1" s="69" t="s">
        <v>623</v>
      </c>
      <c r="AB1" s="69" t="s">
        <v>612</v>
      </c>
      <c r="AC1" s="69" t="s">
        <v>1206</v>
      </c>
      <c r="AD1" s="69" t="s">
        <v>609</v>
      </c>
      <c r="AE1" s="69" t="s">
        <v>617</v>
      </c>
      <c r="AF1" s="69" t="s">
        <v>1207</v>
      </c>
      <c r="AG1" s="69" t="s">
        <v>1208</v>
      </c>
      <c r="AH1" s="69" t="s">
        <v>1209</v>
      </c>
      <c r="AI1" s="69" t="s">
        <v>1210</v>
      </c>
      <c r="AJ1" s="69" t="s">
        <v>608</v>
      </c>
      <c r="AK1" s="69" t="s">
        <v>1211</v>
      </c>
      <c r="AL1" s="69" t="s">
        <v>618</v>
      </c>
      <c r="AM1" s="69" t="s">
        <v>616</v>
      </c>
      <c r="AN1" s="69" t="s">
        <v>687</v>
      </c>
      <c r="AO1" s="69" t="s">
        <v>622</v>
      </c>
      <c r="AP1" s="69" t="s">
        <v>610</v>
      </c>
      <c r="AQ1" s="69" t="s">
        <v>1212</v>
      </c>
      <c r="AR1" s="69" t="s">
        <v>634</v>
      </c>
      <c r="AS1" s="69" t="s">
        <v>1213</v>
      </c>
      <c r="AT1" s="69" t="s">
        <v>621</v>
      </c>
    </row>
    <row r="2" spans="1:46" x14ac:dyDescent="0.2">
      <c r="A2" s="2" t="s">
        <v>0</v>
      </c>
      <c r="B2" s="2" t="str">
        <f>VLOOKUP(A2,'[14]Calculated coal req (reg.)'!$A$2:$B$599,2,FALSE)</f>
        <v>DARLIPALI STPS</v>
      </c>
      <c r="C2" s="2">
        <v>0.112473118279569</v>
      </c>
      <c r="D2" s="2">
        <v>16.32</v>
      </c>
      <c r="H2" t="s">
        <v>1009</v>
      </c>
      <c r="I2">
        <f ca="1">SUMIF($B$2:$C$542,H2,$C$2:$C$542)</f>
        <v>23.08576891416341</v>
      </c>
      <c r="J2">
        <f ca="1">SUMIF($B$2:$D$542,H2,$D$2:$D$542)</f>
        <v>36.72</v>
      </c>
      <c r="L2" s="26" t="s">
        <v>1009</v>
      </c>
      <c r="M2" s="70">
        <v>0.26349513961538107</v>
      </c>
      <c r="N2" s="70">
        <v>0</v>
      </c>
      <c r="O2" s="70">
        <v>0</v>
      </c>
      <c r="P2" s="70">
        <v>0</v>
      </c>
      <c r="Q2" s="70">
        <v>0</v>
      </c>
      <c r="R2" s="70">
        <v>2.9725057390526711E-2</v>
      </c>
      <c r="S2" s="70">
        <v>0</v>
      </c>
      <c r="T2" s="70">
        <v>0</v>
      </c>
      <c r="U2" s="70">
        <v>0</v>
      </c>
      <c r="V2" s="70">
        <v>0</v>
      </c>
      <c r="W2" s="70">
        <v>0</v>
      </c>
      <c r="X2" s="70">
        <v>0</v>
      </c>
      <c r="Y2" s="70">
        <v>0</v>
      </c>
      <c r="Z2" s="70">
        <v>0</v>
      </c>
      <c r="AA2" s="70">
        <v>0</v>
      </c>
      <c r="AB2" s="70">
        <v>0</v>
      </c>
      <c r="AC2" s="70">
        <v>0</v>
      </c>
      <c r="AD2" s="70">
        <v>0</v>
      </c>
      <c r="AE2" s="70">
        <v>0</v>
      </c>
      <c r="AF2" s="70">
        <v>0</v>
      </c>
      <c r="AG2" s="70">
        <v>0</v>
      </c>
      <c r="AH2" s="70">
        <v>0</v>
      </c>
      <c r="AI2" s="70">
        <v>0</v>
      </c>
      <c r="AJ2" s="70">
        <v>0</v>
      </c>
      <c r="AK2" s="70">
        <v>0</v>
      </c>
      <c r="AL2" s="70">
        <v>0</v>
      </c>
      <c r="AM2" s="70">
        <v>0</v>
      </c>
      <c r="AN2" s="70">
        <v>0</v>
      </c>
      <c r="AO2" s="70">
        <v>0.22306209315167877</v>
      </c>
      <c r="AP2" s="70">
        <v>0</v>
      </c>
      <c r="AQ2" s="70">
        <v>0</v>
      </c>
      <c r="AR2" s="70">
        <v>0.48371770984241358</v>
      </c>
      <c r="AS2" s="70">
        <v>0</v>
      </c>
      <c r="AT2" s="70">
        <v>0</v>
      </c>
    </row>
    <row r="3" spans="1:46" x14ac:dyDescent="0.2">
      <c r="A3" s="2" t="s">
        <v>2</v>
      </c>
      <c r="B3" s="2" t="str">
        <f>VLOOKUP(A3,'[14]Calculated coal req (reg.)'!$A$2:$B$599,2,FALSE)</f>
        <v>GADARWARA TPP</v>
      </c>
      <c r="C3" s="2">
        <v>3.3010052439218098</v>
      </c>
      <c r="D3" s="2">
        <v>16.32</v>
      </c>
      <c r="H3" t="s">
        <v>1183</v>
      </c>
      <c r="I3">
        <f t="shared" ref="I3:I66" ca="1" si="0">SUMIF($B$2:$C$542,H3,$C$2:$C$542)</f>
        <v>0</v>
      </c>
      <c r="J3">
        <f t="shared" ref="J3:J66" ca="1" si="1">SUMIF($B$2:$D$542,H3,$D$2:$D$542)</f>
        <v>0</v>
      </c>
      <c r="L3" s="26" t="s">
        <v>1183</v>
      </c>
      <c r="M3" s="70">
        <v>0</v>
      </c>
      <c r="N3" s="70">
        <v>0</v>
      </c>
      <c r="O3" s="70">
        <v>0</v>
      </c>
      <c r="P3" s="70">
        <v>0</v>
      </c>
      <c r="Q3" s="70">
        <v>0</v>
      </c>
      <c r="R3" s="70">
        <v>0</v>
      </c>
      <c r="S3" s="70">
        <v>0</v>
      </c>
      <c r="T3" s="70">
        <v>0</v>
      </c>
      <c r="U3" s="70">
        <v>0</v>
      </c>
      <c r="V3" s="70">
        <v>0</v>
      </c>
      <c r="W3" s="70">
        <v>1</v>
      </c>
      <c r="X3" s="70">
        <v>0</v>
      </c>
      <c r="Y3" s="70">
        <v>0</v>
      </c>
      <c r="Z3" s="70">
        <v>0</v>
      </c>
      <c r="AA3" s="70">
        <v>0</v>
      </c>
      <c r="AB3" s="70">
        <v>0</v>
      </c>
      <c r="AC3" s="70">
        <v>0</v>
      </c>
      <c r="AD3" s="70">
        <v>0</v>
      </c>
      <c r="AE3" s="70">
        <v>0</v>
      </c>
      <c r="AF3" s="70">
        <v>0</v>
      </c>
      <c r="AG3" s="70">
        <v>0</v>
      </c>
      <c r="AH3" s="70">
        <v>0</v>
      </c>
      <c r="AI3" s="70">
        <v>0</v>
      </c>
      <c r="AJ3" s="70">
        <v>0</v>
      </c>
      <c r="AK3" s="70">
        <v>0</v>
      </c>
      <c r="AL3" s="70">
        <v>0</v>
      </c>
      <c r="AM3" s="70">
        <v>0</v>
      </c>
      <c r="AN3" s="70">
        <v>0</v>
      </c>
      <c r="AO3" s="70">
        <v>0</v>
      </c>
      <c r="AP3" s="70">
        <v>0</v>
      </c>
      <c r="AQ3" s="70">
        <v>0</v>
      </c>
      <c r="AR3" s="70">
        <v>0</v>
      </c>
      <c r="AS3" s="70">
        <v>0</v>
      </c>
      <c r="AT3" s="70">
        <v>0</v>
      </c>
    </row>
    <row r="4" spans="1:46" x14ac:dyDescent="0.2">
      <c r="A4" s="2" t="s">
        <v>3</v>
      </c>
      <c r="B4" s="2" t="str">
        <f>VLOOKUP(A4,'[14]Calculated coal req (reg.)'!$A$2:$B$599,2,FALSE)</f>
        <v>KOTHAGUDEM STAGE-7 TPS UNIT 12</v>
      </c>
      <c r="C4" s="2">
        <v>12.164454465657199</v>
      </c>
      <c r="D4" s="2">
        <v>16.32</v>
      </c>
      <c r="H4" t="s">
        <v>1108</v>
      </c>
      <c r="I4">
        <f t="shared" ca="1" si="0"/>
        <v>4.5950846501403602</v>
      </c>
      <c r="J4">
        <f t="shared" ca="1" si="1"/>
        <v>0</v>
      </c>
      <c r="L4" s="26" t="s">
        <v>1108</v>
      </c>
      <c r="M4" s="70">
        <v>0</v>
      </c>
      <c r="N4" s="70">
        <v>0</v>
      </c>
      <c r="O4" s="70">
        <v>0</v>
      </c>
      <c r="P4" s="70">
        <v>0</v>
      </c>
      <c r="Q4" s="70">
        <v>0</v>
      </c>
      <c r="R4" s="70">
        <v>0</v>
      </c>
      <c r="S4" s="70">
        <v>0</v>
      </c>
      <c r="T4" s="70">
        <v>0</v>
      </c>
      <c r="U4" s="70">
        <v>0</v>
      </c>
      <c r="V4" s="70">
        <v>0</v>
      </c>
      <c r="W4" s="70">
        <v>0</v>
      </c>
      <c r="X4" s="70">
        <v>0</v>
      </c>
      <c r="Y4" s="70">
        <v>0</v>
      </c>
      <c r="Z4" s="70">
        <v>0</v>
      </c>
      <c r="AA4" s="70">
        <v>0</v>
      </c>
      <c r="AB4" s="70">
        <v>0</v>
      </c>
      <c r="AC4" s="70">
        <v>0</v>
      </c>
      <c r="AD4" s="70">
        <v>1</v>
      </c>
      <c r="AE4" s="70">
        <v>0</v>
      </c>
      <c r="AF4" s="70">
        <v>0</v>
      </c>
      <c r="AG4" s="70">
        <v>0</v>
      </c>
      <c r="AH4" s="70">
        <v>0</v>
      </c>
      <c r="AI4" s="70">
        <v>0</v>
      </c>
      <c r="AJ4" s="70">
        <v>0</v>
      </c>
      <c r="AK4" s="70">
        <v>0</v>
      </c>
      <c r="AL4" s="70">
        <v>0</v>
      </c>
      <c r="AM4" s="70">
        <v>0</v>
      </c>
      <c r="AN4" s="70">
        <v>0</v>
      </c>
      <c r="AO4" s="70">
        <v>0</v>
      </c>
      <c r="AP4" s="70">
        <v>0</v>
      </c>
      <c r="AQ4" s="70">
        <v>0</v>
      </c>
      <c r="AR4" s="70">
        <v>0</v>
      </c>
      <c r="AS4" s="70">
        <v>0</v>
      </c>
      <c r="AT4" s="70">
        <v>0</v>
      </c>
    </row>
    <row r="5" spans="1:46" x14ac:dyDescent="0.2">
      <c r="A5" s="2" t="s">
        <v>4</v>
      </c>
      <c r="B5" s="2" t="str">
        <f>VLOOKUP(A5,'[14]Calculated coal req (reg.)'!$A$2:$B$599,2,FALSE)</f>
        <v>LARA TPP UNIT 1</v>
      </c>
      <c r="C5" s="2">
        <v>3.6697567218694802</v>
      </c>
      <c r="D5" s="2">
        <v>16.32</v>
      </c>
      <c r="H5" t="s">
        <v>1093</v>
      </c>
      <c r="I5">
        <f t="shared" ca="1" si="0"/>
        <v>11.26797616489352</v>
      </c>
      <c r="J5">
        <f t="shared" ca="1" si="1"/>
        <v>15.957000000000001</v>
      </c>
      <c r="L5" s="26" t="s">
        <v>1093</v>
      </c>
      <c r="M5" s="70">
        <v>0</v>
      </c>
      <c r="N5" s="70">
        <v>0</v>
      </c>
      <c r="O5" s="70">
        <v>0</v>
      </c>
      <c r="P5" s="70">
        <v>0</v>
      </c>
      <c r="Q5" s="70">
        <v>0</v>
      </c>
      <c r="R5" s="70">
        <v>0</v>
      </c>
      <c r="S5" s="70">
        <v>0</v>
      </c>
      <c r="T5" s="70">
        <v>0</v>
      </c>
      <c r="U5" s="70">
        <v>0</v>
      </c>
      <c r="V5" s="70">
        <v>0</v>
      </c>
      <c r="W5" s="70">
        <v>0</v>
      </c>
      <c r="X5" s="70">
        <v>0</v>
      </c>
      <c r="Y5" s="70">
        <v>0</v>
      </c>
      <c r="Z5" s="70">
        <v>0</v>
      </c>
      <c r="AA5" s="70">
        <v>0</v>
      </c>
      <c r="AB5" s="70">
        <v>0</v>
      </c>
      <c r="AC5" s="70">
        <v>0</v>
      </c>
      <c r="AD5" s="70">
        <v>0</v>
      </c>
      <c r="AE5" s="70">
        <v>1</v>
      </c>
      <c r="AF5" s="70">
        <v>0</v>
      </c>
      <c r="AG5" s="70">
        <v>0</v>
      </c>
      <c r="AH5" s="70">
        <v>0</v>
      </c>
      <c r="AI5" s="70">
        <v>0</v>
      </c>
      <c r="AJ5" s="70">
        <v>0</v>
      </c>
      <c r="AK5" s="70">
        <v>0</v>
      </c>
      <c r="AL5" s="70">
        <v>0</v>
      </c>
      <c r="AM5" s="70">
        <v>0</v>
      </c>
      <c r="AN5" s="70">
        <v>0</v>
      </c>
      <c r="AO5" s="70">
        <v>0</v>
      </c>
      <c r="AP5" s="70">
        <v>0</v>
      </c>
      <c r="AQ5" s="70">
        <v>0</v>
      </c>
      <c r="AR5" s="70">
        <v>0</v>
      </c>
      <c r="AS5" s="70">
        <v>0</v>
      </c>
      <c r="AT5" s="70">
        <v>0</v>
      </c>
    </row>
    <row r="6" spans="1:46" x14ac:dyDescent="0.2">
      <c r="A6" s="2" t="s">
        <v>6</v>
      </c>
      <c r="B6" s="2" t="str">
        <f>VLOOKUP(A6,'[14]Calculated coal req (reg.)'!$A$2:$B$599,2,FALSE)</f>
        <v>YERMARUS TPS</v>
      </c>
      <c r="C6" s="2">
        <v>0.78044121863799198</v>
      </c>
      <c r="D6" s="2">
        <v>16.32</v>
      </c>
      <c r="H6" t="s">
        <v>1109</v>
      </c>
      <c r="I6">
        <f t="shared" ca="1" si="0"/>
        <v>12.128435780761681</v>
      </c>
      <c r="J6">
        <f t="shared" ca="1" si="1"/>
        <v>0</v>
      </c>
      <c r="L6" s="26" t="s">
        <v>1109</v>
      </c>
      <c r="M6" s="70">
        <v>0</v>
      </c>
      <c r="N6" s="70">
        <v>0</v>
      </c>
      <c r="O6" s="70">
        <v>0</v>
      </c>
      <c r="P6" s="70">
        <v>0</v>
      </c>
      <c r="Q6" s="70">
        <v>0</v>
      </c>
      <c r="R6" s="70">
        <v>0</v>
      </c>
      <c r="S6" s="70">
        <v>0</v>
      </c>
      <c r="T6" s="70">
        <v>0</v>
      </c>
      <c r="U6" s="70">
        <v>0</v>
      </c>
      <c r="V6" s="70">
        <v>0</v>
      </c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0">
        <v>0</v>
      </c>
      <c r="AD6" s="70">
        <v>0</v>
      </c>
      <c r="AE6" s="70">
        <v>0</v>
      </c>
      <c r="AF6" s="70">
        <v>0</v>
      </c>
      <c r="AG6" s="70">
        <v>0</v>
      </c>
      <c r="AH6" s="70">
        <v>0</v>
      </c>
      <c r="AI6" s="70">
        <v>0</v>
      </c>
      <c r="AJ6" s="70">
        <v>0</v>
      </c>
      <c r="AK6" s="70">
        <v>0</v>
      </c>
      <c r="AL6" s="70">
        <v>0</v>
      </c>
      <c r="AM6" s="70">
        <v>0</v>
      </c>
      <c r="AN6" s="70">
        <v>0</v>
      </c>
      <c r="AO6" s="70">
        <v>0</v>
      </c>
      <c r="AP6" s="70">
        <v>0</v>
      </c>
      <c r="AQ6" s="70">
        <v>0</v>
      </c>
      <c r="AR6" s="70">
        <v>1</v>
      </c>
      <c r="AS6" s="70">
        <v>0</v>
      </c>
      <c r="AT6" s="70">
        <v>0</v>
      </c>
    </row>
    <row r="7" spans="1:46" x14ac:dyDescent="0.2">
      <c r="A7" s="2" t="s">
        <v>5</v>
      </c>
      <c r="B7" s="2" t="str">
        <f>VLOOKUP(A7,'[14]Calculated coal req (reg.)'!$A$2:$B$599,2,FALSE)</f>
        <v>KUDGI STPP</v>
      </c>
      <c r="C7" s="2">
        <v>4.5897522158659498</v>
      </c>
      <c r="D7" s="2">
        <v>16.32</v>
      </c>
      <c r="H7" t="s">
        <v>1081</v>
      </c>
      <c r="I7">
        <f t="shared" ca="1" si="0"/>
        <v>20.35557279909915</v>
      </c>
      <c r="J7">
        <f t="shared" ca="1" si="1"/>
        <v>11.82</v>
      </c>
      <c r="L7" s="26" t="s">
        <v>1081</v>
      </c>
      <c r="M7" s="70">
        <v>0</v>
      </c>
      <c r="N7" s="70">
        <v>0</v>
      </c>
      <c r="O7" s="70">
        <v>0</v>
      </c>
      <c r="P7" s="70">
        <v>0</v>
      </c>
      <c r="Q7" s="70">
        <v>0</v>
      </c>
      <c r="R7" s="70">
        <v>0</v>
      </c>
      <c r="S7" s="70">
        <v>0</v>
      </c>
      <c r="T7" s="70">
        <v>0</v>
      </c>
      <c r="U7" s="70">
        <v>0</v>
      </c>
      <c r="V7" s="70">
        <v>0</v>
      </c>
      <c r="W7" s="70">
        <v>0</v>
      </c>
      <c r="X7" s="70">
        <v>0</v>
      </c>
      <c r="Y7" s="70">
        <v>0</v>
      </c>
      <c r="Z7" s="70">
        <v>0</v>
      </c>
      <c r="AA7" s="70">
        <v>0</v>
      </c>
      <c r="AB7" s="70">
        <v>0</v>
      </c>
      <c r="AC7" s="70">
        <v>0</v>
      </c>
      <c r="AD7" s="70">
        <v>0</v>
      </c>
      <c r="AE7" s="70">
        <v>0</v>
      </c>
      <c r="AF7" s="70">
        <v>0</v>
      </c>
      <c r="AG7" s="70">
        <v>0</v>
      </c>
      <c r="AH7" s="70">
        <v>0</v>
      </c>
      <c r="AI7" s="70">
        <v>0</v>
      </c>
      <c r="AJ7" s="70">
        <v>0</v>
      </c>
      <c r="AK7" s="70">
        <v>0</v>
      </c>
      <c r="AL7" s="70">
        <v>0</v>
      </c>
      <c r="AM7" s="70">
        <v>0</v>
      </c>
      <c r="AN7" s="70">
        <v>0</v>
      </c>
      <c r="AO7" s="70">
        <v>0</v>
      </c>
      <c r="AP7" s="70">
        <v>0</v>
      </c>
      <c r="AQ7" s="70">
        <v>0</v>
      </c>
      <c r="AR7" s="70">
        <v>1</v>
      </c>
      <c r="AS7" s="70">
        <v>0</v>
      </c>
      <c r="AT7" s="70">
        <v>0</v>
      </c>
    </row>
    <row r="8" spans="1:46" x14ac:dyDescent="0.2">
      <c r="A8" s="2" t="s">
        <v>1</v>
      </c>
      <c r="B8" s="2" t="str">
        <f>VLOOKUP(A8,'[14]Calculated coal req (reg.)'!$A$2:$B$599,2,FALSE)</f>
        <v>WANAKBORI TPS UNIT 8</v>
      </c>
      <c r="C8" s="2">
        <v>1.7629333333333299</v>
      </c>
      <c r="D8" s="2">
        <v>16.32</v>
      </c>
      <c r="H8" t="s">
        <v>1010</v>
      </c>
      <c r="I8">
        <f t="shared" ca="1" si="0"/>
        <v>16.785491036778069</v>
      </c>
      <c r="J8">
        <f t="shared" ca="1" si="1"/>
        <v>24.48</v>
      </c>
      <c r="L8" s="26" t="s">
        <v>1010</v>
      </c>
      <c r="M8" s="70">
        <v>0</v>
      </c>
      <c r="N8" s="70">
        <v>0</v>
      </c>
      <c r="O8" s="70">
        <v>0</v>
      </c>
      <c r="P8" s="70">
        <v>0</v>
      </c>
      <c r="Q8" s="70">
        <v>0</v>
      </c>
      <c r="R8" s="70">
        <v>0</v>
      </c>
      <c r="S8" s="70">
        <v>0</v>
      </c>
      <c r="T8" s="70">
        <v>0</v>
      </c>
      <c r="U8" s="70">
        <v>0</v>
      </c>
      <c r="V8" s="70">
        <v>0</v>
      </c>
      <c r="W8" s="70">
        <v>0</v>
      </c>
      <c r="X8" s="70">
        <v>0</v>
      </c>
      <c r="Y8" s="70">
        <v>0</v>
      </c>
      <c r="Z8" s="70">
        <v>0</v>
      </c>
      <c r="AA8" s="70">
        <v>0</v>
      </c>
      <c r="AB8" s="70">
        <v>0</v>
      </c>
      <c r="AC8" s="70">
        <v>0</v>
      </c>
      <c r="AD8" s="70">
        <v>0</v>
      </c>
      <c r="AE8" s="70">
        <v>0</v>
      </c>
      <c r="AF8" s="70">
        <v>0</v>
      </c>
      <c r="AG8" s="70">
        <v>0</v>
      </c>
      <c r="AH8" s="70">
        <v>0</v>
      </c>
      <c r="AI8" s="70">
        <v>0</v>
      </c>
      <c r="AJ8" s="70">
        <v>0</v>
      </c>
      <c r="AK8" s="70">
        <v>0</v>
      </c>
      <c r="AL8" s="70">
        <v>0</v>
      </c>
      <c r="AM8" s="70">
        <v>0</v>
      </c>
      <c r="AN8" s="70">
        <v>0</v>
      </c>
      <c r="AO8" s="70">
        <v>0</v>
      </c>
      <c r="AP8" s="70">
        <v>0</v>
      </c>
      <c r="AQ8" s="70">
        <v>0</v>
      </c>
      <c r="AR8" s="70">
        <v>1</v>
      </c>
      <c r="AS8" s="70">
        <v>0</v>
      </c>
      <c r="AT8" s="70">
        <v>0</v>
      </c>
    </row>
    <row r="9" spans="1:46" x14ac:dyDescent="0.2">
      <c r="A9" s="2" t="s">
        <v>9</v>
      </c>
      <c r="B9" s="2" t="str">
        <f>VLOOKUP(A9,'[14]Calculated coal req (reg.)'!$A$2:$B$599,2,FALSE)</f>
        <v>YERMARUS TPS</v>
      </c>
      <c r="C9" s="2">
        <v>1.02148735543902</v>
      </c>
      <c r="D9" s="2">
        <v>16.32</v>
      </c>
      <c r="H9" t="s">
        <v>1020</v>
      </c>
      <c r="I9">
        <f t="shared" ca="1" si="0"/>
        <v>22.472343201440601</v>
      </c>
      <c r="J9">
        <f t="shared" ca="1" si="1"/>
        <v>24.48</v>
      </c>
      <c r="L9" s="26" t="s">
        <v>1020</v>
      </c>
      <c r="M9" s="70">
        <v>0</v>
      </c>
      <c r="N9" s="70">
        <v>0</v>
      </c>
      <c r="O9" s="70">
        <v>0</v>
      </c>
      <c r="P9" s="70">
        <v>0</v>
      </c>
      <c r="Q9" s="70"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70">
        <v>0</v>
      </c>
      <c r="AH9" s="70">
        <v>0</v>
      </c>
      <c r="AI9" s="70">
        <v>0</v>
      </c>
      <c r="AJ9" s="70">
        <v>0</v>
      </c>
      <c r="AK9" s="70">
        <v>0</v>
      </c>
      <c r="AL9" s="70">
        <v>0</v>
      </c>
      <c r="AM9" s="70">
        <v>0</v>
      </c>
      <c r="AN9" s="70">
        <v>0</v>
      </c>
      <c r="AO9" s="70">
        <v>0</v>
      </c>
      <c r="AP9" s="70">
        <v>0</v>
      </c>
      <c r="AQ9" s="70">
        <v>0</v>
      </c>
      <c r="AR9" s="70">
        <v>1</v>
      </c>
      <c r="AS9" s="70">
        <v>0</v>
      </c>
      <c r="AT9" s="70">
        <v>0</v>
      </c>
    </row>
    <row r="10" spans="1:46" x14ac:dyDescent="0.2">
      <c r="A10" s="2" t="s">
        <v>7</v>
      </c>
      <c r="B10" s="2" t="str">
        <f>VLOOKUP(A10,'[14]Calculated coal req (reg.)'!$A$2:$B$599,2,FALSE)</f>
        <v>KUDGI STPP</v>
      </c>
      <c r="C10" s="2">
        <v>5.5814643404488198</v>
      </c>
      <c r="D10" s="2">
        <v>16.32</v>
      </c>
      <c r="H10" t="s">
        <v>1012</v>
      </c>
      <c r="I10">
        <f t="shared" ca="1" si="0"/>
        <v>18.003635387404898</v>
      </c>
      <c r="J10">
        <f t="shared" ca="1" si="1"/>
        <v>24.48</v>
      </c>
      <c r="L10" s="26" t="s">
        <v>1012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  <c r="T10" s="70">
        <v>0</v>
      </c>
      <c r="U10" s="70">
        <v>0</v>
      </c>
      <c r="V10" s="70">
        <v>0</v>
      </c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0">
        <v>0</v>
      </c>
      <c r="AD10" s="70">
        <v>0.45011709648059606</v>
      </c>
      <c r="AE10" s="70">
        <v>0</v>
      </c>
      <c r="AF10" s="70">
        <v>0</v>
      </c>
      <c r="AG10" s="70">
        <v>0</v>
      </c>
      <c r="AH10" s="70">
        <v>0</v>
      </c>
      <c r="AI10" s="70">
        <v>0</v>
      </c>
      <c r="AJ10" s="70">
        <v>0</v>
      </c>
      <c r="AK10" s="70">
        <v>0</v>
      </c>
      <c r="AL10" s="70">
        <v>0</v>
      </c>
      <c r="AM10" s="70">
        <v>0</v>
      </c>
      <c r="AN10" s="70">
        <v>0</v>
      </c>
      <c r="AO10" s="70">
        <v>0</v>
      </c>
      <c r="AP10" s="70">
        <v>0</v>
      </c>
      <c r="AQ10" s="70">
        <v>0</v>
      </c>
      <c r="AR10" s="70">
        <v>0.54988290351940405</v>
      </c>
      <c r="AS10" s="70">
        <v>0</v>
      </c>
      <c r="AT10" s="70">
        <v>0</v>
      </c>
    </row>
    <row r="11" spans="1:46" x14ac:dyDescent="0.2">
      <c r="A11" s="2" t="s">
        <v>8</v>
      </c>
      <c r="B11" s="2" t="str">
        <f>VLOOKUP(A11,'[14]Calculated coal req (reg.)'!$A$2:$B$599,2,FALSE)</f>
        <v>KUDGI STPP</v>
      </c>
      <c r="C11" s="2">
        <v>6.4095326782845099</v>
      </c>
      <c r="D11" s="2">
        <v>16.32</v>
      </c>
      <c r="H11" t="s">
        <v>1026</v>
      </c>
      <c r="I11">
        <f t="shared" ca="1" si="0"/>
        <v>0.14995622376116799</v>
      </c>
      <c r="J11">
        <f t="shared" ca="1" si="1"/>
        <v>12.24</v>
      </c>
      <c r="L11" s="26" t="s">
        <v>1026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1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0</v>
      </c>
      <c r="AM11" s="70">
        <v>0</v>
      </c>
      <c r="AN11" s="70">
        <v>0</v>
      </c>
      <c r="AO11" s="70">
        <v>0</v>
      </c>
      <c r="AP11" s="70">
        <v>0</v>
      </c>
      <c r="AQ11" s="70">
        <v>0</v>
      </c>
      <c r="AR11" s="70">
        <v>0</v>
      </c>
      <c r="AS11" s="70">
        <v>0</v>
      </c>
      <c r="AT11" s="70">
        <v>0</v>
      </c>
    </row>
    <row r="12" spans="1:46" x14ac:dyDescent="0.2">
      <c r="A12" s="2" t="s">
        <v>10</v>
      </c>
      <c r="B12" s="2" t="str">
        <f>VLOOKUP(A12,'[14]Calculated coal req (reg.)'!$A$2:$B$599,2,FALSE)</f>
        <v>DAMODARAN SANJEEVAIAH TPS</v>
      </c>
      <c r="C12" s="2">
        <v>9.2233283641663597</v>
      </c>
      <c r="D12" s="2">
        <v>16.32</v>
      </c>
      <c r="H12" t="s">
        <v>1184</v>
      </c>
      <c r="I12">
        <f t="shared" ca="1" si="0"/>
        <v>0</v>
      </c>
      <c r="J12">
        <f t="shared" ca="1" si="1"/>
        <v>0</v>
      </c>
      <c r="L12" s="26" t="s">
        <v>1184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1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0</v>
      </c>
      <c r="AM12" s="70">
        <v>0</v>
      </c>
      <c r="AN12" s="70">
        <v>0</v>
      </c>
      <c r="AO12" s="70">
        <v>0</v>
      </c>
      <c r="AP12" s="70">
        <v>0</v>
      </c>
      <c r="AQ12" s="70">
        <v>0</v>
      </c>
      <c r="AR12" s="70">
        <v>0</v>
      </c>
      <c r="AS12" s="70">
        <v>0</v>
      </c>
      <c r="AT12" s="70">
        <v>0</v>
      </c>
    </row>
    <row r="13" spans="1:46" x14ac:dyDescent="0.2">
      <c r="A13" s="2" t="s">
        <v>11</v>
      </c>
      <c r="B13" s="2" t="str">
        <f>VLOOKUP(A13,'[14]Calculated coal req (reg.)'!$A$2:$B$599,2,FALSE)</f>
        <v>DAMODARAN SANJEEVAIAH TPS</v>
      </c>
      <c r="C13" s="2">
        <v>8.5091254105517393</v>
      </c>
      <c r="D13" s="2">
        <v>16.32</v>
      </c>
      <c r="H13" t="s">
        <v>1110</v>
      </c>
      <c r="I13">
        <f t="shared" ca="1" si="0"/>
        <v>11.71350985810027</v>
      </c>
      <c r="J13">
        <f t="shared" ca="1" si="1"/>
        <v>0</v>
      </c>
      <c r="L13" s="26" t="s">
        <v>1110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0</v>
      </c>
      <c r="AM13" s="70">
        <v>0</v>
      </c>
      <c r="AN13" s="70">
        <v>0</v>
      </c>
      <c r="AO13" s="70">
        <v>0</v>
      </c>
      <c r="AP13" s="70">
        <v>0</v>
      </c>
      <c r="AQ13" s="70">
        <v>0</v>
      </c>
      <c r="AR13" s="70">
        <v>0</v>
      </c>
      <c r="AS13" s="70">
        <v>0</v>
      </c>
      <c r="AT13" s="70">
        <v>1</v>
      </c>
    </row>
    <row r="14" spans="1:46" x14ac:dyDescent="0.2">
      <c r="A14" s="2" t="s">
        <v>27</v>
      </c>
      <c r="B14" s="2" t="str">
        <f>VLOOKUP(A14,'[14]Calculated coal req (reg.)'!$A$2:$B$599,2,FALSE)</f>
        <v>BELLARY TPS UNIT 3</v>
      </c>
      <c r="C14" s="2">
        <v>2.8541688533997198</v>
      </c>
      <c r="D14" s="2">
        <v>14.28</v>
      </c>
      <c r="H14" t="s">
        <v>1111</v>
      </c>
      <c r="I14">
        <f t="shared" ca="1" si="0"/>
        <v>7.77788616310891</v>
      </c>
      <c r="J14">
        <f t="shared" ca="1" si="1"/>
        <v>0</v>
      </c>
      <c r="L14" s="26" t="s">
        <v>1111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70">
        <v>0</v>
      </c>
      <c r="AH14" s="70">
        <v>0</v>
      </c>
      <c r="AI14" s="70">
        <v>0</v>
      </c>
      <c r="AJ14" s="70">
        <v>0</v>
      </c>
      <c r="AK14" s="70">
        <v>0</v>
      </c>
      <c r="AL14" s="70">
        <v>0</v>
      </c>
      <c r="AM14" s="70">
        <v>0</v>
      </c>
      <c r="AN14" s="70">
        <v>0</v>
      </c>
      <c r="AO14" s="70">
        <v>0</v>
      </c>
      <c r="AP14" s="70">
        <v>0</v>
      </c>
      <c r="AQ14" s="70">
        <v>0</v>
      </c>
      <c r="AR14" s="70">
        <v>0</v>
      </c>
      <c r="AS14" s="70">
        <v>0</v>
      </c>
      <c r="AT14" s="70">
        <v>1</v>
      </c>
    </row>
    <row r="15" spans="1:46" x14ac:dyDescent="0.2">
      <c r="A15" s="2" t="s">
        <v>13</v>
      </c>
      <c r="B15" s="2" t="str">
        <f>VLOOKUP(A15,'[14]Calculated coal req (reg.)'!$A$2:$B$599,2,FALSE)</f>
        <v>KHARGONE STPP UNIT 1</v>
      </c>
      <c r="C15" s="2">
        <v>4.4700574094673096</v>
      </c>
      <c r="D15" s="2">
        <v>13.464</v>
      </c>
      <c r="H15" t="s">
        <v>1092</v>
      </c>
      <c r="I15">
        <f t="shared" ca="1" si="0"/>
        <v>7.8817072925427105</v>
      </c>
      <c r="J15">
        <f t="shared" ca="1" si="1"/>
        <v>7.0919999999999996</v>
      </c>
      <c r="L15" s="26" t="s">
        <v>1092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0.14189666092778619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0.29540633381142622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0.56269700526078759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</row>
    <row r="16" spans="1:46" x14ac:dyDescent="0.2">
      <c r="A16" s="2" t="s">
        <v>12</v>
      </c>
      <c r="B16" s="2" t="str">
        <f>VLOOKUP(A16,'[14]Calculated coal req (reg.)'!$A$2:$B$599,2,FALSE)</f>
        <v>TANDA STPS UNIT 5-6</v>
      </c>
      <c r="C16" s="2">
        <v>8.6554551662340806</v>
      </c>
      <c r="D16" s="2">
        <v>13.464</v>
      </c>
      <c r="H16" t="s">
        <v>1075</v>
      </c>
      <c r="I16">
        <f t="shared" ca="1" si="0"/>
        <v>5.9824662298269597</v>
      </c>
      <c r="J16">
        <f t="shared" ca="1" si="1"/>
        <v>6.12</v>
      </c>
      <c r="L16" s="26" t="s">
        <v>1075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5.2838350958558863E-2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0.94716164904144118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</row>
    <row r="17" spans="1:46" x14ac:dyDescent="0.2">
      <c r="A17" s="2" t="s">
        <v>14</v>
      </c>
      <c r="B17" s="2" t="str">
        <f>VLOOKUP(A17,'[14]Calculated coal req (reg.)'!$A$2:$B$599,2,FALSE)</f>
        <v>IB VALLEY TPS UNIT 3-4</v>
      </c>
      <c r="C17" s="2">
        <v>7.9312901107050102</v>
      </c>
      <c r="D17" s="2">
        <v>13.464</v>
      </c>
      <c r="H17" t="s">
        <v>1112</v>
      </c>
      <c r="I17">
        <f t="shared" ca="1" si="0"/>
        <v>3.4886722562988828</v>
      </c>
      <c r="J17">
        <f t="shared" ca="1" si="1"/>
        <v>0</v>
      </c>
      <c r="L17" s="26" t="s">
        <v>1112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70">
        <v>0</v>
      </c>
      <c r="AH17" s="70">
        <v>0</v>
      </c>
      <c r="AI17" s="70">
        <v>0</v>
      </c>
      <c r="AJ17" s="70">
        <v>0</v>
      </c>
      <c r="AK17" s="70">
        <v>0</v>
      </c>
      <c r="AL17" s="70">
        <v>0</v>
      </c>
      <c r="AM17" s="70">
        <v>0</v>
      </c>
      <c r="AN17" s="70">
        <v>0</v>
      </c>
      <c r="AO17" s="70">
        <v>0</v>
      </c>
      <c r="AP17" s="70">
        <v>0</v>
      </c>
      <c r="AQ17" s="70">
        <v>0</v>
      </c>
      <c r="AR17" s="70">
        <v>0</v>
      </c>
      <c r="AS17" s="70">
        <v>0</v>
      </c>
      <c r="AT17" s="70">
        <v>1</v>
      </c>
    </row>
    <row r="18" spans="1:46" x14ac:dyDescent="0.2">
      <c r="A18" s="2" t="s">
        <v>15</v>
      </c>
      <c r="B18" s="2" t="str">
        <f>VLOOKUP(A18,'[14]Calculated coal req (reg.)'!$A$2:$B$599,2,FALSE)</f>
        <v>NABINAGAR STPP</v>
      </c>
      <c r="C18" s="2">
        <v>6.1924459584723701</v>
      </c>
      <c r="D18" s="2">
        <v>13.464</v>
      </c>
      <c r="H18" t="s">
        <v>992</v>
      </c>
      <c r="I18">
        <f t="shared" ca="1" si="0"/>
        <v>21.55498598311145</v>
      </c>
      <c r="J18">
        <f t="shared" ca="1" si="1"/>
        <v>40.392000000000003</v>
      </c>
      <c r="L18" s="26" t="s">
        <v>992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0">
        <v>0</v>
      </c>
      <c r="AH18" s="70">
        <v>0</v>
      </c>
      <c r="AI18" s="70">
        <v>0</v>
      </c>
      <c r="AJ18" s="70">
        <v>0</v>
      </c>
      <c r="AK18" s="70">
        <v>0</v>
      </c>
      <c r="AL18" s="70">
        <v>0</v>
      </c>
      <c r="AM18" s="70">
        <v>0</v>
      </c>
      <c r="AN18" s="70">
        <v>0</v>
      </c>
      <c r="AO18" s="70">
        <v>0</v>
      </c>
      <c r="AP18" s="70">
        <v>0</v>
      </c>
      <c r="AQ18" s="70">
        <v>0</v>
      </c>
      <c r="AR18" s="70">
        <v>1</v>
      </c>
      <c r="AS18" s="70">
        <v>0</v>
      </c>
      <c r="AT18" s="70">
        <v>0</v>
      </c>
    </row>
    <row r="19" spans="1:46" x14ac:dyDescent="0.2">
      <c r="A19" s="2" t="s">
        <v>16</v>
      </c>
      <c r="B19" s="2" t="str">
        <f>VLOOKUP(A19,'[14]Calculated coal req (reg.)'!$A$2:$B$599,2,FALSE)</f>
        <v>IB VALLEY TPS UNIT 3-4</v>
      </c>
      <c r="C19" s="2">
        <v>7.3002896737115304</v>
      </c>
      <c r="D19" s="2">
        <v>13.464</v>
      </c>
      <c r="H19" t="s">
        <v>1016</v>
      </c>
      <c r="I19">
        <f t="shared" ca="1" si="0"/>
        <v>17.490220312322901</v>
      </c>
      <c r="J19">
        <f t="shared" ca="1" si="1"/>
        <v>24.48</v>
      </c>
      <c r="L19" s="26" t="s">
        <v>1016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0.5806018512556248</v>
      </c>
      <c r="AN19" s="70">
        <v>0</v>
      </c>
      <c r="AO19" s="70">
        <v>0.41939814874437531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</row>
    <row r="20" spans="1:46" x14ac:dyDescent="0.2">
      <c r="A20" s="2" t="s">
        <v>18</v>
      </c>
      <c r="B20" s="2" t="str">
        <f>VLOOKUP(A20,'[14]Calculated coal req (reg.)'!$A$2:$B$599,2,FALSE)</f>
        <v>CHHABRA TPS UNIT 6</v>
      </c>
      <c r="C20" s="2">
        <v>9.6809891991582706</v>
      </c>
      <c r="D20" s="2">
        <v>13.464</v>
      </c>
      <c r="H20" t="s">
        <v>1090</v>
      </c>
      <c r="I20">
        <f t="shared" ca="1" si="0"/>
        <v>0.22222723253757642</v>
      </c>
      <c r="J20">
        <f t="shared" ca="1" si="1"/>
        <v>2.9550000000000001</v>
      </c>
      <c r="L20" s="26" t="s">
        <v>1090</v>
      </c>
      <c r="M20" s="70">
        <v>0</v>
      </c>
      <c r="N20" s="70">
        <v>0</v>
      </c>
      <c r="O20" s="70">
        <v>0</v>
      </c>
      <c r="P20" s="70">
        <v>1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</row>
    <row r="21" spans="1:46" x14ac:dyDescent="0.2">
      <c r="A21" s="2" t="s">
        <v>19</v>
      </c>
      <c r="B21" s="2" t="str">
        <f>VLOOKUP(A21,'[14]Calculated coal req (reg.)'!$A$2:$B$599,2,FALSE)</f>
        <v>SHREE SINGAJI TPP UNIT 3-4</v>
      </c>
      <c r="C21" s="2">
        <v>5.8407741598409002</v>
      </c>
      <c r="D21" s="2">
        <v>13.464</v>
      </c>
      <c r="H21" t="s">
        <v>998</v>
      </c>
      <c r="I21">
        <f t="shared" ca="1" si="0"/>
        <v>24.752122242156702</v>
      </c>
      <c r="J21">
        <f t="shared" ca="1" si="1"/>
        <v>26.928000000000001</v>
      </c>
      <c r="L21" s="26" t="s">
        <v>998</v>
      </c>
      <c r="M21" s="70">
        <v>0</v>
      </c>
      <c r="N21" s="70">
        <v>0</v>
      </c>
      <c r="O21" s="70">
        <v>0</v>
      </c>
      <c r="P21" s="70">
        <v>0.81431831424619749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6.7314801428996859E-2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0">
        <v>0</v>
      </c>
      <c r="AH21" s="70">
        <v>0</v>
      </c>
      <c r="AI21" s="70">
        <v>0</v>
      </c>
      <c r="AJ21" s="70">
        <v>9.9031544009166375E-2</v>
      </c>
      <c r="AK21" s="70">
        <v>0</v>
      </c>
      <c r="AL21" s="70">
        <v>0</v>
      </c>
      <c r="AM21" s="70">
        <v>0</v>
      </c>
      <c r="AN21" s="70">
        <v>1.2443914535855739E-2</v>
      </c>
      <c r="AO21" s="70">
        <v>0</v>
      </c>
      <c r="AP21" s="70">
        <v>6.8914257797834033E-3</v>
      </c>
      <c r="AQ21" s="70">
        <v>0</v>
      </c>
      <c r="AR21" s="70">
        <v>0</v>
      </c>
      <c r="AS21" s="70">
        <v>0</v>
      </c>
      <c r="AT21" s="70">
        <v>0</v>
      </c>
    </row>
    <row r="22" spans="1:46" x14ac:dyDescent="0.2">
      <c r="A22" s="2" t="s">
        <v>29</v>
      </c>
      <c r="B22" s="2"/>
      <c r="C22" s="2">
        <v>3.6677102194678302</v>
      </c>
      <c r="D22" s="2">
        <v>13.974</v>
      </c>
      <c r="H22" t="s">
        <v>1113</v>
      </c>
      <c r="I22">
        <f t="shared" ca="1" si="0"/>
        <v>0.33066408602150499</v>
      </c>
      <c r="J22">
        <f t="shared" ca="1" si="1"/>
        <v>0</v>
      </c>
      <c r="L22" s="26" t="s">
        <v>1113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0">
        <v>0</v>
      </c>
      <c r="AH22" s="70">
        <v>0</v>
      </c>
      <c r="AI22" s="70">
        <v>0</v>
      </c>
      <c r="AJ22" s="70">
        <v>0</v>
      </c>
      <c r="AK22" s="70">
        <v>0</v>
      </c>
      <c r="AL22" s="70">
        <v>0</v>
      </c>
      <c r="AM22" s="70">
        <v>0</v>
      </c>
      <c r="AN22" s="70">
        <v>0</v>
      </c>
      <c r="AO22" s="70">
        <v>0</v>
      </c>
      <c r="AP22" s="70">
        <v>0</v>
      </c>
      <c r="AQ22" s="70">
        <v>0</v>
      </c>
      <c r="AR22" s="70">
        <v>1</v>
      </c>
      <c r="AS22" s="70">
        <v>0</v>
      </c>
      <c r="AT22" s="70">
        <v>0</v>
      </c>
    </row>
    <row r="23" spans="1:46" x14ac:dyDescent="0.2">
      <c r="A23" s="2" t="s">
        <v>23</v>
      </c>
      <c r="B23" s="2" t="str">
        <f>VLOOKUP(A23,'[14]Calculated coal req (reg.)'!$A$2:$B$599,2,FALSE)</f>
        <v>SHREE SINGAJI TPP UNIT 3-4</v>
      </c>
      <c r="C23" s="2">
        <v>7.6966385006007103</v>
      </c>
      <c r="D23" s="2">
        <v>13.464</v>
      </c>
      <c r="H23" t="s">
        <v>1185</v>
      </c>
      <c r="I23">
        <f t="shared" ca="1" si="0"/>
        <v>0</v>
      </c>
      <c r="J23">
        <f t="shared" ca="1" si="1"/>
        <v>0</v>
      </c>
      <c r="L23" s="26" t="s">
        <v>1185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70">
        <v>0</v>
      </c>
      <c r="AH23" s="70">
        <v>0</v>
      </c>
      <c r="AI23" s="70">
        <v>0</v>
      </c>
      <c r="AJ23" s="70">
        <v>0</v>
      </c>
      <c r="AK23" s="70">
        <v>0</v>
      </c>
      <c r="AL23" s="70">
        <v>0</v>
      </c>
      <c r="AM23" s="70">
        <v>1</v>
      </c>
      <c r="AN23" s="70">
        <v>0</v>
      </c>
      <c r="AO23" s="70">
        <v>0</v>
      </c>
      <c r="AP23" s="70">
        <v>0</v>
      </c>
      <c r="AQ23" s="70">
        <v>0</v>
      </c>
      <c r="AR23" s="70">
        <v>0</v>
      </c>
      <c r="AS23" s="70">
        <v>0</v>
      </c>
      <c r="AT23" s="70">
        <v>0</v>
      </c>
    </row>
    <row r="24" spans="1:46" x14ac:dyDescent="0.2">
      <c r="A24" s="2" t="s">
        <v>26</v>
      </c>
      <c r="B24" s="2" t="str">
        <f>VLOOKUP(A24,'[14]Calculated coal req (reg.)'!$A$2:$B$599,2,FALSE)</f>
        <v>MEJA STPP</v>
      </c>
      <c r="C24" s="2">
        <v>1.53725666199158</v>
      </c>
      <c r="D24" s="2">
        <v>13.464</v>
      </c>
      <c r="H24" t="s">
        <v>1058</v>
      </c>
      <c r="I24">
        <f t="shared" ca="1" si="0"/>
        <v>3.9527235102494802</v>
      </c>
      <c r="J24">
        <f t="shared" ca="1" si="1"/>
        <v>9.6</v>
      </c>
      <c r="L24" s="26" t="s">
        <v>1058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1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</row>
    <row r="25" spans="1:46" x14ac:dyDescent="0.2">
      <c r="A25" s="2" t="s">
        <v>39</v>
      </c>
      <c r="B25" s="2"/>
      <c r="C25" s="2">
        <v>6.6439723969151903</v>
      </c>
      <c r="D25" s="2">
        <v>13.974</v>
      </c>
      <c r="H25" t="s">
        <v>1041</v>
      </c>
      <c r="I25">
        <f t="shared" ca="1" si="0"/>
        <v>5.2037938662005301</v>
      </c>
      <c r="J25">
        <f t="shared" ca="1" si="1"/>
        <v>10.199999999999999</v>
      </c>
      <c r="L25" s="26" t="s">
        <v>1041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1</v>
      </c>
      <c r="AC25" s="70">
        <v>0</v>
      </c>
      <c r="AD25" s="70">
        <v>0</v>
      </c>
      <c r="AE25" s="70">
        <v>0</v>
      </c>
      <c r="AF25" s="70">
        <v>0</v>
      </c>
      <c r="AG25" s="70">
        <v>0</v>
      </c>
      <c r="AH25" s="70">
        <v>0</v>
      </c>
      <c r="AI25" s="70">
        <v>0</v>
      </c>
      <c r="AJ25" s="70">
        <v>0</v>
      </c>
      <c r="AK25" s="70">
        <v>0</v>
      </c>
      <c r="AL25" s="70">
        <v>0</v>
      </c>
      <c r="AM25" s="70">
        <v>0</v>
      </c>
      <c r="AN25" s="70">
        <v>0</v>
      </c>
      <c r="AO25" s="70">
        <v>0</v>
      </c>
      <c r="AP25" s="70">
        <v>0</v>
      </c>
      <c r="AQ25" s="70">
        <v>0</v>
      </c>
      <c r="AR25" s="70">
        <v>0</v>
      </c>
      <c r="AS25" s="70">
        <v>0</v>
      </c>
      <c r="AT25" s="70">
        <v>0</v>
      </c>
    </row>
    <row r="26" spans="1:46" x14ac:dyDescent="0.2">
      <c r="A26" s="2" t="s">
        <v>20</v>
      </c>
      <c r="B26" s="2" t="str">
        <f>VLOOKUP(A26,'[14]Calculated coal req (reg.)'!$A$2:$B$599,2,FALSE)</f>
        <v>SOLAPUR STPS</v>
      </c>
      <c r="C26" s="2">
        <v>0.51650048875855303</v>
      </c>
      <c r="D26" s="2">
        <v>13.464</v>
      </c>
      <c r="H26" t="s">
        <v>983</v>
      </c>
      <c r="I26">
        <f t="shared" ca="1" si="0"/>
        <v>2.8541688533997198</v>
      </c>
      <c r="J26">
        <f t="shared" ca="1" si="1"/>
        <v>14.28</v>
      </c>
      <c r="L26" s="26" t="s">
        <v>983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1</v>
      </c>
      <c r="AC26" s="70">
        <v>0</v>
      </c>
      <c r="AD26" s="70">
        <v>0</v>
      </c>
      <c r="AE26" s="70">
        <v>0</v>
      </c>
      <c r="AF26" s="70">
        <v>0</v>
      </c>
      <c r="AG26" s="70">
        <v>0</v>
      </c>
      <c r="AH26" s="70">
        <v>0</v>
      </c>
      <c r="AI26" s="70">
        <v>0</v>
      </c>
      <c r="AJ26" s="70">
        <v>0</v>
      </c>
      <c r="AK26" s="70">
        <v>0</v>
      </c>
      <c r="AL26" s="70">
        <v>0</v>
      </c>
      <c r="AM26" s="70">
        <v>0</v>
      </c>
      <c r="AN26" s="70">
        <v>0</v>
      </c>
      <c r="AO26" s="70">
        <v>0</v>
      </c>
      <c r="AP26" s="70">
        <v>0</v>
      </c>
      <c r="AQ26" s="70">
        <v>0</v>
      </c>
      <c r="AR26" s="70">
        <v>0</v>
      </c>
      <c r="AS26" s="70">
        <v>0</v>
      </c>
      <c r="AT26" s="70">
        <v>0</v>
      </c>
    </row>
    <row r="27" spans="1:46" x14ac:dyDescent="0.2">
      <c r="A27" s="2" t="s">
        <v>28</v>
      </c>
      <c r="B27" s="2" t="str">
        <f>VLOOKUP(A27,'[14]Calculated coal req (reg.)'!$A$2:$B$599,2,FALSE)</f>
        <v>BARA TPP</v>
      </c>
      <c r="C27" s="2">
        <v>7.2931149691897499</v>
      </c>
      <c r="D27" s="2">
        <v>13.464</v>
      </c>
      <c r="H27" t="s">
        <v>1186</v>
      </c>
      <c r="I27">
        <f t="shared" ca="1" si="0"/>
        <v>0</v>
      </c>
      <c r="J27">
        <f t="shared" ca="1" si="1"/>
        <v>0</v>
      </c>
      <c r="L27" s="26" t="s">
        <v>1186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1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</row>
    <row r="28" spans="1:46" x14ac:dyDescent="0.2">
      <c r="A28" s="2" t="s">
        <v>30</v>
      </c>
      <c r="B28" s="2" t="str">
        <f>VLOOKUP(A28,'[14]Calculated coal req (reg.)'!$A$2:$B$599,2,FALSE)</f>
        <v>CHHABRA TPS UNIT 5</v>
      </c>
      <c r="C28" s="2">
        <v>7.0537783374825596</v>
      </c>
      <c r="D28" s="2">
        <v>13.464</v>
      </c>
      <c r="H28" t="s">
        <v>1114</v>
      </c>
      <c r="I28">
        <f t="shared" ca="1" si="0"/>
        <v>9.0135543431997789</v>
      </c>
      <c r="J28">
        <f t="shared" ca="1" si="1"/>
        <v>0</v>
      </c>
      <c r="L28" s="26" t="s">
        <v>1114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0.16628269794612768</v>
      </c>
      <c r="S28" s="70">
        <v>0.45276740224528433</v>
      </c>
      <c r="T28" s="70">
        <v>0.38094989980858801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</row>
    <row r="29" spans="1:46" x14ac:dyDescent="0.2">
      <c r="A29" s="2" t="s">
        <v>35</v>
      </c>
      <c r="B29" s="2" t="str">
        <f>VLOOKUP(A29,'[14]Calculated coal req (reg.)'!$A$2:$B$599,2,FALSE)</f>
        <v>BARA TPP</v>
      </c>
      <c r="C29" s="2">
        <v>8.9067400988752894</v>
      </c>
      <c r="D29" s="2">
        <v>13.464</v>
      </c>
      <c r="H29" t="s">
        <v>1115</v>
      </c>
      <c r="I29">
        <f t="shared" ca="1" si="0"/>
        <v>0.60207771244945796</v>
      </c>
      <c r="J29">
        <f t="shared" ca="1" si="1"/>
        <v>0</v>
      </c>
      <c r="L29" s="26" t="s">
        <v>1115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1</v>
      </c>
      <c r="AF29" s="70">
        <v>0</v>
      </c>
      <c r="AG29" s="70">
        <v>0</v>
      </c>
      <c r="AH29" s="70">
        <v>0</v>
      </c>
      <c r="AI29" s="70">
        <v>0</v>
      </c>
      <c r="AJ29" s="70">
        <v>0</v>
      </c>
      <c r="AK29" s="70">
        <v>0</v>
      </c>
      <c r="AL29" s="70">
        <v>0</v>
      </c>
      <c r="AM29" s="70">
        <v>0</v>
      </c>
      <c r="AN29" s="70">
        <v>0</v>
      </c>
      <c r="AO29" s="70">
        <v>0</v>
      </c>
      <c r="AP29" s="70">
        <v>0</v>
      </c>
      <c r="AQ29" s="70">
        <v>0</v>
      </c>
      <c r="AR29" s="70">
        <v>0</v>
      </c>
      <c r="AS29" s="70">
        <v>0</v>
      </c>
      <c r="AT29" s="70">
        <v>0</v>
      </c>
    </row>
    <row r="30" spans="1:46" x14ac:dyDescent="0.2">
      <c r="A30" s="2" t="s">
        <v>33</v>
      </c>
      <c r="B30" s="2" t="str">
        <f>VLOOKUP(A30,'[14]Calculated coal req (reg.)'!$A$2:$B$599,2,FALSE)</f>
        <v>MAUDA TPS UNIT 3-4</v>
      </c>
      <c r="C30" s="2">
        <v>7.6447717225488603</v>
      </c>
      <c r="D30" s="2">
        <v>13.464</v>
      </c>
      <c r="H30" t="s">
        <v>1047</v>
      </c>
      <c r="I30">
        <f t="shared" ca="1" si="0"/>
        <v>16.646571350000883</v>
      </c>
      <c r="J30">
        <f t="shared" ca="1" si="1"/>
        <v>20.399999999999999</v>
      </c>
      <c r="L30" s="26" t="s">
        <v>1047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  <c r="T30" s="70">
        <v>0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1</v>
      </c>
      <c r="AF30" s="70">
        <v>0</v>
      </c>
      <c r="AG30" s="70">
        <v>0</v>
      </c>
      <c r="AH30" s="70">
        <v>0</v>
      </c>
      <c r="AI30" s="70">
        <v>0</v>
      </c>
      <c r="AJ30" s="70">
        <v>0</v>
      </c>
      <c r="AK30" s="70">
        <v>0</v>
      </c>
      <c r="AL30" s="70">
        <v>0</v>
      </c>
      <c r="AM30" s="70">
        <v>0</v>
      </c>
      <c r="AN30" s="70">
        <v>0</v>
      </c>
      <c r="AO30" s="70">
        <v>0</v>
      </c>
      <c r="AP30" s="70">
        <v>0</v>
      </c>
      <c r="AQ30" s="70">
        <v>0</v>
      </c>
      <c r="AR30" s="70">
        <v>0</v>
      </c>
      <c r="AS30" s="70">
        <v>0</v>
      </c>
      <c r="AT30" s="70">
        <v>0</v>
      </c>
    </row>
    <row r="31" spans="1:46" x14ac:dyDescent="0.2">
      <c r="A31" s="2" t="s">
        <v>38</v>
      </c>
      <c r="B31" s="2" t="str">
        <f>VLOOKUP(A31,'[14]Calculated coal req (reg.)'!$A$2:$B$599,2,FALSE)</f>
        <v>LALITPUR TPS</v>
      </c>
      <c r="C31" s="2">
        <v>7.0142725391528504</v>
      </c>
      <c r="D31" s="2">
        <v>13.464</v>
      </c>
      <c r="H31" t="s">
        <v>1102</v>
      </c>
      <c r="I31">
        <f t="shared" ca="1" si="0"/>
        <v>6.8893118193406995</v>
      </c>
      <c r="J31">
        <f t="shared" ca="1" si="1"/>
        <v>5.91</v>
      </c>
      <c r="L31" s="26" t="s">
        <v>1102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1</v>
      </c>
      <c r="AE31" s="70">
        <v>0</v>
      </c>
      <c r="AF31" s="70">
        <v>0</v>
      </c>
      <c r="AG31" s="70">
        <v>0</v>
      </c>
      <c r="AH31" s="70">
        <v>0</v>
      </c>
      <c r="AI31" s="70">
        <v>0</v>
      </c>
      <c r="AJ31" s="70">
        <v>0</v>
      </c>
      <c r="AK31" s="70">
        <v>0</v>
      </c>
      <c r="AL31" s="70">
        <v>0</v>
      </c>
      <c r="AM31" s="70">
        <v>0</v>
      </c>
      <c r="AN31" s="70">
        <v>0</v>
      </c>
      <c r="AO31" s="70">
        <v>0</v>
      </c>
      <c r="AP31" s="70">
        <v>0</v>
      </c>
      <c r="AQ31" s="70">
        <v>0</v>
      </c>
      <c r="AR31" s="70">
        <v>0</v>
      </c>
      <c r="AS31" s="70">
        <v>0</v>
      </c>
      <c r="AT31" s="70">
        <v>0</v>
      </c>
    </row>
    <row r="32" spans="1:46" x14ac:dyDescent="0.2">
      <c r="A32" s="2" t="s">
        <v>40</v>
      </c>
      <c r="B32" s="2" t="str">
        <f>VLOOKUP(A32,'[14]Calculated coal req (reg.)'!$A$2:$B$599,2,FALSE)</f>
        <v>LALITPUR TPS</v>
      </c>
      <c r="C32" s="2">
        <v>6.12250019775058</v>
      </c>
      <c r="D32" s="2">
        <v>13.464</v>
      </c>
      <c r="H32" t="s">
        <v>1086</v>
      </c>
      <c r="I32">
        <f t="shared" ca="1" si="0"/>
        <v>10.529637895715741</v>
      </c>
      <c r="J32">
        <f t="shared" ca="1" si="1"/>
        <v>8.8650000000000002</v>
      </c>
      <c r="L32" s="26" t="s">
        <v>1086</v>
      </c>
      <c r="M32" s="70">
        <v>0</v>
      </c>
      <c r="N32" s="70">
        <v>6.4960036833076551E-2</v>
      </c>
      <c r="O32" s="70">
        <v>0.68270479868493339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4.5640586086114633E-2</v>
      </c>
      <c r="AG32" s="70">
        <v>0</v>
      </c>
      <c r="AH32" s="70">
        <v>6.5212860009649279E-2</v>
      </c>
      <c r="AI32" s="70">
        <v>5.7206507818921587E-2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8.4275210567304679E-2</v>
      </c>
      <c r="AR32" s="70">
        <v>0</v>
      </c>
      <c r="AS32" s="70">
        <v>0</v>
      </c>
      <c r="AT32" s="70">
        <v>0</v>
      </c>
    </row>
    <row r="33" spans="1:46" x14ac:dyDescent="0.2">
      <c r="A33" s="2" t="s">
        <v>45</v>
      </c>
      <c r="B33" s="2" t="str">
        <f>VLOOKUP(A33,'[14]Calculated coal req (reg.)'!$A$2:$B$599,2,FALSE)</f>
        <v>LALITPUR TPS</v>
      </c>
      <c r="C33" s="2">
        <v>5.5378738622364096</v>
      </c>
      <c r="D33" s="2">
        <v>13.464</v>
      </c>
      <c r="H33" t="s">
        <v>1116</v>
      </c>
      <c r="I33">
        <f t="shared" ca="1" si="0"/>
        <v>16.0250763804016</v>
      </c>
      <c r="J33">
        <f t="shared" ca="1" si="1"/>
        <v>0</v>
      </c>
      <c r="L33" s="26" t="s">
        <v>1116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1</v>
      </c>
    </row>
    <row r="34" spans="1:46" x14ac:dyDescent="0.2">
      <c r="A34" s="2" t="s">
        <v>49</v>
      </c>
      <c r="B34" s="2" t="str">
        <f>VLOOKUP(A34,'[14]Calculated coal req (reg.)'!$A$2:$B$599,2,FALSE)</f>
        <v>BARA TPP</v>
      </c>
      <c r="C34" s="2">
        <v>5.3551309150464101</v>
      </c>
      <c r="D34" s="2">
        <v>13.464</v>
      </c>
      <c r="H34" t="s">
        <v>1087</v>
      </c>
      <c r="I34">
        <f t="shared" ca="1" si="0"/>
        <v>4.7154926184649497</v>
      </c>
      <c r="J34">
        <f t="shared" ca="1" si="1"/>
        <v>7.0919999999999996</v>
      </c>
      <c r="L34" s="26" t="s">
        <v>1087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1</v>
      </c>
      <c r="AF34" s="70">
        <v>0</v>
      </c>
      <c r="AG34" s="70">
        <v>0</v>
      </c>
      <c r="AH34" s="70">
        <v>0</v>
      </c>
      <c r="AI34" s="70">
        <v>0</v>
      </c>
      <c r="AJ34" s="70">
        <v>0</v>
      </c>
      <c r="AK34" s="70">
        <v>0</v>
      </c>
      <c r="AL34" s="70">
        <v>0</v>
      </c>
      <c r="AM34" s="70">
        <v>0</v>
      </c>
      <c r="AN34" s="70">
        <v>0</v>
      </c>
      <c r="AO34" s="70">
        <v>0</v>
      </c>
      <c r="AP34" s="70">
        <v>0</v>
      </c>
      <c r="AQ34" s="70">
        <v>0</v>
      </c>
      <c r="AR34" s="70">
        <v>0</v>
      </c>
      <c r="AS34" s="70">
        <v>0</v>
      </c>
      <c r="AT34" s="70">
        <v>0</v>
      </c>
    </row>
    <row r="35" spans="1:46" x14ac:dyDescent="0.2">
      <c r="A35" s="2" t="s">
        <v>31</v>
      </c>
      <c r="B35" s="2" t="str">
        <f>VLOOKUP(A35,'[14]Calculated coal req (reg.)'!$A$2:$B$599,2,FALSE)</f>
        <v>SOLAPUR STPS</v>
      </c>
      <c r="C35" s="2">
        <v>3.86223589084873</v>
      </c>
      <c r="D35" s="2">
        <v>13.464</v>
      </c>
      <c r="H35" t="s">
        <v>1076</v>
      </c>
      <c r="I35">
        <f t="shared" ca="1" si="0"/>
        <v>24.271601671374039</v>
      </c>
      <c r="J35">
        <f t="shared" ca="1" si="1"/>
        <v>20.22</v>
      </c>
      <c r="L35" s="26" t="s">
        <v>1076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0</v>
      </c>
      <c r="U35" s="70">
        <v>0</v>
      </c>
      <c r="V35" s="70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1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</row>
    <row r="36" spans="1:46" x14ac:dyDescent="0.2">
      <c r="A36" s="2" t="s">
        <v>43</v>
      </c>
      <c r="B36" s="2" t="str">
        <f>VLOOKUP(A36,'[14]Calculated coal req (reg.)'!$A$2:$B$599,2,FALSE)</f>
        <v>MAUDA TPS UNIT 3-4</v>
      </c>
      <c r="C36" s="2">
        <v>7.9687640367604198</v>
      </c>
      <c r="D36" s="2">
        <v>13.464</v>
      </c>
      <c r="H36" t="s">
        <v>1033</v>
      </c>
      <c r="I36">
        <f t="shared" ca="1" si="0"/>
        <v>17.44747387641841</v>
      </c>
      <c r="J36">
        <f t="shared" ca="1" si="1"/>
        <v>20.399999999999999</v>
      </c>
      <c r="L36" s="26" t="s">
        <v>1033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1</v>
      </c>
      <c r="AF36" s="70">
        <v>0</v>
      </c>
      <c r="AG36" s="70">
        <v>0</v>
      </c>
      <c r="AH36" s="70">
        <v>0</v>
      </c>
      <c r="AI36" s="70">
        <v>0</v>
      </c>
      <c r="AJ36" s="70">
        <v>0</v>
      </c>
      <c r="AK36" s="70">
        <v>0</v>
      </c>
      <c r="AL36" s="70">
        <v>0</v>
      </c>
      <c r="AM36" s="70">
        <v>0</v>
      </c>
      <c r="AN36" s="70">
        <v>0</v>
      </c>
      <c r="AO36" s="70">
        <v>0</v>
      </c>
      <c r="AP36" s="70">
        <v>0</v>
      </c>
      <c r="AQ36" s="70">
        <v>0</v>
      </c>
      <c r="AR36" s="70">
        <v>0</v>
      </c>
      <c r="AS36" s="70">
        <v>0</v>
      </c>
      <c r="AT36" s="70">
        <v>0</v>
      </c>
    </row>
    <row r="37" spans="1:46" x14ac:dyDescent="0.2">
      <c r="A37" s="2" t="s">
        <v>52</v>
      </c>
      <c r="B37" s="2" t="str">
        <f>VLOOKUP(A37,'[14]Calculated coal req (reg.)'!$A$2:$B$599,2,FALSE)</f>
        <v>SASAN UMPTPP</v>
      </c>
      <c r="C37" s="2">
        <v>15.3174876476679</v>
      </c>
      <c r="D37" s="2">
        <v>13.464</v>
      </c>
      <c r="H37" t="s">
        <v>905</v>
      </c>
      <c r="I37">
        <f t="shared" ca="1" si="0"/>
        <v>9.7901358194546191</v>
      </c>
      <c r="J37">
        <f t="shared" ca="1" si="1"/>
        <v>0</v>
      </c>
      <c r="L37" s="26" t="s">
        <v>905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0.82572115347844111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0.17427884652155884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0</v>
      </c>
      <c r="AP37" s="70">
        <v>0</v>
      </c>
      <c r="AQ37" s="70">
        <v>0</v>
      </c>
      <c r="AR37" s="70">
        <v>0</v>
      </c>
      <c r="AS37" s="70">
        <v>0</v>
      </c>
      <c r="AT37" s="70">
        <v>0</v>
      </c>
    </row>
    <row r="38" spans="1:46" x14ac:dyDescent="0.2">
      <c r="A38" s="2" t="s">
        <v>56</v>
      </c>
      <c r="B38" s="2" t="str">
        <f>VLOOKUP(A38,'[14]Calculated coal req (reg.)'!$A$2:$B$599,2,FALSE)</f>
        <v>NIGRI TPP</v>
      </c>
      <c r="C38" s="2">
        <v>9.4328214715255996</v>
      </c>
      <c r="D38" s="2">
        <v>13.464</v>
      </c>
      <c r="H38" t="s">
        <v>1099</v>
      </c>
      <c r="I38">
        <f t="shared" ca="1" si="0"/>
        <v>19.251300371294931</v>
      </c>
      <c r="J38">
        <f t="shared" ca="1" si="1"/>
        <v>5.91</v>
      </c>
      <c r="L38" s="26" t="s">
        <v>1099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1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0</v>
      </c>
    </row>
    <row r="39" spans="1:46" x14ac:dyDescent="0.2">
      <c r="A39" s="2" t="s">
        <v>53</v>
      </c>
      <c r="B39" s="2" t="str">
        <f>VLOOKUP(A39,'[14]Calculated coal req (reg.)'!$A$2:$B$599,2,FALSE)</f>
        <v>BARH II</v>
      </c>
      <c r="C39" s="2">
        <v>12.5744592662268</v>
      </c>
      <c r="D39" s="2">
        <v>13.464</v>
      </c>
      <c r="H39" t="s">
        <v>993</v>
      </c>
      <c r="I39">
        <f t="shared" ca="1" si="0"/>
        <v>7.0537783374825596</v>
      </c>
      <c r="J39">
        <f t="shared" ca="1" si="1"/>
        <v>13.464</v>
      </c>
      <c r="L39" s="26" t="s">
        <v>993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1</v>
      </c>
      <c r="AN39" s="70">
        <v>0</v>
      </c>
      <c r="AO39" s="70">
        <v>0</v>
      </c>
      <c r="AP39" s="70">
        <v>0</v>
      </c>
      <c r="AQ39" s="70">
        <v>0</v>
      </c>
      <c r="AR39" s="70">
        <v>0</v>
      </c>
      <c r="AS39" s="70">
        <v>0</v>
      </c>
      <c r="AT39" s="70">
        <v>0</v>
      </c>
    </row>
    <row r="40" spans="1:46" x14ac:dyDescent="0.2">
      <c r="A40" s="2" t="s">
        <v>34</v>
      </c>
      <c r="B40" s="2" t="str">
        <f>VLOOKUP(A40,'[14]Calculated coal req (reg.)'!$A$2:$B$599,2,FALSE)</f>
        <v>KORADI TPS UNIT 8-10</v>
      </c>
      <c r="C40" s="2">
        <v>8.1700420061090799</v>
      </c>
      <c r="D40" s="2">
        <v>13.464</v>
      </c>
      <c r="H40" t="s">
        <v>988</v>
      </c>
      <c r="I40">
        <f t="shared" ca="1" si="0"/>
        <v>9.6809891991582706</v>
      </c>
      <c r="J40">
        <f t="shared" ca="1" si="1"/>
        <v>13.464</v>
      </c>
      <c r="L40" s="26" t="s">
        <v>988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1</v>
      </c>
      <c r="AN40" s="70">
        <v>0</v>
      </c>
      <c r="AO40" s="70">
        <v>0</v>
      </c>
      <c r="AP40" s="70">
        <v>0</v>
      </c>
      <c r="AQ40" s="70">
        <v>0</v>
      </c>
      <c r="AR40" s="70">
        <v>0</v>
      </c>
      <c r="AS40" s="70">
        <v>0</v>
      </c>
      <c r="AT40" s="70">
        <v>0</v>
      </c>
    </row>
    <row r="41" spans="1:46" x14ac:dyDescent="0.2">
      <c r="A41" s="2" t="s">
        <v>59</v>
      </c>
      <c r="B41" s="2" t="str">
        <f>VLOOKUP(A41,'[14]Calculated coal req (reg.)'!$A$2:$B$599,2,FALSE)</f>
        <v>NIGRI TPP</v>
      </c>
      <c r="C41" s="2">
        <v>9.4007889650388101</v>
      </c>
      <c r="D41" s="2">
        <v>13.464</v>
      </c>
      <c r="H41" t="s">
        <v>1117</v>
      </c>
      <c r="I41">
        <f t="shared" ca="1" si="0"/>
        <v>10.135982233601972</v>
      </c>
      <c r="J41">
        <f t="shared" ca="1" si="1"/>
        <v>0</v>
      </c>
      <c r="L41" s="26" t="s">
        <v>1117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0.9051779542863434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0</v>
      </c>
      <c r="AP41" s="70">
        <v>0</v>
      </c>
      <c r="AQ41" s="70">
        <v>0</v>
      </c>
      <c r="AR41" s="70">
        <v>9.4822045713656447E-2</v>
      </c>
      <c r="AS41" s="70">
        <v>0</v>
      </c>
      <c r="AT41" s="70">
        <v>0</v>
      </c>
    </row>
    <row r="42" spans="1:46" x14ac:dyDescent="0.2">
      <c r="A42" s="2" t="s">
        <v>58</v>
      </c>
      <c r="B42" s="2" t="str">
        <f>VLOOKUP(A42,'[14]Calculated coal req (reg.)'!$A$2:$B$599,2,FALSE)</f>
        <v>SASAN UMPTPP</v>
      </c>
      <c r="C42" s="2">
        <v>15.597310825306799</v>
      </c>
      <c r="D42" s="2">
        <v>13.464</v>
      </c>
      <c r="H42" t="s">
        <v>1054</v>
      </c>
      <c r="I42">
        <f t="shared" ca="1" si="0"/>
        <v>14.594635504716789</v>
      </c>
      <c r="J42">
        <f t="shared" ca="1" si="1"/>
        <v>19.404</v>
      </c>
      <c r="L42" s="26" t="s">
        <v>1054</v>
      </c>
      <c r="M42" s="70">
        <v>0</v>
      </c>
      <c r="N42" s="70">
        <v>0</v>
      </c>
      <c r="O42" s="70">
        <v>0</v>
      </c>
      <c r="P42" s="70">
        <v>0</v>
      </c>
      <c r="Q42" s="70">
        <v>1.8814916844894552E-4</v>
      </c>
      <c r="R42" s="70">
        <v>0</v>
      </c>
      <c r="S42" s="70">
        <v>0</v>
      </c>
      <c r="T42" s="70">
        <v>0</v>
      </c>
      <c r="U42" s="70">
        <v>0.81467907789501981</v>
      </c>
      <c r="V42" s="70">
        <v>0</v>
      </c>
      <c r="W42" s="70">
        <v>0</v>
      </c>
      <c r="X42" s="70">
        <v>0</v>
      </c>
      <c r="Y42" s="70">
        <v>2.1559121975459564E-2</v>
      </c>
      <c r="Z42" s="70">
        <v>3.1788161604037585E-3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7.6069578473771226E-3</v>
      </c>
      <c r="AM42" s="70">
        <v>5.775379479943845E-2</v>
      </c>
      <c r="AN42" s="70">
        <v>0</v>
      </c>
      <c r="AO42" s="70">
        <v>0</v>
      </c>
      <c r="AP42" s="70">
        <v>0</v>
      </c>
      <c r="AQ42" s="70">
        <v>0</v>
      </c>
      <c r="AR42" s="70">
        <v>9.0982749499953303E-2</v>
      </c>
      <c r="AS42" s="70">
        <v>4.0513326538991999E-3</v>
      </c>
      <c r="AT42" s="70">
        <v>0</v>
      </c>
    </row>
    <row r="43" spans="1:46" x14ac:dyDescent="0.2">
      <c r="A43" s="2" t="s">
        <v>61</v>
      </c>
      <c r="B43" s="2" t="str">
        <f>VLOOKUP(A43,'[14]Calculated coal req (reg.)'!$A$2:$B$599,2,FALSE)</f>
        <v>SASAN UMPTPP</v>
      </c>
      <c r="C43" s="2">
        <v>14.7629499536607</v>
      </c>
      <c r="D43" s="2">
        <v>13.464</v>
      </c>
      <c r="H43" t="s">
        <v>1118</v>
      </c>
      <c r="I43">
        <f t="shared" ca="1" si="0"/>
        <v>9.3111879369294002</v>
      </c>
      <c r="J43">
        <f t="shared" ca="1" si="1"/>
        <v>0</v>
      </c>
      <c r="L43" s="26" t="s">
        <v>1118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1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0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</row>
    <row r="44" spans="1:46" x14ac:dyDescent="0.2">
      <c r="A44" s="2" t="s">
        <v>63</v>
      </c>
      <c r="B44" s="2" t="str">
        <f>VLOOKUP(A44,'[14]Calculated coal req (reg.)'!$A$2:$B$599,2,FALSE)</f>
        <v>SASAN UMPTPP</v>
      </c>
      <c r="C44" s="2">
        <v>14.4964427562798</v>
      </c>
      <c r="D44" s="2">
        <v>13.464</v>
      </c>
      <c r="H44" t="s">
        <v>982</v>
      </c>
      <c r="I44">
        <f t="shared" ca="1" si="0"/>
        <v>17.732453774718099</v>
      </c>
      <c r="J44">
        <f t="shared" ca="1" si="1"/>
        <v>32.64</v>
      </c>
      <c r="L44" s="26" t="s">
        <v>982</v>
      </c>
      <c r="M44" s="70">
        <v>1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</row>
    <row r="45" spans="1:46" x14ac:dyDescent="0.2">
      <c r="A45" s="2" t="s">
        <v>41</v>
      </c>
      <c r="B45" s="2" t="str">
        <f>VLOOKUP(A45,'[14]Calculated coal req (reg.)'!$A$2:$B$599,2,FALSE)</f>
        <v>KORADI TPS UNIT 8-10</v>
      </c>
      <c r="C45" s="2">
        <v>7.3356619453713998</v>
      </c>
      <c r="D45" s="2">
        <v>13.464</v>
      </c>
      <c r="H45" t="s">
        <v>975</v>
      </c>
      <c r="I45">
        <f t="shared" ca="1" si="0"/>
        <v>0.112473118279569</v>
      </c>
      <c r="J45">
        <f t="shared" ca="1" si="1"/>
        <v>16.32</v>
      </c>
      <c r="L45" s="26" t="s">
        <v>975</v>
      </c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</row>
    <row r="46" spans="1:46" x14ac:dyDescent="0.2">
      <c r="A46" s="2" t="s">
        <v>65</v>
      </c>
      <c r="B46" s="2" t="str">
        <f>VLOOKUP(A46,'[14]Calculated coal req (reg.)'!$A$2:$B$599,2,FALSE)</f>
        <v>SASAN UMPTPP</v>
      </c>
      <c r="C46" s="2">
        <v>15.2138026165102</v>
      </c>
      <c r="D46" s="2">
        <v>13.464</v>
      </c>
      <c r="H46" t="s">
        <v>1017</v>
      </c>
      <c r="I46">
        <f t="shared" ca="1" si="0"/>
        <v>12.040159884459431</v>
      </c>
      <c r="J46">
        <f t="shared" ca="1" si="1"/>
        <v>24.48</v>
      </c>
      <c r="L46" s="26" t="s">
        <v>1017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1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</row>
    <row r="47" spans="1:46" x14ac:dyDescent="0.2">
      <c r="A47" s="2" t="s">
        <v>37</v>
      </c>
      <c r="B47" s="2" t="str">
        <f>VLOOKUP(A47,'[14]Calculated coal req (reg.)'!$A$2:$B$599,2,FALSE)</f>
        <v>RAJPURA TPS</v>
      </c>
      <c r="C47" s="2">
        <v>12.553751259890999</v>
      </c>
      <c r="D47" s="2">
        <v>14.28</v>
      </c>
      <c r="H47" t="s">
        <v>1078</v>
      </c>
      <c r="I47">
        <f t="shared" ca="1" si="0"/>
        <v>8.2402084401681908</v>
      </c>
      <c r="J47">
        <f t="shared" ca="1" si="1"/>
        <v>9.6660000000000004</v>
      </c>
      <c r="L47" s="26" t="s">
        <v>1078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0.36099012841186823</v>
      </c>
      <c r="AP47" s="70">
        <v>0</v>
      </c>
      <c r="AQ47" s="70">
        <v>0</v>
      </c>
      <c r="AR47" s="70">
        <v>0.63900987158813183</v>
      </c>
      <c r="AS47" s="70">
        <v>0</v>
      </c>
      <c r="AT47" s="70">
        <v>0</v>
      </c>
    </row>
    <row r="48" spans="1:46" x14ac:dyDescent="0.2">
      <c r="A48" s="2" t="s">
        <v>67</v>
      </c>
      <c r="B48" s="2" t="str">
        <f>VLOOKUP(A48,'[14]Calculated coal req (reg.)'!$A$2:$B$599,2,FALSE)</f>
        <v>BARH II</v>
      </c>
      <c r="C48" s="2">
        <v>12.1776629759299</v>
      </c>
      <c r="D48" s="2">
        <v>13.464</v>
      </c>
      <c r="H48" t="s">
        <v>1119</v>
      </c>
      <c r="I48">
        <f t="shared" ca="1" si="0"/>
        <v>21.407231980458221</v>
      </c>
      <c r="J48">
        <f t="shared" ca="1" si="1"/>
        <v>0</v>
      </c>
      <c r="L48" s="26" t="s">
        <v>1119</v>
      </c>
      <c r="M48" s="70">
        <v>1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</row>
    <row r="49" spans="1:46" x14ac:dyDescent="0.2">
      <c r="A49" s="2" t="s">
        <v>46</v>
      </c>
      <c r="B49" s="2" t="str">
        <f>VLOOKUP(A49,'[14]Calculated coal req (reg.)'!$A$2:$B$599,2,FALSE)</f>
        <v>RAJPURA TPS</v>
      </c>
      <c r="C49" s="2">
        <v>12.5968725721872</v>
      </c>
      <c r="D49" s="2">
        <v>14.28</v>
      </c>
      <c r="H49" t="s">
        <v>1055</v>
      </c>
      <c r="I49">
        <f t="shared" ca="1" si="0"/>
        <v>8.6369523220031095</v>
      </c>
      <c r="J49">
        <f t="shared" ca="1" si="1"/>
        <v>9.6</v>
      </c>
      <c r="L49" s="26" t="s">
        <v>1055</v>
      </c>
      <c r="M49" s="70">
        <v>1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</row>
    <row r="50" spans="1:46" x14ac:dyDescent="0.2">
      <c r="A50" s="2" t="s">
        <v>57</v>
      </c>
      <c r="B50" s="2" t="str">
        <f>VLOOKUP(A50,'[14]Calculated coal req (reg.)'!$A$2:$B$599,2,FALSE)</f>
        <v>TIRORA TPS UNIT 1,4-5</v>
      </c>
      <c r="C50" s="2">
        <v>11.562372339807499</v>
      </c>
      <c r="D50" s="2">
        <v>13.464</v>
      </c>
      <c r="H50" t="s">
        <v>1120</v>
      </c>
      <c r="I50">
        <f t="shared" ca="1" si="0"/>
        <v>10.668340499496789</v>
      </c>
      <c r="J50">
        <f t="shared" ca="1" si="1"/>
        <v>0</v>
      </c>
      <c r="L50" s="26" t="s">
        <v>1120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1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</row>
    <row r="51" spans="1:46" x14ac:dyDescent="0.2">
      <c r="A51" s="2" t="s">
        <v>76</v>
      </c>
      <c r="B51" s="2" t="str">
        <f>VLOOKUP(A51,'[14]Calculated coal req (reg.)'!$A$2:$B$599,2,FALSE)</f>
        <v>SASAN UMPTPP</v>
      </c>
      <c r="C51" s="2">
        <v>15.159753460494001</v>
      </c>
      <c r="D51" s="2">
        <v>13.464</v>
      </c>
      <c r="H51" t="s">
        <v>1042</v>
      </c>
      <c r="I51">
        <f t="shared" ca="1" si="0"/>
        <v>17.591184609177738</v>
      </c>
      <c r="J51">
        <f t="shared" ca="1" si="1"/>
        <v>20.399999999999999</v>
      </c>
      <c r="L51" s="26" t="s">
        <v>1042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0</v>
      </c>
      <c r="AA51" s="70">
        <v>0</v>
      </c>
      <c r="AB51" s="70">
        <v>0</v>
      </c>
      <c r="AC51" s="70">
        <v>0</v>
      </c>
      <c r="AD51" s="70">
        <v>0</v>
      </c>
      <c r="AE51" s="70">
        <v>0</v>
      </c>
      <c r="AF51" s="70">
        <v>0</v>
      </c>
      <c r="AG51" s="70">
        <v>0</v>
      </c>
      <c r="AH51" s="70">
        <v>0</v>
      </c>
      <c r="AI51" s="70">
        <v>0</v>
      </c>
      <c r="AJ51" s="70">
        <v>0</v>
      </c>
      <c r="AK51" s="70">
        <v>0</v>
      </c>
      <c r="AL51" s="70">
        <v>1</v>
      </c>
      <c r="AM51" s="70">
        <v>0</v>
      </c>
      <c r="AN51" s="70">
        <v>0</v>
      </c>
      <c r="AO51" s="70">
        <v>0</v>
      </c>
      <c r="AP51" s="70">
        <v>0</v>
      </c>
      <c r="AQ51" s="70">
        <v>0</v>
      </c>
      <c r="AR51" s="70">
        <v>0</v>
      </c>
      <c r="AS51" s="70">
        <v>0</v>
      </c>
      <c r="AT51" s="70">
        <v>0</v>
      </c>
    </row>
    <row r="52" spans="1:46" x14ac:dyDescent="0.2">
      <c r="A52" s="2" t="s">
        <v>54</v>
      </c>
      <c r="B52" s="2" t="str">
        <f>VLOOKUP(A52,'[14]Calculated coal req (reg.)'!$A$2:$B$599,2,FALSE)</f>
        <v>KORADI TPS UNIT 8-10</v>
      </c>
      <c r="C52" s="2">
        <v>7.4267589461921304</v>
      </c>
      <c r="D52" s="2">
        <v>13.464</v>
      </c>
      <c r="H52" t="s">
        <v>1121</v>
      </c>
      <c r="I52">
        <f t="shared" ca="1" si="0"/>
        <v>2.17334714479933</v>
      </c>
      <c r="J52">
        <f t="shared" ca="1" si="1"/>
        <v>0</v>
      </c>
      <c r="L52" s="26" t="s">
        <v>1121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1</v>
      </c>
    </row>
    <row r="53" spans="1:46" x14ac:dyDescent="0.2">
      <c r="A53" s="2" t="s">
        <v>64</v>
      </c>
      <c r="B53" s="2" t="str">
        <f>VLOOKUP(A53,'[14]Calculated coal req (reg.)'!$A$2:$B$599,2,FALSE)</f>
        <v>TIRORA TPS UNIT 1,4-5</v>
      </c>
      <c r="C53" s="2">
        <v>11.0752459739358</v>
      </c>
      <c r="D53" s="2">
        <v>13.464</v>
      </c>
      <c r="H53" t="s">
        <v>1082</v>
      </c>
      <c r="I53">
        <f t="shared" ca="1" si="0"/>
        <v>29.683124109586</v>
      </c>
      <c r="J53">
        <f t="shared" ca="1" si="1"/>
        <v>11.82</v>
      </c>
      <c r="L53" s="26" t="s">
        <v>1082</v>
      </c>
      <c r="M53" s="70">
        <v>0</v>
      </c>
      <c r="N53" s="70">
        <v>3.1242650690674169E-3</v>
      </c>
      <c r="O53" s="70">
        <v>3.3502520004732972E-2</v>
      </c>
      <c r="P53" s="70">
        <v>0.456202078224131</v>
      </c>
      <c r="Q53" s="70">
        <v>0</v>
      </c>
      <c r="R53" s="70">
        <v>0</v>
      </c>
      <c r="S53" s="70">
        <v>0</v>
      </c>
      <c r="T53" s="70">
        <v>0</v>
      </c>
      <c r="U53" s="70">
        <v>1.8470070218791379E-2</v>
      </c>
      <c r="V53" s="70">
        <v>0</v>
      </c>
      <c r="W53" s="70">
        <v>0</v>
      </c>
      <c r="X53" s="70">
        <v>9.1113125431686939E-3</v>
      </c>
      <c r="Y53" s="70">
        <v>0</v>
      </c>
      <c r="Z53" s="70">
        <v>1.3861095478057106E-2</v>
      </c>
      <c r="AA53" s="70">
        <v>0.1342037528745566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2.4785808024798987E-3</v>
      </c>
      <c r="AI53" s="70">
        <v>7.7116434048733959E-3</v>
      </c>
      <c r="AJ53" s="70">
        <v>0.21814684757325595</v>
      </c>
      <c r="AK53" s="70">
        <v>0</v>
      </c>
      <c r="AL53" s="70">
        <v>9.8448993395717933E-3</v>
      </c>
      <c r="AM53" s="70">
        <v>8.0644830529070077E-3</v>
      </c>
      <c r="AN53" s="70">
        <v>2.3434116420032295E-2</v>
      </c>
      <c r="AO53" s="70">
        <v>2.532384257841366E-2</v>
      </c>
      <c r="AP53" s="70">
        <v>1.2042631022421165E-2</v>
      </c>
      <c r="AQ53" s="70">
        <v>0</v>
      </c>
      <c r="AR53" s="70">
        <v>2.4477861393539795E-2</v>
      </c>
      <c r="AS53" s="70">
        <v>0</v>
      </c>
      <c r="AT53" s="70">
        <v>0</v>
      </c>
    </row>
    <row r="54" spans="1:46" x14ac:dyDescent="0.2">
      <c r="A54" s="2" t="s">
        <v>85</v>
      </c>
      <c r="B54" s="2" t="str">
        <f>VLOOKUP(A54,'[14]Calculated coal req (reg.)'!$A$2:$B$599,2,FALSE)</f>
        <v>SIPAT STPS UNIT 1-3</v>
      </c>
      <c r="C54" s="2">
        <v>13.421149081872199</v>
      </c>
      <c r="D54" s="2">
        <v>13.464</v>
      </c>
      <c r="H54" t="s">
        <v>1049</v>
      </c>
      <c r="I54">
        <f t="shared" ca="1" si="0"/>
        <v>8.6964591009410803</v>
      </c>
      <c r="J54">
        <f t="shared" ca="1" si="1"/>
        <v>10.199999999999999</v>
      </c>
      <c r="L54" s="26" t="s">
        <v>1049</v>
      </c>
      <c r="M54" s="70">
        <v>0</v>
      </c>
      <c r="N54" s="70">
        <v>0</v>
      </c>
      <c r="O54" s="70">
        <v>5.278901665799308E-3</v>
      </c>
      <c r="P54" s="70">
        <v>0.4644898163237316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0.25943191580695679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0.25892259641317567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1.1876769790336455E-2</v>
      </c>
      <c r="AQ54" s="70">
        <v>0</v>
      </c>
      <c r="AR54" s="70">
        <v>0</v>
      </c>
      <c r="AS54" s="70">
        <v>0</v>
      </c>
      <c r="AT54" s="70">
        <v>0</v>
      </c>
    </row>
    <row r="55" spans="1:46" x14ac:dyDescent="0.2">
      <c r="A55" s="2" t="s">
        <v>92</v>
      </c>
      <c r="B55" s="2" t="str">
        <f>VLOOKUP(A55,'[14]Calculated coal req (reg.)'!$A$2:$B$599,2,FALSE)</f>
        <v>MAHATMA GANDHI TPS</v>
      </c>
      <c r="C55" s="2">
        <v>9.2948723239225206</v>
      </c>
      <c r="D55" s="2">
        <v>13.464</v>
      </c>
      <c r="H55" t="s">
        <v>976</v>
      </c>
      <c r="I55">
        <f t="shared" ca="1" si="0"/>
        <v>3.3010052439218098</v>
      </c>
      <c r="J55">
        <f t="shared" ca="1" si="1"/>
        <v>16.32</v>
      </c>
      <c r="L55" s="26" t="s">
        <v>976</v>
      </c>
      <c r="M55" s="70">
        <v>7.3915011941334999E-2</v>
      </c>
      <c r="N55" s="70">
        <v>0</v>
      </c>
      <c r="O55" s="70">
        <v>0</v>
      </c>
      <c r="P55" s="70">
        <v>0</v>
      </c>
      <c r="Q55" s="70">
        <v>0</v>
      </c>
      <c r="R55" s="70">
        <v>0.16287779574598008</v>
      </c>
      <c r="S55" s="70">
        <v>0.12650279916906609</v>
      </c>
      <c r="T55" s="70">
        <v>4.3361639332104268E-2</v>
      </c>
      <c r="U55" s="70">
        <v>0</v>
      </c>
      <c r="V55" s="70">
        <v>2.5440794408032878E-2</v>
      </c>
      <c r="W55" s="70">
        <v>0.47733068597937417</v>
      </c>
      <c r="X55" s="70">
        <v>0</v>
      </c>
      <c r="Y55" s="70">
        <v>0</v>
      </c>
      <c r="Z55" s="70">
        <v>0</v>
      </c>
      <c r="AA55" s="70">
        <v>0</v>
      </c>
      <c r="AB55" s="70">
        <v>0</v>
      </c>
      <c r="AC55" s="70">
        <v>0</v>
      </c>
      <c r="AD55" s="70">
        <v>0</v>
      </c>
      <c r="AE55" s="70">
        <v>7.1960384973244279E-2</v>
      </c>
      <c r="AF55" s="70">
        <v>0</v>
      </c>
      <c r="AG55" s="70">
        <v>0</v>
      </c>
      <c r="AH55" s="70">
        <v>0</v>
      </c>
      <c r="AI55" s="70">
        <v>0</v>
      </c>
      <c r="AJ55" s="70">
        <v>0</v>
      </c>
      <c r="AK55" s="70">
        <v>0</v>
      </c>
      <c r="AL55" s="70">
        <v>0</v>
      </c>
      <c r="AM55" s="70">
        <v>0</v>
      </c>
      <c r="AN55" s="70">
        <v>0</v>
      </c>
      <c r="AO55" s="70">
        <v>0</v>
      </c>
      <c r="AP55" s="70">
        <v>1.8610888450863235E-2</v>
      </c>
      <c r="AQ55" s="70">
        <v>0</v>
      </c>
      <c r="AR55" s="70">
        <v>0</v>
      </c>
      <c r="AS55" s="70">
        <v>0</v>
      </c>
      <c r="AT55" s="70">
        <v>0</v>
      </c>
    </row>
    <row r="56" spans="1:46" x14ac:dyDescent="0.2">
      <c r="A56" s="2" t="s">
        <v>90</v>
      </c>
      <c r="B56" s="2" t="str">
        <f>VLOOKUP(A56,'[14]Calculated coal req (reg.)'!$A$2:$B$599,2,FALSE)</f>
        <v>SIPAT STPS UNIT 1-3</v>
      </c>
      <c r="C56" s="2">
        <v>14.0907449511803</v>
      </c>
      <c r="D56" s="2">
        <v>13.464</v>
      </c>
      <c r="H56" t="s">
        <v>1122</v>
      </c>
      <c r="I56">
        <f t="shared" ca="1" si="0"/>
        <v>4.9578403548745804</v>
      </c>
      <c r="J56">
        <f t="shared" ca="1" si="1"/>
        <v>0</v>
      </c>
      <c r="L56" s="26" t="s">
        <v>1122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1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</row>
    <row r="57" spans="1:46" x14ac:dyDescent="0.2">
      <c r="A57" s="2" t="s">
        <v>73</v>
      </c>
      <c r="B57" s="2" t="str">
        <f>VLOOKUP(A57,'[14]Calculated coal req (reg.)'!$A$2:$B$599,2,FALSE)</f>
        <v>TIRORA TPS UNIT 2-3</v>
      </c>
      <c r="C57" s="2">
        <v>12.1061020507795</v>
      </c>
      <c r="D57" s="2">
        <v>13.464</v>
      </c>
      <c r="H57" t="s">
        <v>1123</v>
      </c>
      <c r="I57">
        <f t="shared" ca="1" si="0"/>
        <v>3.7000039391210602</v>
      </c>
      <c r="J57">
        <f t="shared" ca="1" si="1"/>
        <v>0</v>
      </c>
      <c r="L57" s="26" t="s">
        <v>1123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1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0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0</v>
      </c>
      <c r="AO57" s="70">
        <v>0</v>
      </c>
      <c r="AP57" s="70">
        <v>0</v>
      </c>
      <c r="AQ57" s="70">
        <v>0</v>
      </c>
      <c r="AR57" s="70">
        <v>0</v>
      </c>
      <c r="AS57" s="70">
        <v>0</v>
      </c>
      <c r="AT57" s="70">
        <v>0</v>
      </c>
    </row>
    <row r="58" spans="1:46" x14ac:dyDescent="0.2">
      <c r="A58" s="2" t="s">
        <v>96</v>
      </c>
      <c r="B58" s="2" t="str">
        <f>VLOOKUP(A58,'[14]Calculated coal req (reg.)'!$A$2:$B$599,2,FALSE)</f>
        <v>MAHATMA GANDHI TPS</v>
      </c>
      <c r="C58" s="2">
        <v>9.7315668811907408</v>
      </c>
      <c r="D58" s="2">
        <v>13.464</v>
      </c>
      <c r="H58" t="s">
        <v>1124</v>
      </c>
      <c r="I58">
        <f t="shared" ca="1" si="0"/>
        <v>5.3764719607323697</v>
      </c>
      <c r="J58">
        <f t="shared" ca="1" si="1"/>
        <v>0</v>
      </c>
      <c r="L58" s="26" t="s">
        <v>1124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1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</row>
    <row r="59" spans="1:46" x14ac:dyDescent="0.2">
      <c r="A59" s="2" t="s">
        <v>79</v>
      </c>
      <c r="B59" s="2" t="str">
        <f>VLOOKUP(A59,'[14]Calculated coal req (reg.)'!$A$2:$B$599,2,FALSE)</f>
        <v>TIRORA TPS UNIT 2-3</v>
      </c>
      <c r="C59" s="2">
        <v>10.8651856330667</v>
      </c>
      <c r="D59" s="2">
        <v>13.464</v>
      </c>
      <c r="H59" t="s">
        <v>1187</v>
      </c>
      <c r="I59">
        <f t="shared" ca="1" si="0"/>
        <v>0</v>
      </c>
      <c r="J59">
        <f t="shared" ca="1" si="1"/>
        <v>0</v>
      </c>
      <c r="L59" s="26" t="s">
        <v>1187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0.38145954751751787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0.3673712190328749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0.25116923344960729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</row>
    <row r="60" spans="1:46" x14ac:dyDescent="0.2">
      <c r="A60" s="2" t="s">
        <v>100</v>
      </c>
      <c r="B60" s="2" t="str">
        <f>VLOOKUP(A60,'[14]Calculated coal req (reg.)'!$A$2:$B$599,2,FALSE)</f>
        <v>SIPAT STPS UNIT 1-3</v>
      </c>
      <c r="C60" s="2">
        <v>14.174446174762</v>
      </c>
      <c r="D60" s="2">
        <v>13.464</v>
      </c>
      <c r="H60" t="s">
        <v>1091</v>
      </c>
      <c r="I60">
        <f t="shared" ca="1" si="0"/>
        <v>5.2526222818606501</v>
      </c>
      <c r="J60">
        <f t="shared" ca="1" si="1"/>
        <v>6.3828000000000005</v>
      </c>
      <c r="L60" s="26" t="s">
        <v>1091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1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</row>
    <row r="61" spans="1:46" x14ac:dyDescent="0.2">
      <c r="A61" s="2" t="s">
        <v>42</v>
      </c>
      <c r="B61" s="2" t="str">
        <f>VLOOKUP(A61,'[14]Calculated coal req (reg.)'!$A$2:$B$599,2,FALSE)</f>
        <v>TALWANDI SABO TPS</v>
      </c>
      <c r="C61" s="2">
        <v>8.9884295209845106</v>
      </c>
      <c r="D61" s="2">
        <v>13.464</v>
      </c>
      <c r="H61" t="s">
        <v>1077</v>
      </c>
      <c r="I61">
        <f t="shared" ca="1" si="0"/>
        <v>12.41228395790319</v>
      </c>
      <c r="J61">
        <f t="shared" ca="1" si="1"/>
        <v>12.24</v>
      </c>
      <c r="L61" s="26" t="s">
        <v>1077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1</v>
      </c>
    </row>
    <row r="62" spans="1:46" x14ac:dyDescent="0.2">
      <c r="A62" s="2" t="s">
        <v>44</v>
      </c>
      <c r="B62" s="2"/>
      <c r="C62" s="2">
        <v>4.7245915293662799</v>
      </c>
      <c r="D62" s="2">
        <v>12.24</v>
      </c>
      <c r="H62" t="s">
        <v>1125</v>
      </c>
      <c r="I62">
        <f t="shared" ca="1" si="0"/>
        <v>0.53117556109963404</v>
      </c>
      <c r="J62">
        <f t="shared" ca="1" si="1"/>
        <v>0</v>
      </c>
      <c r="L62" s="26" t="s">
        <v>1125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1</v>
      </c>
      <c r="AS62" s="70">
        <v>0</v>
      </c>
      <c r="AT62" s="70">
        <v>0</v>
      </c>
    </row>
    <row r="63" spans="1:46" x14ac:dyDescent="0.2">
      <c r="A63" s="2" t="s">
        <v>83</v>
      </c>
      <c r="B63" s="2" t="str">
        <f>VLOOKUP(A63,'[14]Calculated coal req (reg.)'!$A$2:$B$599,2,FALSE)</f>
        <v>TIRORA TPS UNIT 1,4-5</v>
      </c>
      <c r="C63" s="2">
        <v>12.018567155746201</v>
      </c>
      <c r="D63" s="2">
        <v>13.464</v>
      </c>
      <c r="H63" t="s">
        <v>1104</v>
      </c>
      <c r="I63">
        <f t="shared" ca="1" si="0"/>
        <v>8.5595985956177003</v>
      </c>
      <c r="J63">
        <f t="shared" ca="1" si="1"/>
        <v>5.91</v>
      </c>
      <c r="L63" s="26" t="s">
        <v>1104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1</v>
      </c>
      <c r="AS63" s="70">
        <v>0</v>
      </c>
      <c r="AT63" s="70">
        <v>0</v>
      </c>
    </row>
    <row r="64" spans="1:46" x14ac:dyDescent="0.2">
      <c r="A64" s="2" t="s">
        <v>47</v>
      </c>
      <c r="B64" s="2" t="str">
        <f>VLOOKUP(A64,'[14]Calculated coal req (reg.)'!$A$2:$B$599,2,FALSE)</f>
        <v>TALWANDI SABO TPS</v>
      </c>
      <c r="C64" s="2">
        <v>9.1095079596889494</v>
      </c>
      <c r="D64" s="2">
        <v>13.464</v>
      </c>
      <c r="H64" t="s">
        <v>1126</v>
      </c>
      <c r="I64">
        <f t="shared" ca="1" si="0"/>
        <v>7.6650460410867698</v>
      </c>
      <c r="J64">
        <f t="shared" ca="1" si="1"/>
        <v>0</v>
      </c>
      <c r="L64" s="26" t="s">
        <v>1126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1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</row>
    <row r="65" spans="1:46" x14ac:dyDescent="0.2">
      <c r="A65" s="2" t="s">
        <v>50</v>
      </c>
      <c r="B65" s="2" t="str">
        <f>VLOOKUP(A65,'[14]Calculated coal req (reg.)'!$A$2:$B$599,2,FALSE)</f>
        <v>RAYALSEEMA TPS UNIT 6</v>
      </c>
      <c r="C65" s="2">
        <v>4.7878847650387497</v>
      </c>
      <c r="D65" s="2">
        <v>12.24</v>
      </c>
      <c r="H65" t="s">
        <v>986</v>
      </c>
      <c r="I65">
        <f t="shared" ca="1" si="0"/>
        <v>15.231579784416541</v>
      </c>
      <c r="J65">
        <f t="shared" ca="1" si="1"/>
        <v>26.928000000000001</v>
      </c>
      <c r="L65" s="26" t="s">
        <v>986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1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</row>
    <row r="66" spans="1:46" x14ac:dyDescent="0.2">
      <c r="A66" s="2" t="s">
        <v>60</v>
      </c>
      <c r="B66" s="2" t="str">
        <f>VLOOKUP(A66,'[14]Calculated coal req (reg.)'!$A$2:$B$599,2,FALSE)</f>
        <v>TALWANDI SABO TPS</v>
      </c>
      <c r="C66" s="2">
        <v>9.5504584766483909</v>
      </c>
      <c r="D66" s="2">
        <v>13.464</v>
      </c>
      <c r="H66" t="s">
        <v>1044</v>
      </c>
      <c r="I66">
        <f t="shared" ca="1" si="0"/>
        <v>16.836731509027189</v>
      </c>
      <c r="J66">
        <f t="shared" ca="1" si="1"/>
        <v>30.599999999999998</v>
      </c>
      <c r="L66" s="26" t="s">
        <v>1044</v>
      </c>
      <c r="M66" s="70">
        <v>0</v>
      </c>
      <c r="N66" s="70">
        <v>0</v>
      </c>
      <c r="O66" s="70">
        <v>0</v>
      </c>
      <c r="P66" s="70">
        <v>0</v>
      </c>
      <c r="Q66" s="70">
        <v>7.7923360164773353E-4</v>
      </c>
      <c r="R66" s="70">
        <v>0</v>
      </c>
      <c r="S66" s="70">
        <v>0</v>
      </c>
      <c r="T66" s="70">
        <v>0</v>
      </c>
      <c r="U66" s="70">
        <v>0.39336321511005345</v>
      </c>
      <c r="V66" s="70">
        <v>0</v>
      </c>
      <c r="W66" s="70">
        <v>0</v>
      </c>
      <c r="X66" s="70">
        <v>0.53264142849200391</v>
      </c>
      <c r="Y66" s="70">
        <v>0</v>
      </c>
      <c r="Z66" s="70">
        <v>3.9517846926158437E-2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5.9541097026080845E-3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2.1256586530367837E-2</v>
      </c>
      <c r="AS66" s="70">
        <v>6.4875796371607272E-3</v>
      </c>
      <c r="AT66" s="70">
        <v>0</v>
      </c>
    </row>
    <row r="67" spans="1:46" x14ac:dyDescent="0.2">
      <c r="A67" s="2" t="s">
        <v>62</v>
      </c>
      <c r="B67" s="2" t="str">
        <f>VLOOKUP(A67,'[14]Calculated coal req (reg.)'!$A$2:$B$599,2,FALSE)</f>
        <v>SINGARENI TPP</v>
      </c>
      <c r="C67" s="2">
        <v>12.4542142300969</v>
      </c>
      <c r="D67" s="2">
        <v>12.24</v>
      </c>
      <c r="H67" t="s">
        <v>1068</v>
      </c>
      <c r="I67">
        <f t="shared" ref="I67:I130" ca="1" si="2">SUMIF($B$2:$C$542,H67,$C$2:$C$542)</f>
        <v>8.5593640587168807</v>
      </c>
      <c r="J67">
        <f t="shared" ref="J67:J130" ca="1" si="3">SUMIF($B$2:$D$542,H67,$D$2:$D$542)</f>
        <v>12.24</v>
      </c>
      <c r="L67" s="26" t="s">
        <v>1068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1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</row>
    <row r="68" spans="1:46" x14ac:dyDescent="0.2">
      <c r="A68" s="2" t="s">
        <v>66</v>
      </c>
      <c r="B68" s="2" t="str">
        <f>VLOOKUP(A68,'[14]Calculated coal req (reg.)'!$A$2:$B$599,2,FALSE)</f>
        <v>KAWAI TPS</v>
      </c>
      <c r="C68" s="2">
        <v>9.4914593964278406</v>
      </c>
      <c r="D68" s="2">
        <v>13.464</v>
      </c>
      <c r="H68" t="s">
        <v>1065</v>
      </c>
      <c r="I68">
        <f t="shared" ca="1" si="2"/>
        <v>8.8881905865423594</v>
      </c>
      <c r="J68">
        <f t="shared" ca="1" si="3"/>
        <v>12.24</v>
      </c>
      <c r="L68" s="26" t="s">
        <v>1065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1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</row>
    <row r="69" spans="1:46" x14ac:dyDescent="0.2">
      <c r="A69" s="2" t="s">
        <v>51</v>
      </c>
      <c r="B69" s="2" t="str">
        <f>VLOOKUP(A69,'[14]Calculated coal req (reg.)'!$A$2:$B$599,2,FALSE)</f>
        <v>AKALTARA TPS</v>
      </c>
      <c r="C69" s="2">
        <v>9.1471877322380895</v>
      </c>
      <c r="D69" s="2">
        <v>12.24</v>
      </c>
      <c r="H69" t="s">
        <v>1188</v>
      </c>
      <c r="I69">
        <f t="shared" ca="1" si="2"/>
        <v>0</v>
      </c>
      <c r="J69">
        <f t="shared" ca="1" si="3"/>
        <v>0</v>
      </c>
      <c r="L69" s="26" t="s">
        <v>1188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70">
        <v>0</v>
      </c>
      <c r="V69" s="70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0</v>
      </c>
      <c r="AF69" s="70">
        <v>0</v>
      </c>
      <c r="AG69" s="70">
        <v>0</v>
      </c>
      <c r="AH69" s="70">
        <v>0</v>
      </c>
      <c r="AI69" s="70">
        <v>0</v>
      </c>
      <c r="AJ69" s="70">
        <v>0</v>
      </c>
      <c r="AK69" s="70">
        <v>0</v>
      </c>
      <c r="AL69" s="70">
        <v>0</v>
      </c>
      <c r="AM69" s="70">
        <v>1</v>
      </c>
      <c r="AN69" s="70">
        <v>0</v>
      </c>
      <c r="AO69" s="70">
        <v>0</v>
      </c>
      <c r="AP69" s="70">
        <v>0</v>
      </c>
      <c r="AQ69" s="70">
        <v>0</v>
      </c>
      <c r="AR69" s="70">
        <v>0</v>
      </c>
      <c r="AS69" s="70">
        <v>0</v>
      </c>
      <c r="AT69" s="70">
        <v>0</v>
      </c>
    </row>
    <row r="70" spans="1:46" x14ac:dyDescent="0.2">
      <c r="A70" s="2" t="s">
        <v>77</v>
      </c>
      <c r="B70" s="2" t="str">
        <f>VLOOKUP(A70,'[14]Calculated coal req (reg.)'!$A$2:$B$599,2,FALSE)</f>
        <v>KAWAI TPS</v>
      </c>
      <c r="C70" s="2">
        <v>9.4372354492646107</v>
      </c>
      <c r="D70" s="2">
        <v>13.464</v>
      </c>
      <c r="H70" t="s">
        <v>1127</v>
      </c>
      <c r="I70">
        <f t="shared" ca="1" si="2"/>
        <v>6.0338102095005697</v>
      </c>
      <c r="J70">
        <f t="shared" ca="1" si="3"/>
        <v>0</v>
      </c>
      <c r="L70" s="26" t="s">
        <v>1127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1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</row>
    <row r="71" spans="1:46" x14ac:dyDescent="0.2">
      <c r="A71" s="2" t="s">
        <v>70</v>
      </c>
      <c r="B71" s="2" t="str">
        <f>VLOOKUP(A71,'[14]Calculated coal req (reg.)'!$A$2:$B$599,2,FALSE)</f>
        <v>ANPARA - D</v>
      </c>
      <c r="C71" s="2">
        <v>7.2684389789360297</v>
      </c>
      <c r="D71" s="2">
        <v>12.24</v>
      </c>
      <c r="H71" t="s">
        <v>1128</v>
      </c>
      <c r="I71">
        <f t="shared" ca="1" si="2"/>
        <v>16.353373380902809</v>
      </c>
      <c r="J71">
        <f t="shared" ca="1" si="3"/>
        <v>0</v>
      </c>
      <c r="L71" s="26" t="s">
        <v>1128</v>
      </c>
      <c r="M71" s="70">
        <v>0</v>
      </c>
      <c r="N71" s="70">
        <v>2.2824376978303994E-3</v>
      </c>
      <c r="O71" s="70">
        <v>2.2151259349571704E-2</v>
      </c>
      <c r="P71" s="70">
        <v>0.4538156441994225</v>
      </c>
      <c r="Q71" s="70">
        <v>0</v>
      </c>
      <c r="R71" s="70">
        <v>0</v>
      </c>
      <c r="S71" s="70">
        <v>0</v>
      </c>
      <c r="T71" s="70">
        <v>0</v>
      </c>
      <c r="U71" s="70">
        <v>6.0914042331936709E-2</v>
      </c>
      <c r="V71" s="70">
        <v>0</v>
      </c>
      <c r="W71" s="70">
        <v>0</v>
      </c>
      <c r="X71" s="70">
        <v>3.219257848090111E-2</v>
      </c>
      <c r="Y71" s="70">
        <v>0</v>
      </c>
      <c r="Z71" s="70">
        <v>4.2160291174597395E-2</v>
      </c>
      <c r="AA71" s="70">
        <v>3.8163635729093426E-2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1.7333192004212888E-3</v>
      </c>
      <c r="AI71" s="70">
        <v>5.3622759067644844E-3</v>
      </c>
      <c r="AJ71" s="70">
        <v>0.17052866872036526</v>
      </c>
      <c r="AK71" s="70">
        <v>0</v>
      </c>
      <c r="AL71" s="70">
        <v>3.0959146612396005E-2</v>
      </c>
      <c r="AM71" s="70">
        <v>2.4643837132399992E-2</v>
      </c>
      <c r="AN71" s="70">
        <v>1.7239734768255029E-2</v>
      </c>
      <c r="AO71" s="70">
        <v>9.8960234992031167E-3</v>
      </c>
      <c r="AP71" s="70">
        <v>7.7043361567343503E-3</v>
      </c>
      <c r="AQ71" s="70">
        <v>0</v>
      </c>
      <c r="AR71" s="70">
        <v>8.0252769040107363E-2</v>
      </c>
      <c r="AS71" s="70">
        <v>0</v>
      </c>
      <c r="AT71" s="70">
        <v>0</v>
      </c>
    </row>
    <row r="72" spans="1:46" x14ac:dyDescent="0.2">
      <c r="A72" s="2" t="s">
        <v>72</v>
      </c>
      <c r="B72" s="2" t="str">
        <f>VLOOKUP(A72,'[14]Calculated coal req (reg.)'!$A$2:$B$599,2,FALSE)</f>
        <v>SEIONI TPP</v>
      </c>
      <c r="C72" s="2">
        <v>6.94086002648445</v>
      </c>
      <c r="D72" s="2">
        <v>12.24</v>
      </c>
      <c r="H72" t="s">
        <v>1056</v>
      </c>
      <c r="I72">
        <f t="shared" ca="1" si="2"/>
        <v>28.876473642984998</v>
      </c>
      <c r="J72">
        <f t="shared" ca="1" si="3"/>
        <v>28.799999999999997</v>
      </c>
      <c r="L72" s="26" t="s">
        <v>1056</v>
      </c>
      <c r="M72" s="70">
        <v>0</v>
      </c>
      <c r="N72" s="70">
        <v>0</v>
      </c>
      <c r="O72" s="70">
        <v>5.5875480398505727E-2</v>
      </c>
      <c r="P72" s="70">
        <v>7.3514652257198804E-2</v>
      </c>
      <c r="Q72" s="70">
        <v>1.074975354332925E-4</v>
      </c>
      <c r="R72" s="70">
        <v>1.6163621778140798E-2</v>
      </c>
      <c r="S72" s="70">
        <v>3.3080450427509294E-3</v>
      </c>
      <c r="T72" s="70">
        <v>1.5533353899013784E-3</v>
      </c>
      <c r="U72" s="70">
        <v>0.10571014183010063</v>
      </c>
      <c r="V72" s="70">
        <v>0</v>
      </c>
      <c r="W72" s="70">
        <v>9.965891100139003E-2</v>
      </c>
      <c r="X72" s="70">
        <v>4.7808544188442527E-2</v>
      </c>
      <c r="Y72" s="70">
        <v>2.0397398923260781E-2</v>
      </c>
      <c r="Z72" s="70">
        <v>6.209719350503546E-2</v>
      </c>
      <c r="AA72" s="70">
        <v>2.7088734911782264E-2</v>
      </c>
      <c r="AB72" s="70">
        <v>0</v>
      </c>
      <c r="AC72" s="70">
        <v>0</v>
      </c>
      <c r="AD72" s="70">
        <v>4.582049974556128E-2</v>
      </c>
      <c r="AE72" s="70">
        <v>9.9386409119507635E-2</v>
      </c>
      <c r="AF72" s="70">
        <v>0</v>
      </c>
      <c r="AG72" s="70">
        <v>0</v>
      </c>
      <c r="AH72" s="70">
        <v>0</v>
      </c>
      <c r="AI72" s="70">
        <v>0</v>
      </c>
      <c r="AJ72" s="70">
        <v>2.5412989908384531E-2</v>
      </c>
      <c r="AK72" s="70">
        <v>0</v>
      </c>
      <c r="AL72" s="70">
        <v>8.4057233636480558E-2</v>
      </c>
      <c r="AM72" s="70">
        <v>5.7942075349907501E-2</v>
      </c>
      <c r="AN72" s="70">
        <v>3.6504087709116825E-3</v>
      </c>
      <c r="AO72" s="70">
        <v>0</v>
      </c>
      <c r="AP72" s="70">
        <v>8.4692645960006748E-3</v>
      </c>
      <c r="AQ72" s="70">
        <v>0</v>
      </c>
      <c r="AR72" s="70">
        <v>0.14691891081953348</v>
      </c>
      <c r="AS72" s="70">
        <v>1.5058651291770111E-2</v>
      </c>
      <c r="AT72" s="70">
        <v>0</v>
      </c>
    </row>
    <row r="73" spans="1:46" x14ac:dyDescent="0.2">
      <c r="A73" s="2" t="s">
        <v>69</v>
      </c>
      <c r="B73" s="2" t="str">
        <f>VLOOKUP(A73,'[14]Calculated coal req (reg.)'!$A$2:$B$599,2,FALSE)</f>
        <v>SINGARENI TPP</v>
      </c>
      <c r="C73" s="2">
        <v>12.550124438088099</v>
      </c>
      <c r="D73" s="2">
        <v>12.24</v>
      </c>
      <c r="H73" t="s">
        <v>1051</v>
      </c>
      <c r="I73">
        <f t="shared" ca="1" si="2"/>
        <v>9.6179698888849003</v>
      </c>
      <c r="J73">
        <f t="shared" ca="1" si="3"/>
        <v>10.199999999999999</v>
      </c>
      <c r="L73" s="26" t="s">
        <v>1051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1</v>
      </c>
      <c r="AQ73" s="70">
        <v>0</v>
      </c>
      <c r="AR73" s="70">
        <v>0</v>
      </c>
      <c r="AS73" s="70">
        <v>0</v>
      </c>
      <c r="AT73" s="70">
        <v>0</v>
      </c>
    </row>
    <row r="74" spans="1:46" x14ac:dyDescent="0.2">
      <c r="A74" s="2" t="s">
        <v>71</v>
      </c>
      <c r="B74" s="2" t="str">
        <f>VLOOKUP(A74,'[14]Calculated coal req (reg.)'!$A$2:$B$599,2,FALSE)</f>
        <v>ANUPPUR TPP</v>
      </c>
      <c r="C74" s="2">
        <v>9.1933028096474008</v>
      </c>
      <c r="D74" s="2">
        <v>12.24</v>
      </c>
      <c r="H74" t="s">
        <v>1014</v>
      </c>
      <c r="I74">
        <f t="shared" ca="1" si="2"/>
        <v>11.204573528532199</v>
      </c>
      <c r="J74">
        <f t="shared" ca="1" si="3"/>
        <v>12.24</v>
      </c>
      <c r="L74" s="26" t="s">
        <v>1014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1</v>
      </c>
      <c r="AQ74" s="70">
        <v>0</v>
      </c>
      <c r="AR74" s="70">
        <v>0</v>
      </c>
      <c r="AS74" s="70">
        <v>0</v>
      </c>
      <c r="AT74" s="70">
        <v>0</v>
      </c>
    </row>
    <row r="75" spans="1:46" x14ac:dyDescent="0.2">
      <c r="A75" s="2" t="s">
        <v>74</v>
      </c>
      <c r="B75" s="2" t="str">
        <f>VLOOKUP(A75,'[14]Calculated coal req (reg.)'!$A$2:$B$599,2,FALSE)</f>
        <v>RAGHUNATHPUR TPP</v>
      </c>
      <c r="C75" s="2">
        <v>5.6703227005257597</v>
      </c>
      <c r="D75" s="2">
        <v>12.24</v>
      </c>
      <c r="H75" t="s">
        <v>1019</v>
      </c>
      <c r="I75">
        <f t="shared" ca="1" si="2"/>
        <v>10.728071916568799</v>
      </c>
      <c r="J75">
        <f t="shared" ca="1" si="3"/>
        <v>12.24</v>
      </c>
      <c r="L75" s="26" t="s">
        <v>1019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1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</row>
    <row r="76" spans="1:46" x14ac:dyDescent="0.2">
      <c r="A76" s="2" t="s">
        <v>78</v>
      </c>
      <c r="B76" s="2" t="str">
        <f>VLOOKUP(A76,'[14]Calculated coal req (reg.)'!$A$2:$B$599,2,FALSE)</f>
        <v>KAKATIYA TPS UNIT 2</v>
      </c>
      <c r="C76" s="2">
        <v>11.204573528532199</v>
      </c>
      <c r="D76" s="2">
        <v>12.24</v>
      </c>
      <c r="H76" t="s">
        <v>1015</v>
      </c>
      <c r="I76">
        <f t="shared" ca="1" si="2"/>
        <v>5.9284317880081803</v>
      </c>
      <c r="J76">
        <f t="shared" ca="1" si="3"/>
        <v>12.24</v>
      </c>
      <c r="L76" s="26" t="s">
        <v>1015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1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</row>
    <row r="77" spans="1:46" x14ac:dyDescent="0.2">
      <c r="A77" s="2" t="s">
        <v>82</v>
      </c>
      <c r="B77" s="2" t="str">
        <f>VLOOKUP(A77,'[14]Calculated coal req (reg.)'!$A$2:$B$599,2,FALSE)</f>
        <v>ANPARA - D</v>
      </c>
      <c r="C77" s="2">
        <v>9.5170520578420401</v>
      </c>
      <c r="D77" s="2">
        <v>12.24</v>
      </c>
      <c r="H77" t="s">
        <v>1072</v>
      </c>
      <c r="I77">
        <f t="shared" ca="1" si="2"/>
        <v>16.498250590569128</v>
      </c>
      <c r="J77">
        <f t="shared" ca="1" si="3"/>
        <v>21.419999999999998</v>
      </c>
      <c r="L77" s="26" t="s">
        <v>1072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0.50732280456495671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0.4926771954350434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</row>
    <row r="78" spans="1:46" x14ac:dyDescent="0.2">
      <c r="A78" s="2" t="s">
        <v>81</v>
      </c>
      <c r="B78" s="2" t="str">
        <f>VLOOKUP(A78,'[14]Calculated coal req (reg.)'!$A$2:$B$599,2,FALSE)</f>
        <v>KALISINDH TPS UNIT 2</v>
      </c>
      <c r="C78" s="2">
        <v>5.9284317880081803</v>
      </c>
      <c r="D78" s="2">
        <v>12.24</v>
      </c>
      <c r="H78" t="s">
        <v>1129</v>
      </c>
      <c r="I78">
        <f t="shared" ca="1" si="2"/>
        <v>4.9083418975228099</v>
      </c>
      <c r="J78">
        <f t="shared" ca="1" si="3"/>
        <v>0</v>
      </c>
      <c r="L78" s="26" t="s">
        <v>1129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9.7916355346759406E-3</v>
      </c>
      <c r="S78" s="70">
        <v>0</v>
      </c>
      <c r="T78" s="70">
        <v>0</v>
      </c>
      <c r="U78" s="70">
        <v>0</v>
      </c>
      <c r="V78" s="70">
        <v>0</v>
      </c>
      <c r="W78" s="70">
        <v>0.99020836446532401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</row>
    <row r="79" spans="1:46" x14ac:dyDescent="0.2">
      <c r="A79" s="2" t="s">
        <v>86</v>
      </c>
      <c r="B79" s="2" t="str">
        <f>VLOOKUP(A79,'[14]Calculated coal req (reg.)'!$A$2:$B$599,2,FALSE)</f>
        <v>BARADARHA TPS</v>
      </c>
      <c r="C79" s="2">
        <v>8.5363333148796503</v>
      </c>
      <c r="D79" s="2">
        <v>12.24</v>
      </c>
      <c r="H79" t="s">
        <v>1008</v>
      </c>
      <c r="I79">
        <f t="shared" ca="1" si="2"/>
        <v>18.928694845692451</v>
      </c>
      <c r="J79">
        <f t="shared" ca="1" si="3"/>
        <v>26.928000000000001</v>
      </c>
      <c r="L79" s="26" t="s">
        <v>1008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0</v>
      </c>
      <c r="AA79" s="70">
        <v>0</v>
      </c>
      <c r="AB79" s="70">
        <v>0</v>
      </c>
      <c r="AC79" s="70">
        <v>0</v>
      </c>
      <c r="AD79" s="70">
        <v>0</v>
      </c>
      <c r="AE79" s="70">
        <v>0</v>
      </c>
      <c r="AF79" s="70">
        <v>0</v>
      </c>
      <c r="AG79" s="70">
        <v>0</v>
      </c>
      <c r="AH79" s="70">
        <v>0</v>
      </c>
      <c r="AI79" s="70">
        <v>0</v>
      </c>
      <c r="AJ79" s="70">
        <v>0</v>
      </c>
      <c r="AK79" s="70">
        <v>0</v>
      </c>
      <c r="AL79" s="70">
        <v>0</v>
      </c>
      <c r="AM79" s="70">
        <v>1</v>
      </c>
      <c r="AN79" s="70">
        <v>0</v>
      </c>
      <c r="AO79" s="70">
        <v>0</v>
      </c>
      <c r="AP79" s="70">
        <v>0</v>
      </c>
      <c r="AQ79" s="70">
        <v>0</v>
      </c>
      <c r="AR79" s="70">
        <v>0</v>
      </c>
      <c r="AS79" s="70">
        <v>0</v>
      </c>
      <c r="AT79" s="70">
        <v>0</v>
      </c>
    </row>
    <row r="80" spans="1:46" x14ac:dyDescent="0.2">
      <c r="A80" s="2" t="s">
        <v>84</v>
      </c>
      <c r="B80" s="2" t="str">
        <f>VLOOKUP(A80,'[14]Calculated coal req (reg.)'!$A$2:$B$599,2,FALSE)</f>
        <v>ANUPPUR TPP</v>
      </c>
      <c r="C80" s="2">
        <v>8.8103325777574995</v>
      </c>
      <c r="D80" s="2">
        <v>12.24</v>
      </c>
      <c r="H80" t="s">
        <v>1130</v>
      </c>
      <c r="I80">
        <f t="shared" ca="1" si="2"/>
        <v>0.29329082949308599</v>
      </c>
      <c r="J80">
        <f t="shared" ca="1" si="3"/>
        <v>0</v>
      </c>
      <c r="L80" s="26" t="s">
        <v>1130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1</v>
      </c>
      <c r="AS80" s="70">
        <v>0</v>
      </c>
      <c r="AT80" s="70">
        <v>0</v>
      </c>
    </row>
    <row r="81" spans="1:46" x14ac:dyDescent="0.2">
      <c r="A81" s="2" t="s">
        <v>89</v>
      </c>
      <c r="B81" s="2" t="str">
        <f>VLOOKUP(A81,'[14]Calculated coal req (reg.)'!$A$2:$B$599,2,FALSE)</f>
        <v>DERANG TPP</v>
      </c>
      <c r="C81" s="2">
        <v>5.0220295252789802</v>
      </c>
      <c r="D81" s="2">
        <v>12.24</v>
      </c>
      <c r="H81" t="s">
        <v>1131</v>
      </c>
      <c r="I81">
        <f t="shared" ca="1" si="2"/>
        <v>10.622013567558401</v>
      </c>
      <c r="J81">
        <f t="shared" ca="1" si="3"/>
        <v>0</v>
      </c>
      <c r="L81" s="26" t="s">
        <v>1131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1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</row>
    <row r="82" spans="1:46" x14ac:dyDescent="0.2">
      <c r="A82" s="2" t="s">
        <v>87</v>
      </c>
      <c r="B82" s="2" t="str">
        <f>VLOOKUP(A82,'[14]Calculated coal req (reg.)'!$A$2:$B$599,2,FALSE)</f>
        <v>OP JINDAL TPS2</v>
      </c>
      <c r="C82" s="2">
        <v>3.1952090494815</v>
      </c>
      <c r="D82" s="2">
        <v>12.24</v>
      </c>
      <c r="H82" t="s">
        <v>1048</v>
      </c>
      <c r="I82">
        <f t="shared" ca="1" si="2"/>
        <v>8.5379622238112898</v>
      </c>
      <c r="J82">
        <f t="shared" ca="1" si="3"/>
        <v>10.199999999999999</v>
      </c>
      <c r="L82" s="26" t="s">
        <v>1048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1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</row>
    <row r="83" spans="1:46" x14ac:dyDescent="0.2">
      <c r="A83" s="2" t="s">
        <v>88</v>
      </c>
      <c r="B83" s="2" t="str">
        <f>VLOOKUP(A83,'[14]Calculated coal req (reg.)'!$A$2:$B$599,2,FALSE)</f>
        <v>OP JINDAL TPS2</v>
      </c>
      <c r="C83" s="2">
        <v>6.7899260150807503</v>
      </c>
      <c r="D83" s="2">
        <v>12.24</v>
      </c>
      <c r="H83" t="s">
        <v>984</v>
      </c>
      <c r="I83">
        <f t="shared" ca="1" si="2"/>
        <v>4.4700574094673096</v>
      </c>
      <c r="J83">
        <f t="shared" ca="1" si="3"/>
        <v>13.464</v>
      </c>
      <c r="L83" s="26" t="s">
        <v>984</v>
      </c>
      <c r="M83" s="70">
        <v>9.9473274212835264E-2</v>
      </c>
      <c r="N83" s="70">
        <v>0</v>
      </c>
      <c r="O83" s="70">
        <v>0</v>
      </c>
      <c r="P83" s="70">
        <v>0</v>
      </c>
      <c r="Q83" s="70">
        <v>0</v>
      </c>
      <c r="R83" s="70">
        <v>0.60779142103023509</v>
      </c>
      <c r="S83" s="70">
        <v>0</v>
      </c>
      <c r="T83" s="70">
        <v>0</v>
      </c>
      <c r="U83" s="70">
        <v>0</v>
      </c>
      <c r="V83" s="70">
        <v>0.12887332945371316</v>
      </c>
      <c r="W83" s="70">
        <v>0</v>
      </c>
      <c r="X83" s="70">
        <v>0</v>
      </c>
      <c r="Y83" s="70">
        <v>0</v>
      </c>
      <c r="Z83" s="70">
        <v>6.3510470367332969E-2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0.10035150493588353</v>
      </c>
      <c r="AQ83" s="70">
        <v>0</v>
      </c>
      <c r="AR83" s="70">
        <v>0</v>
      </c>
      <c r="AS83" s="70">
        <v>0</v>
      </c>
      <c r="AT83" s="70">
        <v>0</v>
      </c>
    </row>
    <row r="84" spans="1:46" x14ac:dyDescent="0.2">
      <c r="A84" s="2" t="s">
        <v>95</v>
      </c>
      <c r="B84" s="2" t="str">
        <f>VLOOKUP(A84,'[14]Calculated coal req (reg.)'!$A$2:$B$599,2,FALSE)</f>
        <v>SHREE SINGAJI TPP UNIT 1-2</v>
      </c>
      <c r="C84" s="2">
        <v>6.9641758935085702</v>
      </c>
      <c r="D84" s="2">
        <v>12.24</v>
      </c>
      <c r="H84" t="s">
        <v>1039</v>
      </c>
      <c r="I84">
        <f t="shared" ca="1" si="2"/>
        <v>17.694264622243402</v>
      </c>
      <c r="J84">
        <f t="shared" ca="1" si="3"/>
        <v>20.399999999999999</v>
      </c>
      <c r="L84" s="26" t="s">
        <v>1039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0.2777504881550612</v>
      </c>
      <c r="Y84" s="70">
        <v>0</v>
      </c>
      <c r="Z84" s="70">
        <v>0</v>
      </c>
      <c r="AA84" s="70">
        <v>0</v>
      </c>
      <c r="AB84" s="70">
        <v>0.7222495118449388</v>
      </c>
      <c r="AC84" s="70">
        <v>0</v>
      </c>
      <c r="AD84" s="70">
        <v>0</v>
      </c>
      <c r="AE84" s="70">
        <v>0</v>
      </c>
      <c r="AF84" s="70">
        <v>0</v>
      </c>
      <c r="AG84" s="70">
        <v>0</v>
      </c>
      <c r="AH84" s="70">
        <v>0</v>
      </c>
      <c r="AI84" s="70">
        <v>0</v>
      </c>
      <c r="AJ84" s="70">
        <v>0</v>
      </c>
      <c r="AK84" s="70">
        <v>0</v>
      </c>
      <c r="AL84" s="70">
        <v>0</v>
      </c>
      <c r="AM84" s="70">
        <v>0</v>
      </c>
      <c r="AN84" s="70">
        <v>0</v>
      </c>
      <c r="AO84" s="70">
        <v>0</v>
      </c>
      <c r="AP84" s="70">
        <v>0</v>
      </c>
      <c r="AQ84" s="70">
        <v>0</v>
      </c>
      <c r="AR84" s="70">
        <v>0</v>
      </c>
      <c r="AS84" s="70">
        <v>0</v>
      </c>
      <c r="AT84" s="70">
        <v>0</v>
      </c>
    </row>
    <row r="85" spans="1:46" x14ac:dyDescent="0.2">
      <c r="A85" s="2" t="s">
        <v>97</v>
      </c>
      <c r="B85" s="2" t="str">
        <f>VLOOKUP(A85,'[14]Calculated coal req (reg.)'!$A$2:$B$599,2,FALSE)</f>
        <v>RAGHUNATHPUR TPP</v>
      </c>
      <c r="C85" s="2">
        <v>4.51371264557479</v>
      </c>
      <c r="D85" s="2">
        <v>12.24</v>
      </c>
      <c r="H85" t="s">
        <v>1132</v>
      </c>
      <c r="I85">
        <f t="shared" ca="1" si="2"/>
        <v>11.059320681983214</v>
      </c>
      <c r="J85">
        <f t="shared" ca="1" si="3"/>
        <v>0</v>
      </c>
      <c r="L85" s="26" t="s">
        <v>1132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0">
        <v>0</v>
      </c>
      <c r="AD85" s="70">
        <v>0</v>
      </c>
      <c r="AE85" s="70">
        <v>0</v>
      </c>
      <c r="AF85" s="70">
        <v>0</v>
      </c>
      <c r="AG85" s="70">
        <v>0</v>
      </c>
      <c r="AH85" s="70">
        <v>0</v>
      </c>
      <c r="AI85" s="70">
        <v>0</v>
      </c>
      <c r="AJ85" s="70">
        <v>0</v>
      </c>
      <c r="AK85" s="70">
        <v>0</v>
      </c>
      <c r="AL85" s="70">
        <v>0</v>
      </c>
      <c r="AM85" s="70">
        <v>0</v>
      </c>
      <c r="AN85" s="70">
        <v>0</v>
      </c>
      <c r="AO85" s="70">
        <v>0</v>
      </c>
      <c r="AP85" s="70">
        <v>0</v>
      </c>
      <c r="AQ85" s="70">
        <v>0</v>
      </c>
      <c r="AR85" s="70">
        <v>0</v>
      </c>
      <c r="AS85" s="70">
        <v>0</v>
      </c>
      <c r="AT85" s="70">
        <v>1</v>
      </c>
    </row>
    <row r="86" spans="1:46" x14ac:dyDescent="0.2">
      <c r="A86" s="2" t="s">
        <v>101</v>
      </c>
      <c r="B86" s="2" t="str">
        <f>VLOOKUP(A86,'[14]Calculated coal req (reg.)'!$A$2:$B$599,2,FALSE)</f>
        <v>KALISINDH TPS UNIT 1</v>
      </c>
      <c r="C86" s="2">
        <v>10.728071916568799</v>
      </c>
      <c r="D86" s="2">
        <v>12.24</v>
      </c>
      <c r="H86" t="s">
        <v>1133</v>
      </c>
      <c r="I86">
        <f t="shared" ca="1" si="2"/>
        <v>1.2538285228737389</v>
      </c>
      <c r="J86">
        <f t="shared" ca="1" si="3"/>
        <v>0</v>
      </c>
      <c r="L86" s="26" t="s">
        <v>1133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1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</row>
    <row r="87" spans="1:46" x14ac:dyDescent="0.2">
      <c r="A87" s="2" t="s">
        <v>102</v>
      </c>
      <c r="B87" s="2" t="str">
        <f>VLOOKUP(A87,'[14]Calculated coal req (reg.)'!$A$2:$B$599,2,FALSE)</f>
        <v>DERANG TPP</v>
      </c>
      <c r="C87" s="2">
        <v>7.01813035918045</v>
      </c>
      <c r="D87" s="2">
        <v>12.24</v>
      </c>
      <c r="H87" t="s">
        <v>999</v>
      </c>
      <c r="I87">
        <f t="shared" ca="1" si="2"/>
        <v>22.932462897672611</v>
      </c>
      <c r="J87">
        <f t="shared" ca="1" si="3"/>
        <v>40.392000000000003</v>
      </c>
      <c r="L87" s="26" t="s">
        <v>999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1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</row>
    <row r="88" spans="1:46" x14ac:dyDescent="0.2">
      <c r="A88" s="2" t="s">
        <v>107</v>
      </c>
      <c r="B88" s="2" t="str">
        <f>VLOOKUP(A88,'[14]Calculated coal req (reg.)'!$A$2:$B$599,2,FALSE)</f>
        <v>BARADARHA TPS</v>
      </c>
      <c r="C88" s="2">
        <v>8.9538869974432505</v>
      </c>
      <c r="D88" s="2">
        <v>12.24</v>
      </c>
      <c r="H88" t="s">
        <v>1134</v>
      </c>
      <c r="I88">
        <f t="shared" ca="1" si="2"/>
        <v>4.3281834696841202</v>
      </c>
      <c r="J88">
        <f t="shared" ca="1" si="3"/>
        <v>0</v>
      </c>
      <c r="L88" s="26" t="s">
        <v>1134</v>
      </c>
      <c r="M88" s="70">
        <v>0</v>
      </c>
      <c r="N88" s="70">
        <v>0</v>
      </c>
      <c r="O88" s="70">
        <v>0</v>
      </c>
      <c r="P88" s="70">
        <v>0</v>
      </c>
      <c r="Q88" s="70">
        <v>0</v>
      </c>
      <c r="R88" s="70">
        <v>1</v>
      </c>
      <c r="S88" s="70">
        <v>0</v>
      </c>
      <c r="T88" s="70">
        <v>0</v>
      </c>
      <c r="U88" s="70">
        <v>0</v>
      </c>
      <c r="V88" s="70">
        <v>0</v>
      </c>
      <c r="W88" s="70">
        <v>0</v>
      </c>
      <c r="X88" s="70">
        <v>0</v>
      </c>
      <c r="Y88" s="70">
        <v>0</v>
      </c>
      <c r="Z88" s="70">
        <v>0</v>
      </c>
      <c r="AA88" s="70">
        <v>0</v>
      </c>
      <c r="AB88" s="70">
        <v>0</v>
      </c>
      <c r="AC88" s="70">
        <v>0</v>
      </c>
      <c r="AD88" s="70">
        <v>0</v>
      </c>
      <c r="AE88" s="70">
        <v>0</v>
      </c>
      <c r="AF88" s="70">
        <v>0</v>
      </c>
      <c r="AG88" s="70">
        <v>0</v>
      </c>
      <c r="AH88" s="70">
        <v>0</v>
      </c>
      <c r="AI88" s="70">
        <v>0</v>
      </c>
      <c r="AJ88" s="70">
        <v>0</v>
      </c>
      <c r="AK88" s="70">
        <v>0</v>
      </c>
      <c r="AL88" s="70">
        <v>0</v>
      </c>
      <c r="AM88" s="70">
        <v>0</v>
      </c>
      <c r="AN88" s="70">
        <v>0</v>
      </c>
      <c r="AO88" s="70">
        <v>0</v>
      </c>
      <c r="AP88" s="70">
        <v>0</v>
      </c>
      <c r="AQ88" s="70">
        <v>0</v>
      </c>
      <c r="AR88" s="70">
        <v>0</v>
      </c>
      <c r="AS88" s="70">
        <v>0</v>
      </c>
      <c r="AT88" s="70">
        <v>0</v>
      </c>
    </row>
    <row r="89" spans="1:46" x14ac:dyDescent="0.2">
      <c r="A89" s="2" t="s">
        <v>105</v>
      </c>
      <c r="B89" s="2" t="str">
        <f>VLOOKUP(A89,'[14]Calculated coal req (reg.)'!$A$2:$B$599,2,FALSE)</f>
        <v>OP JINDAL TPS2</v>
      </c>
      <c r="C89" s="2">
        <v>1.8180433328378101</v>
      </c>
      <c r="D89" s="2">
        <v>12.24</v>
      </c>
      <c r="H89" t="s">
        <v>1085</v>
      </c>
      <c r="I89">
        <f t="shared" ca="1" si="2"/>
        <v>43.789176144047545</v>
      </c>
      <c r="J89">
        <f t="shared" ca="1" si="3"/>
        <v>17.73</v>
      </c>
      <c r="L89" s="26" t="s">
        <v>1085</v>
      </c>
      <c r="M89" s="70">
        <v>9.4197605437664183E-3</v>
      </c>
      <c r="N89" s="70">
        <v>0</v>
      </c>
      <c r="O89" s="70">
        <v>0</v>
      </c>
      <c r="P89" s="70">
        <v>0</v>
      </c>
      <c r="Q89" s="70">
        <v>0</v>
      </c>
      <c r="R89" s="70">
        <v>0.10338661355825174</v>
      </c>
      <c r="S89" s="70">
        <v>2.5253210119259809E-2</v>
      </c>
      <c r="T89" s="70">
        <v>2.4572020642058282E-2</v>
      </c>
      <c r="U89" s="70">
        <v>0</v>
      </c>
      <c r="V89" s="70">
        <v>0.10412892884491103</v>
      </c>
      <c r="W89" s="70">
        <v>0.18187206111843945</v>
      </c>
      <c r="X89" s="70">
        <v>0</v>
      </c>
      <c r="Y89" s="70">
        <v>0</v>
      </c>
      <c r="Z89" s="70">
        <v>1.7355557739599672E-3</v>
      </c>
      <c r="AA89" s="70">
        <v>0</v>
      </c>
      <c r="AB89" s="70">
        <v>0</v>
      </c>
      <c r="AC89" s="70">
        <v>0</v>
      </c>
      <c r="AD89" s="70">
        <v>0.23498483026410341</v>
      </c>
      <c r="AE89" s="70">
        <v>0.30836901526021754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6.2780038750324552E-3</v>
      </c>
      <c r="AQ89" s="70">
        <v>0</v>
      </c>
      <c r="AR89" s="70">
        <v>0</v>
      </c>
      <c r="AS89" s="70">
        <v>0</v>
      </c>
      <c r="AT89" s="70">
        <v>0</v>
      </c>
    </row>
    <row r="90" spans="1:46" x14ac:dyDescent="0.2">
      <c r="A90" s="2" t="s">
        <v>104</v>
      </c>
      <c r="B90" s="2" t="str">
        <f>VLOOKUP(A90,'[14]Calculated coal req (reg.)'!$A$2:$B$599,2,FALSE)</f>
        <v>OP JINDAL TPS2</v>
      </c>
      <c r="C90" s="2">
        <v>7.6945931914449996</v>
      </c>
      <c r="D90" s="2">
        <v>12.24</v>
      </c>
      <c r="H90" t="s">
        <v>1050</v>
      </c>
      <c r="I90">
        <f t="shared" ca="1" si="2"/>
        <v>10.868872508111901</v>
      </c>
      <c r="J90">
        <f t="shared" ca="1" si="3"/>
        <v>10.199999999999999</v>
      </c>
      <c r="L90" s="26" t="s">
        <v>1050</v>
      </c>
      <c r="M90" s="70">
        <v>0</v>
      </c>
      <c r="N90" s="70">
        <v>0</v>
      </c>
      <c r="O90" s="70">
        <v>0</v>
      </c>
      <c r="P90" s="70">
        <v>0</v>
      </c>
      <c r="Q90" s="70">
        <v>0</v>
      </c>
      <c r="R90" s="70">
        <v>0.183634572962948</v>
      </c>
      <c r="S90" s="70">
        <v>5.4002442197996513E-2</v>
      </c>
      <c r="T90" s="70">
        <v>1.3664278089755949E-2</v>
      </c>
      <c r="U90" s="70">
        <v>0</v>
      </c>
      <c r="V90" s="70">
        <v>1.7302144067950827E-2</v>
      </c>
      <c r="W90" s="70">
        <v>0.23433936760585156</v>
      </c>
      <c r="X90" s="70">
        <v>0</v>
      </c>
      <c r="Y90" s="70">
        <v>0</v>
      </c>
      <c r="Z90" s="70">
        <v>9.6556231241306471E-3</v>
      </c>
      <c r="AA90" s="70">
        <v>0</v>
      </c>
      <c r="AB90" s="70">
        <v>0</v>
      </c>
      <c r="AC90" s="70">
        <v>0</v>
      </c>
      <c r="AD90" s="70">
        <v>0.17736318484018121</v>
      </c>
      <c r="AE90" s="70">
        <v>0.29619764025460826</v>
      </c>
      <c r="AF90" s="70">
        <v>0</v>
      </c>
      <c r="AG90" s="70">
        <v>0</v>
      </c>
      <c r="AH90" s="70">
        <v>0</v>
      </c>
      <c r="AI90" s="70">
        <v>0</v>
      </c>
      <c r="AJ90" s="70">
        <v>0</v>
      </c>
      <c r="AK90" s="70">
        <v>0</v>
      </c>
      <c r="AL90" s="70">
        <v>0</v>
      </c>
      <c r="AM90" s="70">
        <v>0</v>
      </c>
      <c r="AN90" s="70">
        <v>0</v>
      </c>
      <c r="AO90" s="70">
        <v>0</v>
      </c>
      <c r="AP90" s="70">
        <v>1.3840746856577012E-2</v>
      </c>
      <c r="AQ90" s="70">
        <v>0</v>
      </c>
      <c r="AR90" s="70">
        <v>0</v>
      </c>
      <c r="AS90" s="70">
        <v>0</v>
      </c>
      <c r="AT90" s="70">
        <v>0</v>
      </c>
    </row>
    <row r="91" spans="1:46" x14ac:dyDescent="0.2">
      <c r="A91" s="2" t="s">
        <v>108</v>
      </c>
      <c r="B91" s="2" t="str">
        <f>VLOOKUP(A91,'[14]Calculated coal req (reg.)'!$A$2:$B$599,2,FALSE)</f>
        <v>SHREE SINGAJI TPP UNIT 1-2</v>
      </c>
      <c r="C91" s="2">
        <v>7.3845738899169397</v>
      </c>
      <c r="D91" s="2">
        <v>12.24</v>
      </c>
      <c r="H91" t="s">
        <v>1135</v>
      </c>
      <c r="I91">
        <f t="shared" ca="1" si="2"/>
        <v>14.3108436347993</v>
      </c>
      <c r="J91">
        <f t="shared" ca="1" si="3"/>
        <v>0</v>
      </c>
      <c r="L91" s="26" t="s">
        <v>1135</v>
      </c>
      <c r="M91" s="70">
        <v>0</v>
      </c>
      <c r="N91" s="70">
        <v>0</v>
      </c>
      <c r="O91" s="70">
        <v>0</v>
      </c>
      <c r="P91" s="70">
        <v>0</v>
      </c>
      <c r="Q91" s="70">
        <v>0</v>
      </c>
      <c r="R91" s="70">
        <v>1</v>
      </c>
      <c r="S91" s="70">
        <v>0</v>
      </c>
      <c r="T91" s="70">
        <v>0</v>
      </c>
      <c r="U91" s="70">
        <v>0</v>
      </c>
      <c r="V91" s="70">
        <v>0</v>
      </c>
      <c r="W91" s="70">
        <v>0</v>
      </c>
      <c r="X91" s="70">
        <v>0</v>
      </c>
      <c r="Y91" s="70">
        <v>0</v>
      </c>
      <c r="Z91" s="70">
        <v>0</v>
      </c>
      <c r="AA91" s="70">
        <v>0</v>
      </c>
      <c r="AB91" s="70">
        <v>0</v>
      </c>
      <c r="AC91" s="70">
        <v>0</v>
      </c>
      <c r="AD91" s="70">
        <v>0</v>
      </c>
      <c r="AE91" s="70">
        <v>0</v>
      </c>
      <c r="AF91" s="70">
        <v>0</v>
      </c>
      <c r="AG91" s="70">
        <v>0</v>
      </c>
      <c r="AH91" s="70">
        <v>0</v>
      </c>
      <c r="AI91" s="70">
        <v>0</v>
      </c>
      <c r="AJ91" s="70">
        <v>0</v>
      </c>
      <c r="AK91" s="70">
        <v>0</v>
      </c>
      <c r="AL91" s="70">
        <v>0</v>
      </c>
      <c r="AM91" s="70">
        <v>0</v>
      </c>
      <c r="AN91" s="70">
        <v>0</v>
      </c>
      <c r="AO91" s="70">
        <v>0</v>
      </c>
      <c r="AP91" s="70">
        <v>0</v>
      </c>
      <c r="AQ91" s="70">
        <v>0</v>
      </c>
      <c r="AR91" s="70">
        <v>0</v>
      </c>
      <c r="AS91" s="70">
        <v>0</v>
      </c>
      <c r="AT91" s="70">
        <v>0</v>
      </c>
    </row>
    <row r="92" spans="1:46" x14ac:dyDescent="0.2">
      <c r="A92" s="2" t="s">
        <v>98</v>
      </c>
      <c r="B92" s="2" t="str">
        <f>VLOOKUP(A92,'[14]Calculated coal req (reg.)'!$A$2:$B$599,2,FALSE)</f>
        <v>AKALTARA TPS</v>
      </c>
      <c r="C92" s="2">
        <v>10.038133741877299</v>
      </c>
      <c r="D92" s="2">
        <v>12.24</v>
      </c>
      <c r="H92" t="s">
        <v>1037</v>
      </c>
      <c r="I92">
        <f t="shared" ca="1" si="2"/>
        <v>10.4309758682486</v>
      </c>
      <c r="J92">
        <f t="shared" ca="1" si="3"/>
        <v>10.199999999999999</v>
      </c>
      <c r="L92" s="26" t="s">
        <v>1037</v>
      </c>
      <c r="M92" s="70">
        <v>0</v>
      </c>
      <c r="N92" s="70">
        <v>0</v>
      </c>
      <c r="O92" s="70">
        <v>0</v>
      </c>
      <c r="P92" s="70">
        <v>0</v>
      </c>
      <c r="Q92" s="70">
        <v>0</v>
      </c>
      <c r="R92" s="70">
        <v>1</v>
      </c>
      <c r="S92" s="70">
        <v>0</v>
      </c>
      <c r="T92" s="70">
        <v>0</v>
      </c>
      <c r="U92" s="70">
        <v>0</v>
      </c>
      <c r="V92" s="70">
        <v>0</v>
      </c>
      <c r="W92" s="70">
        <v>0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0">
        <v>0</v>
      </c>
      <c r="AD92" s="70">
        <v>0</v>
      </c>
      <c r="AE92" s="70">
        <v>0</v>
      </c>
      <c r="AF92" s="70">
        <v>0</v>
      </c>
      <c r="AG92" s="70">
        <v>0</v>
      </c>
      <c r="AH92" s="70">
        <v>0</v>
      </c>
      <c r="AI92" s="70">
        <v>0</v>
      </c>
      <c r="AJ92" s="70">
        <v>0</v>
      </c>
      <c r="AK92" s="70">
        <v>0</v>
      </c>
      <c r="AL92" s="70">
        <v>0</v>
      </c>
      <c r="AM92" s="70">
        <v>0</v>
      </c>
      <c r="AN92" s="70">
        <v>0</v>
      </c>
      <c r="AO92" s="70">
        <v>0</v>
      </c>
      <c r="AP92" s="70">
        <v>0</v>
      </c>
      <c r="AQ92" s="70">
        <v>0</v>
      </c>
      <c r="AR92" s="70">
        <v>0</v>
      </c>
      <c r="AS92" s="70">
        <v>0</v>
      </c>
      <c r="AT92" s="70">
        <v>0</v>
      </c>
    </row>
    <row r="93" spans="1:46" x14ac:dyDescent="0.2">
      <c r="A93" s="2" t="s">
        <v>113</v>
      </c>
      <c r="B93" s="2"/>
      <c r="C93" s="2">
        <v>5.7350018274272898</v>
      </c>
      <c r="D93" s="2">
        <v>12.24</v>
      </c>
      <c r="H93" t="s">
        <v>1136</v>
      </c>
      <c r="I93">
        <f t="shared" ca="1" si="2"/>
        <v>21.03183776066253</v>
      </c>
      <c r="J93">
        <f t="shared" ca="1" si="3"/>
        <v>0</v>
      </c>
      <c r="L93" s="26" t="s">
        <v>1136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0</v>
      </c>
      <c r="AA93" s="70">
        <v>0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0</v>
      </c>
      <c r="AH93" s="70">
        <v>0</v>
      </c>
      <c r="AI93" s="70">
        <v>0</v>
      </c>
      <c r="AJ93" s="70">
        <v>0</v>
      </c>
      <c r="AK93" s="70">
        <v>0</v>
      </c>
      <c r="AL93" s="70">
        <v>0</v>
      </c>
      <c r="AM93" s="70">
        <v>1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0</v>
      </c>
      <c r="AT93" s="70">
        <v>0</v>
      </c>
    </row>
    <row r="94" spans="1:46" x14ac:dyDescent="0.2">
      <c r="A94" s="2" t="s">
        <v>110</v>
      </c>
      <c r="B94" s="2" t="str">
        <f>VLOOKUP(A94,'[14]Calculated coal req (reg.)'!$A$2:$B$599,2,FALSE)</f>
        <v>AKALTARA TPS</v>
      </c>
      <c r="C94" s="2">
        <v>3.90044744004802</v>
      </c>
      <c r="D94" s="2">
        <v>12.24</v>
      </c>
      <c r="H94" t="s">
        <v>1045</v>
      </c>
      <c r="I94">
        <f t="shared" ca="1" si="2"/>
        <v>10.0923394388827</v>
      </c>
      <c r="J94">
        <f t="shared" ca="1" si="3"/>
        <v>10.199999999999999</v>
      </c>
      <c r="L94" s="26" t="s">
        <v>1045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0</v>
      </c>
      <c r="S94" s="70">
        <v>0</v>
      </c>
      <c r="T94" s="70">
        <v>0</v>
      </c>
      <c r="U94" s="70">
        <v>0</v>
      </c>
      <c r="V94" s="70">
        <v>0</v>
      </c>
      <c r="W94" s="70">
        <v>0</v>
      </c>
      <c r="X94" s="70">
        <v>0</v>
      </c>
      <c r="Y94" s="70">
        <v>0</v>
      </c>
      <c r="Z94" s="70">
        <v>0</v>
      </c>
      <c r="AA94" s="70">
        <v>0</v>
      </c>
      <c r="AB94" s="70">
        <v>0</v>
      </c>
      <c r="AC94" s="70">
        <v>0</v>
      </c>
      <c r="AD94" s="70">
        <v>0</v>
      </c>
      <c r="AE94" s="70">
        <v>0</v>
      </c>
      <c r="AF94" s="70">
        <v>0</v>
      </c>
      <c r="AG94" s="70">
        <v>0</v>
      </c>
      <c r="AH94" s="70">
        <v>0</v>
      </c>
      <c r="AI94" s="70">
        <v>0</v>
      </c>
      <c r="AJ94" s="70">
        <v>0</v>
      </c>
      <c r="AK94" s="70">
        <v>0</v>
      </c>
      <c r="AL94" s="70">
        <v>0</v>
      </c>
      <c r="AM94" s="70">
        <v>0</v>
      </c>
      <c r="AN94" s="70">
        <v>0</v>
      </c>
      <c r="AO94" s="70">
        <v>0</v>
      </c>
      <c r="AP94" s="70">
        <v>1</v>
      </c>
      <c r="AQ94" s="70">
        <v>0</v>
      </c>
      <c r="AR94" s="70">
        <v>0</v>
      </c>
      <c r="AS94" s="70">
        <v>0</v>
      </c>
      <c r="AT94" s="70">
        <v>0</v>
      </c>
    </row>
    <row r="95" spans="1:46" x14ac:dyDescent="0.2">
      <c r="A95" s="2" t="s">
        <v>124</v>
      </c>
      <c r="B95" s="2" t="str">
        <f>VLOOKUP(A95,'[14]Calculated coal req (reg.)'!$A$2:$B$599,2,FALSE)</f>
        <v>ANPARA C TPS</v>
      </c>
      <c r="C95" s="2">
        <v>11.2935648233486</v>
      </c>
      <c r="D95" s="2">
        <v>12.24</v>
      </c>
      <c r="H95" t="s">
        <v>1137</v>
      </c>
      <c r="I95">
        <f t="shared" ca="1" si="2"/>
        <v>10.31590855447851</v>
      </c>
      <c r="J95">
        <f t="shared" ca="1" si="3"/>
        <v>0</v>
      </c>
      <c r="L95" s="26" t="s">
        <v>1137</v>
      </c>
      <c r="M95" s="70">
        <v>0</v>
      </c>
      <c r="N95" s="70">
        <v>0</v>
      </c>
      <c r="O95" s="70">
        <v>0</v>
      </c>
      <c r="P95" s="70">
        <v>0</v>
      </c>
      <c r="Q95" s="70">
        <v>0</v>
      </c>
      <c r="R95" s="70">
        <v>0</v>
      </c>
      <c r="S95" s="70">
        <v>0</v>
      </c>
      <c r="T95" s="70">
        <v>0</v>
      </c>
      <c r="U95" s="70">
        <v>0</v>
      </c>
      <c r="V95" s="70">
        <v>0</v>
      </c>
      <c r="W95" s="70">
        <v>0</v>
      </c>
      <c r="X95" s="70">
        <v>0</v>
      </c>
      <c r="Y95" s="70">
        <v>0</v>
      </c>
      <c r="Z95" s="70">
        <v>0</v>
      </c>
      <c r="AA95" s="70">
        <v>0</v>
      </c>
      <c r="AB95" s="70">
        <v>0</v>
      </c>
      <c r="AC95" s="70">
        <v>0</v>
      </c>
      <c r="AD95" s="70">
        <v>0</v>
      </c>
      <c r="AE95" s="70">
        <v>0</v>
      </c>
      <c r="AF95" s="70">
        <v>0</v>
      </c>
      <c r="AG95" s="70">
        <v>0</v>
      </c>
      <c r="AH95" s="70">
        <v>0</v>
      </c>
      <c r="AI95" s="70">
        <v>0</v>
      </c>
      <c r="AJ95" s="70">
        <v>0</v>
      </c>
      <c r="AK95" s="70">
        <v>0</v>
      </c>
      <c r="AL95" s="70">
        <v>0</v>
      </c>
      <c r="AM95" s="70">
        <v>0</v>
      </c>
      <c r="AN95" s="70">
        <v>0</v>
      </c>
      <c r="AO95" s="70">
        <v>0</v>
      </c>
      <c r="AP95" s="70">
        <v>1</v>
      </c>
      <c r="AQ95" s="70">
        <v>0</v>
      </c>
      <c r="AR95" s="70">
        <v>0</v>
      </c>
      <c r="AS95" s="70">
        <v>0</v>
      </c>
      <c r="AT95" s="70">
        <v>0</v>
      </c>
    </row>
    <row r="96" spans="1:46" x14ac:dyDescent="0.2">
      <c r="A96" s="2" t="s">
        <v>127</v>
      </c>
      <c r="B96" s="2" t="str">
        <f>VLOOKUP(A96,'[14]Calculated coal req (reg.)'!$A$2:$B$599,2,FALSE)</f>
        <v>ANPARA C TPS</v>
      </c>
      <c r="C96" s="2">
        <v>11.178778378092</v>
      </c>
      <c r="D96" s="2">
        <v>12.24</v>
      </c>
      <c r="H96" t="s">
        <v>977</v>
      </c>
      <c r="I96">
        <f t="shared" ca="1" si="2"/>
        <v>12.164454465657199</v>
      </c>
      <c r="J96">
        <f t="shared" ca="1" si="3"/>
        <v>16.32</v>
      </c>
      <c r="L96" s="26" t="s">
        <v>977</v>
      </c>
      <c r="M96" s="70">
        <v>0</v>
      </c>
      <c r="N96" s="70">
        <v>0</v>
      </c>
      <c r="O96" s="70">
        <v>0</v>
      </c>
      <c r="P96" s="70">
        <v>0</v>
      </c>
      <c r="Q96" s="70">
        <v>0</v>
      </c>
      <c r="R96" s="70">
        <v>0</v>
      </c>
      <c r="S96" s="70">
        <v>0</v>
      </c>
      <c r="T96" s="70">
        <v>0</v>
      </c>
      <c r="U96" s="70">
        <v>0</v>
      </c>
      <c r="V96" s="70">
        <v>0</v>
      </c>
      <c r="W96" s="70">
        <v>0</v>
      </c>
      <c r="X96" s="70">
        <v>0</v>
      </c>
      <c r="Y96" s="70">
        <v>0</v>
      </c>
      <c r="Z96" s="70">
        <v>0</v>
      </c>
      <c r="AA96" s="70">
        <v>0</v>
      </c>
      <c r="AB96" s="70">
        <v>0</v>
      </c>
      <c r="AC96" s="70">
        <v>0</v>
      </c>
      <c r="AD96" s="70">
        <v>0</v>
      </c>
      <c r="AE96" s="70">
        <v>0</v>
      </c>
      <c r="AF96" s="70">
        <v>0</v>
      </c>
      <c r="AG96" s="70">
        <v>0</v>
      </c>
      <c r="AH96" s="70">
        <v>0</v>
      </c>
      <c r="AI96" s="70">
        <v>0</v>
      </c>
      <c r="AJ96" s="70">
        <v>0</v>
      </c>
      <c r="AK96" s="70">
        <v>0</v>
      </c>
      <c r="AL96" s="70">
        <v>0</v>
      </c>
      <c r="AM96" s="70">
        <v>0</v>
      </c>
      <c r="AN96" s="70">
        <v>0</v>
      </c>
      <c r="AO96" s="70">
        <v>0</v>
      </c>
      <c r="AP96" s="70">
        <v>1</v>
      </c>
      <c r="AQ96" s="70">
        <v>0</v>
      </c>
      <c r="AR96" s="70">
        <v>0</v>
      </c>
      <c r="AS96" s="70">
        <v>0</v>
      </c>
      <c r="AT96" s="70">
        <v>0</v>
      </c>
    </row>
    <row r="97" spans="1:46" x14ac:dyDescent="0.2">
      <c r="A97" s="2" t="s">
        <v>134</v>
      </c>
      <c r="B97" s="2" t="str">
        <f>VLOOKUP(A97,'[14]Calculated coal req (reg.)'!$A$2:$B$599,2,FALSE)</f>
        <v>RAJIV GANDHI TPS</v>
      </c>
      <c r="C97" s="2">
        <v>5.2190776910340704</v>
      </c>
      <c r="D97" s="2">
        <v>12.24</v>
      </c>
      <c r="H97" t="s">
        <v>1138</v>
      </c>
      <c r="I97">
        <f t="shared" ca="1" si="2"/>
        <v>9.7855984045004405</v>
      </c>
      <c r="J97">
        <f t="shared" ca="1" si="3"/>
        <v>0</v>
      </c>
      <c r="L97" s="26" t="s">
        <v>1138</v>
      </c>
      <c r="M97" s="70">
        <v>0</v>
      </c>
      <c r="N97" s="70">
        <v>0</v>
      </c>
      <c r="O97" s="70">
        <v>0</v>
      </c>
      <c r="P97" s="70">
        <v>0</v>
      </c>
      <c r="Q97" s="70">
        <v>0</v>
      </c>
      <c r="R97" s="70">
        <v>0</v>
      </c>
      <c r="S97" s="70">
        <v>0</v>
      </c>
      <c r="T97" s="70">
        <v>0</v>
      </c>
      <c r="U97" s="70">
        <v>0</v>
      </c>
      <c r="V97" s="70">
        <v>0</v>
      </c>
      <c r="W97" s="70">
        <v>0</v>
      </c>
      <c r="X97" s="70">
        <v>0</v>
      </c>
      <c r="Y97" s="70">
        <v>0</v>
      </c>
      <c r="Z97" s="70">
        <v>0</v>
      </c>
      <c r="AA97" s="70">
        <v>0</v>
      </c>
      <c r="AB97" s="70">
        <v>0</v>
      </c>
      <c r="AC97" s="70">
        <v>0</v>
      </c>
      <c r="AD97" s="70">
        <v>0</v>
      </c>
      <c r="AE97" s="70">
        <v>0</v>
      </c>
      <c r="AF97" s="70">
        <v>0</v>
      </c>
      <c r="AG97" s="70">
        <v>0</v>
      </c>
      <c r="AH97" s="70">
        <v>0</v>
      </c>
      <c r="AI97" s="70">
        <v>0</v>
      </c>
      <c r="AJ97" s="70">
        <v>0</v>
      </c>
      <c r="AK97" s="70">
        <v>0</v>
      </c>
      <c r="AL97" s="70">
        <v>0</v>
      </c>
      <c r="AM97" s="70">
        <v>0</v>
      </c>
      <c r="AN97" s="70">
        <v>0</v>
      </c>
      <c r="AO97" s="70">
        <v>0</v>
      </c>
      <c r="AP97" s="70">
        <v>1</v>
      </c>
      <c r="AQ97" s="70">
        <v>0</v>
      </c>
      <c r="AR97" s="70">
        <v>0</v>
      </c>
      <c r="AS97" s="70">
        <v>0</v>
      </c>
      <c r="AT97" s="70">
        <v>0</v>
      </c>
    </row>
    <row r="98" spans="1:46" x14ac:dyDescent="0.2">
      <c r="A98" s="2" t="s">
        <v>131</v>
      </c>
      <c r="B98" s="2" t="str">
        <f>VLOOKUP(A98,'[14]Calculated coal req (reg.)'!$A$2:$B$599,2,FALSE)</f>
        <v>STERLITE TPP UNIT 1-2</v>
      </c>
      <c r="C98" s="2">
        <v>1.36523654376171</v>
      </c>
      <c r="D98" s="2">
        <v>12.24</v>
      </c>
      <c r="H98" t="s">
        <v>980</v>
      </c>
      <c r="I98">
        <f t="shared" ca="1" si="2"/>
        <v>16.580749234599281</v>
      </c>
      <c r="J98">
        <f t="shared" ca="1" si="3"/>
        <v>48.96</v>
      </c>
      <c r="L98" s="26" t="s">
        <v>980</v>
      </c>
      <c r="M98" s="70">
        <v>0.18022907991312573</v>
      </c>
      <c r="N98" s="70">
        <v>0</v>
      </c>
      <c r="O98" s="70">
        <v>0</v>
      </c>
      <c r="P98" s="70">
        <v>0</v>
      </c>
      <c r="Q98" s="70">
        <v>0</v>
      </c>
      <c r="R98" s="70">
        <v>0</v>
      </c>
      <c r="S98" s="70">
        <v>0</v>
      </c>
      <c r="T98" s="70">
        <v>0</v>
      </c>
      <c r="U98" s="70">
        <v>0</v>
      </c>
      <c r="V98" s="70">
        <v>0</v>
      </c>
      <c r="W98" s="70">
        <v>0</v>
      </c>
      <c r="X98" s="70">
        <v>0</v>
      </c>
      <c r="Y98" s="70">
        <v>0</v>
      </c>
      <c r="Z98" s="70">
        <v>0</v>
      </c>
      <c r="AA98" s="70">
        <v>0</v>
      </c>
      <c r="AB98" s="70">
        <v>0.48214763494554186</v>
      </c>
      <c r="AC98" s="70">
        <v>6.6936573783844253E-2</v>
      </c>
      <c r="AD98" s="70">
        <v>0</v>
      </c>
      <c r="AE98" s="70">
        <v>0</v>
      </c>
      <c r="AF98" s="70">
        <v>0</v>
      </c>
      <c r="AG98" s="70">
        <v>0</v>
      </c>
      <c r="AH98" s="70">
        <v>0</v>
      </c>
      <c r="AI98" s="70">
        <v>0</v>
      </c>
      <c r="AJ98" s="70">
        <v>0</v>
      </c>
      <c r="AK98" s="70">
        <v>0</v>
      </c>
      <c r="AL98" s="70">
        <v>0</v>
      </c>
      <c r="AM98" s="70">
        <v>0</v>
      </c>
      <c r="AN98" s="70">
        <v>0</v>
      </c>
      <c r="AO98" s="70">
        <v>0.14609023184205081</v>
      </c>
      <c r="AP98" s="70">
        <v>0.12459647951543741</v>
      </c>
      <c r="AQ98" s="70">
        <v>0</v>
      </c>
      <c r="AR98" s="70">
        <v>0</v>
      </c>
      <c r="AS98" s="70">
        <v>0</v>
      </c>
      <c r="AT98" s="70">
        <v>0</v>
      </c>
    </row>
    <row r="99" spans="1:46" x14ac:dyDescent="0.2">
      <c r="A99" s="2" t="s">
        <v>109</v>
      </c>
      <c r="B99" s="2" t="str">
        <f>VLOOKUP(A99,'[14]Calculated coal req (reg.)'!$A$2:$B$599,2,FALSE)</f>
        <v>NORTH CHENNAI TPS UNIT 4-5</v>
      </c>
      <c r="C99" s="2">
        <v>8.3027348638879399</v>
      </c>
      <c r="D99" s="2">
        <v>12.24</v>
      </c>
      <c r="H99" t="s">
        <v>1139</v>
      </c>
      <c r="I99">
        <f t="shared" ca="1" si="2"/>
        <v>0.42644485407066002</v>
      </c>
      <c r="J99">
        <f t="shared" ca="1" si="3"/>
        <v>0</v>
      </c>
      <c r="L99" s="26" t="s">
        <v>1139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1</v>
      </c>
      <c r="AS99" s="70">
        <v>0</v>
      </c>
      <c r="AT99" s="70">
        <v>0</v>
      </c>
    </row>
    <row r="100" spans="1:46" x14ac:dyDescent="0.2">
      <c r="A100" s="2" t="s">
        <v>135</v>
      </c>
      <c r="B100" s="2" t="str">
        <f>VLOOKUP(A100,'[14]Calculated coal req (reg.)'!$A$2:$B$599,2,FALSE)</f>
        <v>RAJIV GANDHI TPS</v>
      </c>
      <c r="C100" s="2">
        <v>4.0337931576132497</v>
      </c>
      <c r="D100" s="2">
        <v>11.52</v>
      </c>
      <c r="H100" t="s">
        <v>1189</v>
      </c>
      <c r="I100">
        <f t="shared" ca="1" si="2"/>
        <v>0</v>
      </c>
      <c r="J100">
        <f t="shared" ca="1" si="3"/>
        <v>0</v>
      </c>
      <c r="L100" s="26" t="s">
        <v>1189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1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</row>
    <row r="101" spans="1:46" x14ac:dyDescent="0.2">
      <c r="A101" s="2" t="s">
        <v>112</v>
      </c>
      <c r="B101" s="2" t="str">
        <f>VLOOKUP(A101,'[14]Calculated coal req (reg.)'!$A$2:$B$599,2,FALSE)</f>
        <v>NORTH CHENNAI TPS UNIT 4-5</v>
      </c>
      <c r="C101" s="2">
        <v>8.1824428753288494</v>
      </c>
      <c r="D101" s="2">
        <v>12.24</v>
      </c>
      <c r="H101" t="s">
        <v>1190</v>
      </c>
      <c r="I101">
        <f t="shared" ca="1" si="2"/>
        <v>0</v>
      </c>
      <c r="J101">
        <f t="shared" ca="1" si="3"/>
        <v>0</v>
      </c>
      <c r="L101" s="26" t="s">
        <v>1190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1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</row>
    <row r="102" spans="1:46" x14ac:dyDescent="0.2">
      <c r="A102" s="2" t="s">
        <v>17</v>
      </c>
      <c r="B102" s="2" t="str">
        <f>VLOOKUP(A102,'[14]Calculated coal req (reg.)'!$A$2:$B$599,2,FALSE)</f>
        <v>MUNDRA UMTPP</v>
      </c>
      <c r="C102" s="2">
        <v>11.7740050320461</v>
      </c>
      <c r="D102" s="2">
        <v>16.32</v>
      </c>
      <c r="H102" t="s">
        <v>995</v>
      </c>
      <c r="I102">
        <f t="shared" ca="1" si="2"/>
        <v>18.674646599139841</v>
      </c>
      <c r="J102">
        <f t="shared" ca="1" si="3"/>
        <v>40.392000000000003</v>
      </c>
      <c r="L102" s="26" t="s">
        <v>995</v>
      </c>
      <c r="M102" s="70">
        <v>0</v>
      </c>
      <c r="N102" s="70">
        <v>0</v>
      </c>
      <c r="O102" s="70">
        <v>0</v>
      </c>
      <c r="P102" s="70">
        <v>0</v>
      </c>
      <c r="Q102" s="70">
        <v>0</v>
      </c>
      <c r="R102" s="70">
        <v>0</v>
      </c>
      <c r="S102" s="70">
        <v>0</v>
      </c>
      <c r="T102" s="70">
        <v>0</v>
      </c>
      <c r="U102" s="70">
        <v>0</v>
      </c>
      <c r="V102" s="70">
        <v>0</v>
      </c>
      <c r="W102" s="70">
        <v>0</v>
      </c>
      <c r="X102" s="70">
        <v>0</v>
      </c>
      <c r="Y102" s="70">
        <v>0</v>
      </c>
      <c r="Z102" s="70">
        <v>0</v>
      </c>
      <c r="AA102" s="70">
        <v>0</v>
      </c>
      <c r="AB102" s="70">
        <v>0</v>
      </c>
      <c r="AC102" s="70">
        <v>0</v>
      </c>
      <c r="AD102" s="70">
        <v>0</v>
      </c>
      <c r="AE102" s="70">
        <v>0</v>
      </c>
      <c r="AF102" s="70">
        <v>0</v>
      </c>
      <c r="AG102" s="70">
        <v>0</v>
      </c>
      <c r="AH102" s="70">
        <v>0</v>
      </c>
      <c r="AI102" s="70">
        <v>0</v>
      </c>
      <c r="AJ102" s="70">
        <v>0</v>
      </c>
      <c r="AK102" s="70">
        <v>0</v>
      </c>
      <c r="AL102" s="70">
        <v>0</v>
      </c>
      <c r="AM102" s="70">
        <v>0</v>
      </c>
      <c r="AN102" s="70">
        <v>0</v>
      </c>
      <c r="AO102" s="70">
        <v>0</v>
      </c>
      <c r="AP102" s="70">
        <v>0</v>
      </c>
      <c r="AQ102" s="70">
        <v>0</v>
      </c>
      <c r="AR102" s="70">
        <v>1</v>
      </c>
      <c r="AS102" s="70">
        <v>0</v>
      </c>
      <c r="AT102" s="70">
        <v>0</v>
      </c>
    </row>
    <row r="103" spans="1:46" x14ac:dyDescent="0.2">
      <c r="A103" s="2" t="s">
        <v>21</v>
      </c>
      <c r="B103" s="2" t="str">
        <f>VLOOKUP(A103,'[14]Calculated coal req (reg.)'!$A$2:$B$599,2,FALSE)</f>
        <v>MUNDRA UMTPP</v>
      </c>
      <c r="C103" s="2">
        <v>14.915336574147601</v>
      </c>
      <c r="D103" s="2">
        <v>16.32</v>
      </c>
      <c r="H103" t="s">
        <v>978</v>
      </c>
      <c r="I103">
        <f t="shared" ca="1" si="2"/>
        <v>3.6697567218694802</v>
      </c>
      <c r="J103">
        <f t="shared" ca="1" si="3"/>
        <v>16.32</v>
      </c>
      <c r="L103" s="26" t="s">
        <v>978</v>
      </c>
      <c r="M103" s="70">
        <v>1.9334668794293328E-2</v>
      </c>
      <c r="N103" s="70">
        <v>0</v>
      </c>
      <c r="O103" s="70">
        <v>0</v>
      </c>
      <c r="P103" s="70">
        <v>0</v>
      </c>
      <c r="Q103" s="70">
        <v>0</v>
      </c>
      <c r="R103" s="70">
        <v>0.48622338037749574</v>
      </c>
      <c r="S103" s="70">
        <v>6.4597962443517634E-2</v>
      </c>
      <c r="T103" s="70">
        <v>1.9350544808633241E-2</v>
      </c>
      <c r="U103" s="70">
        <v>0</v>
      </c>
      <c r="V103" s="70">
        <v>1.1601755200184421E-2</v>
      </c>
      <c r="W103" s="70">
        <v>0.12390767180970026</v>
      </c>
      <c r="X103" s="70">
        <v>0</v>
      </c>
      <c r="Y103" s="70">
        <v>0</v>
      </c>
      <c r="Z103" s="70">
        <v>1.1703279927078643E-2</v>
      </c>
      <c r="AA103" s="70">
        <v>0</v>
      </c>
      <c r="AB103" s="70">
        <v>0</v>
      </c>
      <c r="AC103" s="70">
        <v>0</v>
      </c>
      <c r="AD103" s="70">
        <v>0</v>
      </c>
      <c r="AE103" s="70">
        <v>0.2475178974046563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1.5762839234440423E-2</v>
      </c>
      <c r="AQ103" s="70">
        <v>0</v>
      </c>
      <c r="AR103" s="70">
        <v>0</v>
      </c>
      <c r="AS103" s="70">
        <v>0</v>
      </c>
      <c r="AT103" s="70">
        <v>0</v>
      </c>
    </row>
    <row r="104" spans="1:46" x14ac:dyDescent="0.2">
      <c r="A104" s="2" t="s">
        <v>48</v>
      </c>
      <c r="B104" s="2" t="str">
        <f>VLOOKUP(A104,'[14]Calculated coal req (reg.)'!$A$2:$B$599,2,FALSE)</f>
        <v>PAINAMPURAM TPP</v>
      </c>
      <c r="C104" s="2">
        <v>13.611962717578299</v>
      </c>
      <c r="D104" s="2">
        <v>13.464</v>
      </c>
      <c r="H104" t="s">
        <v>1097</v>
      </c>
      <c r="I104">
        <f t="shared" ca="1" si="2"/>
        <v>7.6729184947825502</v>
      </c>
      <c r="J104">
        <f t="shared" ca="1" si="3"/>
        <v>6.3828000000000005</v>
      </c>
      <c r="L104" s="26" t="s">
        <v>1097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0.67032824534036484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0.32598792638391483</v>
      </c>
      <c r="AP104" s="70">
        <v>0</v>
      </c>
      <c r="AQ104" s="70">
        <v>0</v>
      </c>
      <c r="AR104" s="70">
        <v>0</v>
      </c>
      <c r="AS104" s="70">
        <v>0</v>
      </c>
      <c r="AT104" s="70">
        <v>3.6838282757204049E-3</v>
      </c>
    </row>
    <row r="105" spans="1:46" x14ac:dyDescent="0.2">
      <c r="A105" s="2" t="s">
        <v>22</v>
      </c>
      <c r="B105" s="2" t="str">
        <f>VLOOKUP(A105,'[14]Calculated coal req (reg.)'!$A$2:$B$599,2,FALSE)</f>
        <v>MUNDRA UMTPP</v>
      </c>
      <c r="C105" s="2">
        <v>16.703360893938498</v>
      </c>
      <c r="D105" s="2">
        <v>16.32</v>
      </c>
      <c r="H105" t="s">
        <v>1003</v>
      </c>
      <c r="I105">
        <f t="shared" ca="1" si="2"/>
        <v>19.026439205113263</v>
      </c>
      <c r="J105">
        <f t="shared" ca="1" si="3"/>
        <v>26.928000000000001</v>
      </c>
      <c r="L105" s="26" t="s">
        <v>1003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1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</row>
    <row r="106" spans="1:46" x14ac:dyDescent="0.2">
      <c r="A106" s="2" t="s">
        <v>24</v>
      </c>
      <c r="B106" s="2" t="str">
        <f>VLOOKUP(A106,'[14]Calculated coal req (reg.)'!$A$2:$B$599,2,FALSE)</f>
        <v>MUNDRA UMTPP</v>
      </c>
      <c r="C106" s="2">
        <v>16.119518168335102</v>
      </c>
      <c r="D106" s="2">
        <v>16.32</v>
      </c>
      <c r="H106" t="s">
        <v>1034</v>
      </c>
      <c r="I106">
        <f t="shared" ca="1" si="2"/>
        <v>18.878753124812398</v>
      </c>
      <c r="J106">
        <f t="shared" ca="1" si="3"/>
        <v>21.42</v>
      </c>
      <c r="L106" s="26" t="s">
        <v>1034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0.45956471400516963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0.54043528599483026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</row>
    <row r="107" spans="1:46" x14ac:dyDescent="0.2">
      <c r="A107" s="2" t="s">
        <v>55</v>
      </c>
      <c r="B107" s="2" t="str">
        <f>VLOOKUP(A107,'[14]Calculated coal req (reg.)'!$A$2:$B$599,2,FALSE)</f>
        <v>PAINAMPURAM TPP</v>
      </c>
      <c r="C107" s="2">
        <v>11.253573890106701</v>
      </c>
      <c r="D107" s="2">
        <v>13.464</v>
      </c>
      <c r="H107" t="s">
        <v>1140</v>
      </c>
      <c r="I107">
        <f t="shared" ca="1" si="2"/>
        <v>0.31264612391192903</v>
      </c>
      <c r="J107">
        <f t="shared" ca="1" si="3"/>
        <v>0</v>
      </c>
      <c r="L107" s="26" t="s">
        <v>1140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1</v>
      </c>
      <c r="AS107" s="70">
        <v>0</v>
      </c>
      <c r="AT107" s="70">
        <v>0</v>
      </c>
    </row>
    <row r="108" spans="1:46" x14ac:dyDescent="0.2">
      <c r="A108" s="2" t="s">
        <v>25</v>
      </c>
      <c r="B108" s="2" t="str">
        <f>VLOOKUP(A108,'[14]Calculated coal req (reg.)'!$A$2:$B$599,2,FALSE)</f>
        <v>MUNDRA UMTPP</v>
      </c>
      <c r="C108" s="2">
        <v>15.0466075992725</v>
      </c>
      <c r="D108" s="2">
        <v>16.32</v>
      </c>
      <c r="H108" t="s">
        <v>1030</v>
      </c>
      <c r="I108">
        <f t="shared" ca="1" si="2"/>
        <v>15.4330402920751</v>
      </c>
      <c r="J108">
        <f t="shared" ca="1" si="3"/>
        <v>20.399999999999999</v>
      </c>
      <c r="L108" s="26" t="s">
        <v>1030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0.47450658628788678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0.52549341371211322</v>
      </c>
      <c r="AQ108" s="70">
        <v>0</v>
      </c>
      <c r="AR108" s="70">
        <v>0</v>
      </c>
      <c r="AS108" s="70">
        <v>0</v>
      </c>
      <c r="AT108" s="70">
        <v>0</v>
      </c>
    </row>
    <row r="109" spans="1:46" x14ac:dyDescent="0.2">
      <c r="A109" s="2" t="s">
        <v>136</v>
      </c>
      <c r="B109" s="2" t="str">
        <f>VLOOKUP(A109,'[14]Calculated coal req (reg.)'!$A$2:$B$599,2,FALSE)</f>
        <v>STERLITE TPP UNIT 1-2</v>
      </c>
      <c r="C109" s="2">
        <v>0.112268817204301</v>
      </c>
      <c r="D109" s="2">
        <v>11.52</v>
      </c>
      <c r="H109" t="s">
        <v>1040</v>
      </c>
      <c r="I109">
        <f t="shared" ca="1" si="2"/>
        <v>13.799729260907171</v>
      </c>
      <c r="J109">
        <f t="shared" ca="1" si="3"/>
        <v>20.399999999999999</v>
      </c>
      <c r="L109" s="26" t="s">
        <v>1040</v>
      </c>
      <c r="M109" s="70">
        <v>3.8947619067024236E-2</v>
      </c>
      <c r="N109" s="70">
        <v>0</v>
      </c>
      <c r="O109" s="70">
        <v>0</v>
      </c>
      <c r="P109" s="70">
        <v>0</v>
      </c>
      <c r="Q109" s="70">
        <v>0</v>
      </c>
      <c r="R109" s="70">
        <v>5.164218660779208E-2</v>
      </c>
      <c r="S109" s="70">
        <v>4.4609041252068569E-2</v>
      </c>
      <c r="T109" s="70">
        <v>1.6113242425194008E-2</v>
      </c>
      <c r="U109" s="70">
        <v>0</v>
      </c>
      <c r="V109" s="70">
        <v>1.6940395263054311E-2</v>
      </c>
      <c r="W109" s="70">
        <v>0.31250529581137881</v>
      </c>
      <c r="X109" s="70">
        <v>0</v>
      </c>
      <c r="Y109" s="70">
        <v>0</v>
      </c>
      <c r="Z109" s="70">
        <v>5.9508274064372403E-3</v>
      </c>
      <c r="AA109" s="70">
        <v>0</v>
      </c>
      <c r="AB109" s="70">
        <v>0</v>
      </c>
      <c r="AC109" s="70">
        <v>0</v>
      </c>
      <c r="AD109" s="70">
        <v>0.11081070016422416</v>
      </c>
      <c r="AE109" s="70">
        <v>0.39038917865643952</v>
      </c>
      <c r="AF109" s="70">
        <v>0</v>
      </c>
      <c r="AG109" s="70">
        <v>0</v>
      </c>
      <c r="AH109" s="70">
        <v>0</v>
      </c>
      <c r="AI109" s="70">
        <v>0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1.2091513346387034E-2</v>
      </c>
      <c r="AQ109" s="70">
        <v>0</v>
      </c>
      <c r="AR109" s="70">
        <v>0</v>
      </c>
      <c r="AS109" s="70">
        <v>0</v>
      </c>
      <c r="AT109" s="70">
        <v>0</v>
      </c>
    </row>
    <row r="110" spans="1:46" x14ac:dyDescent="0.2">
      <c r="A110" s="2" t="s">
        <v>103</v>
      </c>
      <c r="B110" s="2" t="str">
        <f>VLOOKUP(A110,'[14]Calculated coal req (reg.)'!$A$2:$B$599,2,FALSE)</f>
        <v>AVANTHA BHANDAR</v>
      </c>
      <c r="C110" s="2">
        <v>0.14995622376116799</v>
      </c>
      <c r="D110" s="2">
        <v>12.24</v>
      </c>
      <c r="H110" t="s">
        <v>994</v>
      </c>
      <c r="I110">
        <f t="shared" ca="1" si="2"/>
        <v>15.613535759309279</v>
      </c>
      <c r="J110">
        <f t="shared" ca="1" si="3"/>
        <v>26.928000000000001</v>
      </c>
      <c r="L110" s="26" t="s">
        <v>994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5.6947832154779866E-2</v>
      </c>
      <c r="S110" s="70">
        <v>4.769682626235288E-2</v>
      </c>
      <c r="T110" s="70">
        <v>1.7074794115112448E-2</v>
      </c>
      <c r="U110" s="70">
        <v>0</v>
      </c>
      <c r="V110" s="70">
        <v>1.7797928069118073E-2</v>
      </c>
      <c r="W110" s="70">
        <v>0.29659776636092711</v>
      </c>
      <c r="X110" s="70">
        <v>0</v>
      </c>
      <c r="Y110" s="70">
        <v>0</v>
      </c>
      <c r="Z110" s="70">
        <v>5.3940963566370646E-3</v>
      </c>
      <c r="AA110" s="70">
        <v>0</v>
      </c>
      <c r="AB110" s="70">
        <v>0</v>
      </c>
      <c r="AC110" s="70">
        <v>0</v>
      </c>
      <c r="AD110" s="70">
        <v>0.12345255212698973</v>
      </c>
      <c r="AE110" s="70">
        <v>0.42204634854011214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1.2991856013970777E-2</v>
      </c>
      <c r="AQ110" s="70">
        <v>0</v>
      </c>
      <c r="AR110" s="70">
        <v>0</v>
      </c>
      <c r="AS110" s="70">
        <v>0</v>
      </c>
      <c r="AT110" s="70">
        <v>0</v>
      </c>
    </row>
    <row r="111" spans="1:46" x14ac:dyDescent="0.2">
      <c r="A111" s="2" t="s">
        <v>116</v>
      </c>
      <c r="B111" s="2" t="str">
        <f>VLOOKUP(A111,'[14]Calculated coal req (reg.)'!$A$2:$B$599,2,FALSE)</f>
        <v>VIZAG TPS</v>
      </c>
      <c r="C111" s="2">
        <v>3.2796099313169802</v>
      </c>
      <c r="D111" s="2">
        <v>10.608000000000001</v>
      </c>
      <c r="H111" t="s">
        <v>990</v>
      </c>
      <c r="I111">
        <f t="shared" ca="1" si="2"/>
        <v>1.53725666199158</v>
      </c>
      <c r="J111">
        <f t="shared" ca="1" si="3"/>
        <v>13.464</v>
      </c>
      <c r="L111" s="26" t="s">
        <v>990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4.0077933552512927E-2</v>
      </c>
      <c r="AN111" s="70">
        <v>0</v>
      </c>
      <c r="AO111" s="70">
        <v>0</v>
      </c>
      <c r="AP111" s="70">
        <v>0</v>
      </c>
      <c r="AQ111" s="70">
        <v>0</v>
      </c>
      <c r="AR111" s="70">
        <v>0.95992206644748712</v>
      </c>
      <c r="AS111" s="70">
        <v>0</v>
      </c>
      <c r="AT111" s="70">
        <v>0</v>
      </c>
    </row>
    <row r="112" spans="1:46" x14ac:dyDescent="0.2">
      <c r="A112" s="2" t="s">
        <v>117</v>
      </c>
      <c r="B112" s="2" t="str">
        <f>VLOOKUP(A112,'[14]Calculated coal req (reg.)'!$A$2:$B$599,2,FALSE)</f>
        <v>SAGARDIGHI TPS UNIT 3-4</v>
      </c>
      <c r="C112" s="2">
        <v>4.6693541995515302</v>
      </c>
      <c r="D112" s="2">
        <v>10.199999999999999</v>
      </c>
      <c r="H112" t="s">
        <v>1046</v>
      </c>
      <c r="I112">
        <f t="shared" ca="1" si="2"/>
        <v>34.331585331525517</v>
      </c>
      <c r="J112">
        <f t="shared" ca="1" si="3"/>
        <v>20.399999999999999</v>
      </c>
      <c r="L112" s="26" t="s">
        <v>1046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0.34553323600702818</v>
      </c>
      <c r="V112" s="70">
        <v>0</v>
      </c>
      <c r="W112" s="70">
        <v>0</v>
      </c>
      <c r="X112" s="70">
        <v>0.1288309193188196</v>
      </c>
      <c r="Y112" s="70">
        <v>0</v>
      </c>
      <c r="Z112" s="70">
        <v>0</v>
      </c>
      <c r="AA112" s="70">
        <v>0</v>
      </c>
      <c r="AB112" s="70">
        <v>0.301478999888038</v>
      </c>
      <c r="AC112" s="70">
        <v>0.17280765962912317</v>
      </c>
      <c r="AD112" s="70">
        <v>5.1349185156990877E-2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</row>
    <row r="113" spans="1:46" x14ac:dyDescent="0.2">
      <c r="A113" s="2" t="s">
        <v>119</v>
      </c>
      <c r="B113" s="2" t="str">
        <f>VLOOKUP(A113,'[14]Calculated coal req (reg.)'!$A$2:$B$599,2,FALSE)</f>
        <v>VIZAG TPS</v>
      </c>
      <c r="C113" s="2">
        <v>3.2181551472962702</v>
      </c>
      <c r="D113" s="2">
        <v>10.608000000000001</v>
      </c>
      <c r="H113" t="s">
        <v>1141</v>
      </c>
      <c r="I113">
        <f t="shared" ca="1" si="2"/>
        <v>14.139132546807691</v>
      </c>
      <c r="J113">
        <f t="shared" ca="1" si="3"/>
        <v>0</v>
      </c>
      <c r="L113" s="26" t="s">
        <v>1141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1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</row>
    <row r="114" spans="1:46" x14ac:dyDescent="0.2">
      <c r="A114" s="2" t="s">
        <v>114</v>
      </c>
      <c r="B114" s="2" t="str">
        <f>VLOOKUP(A114,'[14]Calculated coal req (reg.)'!$A$2:$B$599,2,FALSE)</f>
        <v>UNCHAHAR STPS UNIT 6</v>
      </c>
      <c r="C114" s="2">
        <v>3.89785620354185</v>
      </c>
      <c r="D114" s="2">
        <v>10.199999999999999</v>
      </c>
      <c r="H114" t="s">
        <v>1031</v>
      </c>
      <c r="I114">
        <f t="shared" ca="1" si="2"/>
        <v>7.8208142283313</v>
      </c>
      <c r="J114">
        <f t="shared" ca="1" si="3"/>
        <v>12.24</v>
      </c>
      <c r="L114" s="26" t="s">
        <v>1031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1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</row>
    <row r="115" spans="1:46" x14ac:dyDescent="0.2">
      <c r="A115" s="2" t="s">
        <v>122</v>
      </c>
      <c r="B115" s="2" t="str">
        <f>VLOOKUP(A115,'[14]Calculated coal req (reg.)'!$A$2:$B$599,2,FALSE)</f>
        <v>MARWA TPS</v>
      </c>
      <c r="C115" s="2">
        <v>7.6545173418436701</v>
      </c>
      <c r="D115" s="2">
        <v>10.199999999999999</v>
      </c>
      <c r="H115" t="s">
        <v>1142</v>
      </c>
      <c r="I115">
        <f t="shared" ca="1" si="2"/>
        <v>22.55913345687048</v>
      </c>
      <c r="J115">
        <f t="shared" ca="1" si="3"/>
        <v>0</v>
      </c>
      <c r="L115" s="26" t="s">
        <v>1142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1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</row>
    <row r="116" spans="1:46" x14ac:dyDescent="0.2">
      <c r="A116" s="2" t="s">
        <v>126</v>
      </c>
      <c r="B116" s="2"/>
      <c r="C116" s="2">
        <v>8.0243895406359709</v>
      </c>
      <c r="D116" s="2">
        <v>10.199999999999999</v>
      </c>
      <c r="H116" t="s">
        <v>1062</v>
      </c>
      <c r="I116">
        <f t="shared" ca="1" si="2"/>
        <v>14.148905065507719</v>
      </c>
      <c r="J116">
        <f t="shared" ca="1" si="3"/>
        <v>26.928000000000001</v>
      </c>
      <c r="L116" s="26" t="s">
        <v>1062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1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</row>
    <row r="117" spans="1:46" x14ac:dyDescent="0.2">
      <c r="A117" s="2" t="s">
        <v>115</v>
      </c>
      <c r="B117" s="2" t="str">
        <f>VLOOKUP(A117,'[14]Calculated coal req (reg.)'!$A$2:$B$599,2,FALSE)</f>
        <v>METTUR TPS EXT</v>
      </c>
      <c r="C117" s="2">
        <v>7.8208142283313</v>
      </c>
      <c r="D117" s="2">
        <v>12.24</v>
      </c>
      <c r="H117" t="s">
        <v>1061</v>
      </c>
      <c r="I117">
        <f t="shared" ca="1" si="2"/>
        <v>32.281526043752102</v>
      </c>
      <c r="J117">
        <f t="shared" ca="1" si="3"/>
        <v>40.392000000000003</v>
      </c>
      <c r="L117" s="26" t="s">
        <v>1061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1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</row>
    <row r="118" spans="1:46" x14ac:dyDescent="0.2">
      <c r="A118" s="2" t="s">
        <v>128</v>
      </c>
      <c r="B118" s="2" t="str">
        <f>VLOOKUP(A118,'[14]Calculated coal req (reg.)'!$A$2:$B$599,2,FALSE)</f>
        <v>SAGARDIGHI TPS UNIT 3-4</v>
      </c>
      <c r="C118" s="2">
        <v>5.4267830369637498</v>
      </c>
      <c r="D118" s="2">
        <v>10.199999999999999</v>
      </c>
      <c r="H118" t="s">
        <v>1024</v>
      </c>
      <c r="I118">
        <f t="shared" ca="1" si="2"/>
        <v>74.558828267739813</v>
      </c>
      <c r="J118">
        <f t="shared" ca="1" si="3"/>
        <v>81.599999999999994</v>
      </c>
      <c r="L118" s="26" t="s">
        <v>1024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0.48927749773511264</v>
      </c>
      <c r="X118" s="70">
        <v>9.9128862392160108E-2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0.19700586798675462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0.12847647582949176</v>
      </c>
      <c r="AM118" s="70">
        <v>8.6111296056480741E-2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</row>
    <row r="119" spans="1:46" x14ac:dyDescent="0.2">
      <c r="A119" s="2" t="s">
        <v>129</v>
      </c>
      <c r="B119" s="2" t="str">
        <f>VLOOKUP(A119,'[14]Calculated coal req (reg.)'!$A$2:$B$599,2,FALSE)</f>
        <v>VINDHYACHAL STPS UNIT 13</v>
      </c>
      <c r="C119" s="2">
        <v>10.984117364910301</v>
      </c>
      <c r="D119" s="2">
        <v>10.199999999999999</v>
      </c>
      <c r="H119" t="s">
        <v>1067</v>
      </c>
      <c r="I119">
        <f t="shared" ca="1" si="2"/>
        <v>9.692831897192459</v>
      </c>
      <c r="J119">
        <f t="shared" ca="1" si="3"/>
        <v>24.48</v>
      </c>
      <c r="L119" s="26" t="s">
        <v>1067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1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</row>
    <row r="120" spans="1:46" x14ac:dyDescent="0.2">
      <c r="A120" s="2" t="s">
        <v>125</v>
      </c>
      <c r="B120" s="2" t="str">
        <f>VLOOKUP(A120,'[14]Calculated coal req (reg.)'!$A$2:$B$599,2,FALSE)</f>
        <v>CHANDRAPUR UNITS 8-9</v>
      </c>
      <c r="C120" s="2">
        <v>8.8910286667726002</v>
      </c>
      <c r="D120" s="2">
        <v>10.199999999999999</v>
      </c>
      <c r="H120" t="s">
        <v>1143</v>
      </c>
      <c r="I120">
        <f t="shared" ca="1" si="2"/>
        <v>2.0333862356022738</v>
      </c>
      <c r="J120">
        <f t="shared" ca="1" si="3"/>
        <v>0</v>
      </c>
      <c r="L120" s="26" t="s">
        <v>1143</v>
      </c>
      <c r="M120" s="70">
        <v>0</v>
      </c>
      <c r="N120" s="70">
        <v>0</v>
      </c>
      <c r="O120" s="70">
        <v>0</v>
      </c>
      <c r="P120" s="70">
        <v>1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</row>
    <row r="121" spans="1:46" x14ac:dyDescent="0.2">
      <c r="A121" s="2" t="s">
        <v>140</v>
      </c>
      <c r="B121" s="2" t="str">
        <f>VLOOKUP(A121,'[14]Calculated coal req (reg.)'!$A$2:$B$599,2,FALSE)</f>
        <v>MAITHON RB TPP</v>
      </c>
      <c r="C121" s="2">
        <v>9.7644689134311502</v>
      </c>
      <c r="D121" s="2">
        <v>10.71</v>
      </c>
      <c r="H121" t="s">
        <v>1106</v>
      </c>
      <c r="I121">
        <f t="shared" ca="1" si="2"/>
        <v>5.7341747908724798</v>
      </c>
      <c r="J121">
        <f t="shared" ca="1" si="3"/>
        <v>2.3048999999999999</v>
      </c>
      <c r="L121" s="26" t="s">
        <v>1106</v>
      </c>
      <c r="M121" s="70">
        <v>0</v>
      </c>
      <c r="N121" s="70">
        <v>0</v>
      </c>
      <c r="O121" s="70">
        <v>0</v>
      </c>
      <c r="P121" s="70">
        <v>0.9970529548057987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2.947045194201252E-3</v>
      </c>
      <c r="AQ121" s="70">
        <v>0</v>
      </c>
      <c r="AR121" s="70">
        <v>0</v>
      </c>
      <c r="AS121" s="70">
        <v>0</v>
      </c>
      <c r="AT121" s="70">
        <v>0</v>
      </c>
    </row>
    <row r="122" spans="1:46" x14ac:dyDescent="0.2">
      <c r="A122" s="2" t="s">
        <v>133</v>
      </c>
      <c r="B122" s="2" t="str">
        <f>VLOOKUP(A122,'[14]Calculated coal req (reg.)'!$A$2:$B$599,2,FALSE)</f>
        <v>CHANDRAPUR UNITS 8-9</v>
      </c>
      <c r="C122" s="2">
        <v>8.5564452096458101</v>
      </c>
      <c r="D122" s="2">
        <v>10.199999999999999</v>
      </c>
      <c r="H122" t="s">
        <v>1080</v>
      </c>
      <c r="I122">
        <f t="shared" ca="1" si="2"/>
        <v>11.266875779885659</v>
      </c>
      <c r="J122">
        <f t="shared" ca="1" si="3"/>
        <v>11.01</v>
      </c>
      <c r="L122" s="26" t="s">
        <v>1080</v>
      </c>
      <c r="M122" s="70">
        <v>0</v>
      </c>
      <c r="N122" s="70">
        <v>0</v>
      </c>
      <c r="O122" s="70">
        <v>0</v>
      </c>
      <c r="P122" s="70">
        <v>1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</row>
    <row r="123" spans="1:46" x14ac:dyDescent="0.2">
      <c r="A123" s="2" t="s">
        <v>148</v>
      </c>
      <c r="B123" s="2" t="str">
        <f>VLOOKUP(A123,'[14]Calculated coal req (reg.)'!$A$2:$B$599,2,FALSE)</f>
        <v>MAITHON RB TPP</v>
      </c>
      <c r="C123" s="2">
        <v>9.1142842113812499</v>
      </c>
      <c r="D123" s="2">
        <v>10.71</v>
      </c>
      <c r="H123" t="s">
        <v>987</v>
      </c>
      <c r="I123">
        <f t="shared" ca="1" si="2"/>
        <v>6.1924459584723701</v>
      </c>
      <c r="J123">
        <f t="shared" ca="1" si="3"/>
        <v>13.464</v>
      </c>
      <c r="L123" s="26" t="s">
        <v>987</v>
      </c>
      <c r="M123" s="70">
        <v>0</v>
      </c>
      <c r="N123" s="70">
        <v>0</v>
      </c>
      <c r="O123" s="70">
        <v>0</v>
      </c>
      <c r="P123" s="70">
        <v>0.91147828523247798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8.8521714767521992E-2</v>
      </c>
      <c r="AS123" s="70">
        <v>0</v>
      </c>
      <c r="AT123" s="70">
        <v>0</v>
      </c>
    </row>
    <row r="124" spans="1:46" x14ac:dyDescent="0.2">
      <c r="A124" s="2" t="s">
        <v>137</v>
      </c>
      <c r="B124" s="2" t="str">
        <f>VLOOKUP(A124,'[14]Calculated coal req (reg.)'!$A$2:$B$599,2,FALSE)</f>
        <v>MARWA TPS</v>
      </c>
      <c r="C124" s="2">
        <v>7.7785229502314301</v>
      </c>
      <c r="D124" s="2">
        <v>10.199999999999999</v>
      </c>
      <c r="H124" t="s">
        <v>1144</v>
      </c>
      <c r="I124">
        <f t="shared" ca="1" si="2"/>
        <v>6.8066694985496099</v>
      </c>
      <c r="J124">
        <f t="shared" ca="1" si="3"/>
        <v>0</v>
      </c>
      <c r="L124" s="26" t="s">
        <v>1144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1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</row>
    <row r="125" spans="1:46" x14ac:dyDescent="0.2">
      <c r="A125" s="2" t="s">
        <v>138</v>
      </c>
      <c r="B125" s="2" t="str">
        <f>VLOOKUP(A125,'[14]Calculated coal req (reg.)'!$A$2:$B$599,2,FALSE)</f>
        <v>VALLUR TPP</v>
      </c>
      <c r="C125" s="2">
        <v>5.1219638935260399</v>
      </c>
      <c r="D125" s="2">
        <v>10.199999999999999</v>
      </c>
      <c r="H125" t="s">
        <v>1074</v>
      </c>
      <c r="I125">
        <f t="shared" ca="1" si="2"/>
        <v>8.0257664806751698</v>
      </c>
      <c r="J125">
        <f t="shared" ca="1" si="3"/>
        <v>12.24</v>
      </c>
      <c r="L125" s="26" t="s">
        <v>1074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1</v>
      </c>
      <c r="AS125" s="70">
        <v>0</v>
      </c>
      <c r="AT125" s="70">
        <v>0</v>
      </c>
    </row>
    <row r="126" spans="1:46" x14ac:dyDescent="0.2">
      <c r="A126" s="2" t="s">
        <v>139</v>
      </c>
      <c r="B126" s="2" t="str">
        <f>VLOOKUP(A126,'[14]Calculated coal req (reg.)'!$A$2:$B$599,2,FALSE)</f>
        <v>RIHAND STPS UNIT 5-6</v>
      </c>
      <c r="C126" s="2">
        <v>11.457591315747599</v>
      </c>
      <c r="D126" s="2">
        <v>10.199999999999999</v>
      </c>
      <c r="H126" t="s">
        <v>1191</v>
      </c>
      <c r="I126">
        <f t="shared" ca="1" si="2"/>
        <v>0</v>
      </c>
      <c r="J126">
        <f t="shared" ca="1" si="3"/>
        <v>0</v>
      </c>
      <c r="L126" s="26" t="s">
        <v>1191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0.28898306810824742</v>
      </c>
      <c r="AC126" s="70">
        <v>0.17189404286921076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3.9890726778809699E-2</v>
      </c>
      <c r="AL126" s="70">
        <v>0</v>
      </c>
      <c r="AM126" s="70">
        <v>0</v>
      </c>
      <c r="AN126" s="70">
        <v>0</v>
      </c>
      <c r="AO126" s="70">
        <v>0.49923216224373212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</row>
    <row r="127" spans="1:46" x14ac:dyDescent="0.2">
      <c r="A127" s="2" t="s">
        <v>141</v>
      </c>
      <c r="B127" s="2" t="str">
        <f>VLOOKUP(A127,'[14]Calculated coal req (reg.)'!$A$2:$B$599,2,FALSE)</f>
        <v>KORBA-WEST TPS UNIT 5</v>
      </c>
      <c r="C127" s="2">
        <v>10.4309758682486</v>
      </c>
      <c r="D127" s="2">
        <v>10.199999999999999</v>
      </c>
      <c r="H127" t="s">
        <v>1192</v>
      </c>
      <c r="I127">
        <f t="shared" ca="1" si="2"/>
        <v>0</v>
      </c>
      <c r="J127">
        <f t="shared" ca="1" si="3"/>
        <v>0</v>
      </c>
      <c r="L127" s="26" t="s">
        <v>1192</v>
      </c>
      <c r="M127" s="70">
        <v>5.0520429702514566E-2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6.8346811547954481E-2</v>
      </c>
      <c r="AL127" s="70">
        <v>0</v>
      </c>
      <c r="AM127" s="70">
        <v>0</v>
      </c>
      <c r="AN127" s="70">
        <v>0</v>
      </c>
      <c r="AO127" s="70">
        <v>0.81164926018979677</v>
      </c>
      <c r="AP127" s="70">
        <v>6.9483498559734236E-2</v>
      </c>
      <c r="AQ127" s="70">
        <v>0</v>
      </c>
      <c r="AR127" s="70">
        <v>0</v>
      </c>
      <c r="AS127" s="70">
        <v>0</v>
      </c>
      <c r="AT127" s="70">
        <v>0</v>
      </c>
    </row>
    <row r="128" spans="1:46" x14ac:dyDescent="0.2">
      <c r="A128" s="2" t="s">
        <v>143</v>
      </c>
      <c r="B128" s="2" t="str">
        <f>VLOOKUP(A128,'[14]Calculated coal req (reg.)'!$A$2:$B$599,2,FALSE)</f>
        <v>VINDHYACHAL STPS UNIT 11-12</v>
      </c>
      <c r="C128" s="2">
        <v>11.273447071702201</v>
      </c>
      <c r="D128" s="2">
        <v>10.199999999999999</v>
      </c>
      <c r="H128" t="s">
        <v>1193</v>
      </c>
      <c r="I128">
        <f t="shared" ca="1" si="2"/>
        <v>0</v>
      </c>
      <c r="J128">
        <f t="shared" ca="1" si="3"/>
        <v>0</v>
      </c>
      <c r="L128" s="26" t="s">
        <v>1193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1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</row>
    <row r="129" spans="1:46" x14ac:dyDescent="0.2">
      <c r="A129" s="2" t="s">
        <v>145</v>
      </c>
      <c r="B129" s="2" t="str">
        <f>VLOOKUP(A129,'[14]Calculated coal req (reg.)'!$A$2:$B$599,2,FALSE)</f>
        <v>KODARMA TPS</v>
      </c>
      <c r="C129" s="2">
        <v>8.0772158135141296</v>
      </c>
      <c r="D129" s="2">
        <v>10.199999999999999</v>
      </c>
      <c r="H129" t="s">
        <v>1194</v>
      </c>
      <c r="I129">
        <f t="shared" ca="1" si="2"/>
        <v>0</v>
      </c>
      <c r="J129">
        <f t="shared" ca="1" si="3"/>
        <v>0</v>
      </c>
      <c r="L129" s="26" t="s">
        <v>1194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0.27092917506125591</v>
      </c>
      <c r="AC129" s="70">
        <v>0.16358233527164787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3.7368070313059956E-2</v>
      </c>
      <c r="AL129" s="70">
        <v>0</v>
      </c>
      <c r="AM129" s="70">
        <v>0</v>
      </c>
      <c r="AN129" s="70">
        <v>0</v>
      </c>
      <c r="AO129" s="70">
        <v>0.52812041935403642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</row>
    <row r="130" spans="1:46" x14ac:dyDescent="0.2">
      <c r="A130" s="2" t="s">
        <v>146</v>
      </c>
      <c r="B130" s="2" t="str">
        <f>VLOOKUP(A130,'[14]Calculated coal req (reg.)'!$A$2:$B$599,2,FALSE)</f>
        <v>VALLUR TPP</v>
      </c>
      <c r="C130" s="2">
        <v>6.2411626781079503</v>
      </c>
      <c r="D130" s="2">
        <v>10.199999999999999</v>
      </c>
      <c r="H130" t="s">
        <v>1195</v>
      </c>
      <c r="I130">
        <f t="shared" ca="1" si="2"/>
        <v>0</v>
      </c>
      <c r="J130">
        <f t="shared" ca="1" si="3"/>
        <v>0</v>
      </c>
      <c r="L130" s="26" t="s">
        <v>1195</v>
      </c>
      <c r="M130" s="70">
        <v>9.5793872573547087E-2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0.2323464444982313</v>
      </c>
      <c r="AC130" s="70">
        <v>0.12598004751109823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0.13790929996554838</v>
      </c>
      <c r="AL130" s="70">
        <v>0</v>
      </c>
      <c r="AM130" s="70">
        <v>0</v>
      </c>
      <c r="AN130" s="70">
        <v>0</v>
      </c>
      <c r="AO130" s="70">
        <v>0.31411098597466158</v>
      </c>
      <c r="AP130" s="70">
        <v>9.3859349476913406E-2</v>
      </c>
      <c r="AQ130" s="70">
        <v>0</v>
      </c>
      <c r="AR130" s="70">
        <v>0</v>
      </c>
      <c r="AS130" s="70">
        <v>0</v>
      </c>
      <c r="AT130" s="70">
        <v>0</v>
      </c>
    </row>
    <row r="131" spans="1:46" x14ac:dyDescent="0.2">
      <c r="A131" s="2" t="s">
        <v>149</v>
      </c>
      <c r="B131" s="2" t="str">
        <f>VLOOKUP(A131,'[14]Calculated coal req (reg.)'!$A$2:$B$599,2,FALSE)</f>
        <v>VINDHYACHAL STPS UNIT 11-12</v>
      </c>
      <c r="C131" s="2">
        <v>10.983951617317301</v>
      </c>
      <c r="D131" s="2">
        <v>10.199999999999999</v>
      </c>
      <c r="H131" t="s">
        <v>1196</v>
      </c>
      <c r="I131">
        <f t="shared" ref="I131:I194" ca="1" si="4">SUMIF($B$2:$C$542,H131,$C$2:$C$542)</f>
        <v>0</v>
      </c>
      <c r="J131">
        <f t="shared" ref="J131:J194" ca="1" si="5">SUMIF($B$2:$D$542,H131,$D$2:$D$542)</f>
        <v>0</v>
      </c>
      <c r="L131" s="26" t="s">
        <v>1196</v>
      </c>
      <c r="M131" s="70">
        <v>0.1187900486312467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  <c r="T131" s="70">
        <v>0</v>
      </c>
      <c r="U131" s="70">
        <v>0</v>
      </c>
      <c r="V131" s="70">
        <v>0</v>
      </c>
      <c r="W131" s="70">
        <v>0</v>
      </c>
      <c r="X131" s="70">
        <v>0</v>
      </c>
      <c r="Y131" s="70">
        <v>0</v>
      </c>
      <c r="Z131" s="70">
        <v>0</v>
      </c>
      <c r="AA131" s="70">
        <v>0</v>
      </c>
      <c r="AB131" s="70">
        <v>0.2380948902759811</v>
      </c>
      <c r="AC131" s="70">
        <v>0.13447488539732846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3.5996931339009539E-2</v>
      </c>
      <c r="AL131" s="70">
        <v>0</v>
      </c>
      <c r="AM131" s="70">
        <v>0</v>
      </c>
      <c r="AN131" s="70">
        <v>0</v>
      </c>
      <c r="AO131" s="70">
        <v>0.34571728078377428</v>
      </c>
      <c r="AP131" s="70">
        <v>0.12692596357265995</v>
      </c>
      <c r="AQ131" s="70">
        <v>0</v>
      </c>
      <c r="AR131" s="70">
        <v>0</v>
      </c>
      <c r="AS131" s="70">
        <v>0</v>
      </c>
      <c r="AT131" s="70">
        <v>0</v>
      </c>
    </row>
    <row r="132" spans="1:46" x14ac:dyDescent="0.2">
      <c r="A132" s="2" t="s">
        <v>150</v>
      </c>
      <c r="B132" s="2" t="str">
        <f>VLOOKUP(A132,'[14]Calculated coal req (reg.)'!$A$2:$B$599,2,FALSE)</f>
        <v>RIHAND STPS UNIT 5-6</v>
      </c>
      <c r="C132" s="2">
        <v>10.8166125236153</v>
      </c>
      <c r="D132" s="2">
        <v>10.199999999999999</v>
      </c>
      <c r="H132" t="s">
        <v>997</v>
      </c>
      <c r="I132">
        <f t="shared" ca="1" si="4"/>
        <v>18.83361043656441</v>
      </c>
      <c r="J132">
        <f t="shared" ca="1" si="5"/>
        <v>26.928000000000001</v>
      </c>
      <c r="L132" s="26" t="s">
        <v>997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1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</row>
    <row r="133" spans="1:46" x14ac:dyDescent="0.2">
      <c r="A133" s="2" t="s">
        <v>144</v>
      </c>
      <c r="B133" s="2" t="str">
        <f>VLOOKUP(A133,'[14]Calculated coal req (reg.)'!$A$2:$B$599,2,FALSE)</f>
        <v>MAUDA TPS UNIT 1-2</v>
      </c>
      <c r="C133" s="2">
        <v>6.3853825493935004</v>
      </c>
      <c r="D133" s="2">
        <v>10.199999999999999</v>
      </c>
      <c r="H133" t="s">
        <v>1145</v>
      </c>
      <c r="I133">
        <f t="shared" ca="1" si="4"/>
        <v>10.4644362169483</v>
      </c>
      <c r="J133">
        <f t="shared" ca="1" si="5"/>
        <v>0</v>
      </c>
      <c r="L133" s="26" t="s">
        <v>1145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  <c r="T133" s="70">
        <v>0</v>
      </c>
      <c r="U133" s="70">
        <v>0</v>
      </c>
      <c r="V133" s="70">
        <v>0</v>
      </c>
      <c r="W133" s="70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1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</row>
    <row r="134" spans="1:46" x14ac:dyDescent="0.2">
      <c r="A134" s="2" t="s">
        <v>156</v>
      </c>
      <c r="B134" s="2" t="str">
        <f>VLOOKUP(A134,'[14]Calculated coal req (reg.)'!$A$2:$B$599,2,FALSE)</f>
        <v>BELLARY TPS UNIT 2</v>
      </c>
      <c r="C134" s="2">
        <v>5.2037938662005301</v>
      </c>
      <c r="D134" s="2">
        <v>10.199999999999999</v>
      </c>
      <c r="H134" t="s">
        <v>1023</v>
      </c>
      <c r="I134">
        <f t="shared" ca="1" si="4"/>
        <v>16.485177739216788</v>
      </c>
      <c r="J134">
        <f t="shared" ca="1" si="5"/>
        <v>24.48</v>
      </c>
      <c r="L134" s="26" t="s">
        <v>1023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1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</row>
    <row r="135" spans="1:46" x14ac:dyDescent="0.2">
      <c r="A135" s="2" t="s">
        <v>152</v>
      </c>
      <c r="B135" s="2" t="str">
        <f>VLOOKUP(A135,'[14]Calculated coal req (reg.)'!$A$2:$B$599,2,FALSE)</f>
        <v>DURGAPUR STEEL TPS</v>
      </c>
      <c r="C135" s="2">
        <v>9.2190227651535199</v>
      </c>
      <c r="D135" s="2">
        <v>10.199999999999999</v>
      </c>
      <c r="H135" t="s">
        <v>1052</v>
      </c>
      <c r="I135">
        <f t="shared" ca="1" si="4"/>
        <v>13.84915910971227</v>
      </c>
      <c r="J135">
        <f t="shared" ca="1" si="5"/>
        <v>20.399999999999999</v>
      </c>
      <c r="L135" s="26" t="s">
        <v>1052</v>
      </c>
      <c r="M135" s="70">
        <v>0.11927272507239764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0.19631116256522574</v>
      </c>
      <c r="AC135" s="70">
        <v>8.6895546227624076E-2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2.4093157523011898E-2</v>
      </c>
      <c r="AL135" s="70">
        <v>0</v>
      </c>
      <c r="AM135" s="70">
        <v>0</v>
      </c>
      <c r="AN135" s="70">
        <v>0</v>
      </c>
      <c r="AO135" s="70">
        <v>0.43190646257445586</v>
      </c>
      <c r="AP135" s="70">
        <v>0.14152094603728468</v>
      </c>
      <c r="AQ135" s="70">
        <v>0</v>
      </c>
      <c r="AR135" s="70">
        <v>0</v>
      </c>
      <c r="AS135" s="70">
        <v>0</v>
      </c>
      <c r="AT135" s="70">
        <v>0</v>
      </c>
    </row>
    <row r="136" spans="1:46" x14ac:dyDescent="0.2">
      <c r="A136" s="2" t="s">
        <v>157</v>
      </c>
      <c r="B136" s="2" t="str">
        <f>VLOOKUP(A136,'[14]Calculated coal req (reg.)'!$A$2:$B$599,2,FALSE)</f>
        <v>VALLUR TPP</v>
      </c>
      <c r="C136" s="2">
        <v>6.2597657750233902</v>
      </c>
      <c r="D136" s="2">
        <v>10.199999999999999</v>
      </c>
      <c r="H136" t="s">
        <v>1146</v>
      </c>
      <c r="I136">
        <f t="shared" ca="1" si="4"/>
        <v>1.5340792540792501</v>
      </c>
      <c r="J136">
        <f t="shared" ca="1" si="5"/>
        <v>0</v>
      </c>
      <c r="L136" s="26" t="s">
        <v>1146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1</v>
      </c>
      <c r="AS136" s="70">
        <v>0</v>
      </c>
      <c r="AT136" s="70">
        <v>0</v>
      </c>
    </row>
    <row r="137" spans="1:46" x14ac:dyDescent="0.2">
      <c r="A137" s="2" t="s">
        <v>153</v>
      </c>
      <c r="B137" s="2" t="str">
        <f>VLOOKUP(A137,'[14]Calculated coal req (reg.)'!$A$2:$B$599,2,FALSE)</f>
        <v>SIMHADRI STPP UNIT 3-4</v>
      </c>
      <c r="C137" s="2">
        <v>8.1922288980701605</v>
      </c>
      <c r="D137" s="2">
        <v>10.199999999999999</v>
      </c>
      <c r="H137" t="s">
        <v>1147</v>
      </c>
      <c r="I137">
        <f t="shared" ca="1" si="4"/>
        <v>10.073275640438691</v>
      </c>
      <c r="J137">
        <f t="shared" ca="1" si="5"/>
        <v>0</v>
      </c>
      <c r="L137" s="26" t="s">
        <v>1147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1</v>
      </c>
      <c r="AS137" s="70">
        <v>0</v>
      </c>
      <c r="AT137" s="70">
        <v>0</v>
      </c>
    </row>
    <row r="138" spans="1:46" x14ac:dyDescent="0.2">
      <c r="A138" s="2" t="s">
        <v>161</v>
      </c>
      <c r="B138" s="2" t="str">
        <f>VLOOKUP(A138,'[14]Calculated coal req (reg.)'!$A$2:$B$599,2,FALSE)</f>
        <v>DURGAPUR STEEL TPS</v>
      </c>
      <c r="C138" s="2">
        <v>8.3721618440242196</v>
      </c>
      <c r="D138" s="2">
        <v>10.199999999999999</v>
      </c>
      <c r="H138" t="s">
        <v>1148</v>
      </c>
      <c r="I138">
        <f t="shared" ca="1" si="4"/>
        <v>7.7781501350707067</v>
      </c>
      <c r="J138">
        <f t="shared" ca="1" si="5"/>
        <v>0</v>
      </c>
      <c r="L138" s="26" t="s">
        <v>1148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  <c r="T138" s="70">
        <v>0</v>
      </c>
      <c r="U138" s="70">
        <v>0</v>
      </c>
      <c r="V138" s="70">
        <v>0</v>
      </c>
      <c r="W138" s="70">
        <v>0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0">
        <v>1</v>
      </c>
      <c r="AD138" s="70">
        <v>0</v>
      </c>
      <c r="AE138" s="70">
        <v>0</v>
      </c>
      <c r="AF138" s="70">
        <v>0</v>
      </c>
      <c r="AG138" s="70">
        <v>0</v>
      </c>
      <c r="AH138" s="70">
        <v>0</v>
      </c>
      <c r="AI138" s="70">
        <v>0</v>
      </c>
      <c r="AJ138" s="70">
        <v>0</v>
      </c>
      <c r="AK138" s="70">
        <v>0</v>
      </c>
      <c r="AL138" s="70">
        <v>0</v>
      </c>
      <c r="AM138" s="70">
        <v>0</v>
      </c>
      <c r="AN138" s="70">
        <v>0</v>
      </c>
      <c r="AO138" s="70">
        <v>0</v>
      </c>
      <c r="AP138" s="70">
        <v>0</v>
      </c>
      <c r="AQ138" s="70">
        <v>0</v>
      </c>
      <c r="AR138" s="70">
        <v>0</v>
      </c>
      <c r="AS138" s="70">
        <v>0</v>
      </c>
      <c r="AT138" s="70">
        <v>0</v>
      </c>
    </row>
    <row r="139" spans="1:46" x14ac:dyDescent="0.2">
      <c r="A139" s="2" t="s">
        <v>160</v>
      </c>
      <c r="B139" s="2" t="str">
        <f>VLOOKUP(A139,'[14]Calculated coal req (reg.)'!$A$2:$B$599,2,FALSE)</f>
        <v>KODARMA TPS</v>
      </c>
      <c r="C139" s="2">
        <v>9.6170488087292707</v>
      </c>
      <c r="D139" s="2">
        <v>10.199999999999999</v>
      </c>
      <c r="H139" t="s">
        <v>294</v>
      </c>
      <c r="I139">
        <f t="shared" ca="1" si="4"/>
        <v>19.497771588845062</v>
      </c>
      <c r="J139">
        <f t="shared" ca="1" si="5"/>
        <v>48.96</v>
      </c>
      <c r="L139" s="26" t="s">
        <v>294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6.3657096562616186E-2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0.42760497830610583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0.50873792513127791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</row>
    <row r="140" spans="1:46" x14ac:dyDescent="0.2">
      <c r="A140" s="2" t="s">
        <v>147</v>
      </c>
      <c r="B140" s="2" t="str">
        <f>VLOOKUP(A140,'[14]Calculated coal req (reg.)'!$A$2:$B$599,2,FALSE)</f>
        <v>INDIRA GANDHI STPP</v>
      </c>
      <c r="C140" s="2">
        <v>6.3909532157423499</v>
      </c>
      <c r="D140" s="2">
        <v>10.199999999999999</v>
      </c>
      <c r="H140" t="s">
        <v>1025</v>
      </c>
      <c r="I140">
        <f t="shared" ca="1" si="4"/>
        <v>24.865536607685002</v>
      </c>
      <c r="J140">
        <f t="shared" ca="1" si="5"/>
        <v>26.928000000000001</v>
      </c>
      <c r="L140" s="26" t="s">
        <v>1025</v>
      </c>
      <c r="M140" s="70">
        <v>0.35359200163174725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0.64640799836825269</v>
      </c>
      <c r="AQ140" s="70">
        <v>0</v>
      </c>
      <c r="AR140" s="70">
        <v>0</v>
      </c>
      <c r="AS140" s="70">
        <v>0</v>
      </c>
      <c r="AT140" s="70">
        <v>0</v>
      </c>
    </row>
    <row r="141" spans="1:46" x14ac:dyDescent="0.2">
      <c r="A141" s="2" t="s">
        <v>162</v>
      </c>
      <c r="B141" s="2" t="str">
        <f>VLOOKUP(A141,'[14]Calculated coal req (reg.)'!$A$2:$B$599,2,FALSE)</f>
        <v>KOTHAGUDEM NEW TPS UNIT 11</v>
      </c>
      <c r="C141" s="2">
        <v>10.0923394388827</v>
      </c>
      <c r="D141" s="2">
        <v>10.199999999999999</v>
      </c>
      <c r="H141" t="s">
        <v>1149</v>
      </c>
      <c r="I141">
        <f t="shared" ca="1" si="4"/>
        <v>0.26302802755750099</v>
      </c>
      <c r="J141">
        <f t="shared" ca="1" si="5"/>
        <v>0</v>
      </c>
      <c r="L141" s="26" t="s">
        <v>1149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1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</row>
    <row r="142" spans="1:46" x14ac:dyDescent="0.2">
      <c r="A142" s="2" t="s">
        <v>151</v>
      </c>
      <c r="B142" s="2" t="str">
        <f>VLOOKUP(A142,'[14]Calculated coal req (reg.)'!$A$2:$B$599,2,FALSE)</f>
        <v>MAUDA TPS UNIT 1-2</v>
      </c>
      <c r="C142" s="2">
        <v>7.4143467115136703</v>
      </c>
      <c r="D142" s="2">
        <v>10.199999999999999</v>
      </c>
      <c r="H142" t="s">
        <v>1150</v>
      </c>
      <c r="I142">
        <f t="shared" ca="1" si="4"/>
        <v>0.61630677790137101</v>
      </c>
      <c r="J142">
        <f t="shared" ca="1" si="5"/>
        <v>0</v>
      </c>
      <c r="L142" s="26" t="s">
        <v>1150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1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</row>
    <row r="143" spans="1:46" x14ac:dyDescent="0.2">
      <c r="A143" s="2" t="s">
        <v>164</v>
      </c>
      <c r="B143" s="2" t="str">
        <f>VLOOKUP(A143,'[14]Calculated coal req (reg.)'!$A$2:$B$599,2,FALSE)</f>
        <v>MEJIA TPS</v>
      </c>
      <c r="C143" s="2">
        <v>6.9566407955929801</v>
      </c>
      <c r="D143" s="2">
        <v>10.199999999999999</v>
      </c>
      <c r="H143" t="s">
        <v>1151</v>
      </c>
      <c r="I143">
        <f t="shared" ca="1" si="4"/>
        <v>3.21206361189852</v>
      </c>
      <c r="J143">
        <f t="shared" ca="1" si="5"/>
        <v>0</v>
      </c>
      <c r="L143" s="26" t="s">
        <v>1151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1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</row>
    <row r="144" spans="1:46" x14ac:dyDescent="0.2">
      <c r="A144" s="2" t="s">
        <v>155</v>
      </c>
      <c r="B144" s="2" t="str">
        <f>VLOOKUP(A144,'[14]Calculated coal req (reg.)'!$A$2:$B$599,2,FALSE)</f>
        <v>BHUSAWAL TPS UNIT 4-5</v>
      </c>
      <c r="C144" s="2">
        <v>8.2825333192082908</v>
      </c>
      <c r="D144" s="2">
        <v>10.199999999999999</v>
      </c>
      <c r="H144" t="s">
        <v>1152</v>
      </c>
      <c r="I144">
        <f t="shared" ca="1" si="4"/>
        <v>3.4156200073814702</v>
      </c>
      <c r="J144">
        <f t="shared" ca="1" si="5"/>
        <v>0</v>
      </c>
      <c r="L144" s="26" t="s">
        <v>1152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1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</row>
    <row r="145" spans="1:46" x14ac:dyDescent="0.2">
      <c r="A145" s="2" t="s">
        <v>154</v>
      </c>
      <c r="B145" s="2" t="str">
        <f>VLOOKUP(A145,'[14]Calculated coal req (reg.)'!$A$2:$B$599,2,FALSE)</f>
        <v>BHUSAWAL TPS UNIT 4-5</v>
      </c>
      <c r="C145" s="2">
        <v>8.3640380307925906</v>
      </c>
      <c r="D145" s="2">
        <v>10.199999999999999</v>
      </c>
      <c r="H145" t="s">
        <v>1197</v>
      </c>
      <c r="I145">
        <f t="shared" ca="1" si="4"/>
        <v>0</v>
      </c>
      <c r="J145">
        <f t="shared" ca="1" si="5"/>
        <v>0</v>
      </c>
      <c r="L145" s="26" t="s">
        <v>1197</v>
      </c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</row>
    <row r="146" spans="1:46" x14ac:dyDescent="0.2">
      <c r="A146" s="2" t="s">
        <v>159</v>
      </c>
      <c r="B146" s="2" t="str">
        <f>VLOOKUP(A146,'[14]Calculated coal req (reg.)'!$A$2:$B$599,2,FALSE)</f>
        <v>KHAPARKHEDA TPS UNIT 5</v>
      </c>
      <c r="C146" s="2">
        <v>8.5379622238112898</v>
      </c>
      <c r="D146" s="2">
        <v>10.199999999999999</v>
      </c>
      <c r="H146" t="s">
        <v>1153</v>
      </c>
      <c r="I146">
        <f t="shared" ca="1" si="4"/>
        <v>7.5461424576775498</v>
      </c>
      <c r="J146">
        <f t="shared" ca="1" si="5"/>
        <v>0</v>
      </c>
      <c r="L146" s="26" t="s">
        <v>1153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1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</row>
    <row r="147" spans="1:46" x14ac:dyDescent="0.2">
      <c r="A147" s="2" t="s">
        <v>165</v>
      </c>
      <c r="B147" s="2" t="str">
        <f>VLOOKUP(A147,'[14]Calculated coal req (reg.)'!$A$2:$B$599,2,FALSE)</f>
        <v>FARAKKA STPS UNIT 6</v>
      </c>
      <c r="C147" s="2">
        <v>8.6964591009410803</v>
      </c>
      <c r="D147" s="2">
        <v>10.199999999999999</v>
      </c>
      <c r="H147" t="s">
        <v>1154</v>
      </c>
      <c r="I147">
        <f t="shared" ca="1" si="4"/>
        <v>0.56961224094359797</v>
      </c>
      <c r="J147">
        <f t="shared" ca="1" si="5"/>
        <v>0</v>
      </c>
      <c r="L147" s="26" t="s">
        <v>1154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1</v>
      </c>
      <c r="AS147" s="70">
        <v>0</v>
      </c>
      <c r="AT147" s="70">
        <v>0</v>
      </c>
    </row>
    <row r="148" spans="1:46" x14ac:dyDescent="0.2">
      <c r="A148" s="2" t="s">
        <v>166</v>
      </c>
      <c r="B148" s="2" t="str">
        <f>VLOOKUP(A148,'[14]Calculated coal req (reg.)'!$A$2:$B$599,2,FALSE)</f>
        <v>KORBA STPS UNIT 7</v>
      </c>
      <c r="C148" s="2">
        <v>10.868872508111901</v>
      </c>
      <c r="D148" s="2">
        <v>10.199999999999999</v>
      </c>
      <c r="H148" t="s">
        <v>1155</v>
      </c>
      <c r="I148">
        <f t="shared" ca="1" si="4"/>
        <v>6.3381381252537992</v>
      </c>
      <c r="J148">
        <f t="shared" ca="1" si="5"/>
        <v>0</v>
      </c>
      <c r="L148" s="26" t="s">
        <v>1155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1</v>
      </c>
      <c r="AS148" s="70">
        <v>0</v>
      </c>
      <c r="AT148" s="70">
        <v>0</v>
      </c>
    </row>
    <row r="149" spans="1:46" x14ac:dyDescent="0.2">
      <c r="A149" s="2" t="s">
        <v>163</v>
      </c>
      <c r="B149" s="2" t="str">
        <f>VLOOKUP(A149,'[14]Calculated coal req (reg.)'!$A$2:$B$599,2,FALSE)</f>
        <v>SIMHADRI STPP UNIT 3-4</v>
      </c>
      <c r="C149" s="2">
        <v>7.7366182115931199</v>
      </c>
      <c r="D149" s="2">
        <v>10.199999999999999</v>
      </c>
      <c r="H149" t="s">
        <v>1103</v>
      </c>
      <c r="I149">
        <f t="shared" ca="1" si="4"/>
        <v>6.6180675540724199</v>
      </c>
      <c r="J149">
        <f t="shared" ca="1" si="5"/>
        <v>5.91</v>
      </c>
      <c r="L149" s="26" t="s">
        <v>1103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1</v>
      </c>
      <c r="AS149" s="70">
        <v>0</v>
      </c>
      <c r="AT149" s="70">
        <v>0</v>
      </c>
    </row>
    <row r="150" spans="1:46" x14ac:dyDescent="0.2">
      <c r="A150" s="2" t="s">
        <v>168</v>
      </c>
      <c r="B150" s="2" t="str">
        <f>VLOOKUP(A150,'[14]Calculated coal req (reg.)'!$A$2:$B$599,2,FALSE)</f>
        <v>MEJIA TPS</v>
      </c>
      <c r="C150" s="2">
        <v>7.7880894656804198</v>
      </c>
      <c r="D150" s="2">
        <v>10.199999999999999</v>
      </c>
      <c r="H150" t="s">
        <v>1156</v>
      </c>
      <c r="I150">
        <f t="shared" ca="1" si="4"/>
        <v>4.5394351940797701</v>
      </c>
      <c r="J150">
        <f t="shared" ca="1" si="5"/>
        <v>0</v>
      </c>
      <c r="L150" s="26" t="s">
        <v>1156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1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</row>
    <row r="151" spans="1:46" x14ac:dyDescent="0.2">
      <c r="A151" s="2" t="s">
        <v>158</v>
      </c>
      <c r="B151" s="2" t="str">
        <f>VLOOKUP(A151,'[14]Calculated coal req (reg.)'!$A$2:$B$599,2,FALSE)</f>
        <v>INDIRA GANDHI STPP</v>
      </c>
      <c r="C151" s="2">
        <v>5.26176485866129</v>
      </c>
      <c r="D151" s="2">
        <v>10.199999999999999</v>
      </c>
      <c r="H151" t="s">
        <v>1096</v>
      </c>
      <c r="I151">
        <f t="shared" ca="1" si="4"/>
        <v>3.0476580397972999</v>
      </c>
      <c r="J151">
        <f t="shared" ca="1" si="5"/>
        <v>2.9550000000000001</v>
      </c>
      <c r="L151" s="26" t="s">
        <v>1096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1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</row>
    <row r="152" spans="1:46" x14ac:dyDescent="0.2">
      <c r="A152" s="2" t="s">
        <v>169</v>
      </c>
      <c r="B152" s="2" t="str">
        <f>VLOOKUP(A152,'[14]Calculated coal req (reg.)'!$A$2:$B$599,2,FALSE)</f>
        <v>KAKATIYA TPS UNIT 1</v>
      </c>
      <c r="C152" s="2">
        <v>9.6179698888849003</v>
      </c>
      <c r="D152" s="2">
        <v>10.199999999999999</v>
      </c>
      <c r="H152" t="s">
        <v>1095</v>
      </c>
      <c r="I152">
        <f t="shared" ca="1" si="4"/>
        <v>10.632163633325289</v>
      </c>
      <c r="J152">
        <f t="shared" ca="1" si="5"/>
        <v>7.0919999999999996</v>
      </c>
      <c r="L152" s="26" t="s">
        <v>1095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0.46107631563247781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0.53892368436752225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</row>
    <row r="153" spans="1:46" x14ac:dyDescent="0.2">
      <c r="A153" s="2" t="s">
        <v>130</v>
      </c>
      <c r="B153" s="2" t="str">
        <f>VLOOKUP(A153,'[14]Calculated coal req (reg.)'!$A$2:$B$599,2,FALSE)</f>
        <v>NTPL TUTICORIN (JV) TPP</v>
      </c>
      <c r="C153" s="2">
        <v>5.6462118301782596</v>
      </c>
      <c r="D153" s="2">
        <v>10.199999999999999</v>
      </c>
      <c r="H153" t="s">
        <v>1013</v>
      </c>
      <c r="I153">
        <f t="shared" ca="1" si="4"/>
        <v>10.184035346100551</v>
      </c>
      <c r="J153">
        <f t="shared" ca="1" si="5"/>
        <v>24.48</v>
      </c>
      <c r="L153" s="26" t="s">
        <v>1013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0.18556350149291453</v>
      </c>
      <c r="Y153" s="70">
        <v>0</v>
      </c>
      <c r="Z153" s="70">
        <v>0</v>
      </c>
      <c r="AA153" s="70">
        <v>0</v>
      </c>
      <c r="AB153" s="70">
        <v>0</v>
      </c>
      <c r="AC153" s="70">
        <v>0.12963975354966148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0.68479674495742404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</row>
    <row r="154" spans="1:46" x14ac:dyDescent="0.2">
      <c r="A154" s="2" t="s">
        <v>142</v>
      </c>
      <c r="B154" s="2" t="str">
        <f>VLOOKUP(A154,'[14]Calculated coal req (reg.)'!$A$2:$B$599,2,FALSE)</f>
        <v>UKAI TPS UNIT 6</v>
      </c>
      <c r="C154" s="2">
        <v>8.5571901336581995</v>
      </c>
      <c r="D154" s="2">
        <v>10.199999999999999</v>
      </c>
      <c r="H154" t="s">
        <v>1157</v>
      </c>
      <c r="I154">
        <f t="shared" ca="1" si="4"/>
        <v>20.555375780388601</v>
      </c>
      <c r="J154">
        <f t="shared" ca="1" si="5"/>
        <v>0</v>
      </c>
      <c r="L154" s="26" t="s">
        <v>1157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1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</row>
    <row r="155" spans="1:46" x14ac:dyDescent="0.2">
      <c r="A155" s="2" t="s">
        <v>132</v>
      </c>
      <c r="B155" s="2" t="str">
        <f>VLOOKUP(A155,'[14]Calculated coal req (reg.)'!$A$2:$B$599,2,FALSE)</f>
        <v>NTPL TUTICORIN (JV) TPP</v>
      </c>
      <c r="C155" s="2">
        <v>8.2029472795340101</v>
      </c>
      <c r="D155" s="2">
        <v>10.199999999999999</v>
      </c>
      <c r="H155" t="s">
        <v>1107</v>
      </c>
      <c r="I155">
        <f t="shared" ca="1" si="4"/>
        <v>4.2281974909824704</v>
      </c>
      <c r="J155">
        <f t="shared" ca="1" si="5"/>
        <v>2.9550000000000001</v>
      </c>
      <c r="L155" s="26" t="s">
        <v>1107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  <c r="T155" s="70">
        <v>0</v>
      </c>
      <c r="U155" s="70">
        <v>0</v>
      </c>
      <c r="V155" s="70">
        <v>0</v>
      </c>
      <c r="W155" s="70">
        <v>0</v>
      </c>
      <c r="X155" s="70">
        <v>0</v>
      </c>
      <c r="Y155" s="70">
        <v>0</v>
      </c>
      <c r="Z155" s="70">
        <v>0</v>
      </c>
      <c r="AA155" s="70">
        <v>0</v>
      </c>
      <c r="AB155" s="70">
        <v>1</v>
      </c>
      <c r="AC155" s="70">
        <v>0</v>
      </c>
      <c r="AD155" s="70">
        <v>0</v>
      </c>
      <c r="AE155" s="70">
        <v>0</v>
      </c>
      <c r="AF155" s="70">
        <v>0</v>
      </c>
      <c r="AG155" s="70">
        <v>0</v>
      </c>
      <c r="AH155" s="70">
        <v>0</v>
      </c>
      <c r="AI155" s="70">
        <v>0</v>
      </c>
      <c r="AJ155" s="70">
        <v>0</v>
      </c>
      <c r="AK155" s="70">
        <v>0</v>
      </c>
      <c r="AL155" s="70">
        <v>0</v>
      </c>
      <c r="AM155" s="70">
        <v>0</v>
      </c>
      <c r="AN155" s="70">
        <v>0</v>
      </c>
      <c r="AO155" s="70">
        <v>0</v>
      </c>
      <c r="AP155" s="70">
        <v>0</v>
      </c>
      <c r="AQ155" s="70">
        <v>0</v>
      </c>
      <c r="AR155" s="70">
        <v>0</v>
      </c>
      <c r="AS155" s="70">
        <v>0</v>
      </c>
      <c r="AT155" s="70">
        <v>0</v>
      </c>
    </row>
    <row r="156" spans="1:46" x14ac:dyDescent="0.2">
      <c r="A156" s="2" t="s">
        <v>167</v>
      </c>
      <c r="B156" s="2" t="str">
        <f>VLOOKUP(A156,'[14]Calculated coal req (reg.)'!$A$2:$B$599,2,FALSE)</f>
        <v>INDIRA GANDHI STPP</v>
      </c>
      <c r="C156" s="2">
        <v>5.1840134346235498</v>
      </c>
      <c r="D156" s="2">
        <v>10.199999999999999</v>
      </c>
      <c r="H156" t="s">
        <v>1021</v>
      </c>
      <c r="I156">
        <f t="shared" ca="1" si="4"/>
        <v>9.2528708486473192</v>
      </c>
      <c r="J156">
        <f t="shared" ca="1" si="5"/>
        <v>23.759999999999998</v>
      </c>
      <c r="L156" s="26" t="s">
        <v>1021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  <c r="T156" s="70">
        <v>0</v>
      </c>
      <c r="U156" s="70">
        <v>0</v>
      </c>
      <c r="V156" s="70">
        <v>0</v>
      </c>
      <c r="W156" s="70">
        <v>0</v>
      </c>
      <c r="X156" s="70">
        <v>1</v>
      </c>
      <c r="Y156" s="70">
        <v>0</v>
      </c>
      <c r="Z156" s="70">
        <v>0</v>
      </c>
      <c r="AA156" s="70">
        <v>0</v>
      </c>
      <c r="AB156" s="70">
        <v>0</v>
      </c>
      <c r="AC156" s="70">
        <v>0</v>
      </c>
      <c r="AD156" s="70">
        <v>0</v>
      </c>
      <c r="AE156" s="70">
        <v>0</v>
      </c>
      <c r="AF156" s="70">
        <v>0</v>
      </c>
      <c r="AG156" s="70">
        <v>0</v>
      </c>
      <c r="AH156" s="70">
        <v>0</v>
      </c>
      <c r="AI156" s="70">
        <v>0</v>
      </c>
      <c r="AJ156" s="70">
        <v>0</v>
      </c>
      <c r="AK156" s="70">
        <v>0</v>
      </c>
      <c r="AL156" s="70">
        <v>0</v>
      </c>
      <c r="AM156" s="70">
        <v>0</v>
      </c>
      <c r="AN156" s="70">
        <v>0</v>
      </c>
      <c r="AO156" s="70">
        <v>0</v>
      </c>
      <c r="AP156" s="70">
        <v>0</v>
      </c>
      <c r="AQ156" s="70">
        <v>0</v>
      </c>
      <c r="AR156" s="70">
        <v>0</v>
      </c>
      <c r="AS156" s="70">
        <v>0</v>
      </c>
      <c r="AT156" s="70">
        <v>0</v>
      </c>
    </row>
    <row r="157" spans="1:46" x14ac:dyDescent="0.2">
      <c r="A157" s="2" t="s">
        <v>170</v>
      </c>
      <c r="B157" s="2" t="str">
        <f>VLOOKUP(A157,'[14]Calculated coal req (reg.)'!$A$2:$B$599,2,FALSE)</f>
        <v>DADRI (NCTPP) UNIT 5-6</v>
      </c>
      <c r="C157" s="2">
        <v>6.9284068507592496</v>
      </c>
      <c r="D157" s="2">
        <v>9.9960000000000004</v>
      </c>
      <c r="H157" t="s">
        <v>1000</v>
      </c>
      <c r="I157">
        <f t="shared" ca="1" si="4"/>
        <v>25.1506238320782</v>
      </c>
      <c r="J157">
        <f t="shared" ca="1" si="5"/>
        <v>28.56</v>
      </c>
      <c r="L157" s="26" t="s">
        <v>1000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  <c r="T157" s="70">
        <v>0</v>
      </c>
      <c r="U157" s="70">
        <v>0</v>
      </c>
      <c r="V157" s="70">
        <v>0</v>
      </c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0">
        <v>0</v>
      </c>
      <c r="AE157" s="70">
        <v>0</v>
      </c>
      <c r="AF157" s="70">
        <v>0</v>
      </c>
      <c r="AG157" s="70">
        <v>0</v>
      </c>
      <c r="AH157" s="70">
        <v>0</v>
      </c>
      <c r="AI157" s="70">
        <v>0</v>
      </c>
      <c r="AJ157" s="70">
        <v>0</v>
      </c>
      <c r="AK157" s="70">
        <v>0</v>
      </c>
      <c r="AL157" s="70">
        <v>1</v>
      </c>
      <c r="AM157" s="70">
        <v>0</v>
      </c>
      <c r="AN157" s="70">
        <v>0</v>
      </c>
      <c r="AO157" s="70">
        <v>0</v>
      </c>
      <c r="AP157" s="70">
        <v>0</v>
      </c>
      <c r="AQ157" s="70">
        <v>0</v>
      </c>
      <c r="AR157" s="70">
        <v>0</v>
      </c>
      <c r="AS157" s="70">
        <v>0</v>
      </c>
      <c r="AT157" s="70">
        <v>0</v>
      </c>
    </row>
    <row r="158" spans="1:46" x14ac:dyDescent="0.2">
      <c r="A158" s="2" t="s">
        <v>172</v>
      </c>
      <c r="B158" s="2" t="str">
        <f>VLOOKUP(A158,'[14]Calculated coal req (reg.)'!$A$2:$B$599,2,FALSE)</f>
        <v>DR. N TATA RAO TPS UNIT 7</v>
      </c>
      <c r="C158" s="2">
        <v>8.6369523220031095</v>
      </c>
      <c r="D158" s="2">
        <v>9.6</v>
      </c>
      <c r="H158" t="s">
        <v>1158</v>
      </c>
      <c r="I158">
        <f t="shared" ca="1" si="4"/>
        <v>1.1568389188869399</v>
      </c>
      <c r="J158">
        <f t="shared" ca="1" si="5"/>
        <v>0</v>
      </c>
      <c r="L158" s="26" t="s">
        <v>1158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  <c r="T158" s="70">
        <v>0</v>
      </c>
      <c r="U158" s="70">
        <v>0</v>
      </c>
      <c r="V158" s="70">
        <v>0</v>
      </c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0">
        <v>0</v>
      </c>
      <c r="AD158" s="70">
        <v>0</v>
      </c>
      <c r="AE158" s="70">
        <v>0</v>
      </c>
      <c r="AF158" s="70">
        <v>0</v>
      </c>
      <c r="AG158" s="70">
        <v>0</v>
      </c>
      <c r="AH158" s="70">
        <v>0</v>
      </c>
      <c r="AI158" s="70">
        <v>0</v>
      </c>
      <c r="AJ158" s="70">
        <v>0</v>
      </c>
      <c r="AK158" s="70">
        <v>0</v>
      </c>
      <c r="AL158" s="70">
        <v>0</v>
      </c>
      <c r="AM158" s="70">
        <v>0</v>
      </c>
      <c r="AN158" s="70">
        <v>0</v>
      </c>
      <c r="AO158" s="70">
        <v>0</v>
      </c>
      <c r="AP158" s="70">
        <v>1</v>
      </c>
      <c r="AQ158" s="70">
        <v>0</v>
      </c>
      <c r="AR158" s="70">
        <v>0</v>
      </c>
      <c r="AS158" s="70">
        <v>0</v>
      </c>
      <c r="AT158" s="70">
        <v>0</v>
      </c>
    </row>
    <row r="159" spans="1:46" x14ac:dyDescent="0.2">
      <c r="A159" s="2" t="s">
        <v>175</v>
      </c>
      <c r="B159" s="2" t="str">
        <f>VLOOKUP(A159,'[14]Calculated coal req (reg.)'!$A$2:$B$599,2,FALSE)</f>
        <v>KAHALGAON TPS UNIT 5-7</v>
      </c>
      <c r="C159" s="2">
        <v>9.8105598719519307</v>
      </c>
      <c r="D159" s="2">
        <v>9.6</v>
      </c>
      <c r="H159" t="s">
        <v>1083</v>
      </c>
      <c r="I159">
        <f t="shared" ca="1" si="4"/>
        <v>39.842571438567148</v>
      </c>
      <c r="J159">
        <f t="shared" ca="1" si="5"/>
        <v>17.73</v>
      </c>
      <c r="L159" s="26" t="s">
        <v>1083</v>
      </c>
      <c r="M159" s="70">
        <v>0.21277799343854187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  <c r="T159" s="70">
        <v>0</v>
      </c>
      <c r="U159" s="70">
        <v>0</v>
      </c>
      <c r="V159" s="70">
        <v>5.2514119365603032E-2</v>
      </c>
      <c r="W159" s="70">
        <v>0</v>
      </c>
      <c r="X159" s="70">
        <v>0</v>
      </c>
      <c r="Y159" s="70">
        <v>0</v>
      </c>
      <c r="Z159" s="70">
        <v>0</v>
      </c>
      <c r="AA159" s="70">
        <v>0</v>
      </c>
      <c r="AB159" s="70">
        <v>0.16965740162729429</v>
      </c>
      <c r="AC159" s="70">
        <v>0.12445360657594456</v>
      </c>
      <c r="AD159" s="70">
        <v>0</v>
      </c>
      <c r="AE159" s="70">
        <v>0</v>
      </c>
      <c r="AF159" s="70">
        <v>0</v>
      </c>
      <c r="AG159" s="70">
        <v>0</v>
      </c>
      <c r="AH159" s="70">
        <v>0</v>
      </c>
      <c r="AI159" s="70">
        <v>0</v>
      </c>
      <c r="AJ159" s="70">
        <v>0</v>
      </c>
      <c r="AK159" s="70">
        <v>4.0978973174616948E-2</v>
      </c>
      <c r="AL159" s="70">
        <v>0</v>
      </c>
      <c r="AM159" s="70">
        <v>0</v>
      </c>
      <c r="AN159" s="70">
        <v>0</v>
      </c>
      <c r="AO159" s="70">
        <v>0.23600797676108312</v>
      </c>
      <c r="AP159" s="70">
        <v>0.16360992905691618</v>
      </c>
      <c r="AQ159" s="70">
        <v>0</v>
      </c>
      <c r="AR159" s="70">
        <v>0</v>
      </c>
      <c r="AS159" s="70">
        <v>0</v>
      </c>
      <c r="AT159" s="70">
        <v>0</v>
      </c>
    </row>
    <row r="160" spans="1:46" x14ac:dyDescent="0.2">
      <c r="A160" s="2" t="s">
        <v>32</v>
      </c>
      <c r="B160" s="2"/>
      <c r="C160" s="2">
        <v>12.6636468942564</v>
      </c>
      <c r="D160" s="2">
        <v>13.464</v>
      </c>
      <c r="H160" t="s">
        <v>1063</v>
      </c>
      <c r="I160">
        <f t="shared" ca="1" si="4"/>
        <v>10.091637919073699</v>
      </c>
      <c r="J160">
        <f t="shared" ca="1" si="5"/>
        <v>9</v>
      </c>
      <c r="L160" s="26" t="s">
        <v>1063</v>
      </c>
      <c r="M160" s="70">
        <v>0.19896818997195714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  <c r="T160" s="70">
        <v>0</v>
      </c>
      <c r="U160" s="70">
        <v>0</v>
      </c>
      <c r="V160" s="70">
        <v>0</v>
      </c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0.23164030908300459</v>
      </c>
      <c r="AC160" s="70">
        <v>0.11407186630825367</v>
      </c>
      <c r="AD160" s="70">
        <v>0</v>
      </c>
      <c r="AE160" s="70">
        <v>0</v>
      </c>
      <c r="AF160" s="70">
        <v>0</v>
      </c>
      <c r="AG160" s="70">
        <v>0</v>
      </c>
      <c r="AH160" s="70">
        <v>0</v>
      </c>
      <c r="AI160" s="70">
        <v>0</v>
      </c>
      <c r="AJ160" s="70">
        <v>0</v>
      </c>
      <c r="AK160" s="70">
        <v>7.9294984904339297E-2</v>
      </c>
      <c r="AL160" s="70">
        <v>0</v>
      </c>
      <c r="AM160" s="70">
        <v>0</v>
      </c>
      <c r="AN160" s="70">
        <v>0</v>
      </c>
      <c r="AO160" s="70">
        <v>0.22147604403871246</v>
      </c>
      <c r="AP160" s="70">
        <v>0.15454860569373274</v>
      </c>
      <c r="AQ160" s="70">
        <v>0</v>
      </c>
      <c r="AR160" s="70">
        <v>0</v>
      </c>
      <c r="AS160" s="70">
        <v>0</v>
      </c>
      <c r="AT160" s="70">
        <v>0</v>
      </c>
    </row>
    <row r="161" spans="1:46" x14ac:dyDescent="0.2">
      <c r="A161" s="2" t="s">
        <v>178</v>
      </c>
      <c r="B161" s="2" t="str">
        <f>VLOOKUP(A161,'[14]Calculated coal req (reg.)'!$A$2:$B$599,2,FALSE)</f>
        <v>SIPAT STPS UNIT 4-5</v>
      </c>
      <c r="C161" s="2">
        <v>10.5820686511211</v>
      </c>
      <c r="D161" s="2">
        <v>9.6</v>
      </c>
      <c r="H161" t="s">
        <v>1159</v>
      </c>
      <c r="I161">
        <f t="shared" ca="1" si="4"/>
        <v>2.057437925154924</v>
      </c>
      <c r="J161">
        <f t="shared" ca="1" si="5"/>
        <v>0</v>
      </c>
      <c r="L161" s="26" t="s">
        <v>1159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1</v>
      </c>
      <c r="S161" s="70">
        <v>0</v>
      </c>
      <c r="T161" s="70">
        <v>0</v>
      </c>
      <c r="U161" s="70">
        <v>0</v>
      </c>
      <c r="V161" s="70">
        <v>0</v>
      </c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0">
        <v>0</v>
      </c>
      <c r="AD161" s="70">
        <v>0</v>
      </c>
      <c r="AE161" s="70">
        <v>0</v>
      </c>
      <c r="AF161" s="70">
        <v>0</v>
      </c>
      <c r="AG161" s="70">
        <v>0</v>
      </c>
      <c r="AH161" s="70">
        <v>0</v>
      </c>
      <c r="AI161" s="70">
        <v>0</v>
      </c>
      <c r="AJ161" s="70">
        <v>0</v>
      </c>
      <c r="AK161" s="70">
        <v>0</v>
      </c>
      <c r="AL161" s="70">
        <v>0</v>
      </c>
      <c r="AM161" s="70">
        <v>0</v>
      </c>
      <c r="AN161" s="70">
        <v>0</v>
      </c>
      <c r="AO161" s="70">
        <v>0</v>
      </c>
      <c r="AP161" s="70">
        <v>0</v>
      </c>
      <c r="AQ161" s="70">
        <v>0</v>
      </c>
      <c r="AR161" s="70">
        <v>0</v>
      </c>
      <c r="AS161" s="70">
        <v>0</v>
      </c>
      <c r="AT161" s="70">
        <v>0</v>
      </c>
    </row>
    <row r="162" spans="1:46" x14ac:dyDescent="0.2">
      <c r="A162" s="2" t="s">
        <v>36</v>
      </c>
      <c r="B162" s="2"/>
      <c r="C162" s="2">
        <v>12.597415210904501</v>
      </c>
      <c r="D162" s="2">
        <v>13.464</v>
      </c>
      <c r="H162" t="s">
        <v>1160</v>
      </c>
      <c r="I162">
        <f t="shared" ca="1" si="4"/>
        <v>14.874962004700359</v>
      </c>
      <c r="J162">
        <f t="shared" ca="1" si="5"/>
        <v>0</v>
      </c>
      <c r="L162" s="26" t="s">
        <v>1160</v>
      </c>
      <c r="M162" s="70">
        <v>1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  <c r="T162" s="70">
        <v>0</v>
      </c>
      <c r="U162" s="70">
        <v>0</v>
      </c>
      <c r="V162" s="70">
        <v>0</v>
      </c>
      <c r="W162" s="70">
        <v>0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0">
        <v>0</v>
      </c>
      <c r="AD162" s="70">
        <v>0</v>
      </c>
      <c r="AE162" s="70">
        <v>0</v>
      </c>
      <c r="AF162" s="70">
        <v>0</v>
      </c>
      <c r="AG162" s="70">
        <v>0</v>
      </c>
      <c r="AH162" s="70">
        <v>0</v>
      </c>
      <c r="AI162" s="70">
        <v>0</v>
      </c>
      <c r="AJ162" s="70">
        <v>0</v>
      </c>
      <c r="AK162" s="70">
        <v>0</v>
      </c>
      <c r="AL162" s="70">
        <v>0</v>
      </c>
      <c r="AM162" s="70">
        <v>0</v>
      </c>
      <c r="AN162" s="70">
        <v>0</v>
      </c>
      <c r="AO162" s="70">
        <v>0</v>
      </c>
      <c r="AP162" s="70">
        <v>0</v>
      </c>
      <c r="AQ162" s="70">
        <v>0</v>
      </c>
      <c r="AR162" s="70">
        <v>0</v>
      </c>
      <c r="AS162" s="70">
        <v>0</v>
      </c>
      <c r="AT162" s="70">
        <v>0</v>
      </c>
    </row>
    <row r="163" spans="1:46" x14ac:dyDescent="0.2">
      <c r="A163" s="2" t="s">
        <v>181</v>
      </c>
      <c r="B163" s="2" t="str">
        <f>VLOOKUP(A163,'[14]Calculated coal req (reg.)'!$A$2:$B$599,2,FALSE)</f>
        <v>SIPAT STPS UNIT 4-5</v>
      </c>
      <c r="C163" s="2">
        <v>10.494979743807001</v>
      </c>
      <c r="D163" s="2">
        <v>9.6</v>
      </c>
      <c r="H163" t="s">
        <v>1006</v>
      </c>
      <c r="I163">
        <f t="shared" ca="1" si="4"/>
        <v>4.7878847650387497</v>
      </c>
      <c r="J163">
        <f t="shared" ca="1" si="5"/>
        <v>12.24</v>
      </c>
      <c r="L163" s="26" t="s">
        <v>1006</v>
      </c>
      <c r="M163" s="70">
        <v>1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  <c r="T163" s="70">
        <v>0</v>
      </c>
      <c r="U163" s="70">
        <v>0</v>
      </c>
      <c r="V163" s="70">
        <v>0</v>
      </c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0">
        <v>0</v>
      </c>
      <c r="AD163" s="70">
        <v>0</v>
      </c>
      <c r="AE163" s="70">
        <v>0</v>
      </c>
      <c r="AF163" s="70">
        <v>0</v>
      </c>
      <c r="AG163" s="70">
        <v>0</v>
      </c>
      <c r="AH163" s="70">
        <v>0</v>
      </c>
      <c r="AI163" s="70">
        <v>0</v>
      </c>
      <c r="AJ163" s="70">
        <v>0</v>
      </c>
      <c r="AK163" s="70">
        <v>0</v>
      </c>
      <c r="AL163" s="70">
        <v>0</v>
      </c>
      <c r="AM163" s="70">
        <v>0</v>
      </c>
      <c r="AN163" s="70">
        <v>0</v>
      </c>
      <c r="AO163" s="70">
        <v>0</v>
      </c>
      <c r="AP163" s="70">
        <v>0</v>
      </c>
      <c r="AQ163" s="70">
        <v>0</v>
      </c>
      <c r="AR163" s="70">
        <v>0</v>
      </c>
      <c r="AS163" s="70">
        <v>0</v>
      </c>
      <c r="AT163" s="70">
        <v>0</v>
      </c>
    </row>
    <row r="164" spans="1:46" x14ac:dyDescent="0.2">
      <c r="A164" s="2" t="s">
        <v>182</v>
      </c>
      <c r="B164" s="2" t="str">
        <f>VLOOKUP(A164,'[14]Calculated coal req (reg.)'!$A$2:$B$599,2,FALSE)</f>
        <v>KAHALGAON TPS UNIT 5-7</v>
      </c>
      <c r="C164" s="2">
        <v>9.1394049720147592</v>
      </c>
      <c r="D164" s="2">
        <v>9.6</v>
      </c>
      <c r="H164" t="s">
        <v>1084</v>
      </c>
      <c r="I164">
        <f t="shared" ca="1" si="4"/>
        <v>20.47501460321444</v>
      </c>
      <c r="J164">
        <f t="shared" ca="1" si="5"/>
        <v>11.82</v>
      </c>
      <c r="L164" s="26" t="s">
        <v>1084</v>
      </c>
      <c r="M164" s="70">
        <v>0</v>
      </c>
      <c r="N164" s="70">
        <v>0</v>
      </c>
      <c r="O164" s="70">
        <v>0</v>
      </c>
      <c r="P164" s="70">
        <v>0</v>
      </c>
      <c r="Q164" s="70">
        <v>4.4680742040307858E-4</v>
      </c>
      <c r="R164" s="70">
        <v>0</v>
      </c>
      <c r="S164" s="70">
        <v>0</v>
      </c>
      <c r="T164" s="70">
        <v>0</v>
      </c>
      <c r="U164" s="70">
        <v>9.9821540064669811E-2</v>
      </c>
      <c r="V164" s="70">
        <v>0</v>
      </c>
      <c r="W164" s="70">
        <v>0</v>
      </c>
      <c r="X164" s="70">
        <v>6.9728478875707392E-2</v>
      </c>
      <c r="Y164" s="70">
        <v>5.5462607554636646E-2</v>
      </c>
      <c r="Z164" s="70">
        <v>6.837687963962788E-2</v>
      </c>
      <c r="AA164" s="70">
        <v>0</v>
      </c>
      <c r="AB164" s="70">
        <v>0</v>
      </c>
      <c r="AC164" s="70">
        <v>0</v>
      </c>
      <c r="AD164" s="70">
        <v>0</v>
      </c>
      <c r="AE164" s="70">
        <v>0</v>
      </c>
      <c r="AF164" s="70">
        <v>0</v>
      </c>
      <c r="AG164" s="70">
        <v>0</v>
      </c>
      <c r="AH164" s="70">
        <v>0</v>
      </c>
      <c r="AI164" s="70">
        <v>0</v>
      </c>
      <c r="AJ164" s="70">
        <v>0</v>
      </c>
      <c r="AK164" s="70">
        <v>0</v>
      </c>
      <c r="AL164" s="70">
        <v>0.12078187162090409</v>
      </c>
      <c r="AM164" s="70">
        <v>0.17354123646201852</v>
      </c>
      <c r="AN164" s="70">
        <v>0</v>
      </c>
      <c r="AO164" s="70">
        <v>0</v>
      </c>
      <c r="AP164" s="70">
        <v>0</v>
      </c>
      <c r="AQ164" s="70">
        <v>0</v>
      </c>
      <c r="AR164" s="70">
        <v>0.37832033149422728</v>
      </c>
      <c r="AS164" s="70">
        <v>3.3520246867805206E-2</v>
      </c>
      <c r="AT164" s="70">
        <v>0</v>
      </c>
    </row>
    <row r="165" spans="1:46" x14ac:dyDescent="0.2">
      <c r="A165" s="2" t="s">
        <v>174</v>
      </c>
      <c r="B165" s="2" t="str">
        <f>VLOOKUP(A165,'[14]Calculated coal req (reg.)'!$A$2:$B$599,2,FALSE)</f>
        <v>DADRI (NCTPP) UNIT 5-6</v>
      </c>
      <c r="C165" s="2">
        <v>7.6662286539575399</v>
      </c>
      <c r="D165" s="2">
        <v>9.4079999999999995</v>
      </c>
      <c r="H165" t="s">
        <v>1060</v>
      </c>
      <c r="I165">
        <f t="shared" ca="1" si="4"/>
        <v>20.83765397805028</v>
      </c>
      <c r="J165">
        <f t="shared" ca="1" si="5"/>
        <v>18.600000000000001</v>
      </c>
      <c r="L165" s="26" t="s">
        <v>1060</v>
      </c>
      <c r="M165" s="70">
        <v>0</v>
      </c>
      <c r="N165" s="70">
        <v>0</v>
      </c>
      <c r="O165" s="70">
        <v>0</v>
      </c>
      <c r="P165" s="70">
        <v>0</v>
      </c>
      <c r="Q165" s="70">
        <v>3.6000792892044943E-4</v>
      </c>
      <c r="R165" s="70">
        <v>0</v>
      </c>
      <c r="S165" s="70">
        <v>0</v>
      </c>
      <c r="T165" s="70">
        <v>0</v>
      </c>
      <c r="U165" s="70">
        <v>0.12802275714122363</v>
      </c>
      <c r="V165" s="70">
        <v>0</v>
      </c>
      <c r="W165" s="70">
        <v>0</v>
      </c>
      <c r="X165" s="70">
        <v>6.0515205055282267E-2</v>
      </c>
      <c r="Y165" s="70">
        <v>4.2539149869077933E-2</v>
      </c>
      <c r="Z165" s="70">
        <v>9.0771087075141255E-2</v>
      </c>
      <c r="AA165" s="70">
        <v>0</v>
      </c>
      <c r="AB165" s="70">
        <v>0</v>
      </c>
      <c r="AC165" s="70">
        <v>0</v>
      </c>
      <c r="AD165" s="70">
        <v>0</v>
      </c>
      <c r="AE165" s="70">
        <v>0</v>
      </c>
      <c r="AF165" s="70">
        <v>0</v>
      </c>
      <c r="AG165" s="70">
        <v>0</v>
      </c>
      <c r="AH165" s="70">
        <v>0</v>
      </c>
      <c r="AI165" s="70">
        <v>0</v>
      </c>
      <c r="AJ165" s="70">
        <v>0</v>
      </c>
      <c r="AK165" s="70">
        <v>0</v>
      </c>
      <c r="AL165" s="70">
        <v>0.1153025861607035</v>
      </c>
      <c r="AM165" s="70">
        <v>0.18521286873891893</v>
      </c>
      <c r="AN165" s="70">
        <v>0</v>
      </c>
      <c r="AO165" s="70">
        <v>0</v>
      </c>
      <c r="AP165" s="70">
        <v>0</v>
      </c>
      <c r="AQ165" s="70">
        <v>0</v>
      </c>
      <c r="AR165" s="70">
        <v>0.3481695854506201</v>
      </c>
      <c r="AS165" s="70">
        <v>2.9106752580111805E-2</v>
      </c>
      <c r="AT165" s="70">
        <v>0</v>
      </c>
    </row>
    <row r="166" spans="1:46" x14ac:dyDescent="0.2">
      <c r="A166" s="2" t="s">
        <v>185</v>
      </c>
      <c r="B166" s="2" t="str">
        <f>VLOOKUP(A166,'[14]Calculated coal req (reg.)'!$A$2:$B$599,2,FALSE)</f>
        <v>BELLARY TPS UNIT 1</v>
      </c>
      <c r="C166" s="2">
        <v>3.9527235102494802</v>
      </c>
      <c r="D166" s="2">
        <v>9.6</v>
      </c>
      <c r="H166" t="s">
        <v>1036</v>
      </c>
      <c r="I166">
        <f t="shared" ca="1" si="4"/>
        <v>22.274203839362897</v>
      </c>
      <c r="J166">
        <f t="shared" ca="1" si="5"/>
        <v>20.399999999999999</v>
      </c>
      <c r="L166" s="26" t="s">
        <v>1036</v>
      </c>
      <c r="M166" s="70">
        <v>0</v>
      </c>
      <c r="N166" s="70">
        <v>0</v>
      </c>
      <c r="O166" s="70">
        <v>0</v>
      </c>
      <c r="P166" s="70">
        <v>0</v>
      </c>
      <c r="Q166" s="70">
        <v>2.7602151034341449E-4</v>
      </c>
      <c r="R166" s="70">
        <v>0</v>
      </c>
      <c r="S166" s="70">
        <v>0</v>
      </c>
      <c r="T166" s="70">
        <v>0</v>
      </c>
      <c r="U166" s="70">
        <v>0.12479256537126815</v>
      </c>
      <c r="V166" s="70">
        <v>0</v>
      </c>
      <c r="W166" s="70">
        <v>0</v>
      </c>
      <c r="X166" s="70">
        <v>5.7312134264032845E-2</v>
      </c>
      <c r="Y166" s="70">
        <v>7.0021533488428558E-2</v>
      </c>
      <c r="Z166" s="70">
        <v>6.1508876100429294E-2</v>
      </c>
      <c r="AA166" s="70">
        <v>0</v>
      </c>
      <c r="AB166" s="70">
        <v>0</v>
      </c>
      <c r="AC166" s="70">
        <v>0</v>
      </c>
      <c r="AD166" s="70">
        <v>0</v>
      </c>
      <c r="AE166" s="70">
        <v>0</v>
      </c>
      <c r="AF166" s="70">
        <v>0</v>
      </c>
      <c r="AG166" s="70">
        <v>0</v>
      </c>
      <c r="AH166" s="70">
        <v>0</v>
      </c>
      <c r="AI166" s="70">
        <v>0</v>
      </c>
      <c r="AJ166" s="70">
        <v>0</v>
      </c>
      <c r="AK166" s="70">
        <v>0</v>
      </c>
      <c r="AL166" s="70">
        <v>8.9823672979759975E-2</v>
      </c>
      <c r="AM166" s="70">
        <v>0.2008371566827192</v>
      </c>
      <c r="AN166" s="70">
        <v>0</v>
      </c>
      <c r="AO166" s="70">
        <v>0</v>
      </c>
      <c r="AP166" s="70">
        <v>0</v>
      </c>
      <c r="AQ166" s="70">
        <v>0</v>
      </c>
      <c r="AR166" s="70">
        <v>0.36292263835413713</v>
      </c>
      <c r="AS166" s="70">
        <v>3.250540124888137E-2</v>
      </c>
      <c r="AT166" s="70">
        <v>0</v>
      </c>
    </row>
    <row r="167" spans="1:46" x14ac:dyDescent="0.2">
      <c r="A167" s="2" t="s">
        <v>188</v>
      </c>
      <c r="B167" s="2"/>
      <c r="C167" s="2">
        <v>9.5132763765736108</v>
      </c>
      <c r="D167" s="2">
        <v>9.6</v>
      </c>
      <c r="H167" t="s">
        <v>1161</v>
      </c>
      <c r="I167">
        <f t="shared" ca="1" si="4"/>
        <v>4.120697890311062</v>
      </c>
      <c r="J167">
        <f t="shared" ca="1" si="5"/>
        <v>0</v>
      </c>
      <c r="L167" s="26" t="s">
        <v>1161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1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</row>
    <row r="168" spans="1:46" x14ac:dyDescent="0.2">
      <c r="A168" s="2" t="s">
        <v>191</v>
      </c>
      <c r="B168" s="2" t="str">
        <f>VLOOKUP(A168,'[14]Calculated coal req (reg.)'!$A$2:$B$599,2,FALSE)</f>
        <v>KAHALGAON TPS UNIT 5-7</v>
      </c>
      <c r="C168" s="2">
        <v>9.9265087990183094</v>
      </c>
      <c r="D168" s="2">
        <v>9.6</v>
      </c>
      <c r="H168" t="s">
        <v>1094</v>
      </c>
      <c r="I168">
        <f t="shared" ca="1" si="4"/>
        <v>8.0127827772452296</v>
      </c>
      <c r="J168">
        <f t="shared" ca="1" si="5"/>
        <v>7.0919999999999996</v>
      </c>
      <c r="L168" s="26" t="s">
        <v>1094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  <c r="T168" s="70">
        <v>0</v>
      </c>
      <c r="U168" s="70">
        <v>0</v>
      </c>
      <c r="V168" s="70">
        <v>0</v>
      </c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0">
        <v>0</v>
      </c>
      <c r="AD168" s="70">
        <v>0</v>
      </c>
      <c r="AE168" s="70">
        <v>0</v>
      </c>
      <c r="AF168" s="70">
        <v>0</v>
      </c>
      <c r="AG168" s="70">
        <v>0</v>
      </c>
      <c r="AH168" s="70">
        <v>0</v>
      </c>
      <c r="AI168" s="70">
        <v>0</v>
      </c>
      <c r="AJ168" s="70">
        <v>0</v>
      </c>
      <c r="AK168" s="70">
        <v>0</v>
      </c>
      <c r="AL168" s="70">
        <v>0</v>
      </c>
      <c r="AM168" s="70">
        <v>0</v>
      </c>
      <c r="AN168" s="70">
        <v>0</v>
      </c>
      <c r="AO168" s="70">
        <v>0</v>
      </c>
      <c r="AP168" s="70">
        <v>0</v>
      </c>
      <c r="AQ168" s="70">
        <v>0</v>
      </c>
      <c r="AR168" s="70">
        <v>1</v>
      </c>
      <c r="AS168" s="70">
        <v>0</v>
      </c>
      <c r="AT168" s="70">
        <v>0</v>
      </c>
    </row>
    <row r="169" spans="1:46" x14ac:dyDescent="0.2">
      <c r="A169" s="2" t="s">
        <v>190</v>
      </c>
      <c r="B169" s="2" t="str">
        <f>VLOOKUP(A169,'[14]Calculated coal req (reg.)'!$A$2:$B$599,2,FALSE)</f>
        <v>VINDHYACHAL STPS UNIT 9-10</v>
      </c>
      <c r="C169" s="2">
        <v>10.891056321839001</v>
      </c>
      <c r="D169" s="2">
        <v>9.6</v>
      </c>
      <c r="H169" t="s">
        <v>1088</v>
      </c>
      <c r="I169">
        <f t="shared" ca="1" si="4"/>
        <v>7.7373264540847799</v>
      </c>
      <c r="J169">
        <f t="shared" ca="1" si="5"/>
        <v>7.0919999999999996</v>
      </c>
      <c r="L169" s="26" t="s">
        <v>1088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  <c r="T169" s="70">
        <v>0</v>
      </c>
      <c r="U169" s="70">
        <v>0</v>
      </c>
      <c r="V169" s="70">
        <v>0</v>
      </c>
      <c r="W169" s="70">
        <v>0</v>
      </c>
      <c r="X169" s="70">
        <v>0</v>
      </c>
      <c r="Y169" s="70">
        <v>0</v>
      </c>
      <c r="Z169" s="70">
        <v>0</v>
      </c>
      <c r="AA169" s="70">
        <v>0</v>
      </c>
      <c r="AB169" s="70">
        <v>0</v>
      </c>
      <c r="AC169" s="70">
        <v>0</v>
      </c>
      <c r="AD169" s="70">
        <v>0</v>
      </c>
      <c r="AE169" s="70">
        <v>0</v>
      </c>
      <c r="AF169" s="70">
        <v>0</v>
      </c>
      <c r="AG169" s="70">
        <v>0</v>
      </c>
      <c r="AH169" s="70">
        <v>0</v>
      </c>
      <c r="AI169" s="70">
        <v>0</v>
      </c>
      <c r="AJ169" s="70">
        <v>0</v>
      </c>
      <c r="AK169" s="70">
        <v>0</v>
      </c>
      <c r="AL169" s="70">
        <v>0</v>
      </c>
      <c r="AM169" s="70">
        <v>0</v>
      </c>
      <c r="AN169" s="70">
        <v>0</v>
      </c>
      <c r="AO169" s="70">
        <v>0</v>
      </c>
      <c r="AP169" s="70">
        <v>0</v>
      </c>
      <c r="AQ169" s="70">
        <v>0</v>
      </c>
      <c r="AR169" s="70">
        <v>1</v>
      </c>
      <c r="AS169" s="70">
        <v>0</v>
      </c>
      <c r="AT169" s="70">
        <v>0</v>
      </c>
    </row>
    <row r="170" spans="1:46" x14ac:dyDescent="0.2">
      <c r="A170" s="2" t="s">
        <v>197</v>
      </c>
      <c r="B170" s="2" t="str">
        <f>VLOOKUP(A170,'[14]Calculated coal req (reg.)'!$A$2:$B$599,2,FALSE)</f>
        <v>VINDHYACHAL STPS UNIT 9-10</v>
      </c>
      <c r="C170" s="2">
        <v>10.732536438194099</v>
      </c>
      <c r="D170" s="2">
        <v>9.6</v>
      </c>
      <c r="H170" t="s">
        <v>1162</v>
      </c>
      <c r="I170">
        <f t="shared" ca="1" si="4"/>
        <v>7.06131760811836</v>
      </c>
      <c r="J170">
        <f t="shared" ca="1" si="5"/>
        <v>0</v>
      </c>
      <c r="L170" s="26" t="s">
        <v>1162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  <c r="T170" s="70">
        <v>0</v>
      </c>
      <c r="U170" s="70">
        <v>0</v>
      </c>
      <c r="V170" s="70">
        <v>0</v>
      </c>
      <c r="W170" s="70">
        <v>1</v>
      </c>
      <c r="X170" s="70">
        <v>0</v>
      </c>
      <c r="Y170" s="70">
        <v>0</v>
      </c>
      <c r="Z170" s="70">
        <v>0</v>
      </c>
      <c r="AA170" s="70">
        <v>0</v>
      </c>
      <c r="AB170" s="70">
        <v>0</v>
      </c>
      <c r="AC170" s="70">
        <v>0</v>
      </c>
      <c r="AD170" s="70">
        <v>0</v>
      </c>
      <c r="AE170" s="70">
        <v>0</v>
      </c>
      <c r="AF170" s="70">
        <v>0</v>
      </c>
      <c r="AG170" s="70">
        <v>0</v>
      </c>
      <c r="AH170" s="70">
        <v>0</v>
      </c>
      <c r="AI170" s="70">
        <v>0</v>
      </c>
      <c r="AJ170" s="70">
        <v>0</v>
      </c>
      <c r="AK170" s="70">
        <v>0</v>
      </c>
      <c r="AL170" s="70">
        <v>0</v>
      </c>
      <c r="AM170" s="70">
        <v>0</v>
      </c>
      <c r="AN170" s="70">
        <v>0</v>
      </c>
      <c r="AO170" s="70">
        <v>0</v>
      </c>
      <c r="AP170" s="70">
        <v>0</v>
      </c>
      <c r="AQ170" s="70">
        <v>0</v>
      </c>
      <c r="AR170" s="70">
        <v>0</v>
      </c>
      <c r="AS170" s="70">
        <v>0</v>
      </c>
      <c r="AT170" s="70">
        <v>0</v>
      </c>
    </row>
    <row r="171" spans="1:46" x14ac:dyDescent="0.2">
      <c r="A171" s="2" t="s">
        <v>204</v>
      </c>
      <c r="B171" s="2" t="str">
        <f>VLOOKUP(A171,'[14]Calculated coal req (reg.)'!$A$2:$B$599,2,FALSE)</f>
        <v>RIHAND STPS UNIT 3-4</v>
      </c>
      <c r="C171" s="2">
        <v>9.83250389321468</v>
      </c>
      <c r="D171" s="2">
        <v>9.6</v>
      </c>
      <c r="H171" t="s">
        <v>1098</v>
      </c>
      <c r="I171">
        <f t="shared" ca="1" si="4"/>
        <v>7.2295683674982705</v>
      </c>
      <c r="J171">
        <f t="shared" ca="1" si="5"/>
        <v>7.0919999999999996</v>
      </c>
      <c r="L171" s="26" t="s">
        <v>1098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  <c r="T171" s="70">
        <v>0</v>
      </c>
      <c r="U171" s="70">
        <v>0</v>
      </c>
      <c r="V171" s="70">
        <v>0</v>
      </c>
      <c r="W171" s="70">
        <v>0</v>
      </c>
      <c r="X171" s="70">
        <v>0</v>
      </c>
      <c r="Y171" s="70">
        <v>0</v>
      </c>
      <c r="Z171" s="70">
        <v>0</v>
      </c>
      <c r="AA171" s="70">
        <v>0</v>
      </c>
      <c r="AB171" s="70">
        <v>0</v>
      </c>
      <c r="AC171" s="70">
        <v>0</v>
      </c>
      <c r="AD171" s="70">
        <v>0</v>
      </c>
      <c r="AE171" s="70">
        <v>0</v>
      </c>
      <c r="AF171" s="70">
        <v>0</v>
      </c>
      <c r="AG171" s="70">
        <v>0</v>
      </c>
      <c r="AH171" s="70">
        <v>0</v>
      </c>
      <c r="AI171" s="70">
        <v>0</v>
      </c>
      <c r="AJ171" s="70">
        <v>0</v>
      </c>
      <c r="AK171" s="70">
        <v>0</v>
      </c>
      <c r="AL171" s="70">
        <v>0</v>
      </c>
      <c r="AM171" s="70">
        <v>0</v>
      </c>
      <c r="AN171" s="70">
        <v>0</v>
      </c>
      <c r="AO171" s="70">
        <v>0</v>
      </c>
      <c r="AP171" s="70">
        <v>0</v>
      </c>
      <c r="AQ171" s="70">
        <v>0</v>
      </c>
      <c r="AR171" s="70">
        <v>0</v>
      </c>
      <c r="AS171" s="70">
        <v>0</v>
      </c>
      <c r="AT171" s="70">
        <v>1</v>
      </c>
    </row>
    <row r="172" spans="1:46" x14ac:dyDescent="0.2">
      <c r="A172" s="2" t="s">
        <v>93</v>
      </c>
      <c r="B172" s="2" t="str">
        <f>VLOOKUP(A172,'[14]Calculated coal req (reg.)'!$A$2:$B$599,2,FALSE)</f>
        <v>MUNDRA TPS UNIT 7-9</v>
      </c>
      <c r="C172" s="2">
        <v>11.7336201746208</v>
      </c>
      <c r="D172" s="2">
        <v>13.464</v>
      </c>
      <c r="H172" t="s">
        <v>1028</v>
      </c>
      <c r="I172">
        <f t="shared" ca="1" si="4"/>
        <v>10.096137236515279</v>
      </c>
      <c r="J172">
        <f t="shared" ca="1" si="5"/>
        <v>20.399999999999999</v>
      </c>
      <c r="L172" s="26" t="s">
        <v>1028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  <c r="T172" s="70">
        <v>0</v>
      </c>
      <c r="U172" s="70">
        <v>0</v>
      </c>
      <c r="V172" s="70">
        <v>0</v>
      </c>
      <c r="W172" s="70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0">
        <v>0</v>
      </c>
      <c r="AD172" s="70">
        <v>0</v>
      </c>
      <c r="AE172" s="70">
        <v>0</v>
      </c>
      <c r="AF172" s="70">
        <v>0</v>
      </c>
      <c r="AG172" s="70">
        <v>0</v>
      </c>
      <c r="AH172" s="70">
        <v>0</v>
      </c>
      <c r="AI172" s="70">
        <v>0</v>
      </c>
      <c r="AJ172" s="70">
        <v>0</v>
      </c>
      <c r="AK172" s="70">
        <v>0</v>
      </c>
      <c r="AL172" s="70">
        <v>0</v>
      </c>
      <c r="AM172" s="70">
        <v>0</v>
      </c>
      <c r="AN172" s="70">
        <v>0</v>
      </c>
      <c r="AO172" s="70">
        <v>0</v>
      </c>
      <c r="AP172" s="70">
        <v>0</v>
      </c>
      <c r="AQ172" s="70">
        <v>0</v>
      </c>
      <c r="AR172" s="70">
        <v>0</v>
      </c>
      <c r="AS172" s="70">
        <v>0</v>
      </c>
      <c r="AT172" s="70">
        <v>1</v>
      </c>
    </row>
    <row r="173" spans="1:46" x14ac:dyDescent="0.2">
      <c r="A173" s="2" t="s">
        <v>94</v>
      </c>
      <c r="B173" s="2" t="str">
        <f>VLOOKUP(A173,'[14]Calculated coal req (reg.)'!$A$2:$B$599,2,FALSE)</f>
        <v>MUNDRA TPS UNIT 7-9</v>
      </c>
      <c r="C173" s="2">
        <v>10.0553444389709</v>
      </c>
      <c r="D173" s="2">
        <v>13.464</v>
      </c>
      <c r="H173" t="s">
        <v>1070</v>
      </c>
      <c r="I173">
        <f t="shared" ca="1" si="4"/>
        <v>5.3145169571128301</v>
      </c>
      <c r="J173">
        <f t="shared" ca="1" si="5"/>
        <v>24.48</v>
      </c>
      <c r="L173" s="26" t="s">
        <v>1070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1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</row>
    <row r="174" spans="1:46" x14ac:dyDescent="0.2">
      <c r="A174" s="2" t="s">
        <v>99</v>
      </c>
      <c r="B174" s="2" t="str">
        <f>VLOOKUP(A174,'[14]Calculated coal req (reg.)'!$A$2:$B$599,2,FALSE)</f>
        <v>MUNDRA TPS UNIT 7-9</v>
      </c>
      <c r="C174" s="2">
        <v>10.4925614301604</v>
      </c>
      <c r="D174" s="2">
        <v>13.464</v>
      </c>
      <c r="H174" t="s">
        <v>1105</v>
      </c>
      <c r="I174">
        <f t="shared" ca="1" si="4"/>
        <v>9.5158377008646298</v>
      </c>
      <c r="J174">
        <f t="shared" ca="1" si="5"/>
        <v>2.9550000000000001</v>
      </c>
      <c r="L174" s="26" t="s">
        <v>1105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70">
        <v>1</v>
      </c>
    </row>
    <row r="175" spans="1:46" x14ac:dyDescent="0.2">
      <c r="A175" s="2" t="s">
        <v>106</v>
      </c>
      <c r="B175" s="2" t="str">
        <f>VLOOKUP(A175,'[14]Calculated coal req (reg.)'!$A$2:$B$599,2,FALSE)</f>
        <v>MUNDRA TPS UNIT 5-6</v>
      </c>
      <c r="C175" s="2">
        <v>6.3732698862934098</v>
      </c>
      <c r="D175" s="2">
        <v>13.464</v>
      </c>
      <c r="H175" t="s">
        <v>996</v>
      </c>
      <c r="I175">
        <f t="shared" ca="1" si="4"/>
        <v>90.547747259919404</v>
      </c>
      <c r="J175">
        <f t="shared" ca="1" si="5"/>
        <v>80.784000000000006</v>
      </c>
      <c r="L175" s="26" t="s">
        <v>996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  <c r="T175" s="70">
        <v>0</v>
      </c>
      <c r="U175" s="70">
        <v>0.11145132276140021</v>
      </c>
      <c r="V175" s="70">
        <v>0</v>
      </c>
      <c r="W175" s="70">
        <v>0</v>
      </c>
      <c r="X175" s="70">
        <v>0.1126437213427228</v>
      </c>
      <c r="Y175" s="70">
        <v>0</v>
      </c>
      <c r="Z175" s="70">
        <v>0</v>
      </c>
      <c r="AA175" s="70">
        <v>0</v>
      </c>
      <c r="AB175" s="70">
        <v>0</v>
      </c>
      <c r="AC175" s="70">
        <v>0</v>
      </c>
      <c r="AD175" s="70">
        <v>0.38282828822022452</v>
      </c>
      <c r="AE175" s="70">
        <v>0</v>
      </c>
      <c r="AF175" s="70">
        <v>0</v>
      </c>
      <c r="AG175" s="70">
        <v>0</v>
      </c>
      <c r="AH175" s="70">
        <v>0</v>
      </c>
      <c r="AI175" s="70">
        <v>0</v>
      </c>
      <c r="AJ175" s="70">
        <v>0</v>
      </c>
      <c r="AK175" s="70">
        <v>0</v>
      </c>
      <c r="AL175" s="70">
        <v>0.14836312070027796</v>
      </c>
      <c r="AM175" s="70">
        <v>9.5847893623707117E-2</v>
      </c>
      <c r="AN175" s="70">
        <v>0</v>
      </c>
      <c r="AO175" s="70">
        <v>0</v>
      </c>
      <c r="AP175" s="70">
        <v>0</v>
      </c>
      <c r="AQ175" s="70">
        <v>0</v>
      </c>
      <c r="AR175" s="70">
        <v>0.12577496874372787</v>
      </c>
      <c r="AS175" s="70">
        <v>2.3090684607939532E-2</v>
      </c>
      <c r="AT175" s="70">
        <v>0</v>
      </c>
    </row>
    <row r="176" spans="1:46" x14ac:dyDescent="0.2">
      <c r="A176" s="2" t="s">
        <v>111</v>
      </c>
      <c r="B176" s="2" t="str">
        <f>VLOOKUP(A176,'[14]Calculated coal req (reg.)'!$A$2:$B$599,2,FALSE)</f>
        <v>MUNDRA TPS UNIT 5-6</v>
      </c>
      <c r="C176" s="2">
        <v>7.7756351792143104</v>
      </c>
      <c r="D176" s="2">
        <v>13.464</v>
      </c>
      <c r="H176" t="s">
        <v>1101</v>
      </c>
      <c r="I176">
        <f t="shared" ca="1" si="4"/>
        <v>8.805921561614511</v>
      </c>
      <c r="J176">
        <f t="shared" ca="1" si="5"/>
        <v>5.91</v>
      </c>
      <c r="L176" s="26" t="s">
        <v>1101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  <c r="T176" s="70">
        <v>0</v>
      </c>
      <c r="U176" s="70">
        <v>0</v>
      </c>
      <c r="V176" s="70">
        <v>0</v>
      </c>
      <c r="W176" s="70">
        <v>0</v>
      </c>
      <c r="X176" s="70">
        <v>0</v>
      </c>
      <c r="Y176" s="70">
        <v>0</v>
      </c>
      <c r="Z176" s="70">
        <v>0</v>
      </c>
      <c r="AA176" s="70">
        <v>0</v>
      </c>
      <c r="AB176" s="70">
        <v>0</v>
      </c>
      <c r="AC176" s="70">
        <v>0</v>
      </c>
      <c r="AD176" s="70">
        <v>1</v>
      </c>
      <c r="AE176" s="70">
        <v>0</v>
      </c>
      <c r="AF176" s="70">
        <v>0</v>
      </c>
      <c r="AG176" s="70">
        <v>0</v>
      </c>
      <c r="AH176" s="70">
        <v>0</v>
      </c>
      <c r="AI176" s="70">
        <v>0</v>
      </c>
      <c r="AJ176" s="70">
        <v>0</v>
      </c>
      <c r="AK176" s="70">
        <v>0</v>
      </c>
      <c r="AL176" s="70">
        <v>0</v>
      </c>
      <c r="AM176" s="70">
        <v>0</v>
      </c>
      <c r="AN176" s="70">
        <v>0</v>
      </c>
      <c r="AO176" s="70">
        <v>0</v>
      </c>
      <c r="AP176" s="70">
        <v>0</v>
      </c>
      <c r="AQ176" s="70">
        <v>0</v>
      </c>
      <c r="AR176" s="70">
        <v>0</v>
      </c>
      <c r="AS176" s="70">
        <v>0</v>
      </c>
      <c r="AT176" s="70">
        <v>0</v>
      </c>
    </row>
    <row r="177" spans="1:46" x14ac:dyDescent="0.2">
      <c r="A177" s="2" t="s">
        <v>212</v>
      </c>
      <c r="B177" s="2" t="str">
        <f>VLOOKUP(A177,'[14]Calculated coal req (reg.)'!$A$2:$B$599,2,FALSE)</f>
        <v>RIHAND STPS UNIT 3-4</v>
      </c>
      <c r="C177" s="2">
        <v>11.0051500848356</v>
      </c>
      <c r="D177" s="2">
        <v>9</v>
      </c>
      <c r="H177" t="s">
        <v>1163</v>
      </c>
      <c r="I177">
        <f t="shared" ca="1" si="4"/>
        <v>8.3573808016416713</v>
      </c>
      <c r="J177">
        <f t="shared" ca="1" si="5"/>
        <v>0</v>
      </c>
      <c r="L177" s="26" t="s">
        <v>1163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  <c r="T177" s="70">
        <v>0</v>
      </c>
      <c r="U177" s="70">
        <v>0</v>
      </c>
      <c r="V177" s="70">
        <v>0</v>
      </c>
      <c r="W177" s="70">
        <v>0</v>
      </c>
      <c r="X177" s="70">
        <v>0</v>
      </c>
      <c r="Y177" s="70">
        <v>0</v>
      </c>
      <c r="Z177" s="70">
        <v>0</v>
      </c>
      <c r="AA177" s="70">
        <v>0</v>
      </c>
      <c r="AB177" s="70">
        <v>0</v>
      </c>
      <c r="AC177" s="70">
        <v>0</v>
      </c>
      <c r="AD177" s="70">
        <v>1</v>
      </c>
      <c r="AE177" s="70">
        <v>0</v>
      </c>
      <c r="AF177" s="70">
        <v>0</v>
      </c>
      <c r="AG177" s="70">
        <v>0</v>
      </c>
      <c r="AH177" s="70">
        <v>0</v>
      </c>
      <c r="AI177" s="70">
        <v>0</v>
      </c>
      <c r="AJ177" s="70">
        <v>0</v>
      </c>
      <c r="AK177" s="70">
        <v>0</v>
      </c>
      <c r="AL177" s="70">
        <v>0</v>
      </c>
      <c r="AM177" s="70">
        <v>0</v>
      </c>
      <c r="AN177" s="70">
        <v>0</v>
      </c>
      <c r="AO177" s="70">
        <v>0</v>
      </c>
      <c r="AP177" s="70">
        <v>0</v>
      </c>
      <c r="AQ177" s="70">
        <v>0</v>
      </c>
      <c r="AR177" s="70">
        <v>0</v>
      </c>
      <c r="AS177" s="70">
        <v>0</v>
      </c>
      <c r="AT177" s="70">
        <v>0</v>
      </c>
    </row>
    <row r="178" spans="1:46" x14ac:dyDescent="0.2">
      <c r="A178" s="2" t="s">
        <v>216</v>
      </c>
      <c r="B178" s="2" t="str">
        <f>VLOOKUP(A178,'[14]Calculated coal req (reg.)'!$A$2:$B$599,2,FALSE)</f>
        <v>RAMAGUNDEM STPS UNIT 7</v>
      </c>
      <c r="C178" s="2">
        <v>10.091637919073699</v>
      </c>
      <c r="D178" s="2">
        <v>9</v>
      </c>
      <c r="H178" t="s">
        <v>1011</v>
      </c>
      <c r="I178">
        <f t="shared" ca="1" si="4"/>
        <v>6.94086002648445</v>
      </c>
      <c r="J178">
        <f t="shared" ca="1" si="5"/>
        <v>12.24</v>
      </c>
      <c r="L178" s="26" t="s">
        <v>1011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  <c r="T178" s="70">
        <v>0</v>
      </c>
      <c r="U178" s="70">
        <v>0</v>
      </c>
      <c r="V178" s="70">
        <v>0</v>
      </c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0">
        <v>0.66332783195419975</v>
      </c>
      <c r="AD178" s="70">
        <v>0.33667216804580025</v>
      </c>
      <c r="AE178" s="70">
        <v>0</v>
      </c>
      <c r="AF178" s="70">
        <v>0</v>
      </c>
      <c r="AG178" s="70">
        <v>0</v>
      </c>
      <c r="AH178" s="70">
        <v>0</v>
      </c>
      <c r="AI178" s="70">
        <v>0</v>
      </c>
      <c r="AJ178" s="70">
        <v>0</v>
      </c>
      <c r="AK178" s="70">
        <v>0</v>
      </c>
      <c r="AL178" s="70">
        <v>0</v>
      </c>
      <c r="AM178" s="70">
        <v>0</v>
      </c>
      <c r="AN178" s="70">
        <v>0</v>
      </c>
      <c r="AO178" s="70">
        <v>0</v>
      </c>
      <c r="AP178" s="70">
        <v>0</v>
      </c>
      <c r="AQ178" s="70">
        <v>0</v>
      </c>
      <c r="AR178" s="70">
        <v>0</v>
      </c>
      <c r="AS178" s="70">
        <v>0</v>
      </c>
      <c r="AT178" s="70">
        <v>0</v>
      </c>
    </row>
    <row r="179" spans="1:46" x14ac:dyDescent="0.2">
      <c r="A179" s="2" t="s">
        <v>208</v>
      </c>
      <c r="B179" s="2" t="str">
        <f>VLOOKUP(A179,'[14]Calculated coal req (reg.)'!$A$2:$B$599,2,FALSE)</f>
        <v>TALCHER STPS UNIT 3-6</v>
      </c>
      <c r="C179" s="2">
        <v>10.0952082092883</v>
      </c>
      <c r="D179" s="2">
        <v>9</v>
      </c>
      <c r="H179" t="s">
        <v>1018</v>
      </c>
      <c r="I179">
        <f t="shared" ca="1" si="4"/>
        <v>14.348749783425511</v>
      </c>
      <c r="J179">
        <f t="shared" ca="1" si="5"/>
        <v>24.48</v>
      </c>
      <c r="L179" s="26" t="s">
        <v>1018</v>
      </c>
      <c r="M179" s="70">
        <v>3.1445083535328417E-3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  <c r="T179" s="70">
        <v>0</v>
      </c>
      <c r="U179" s="70">
        <v>0</v>
      </c>
      <c r="V179" s="70">
        <v>0</v>
      </c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0">
        <v>0</v>
      </c>
      <c r="AD179" s="70">
        <v>0.99685549164646714</v>
      </c>
      <c r="AE179" s="70">
        <v>0</v>
      </c>
      <c r="AF179" s="70">
        <v>0</v>
      </c>
      <c r="AG179" s="70">
        <v>0</v>
      </c>
      <c r="AH179" s="70">
        <v>0</v>
      </c>
      <c r="AI179" s="70">
        <v>0</v>
      </c>
      <c r="AJ179" s="70">
        <v>0</v>
      </c>
      <c r="AK179" s="70">
        <v>0</v>
      </c>
      <c r="AL179" s="70">
        <v>0</v>
      </c>
      <c r="AM179" s="70">
        <v>0</v>
      </c>
      <c r="AN179" s="70">
        <v>0</v>
      </c>
      <c r="AO179" s="70">
        <v>0</v>
      </c>
      <c r="AP179" s="70">
        <v>0</v>
      </c>
      <c r="AQ179" s="70">
        <v>0</v>
      </c>
      <c r="AR179" s="70">
        <v>0</v>
      </c>
      <c r="AS179" s="70">
        <v>0</v>
      </c>
      <c r="AT179" s="70">
        <v>0</v>
      </c>
    </row>
    <row r="180" spans="1:46" x14ac:dyDescent="0.2">
      <c r="A180" s="2" t="s">
        <v>219</v>
      </c>
      <c r="B180" s="2" t="str">
        <f>VLOOKUP(A180,'[14]Calculated coal req (reg.)'!$A$2:$B$599,2,FALSE)</f>
        <v>TALCHER STPS UNIT 3-6</v>
      </c>
      <c r="C180" s="2">
        <v>9.6497396902856707</v>
      </c>
      <c r="D180" s="2">
        <v>9</v>
      </c>
      <c r="H180" t="s">
        <v>989</v>
      </c>
      <c r="I180">
        <f t="shared" ca="1" si="4"/>
        <v>13.537412660441611</v>
      </c>
      <c r="J180">
        <f t="shared" ca="1" si="5"/>
        <v>26.928000000000001</v>
      </c>
      <c r="L180" s="26" t="s">
        <v>989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  <c r="T180" s="70">
        <v>0</v>
      </c>
      <c r="U180" s="70">
        <v>0</v>
      </c>
      <c r="V180" s="70">
        <v>0</v>
      </c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0">
        <v>0</v>
      </c>
      <c r="AD180" s="70">
        <v>1</v>
      </c>
      <c r="AE180" s="70">
        <v>0</v>
      </c>
      <c r="AF180" s="70">
        <v>0</v>
      </c>
      <c r="AG180" s="70">
        <v>0</v>
      </c>
      <c r="AH180" s="70">
        <v>0</v>
      </c>
      <c r="AI180" s="70">
        <v>0</v>
      </c>
      <c r="AJ180" s="70">
        <v>0</v>
      </c>
      <c r="AK180" s="70">
        <v>0</v>
      </c>
      <c r="AL180" s="70">
        <v>0</v>
      </c>
      <c r="AM180" s="70">
        <v>0</v>
      </c>
      <c r="AN180" s="70">
        <v>0</v>
      </c>
      <c r="AO180" s="70">
        <v>0</v>
      </c>
      <c r="AP180" s="70">
        <v>0</v>
      </c>
      <c r="AQ180" s="70">
        <v>0</v>
      </c>
      <c r="AR180" s="70">
        <v>0</v>
      </c>
      <c r="AS180" s="70">
        <v>0</v>
      </c>
      <c r="AT180" s="70">
        <v>0</v>
      </c>
    </row>
    <row r="181" spans="1:46" x14ac:dyDescent="0.2">
      <c r="A181" s="2" t="s">
        <v>171</v>
      </c>
      <c r="B181" s="2"/>
      <c r="C181" s="2">
        <v>1.0293194587261101</v>
      </c>
      <c r="D181" s="2">
        <v>7.3440000000000003</v>
      </c>
      <c r="H181" t="s">
        <v>1164</v>
      </c>
      <c r="I181">
        <f t="shared" ca="1" si="4"/>
        <v>7.5636440472345798</v>
      </c>
      <c r="J181">
        <f t="shared" ca="1" si="5"/>
        <v>0</v>
      </c>
      <c r="L181" s="26" t="s">
        <v>1164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  <c r="T181" s="70">
        <v>0</v>
      </c>
      <c r="U181" s="70">
        <v>0</v>
      </c>
      <c r="V181" s="70">
        <v>0</v>
      </c>
      <c r="W181" s="70">
        <v>1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0">
        <v>0</v>
      </c>
      <c r="AE181" s="70">
        <v>0</v>
      </c>
      <c r="AF181" s="70">
        <v>0</v>
      </c>
      <c r="AG181" s="70">
        <v>0</v>
      </c>
      <c r="AH181" s="70">
        <v>0</v>
      </c>
      <c r="AI181" s="70">
        <v>0</v>
      </c>
      <c r="AJ181" s="70">
        <v>0</v>
      </c>
      <c r="AK181" s="70">
        <v>0</v>
      </c>
      <c r="AL181" s="70">
        <v>0</v>
      </c>
      <c r="AM181" s="70">
        <v>0</v>
      </c>
      <c r="AN181" s="70">
        <v>0</v>
      </c>
      <c r="AO181" s="70">
        <v>0</v>
      </c>
      <c r="AP181" s="70">
        <v>0</v>
      </c>
      <c r="AQ181" s="70">
        <v>0</v>
      </c>
      <c r="AR181" s="70">
        <v>0</v>
      </c>
      <c r="AS181" s="70">
        <v>0</v>
      </c>
      <c r="AT181" s="70">
        <v>0</v>
      </c>
    </row>
    <row r="182" spans="1:46" x14ac:dyDescent="0.2">
      <c r="A182" s="2" t="s">
        <v>68</v>
      </c>
      <c r="B182" s="2" t="str">
        <f>VLOOKUP(A182,'[14]Calculated coal req (reg.)'!$A$2:$B$599,2,FALSE)</f>
        <v>ITPCL TPP UNIT 2</v>
      </c>
      <c r="C182" s="2">
        <v>8.8881905865423594</v>
      </c>
      <c r="D182" s="2">
        <v>12.24</v>
      </c>
      <c r="H182" t="s">
        <v>1069</v>
      </c>
      <c r="I182">
        <f t="shared" ca="1" si="4"/>
        <v>15.934142485477679</v>
      </c>
      <c r="J182">
        <f t="shared" ca="1" si="5"/>
        <v>18</v>
      </c>
      <c r="L182" s="26" t="s">
        <v>1069</v>
      </c>
      <c r="M182" s="70">
        <v>0.47092055096210134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  <c r="T182" s="70">
        <v>0</v>
      </c>
      <c r="U182" s="70">
        <v>0</v>
      </c>
      <c r="V182" s="70">
        <v>0</v>
      </c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0">
        <v>0</v>
      </c>
      <c r="AD182" s="70">
        <v>0</v>
      </c>
      <c r="AE182" s="70">
        <v>0</v>
      </c>
      <c r="AF182" s="70">
        <v>0</v>
      </c>
      <c r="AG182" s="70">
        <v>0</v>
      </c>
      <c r="AH182" s="70">
        <v>0</v>
      </c>
      <c r="AI182" s="70">
        <v>0</v>
      </c>
      <c r="AJ182" s="70">
        <v>0</v>
      </c>
      <c r="AK182" s="70">
        <v>0</v>
      </c>
      <c r="AL182" s="70">
        <v>0</v>
      </c>
      <c r="AM182" s="70">
        <v>0</v>
      </c>
      <c r="AN182" s="70">
        <v>0</v>
      </c>
      <c r="AO182" s="70">
        <v>0</v>
      </c>
      <c r="AP182" s="70">
        <v>0.52907944903789861</v>
      </c>
      <c r="AQ182" s="70">
        <v>0</v>
      </c>
      <c r="AR182" s="70">
        <v>0</v>
      </c>
      <c r="AS182" s="70">
        <v>0</v>
      </c>
      <c r="AT182" s="70">
        <v>0</v>
      </c>
    </row>
    <row r="183" spans="1:46" x14ac:dyDescent="0.2">
      <c r="A183" s="2" t="s">
        <v>173</v>
      </c>
      <c r="B183" s="2" t="str">
        <f>VLOOKUP(A183,'[14]Calculated coal req (reg.)'!$A$2:$B$599,2,FALSE)</f>
        <v>UCHPINDA TPP UNIT 1-2</v>
      </c>
      <c r="C183" s="2">
        <v>2.0589000157198001</v>
      </c>
      <c r="D183" s="2">
        <v>7.3440000000000003</v>
      </c>
      <c r="H183" t="s">
        <v>1043</v>
      </c>
      <c r="I183">
        <f t="shared" ca="1" si="4"/>
        <v>15.92884710966328</v>
      </c>
      <c r="J183">
        <f t="shared" ca="1" si="5"/>
        <v>20.399999999999999</v>
      </c>
      <c r="L183" s="26" t="s">
        <v>1043</v>
      </c>
      <c r="M183" s="70">
        <v>0.26360214620376954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  <c r="T183" s="70">
        <v>0</v>
      </c>
      <c r="U183" s="70">
        <v>0</v>
      </c>
      <c r="V183" s="70">
        <v>0</v>
      </c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0.18272099151250001</v>
      </c>
      <c r="AC183" s="70">
        <v>0.10030988788307904</v>
      </c>
      <c r="AD183" s="70">
        <v>0</v>
      </c>
      <c r="AE183" s="70">
        <v>0</v>
      </c>
      <c r="AF183" s="70">
        <v>0</v>
      </c>
      <c r="AG183" s="70">
        <v>0</v>
      </c>
      <c r="AH183" s="70">
        <v>0</v>
      </c>
      <c r="AI183" s="70">
        <v>0</v>
      </c>
      <c r="AJ183" s="70">
        <v>0</v>
      </c>
      <c r="AK183" s="70">
        <v>1.6727217078224915E-2</v>
      </c>
      <c r="AL183" s="70">
        <v>0</v>
      </c>
      <c r="AM183" s="70">
        <v>0</v>
      </c>
      <c r="AN183" s="70">
        <v>0</v>
      </c>
      <c r="AO183" s="70">
        <v>0.21691930554979172</v>
      </c>
      <c r="AP183" s="70">
        <v>0.21972045177263477</v>
      </c>
      <c r="AQ183" s="70">
        <v>0</v>
      </c>
      <c r="AR183" s="70">
        <v>0</v>
      </c>
      <c r="AS183" s="70">
        <v>0</v>
      </c>
      <c r="AT183" s="70">
        <v>0</v>
      </c>
    </row>
    <row r="184" spans="1:46" x14ac:dyDescent="0.2">
      <c r="A184" s="2" t="s">
        <v>225</v>
      </c>
      <c r="B184" s="2" t="str">
        <f>VLOOKUP(A184,'[14]Calculated coal req (reg.)'!$A$2:$B$599,2,FALSE)</f>
        <v>TALCHER STPS UNIT 3-6</v>
      </c>
      <c r="C184" s="2">
        <v>9.7730646706216699</v>
      </c>
      <c r="D184" s="2">
        <v>9</v>
      </c>
      <c r="H184" t="s">
        <v>1007</v>
      </c>
      <c r="I184">
        <f t="shared" ca="1" si="4"/>
        <v>25.004338668185</v>
      </c>
      <c r="J184">
        <f t="shared" ca="1" si="5"/>
        <v>24.48</v>
      </c>
      <c r="L184" s="26" t="s">
        <v>1007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  <c r="T184" s="70">
        <v>0</v>
      </c>
      <c r="U184" s="70">
        <v>0</v>
      </c>
      <c r="V184" s="70">
        <v>0</v>
      </c>
      <c r="W184" s="70">
        <v>0</v>
      </c>
      <c r="X184" s="70">
        <v>0</v>
      </c>
      <c r="Y184" s="70">
        <v>0</v>
      </c>
      <c r="Z184" s="70">
        <v>0</v>
      </c>
      <c r="AA184" s="70">
        <v>0</v>
      </c>
      <c r="AB184" s="70">
        <v>0</v>
      </c>
      <c r="AC184" s="70">
        <v>0</v>
      </c>
      <c r="AD184" s="70">
        <v>0</v>
      </c>
      <c r="AE184" s="70">
        <v>0</v>
      </c>
      <c r="AF184" s="70">
        <v>0</v>
      </c>
      <c r="AG184" s="70">
        <v>0</v>
      </c>
      <c r="AH184" s="70">
        <v>0</v>
      </c>
      <c r="AI184" s="70">
        <v>0</v>
      </c>
      <c r="AJ184" s="70">
        <v>0</v>
      </c>
      <c r="AK184" s="70">
        <v>0</v>
      </c>
      <c r="AL184" s="70">
        <v>0</v>
      </c>
      <c r="AM184" s="70">
        <v>0</v>
      </c>
      <c r="AN184" s="70">
        <v>0</v>
      </c>
      <c r="AO184" s="70">
        <v>0</v>
      </c>
      <c r="AP184" s="70">
        <v>1</v>
      </c>
      <c r="AQ184" s="70">
        <v>0</v>
      </c>
      <c r="AR184" s="70">
        <v>0</v>
      </c>
      <c r="AS184" s="70">
        <v>0</v>
      </c>
      <c r="AT184" s="70">
        <v>0</v>
      </c>
    </row>
    <row r="185" spans="1:46" x14ac:dyDescent="0.2">
      <c r="A185" s="2" t="s">
        <v>75</v>
      </c>
      <c r="B185" s="2" t="str">
        <f>VLOOKUP(A185,'[14]Calculated coal req (reg.)'!$A$2:$B$599,2,FALSE)</f>
        <v>MUTHIARA TPP</v>
      </c>
      <c r="C185" s="2">
        <v>4.8755597062105096</v>
      </c>
      <c r="D185" s="2">
        <v>12.24</v>
      </c>
      <c r="H185" t="s">
        <v>1089</v>
      </c>
      <c r="I185">
        <f t="shared" ca="1" si="4"/>
        <v>40.954916967706488</v>
      </c>
      <c r="J185">
        <f t="shared" ca="1" si="5"/>
        <v>11.82</v>
      </c>
      <c r="L185" s="26" t="s">
        <v>1089</v>
      </c>
      <c r="M185" s="70">
        <v>0</v>
      </c>
      <c r="N185" s="70">
        <v>0</v>
      </c>
      <c r="O185" s="70">
        <v>0</v>
      </c>
      <c r="P185" s="70">
        <v>0</v>
      </c>
      <c r="Q185" s="70">
        <v>2.5610547274532492E-5</v>
      </c>
      <c r="R185" s="70">
        <v>0</v>
      </c>
      <c r="S185" s="70">
        <v>0</v>
      </c>
      <c r="T185" s="70">
        <v>0</v>
      </c>
      <c r="U185" s="70">
        <v>7.4123386160014418E-2</v>
      </c>
      <c r="V185" s="70">
        <v>0</v>
      </c>
      <c r="W185" s="70">
        <v>0</v>
      </c>
      <c r="X185" s="70">
        <v>0.1063707864595638</v>
      </c>
      <c r="Y185" s="70">
        <v>5.4535288636284752E-3</v>
      </c>
      <c r="Z185" s="70">
        <v>2.4287573460587616E-3</v>
      </c>
      <c r="AA185" s="70">
        <v>0</v>
      </c>
      <c r="AB185" s="70">
        <v>0</v>
      </c>
      <c r="AC185" s="70">
        <v>0</v>
      </c>
      <c r="AD185" s="70">
        <v>0</v>
      </c>
      <c r="AE185" s="70">
        <v>0</v>
      </c>
      <c r="AF185" s="70">
        <v>0</v>
      </c>
      <c r="AG185" s="70">
        <v>0</v>
      </c>
      <c r="AH185" s="70">
        <v>0</v>
      </c>
      <c r="AI185" s="70">
        <v>0</v>
      </c>
      <c r="AJ185" s="70">
        <v>0</v>
      </c>
      <c r="AK185" s="70">
        <v>0</v>
      </c>
      <c r="AL185" s="70">
        <v>0.11323486327559679</v>
      </c>
      <c r="AM185" s="70">
        <v>0.22348340829950991</v>
      </c>
      <c r="AN185" s="70">
        <v>0</v>
      </c>
      <c r="AO185" s="70">
        <v>0</v>
      </c>
      <c r="AP185" s="70">
        <v>0</v>
      </c>
      <c r="AQ185" s="70">
        <v>0</v>
      </c>
      <c r="AR185" s="70">
        <v>0.42950126271029848</v>
      </c>
      <c r="AS185" s="70">
        <v>4.5378396338054933E-2</v>
      </c>
      <c r="AT185" s="70">
        <v>0</v>
      </c>
    </row>
    <row r="186" spans="1:46" x14ac:dyDescent="0.2">
      <c r="A186" s="2" t="s">
        <v>177</v>
      </c>
      <c r="B186" s="2" t="str">
        <f>VLOOKUP(A186,'[14]Calculated coal req (reg.)'!$A$2:$B$599,2,FALSE)</f>
        <v>UCHPINDA TPP UNIT 1-2</v>
      </c>
      <c r="C186" s="2">
        <v>2.3214548911808301</v>
      </c>
      <c r="D186" s="2">
        <v>7.3440000000000003</v>
      </c>
      <c r="H186" t="s">
        <v>1002</v>
      </c>
      <c r="I186">
        <f t="shared" ca="1" si="4"/>
        <v>41.686340207814496</v>
      </c>
      <c r="J186">
        <f t="shared" ca="1" si="5"/>
        <v>40.392000000000003</v>
      </c>
      <c r="L186" s="26" t="s">
        <v>1002</v>
      </c>
      <c r="M186" s="70">
        <v>1.5581270995556213E-2</v>
      </c>
      <c r="N186" s="70">
        <v>0</v>
      </c>
      <c r="O186" s="70">
        <v>0</v>
      </c>
      <c r="P186" s="70">
        <v>0</v>
      </c>
      <c r="Q186" s="70">
        <v>0</v>
      </c>
      <c r="R186" s="70">
        <v>0.1814590941041247</v>
      </c>
      <c r="S186" s="70">
        <v>4.8611303710946394E-2</v>
      </c>
      <c r="T186" s="70">
        <v>1.3880966799722621E-2</v>
      </c>
      <c r="U186" s="70">
        <v>0</v>
      </c>
      <c r="V186" s="70">
        <v>1.6906571410664054E-2</v>
      </c>
      <c r="W186" s="70">
        <v>0.31446402011802949</v>
      </c>
      <c r="X186" s="70">
        <v>0</v>
      </c>
      <c r="Y186" s="70">
        <v>0</v>
      </c>
      <c r="Z186" s="70">
        <v>4.8682753280244392E-3</v>
      </c>
      <c r="AA186" s="70">
        <v>0</v>
      </c>
      <c r="AB186" s="70">
        <v>0</v>
      </c>
      <c r="AC186" s="70">
        <v>0</v>
      </c>
      <c r="AD186" s="70">
        <v>0.18768197568923184</v>
      </c>
      <c r="AE186" s="70">
        <v>0.20311944607179849</v>
      </c>
      <c r="AF186" s="70">
        <v>0</v>
      </c>
      <c r="AG186" s="70">
        <v>0</v>
      </c>
      <c r="AH186" s="70">
        <v>0</v>
      </c>
      <c r="AI186" s="70">
        <v>0</v>
      </c>
      <c r="AJ186" s="70">
        <v>0</v>
      </c>
      <c r="AK186" s="70">
        <v>0</v>
      </c>
      <c r="AL186" s="70">
        <v>0</v>
      </c>
      <c r="AM186" s="70">
        <v>0</v>
      </c>
      <c r="AN186" s="70">
        <v>0</v>
      </c>
      <c r="AO186" s="70">
        <v>0</v>
      </c>
      <c r="AP186" s="70">
        <v>1.3427075771901885E-2</v>
      </c>
      <c r="AQ186" s="70">
        <v>0</v>
      </c>
      <c r="AR186" s="70">
        <v>0</v>
      </c>
      <c r="AS186" s="70">
        <v>0</v>
      </c>
      <c r="AT186" s="70">
        <v>0</v>
      </c>
    </row>
    <row r="187" spans="1:46" x14ac:dyDescent="0.2">
      <c r="A187" s="2" t="s">
        <v>80</v>
      </c>
      <c r="B187" s="2" t="str">
        <f>VLOOKUP(A187,'[14]Calculated coal req (reg.)'!$A$2:$B$599,2,FALSE)</f>
        <v>ITPCL TPP UNIT 1</v>
      </c>
      <c r="C187" s="2">
        <v>8.5593640587168807</v>
      </c>
      <c r="D187" s="2">
        <v>12.24</v>
      </c>
      <c r="H187" t="s">
        <v>1057</v>
      </c>
      <c r="I187">
        <f t="shared" ca="1" si="4"/>
        <v>21.077048394928099</v>
      </c>
      <c r="J187">
        <f t="shared" ca="1" si="5"/>
        <v>19.2</v>
      </c>
      <c r="L187" s="26" t="s">
        <v>1057</v>
      </c>
      <c r="M187" s="70">
        <v>0</v>
      </c>
      <c r="N187" s="70">
        <v>0</v>
      </c>
      <c r="O187" s="70">
        <v>0</v>
      </c>
      <c r="P187" s="70">
        <v>0</v>
      </c>
      <c r="Q187" s="70">
        <v>0</v>
      </c>
      <c r="R187" s="70">
        <v>0.15559271979397657</v>
      </c>
      <c r="S187" s="70">
        <v>3.056928688078317E-2</v>
      </c>
      <c r="T187" s="70">
        <v>9.6354623752107973E-3</v>
      </c>
      <c r="U187" s="70">
        <v>0</v>
      </c>
      <c r="V187" s="70">
        <v>1.3715661137642726E-2</v>
      </c>
      <c r="W187" s="70">
        <v>0.27526915230534504</v>
      </c>
      <c r="X187" s="70">
        <v>0</v>
      </c>
      <c r="Y187" s="70">
        <v>0</v>
      </c>
      <c r="Z187" s="70">
        <v>3.5892829341190305E-3</v>
      </c>
      <c r="AA187" s="70">
        <v>0</v>
      </c>
      <c r="AB187" s="70">
        <v>0</v>
      </c>
      <c r="AC187" s="70">
        <v>0</v>
      </c>
      <c r="AD187" s="70">
        <v>0.17844529496316286</v>
      </c>
      <c r="AE187" s="70">
        <v>0.32515924852369993</v>
      </c>
      <c r="AF187" s="70">
        <v>0</v>
      </c>
      <c r="AG187" s="70">
        <v>0</v>
      </c>
      <c r="AH187" s="70">
        <v>0</v>
      </c>
      <c r="AI187" s="70">
        <v>0</v>
      </c>
      <c r="AJ187" s="70">
        <v>0</v>
      </c>
      <c r="AK187" s="70">
        <v>0</v>
      </c>
      <c r="AL187" s="70">
        <v>0</v>
      </c>
      <c r="AM187" s="70">
        <v>0</v>
      </c>
      <c r="AN187" s="70">
        <v>0</v>
      </c>
      <c r="AO187" s="70">
        <v>0</v>
      </c>
      <c r="AP187" s="70">
        <v>8.0238910860599595E-3</v>
      </c>
      <c r="AQ187" s="70">
        <v>0</v>
      </c>
      <c r="AR187" s="70">
        <v>0</v>
      </c>
      <c r="AS187" s="70">
        <v>0</v>
      </c>
      <c r="AT187" s="70">
        <v>0</v>
      </c>
    </row>
    <row r="188" spans="1:46" x14ac:dyDescent="0.2">
      <c r="A188" s="2" t="s">
        <v>232</v>
      </c>
      <c r="B188" s="2" t="str">
        <f>VLOOKUP(A188,'[14]Calculated coal req (reg.)'!$A$2:$B$599,2,FALSE)</f>
        <v>TALCHER STPS UNIT 3-6</v>
      </c>
      <c r="C188" s="2">
        <v>9.4725239331179196</v>
      </c>
      <c r="D188" s="2">
        <v>9</v>
      </c>
      <c r="H188" t="s">
        <v>991</v>
      </c>
      <c r="I188">
        <f t="shared" ca="1" si="4"/>
        <v>4.3787363796072833</v>
      </c>
      <c r="J188">
        <f t="shared" ca="1" si="5"/>
        <v>26.928000000000001</v>
      </c>
      <c r="L188" s="26" t="s">
        <v>991</v>
      </c>
      <c r="M188" s="70">
        <v>0</v>
      </c>
      <c r="N188" s="70">
        <v>0</v>
      </c>
      <c r="O188" s="70">
        <v>0</v>
      </c>
      <c r="P188" s="70">
        <v>0</v>
      </c>
      <c r="Q188" s="70">
        <v>0</v>
      </c>
      <c r="R188" s="70">
        <v>0.56218511210832822</v>
      </c>
      <c r="S188" s="70">
        <v>0.16591730714243613</v>
      </c>
      <c r="T188" s="70">
        <v>0</v>
      </c>
      <c r="U188" s="70">
        <v>0</v>
      </c>
      <c r="V188" s="70">
        <v>0.10696522250334058</v>
      </c>
      <c r="W188" s="70">
        <v>0.10338687284940794</v>
      </c>
      <c r="X188" s="70">
        <v>0</v>
      </c>
      <c r="Y188" s="70">
        <v>0</v>
      </c>
      <c r="Z188" s="70">
        <v>3.9338866517685525E-3</v>
      </c>
      <c r="AA188" s="70">
        <v>0</v>
      </c>
      <c r="AB188" s="70">
        <v>0</v>
      </c>
      <c r="AC188" s="70">
        <v>0</v>
      </c>
      <c r="AD188" s="70">
        <v>0</v>
      </c>
      <c r="AE188" s="70">
        <v>0</v>
      </c>
      <c r="AF188" s="70">
        <v>0</v>
      </c>
      <c r="AG188" s="70">
        <v>0</v>
      </c>
      <c r="AH188" s="70">
        <v>0</v>
      </c>
      <c r="AI188" s="70">
        <v>0</v>
      </c>
      <c r="AJ188" s="70">
        <v>0</v>
      </c>
      <c r="AK188" s="70">
        <v>0</v>
      </c>
      <c r="AL188" s="70">
        <v>0</v>
      </c>
      <c r="AM188" s="70">
        <v>0</v>
      </c>
      <c r="AN188" s="70">
        <v>0</v>
      </c>
      <c r="AO188" s="70">
        <v>0</v>
      </c>
      <c r="AP188" s="70">
        <v>5.7611598744718592E-2</v>
      </c>
      <c r="AQ188" s="70">
        <v>0</v>
      </c>
      <c r="AR188" s="70">
        <v>0</v>
      </c>
      <c r="AS188" s="70">
        <v>0</v>
      </c>
      <c r="AT188" s="70">
        <v>0</v>
      </c>
    </row>
    <row r="189" spans="1:46" x14ac:dyDescent="0.2">
      <c r="A189" s="2" t="s">
        <v>241</v>
      </c>
      <c r="B189" s="2" t="str">
        <f>VLOOKUP(A189,'[14]Calculated coal req (reg.)'!$A$2:$B$599,2,FALSE)</f>
        <v>SIMHADRI STPP UNIT 1-2</v>
      </c>
      <c r="C189" s="2">
        <v>8.1764870164380099</v>
      </c>
      <c r="D189" s="2">
        <v>9</v>
      </c>
      <c r="H189" t="s">
        <v>1165</v>
      </c>
      <c r="I189">
        <f t="shared" ca="1" si="4"/>
        <v>0.85523826263123204</v>
      </c>
      <c r="J189">
        <f t="shared" ca="1" si="5"/>
        <v>0</v>
      </c>
      <c r="L189" s="26" t="s">
        <v>1165</v>
      </c>
      <c r="M189" s="70">
        <v>0</v>
      </c>
      <c r="N189" s="70">
        <v>0</v>
      </c>
      <c r="O189" s="70">
        <v>0</v>
      </c>
      <c r="P189" s="70">
        <v>0</v>
      </c>
      <c r="Q189" s="70">
        <v>0</v>
      </c>
      <c r="R189" s="70">
        <v>0</v>
      </c>
      <c r="S189" s="70">
        <v>0</v>
      </c>
      <c r="T189" s="70">
        <v>0</v>
      </c>
      <c r="U189" s="70">
        <v>0</v>
      </c>
      <c r="V189" s="70">
        <v>0</v>
      </c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0">
        <v>0</v>
      </c>
      <c r="AD189" s="70">
        <v>0</v>
      </c>
      <c r="AE189" s="70">
        <v>0</v>
      </c>
      <c r="AF189" s="70">
        <v>0</v>
      </c>
      <c r="AG189" s="70">
        <v>0</v>
      </c>
      <c r="AH189" s="70">
        <v>0</v>
      </c>
      <c r="AI189" s="70">
        <v>0</v>
      </c>
      <c r="AJ189" s="70">
        <v>0</v>
      </c>
      <c r="AK189" s="70">
        <v>0</v>
      </c>
      <c r="AL189" s="70">
        <v>0</v>
      </c>
      <c r="AM189" s="70">
        <v>0</v>
      </c>
      <c r="AN189" s="70">
        <v>0</v>
      </c>
      <c r="AO189" s="70">
        <v>0</v>
      </c>
      <c r="AP189" s="70">
        <v>0</v>
      </c>
      <c r="AQ189" s="70">
        <v>0</v>
      </c>
      <c r="AR189" s="70">
        <v>0</v>
      </c>
      <c r="AS189" s="70">
        <v>0</v>
      </c>
      <c r="AT189" s="70">
        <v>1</v>
      </c>
    </row>
    <row r="190" spans="1:46" x14ac:dyDescent="0.2">
      <c r="A190" s="2" t="s">
        <v>91</v>
      </c>
      <c r="B190" s="2" t="str">
        <f>VLOOKUP(A190,'[14]Calculated coal req (reg.)'!$A$2:$B$599,2,FALSE)</f>
        <v>MUTHIARA TPP</v>
      </c>
      <c r="C190" s="2">
        <v>4.8172721909819503</v>
      </c>
      <c r="D190" s="2">
        <v>12.24</v>
      </c>
      <c r="H190" t="s">
        <v>1022</v>
      </c>
      <c r="I190">
        <f t="shared" ca="1" si="4"/>
        <v>1.4775053609660109</v>
      </c>
      <c r="J190">
        <f t="shared" ca="1" si="5"/>
        <v>23.759999999999998</v>
      </c>
      <c r="L190" s="26" t="s">
        <v>1022</v>
      </c>
      <c r="M190" s="70">
        <v>0</v>
      </c>
      <c r="N190" s="70">
        <v>0</v>
      </c>
      <c r="O190" s="70">
        <v>0</v>
      </c>
      <c r="P190" s="70">
        <v>0</v>
      </c>
      <c r="Q190" s="70">
        <v>0</v>
      </c>
      <c r="R190" s="70">
        <v>0</v>
      </c>
      <c r="S190" s="70">
        <v>0</v>
      </c>
      <c r="T190" s="70">
        <v>0</v>
      </c>
      <c r="U190" s="70">
        <v>0</v>
      </c>
      <c r="V190" s="70">
        <v>0</v>
      </c>
      <c r="W190" s="70">
        <v>0</v>
      </c>
      <c r="X190" s="70">
        <v>0</v>
      </c>
      <c r="Y190" s="70">
        <v>0</v>
      </c>
      <c r="Z190" s="70">
        <v>0</v>
      </c>
      <c r="AA190" s="70">
        <v>0</v>
      </c>
      <c r="AB190" s="70">
        <v>0</v>
      </c>
      <c r="AC190" s="70">
        <v>0</v>
      </c>
      <c r="AD190" s="70">
        <v>0</v>
      </c>
      <c r="AE190" s="70">
        <v>0</v>
      </c>
      <c r="AF190" s="70">
        <v>0</v>
      </c>
      <c r="AG190" s="70">
        <v>0</v>
      </c>
      <c r="AH190" s="70">
        <v>0</v>
      </c>
      <c r="AI190" s="70">
        <v>0</v>
      </c>
      <c r="AJ190" s="70">
        <v>1</v>
      </c>
      <c r="AK190" s="70">
        <v>0</v>
      </c>
      <c r="AL190" s="70">
        <v>0</v>
      </c>
      <c r="AM190" s="70">
        <v>0</v>
      </c>
      <c r="AN190" s="70">
        <v>0</v>
      </c>
      <c r="AO190" s="70">
        <v>0</v>
      </c>
      <c r="AP190" s="70">
        <v>0</v>
      </c>
      <c r="AQ190" s="70">
        <v>0</v>
      </c>
      <c r="AR190" s="70">
        <v>0</v>
      </c>
      <c r="AS190" s="70">
        <v>0</v>
      </c>
      <c r="AT190" s="70">
        <v>0</v>
      </c>
    </row>
    <row r="191" spans="1:46" x14ac:dyDescent="0.2">
      <c r="A191" s="2" t="s">
        <v>249</v>
      </c>
      <c r="B191" s="2" t="str">
        <f>VLOOKUP(A191,'[14]Calculated coal req (reg.)'!$A$2:$B$599,2,FALSE)</f>
        <v>SIMHADRI STPP UNIT 1-2</v>
      </c>
      <c r="C191" s="2">
        <v>7.75765546903967</v>
      </c>
      <c r="D191" s="2">
        <v>9</v>
      </c>
      <c r="H191" t="s">
        <v>1198</v>
      </c>
      <c r="I191">
        <f t="shared" ca="1" si="4"/>
        <v>0</v>
      </c>
      <c r="J191">
        <f t="shared" ca="1" si="5"/>
        <v>0</v>
      </c>
      <c r="L191" s="26" t="s">
        <v>1198</v>
      </c>
      <c r="M191" s="70">
        <v>0</v>
      </c>
      <c r="N191" s="70">
        <v>0</v>
      </c>
      <c r="O191" s="70">
        <v>0</v>
      </c>
      <c r="P191" s="70">
        <v>0</v>
      </c>
      <c r="Q191" s="70">
        <v>0</v>
      </c>
      <c r="R191" s="70">
        <v>0</v>
      </c>
      <c r="S191" s="70">
        <v>0</v>
      </c>
      <c r="T191" s="70">
        <v>0</v>
      </c>
      <c r="U191" s="70">
        <v>0</v>
      </c>
      <c r="V191" s="70">
        <v>0</v>
      </c>
      <c r="W191" s="70">
        <v>1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0">
        <v>0</v>
      </c>
      <c r="AD191" s="70">
        <v>0</v>
      </c>
      <c r="AE191" s="70">
        <v>0</v>
      </c>
      <c r="AF191" s="70">
        <v>0</v>
      </c>
      <c r="AG191" s="70">
        <v>0</v>
      </c>
      <c r="AH191" s="70">
        <v>0</v>
      </c>
      <c r="AI191" s="70">
        <v>0</v>
      </c>
      <c r="AJ191" s="70">
        <v>0</v>
      </c>
      <c r="AK191" s="70">
        <v>0</v>
      </c>
      <c r="AL191" s="70">
        <v>0</v>
      </c>
      <c r="AM191" s="70">
        <v>0</v>
      </c>
      <c r="AN191" s="70">
        <v>0</v>
      </c>
      <c r="AO191" s="70">
        <v>0</v>
      </c>
      <c r="AP191" s="70">
        <v>0</v>
      </c>
      <c r="AQ191" s="70">
        <v>0</v>
      </c>
      <c r="AR191" s="70">
        <v>0</v>
      </c>
      <c r="AS191" s="70">
        <v>0</v>
      </c>
      <c r="AT191" s="70">
        <v>0</v>
      </c>
    </row>
    <row r="192" spans="1:46" x14ac:dyDescent="0.2">
      <c r="A192" s="2" t="s">
        <v>118</v>
      </c>
      <c r="B192" s="2" t="str">
        <f>VLOOKUP(A192,'[14]Calculated coal req (reg.)'!$A$2:$B$599,2,FALSE)</f>
        <v>SALAYA TPP</v>
      </c>
      <c r="C192" s="2">
        <v>2.2594336917562701</v>
      </c>
      <c r="D192" s="2">
        <v>12.24</v>
      </c>
      <c r="H192" t="s">
        <v>1199</v>
      </c>
      <c r="I192">
        <f t="shared" ca="1" si="4"/>
        <v>0</v>
      </c>
      <c r="J192">
        <f t="shared" ca="1" si="5"/>
        <v>0</v>
      </c>
      <c r="L192" s="26" t="s">
        <v>1199</v>
      </c>
      <c r="M192" s="70">
        <v>0</v>
      </c>
      <c r="N192" s="70">
        <v>0</v>
      </c>
      <c r="O192" s="70">
        <v>0</v>
      </c>
      <c r="P192" s="70">
        <v>0</v>
      </c>
      <c r="Q192" s="70">
        <v>0</v>
      </c>
      <c r="R192" s="70">
        <v>0</v>
      </c>
      <c r="S192" s="70">
        <v>0</v>
      </c>
      <c r="T192" s="70">
        <v>0</v>
      </c>
      <c r="U192" s="70">
        <v>0</v>
      </c>
      <c r="V192" s="70">
        <v>0</v>
      </c>
      <c r="W192" s="70">
        <v>1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0">
        <v>0</v>
      </c>
      <c r="AD192" s="70">
        <v>0</v>
      </c>
      <c r="AE192" s="70">
        <v>0</v>
      </c>
      <c r="AF192" s="70">
        <v>0</v>
      </c>
      <c r="AG192" s="70">
        <v>0</v>
      </c>
      <c r="AH192" s="70">
        <v>0</v>
      </c>
      <c r="AI192" s="70">
        <v>0</v>
      </c>
      <c r="AJ192" s="70">
        <v>0</v>
      </c>
      <c r="AK192" s="70">
        <v>0</v>
      </c>
      <c r="AL192" s="70">
        <v>0</v>
      </c>
      <c r="AM192" s="70">
        <v>0</v>
      </c>
      <c r="AN192" s="70">
        <v>0</v>
      </c>
      <c r="AO192" s="70">
        <v>0</v>
      </c>
      <c r="AP192" s="70">
        <v>0</v>
      </c>
      <c r="AQ192" s="70">
        <v>0</v>
      </c>
      <c r="AR192" s="70">
        <v>0</v>
      </c>
      <c r="AS192" s="70">
        <v>0</v>
      </c>
      <c r="AT192" s="70">
        <v>0</v>
      </c>
    </row>
    <row r="193" spans="1:46" x14ac:dyDescent="0.2">
      <c r="A193" s="2" t="s">
        <v>121</v>
      </c>
      <c r="B193" s="2" t="str">
        <f>VLOOKUP(A193,'[14]Calculated coal req (reg.)'!$A$2:$B$599,2,FALSE)</f>
        <v>UDUPI TPP</v>
      </c>
      <c r="C193" s="2">
        <v>5.9819780399738596</v>
      </c>
      <c r="D193" s="2">
        <v>12.24</v>
      </c>
      <c r="H193" t="s">
        <v>1166</v>
      </c>
      <c r="I193">
        <f t="shared" ca="1" si="4"/>
        <v>16.985809644481769</v>
      </c>
      <c r="J193">
        <f t="shared" ca="1" si="5"/>
        <v>0</v>
      </c>
      <c r="L193" s="26" t="s">
        <v>1166</v>
      </c>
      <c r="M193" s="70">
        <v>0</v>
      </c>
      <c r="N193" s="70">
        <v>0</v>
      </c>
      <c r="O193" s="70">
        <v>0</v>
      </c>
      <c r="P193" s="70">
        <v>0</v>
      </c>
      <c r="Q193" s="70">
        <v>0</v>
      </c>
      <c r="R193" s="70">
        <v>0</v>
      </c>
      <c r="S193" s="70">
        <v>0</v>
      </c>
      <c r="T193" s="70">
        <v>0</v>
      </c>
      <c r="U193" s="70">
        <v>0</v>
      </c>
      <c r="V193" s="70">
        <v>0</v>
      </c>
      <c r="W193" s="70">
        <v>0</v>
      </c>
      <c r="X193" s="70">
        <v>0</v>
      </c>
      <c r="Y193" s="70">
        <v>0</v>
      </c>
      <c r="Z193" s="70">
        <v>0</v>
      </c>
      <c r="AA193" s="70">
        <v>0</v>
      </c>
      <c r="AB193" s="70">
        <v>0</v>
      </c>
      <c r="AC193" s="70">
        <v>0</v>
      </c>
      <c r="AD193" s="70">
        <v>0</v>
      </c>
      <c r="AE193" s="70">
        <v>0</v>
      </c>
      <c r="AF193" s="70">
        <v>0</v>
      </c>
      <c r="AG193" s="70">
        <v>0</v>
      </c>
      <c r="AH193" s="70">
        <v>0</v>
      </c>
      <c r="AI193" s="70">
        <v>0</v>
      </c>
      <c r="AJ193" s="70">
        <v>0</v>
      </c>
      <c r="AK193" s="70">
        <v>0</v>
      </c>
      <c r="AL193" s="70">
        <v>0</v>
      </c>
      <c r="AM193" s="70">
        <v>1</v>
      </c>
      <c r="AN193" s="70">
        <v>0</v>
      </c>
      <c r="AO193" s="70">
        <v>0</v>
      </c>
      <c r="AP193" s="70">
        <v>0</v>
      </c>
      <c r="AQ193" s="70">
        <v>0</v>
      </c>
      <c r="AR193" s="70">
        <v>0</v>
      </c>
      <c r="AS193" s="70">
        <v>0</v>
      </c>
      <c r="AT193" s="70">
        <v>0</v>
      </c>
    </row>
    <row r="194" spans="1:46" x14ac:dyDescent="0.2">
      <c r="A194" s="2" t="s">
        <v>120</v>
      </c>
      <c r="B194" s="2" t="str">
        <f>VLOOKUP(A194,'[14]Calculated coal req (reg.)'!$A$2:$B$599,2,FALSE)</f>
        <v>UDUPI TPP</v>
      </c>
      <c r="C194" s="2">
        <v>6.6632286342849998</v>
      </c>
      <c r="D194" s="2">
        <v>12.24</v>
      </c>
      <c r="H194" t="s">
        <v>1167</v>
      </c>
      <c r="I194">
        <f t="shared" ca="1" si="4"/>
        <v>9.7262433788865597</v>
      </c>
      <c r="J194">
        <f t="shared" ca="1" si="5"/>
        <v>0</v>
      </c>
      <c r="L194" s="26" t="s">
        <v>1167</v>
      </c>
      <c r="M194" s="70">
        <v>0</v>
      </c>
      <c r="N194" s="70">
        <v>0</v>
      </c>
      <c r="O194" s="70">
        <v>0</v>
      </c>
      <c r="P194" s="70">
        <v>0</v>
      </c>
      <c r="Q194" s="70">
        <v>0</v>
      </c>
      <c r="R194" s="70">
        <v>0</v>
      </c>
      <c r="S194" s="70">
        <v>0</v>
      </c>
      <c r="T194" s="70">
        <v>0</v>
      </c>
      <c r="U194" s="70">
        <v>0</v>
      </c>
      <c r="V194" s="70">
        <v>0</v>
      </c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0">
        <v>0</v>
      </c>
      <c r="AD194" s="70">
        <v>0</v>
      </c>
      <c r="AE194" s="70">
        <v>0</v>
      </c>
      <c r="AF194" s="70">
        <v>0</v>
      </c>
      <c r="AG194" s="70">
        <v>0</v>
      </c>
      <c r="AH194" s="70">
        <v>0</v>
      </c>
      <c r="AI194" s="70">
        <v>0</v>
      </c>
      <c r="AJ194" s="70">
        <v>1</v>
      </c>
      <c r="AK194" s="70">
        <v>0</v>
      </c>
      <c r="AL194" s="70">
        <v>0</v>
      </c>
      <c r="AM194" s="70">
        <v>0</v>
      </c>
      <c r="AN194" s="70">
        <v>0</v>
      </c>
      <c r="AO194" s="70">
        <v>0</v>
      </c>
      <c r="AP194" s="70">
        <v>0</v>
      </c>
      <c r="AQ194" s="70">
        <v>0</v>
      </c>
      <c r="AR194" s="70">
        <v>0</v>
      </c>
      <c r="AS194" s="70">
        <v>0</v>
      </c>
      <c r="AT194" s="70">
        <v>0</v>
      </c>
    </row>
    <row r="195" spans="1:46" x14ac:dyDescent="0.2">
      <c r="A195" s="2" t="s">
        <v>187</v>
      </c>
      <c r="B195" s="2" t="str">
        <f>VLOOKUP(A195,'[14]Calculated coal req (reg.)'!$A$2:$B$599,2,FALSE)</f>
        <v>KAMALANGA TPS</v>
      </c>
      <c r="C195" s="2">
        <v>5.6103804182493198</v>
      </c>
      <c r="D195" s="2">
        <v>7.14</v>
      </c>
      <c r="H195" t="s">
        <v>1079</v>
      </c>
      <c r="I195">
        <f t="shared" ref="I195:I226" ca="1" si="6">SUMIF($B$2:$C$542,H195,$C$2:$C$542)</f>
        <v>18.642127725530301</v>
      </c>
      <c r="J195">
        <f t="shared" ref="J195:J226" ca="1" si="7">SUMIF($B$2:$D$542,H195,$D$2:$D$542)</f>
        <v>14.31</v>
      </c>
      <c r="L195" s="26" t="s">
        <v>1079</v>
      </c>
      <c r="M195" s="70">
        <v>0</v>
      </c>
      <c r="N195" s="70">
        <v>2.5413888923430769E-3</v>
      </c>
      <c r="O195" s="70">
        <v>2.5427889505396487E-2</v>
      </c>
      <c r="P195" s="70">
        <v>0.4670165340832973</v>
      </c>
      <c r="Q195" s="70">
        <v>0</v>
      </c>
      <c r="R195" s="70">
        <v>0</v>
      </c>
      <c r="S195" s="70">
        <v>0</v>
      </c>
      <c r="T195" s="70">
        <v>0</v>
      </c>
      <c r="U195" s="70">
        <v>0</v>
      </c>
      <c r="V195" s="70">
        <v>0</v>
      </c>
      <c r="W195" s="70">
        <v>0</v>
      </c>
      <c r="X195" s="70">
        <v>0</v>
      </c>
      <c r="Y195" s="70">
        <v>0</v>
      </c>
      <c r="Z195" s="70">
        <v>0</v>
      </c>
      <c r="AA195" s="70">
        <v>8.8712123801814827E-2</v>
      </c>
      <c r="AB195" s="70">
        <v>0</v>
      </c>
      <c r="AC195" s="70">
        <v>0</v>
      </c>
      <c r="AD195" s="70">
        <v>0</v>
      </c>
      <c r="AE195" s="70">
        <v>0</v>
      </c>
      <c r="AF195" s="70">
        <v>0</v>
      </c>
      <c r="AG195" s="70">
        <v>0</v>
      </c>
      <c r="AH195" s="70">
        <v>1.6708079322330083E-3</v>
      </c>
      <c r="AI195" s="70">
        <v>4.5612380426391496E-3</v>
      </c>
      <c r="AJ195" s="70">
        <v>0.36360695595077958</v>
      </c>
      <c r="AK195" s="70">
        <v>0</v>
      </c>
      <c r="AL195" s="70">
        <v>0</v>
      </c>
      <c r="AM195" s="70">
        <v>0</v>
      </c>
      <c r="AN195" s="70">
        <v>2.8655522750591921E-2</v>
      </c>
      <c r="AO195" s="70">
        <v>9.8655222234543243E-3</v>
      </c>
      <c r="AP195" s="70">
        <v>7.9420168174503657E-3</v>
      </c>
      <c r="AQ195" s="70">
        <v>0</v>
      </c>
      <c r="AR195" s="70">
        <v>0</v>
      </c>
      <c r="AS195" s="70">
        <v>0</v>
      </c>
      <c r="AT195" s="70">
        <v>0</v>
      </c>
    </row>
    <row r="196" spans="1:46" x14ac:dyDescent="0.2">
      <c r="A196" s="2" t="s">
        <v>123</v>
      </c>
      <c r="B196" s="2" t="str">
        <f>VLOOKUP(A196,'[14]Calculated coal req (reg.)'!$A$2:$B$599,2,FALSE)</f>
        <v>SALAYA TPP</v>
      </c>
      <c r="C196" s="2">
        <v>3.0550832653565601</v>
      </c>
      <c r="D196" s="2">
        <v>12.24</v>
      </c>
      <c r="H196" t="s">
        <v>1064</v>
      </c>
      <c r="I196">
        <f t="shared" ca="1" si="6"/>
        <v>38.990536503313564</v>
      </c>
      <c r="J196">
        <f t="shared" ca="1" si="7"/>
        <v>36</v>
      </c>
      <c r="L196" s="26" t="s">
        <v>1064</v>
      </c>
      <c r="M196" s="70">
        <v>0.11782363260290292</v>
      </c>
      <c r="N196" s="70">
        <v>0</v>
      </c>
      <c r="O196" s="70">
        <v>0</v>
      </c>
      <c r="P196" s="70">
        <v>0</v>
      </c>
      <c r="Q196" s="70">
        <v>0</v>
      </c>
      <c r="R196" s="70">
        <v>0</v>
      </c>
      <c r="S196" s="70">
        <v>0</v>
      </c>
      <c r="T196" s="70">
        <v>0</v>
      </c>
      <c r="U196" s="70">
        <v>0</v>
      </c>
      <c r="V196" s="70">
        <v>0</v>
      </c>
      <c r="W196" s="70">
        <v>0</v>
      </c>
      <c r="X196" s="70">
        <v>0</v>
      </c>
      <c r="Y196" s="70">
        <v>0</v>
      </c>
      <c r="Z196" s="70">
        <v>0</v>
      </c>
      <c r="AA196" s="70">
        <v>0</v>
      </c>
      <c r="AB196" s="70">
        <v>0.16404356747932733</v>
      </c>
      <c r="AC196" s="70">
        <v>0.21878177802490478</v>
      </c>
      <c r="AD196" s="70">
        <v>0</v>
      </c>
      <c r="AE196" s="70">
        <v>0</v>
      </c>
      <c r="AF196" s="70">
        <v>0</v>
      </c>
      <c r="AG196" s="70">
        <v>0</v>
      </c>
      <c r="AH196" s="70">
        <v>0</v>
      </c>
      <c r="AI196" s="70">
        <v>0</v>
      </c>
      <c r="AJ196" s="70">
        <v>0.10653585689015614</v>
      </c>
      <c r="AK196" s="70">
        <v>3.4597094900898587E-2</v>
      </c>
      <c r="AL196" s="70">
        <v>0</v>
      </c>
      <c r="AM196" s="70">
        <v>0</v>
      </c>
      <c r="AN196" s="70">
        <v>0</v>
      </c>
      <c r="AO196" s="70">
        <v>0.24712435141690836</v>
      </c>
      <c r="AP196" s="70">
        <v>0.11109371868490178</v>
      </c>
      <c r="AQ196" s="70">
        <v>0</v>
      </c>
      <c r="AR196" s="70">
        <v>0</v>
      </c>
      <c r="AS196" s="70">
        <v>0</v>
      </c>
      <c r="AT196" s="70">
        <v>0</v>
      </c>
    </row>
    <row r="197" spans="1:46" x14ac:dyDescent="0.2">
      <c r="A197" s="2" t="s">
        <v>192</v>
      </c>
      <c r="B197" s="2" t="str">
        <f>VLOOKUP(A197,'[14]Calculated coal req (reg.)'!$A$2:$B$599,2,FALSE)</f>
        <v>KAMALANGA TPS</v>
      </c>
      <c r="C197" s="2">
        <v>5.6004336566145296</v>
      </c>
      <c r="D197" s="2">
        <v>7.14</v>
      </c>
      <c r="H197" t="s">
        <v>1005</v>
      </c>
      <c r="I197">
        <f t="shared" ca="1" si="6"/>
        <v>27.648395957321849</v>
      </c>
      <c r="J197">
        <f t="shared" ca="1" si="7"/>
        <v>40.392000000000003</v>
      </c>
      <c r="L197" s="26" t="s">
        <v>1005</v>
      </c>
      <c r="M197" s="70">
        <v>0</v>
      </c>
      <c r="N197" s="70">
        <v>0</v>
      </c>
      <c r="O197" s="70">
        <v>0</v>
      </c>
      <c r="P197" s="70">
        <v>0</v>
      </c>
      <c r="Q197" s="70">
        <v>0</v>
      </c>
      <c r="R197" s="70">
        <v>0</v>
      </c>
      <c r="S197" s="70">
        <v>0</v>
      </c>
      <c r="T197" s="70">
        <v>0</v>
      </c>
      <c r="U197" s="70">
        <v>0</v>
      </c>
      <c r="V197" s="70">
        <v>0</v>
      </c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0">
        <v>0</v>
      </c>
      <c r="AD197" s="70">
        <v>0</v>
      </c>
      <c r="AE197" s="70">
        <v>0</v>
      </c>
      <c r="AF197" s="70">
        <v>0</v>
      </c>
      <c r="AG197" s="70">
        <v>0</v>
      </c>
      <c r="AH197" s="70">
        <v>0</v>
      </c>
      <c r="AI197" s="70">
        <v>0</v>
      </c>
      <c r="AJ197" s="70">
        <v>0</v>
      </c>
      <c r="AK197" s="70">
        <v>0</v>
      </c>
      <c r="AL197" s="70">
        <v>1</v>
      </c>
      <c r="AM197" s="70">
        <v>0</v>
      </c>
      <c r="AN197" s="70">
        <v>0</v>
      </c>
      <c r="AO197" s="70">
        <v>0</v>
      </c>
      <c r="AP197" s="70">
        <v>0</v>
      </c>
      <c r="AQ197" s="70">
        <v>0</v>
      </c>
      <c r="AR197" s="70">
        <v>0</v>
      </c>
      <c r="AS197" s="70">
        <v>0</v>
      </c>
      <c r="AT197" s="70">
        <v>0</v>
      </c>
    </row>
    <row r="198" spans="1:46" x14ac:dyDescent="0.2">
      <c r="A198" s="2" t="s">
        <v>176</v>
      </c>
      <c r="B198" s="2"/>
      <c r="C198" s="2">
        <v>2.9072108171720599</v>
      </c>
      <c r="D198" s="2">
        <v>6.12</v>
      </c>
      <c r="H198" t="s">
        <v>1168</v>
      </c>
      <c r="I198">
        <f t="shared" ca="1" si="6"/>
        <v>6.9807769187986404</v>
      </c>
      <c r="J198">
        <f t="shared" ca="1" si="7"/>
        <v>0</v>
      </c>
      <c r="L198" s="26" t="s">
        <v>1168</v>
      </c>
      <c r="M198" s="70">
        <v>0</v>
      </c>
      <c r="N198" s="70">
        <v>0</v>
      </c>
      <c r="O198" s="70">
        <v>0</v>
      </c>
      <c r="P198" s="70">
        <v>0</v>
      </c>
      <c r="Q198" s="70">
        <v>0</v>
      </c>
      <c r="R198" s="70">
        <v>0</v>
      </c>
      <c r="S198" s="70">
        <v>0</v>
      </c>
      <c r="T198" s="70">
        <v>0</v>
      </c>
      <c r="U198" s="70">
        <v>0</v>
      </c>
      <c r="V198" s="70">
        <v>0</v>
      </c>
      <c r="W198" s="70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0">
        <v>0</v>
      </c>
      <c r="AD198" s="70">
        <v>0</v>
      </c>
      <c r="AE198" s="70">
        <v>0</v>
      </c>
      <c r="AF198" s="70">
        <v>0</v>
      </c>
      <c r="AG198" s="70">
        <v>0</v>
      </c>
      <c r="AH198" s="70">
        <v>0</v>
      </c>
      <c r="AI198" s="70">
        <v>0</v>
      </c>
      <c r="AJ198" s="70">
        <v>0</v>
      </c>
      <c r="AK198" s="70">
        <v>0</v>
      </c>
      <c r="AL198" s="70">
        <v>0</v>
      </c>
      <c r="AM198" s="70">
        <v>0</v>
      </c>
      <c r="AN198" s="70">
        <v>0</v>
      </c>
      <c r="AO198" s="70">
        <v>0</v>
      </c>
      <c r="AP198" s="70">
        <v>0</v>
      </c>
      <c r="AQ198" s="70">
        <v>0</v>
      </c>
      <c r="AR198" s="70">
        <v>1</v>
      </c>
      <c r="AS198" s="70">
        <v>0</v>
      </c>
      <c r="AT198" s="70">
        <v>0</v>
      </c>
    </row>
    <row r="199" spans="1:46" x14ac:dyDescent="0.2">
      <c r="A199" s="2" t="s">
        <v>196</v>
      </c>
      <c r="B199" s="2" t="str">
        <f>VLOOKUP(A199,'[14]Calculated coal req (reg.)'!$A$2:$B$599,2,FALSE)</f>
        <v>KAMALANGA TPS</v>
      </c>
      <c r="C199" s="2">
        <v>5.2874365157052798</v>
      </c>
      <c r="D199" s="2">
        <v>7.14</v>
      </c>
      <c r="H199" t="s">
        <v>985</v>
      </c>
      <c r="I199">
        <f t="shared" ca="1" si="6"/>
        <v>8.6554551662340806</v>
      </c>
      <c r="J199">
        <f t="shared" ca="1" si="7"/>
        <v>13.464</v>
      </c>
      <c r="L199" s="26" t="s">
        <v>985</v>
      </c>
      <c r="M199" s="70">
        <v>0</v>
      </c>
      <c r="N199" s="70">
        <v>0</v>
      </c>
      <c r="O199" s="70">
        <v>0</v>
      </c>
      <c r="P199" s="70">
        <v>0</v>
      </c>
      <c r="Q199" s="70">
        <v>0</v>
      </c>
      <c r="R199" s="70">
        <v>0</v>
      </c>
      <c r="S199" s="70">
        <v>0</v>
      </c>
      <c r="T199" s="70">
        <v>0</v>
      </c>
      <c r="U199" s="70">
        <v>0</v>
      </c>
      <c r="V199" s="70">
        <v>0</v>
      </c>
      <c r="W199" s="70">
        <v>0</v>
      </c>
      <c r="X199" s="70">
        <v>0</v>
      </c>
      <c r="Y199" s="70">
        <v>0</v>
      </c>
      <c r="Z199" s="70">
        <v>0</v>
      </c>
      <c r="AA199" s="70">
        <v>0</v>
      </c>
      <c r="AB199" s="70">
        <v>0</v>
      </c>
      <c r="AC199" s="70">
        <v>0</v>
      </c>
      <c r="AD199" s="70">
        <v>0</v>
      </c>
      <c r="AE199" s="70">
        <v>0</v>
      </c>
      <c r="AF199" s="70">
        <v>0</v>
      </c>
      <c r="AG199" s="70">
        <v>0</v>
      </c>
      <c r="AH199" s="70">
        <v>0</v>
      </c>
      <c r="AI199" s="70">
        <v>0</v>
      </c>
      <c r="AJ199" s="70">
        <v>0</v>
      </c>
      <c r="AK199" s="70">
        <v>0</v>
      </c>
      <c r="AL199" s="70">
        <v>0</v>
      </c>
      <c r="AM199" s="70">
        <v>0.14945638130976027</v>
      </c>
      <c r="AN199" s="70">
        <v>0</v>
      </c>
      <c r="AO199" s="70">
        <v>0</v>
      </c>
      <c r="AP199" s="70">
        <v>0</v>
      </c>
      <c r="AQ199" s="70">
        <v>0</v>
      </c>
      <c r="AR199" s="70">
        <v>0.85054361869023964</v>
      </c>
      <c r="AS199" s="70">
        <v>0</v>
      </c>
      <c r="AT199" s="70">
        <v>0</v>
      </c>
    </row>
    <row r="200" spans="1:46" x14ac:dyDescent="0.2">
      <c r="A200" s="2" t="s">
        <v>263</v>
      </c>
      <c r="B200" s="2" t="str">
        <f>VLOOKUP(A200,'[14]Calculated coal req (reg.)'!$A$2:$B$599,2,FALSE)</f>
        <v>VINDHYACHAL STPS UNIT 7-8</v>
      </c>
      <c r="C200" s="2">
        <v>10.5637195958472</v>
      </c>
      <c r="D200" s="2">
        <v>8.4</v>
      </c>
      <c r="H200" t="s">
        <v>1169</v>
      </c>
      <c r="I200">
        <f t="shared" ca="1" si="6"/>
        <v>5.7034940427635599</v>
      </c>
      <c r="J200">
        <f t="shared" ca="1" si="7"/>
        <v>0</v>
      </c>
      <c r="L200" s="26" t="s">
        <v>1169</v>
      </c>
      <c r="M200" s="70">
        <v>0</v>
      </c>
      <c r="N200" s="70">
        <v>0</v>
      </c>
      <c r="O200" s="70">
        <v>0</v>
      </c>
      <c r="P200" s="70">
        <v>0</v>
      </c>
      <c r="Q200" s="70">
        <v>0</v>
      </c>
      <c r="R200" s="70">
        <v>0</v>
      </c>
      <c r="S200" s="70">
        <v>0</v>
      </c>
      <c r="T200" s="70">
        <v>0</v>
      </c>
      <c r="U200" s="70">
        <v>0</v>
      </c>
      <c r="V200" s="70">
        <v>0</v>
      </c>
      <c r="W200" s="70">
        <v>0</v>
      </c>
      <c r="X200" s="70">
        <v>0</v>
      </c>
      <c r="Y200" s="70">
        <v>0</v>
      </c>
      <c r="Z200" s="70">
        <v>0</v>
      </c>
      <c r="AA200" s="70">
        <v>1</v>
      </c>
      <c r="AB200" s="70">
        <v>0</v>
      </c>
      <c r="AC200" s="70">
        <v>0</v>
      </c>
      <c r="AD200" s="70">
        <v>0</v>
      </c>
      <c r="AE200" s="70">
        <v>0</v>
      </c>
      <c r="AF200" s="70">
        <v>0</v>
      </c>
      <c r="AG200" s="70">
        <v>0</v>
      </c>
      <c r="AH200" s="70">
        <v>0</v>
      </c>
      <c r="AI200" s="70">
        <v>0</v>
      </c>
      <c r="AJ200" s="70">
        <v>0</v>
      </c>
      <c r="AK200" s="70">
        <v>0</v>
      </c>
      <c r="AL200" s="70">
        <v>0</v>
      </c>
      <c r="AM200" s="70">
        <v>0</v>
      </c>
      <c r="AN200" s="70">
        <v>0</v>
      </c>
      <c r="AO200" s="70">
        <v>0</v>
      </c>
      <c r="AP200" s="70">
        <v>0</v>
      </c>
      <c r="AQ200" s="70">
        <v>0</v>
      </c>
      <c r="AR200" s="70">
        <v>0</v>
      </c>
      <c r="AS200" s="70">
        <v>0</v>
      </c>
      <c r="AT200" s="70">
        <v>0</v>
      </c>
    </row>
    <row r="201" spans="1:46" x14ac:dyDescent="0.2">
      <c r="A201" s="2" t="s">
        <v>179</v>
      </c>
      <c r="B201" s="2"/>
      <c r="C201" s="2">
        <v>2.52252431661281</v>
      </c>
      <c r="D201" s="2">
        <v>6.12</v>
      </c>
      <c r="H201" t="s">
        <v>1001</v>
      </c>
      <c r="I201">
        <f t="shared" ca="1" si="6"/>
        <v>34.6561854694895</v>
      </c>
      <c r="J201">
        <f t="shared" ca="1" si="7"/>
        <v>40.392000000000003</v>
      </c>
      <c r="L201" s="26" t="s">
        <v>1001</v>
      </c>
      <c r="M201" s="70">
        <v>0</v>
      </c>
      <c r="N201" s="70">
        <v>0</v>
      </c>
      <c r="O201" s="70">
        <v>0</v>
      </c>
      <c r="P201" s="70">
        <v>0</v>
      </c>
      <c r="Q201" s="70">
        <v>0</v>
      </c>
      <c r="R201" s="70">
        <v>0</v>
      </c>
      <c r="S201" s="70">
        <v>0</v>
      </c>
      <c r="T201" s="70">
        <v>0</v>
      </c>
      <c r="U201" s="70">
        <v>0</v>
      </c>
      <c r="V201" s="70">
        <v>0</v>
      </c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0">
        <v>0</v>
      </c>
      <c r="AD201" s="70">
        <v>0</v>
      </c>
      <c r="AE201" s="70">
        <v>1</v>
      </c>
      <c r="AF201" s="70">
        <v>0</v>
      </c>
      <c r="AG201" s="70">
        <v>0</v>
      </c>
      <c r="AH201" s="70">
        <v>0</v>
      </c>
      <c r="AI201" s="70">
        <v>0</v>
      </c>
      <c r="AJ201" s="70">
        <v>0</v>
      </c>
      <c r="AK201" s="70">
        <v>0</v>
      </c>
      <c r="AL201" s="70">
        <v>0</v>
      </c>
      <c r="AM201" s="70">
        <v>0</v>
      </c>
      <c r="AN201" s="70">
        <v>0</v>
      </c>
      <c r="AO201" s="70">
        <v>0</v>
      </c>
      <c r="AP201" s="70">
        <v>0</v>
      </c>
      <c r="AQ201" s="70">
        <v>0</v>
      </c>
      <c r="AR201" s="70">
        <v>0</v>
      </c>
      <c r="AS201" s="70">
        <v>0</v>
      </c>
      <c r="AT201" s="70">
        <v>0</v>
      </c>
    </row>
    <row r="202" spans="1:46" x14ac:dyDescent="0.2">
      <c r="A202" s="2" t="s">
        <v>180</v>
      </c>
      <c r="B202" s="2" t="str">
        <f>VLOOKUP(A202,'[14]Calculated coal req (reg.)'!$A$2:$B$599,2,FALSE)</f>
        <v>NAWAPARA TPP</v>
      </c>
      <c r="C202" s="2">
        <v>3.8804093960308599</v>
      </c>
      <c r="D202" s="2">
        <v>6.12</v>
      </c>
      <c r="H202" t="s">
        <v>1004</v>
      </c>
      <c r="I202">
        <f t="shared" ca="1" si="6"/>
        <v>22.971287683846199</v>
      </c>
      <c r="J202">
        <f t="shared" ca="1" si="7"/>
        <v>26.928000000000001</v>
      </c>
      <c r="L202" s="26" t="s">
        <v>1004</v>
      </c>
      <c r="M202" s="70">
        <v>0</v>
      </c>
      <c r="N202" s="70">
        <v>0</v>
      </c>
      <c r="O202" s="70">
        <v>0</v>
      </c>
      <c r="P202" s="70">
        <v>0</v>
      </c>
      <c r="Q202" s="70">
        <v>0</v>
      </c>
      <c r="R202" s="70">
        <v>0</v>
      </c>
      <c r="S202" s="70">
        <v>0</v>
      </c>
      <c r="T202" s="70">
        <v>0</v>
      </c>
      <c r="U202" s="70">
        <v>0</v>
      </c>
      <c r="V202" s="70">
        <v>0</v>
      </c>
      <c r="W202" s="70">
        <v>0</v>
      </c>
      <c r="X202" s="70">
        <v>0</v>
      </c>
      <c r="Y202" s="70">
        <v>0</v>
      </c>
      <c r="Z202" s="70">
        <v>0</v>
      </c>
      <c r="AA202" s="70">
        <v>0</v>
      </c>
      <c r="AB202" s="70">
        <v>0</v>
      </c>
      <c r="AC202" s="70">
        <v>0</v>
      </c>
      <c r="AD202" s="70">
        <v>0</v>
      </c>
      <c r="AE202" s="70">
        <v>1</v>
      </c>
      <c r="AF202" s="70">
        <v>0</v>
      </c>
      <c r="AG202" s="70">
        <v>0</v>
      </c>
      <c r="AH202" s="70">
        <v>0</v>
      </c>
      <c r="AI202" s="70">
        <v>0</v>
      </c>
      <c r="AJ202" s="70">
        <v>0</v>
      </c>
      <c r="AK202" s="70">
        <v>0</v>
      </c>
      <c r="AL202" s="70">
        <v>0</v>
      </c>
      <c r="AM202" s="70">
        <v>0</v>
      </c>
      <c r="AN202" s="70">
        <v>0</v>
      </c>
      <c r="AO202" s="70">
        <v>0</v>
      </c>
      <c r="AP202" s="70">
        <v>0</v>
      </c>
      <c r="AQ202" s="70">
        <v>0</v>
      </c>
      <c r="AR202" s="70">
        <v>0</v>
      </c>
      <c r="AS202" s="70">
        <v>0</v>
      </c>
      <c r="AT202" s="70">
        <v>0</v>
      </c>
    </row>
    <row r="203" spans="1:46" x14ac:dyDescent="0.2">
      <c r="A203" s="2" t="s">
        <v>272</v>
      </c>
      <c r="B203" s="2" t="str">
        <f>VLOOKUP(A203,'[14]Calculated coal req (reg.)'!$A$2:$B$599,2,FALSE)</f>
        <v>VINDHYACHAL STPS UNIT 7-8</v>
      </c>
      <c r="C203" s="2">
        <v>10.260360400444901</v>
      </c>
      <c r="D203" s="2">
        <v>8.4</v>
      </c>
      <c r="H203" t="s">
        <v>1170</v>
      </c>
      <c r="I203">
        <f t="shared" ca="1" si="6"/>
        <v>8.5812670701131708</v>
      </c>
      <c r="J203">
        <f t="shared" ca="1" si="7"/>
        <v>0</v>
      </c>
      <c r="L203" s="26" t="s">
        <v>1170</v>
      </c>
      <c r="M203" s="70">
        <v>0</v>
      </c>
      <c r="N203" s="70">
        <v>0</v>
      </c>
      <c r="O203" s="70">
        <v>0</v>
      </c>
      <c r="P203" s="70">
        <v>0</v>
      </c>
      <c r="Q203" s="70">
        <v>0</v>
      </c>
      <c r="R203" s="70">
        <v>0</v>
      </c>
      <c r="S203" s="70">
        <v>0</v>
      </c>
      <c r="T203" s="70">
        <v>0</v>
      </c>
      <c r="U203" s="70">
        <v>0</v>
      </c>
      <c r="V203" s="70">
        <v>0</v>
      </c>
      <c r="W203" s="70">
        <v>0</v>
      </c>
      <c r="X203" s="70">
        <v>0</v>
      </c>
      <c r="Y203" s="70">
        <v>0</v>
      </c>
      <c r="Z203" s="70">
        <v>0</v>
      </c>
      <c r="AA203" s="70">
        <v>0</v>
      </c>
      <c r="AB203" s="70">
        <v>0</v>
      </c>
      <c r="AC203" s="70">
        <v>0</v>
      </c>
      <c r="AD203" s="70">
        <v>0</v>
      </c>
      <c r="AE203" s="70">
        <v>1</v>
      </c>
      <c r="AF203" s="70">
        <v>0</v>
      </c>
      <c r="AG203" s="70">
        <v>0</v>
      </c>
      <c r="AH203" s="70">
        <v>0</v>
      </c>
      <c r="AI203" s="70">
        <v>0</v>
      </c>
      <c r="AJ203" s="70">
        <v>0</v>
      </c>
      <c r="AK203" s="70">
        <v>0</v>
      </c>
      <c r="AL203" s="70">
        <v>0</v>
      </c>
      <c r="AM203" s="70">
        <v>0</v>
      </c>
      <c r="AN203" s="70">
        <v>0</v>
      </c>
      <c r="AO203" s="70">
        <v>0</v>
      </c>
      <c r="AP203" s="70">
        <v>0</v>
      </c>
      <c r="AQ203" s="70">
        <v>0</v>
      </c>
      <c r="AR203" s="70">
        <v>0</v>
      </c>
      <c r="AS203" s="70">
        <v>0</v>
      </c>
      <c r="AT203" s="70">
        <v>0</v>
      </c>
    </row>
    <row r="204" spans="1:46" x14ac:dyDescent="0.2">
      <c r="A204" s="2" t="s">
        <v>186</v>
      </c>
      <c r="B204" s="2" t="str">
        <f>VLOOKUP(A204,'[14]Calculated coal req (reg.)'!$A$2:$B$599,2,FALSE)</f>
        <v>NAWAPARA TPP</v>
      </c>
      <c r="C204" s="2">
        <v>4.14535708464431</v>
      </c>
      <c r="D204" s="2">
        <v>6.12</v>
      </c>
      <c r="H204" t="s">
        <v>1171</v>
      </c>
      <c r="I204">
        <f t="shared" ca="1" si="6"/>
        <v>4.7549666036165803</v>
      </c>
      <c r="J204">
        <f t="shared" ca="1" si="7"/>
        <v>0</v>
      </c>
      <c r="L204" s="26" t="s">
        <v>1171</v>
      </c>
      <c r="M204" s="70">
        <v>0</v>
      </c>
      <c r="N204" s="70">
        <v>0</v>
      </c>
      <c r="O204" s="70">
        <v>0</v>
      </c>
      <c r="P204" s="70">
        <v>0</v>
      </c>
      <c r="Q204" s="70">
        <v>0</v>
      </c>
      <c r="R204" s="70">
        <v>0</v>
      </c>
      <c r="S204" s="70">
        <v>0</v>
      </c>
      <c r="T204" s="70">
        <v>0</v>
      </c>
      <c r="U204" s="70">
        <v>0</v>
      </c>
      <c r="V204" s="70">
        <v>0</v>
      </c>
      <c r="W204" s="70">
        <v>0</v>
      </c>
      <c r="X204" s="70">
        <v>0</v>
      </c>
      <c r="Y204" s="70">
        <v>0</v>
      </c>
      <c r="Z204" s="70">
        <v>0</v>
      </c>
      <c r="AA204" s="70">
        <v>0</v>
      </c>
      <c r="AB204" s="70">
        <v>0</v>
      </c>
      <c r="AC204" s="70">
        <v>0</v>
      </c>
      <c r="AD204" s="70">
        <v>0</v>
      </c>
      <c r="AE204" s="70">
        <v>1</v>
      </c>
      <c r="AF204" s="70">
        <v>0</v>
      </c>
      <c r="AG204" s="70">
        <v>0</v>
      </c>
      <c r="AH204" s="70">
        <v>0</v>
      </c>
      <c r="AI204" s="70">
        <v>0</v>
      </c>
      <c r="AJ204" s="70">
        <v>0</v>
      </c>
      <c r="AK204" s="70">
        <v>0</v>
      </c>
      <c r="AL204" s="70">
        <v>0</v>
      </c>
      <c r="AM204" s="70">
        <v>0</v>
      </c>
      <c r="AN204" s="70">
        <v>0</v>
      </c>
      <c r="AO204" s="70">
        <v>0</v>
      </c>
      <c r="AP204" s="70">
        <v>0</v>
      </c>
      <c r="AQ204" s="70">
        <v>0</v>
      </c>
      <c r="AR204" s="70">
        <v>0</v>
      </c>
      <c r="AS204" s="70">
        <v>0</v>
      </c>
      <c r="AT204" s="70">
        <v>0</v>
      </c>
    </row>
    <row r="205" spans="1:46" x14ac:dyDescent="0.2">
      <c r="A205" s="2" t="s">
        <v>194</v>
      </c>
      <c r="B205" s="2" t="str">
        <f>VLOOKUP(A205,'[14]Calculated coal req (reg.)'!$A$2:$B$599,2,FALSE)</f>
        <v>BANDAKHAR TPP</v>
      </c>
      <c r="C205" s="2">
        <v>5.9824662298269597</v>
      </c>
      <c r="D205" s="2">
        <v>6.12</v>
      </c>
      <c r="H205" t="s">
        <v>1172</v>
      </c>
      <c r="I205">
        <f t="shared" ca="1" si="6"/>
        <v>15.24430408894826</v>
      </c>
      <c r="J205">
        <f t="shared" ca="1" si="7"/>
        <v>0</v>
      </c>
      <c r="L205" s="26" t="s">
        <v>1172</v>
      </c>
      <c r="M205" s="70">
        <v>0</v>
      </c>
      <c r="N205" s="70">
        <v>0</v>
      </c>
      <c r="O205" s="70">
        <v>0</v>
      </c>
      <c r="P205" s="70">
        <v>0</v>
      </c>
      <c r="Q205" s="70">
        <v>0</v>
      </c>
      <c r="R205" s="70">
        <v>0</v>
      </c>
      <c r="S205" s="70">
        <v>0</v>
      </c>
      <c r="T205" s="70">
        <v>0</v>
      </c>
      <c r="U205" s="70">
        <v>0</v>
      </c>
      <c r="V205" s="70">
        <v>0</v>
      </c>
      <c r="W205" s="70">
        <v>0</v>
      </c>
      <c r="X205" s="70">
        <v>0</v>
      </c>
      <c r="Y205" s="70">
        <v>0</v>
      </c>
      <c r="Z205" s="70">
        <v>0</v>
      </c>
      <c r="AA205" s="70">
        <v>0</v>
      </c>
      <c r="AB205" s="70">
        <v>0</v>
      </c>
      <c r="AC205" s="70">
        <v>0</v>
      </c>
      <c r="AD205" s="70">
        <v>0</v>
      </c>
      <c r="AE205" s="70">
        <v>0</v>
      </c>
      <c r="AF205" s="70">
        <v>0</v>
      </c>
      <c r="AG205" s="70">
        <v>0</v>
      </c>
      <c r="AH205" s="70">
        <v>0</v>
      </c>
      <c r="AI205" s="70">
        <v>0</v>
      </c>
      <c r="AJ205" s="70">
        <v>0</v>
      </c>
      <c r="AK205" s="70">
        <v>0</v>
      </c>
      <c r="AL205" s="70">
        <v>0</v>
      </c>
      <c r="AM205" s="70">
        <v>0</v>
      </c>
      <c r="AN205" s="70">
        <v>0</v>
      </c>
      <c r="AO205" s="70">
        <v>1</v>
      </c>
      <c r="AP205" s="70">
        <v>0</v>
      </c>
      <c r="AQ205" s="70">
        <v>0</v>
      </c>
      <c r="AR205" s="70">
        <v>0</v>
      </c>
      <c r="AS205" s="70">
        <v>0</v>
      </c>
      <c r="AT205" s="70">
        <v>0</v>
      </c>
    </row>
    <row r="206" spans="1:46" x14ac:dyDescent="0.2">
      <c r="A206" s="2" t="s">
        <v>286</v>
      </c>
      <c r="B206" s="2" t="str">
        <f>VLOOKUP(A206,'[14]Calculated coal req (reg.)'!$A$2:$B$599,2,FALSE)</f>
        <v>CHANDRAPUR UNITS 3-7</v>
      </c>
      <c r="C206" s="2">
        <v>6.7243134122569996</v>
      </c>
      <c r="D206" s="2">
        <v>8.4</v>
      </c>
      <c r="H206" t="s">
        <v>1066</v>
      </c>
      <c r="I206">
        <f t="shared" ca="1" si="6"/>
        <v>4.3803549069006298</v>
      </c>
      <c r="J206">
        <f t="shared" ca="1" si="7"/>
        <v>14.688000000000001</v>
      </c>
      <c r="L206" s="26" t="s">
        <v>1066</v>
      </c>
      <c r="M206" s="70">
        <v>0</v>
      </c>
      <c r="N206" s="70">
        <v>0</v>
      </c>
      <c r="O206" s="70">
        <v>0</v>
      </c>
      <c r="P206" s="70">
        <v>0</v>
      </c>
      <c r="Q206" s="70">
        <v>0</v>
      </c>
      <c r="R206" s="70">
        <v>0</v>
      </c>
      <c r="S206" s="70">
        <v>0</v>
      </c>
      <c r="T206" s="70">
        <v>0</v>
      </c>
      <c r="U206" s="70">
        <v>0</v>
      </c>
      <c r="V206" s="70">
        <v>0</v>
      </c>
      <c r="W206" s="70">
        <v>0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0">
        <v>0</v>
      </c>
      <c r="AD206" s="70">
        <v>0</v>
      </c>
      <c r="AE206" s="70">
        <v>0</v>
      </c>
      <c r="AF206" s="70">
        <v>0</v>
      </c>
      <c r="AG206" s="70">
        <v>0</v>
      </c>
      <c r="AH206" s="70">
        <v>0</v>
      </c>
      <c r="AI206" s="70">
        <v>0</v>
      </c>
      <c r="AJ206" s="70">
        <v>0</v>
      </c>
      <c r="AK206" s="70">
        <v>0</v>
      </c>
      <c r="AL206" s="70">
        <v>0</v>
      </c>
      <c r="AM206" s="70">
        <v>0</v>
      </c>
      <c r="AN206" s="70">
        <v>0</v>
      </c>
      <c r="AO206" s="70">
        <v>0</v>
      </c>
      <c r="AP206" s="70">
        <v>0</v>
      </c>
      <c r="AQ206" s="70">
        <v>0</v>
      </c>
      <c r="AR206" s="70">
        <v>1</v>
      </c>
      <c r="AS206" s="70">
        <v>0</v>
      </c>
      <c r="AT206" s="70">
        <v>0</v>
      </c>
    </row>
    <row r="207" spans="1:46" x14ac:dyDescent="0.2">
      <c r="A207" s="2" t="s">
        <v>198</v>
      </c>
      <c r="B207" s="2" t="str">
        <f>VLOOKUP(A207,'[14]Calculated coal req (reg.)'!$A$2:$B$599,2,FALSE)</f>
        <v>HALDIA TPP</v>
      </c>
      <c r="C207" s="2">
        <v>6.2416555868679602</v>
      </c>
      <c r="D207" s="2">
        <v>6.12</v>
      </c>
      <c r="H207" t="s">
        <v>1071</v>
      </c>
      <c r="I207">
        <f t="shared" ca="1" si="6"/>
        <v>12.645206674258858</v>
      </c>
      <c r="J207">
        <f t="shared" ca="1" si="7"/>
        <v>24.48</v>
      </c>
      <c r="L207" s="26" t="s">
        <v>1071</v>
      </c>
      <c r="M207" s="70">
        <v>0</v>
      </c>
      <c r="N207" s="70">
        <v>0</v>
      </c>
      <c r="O207" s="70">
        <v>0</v>
      </c>
      <c r="P207" s="70">
        <v>0</v>
      </c>
      <c r="Q207" s="70">
        <v>0</v>
      </c>
      <c r="R207" s="70">
        <v>0</v>
      </c>
      <c r="S207" s="70">
        <v>0</v>
      </c>
      <c r="T207" s="70">
        <v>0</v>
      </c>
      <c r="U207" s="70">
        <v>0</v>
      </c>
      <c r="V207" s="70">
        <v>0</v>
      </c>
      <c r="W207" s="70">
        <v>0</v>
      </c>
      <c r="X207" s="70">
        <v>0</v>
      </c>
      <c r="Y207" s="70">
        <v>0</v>
      </c>
      <c r="Z207" s="70">
        <v>0</v>
      </c>
      <c r="AA207" s="70">
        <v>0</v>
      </c>
      <c r="AB207" s="70">
        <v>1</v>
      </c>
      <c r="AC207" s="70">
        <v>0</v>
      </c>
      <c r="AD207" s="70">
        <v>0</v>
      </c>
      <c r="AE207" s="70">
        <v>0</v>
      </c>
      <c r="AF207" s="70">
        <v>0</v>
      </c>
      <c r="AG207" s="70">
        <v>0</v>
      </c>
      <c r="AH207" s="70">
        <v>0</v>
      </c>
      <c r="AI207" s="70">
        <v>0</v>
      </c>
      <c r="AJ207" s="70">
        <v>0</v>
      </c>
      <c r="AK207" s="70">
        <v>0</v>
      </c>
      <c r="AL207" s="70">
        <v>0</v>
      </c>
      <c r="AM207" s="70">
        <v>0</v>
      </c>
      <c r="AN207" s="70">
        <v>0</v>
      </c>
      <c r="AO207" s="70">
        <v>0</v>
      </c>
      <c r="AP207" s="70">
        <v>0</v>
      </c>
      <c r="AQ207" s="70">
        <v>0</v>
      </c>
      <c r="AR207" s="70">
        <v>0</v>
      </c>
      <c r="AS207" s="70">
        <v>0</v>
      </c>
      <c r="AT207" s="70">
        <v>0</v>
      </c>
    </row>
    <row r="208" spans="1:46" x14ac:dyDescent="0.2">
      <c r="A208" s="2" t="s">
        <v>201</v>
      </c>
      <c r="B208" s="2" t="str">
        <f>VLOOKUP(A208,'[14]Calculated coal req (reg.)'!$A$2:$B$599,2,FALSE)</f>
        <v>HALDIA TPP</v>
      </c>
      <c r="C208" s="2">
        <v>6.1706283710352299</v>
      </c>
      <c r="D208" s="2">
        <v>6.12</v>
      </c>
      <c r="H208" t="s">
        <v>1173</v>
      </c>
      <c r="I208">
        <f t="shared" ca="1" si="6"/>
        <v>10.09431562591875</v>
      </c>
      <c r="J208">
        <f t="shared" ca="1" si="7"/>
        <v>0</v>
      </c>
      <c r="L208" s="26" t="s">
        <v>1173</v>
      </c>
      <c r="M208" s="70">
        <v>0</v>
      </c>
      <c r="N208" s="70">
        <v>0</v>
      </c>
      <c r="O208" s="70">
        <v>0</v>
      </c>
      <c r="P208" s="70">
        <v>0</v>
      </c>
      <c r="Q208" s="70">
        <v>0</v>
      </c>
      <c r="R208" s="70">
        <v>0</v>
      </c>
      <c r="S208" s="70">
        <v>0</v>
      </c>
      <c r="T208" s="70">
        <v>0</v>
      </c>
      <c r="U208" s="70">
        <v>0</v>
      </c>
      <c r="V208" s="70">
        <v>0</v>
      </c>
      <c r="W208" s="70">
        <v>1</v>
      </c>
      <c r="X208" s="70">
        <v>0</v>
      </c>
      <c r="Y208" s="70">
        <v>0</v>
      </c>
      <c r="Z208" s="70">
        <v>0</v>
      </c>
      <c r="AA208" s="70">
        <v>0</v>
      </c>
      <c r="AB208" s="70">
        <v>0</v>
      </c>
      <c r="AC208" s="70">
        <v>0</v>
      </c>
      <c r="AD208" s="70">
        <v>0</v>
      </c>
      <c r="AE208" s="70">
        <v>0</v>
      </c>
      <c r="AF208" s="70">
        <v>0</v>
      </c>
      <c r="AG208" s="70">
        <v>0</v>
      </c>
      <c r="AH208" s="70">
        <v>0</v>
      </c>
      <c r="AI208" s="70">
        <v>0</v>
      </c>
      <c r="AJ208" s="70">
        <v>0</v>
      </c>
      <c r="AK208" s="70">
        <v>0</v>
      </c>
      <c r="AL208" s="70">
        <v>0</v>
      </c>
      <c r="AM208" s="70">
        <v>0</v>
      </c>
      <c r="AN208" s="70">
        <v>0</v>
      </c>
      <c r="AO208" s="70">
        <v>0</v>
      </c>
      <c r="AP208" s="70">
        <v>0</v>
      </c>
      <c r="AQ208" s="70">
        <v>0</v>
      </c>
      <c r="AR208" s="70">
        <v>0</v>
      </c>
      <c r="AS208" s="70">
        <v>0</v>
      </c>
      <c r="AT208" s="70">
        <v>0</v>
      </c>
    </row>
    <row r="209" spans="1:46" x14ac:dyDescent="0.2">
      <c r="A209" s="2" t="s">
        <v>205</v>
      </c>
      <c r="B209" s="2" t="str">
        <f>VLOOKUP(A209,'[14]Calculated coal req (reg.)'!$A$2:$B$599,2,FALSE)</f>
        <v>DHARIWAL TPS</v>
      </c>
      <c r="C209" s="2">
        <v>5.6901275964589404</v>
      </c>
      <c r="D209" s="2">
        <v>6.12</v>
      </c>
      <c r="H209" t="s">
        <v>1053</v>
      </c>
      <c r="I209">
        <f t="shared" ca="1" si="6"/>
        <v>8.5571901336581995</v>
      </c>
      <c r="J209">
        <f t="shared" ca="1" si="7"/>
        <v>10.199999999999999</v>
      </c>
      <c r="L209" s="26" t="s">
        <v>1053</v>
      </c>
      <c r="M209" s="70">
        <v>0</v>
      </c>
      <c r="N209" s="70">
        <v>0</v>
      </c>
      <c r="O209" s="70">
        <v>0</v>
      </c>
      <c r="P209" s="70">
        <v>0</v>
      </c>
      <c r="Q209" s="70">
        <v>0</v>
      </c>
      <c r="R209" s="70">
        <v>0</v>
      </c>
      <c r="S209" s="70">
        <v>0</v>
      </c>
      <c r="T209" s="70">
        <v>0</v>
      </c>
      <c r="U209" s="70">
        <v>0</v>
      </c>
      <c r="V209" s="70">
        <v>0</v>
      </c>
      <c r="W209" s="70">
        <v>1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0">
        <v>0</v>
      </c>
      <c r="AD209" s="70">
        <v>0</v>
      </c>
      <c r="AE209" s="70">
        <v>0</v>
      </c>
      <c r="AF209" s="70">
        <v>0</v>
      </c>
      <c r="AG209" s="70">
        <v>0</v>
      </c>
      <c r="AH209" s="70">
        <v>0</v>
      </c>
      <c r="AI209" s="70">
        <v>0</v>
      </c>
      <c r="AJ209" s="70">
        <v>0</v>
      </c>
      <c r="AK209" s="70">
        <v>0</v>
      </c>
      <c r="AL209" s="70">
        <v>0</v>
      </c>
      <c r="AM209" s="70">
        <v>0</v>
      </c>
      <c r="AN209" s="70">
        <v>0</v>
      </c>
      <c r="AO209" s="70">
        <v>0</v>
      </c>
      <c r="AP209" s="70">
        <v>0</v>
      </c>
      <c r="AQ209" s="70">
        <v>0</v>
      </c>
      <c r="AR209" s="70">
        <v>0</v>
      </c>
      <c r="AS209" s="70">
        <v>0</v>
      </c>
      <c r="AT209" s="70">
        <v>0</v>
      </c>
    </row>
    <row r="210" spans="1:46" x14ac:dyDescent="0.2">
      <c r="A210" s="2" t="s">
        <v>214</v>
      </c>
      <c r="B210" s="2"/>
      <c r="C210" s="2">
        <v>5.2702625209668597</v>
      </c>
      <c r="D210" s="2">
        <v>6.12</v>
      </c>
      <c r="H210" t="s">
        <v>1174</v>
      </c>
      <c r="I210">
        <f t="shared" ca="1" si="6"/>
        <v>6.7745352533707806</v>
      </c>
      <c r="J210">
        <f t="shared" ca="1" si="7"/>
        <v>0</v>
      </c>
      <c r="L210" s="26" t="s">
        <v>1174</v>
      </c>
      <c r="M210" s="70">
        <v>0</v>
      </c>
      <c r="N210" s="70">
        <v>0</v>
      </c>
      <c r="O210" s="70">
        <v>0</v>
      </c>
      <c r="P210" s="70">
        <v>0</v>
      </c>
      <c r="Q210" s="70">
        <v>6.0699684171858996E-4</v>
      </c>
      <c r="R210" s="70">
        <v>0</v>
      </c>
      <c r="S210" s="70">
        <v>0</v>
      </c>
      <c r="T210" s="70">
        <v>0</v>
      </c>
      <c r="U210" s="70">
        <v>6.4622416319722584E-2</v>
      </c>
      <c r="V210" s="70">
        <v>0</v>
      </c>
      <c r="W210" s="70">
        <v>0</v>
      </c>
      <c r="X210" s="70">
        <v>3.0125960155152932E-2</v>
      </c>
      <c r="Y210" s="70">
        <v>5.6096455409935304E-2</v>
      </c>
      <c r="Z210" s="70">
        <v>5.9311600118959848E-2</v>
      </c>
      <c r="AA210" s="70">
        <v>0</v>
      </c>
      <c r="AB210" s="70">
        <v>0</v>
      </c>
      <c r="AC210" s="70">
        <v>0</v>
      </c>
      <c r="AD210" s="70">
        <v>0</v>
      </c>
      <c r="AE210" s="70">
        <v>0</v>
      </c>
      <c r="AF210" s="70">
        <v>0</v>
      </c>
      <c r="AG210" s="70">
        <v>0</v>
      </c>
      <c r="AH210" s="70">
        <v>0</v>
      </c>
      <c r="AI210" s="70">
        <v>0</v>
      </c>
      <c r="AJ210" s="70">
        <v>0</v>
      </c>
      <c r="AK210" s="70">
        <v>0</v>
      </c>
      <c r="AL210" s="70">
        <v>8.7463152824850843E-2</v>
      </c>
      <c r="AM210" s="70">
        <v>6.669117478296438E-2</v>
      </c>
      <c r="AN210" s="70">
        <v>0</v>
      </c>
      <c r="AO210" s="70">
        <v>0</v>
      </c>
      <c r="AP210" s="70">
        <v>0</v>
      </c>
      <c r="AQ210" s="70">
        <v>0</v>
      </c>
      <c r="AR210" s="70">
        <v>0.55192666968659421</v>
      </c>
      <c r="AS210" s="70">
        <v>8.3155573860101348E-2</v>
      </c>
      <c r="AT210" s="70">
        <v>0</v>
      </c>
    </row>
    <row r="211" spans="1:46" x14ac:dyDescent="0.2">
      <c r="A211" s="2" t="s">
        <v>308</v>
      </c>
      <c r="B211" s="2" t="str">
        <f>VLOOKUP(A211,'[14]Calculated coal req (reg.)'!$A$2:$B$599,2,FALSE)</f>
        <v>TALCHER STPS UNIT 1-2</v>
      </c>
      <c r="C211" s="2">
        <v>9.3843866385931403</v>
      </c>
      <c r="D211" s="2">
        <v>8.4</v>
      </c>
      <c r="H211" t="s">
        <v>1175</v>
      </c>
      <c r="I211">
        <f t="shared" ca="1" si="6"/>
        <v>7.00655818546179</v>
      </c>
      <c r="J211">
        <f t="shared" ca="1" si="7"/>
        <v>0</v>
      </c>
      <c r="L211" s="26" t="s">
        <v>1175</v>
      </c>
      <c r="M211" s="70">
        <v>0</v>
      </c>
      <c r="N211" s="70">
        <v>0</v>
      </c>
      <c r="O211" s="70">
        <v>0</v>
      </c>
      <c r="P211" s="70">
        <v>0</v>
      </c>
      <c r="Q211" s="70">
        <v>7.1092575114720298E-4</v>
      </c>
      <c r="R211" s="70">
        <v>0</v>
      </c>
      <c r="S211" s="70">
        <v>0</v>
      </c>
      <c r="T211" s="70">
        <v>0</v>
      </c>
      <c r="U211" s="70">
        <v>0.13050712976040973</v>
      </c>
      <c r="V211" s="70">
        <v>0</v>
      </c>
      <c r="W211" s="70">
        <v>0</v>
      </c>
      <c r="X211" s="70">
        <v>5.9936373969554188E-2</v>
      </c>
      <c r="Y211" s="70">
        <v>7.695138493143755E-2</v>
      </c>
      <c r="Z211" s="70">
        <v>8.2387240183858346E-2</v>
      </c>
      <c r="AA211" s="70">
        <v>0</v>
      </c>
      <c r="AB211" s="70">
        <v>0</v>
      </c>
      <c r="AC211" s="70">
        <v>0</v>
      </c>
      <c r="AD211" s="70">
        <v>0</v>
      </c>
      <c r="AE211" s="70">
        <v>0</v>
      </c>
      <c r="AF211" s="70">
        <v>0</v>
      </c>
      <c r="AG211" s="70">
        <v>0</v>
      </c>
      <c r="AH211" s="70">
        <v>0</v>
      </c>
      <c r="AI211" s="70">
        <v>0</v>
      </c>
      <c r="AJ211" s="70">
        <v>0</v>
      </c>
      <c r="AK211" s="70">
        <v>0</v>
      </c>
      <c r="AL211" s="70">
        <v>0.14788967600678024</v>
      </c>
      <c r="AM211" s="70">
        <v>0.14913328070239198</v>
      </c>
      <c r="AN211" s="70">
        <v>0</v>
      </c>
      <c r="AO211" s="70">
        <v>0</v>
      </c>
      <c r="AP211" s="70">
        <v>0</v>
      </c>
      <c r="AQ211" s="70">
        <v>0</v>
      </c>
      <c r="AR211" s="70">
        <v>0.3093227154794625</v>
      </c>
      <c r="AS211" s="70">
        <v>4.3161273214958128E-2</v>
      </c>
      <c r="AT211" s="70">
        <v>0</v>
      </c>
    </row>
    <row r="212" spans="1:46" x14ac:dyDescent="0.2">
      <c r="A212" s="2" t="s">
        <v>183</v>
      </c>
      <c r="B212" s="2" t="str">
        <f>VLOOKUP(A212,'[14]Calculated coal req (reg.)'!$A$2:$B$599,2,FALSE)</f>
        <v>NABI NAGAR TPP</v>
      </c>
      <c r="C212" s="2">
        <v>4.2689236473574601</v>
      </c>
      <c r="D212" s="2">
        <v>5.0999999999999996</v>
      </c>
      <c r="H212" t="s">
        <v>1176</v>
      </c>
      <c r="I212">
        <f t="shared" ca="1" si="6"/>
        <v>3.4947396048519499</v>
      </c>
      <c r="J212">
        <f t="shared" ca="1" si="7"/>
        <v>0</v>
      </c>
      <c r="L212" s="26" t="s">
        <v>1176</v>
      </c>
      <c r="M212" s="70">
        <v>0</v>
      </c>
      <c r="N212" s="70">
        <v>0</v>
      </c>
      <c r="O212" s="70">
        <v>0</v>
      </c>
      <c r="P212" s="70">
        <v>0</v>
      </c>
      <c r="Q212" s="70">
        <v>6.9343951662795224E-4</v>
      </c>
      <c r="R212" s="70">
        <v>0</v>
      </c>
      <c r="S212" s="70">
        <v>0</v>
      </c>
      <c r="T212" s="70">
        <v>0</v>
      </c>
      <c r="U212" s="70">
        <v>0.15295097729611706</v>
      </c>
      <c r="V212" s="70">
        <v>0</v>
      </c>
      <c r="W212" s="70">
        <v>0</v>
      </c>
      <c r="X212" s="70">
        <v>5.6908468018027326E-2</v>
      </c>
      <c r="Y212" s="70">
        <v>7.5605130104773585E-2</v>
      </c>
      <c r="Z212" s="70">
        <v>9.3306607029785604E-2</v>
      </c>
      <c r="AA212" s="70">
        <v>0</v>
      </c>
      <c r="AB212" s="70">
        <v>0</v>
      </c>
      <c r="AC212" s="70">
        <v>0</v>
      </c>
      <c r="AD212" s="70">
        <v>0</v>
      </c>
      <c r="AE212" s="70">
        <v>0</v>
      </c>
      <c r="AF212" s="70">
        <v>0</v>
      </c>
      <c r="AG212" s="70">
        <v>0</v>
      </c>
      <c r="AH212" s="70">
        <v>0</v>
      </c>
      <c r="AI212" s="70">
        <v>0</v>
      </c>
      <c r="AJ212" s="70">
        <v>0</v>
      </c>
      <c r="AK212" s="70">
        <v>0</v>
      </c>
      <c r="AL212" s="70">
        <v>0.11079693638881498</v>
      </c>
      <c r="AM212" s="70">
        <v>0.16059882651157101</v>
      </c>
      <c r="AN212" s="70">
        <v>0</v>
      </c>
      <c r="AO212" s="70">
        <v>0</v>
      </c>
      <c r="AP212" s="70">
        <v>0</v>
      </c>
      <c r="AQ212" s="70">
        <v>0</v>
      </c>
      <c r="AR212" s="70">
        <v>0.2930574494819192</v>
      </c>
      <c r="AS212" s="70">
        <v>5.6082165652363319E-2</v>
      </c>
      <c r="AT212" s="70">
        <v>0</v>
      </c>
    </row>
    <row r="213" spans="1:46" x14ac:dyDescent="0.2">
      <c r="A213" s="2" t="s">
        <v>318</v>
      </c>
      <c r="B213" s="2" t="str">
        <f>VLOOKUP(A213,'[14]Calculated coal req (reg.)'!$A$2:$B$599,2,FALSE)</f>
        <v>ANPARA - B</v>
      </c>
      <c r="C213" s="2">
        <v>9.3267438039193493</v>
      </c>
      <c r="D213" s="2">
        <v>5.91</v>
      </c>
      <c r="H213" t="s">
        <v>1029</v>
      </c>
      <c r="I213">
        <f t="shared" ca="1" si="6"/>
        <v>3.89785620354185</v>
      </c>
      <c r="J213">
        <f t="shared" ca="1" si="7"/>
        <v>10.199999999999999</v>
      </c>
      <c r="L213" s="26" t="s">
        <v>1029</v>
      </c>
      <c r="M213" s="70">
        <v>0</v>
      </c>
      <c r="N213" s="70">
        <v>0</v>
      </c>
      <c r="O213" s="70">
        <v>0</v>
      </c>
      <c r="P213" s="70">
        <v>0</v>
      </c>
      <c r="Q213" s="70">
        <v>0</v>
      </c>
      <c r="R213" s="70">
        <v>0</v>
      </c>
      <c r="S213" s="70">
        <v>0</v>
      </c>
      <c r="T213" s="70">
        <v>0</v>
      </c>
      <c r="U213" s="70">
        <v>0</v>
      </c>
      <c r="V213" s="70">
        <v>0</v>
      </c>
      <c r="W213" s="70">
        <v>0</v>
      </c>
      <c r="X213" s="70">
        <v>7.4962619330289637E-2</v>
      </c>
      <c r="Y213" s="70">
        <v>0</v>
      </c>
      <c r="Z213" s="70">
        <v>0.2718117049735671</v>
      </c>
      <c r="AA213" s="70">
        <v>0</v>
      </c>
      <c r="AB213" s="70">
        <v>0</v>
      </c>
      <c r="AC213" s="70">
        <v>0</v>
      </c>
      <c r="AD213" s="70">
        <v>0</v>
      </c>
      <c r="AE213" s="70">
        <v>0</v>
      </c>
      <c r="AF213" s="70">
        <v>0</v>
      </c>
      <c r="AG213" s="70">
        <v>0</v>
      </c>
      <c r="AH213" s="70">
        <v>0</v>
      </c>
      <c r="AI213" s="70">
        <v>0</v>
      </c>
      <c r="AJ213" s="70">
        <v>0</v>
      </c>
      <c r="AK213" s="70">
        <v>0</v>
      </c>
      <c r="AL213" s="70">
        <v>0</v>
      </c>
      <c r="AM213" s="70">
        <v>0.20175280784002794</v>
      </c>
      <c r="AN213" s="70">
        <v>0</v>
      </c>
      <c r="AO213" s="70">
        <v>0</v>
      </c>
      <c r="AP213" s="70">
        <v>0</v>
      </c>
      <c r="AQ213" s="70">
        <v>0</v>
      </c>
      <c r="AR213" s="70">
        <v>0.45147286785611535</v>
      </c>
      <c r="AS213" s="70">
        <v>0</v>
      </c>
      <c r="AT213" s="70">
        <v>0</v>
      </c>
    </row>
    <row r="214" spans="1:46" x14ac:dyDescent="0.2">
      <c r="A214" s="2" t="s">
        <v>314</v>
      </c>
      <c r="B214" s="2" t="str">
        <f>VLOOKUP(A214,'[14]Calculated coal req (reg.)'!$A$2:$B$599,2,FALSE)</f>
        <v>TALCHER STPS UNIT 1-2</v>
      </c>
      <c r="C214" s="2">
        <v>9.2577410869371608</v>
      </c>
      <c r="D214" s="2">
        <v>5.91</v>
      </c>
      <c r="H214" t="s">
        <v>1177</v>
      </c>
      <c r="I214">
        <f t="shared" ca="1" si="6"/>
        <v>0.40170602662570298</v>
      </c>
      <c r="J214">
        <f t="shared" ca="1" si="7"/>
        <v>0</v>
      </c>
      <c r="L214" s="26" t="s">
        <v>1177</v>
      </c>
      <c r="M214" s="70">
        <v>0</v>
      </c>
      <c r="N214" s="70">
        <v>0</v>
      </c>
      <c r="O214" s="70">
        <v>0</v>
      </c>
      <c r="P214" s="70">
        <v>0</v>
      </c>
      <c r="Q214" s="70">
        <v>0</v>
      </c>
      <c r="R214" s="70">
        <v>0</v>
      </c>
      <c r="S214" s="70">
        <v>0</v>
      </c>
      <c r="T214" s="70">
        <v>0</v>
      </c>
      <c r="U214" s="70">
        <v>0</v>
      </c>
      <c r="V214" s="70">
        <v>0</v>
      </c>
      <c r="W214" s="70">
        <v>0</v>
      </c>
      <c r="X214" s="70">
        <v>0</v>
      </c>
      <c r="Y214" s="70">
        <v>0</v>
      </c>
      <c r="Z214" s="70">
        <v>0</v>
      </c>
      <c r="AA214" s="70">
        <v>0</v>
      </c>
      <c r="AB214" s="70">
        <v>0</v>
      </c>
      <c r="AC214" s="70">
        <v>0</v>
      </c>
      <c r="AD214" s="70">
        <v>0</v>
      </c>
      <c r="AE214" s="70">
        <v>0</v>
      </c>
      <c r="AF214" s="70">
        <v>0</v>
      </c>
      <c r="AG214" s="70">
        <v>0</v>
      </c>
      <c r="AH214" s="70">
        <v>0</v>
      </c>
      <c r="AI214" s="70">
        <v>0</v>
      </c>
      <c r="AJ214" s="70">
        <v>0</v>
      </c>
      <c r="AK214" s="70">
        <v>0</v>
      </c>
      <c r="AL214" s="70">
        <v>0</v>
      </c>
      <c r="AM214" s="70">
        <v>0</v>
      </c>
      <c r="AN214" s="70">
        <v>0</v>
      </c>
      <c r="AO214" s="70">
        <v>0</v>
      </c>
      <c r="AP214" s="70">
        <v>0</v>
      </c>
      <c r="AQ214" s="70">
        <v>0</v>
      </c>
      <c r="AR214" s="70">
        <v>1</v>
      </c>
      <c r="AS214" s="70">
        <v>0</v>
      </c>
      <c r="AT214" s="70">
        <v>0</v>
      </c>
    </row>
    <row r="215" spans="1:46" x14ac:dyDescent="0.2">
      <c r="A215" s="2" t="s">
        <v>321</v>
      </c>
      <c r="B215" s="2" t="str">
        <f>VLOOKUP(A215,'[14]Calculated coal req (reg.)'!$A$2:$B$599,2,FALSE)</f>
        <v>FARAKKA STPS UNIT 1-5</v>
      </c>
      <c r="C215" s="2">
        <v>9.3703870841489803</v>
      </c>
      <c r="D215" s="2">
        <v>5.91</v>
      </c>
      <c r="H215" t="s">
        <v>1035</v>
      </c>
      <c r="I215">
        <f t="shared" ca="1" si="6"/>
        <v>17.62289234665738</v>
      </c>
      <c r="J215">
        <f t="shared" ca="1" si="7"/>
        <v>30.599999999999998</v>
      </c>
      <c r="L215" s="26" t="s">
        <v>1035</v>
      </c>
      <c r="M215" s="70">
        <v>4.8430587831875746E-2</v>
      </c>
      <c r="N215" s="70">
        <v>0</v>
      </c>
      <c r="O215" s="70">
        <v>0</v>
      </c>
      <c r="P215" s="70">
        <v>0</v>
      </c>
      <c r="Q215" s="70">
        <v>0</v>
      </c>
      <c r="R215" s="70">
        <v>0</v>
      </c>
      <c r="S215" s="70">
        <v>0</v>
      </c>
      <c r="T215" s="70">
        <v>0</v>
      </c>
      <c r="U215" s="70">
        <v>0</v>
      </c>
      <c r="V215" s="70">
        <v>0</v>
      </c>
      <c r="W215" s="70">
        <v>0</v>
      </c>
      <c r="X215" s="70">
        <v>0</v>
      </c>
      <c r="Y215" s="70">
        <v>0</v>
      </c>
      <c r="Z215" s="70">
        <v>0</v>
      </c>
      <c r="AA215" s="70">
        <v>0</v>
      </c>
      <c r="AB215" s="70">
        <v>0.14218321667326322</v>
      </c>
      <c r="AC215" s="70">
        <v>3.9360951986318629E-2</v>
      </c>
      <c r="AD215" s="70">
        <v>0</v>
      </c>
      <c r="AE215" s="70">
        <v>0</v>
      </c>
      <c r="AF215" s="70">
        <v>0</v>
      </c>
      <c r="AG215" s="70">
        <v>0</v>
      </c>
      <c r="AH215" s="70">
        <v>0</v>
      </c>
      <c r="AI215" s="70">
        <v>0</v>
      </c>
      <c r="AJ215" s="70">
        <v>0</v>
      </c>
      <c r="AK215" s="70">
        <v>1.6183868186945422E-2</v>
      </c>
      <c r="AL215" s="70">
        <v>0</v>
      </c>
      <c r="AM215" s="70">
        <v>0</v>
      </c>
      <c r="AN215" s="70">
        <v>0</v>
      </c>
      <c r="AO215" s="70">
        <v>0.69538874696758834</v>
      </c>
      <c r="AP215" s="70">
        <v>5.8452628354008739E-2</v>
      </c>
      <c r="AQ215" s="70">
        <v>0</v>
      </c>
      <c r="AR215" s="70">
        <v>0</v>
      </c>
      <c r="AS215" s="70">
        <v>0</v>
      </c>
      <c r="AT215" s="70">
        <v>0</v>
      </c>
    </row>
    <row r="216" spans="1:46" x14ac:dyDescent="0.2">
      <c r="A216" s="2" t="s">
        <v>326</v>
      </c>
      <c r="B216" s="2" t="str">
        <f>VLOOKUP(A216,'[14]Calculated coal req (reg.)'!$A$2:$B$599,2,FALSE)</f>
        <v>ANPARA - B</v>
      </c>
      <c r="C216" s="2">
        <v>11.028828995179801</v>
      </c>
      <c r="D216" s="2">
        <v>5.91</v>
      </c>
      <c r="H216" t="s">
        <v>1038</v>
      </c>
      <c r="I216">
        <f t="shared" ca="1" si="6"/>
        <v>22.257398689019503</v>
      </c>
      <c r="J216">
        <f t="shared" ca="1" si="7"/>
        <v>20.399999999999999</v>
      </c>
      <c r="L216" s="26" t="s">
        <v>1038</v>
      </c>
      <c r="M216" s="70">
        <v>0</v>
      </c>
      <c r="N216" s="70">
        <v>0</v>
      </c>
      <c r="O216" s="70">
        <v>0</v>
      </c>
      <c r="P216" s="70">
        <v>0</v>
      </c>
      <c r="Q216" s="70">
        <v>0</v>
      </c>
      <c r="R216" s="70">
        <v>5.9028480636872875E-2</v>
      </c>
      <c r="S216" s="70">
        <v>4.6567670255540351E-2</v>
      </c>
      <c r="T216" s="70">
        <v>1.2824618552386457E-2</v>
      </c>
      <c r="U216" s="70">
        <v>0</v>
      </c>
      <c r="V216" s="70">
        <v>1.6943226849098651E-2</v>
      </c>
      <c r="W216" s="70">
        <v>0.25948568376158948</v>
      </c>
      <c r="X216" s="70">
        <v>0</v>
      </c>
      <c r="Y216" s="70">
        <v>0</v>
      </c>
      <c r="Z216" s="70">
        <v>4.2396021025381796E-3</v>
      </c>
      <c r="AA216" s="70">
        <v>0</v>
      </c>
      <c r="AB216" s="70">
        <v>0</v>
      </c>
      <c r="AC216" s="70">
        <v>0</v>
      </c>
      <c r="AD216" s="70">
        <v>0.2841686735350431</v>
      </c>
      <c r="AE216" s="70">
        <v>0.30442578007014037</v>
      </c>
      <c r="AF216" s="70">
        <v>0</v>
      </c>
      <c r="AG216" s="70">
        <v>0</v>
      </c>
      <c r="AH216" s="70">
        <v>0</v>
      </c>
      <c r="AI216" s="70">
        <v>0</v>
      </c>
      <c r="AJ216" s="70">
        <v>0</v>
      </c>
      <c r="AK216" s="70">
        <v>0</v>
      </c>
      <c r="AL216" s="70">
        <v>0</v>
      </c>
      <c r="AM216" s="70">
        <v>0</v>
      </c>
      <c r="AN216" s="70">
        <v>0</v>
      </c>
      <c r="AO216" s="70">
        <v>0</v>
      </c>
      <c r="AP216" s="70">
        <v>1.2316264236790693E-2</v>
      </c>
      <c r="AQ216" s="70">
        <v>0</v>
      </c>
      <c r="AR216" s="70">
        <v>0</v>
      </c>
      <c r="AS216" s="70">
        <v>0</v>
      </c>
      <c r="AT216" s="70">
        <v>0</v>
      </c>
    </row>
    <row r="217" spans="1:46" x14ac:dyDescent="0.2">
      <c r="A217" s="2" t="s">
        <v>331</v>
      </c>
      <c r="B217" s="2" t="str">
        <f>VLOOKUP(A217,'[14]Calculated coal req (reg.)'!$A$2:$B$599,2,FALSE)</f>
        <v>FARAKKA STPS UNIT 1-5</v>
      </c>
      <c r="C217" s="2">
        <v>9.0920782465525996</v>
      </c>
      <c r="D217" s="2">
        <v>5.91</v>
      </c>
      <c r="H217" t="s">
        <v>1032</v>
      </c>
      <c r="I217">
        <f t="shared" ca="1" si="6"/>
        <v>10.984117364910301</v>
      </c>
      <c r="J217">
        <f t="shared" ca="1" si="7"/>
        <v>10.199999999999999</v>
      </c>
      <c r="L217" s="26" t="s">
        <v>1032</v>
      </c>
      <c r="M217" s="70">
        <v>0</v>
      </c>
      <c r="N217" s="70">
        <v>0</v>
      </c>
      <c r="O217" s="70">
        <v>0</v>
      </c>
      <c r="P217" s="70">
        <v>0</v>
      </c>
      <c r="Q217" s="70">
        <v>0</v>
      </c>
      <c r="R217" s="70">
        <v>6.6668564129170882E-2</v>
      </c>
      <c r="S217" s="70">
        <v>4.8043844513977758E-2</v>
      </c>
      <c r="T217" s="70">
        <v>1.5305324812195924E-2</v>
      </c>
      <c r="U217" s="70">
        <v>0</v>
      </c>
      <c r="V217" s="70">
        <v>1.4918179755224185E-2</v>
      </c>
      <c r="W217" s="70">
        <v>0.18571936386878393</v>
      </c>
      <c r="X217" s="70">
        <v>0</v>
      </c>
      <c r="Y217" s="70">
        <v>0</v>
      </c>
      <c r="Z217" s="70">
        <v>5.6271347915316039E-3</v>
      </c>
      <c r="AA217" s="70">
        <v>0</v>
      </c>
      <c r="AB217" s="70">
        <v>0</v>
      </c>
      <c r="AC217" s="70">
        <v>0</v>
      </c>
      <c r="AD217" s="70">
        <v>0.24234800215507948</v>
      </c>
      <c r="AE217" s="70">
        <v>0.41028211822001454</v>
      </c>
      <c r="AF217" s="70">
        <v>0</v>
      </c>
      <c r="AG217" s="70">
        <v>0</v>
      </c>
      <c r="AH217" s="70">
        <v>0</v>
      </c>
      <c r="AI217" s="70">
        <v>0</v>
      </c>
      <c r="AJ217" s="70">
        <v>0</v>
      </c>
      <c r="AK217" s="70">
        <v>0</v>
      </c>
      <c r="AL217" s="70">
        <v>0</v>
      </c>
      <c r="AM217" s="70">
        <v>0</v>
      </c>
      <c r="AN217" s="70">
        <v>0</v>
      </c>
      <c r="AO217" s="70">
        <v>0</v>
      </c>
      <c r="AP217" s="70">
        <v>1.1087467754021753E-2</v>
      </c>
      <c r="AQ217" s="70">
        <v>0</v>
      </c>
      <c r="AR217" s="70">
        <v>0</v>
      </c>
      <c r="AS217" s="70">
        <v>0</v>
      </c>
      <c r="AT217" s="70">
        <v>0</v>
      </c>
    </row>
    <row r="218" spans="1:46" x14ac:dyDescent="0.2">
      <c r="A218" s="2" t="s">
        <v>333</v>
      </c>
      <c r="B218" s="2" t="str">
        <f>VLOOKUP(A218,'[14]Calculated coal req (reg.)'!$A$2:$B$599,2,FALSE)</f>
        <v>CHANDRAPUR UNITS 3-7</v>
      </c>
      <c r="C218" s="2">
        <v>5.87552139255257</v>
      </c>
      <c r="D218" s="2">
        <v>5.91</v>
      </c>
      <c r="H218" t="s">
        <v>1178</v>
      </c>
      <c r="I218">
        <f t="shared" ca="1" si="6"/>
        <v>26.711150162134182</v>
      </c>
      <c r="J218">
        <f t="shared" ca="1" si="7"/>
        <v>0</v>
      </c>
      <c r="L218" s="26" t="s">
        <v>1178</v>
      </c>
      <c r="M218" s="70">
        <v>3.0503552212593626E-2</v>
      </c>
      <c r="N218" s="70">
        <v>0</v>
      </c>
      <c r="O218" s="70">
        <v>0</v>
      </c>
      <c r="P218" s="70">
        <v>0</v>
      </c>
      <c r="Q218" s="70">
        <v>0</v>
      </c>
      <c r="R218" s="70">
        <v>0</v>
      </c>
      <c r="S218" s="70">
        <v>3.3205230014422299E-2</v>
      </c>
      <c r="T218" s="70">
        <v>1.03941392429654E-2</v>
      </c>
      <c r="U218" s="70">
        <v>0</v>
      </c>
      <c r="V218" s="70">
        <v>2.9736247511888848E-2</v>
      </c>
      <c r="W218" s="70">
        <v>0.18555005575469719</v>
      </c>
      <c r="X218" s="70">
        <v>0</v>
      </c>
      <c r="Y218" s="70">
        <v>0</v>
      </c>
      <c r="Z218" s="70">
        <v>8.3080013398702454E-3</v>
      </c>
      <c r="AA218" s="70">
        <v>0</v>
      </c>
      <c r="AB218" s="70">
        <v>0</v>
      </c>
      <c r="AC218" s="70">
        <v>0</v>
      </c>
      <c r="AD218" s="70">
        <v>0.30511552808691983</v>
      </c>
      <c r="AE218" s="70">
        <v>0.38818254512706946</v>
      </c>
      <c r="AF218" s="70">
        <v>0</v>
      </c>
      <c r="AG218" s="70">
        <v>0</v>
      </c>
      <c r="AH218" s="70">
        <v>0</v>
      </c>
      <c r="AI218" s="70">
        <v>0</v>
      </c>
      <c r="AJ218" s="70">
        <v>0</v>
      </c>
      <c r="AK218" s="70">
        <v>0</v>
      </c>
      <c r="AL218" s="70">
        <v>0</v>
      </c>
      <c r="AM218" s="70">
        <v>0</v>
      </c>
      <c r="AN218" s="70">
        <v>0</v>
      </c>
      <c r="AO218" s="70">
        <v>0</v>
      </c>
      <c r="AP218" s="70">
        <v>9.0047007095730939E-3</v>
      </c>
      <c r="AQ218" s="70">
        <v>0</v>
      </c>
      <c r="AR218" s="70">
        <v>0</v>
      </c>
      <c r="AS218" s="70">
        <v>0</v>
      </c>
      <c r="AT218" s="70">
        <v>0</v>
      </c>
    </row>
    <row r="219" spans="1:46" x14ac:dyDescent="0.2">
      <c r="A219" s="2" t="s">
        <v>348</v>
      </c>
      <c r="B219" s="2" t="str">
        <f>VLOOKUP(A219,'[14]Calculated coal req (reg.)'!$A$2:$B$599,2,FALSE)</f>
        <v>CHANDRAPUR UNITS 3-7</v>
      </c>
      <c r="C219" s="2">
        <v>7.3519675039285204</v>
      </c>
      <c r="D219" s="2">
        <v>5.91</v>
      </c>
      <c r="H219" t="s">
        <v>1073</v>
      </c>
      <c r="I219">
        <f t="shared" ca="1" si="6"/>
        <v>20.824079996292099</v>
      </c>
      <c r="J219">
        <f t="shared" ca="1" si="7"/>
        <v>16.8</v>
      </c>
      <c r="L219" s="26" t="s">
        <v>1073</v>
      </c>
      <c r="M219" s="70">
        <v>0</v>
      </c>
      <c r="N219" s="70">
        <v>0</v>
      </c>
      <c r="O219" s="70">
        <v>0</v>
      </c>
      <c r="P219" s="70">
        <v>0</v>
      </c>
      <c r="Q219" s="70">
        <v>0</v>
      </c>
      <c r="R219" s="70">
        <v>0</v>
      </c>
      <c r="S219" s="70">
        <v>3.3116138451423187E-2</v>
      </c>
      <c r="T219" s="70">
        <v>9.1830095879108058E-3</v>
      </c>
      <c r="U219" s="70">
        <v>0</v>
      </c>
      <c r="V219" s="70">
        <v>1.5674854851433988E-2</v>
      </c>
      <c r="W219" s="70">
        <v>0.24610307388467528</v>
      </c>
      <c r="X219" s="70">
        <v>0</v>
      </c>
      <c r="Y219" s="70">
        <v>0</v>
      </c>
      <c r="Z219" s="70">
        <v>9.2735566508785738E-3</v>
      </c>
      <c r="AA219" s="70">
        <v>0</v>
      </c>
      <c r="AB219" s="70">
        <v>0</v>
      </c>
      <c r="AC219" s="70">
        <v>0</v>
      </c>
      <c r="AD219" s="70">
        <v>0.30038571784217122</v>
      </c>
      <c r="AE219" s="70">
        <v>0.37767260726132679</v>
      </c>
      <c r="AF219" s="70">
        <v>0</v>
      </c>
      <c r="AG219" s="70">
        <v>0</v>
      </c>
      <c r="AH219" s="70">
        <v>0</v>
      </c>
      <c r="AI219" s="70">
        <v>0</v>
      </c>
      <c r="AJ219" s="70">
        <v>0</v>
      </c>
      <c r="AK219" s="70">
        <v>0</v>
      </c>
      <c r="AL219" s="70">
        <v>0</v>
      </c>
      <c r="AM219" s="70">
        <v>0</v>
      </c>
      <c r="AN219" s="70">
        <v>0</v>
      </c>
      <c r="AO219" s="70">
        <v>0</v>
      </c>
      <c r="AP219" s="70">
        <v>8.5910414701801455E-3</v>
      </c>
      <c r="AQ219" s="70">
        <v>0</v>
      </c>
      <c r="AR219" s="70">
        <v>0</v>
      </c>
      <c r="AS219" s="70">
        <v>0</v>
      </c>
      <c r="AT219" s="70">
        <v>0</v>
      </c>
    </row>
    <row r="220" spans="1:46" x14ac:dyDescent="0.2">
      <c r="A220" s="2" t="s">
        <v>352</v>
      </c>
      <c r="B220" s="2" t="str">
        <f>VLOOKUP(A220,'[14]Calculated coal req (reg.)'!$A$2:$B$599,2,FALSE)</f>
        <v>RAMAGUNDEM STPS UNIT 1-6</v>
      </c>
      <c r="C220" s="2">
        <v>9.6423740407928893</v>
      </c>
      <c r="D220" s="2">
        <v>5.91</v>
      </c>
      <c r="H220" t="s">
        <v>1059</v>
      </c>
      <c r="I220">
        <f t="shared" ca="1" si="6"/>
        <v>21.623592760033098</v>
      </c>
      <c r="J220">
        <f t="shared" ca="1" si="7"/>
        <v>19.2</v>
      </c>
      <c r="L220" s="26" t="s">
        <v>1059</v>
      </c>
      <c r="M220" s="70">
        <v>0</v>
      </c>
      <c r="N220" s="70">
        <v>0</v>
      </c>
      <c r="O220" s="70">
        <v>0</v>
      </c>
      <c r="P220" s="70">
        <v>0</v>
      </c>
      <c r="Q220" s="70">
        <v>0</v>
      </c>
      <c r="R220" s="70">
        <v>0.1021253473448029</v>
      </c>
      <c r="S220" s="70">
        <v>3.5801630267926259E-2</v>
      </c>
      <c r="T220" s="70">
        <v>1.175087314736413E-2</v>
      </c>
      <c r="U220" s="70">
        <v>0</v>
      </c>
      <c r="V220" s="70">
        <v>1.4315161327374497E-2</v>
      </c>
      <c r="W220" s="70">
        <v>0.28736387322619877</v>
      </c>
      <c r="X220" s="70">
        <v>0</v>
      </c>
      <c r="Y220" s="70">
        <v>0</v>
      </c>
      <c r="Z220" s="70">
        <v>5.6965535826746325E-3</v>
      </c>
      <c r="AA220" s="70">
        <v>0</v>
      </c>
      <c r="AB220" s="70">
        <v>0</v>
      </c>
      <c r="AC220" s="70">
        <v>0</v>
      </c>
      <c r="AD220" s="70">
        <v>0.23701183903408518</v>
      </c>
      <c r="AE220" s="70">
        <v>0.29668439008065556</v>
      </c>
      <c r="AF220" s="70">
        <v>0</v>
      </c>
      <c r="AG220" s="70">
        <v>0</v>
      </c>
      <c r="AH220" s="70">
        <v>0</v>
      </c>
      <c r="AI220" s="70">
        <v>0</v>
      </c>
      <c r="AJ220" s="70">
        <v>0</v>
      </c>
      <c r="AK220" s="70">
        <v>0</v>
      </c>
      <c r="AL220" s="70">
        <v>0</v>
      </c>
      <c r="AM220" s="70">
        <v>0</v>
      </c>
      <c r="AN220" s="70">
        <v>0</v>
      </c>
      <c r="AO220" s="70">
        <v>0</v>
      </c>
      <c r="AP220" s="70">
        <v>9.2503319889178405E-3</v>
      </c>
      <c r="AQ220" s="70">
        <v>0</v>
      </c>
      <c r="AR220" s="70">
        <v>0</v>
      </c>
      <c r="AS220" s="70">
        <v>0</v>
      </c>
      <c r="AT220" s="70">
        <v>0</v>
      </c>
    </row>
    <row r="221" spans="1:46" x14ac:dyDescent="0.2">
      <c r="A221" s="2" t="s">
        <v>353</v>
      </c>
      <c r="B221" s="2" t="str">
        <f>VLOOKUP(A221,'[14]Calculated coal req (reg.)'!$A$2:$B$599,2,FALSE)</f>
        <v>RIHAND STPS UNIT 1-2</v>
      </c>
      <c r="C221" s="2">
        <v>9.9785291158122398</v>
      </c>
      <c r="D221" s="2">
        <v>5.91</v>
      </c>
      <c r="H221" t="s">
        <v>1027</v>
      </c>
      <c r="I221">
        <f t="shared" ca="1" si="6"/>
        <v>6.4977650786132504</v>
      </c>
      <c r="J221">
        <f t="shared" ca="1" si="7"/>
        <v>21.216000000000001</v>
      </c>
      <c r="L221" s="26" t="s">
        <v>1027</v>
      </c>
      <c r="M221" s="70">
        <v>1</v>
      </c>
      <c r="N221" s="70">
        <v>0</v>
      </c>
      <c r="O221" s="70">
        <v>0</v>
      </c>
      <c r="P221" s="70">
        <v>0</v>
      </c>
      <c r="Q221" s="70">
        <v>0</v>
      </c>
      <c r="R221" s="70">
        <v>0</v>
      </c>
      <c r="S221" s="70">
        <v>0</v>
      </c>
      <c r="T221" s="70">
        <v>0</v>
      </c>
      <c r="U221" s="70">
        <v>0</v>
      </c>
      <c r="V221" s="70">
        <v>0</v>
      </c>
      <c r="W221" s="70">
        <v>0</v>
      </c>
      <c r="X221" s="70">
        <v>0</v>
      </c>
      <c r="Y221" s="70">
        <v>0</v>
      </c>
      <c r="Z221" s="70">
        <v>0</v>
      </c>
      <c r="AA221" s="70">
        <v>0</v>
      </c>
      <c r="AB221" s="70">
        <v>0</v>
      </c>
      <c r="AC221" s="70">
        <v>0</v>
      </c>
      <c r="AD221" s="70">
        <v>0</v>
      </c>
      <c r="AE221" s="70">
        <v>0</v>
      </c>
      <c r="AF221" s="70">
        <v>0</v>
      </c>
      <c r="AG221" s="70">
        <v>0</v>
      </c>
      <c r="AH221" s="70">
        <v>0</v>
      </c>
      <c r="AI221" s="70">
        <v>0</v>
      </c>
      <c r="AJ221" s="70">
        <v>0</v>
      </c>
      <c r="AK221" s="70">
        <v>0</v>
      </c>
      <c r="AL221" s="70">
        <v>0</v>
      </c>
      <c r="AM221" s="70">
        <v>0</v>
      </c>
      <c r="AN221" s="70">
        <v>0</v>
      </c>
      <c r="AO221" s="70">
        <v>0</v>
      </c>
      <c r="AP221" s="70">
        <v>0</v>
      </c>
      <c r="AQ221" s="70">
        <v>0</v>
      </c>
      <c r="AR221" s="70">
        <v>0</v>
      </c>
      <c r="AS221" s="70">
        <v>0</v>
      </c>
      <c r="AT221" s="70">
        <v>0</v>
      </c>
    </row>
    <row r="222" spans="1:46" x14ac:dyDescent="0.2">
      <c r="A222" s="2" t="s">
        <v>355</v>
      </c>
      <c r="B222" s="2" t="str">
        <f>VLOOKUP(A222,'[14]Calculated coal req (reg.)'!$A$2:$B$599,2,FALSE)</f>
        <v>RAMAGUNDEM STPS UNIT 1-6</v>
      </c>
      <c r="C222" s="2">
        <v>9.4802998766336994</v>
      </c>
      <c r="D222" s="2">
        <v>5.91</v>
      </c>
      <c r="H222" t="s">
        <v>1179</v>
      </c>
      <c r="I222">
        <f t="shared" ca="1" si="6"/>
        <v>16.634472302142598</v>
      </c>
      <c r="J222">
        <f t="shared" ca="1" si="7"/>
        <v>0</v>
      </c>
      <c r="L222" s="26" t="s">
        <v>1179</v>
      </c>
      <c r="M222" s="70">
        <v>0</v>
      </c>
      <c r="N222" s="70">
        <v>0</v>
      </c>
      <c r="O222" s="70">
        <v>0</v>
      </c>
      <c r="P222" s="70">
        <v>0</v>
      </c>
      <c r="Q222" s="70">
        <v>0</v>
      </c>
      <c r="R222" s="70">
        <v>0</v>
      </c>
      <c r="S222" s="70">
        <v>0</v>
      </c>
      <c r="T222" s="70">
        <v>0</v>
      </c>
      <c r="U222" s="70">
        <v>0</v>
      </c>
      <c r="V222" s="70">
        <v>0</v>
      </c>
      <c r="W222" s="70">
        <v>1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0">
        <v>0</v>
      </c>
      <c r="AD222" s="70">
        <v>0</v>
      </c>
      <c r="AE222" s="70">
        <v>0</v>
      </c>
      <c r="AF222" s="70">
        <v>0</v>
      </c>
      <c r="AG222" s="70">
        <v>0</v>
      </c>
      <c r="AH222" s="70">
        <v>0</v>
      </c>
      <c r="AI222" s="70">
        <v>0</v>
      </c>
      <c r="AJ222" s="70">
        <v>0</v>
      </c>
      <c r="AK222" s="70">
        <v>0</v>
      </c>
      <c r="AL222" s="70">
        <v>0</v>
      </c>
      <c r="AM222" s="70">
        <v>0</v>
      </c>
      <c r="AN222" s="70">
        <v>0</v>
      </c>
      <c r="AO222" s="70">
        <v>0</v>
      </c>
      <c r="AP222" s="70">
        <v>0</v>
      </c>
      <c r="AQ222" s="70">
        <v>0</v>
      </c>
      <c r="AR222" s="70">
        <v>0</v>
      </c>
      <c r="AS222" s="70">
        <v>0</v>
      </c>
      <c r="AT222" s="70">
        <v>0</v>
      </c>
    </row>
    <row r="223" spans="1:46" x14ac:dyDescent="0.2">
      <c r="A223" s="2" t="s">
        <v>356</v>
      </c>
      <c r="B223" s="2" t="str">
        <f>VLOOKUP(A223,'[14]Calculated coal req (reg.)'!$A$2:$B$599,2,FALSE)</f>
        <v>KORBA STPS UNIT 1-6</v>
      </c>
      <c r="C223" s="2">
        <v>10.5807828837715</v>
      </c>
      <c r="D223" s="2">
        <v>5.91</v>
      </c>
      <c r="H223" t="s">
        <v>1180</v>
      </c>
      <c r="I223">
        <f t="shared" ca="1" si="6"/>
        <v>3.8713607908257801</v>
      </c>
      <c r="J223">
        <f t="shared" ca="1" si="7"/>
        <v>0</v>
      </c>
      <c r="L223" s="26" t="s">
        <v>1180</v>
      </c>
      <c r="M223" s="70">
        <v>0</v>
      </c>
      <c r="N223" s="70">
        <v>0</v>
      </c>
      <c r="O223" s="70">
        <v>0</v>
      </c>
      <c r="P223" s="70">
        <v>0</v>
      </c>
      <c r="Q223" s="70">
        <v>0</v>
      </c>
      <c r="R223" s="70">
        <v>0</v>
      </c>
      <c r="S223" s="70">
        <v>0</v>
      </c>
      <c r="T223" s="70">
        <v>0</v>
      </c>
      <c r="U223" s="70">
        <v>0</v>
      </c>
      <c r="V223" s="70">
        <v>0</v>
      </c>
      <c r="W223" s="70">
        <v>1</v>
      </c>
      <c r="X223" s="70">
        <v>0</v>
      </c>
      <c r="Y223" s="70">
        <v>0</v>
      </c>
      <c r="Z223" s="70">
        <v>0</v>
      </c>
      <c r="AA223" s="70">
        <v>0</v>
      </c>
      <c r="AB223" s="70">
        <v>0</v>
      </c>
      <c r="AC223" s="70">
        <v>0</v>
      </c>
      <c r="AD223" s="70">
        <v>0</v>
      </c>
      <c r="AE223" s="70">
        <v>0</v>
      </c>
      <c r="AF223" s="70">
        <v>0</v>
      </c>
      <c r="AG223" s="70">
        <v>0</v>
      </c>
      <c r="AH223" s="70">
        <v>0</v>
      </c>
      <c r="AI223" s="70">
        <v>0</v>
      </c>
      <c r="AJ223" s="70">
        <v>0</v>
      </c>
      <c r="AK223" s="70">
        <v>0</v>
      </c>
      <c r="AL223" s="70">
        <v>0</v>
      </c>
      <c r="AM223" s="70">
        <v>0</v>
      </c>
      <c r="AN223" s="70">
        <v>0</v>
      </c>
      <c r="AO223" s="70">
        <v>0</v>
      </c>
      <c r="AP223" s="70">
        <v>0</v>
      </c>
      <c r="AQ223" s="70">
        <v>0</v>
      </c>
      <c r="AR223" s="70">
        <v>0</v>
      </c>
      <c r="AS223" s="70">
        <v>0</v>
      </c>
      <c r="AT223" s="70">
        <v>0</v>
      </c>
    </row>
    <row r="224" spans="1:46" x14ac:dyDescent="0.2">
      <c r="A224" s="2" t="s">
        <v>211</v>
      </c>
      <c r="B224" s="2" t="str">
        <f>VLOOKUP(A224,'[14]Calculated coal req (reg.)'!$A$2:$B$599,2,FALSE)</f>
        <v>DHARIWAL TPS</v>
      </c>
      <c r="C224" s="2">
        <v>2.5500808437092499</v>
      </c>
      <c r="D224" s="2">
        <v>3.5459999999999998</v>
      </c>
      <c r="H224" t="s">
        <v>981</v>
      </c>
      <c r="I224">
        <f t="shared" ca="1" si="6"/>
        <v>1.7629333333333299</v>
      </c>
      <c r="J224">
        <f t="shared" ca="1" si="7"/>
        <v>16.32</v>
      </c>
      <c r="L224" s="26" t="s">
        <v>981</v>
      </c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</row>
    <row r="225" spans="1:46" x14ac:dyDescent="0.2">
      <c r="A225" s="2" t="s">
        <v>220</v>
      </c>
      <c r="B225" s="2"/>
      <c r="C225" s="2">
        <v>5.5939891599131304</v>
      </c>
      <c r="D225" s="2">
        <v>3.5459999999999998</v>
      </c>
      <c r="H225" t="s">
        <v>1100</v>
      </c>
      <c r="I225">
        <f t="shared" ca="1" si="6"/>
        <v>8.7427718057100403</v>
      </c>
      <c r="J225">
        <f t="shared" ca="1" si="7"/>
        <v>7.0919999999999996</v>
      </c>
      <c r="L225" s="26" t="s">
        <v>1100</v>
      </c>
      <c r="M225" s="70">
        <v>0</v>
      </c>
      <c r="N225" s="70">
        <v>0</v>
      </c>
      <c r="O225" s="70">
        <v>0</v>
      </c>
      <c r="P225" s="70">
        <v>0</v>
      </c>
      <c r="Q225" s="70">
        <v>0</v>
      </c>
      <c r="R225" s="70">
        <v>0</v>
      </c>
      <c r="S225" s="70">
        <v>0</v>
      </c>
      <c r="T225" s="70">
        <v>0</v>
      </c>
      <c r="U225" s="70">
        <v>0</v>
      </c>
      <c r="V225" s="70">
        <v>0</v>
      </c>
      <c r="W225" s="70">
        <v>0</v>
      </c>
      <c r="X225" s="70">
        <v>1</v>
      </c>
      <c r="Y225" s="70">
        <v>0</v>
      </c>
      <c r="Z225" s="70">
        <v>0</v>
      </c>
      <c r="AA225" s="70">
        <v>0</v>
      </c>
      <c r="AB225" s="70">
        <v>0</v>
      </c>
      <c r="AC225" s="70">
        <v>0</v>
      </c>
      <c r="AD225" s="70">
        <v>0</v>
      </c>
      <c r="AE225" s="70">
        <v>0</v>
      </c>
      <c r="AF225" s="70">
        <v>0</v>
      </c>
      <c r="AG225" s="70">
        <v>0</v>
      </c>
      <c r="AH225" s="70">
        <v>0</v>
      </c>
      <c r="AI225" s="70">
        <v>0</v>
      </c>
      <c r="AJ225" s="70">
        <v>0</v>
      </c>
      <c r="AK225" s="70">
        <v>0</v>
      </c>
      <c r="AL225" s="70">
        <v>0</v>
      </c>
      <c r="AM225" s="70">
        <v>0</v>
      </c>
      <c r="AN225" s="70">
        <v>0</v>
      </c>
      <c r="AO225" s="70">
        <v>0</v>
      </c>
      <c r="AP225" s="70">
        <v>0</v>
      </c>
      <c r="AQ225" s="70">
        <v>0</v>
      </c>
      <c r="AR225" s="70">
        <v>0</v>
      </c>
      <c r="AS225" s="70">
        <v>0</v>
      </c>
      <c r="AT225" s="70">
        <v>0</v>
      </c>
    </row>
    <row r="226" spans="1:46" x14ac:dyDescent="0.2">
      <c r="A226" s="2" t="s">
        <v>184</v>
      </c>
      <c r="B226" s="2" t="str">
        <f>VLOOKUP(A226,'[14]Calculated coal req (reg.)'!$A$2:$B$599,2,FALSE)</f>
        <v>BONGAIGAON TPS</v>
      </c>
      <c r="C226" s="2">
        <v>2.9789465217763298</v>
      </c>
      <c r="D226" s="2">
        <v>2.9550000000000001</v>
      </c>
      <c r="H226" t="s">
        <v>979</v>
      </c>
      <c r="I226">
        <f t="shared" ca="1" si="6"/>
        <v>1.8019285740770119</v>
      </c>
      <c r="J226">
        <f t="shared" ca="1" si="7"/>
        <v>32.64</v>
      </c>
      <c r="L226" s="26" t="s">
        <v>979</v>
      </c>
      <c r="M226" s="70">
        <v>0</v>
      </c>
      <c r="N226" s="70">
        <v>0</v>
      </c>
      <c r="O226" s="70">
        <v>0</v>
      </c>
      <c r="P226" s="70">
        <v>0</v>
      </c>
      <c r="Q226" s="70">
        <v>0</v>
      </c>
      <c r="R226" s="70">
        <v>0</v>
      </c>
      <c r="S226" s="70">
        <v>0</v>
      </c>
      <c r="T226" s="70">
        <v>0</v>
      </c>
      <c r="U226" s="70">
        <v>0</v>
      </c>
      <c r="V226" s="70">
        <v>0</v>
      </c>
      <c r="W226" s="70">
        <v>0</v>
      </c>
      <c r="X226" s="70">
        <v>0</v>
      </c>
      <c r="Y226" s="70">
        <v>0</v>
      </c>
      <c r="Z226" s="70">
        <v>0</v>
      </c>
      <c r="AA226" s="70">
        <v>0</v>
      </c>
      <c r="AB226" s="70">
        <v>1</v>
      </c>
      <c r="AC226" s="70">
        <v>0</v>
      </c>
      <c r="AD226" s="70">
        <v>0</v>
      </c>
      <c r="AE226" s="70">
        <v>0</v>
      </c>
      <c r="AF226" s="70">
        <v>0</v>
      </c>
      <c r="AG226" s="70">
        <v>0</v>
      </c>
      <c r="AH226" s="70">
        <v>0</v>
      </c>
      <c r="AI226" s="70">
        <v>0</v>
      </c>
      <c r="AJ226" s="70">
        <v>0</v>
      </c>
      <c r="AK226" s="70">
        <v>0</v>
      </c>
      <c r="AL226" s="70">
        <v>0</v>
      </c>
      <c r="AM226" s="70">
        <v>0</v>
      </c>
      <c r="AN226" s="70">
        <v>0</v>
      </c>
      <c r="AO226" s="70">
        <v>0</v>
      </c>
      <c r="AP226" s="70">
        <v>0</v>
      </c>
      <c r="AQ226" s="70">
        <v>0</v>
      </c>
      <c r="AR226" s="70">
        <v>0</v>
      </c>
      <c r="AS226" s="70">
        <v>0</v>
      </c>
      <c r="AT226" s="70">
        <v>0</v>
      </c>
    </row>
    <row r="227" spans="1:46" x14ac:dyDescent="0.2">
      <c r="A227" s="2" t="s">
        <v>357</v>
      </c>
      <c r="B227" s="2" t="str">
        <f>VLOOKUP(A227,'[14]Calculated coal req (reg.)'!$A$2:$B$599,2,FALSE)</f>
        <v>RAMAGUNDEM STPS UNIT 1-6</v>
      </c>
      <c r="C227" s="2">
        <v>9.0403742888924192</v>
      </c>
      <c r="D227" s="2">
        <v>5.91</v>
      </c>
      <c r="I227">
        <f ca="1">SUM(I2:I226)</f>
        <v>2589.1029747109123</v>
      </c>
      <c r="J227">
        <f ca="1">SUM(J2:J226)</f>
        <v>2588.3205000000012</v>
      </c>
    </row>
    <row r="228" spans="1:46" x14ac:dyDescent="0.2">
      <c r="A228" s="2" t="s">
        <v>363</v>
      </c>
      <c r="B228" s="2" t="str">
        <f>VLOOKUP(A228,'[14]Calculated coal req (reg.)'!$A$2:$B$599,2,FALSE)</f>
        <v>KORBA STPS UNIT 1-6</v>
      </c>
      <c r="C228" s="2">
        <v>9.9898367339371799</v>
      </c>
      <c r="D228" s="2">
        <v>5.91</v>
      </c>
    </row>
    <row r="229" spans="1:46" x14ac:dyDescent="0.2">
      <c r="A229" s="2" t="s">
        <v>362</v>
      </c>
      <c r="B229" s="2" t="str">
        <f>VLOOKUP(A229,'[14]Calculated coal req (reg.)'!$A$2:$B$599,2,FALSE)</f>
        <v>RIHAND STPS UNIT 1-2</v>
      </c>
      <c r="C229" s="2">
        <v>10.4964854874022</v>
      </c>
      <c r="D229" s="2">
        <v>5.91</v>
      </c>
      <c r="H229" t="s">
        <v>974</v>
      </c>
      <c r="I229" s="69" t="s">
        <v>614</v>
      </c>
      <c r="J229" s="69" t="s">
        <v>1200</v>
      </c>
      <c r="K229" s="69" t="s">
        <v>624</v>
      </c>
      <c r="L229" s="69" t="s">
        <v>615</v>
      </c>
      <c r="M229" s="69" t="s">
        <v>1201</v>
      </c>
      <c r="N229" s="69" t="s">
        <v>1202</v>
      </c>
      <c r="O229" s="69" t="s">
        <v>1203</v>
      </c>
      <c r="P229" s="69" t="s">
        <v>1204</v>
      </c>
      <c r="Q229" s="69" t="s">
        <v>678</v>
      </c>
      <c r="R229" s="69" t="s">
        <v>681</v>
      </c>
      <c r="S229" s="69" t="s">
        <v>613</v>
      </c>
      <c r="T229" s="69" t="s">
        <v>619</v>
      </c>
      <c r="U229" s="69" t="s">
        <v>684</v>
      </c>
      <c r="V229" s="69" t="s">
        <v>1205</v>
      </c>
      <c r="W229" s="69" t="s">
        <v>623</v>
      </c>
      <c r="X229" s="69" t="s">
        <v>612</v>
      </c>
      <c r="Y229" s="69" t="s">
        <v>1206</v>
      </c>
      <c r="Z229" s="69" t="s">
        <v>609</v>
      </c>
      <c r="AA229" s="69" t="s">
        <v>617</v>
      </c>
      <c r="AB229" s="69" t="s">
        <v>1207</v>
      </c>
      <c r="AC229" s="69" t="s">
        <v>1208</v>
      </c>
      <c r="AD229" s="69" t="s">
        <v>1209</v>
      </c>
      <c r="AE229" s="69" t="s">
        <v>1210</v>
      </c>
      <c r="AF229" s="69" t="s">
        <v>608</v>
      </c>
      <c r="AG229" s="69" t="s">
        <v>1211</v>
      </c>
      <c r="AH229" s="69" t="s">
        <v>618</v>
      </c>
      <c r="AI229" s="69" t="s">
        <v>616</v>
      </c>
      <c r="AJ229" s="69" t="s">
        <v>687</v>
      </c>
      <c r="AK229" s="69" t="s">
        <v>622</v>
      </c>
      <c r="AL229" s="69" t="s">
        <v>610</v>
      </c>
      <c r="AM229" s="69" t="s">
        <v>1212</v>
      </c>
      <c r="AN229" s="69" t="s">
        <v>634</v>
      </c>
      <c r="AO229" s="69" t="s">
        <v>1213</v>
      </c>
      <c r="AP229" s="69" t="s">
        <v>621</v>
      </c>
    </row>
    <row r="230" spans="1:46" x14ac:dyDescent="0.2">
      <c r="A230" s="2" t="s">
        <v>218</v>
      </c>
      <c r="B230" s="2" t="str">
        <f>VLOOKUP(A230,'[14]Calculated coal req (reg.)'!$A$2:$B$599,2,FALSE)</f>
        <v>BUTIBORI TPP</v>
      </c>
      <c r="C230" s="2">
        <v>3.0672454606352701</v>
      </c>
      <c r="D230" s="2">
        <v>3.5459999999999998</v>
      </c>
      <c r="H230" t="s">
        <v>1009</v>
      </c>
      <c r="I230">
        <f ca="1">$I2*M2</f>
        <v>6.082987903165912</v>
      </c>
      <c r="J230">
        <f t="shared" ref="J230:AP230" ca="1" si="8">$I2*N2</f>
        <v>0</v>
      </c>
      <c r="K230">
        <f t="shared" ca="1" si="8"/>
        <v>0</v>
      </c>
      <c r="L230">
        <f t="shared" ca="1" si="8"/>
        <v>0</v>
      </c>
      <c r="M230">
        <f t="shared" ca="1" si="8"/>
        <v>0</v>
      </c>
      <c r="N230">
        <f t="shared" ca="1" si="8"/>
        <v>0.68622580587794491</v>
      </c>
      <c r="O230">
        <f t="shared" ca="1" si="8"/>
        <v>0</v>
      </c>
      <c r="P230">
        <f t="shared" ca="1" si="8"/>
        <v>0</v>
      </c>
      <c r="Q230">
        <f t="shared" ca="1" si="8"/>
        <v>0</v>
      </c>
      <c r="R230">
        <f t="shared" ca="1" si="8"/>
        <v>0</v>
      </c>
      <c r="S230">
        <f t="shared" ca="1" si="8"/>
        <v>0</v>
      </c>
      <c r="T230">
        <f t="shared" ca="1" si="8"/>
        <v>0</v>
      </c>
      <c r="U230">
        <f t="shared" ca="1" si="8"/>
        <v>0</v>
      </c>
      <c r="V230">
        <f t="shared" ca="1" si="8"/>
        <v>0</v>
      </c>
      <c r="W230">
        <f t="shared" ca="1" si="8"/>
        <v>0</v>
      </c>
      <c r="X230">
        <f t="shared" ca="1" si="8"/>
        <v>0</v>
      </c>
      <c r="Y230">
        <f t="shared" ca="1" si="8"/>
        <v>0</v>
      </c>
      <c r="Z230">
        <f t="shared" ca="1" si="8"/>
        <v>0</v>
      </c>
      <c r="AA230">
        <f t="shared" ca="1" si="8"/>
        <v>0</v>
      </c>
      <c r="AB230">
        <f t="shared" ca="1" si="8"/>
        <v>0</v>
      </c>
      <c r="AC230">
        <f t="shared" ca="1" si="8"/>
        <v>0</v>
      </c>
      <c r="AD230">
        <f t="shared" ca="1" si="8"/>
        <v>0</v>
      </c>
      <c r="AE230">
        <f t="shared" ca="1" si="8"/>
        <v>0</v>
      </c>
      <c r="AF230">
        <f t="shared" ca="1" si="8"/>
        <v>0</v>
      </c>
      <c r="AG230">
        <f t="shared" ca="1" si="8"/>
        <v>0</v>
      </c>
      <c r="AH230">
        <f t="shared" ca="1" si="8"/>
        <v>0</v>
      </c>
      <c r="AI230">
        <f t="shared" ca="1" si="8"/>
        <v>0</v>
      </c>
      <c r="AJ230">
        <f t="shared" ca="1" si="8"/>
        <v>0</v>
      </c>
      <c r="AK230">
        <f t="shared" ca="1" si="8"/>
        <v>5.1495599360092488</v>
      </c>
      <c r="AL230">
        <f t="shared" ca="1" si="8"/>
        <v>0</v>
      </c>
      <c r="AM230">
        <f t="shared" ca="1" si="8"/>
        <v>0</v>
      </c>
      <c r="AN230">
        <f t="shared" ca="1" si="8"/>
        <v>11.166995269110307</v>
      </c>
      <c r="AO230">
        <f t="shared" ca="1" si="8"/>
        <v>0</v>
      </c>
      <c r="AP230">
        <f t="shared" ca="1" si="8"/>
        <v>0</v>
      </c>
    </row>
    <row r="231" spans="1:46" x14ac:dyDescent="0.2">
      <c r="A231" s="2" t="s">
        <v>228</v>
      </c>
      <c r="B231" s="2" t="str">
        <f>VLOOKUP(A231,'[14]Calculated coal req (reg.)'!$A$2:$B$599,2,FALSE)</f>
        <v>ROSA TPP PH-I UNIT 3-4</v>
      </c>
      <c r="C231" s="2">
        <v>3.8816387893073401</v>
      </c>
      <c r="D231" s="2">
        <v>3.5459999999999998</v>
      </c>
      <c r="H231" t="s">
        <v>1183</v>
      </c>
      <c r="I231">
        <f t="shared" ref="I231:I294" ca="1" si="9">$I3*M3</f>
        <v>0</v>
      </c>
      <c r="J231">
        <f t="shared" ref="J231:J294" ca="1" si="10">$I3*N3</f>
        <v>0</v>
      </c>
      <c r="K231">
        <f t="shared" ref="K231:K294" ca="1" si="11">$I3*O3</f>
        <v>0</v>
      </c>
      <c r="L231">
        <f t="shared" ref="L231:L294" ca="1" si="12">$I3*P3</f>
        <v>0</v>
      </c>
      <c r="M231">
        <f t="shared" ref="M231:M294" ca="1" si="13">$I3*Q3</f>
        <v>0</v>
      </c>
      <c r="N231">
        <f t="shared" ref="N231:N294" ca="1" si="14">$I3*R3</f>
        <v>0</v>
      </c>
      <c r="O231">
        <f t="shared" ref="O231:O294" ca="1" si="15">$I3*S3</f>
        <v>0</v>
      </c>
      <c r="P231">
        <f t="shared" ref="P231:P294" ca="1" si="16">$I3*T3</f>
        <v>0</v>
      </c>
      <c r="Q231">
        <f t="shared" ref="Q231:Q294" ca="1" si="17">$I3*U3</f>
        <v>0</v>
      </c>
      <c r="R231">
        <f t="shared" ref="R231:R294" ca="1" si="18">$I3*V3</f>
        <v>0</v>
      </c>
      <c r="S231">
        <f t="shared" ref="S231:S294" ca="1" si="19">$I3*W3</f>
        <v>0</v>
      </c>
      <c r="T231">
        <f t="shared" ref="T231:T294" ca="1" si="20">$I3*X3</f>
        <v>0</v>
      </c>
      <c r="U231">
        <f t="shared" ref="U231:U294" ca="1" si="21">$I3*Y3</f>
        <v>0</v>
      </c>
      <c r="V231">
        <f t="shared" ref="V231:V294" ca="1" si="22">$I3*Z3</f>
        <v>0</v>
      </c>
      <c r="W231">
        <f t="shared" ref="W231:W294" ca="1" si="23">$I3*AA3</f>
        <v>0</v>
      </c>
      <c r="X231">
        <f t="shared" ref="X231:X294" ca="1" si="24">$I3*AB3</f>
        <v>0</v>
      </c>
      <c r="Y231">
        <f t="shared" ref="Y231:Y294" ca="1" si="25">$I3*AC3</f>
        <v>0</v>
      </c>
      <c r="Z231">
        <f t="shared" ref="Z231:Z294" ca="1" si="26">$I3*AD3</f>
        <v>0</v>
      </c>
      <c r="AA231">
        <f t="shared" ref="AA231:AA294" ca="1" si="27">$I3*AE3</f>
        <v>0</v>
      </c>
      <c r="AB231">
        <f t="shared" ref="AB231:AB294" ca="1" si="28">$I3*AF3</f>
        <v>0</v>
      </c>
      <c r="AC231">
        <f t="shared" ref="AC231:AC294" ca="1" si="29">$I3*AG3</f>
        <v>0</v>
      </c>
      <c r="AD231">
        <f t="shared" ref="AD231:AD294" ca="1" si="30">$I3*AH3</f>
        <v>0</v>
      </c>
      <c r="AE231">
        <f t="shared" ref="AE231:AE294" ca="1" si="31">$I3*AI3</f>
        <v>0</v>
      </c>
      <c r="AF231">
        <f t="shared" ref="AF231:AF294" ca="1" si="32">$I3*AJ3</f>
        <v>0</v>
      </c>
      <c r="AG231">
        <f t="shared" ref="AG231:AG294" ca="1" si="33">$I3*AK3</f>
        <v>0</v>
      </c>
      <c r="AH231">
        <f t="shared" ref="AH231:AH294" ca="1" si="34">$I3*AL3</f>
        <v>0</v>
      </c>
      <c r="AI231">
        <f t="shared" ref="AI231:AI294" ca="1" si="35">$I3*AM3</f>
        <v>0</v>
      </c>
      <c r="AJ231">
        <f t="shared" ref="AJ231:AJ294" ca="1" si="36">$I3*AN3</f>
        <v>0</v>
      </c>
      <c r="AK231">
        <f t="shared" ref="AK231:AK294" ca="1" si="37">$I3*AO3</f>
        <v>0</v>
      </c>
      <c r="AL231">
        <f t="shared" ref="AL231:AL294" ca="1" si="38">$I3*AP3</f>
        <v>0</v>
      </c>
      <c r="AM231">
        <f t="shared" ref="AM231:AM294" ca="1" si="39">$I3*AQ3</f>
        <v>0</v>
      </c>
      <c r="AN231">
        <f t="shared" ref="AN231:AN294" ca="1" si="40">$I3*AR3</f>
        <v>0</v>
      </c>
      <c r="AO231">
        <f t="shared" ref="AO231:AO294" ca="1" si="41">$I3*AS3</f>
        <v>0</v>
      </c>
      <c r="AP231">
        <f t="shared" ref="AP231:AP294" ca="1" si="42">$I3*AT3</f>
        <v>0</v>
      </c>
    </row>
    <row r="232" spans="1:46" x14ac:dyDescent="0.2">
      <c r="A232" s="2" t="s">
        <v>364</v>
      </c>
      <c r="B232" s="2" t="str">
        <f>VLOOKUP(A232,'[14]Calculated coal req (reg.)'!$A$2:$B$599,2,FALSE)</f>
        <v>SINGRAULI STPS</v>
      </c>
      <c r="C232" s="2">
        <v>10.589602573405999</v>
      </c>
      <c r="D232" s="2">
        <v>5.91</v>
      </c>
      <c r="H232" t="s">
        <v>1108</v>
      </c>
      <c r="I232">
        <f t="shared" ca="1" si="9"/>
        <v>0</v>
      </c>
      <c r="J232">
        <f t="shared" ca="1" si="10"/>
        <v>0</v>
      </c>
      <c r="K232">
        <f t="shared" ca="1" si="11"/>
        <v>0</v>
      </c>
      <c r="L232">
        <f t="shared" ca="1" si="12"/>
        <v>0</v>
      </c>
      <c r="M232">
        <f t="shared" ca="1" si="13"/>
        <v>0</v>
      </c>
      <c r="N232">
        <f t="shared" ca="1" si="14"/>
        <v>0</v>
      </c>
      <c r="O232">
        <f t="shared" ca="1" si="15"/>
        <v>0</v>
      </c>
      <c r="P232">
        <f t="shared" ca="1" si="16"/>
        <v>0</v>
      </c>
      <c r="Q232">
        <f t="shared" ca="1" si="17"/>
        <v>0</v>
      </c>
      <c r="R232">
        <f t="shared" ca="1" si="18"/>
        <v>0</v>
      </c>
      <c r="S232">
        <f t="shared" ca="1" si="19"/>
        <v>0</v>
      </c>
      <c r="T232">
        <f t="shared" ca="1" si="20"/>
        <v>0</v>
      </c>
      <c r="U232">
        <f t="shared" ca="1" si="21"/>
        <v>0</v>
      </c>
      <c r="V232">
        <f t="shared" ca="1" si="22"/>
        <v>0</v>
      </c>
      <c r="W232">
        <f t="shared" ca="1" si="23"/>
        <v>0</v>
      </c>
      <c r="X232">
        <f t="shared" ca="1" si="24"/>
        <v>0</v>
      </c>
      <c r="Y232">
        <f t="shared" ca="1" si="25"/>
        <v>0</v>
      </c>
      <c r="Z232">
        <f t="shared" ca="1" si="26"/>
        <v>4.5950846501403602</v>
      </c>
      <c r="AA232">
        <f t="shared" ca="1" si="27"/>
        <v>0</v>
      </c>
      <c r="AB232">
        <f t="shared" ca="1" si="28"/>
        <v>0</v>
      </c>
      <c r="AC232">
        <f t="shared" ca="1" si="29"/>
        <v>0</v>
      </c>
      <c r="AD232">
        <f t="shared" ca="1" si="30"/>
        <v>0</v>
      </c>
      <c r="AE232">
        <f t="shared" ca="1" si="31"/>
        <v>0</v>
      </c>
      <c r="AF232">
        <f t="shared" ca="1" si="32"/>
        <v>0</v>
      </c>
      <c r="AG232">
        <f t="shared" ca="1" si="33"/>
        <v>0</v>
      </c>
      <c r="AH232">
        <f t="shared" ca="1" si="34"/>
        <v>0</v>
      </c>
      <c r="AI232">
        <f t="shared" ca="1" si="35"/>
        <v>0</v>
      </c>
      <c r="AJ232">
        <f t="shared" ca="1" si="36"/>
        <v>0</v>
      </c>
      <c r="AK232">
        <f t="shared" ca="1" si="37"/>
        <v>0</v>
      </c>
      <c r="AL232">
        <f t="shared" ca="1" si="38"/>
        <v>0</v>
      </c>
      <c r="AM232">
        <f t="shared" ca="1" si="39"/>
        <v>0</v>
      </c>
      <c r="AN232">
        <f t="shared" ca="1" si="40"/>
        <v>0</v>
      </c>
      <c r="AO232">
        <f t="shared" ca="1" si="41"/>
        <v>0</v>
      </c>
      <c r="AP232">
        <f t="shared" ca="1" si="42"/>
        <v>0</v>
      </c>
    </row>
    <row r="233" spans="1:46" x14ac:dyDescent="0.2">
      <c r="A233" s="2" t="s">
        <v>193</v>
      </c>
      <c r="B233" s="2" t="str">
        <f>VLOOKUP(A233,'[14]Calculated coal req (reg.)'!$A$2:$B$599,2,FALSE)</f>
        <v>BARAUNI TPS</v>
      </c>
      <c r="C233" s="2">
        <v>7.2098014888337406E-2</v>
      </c>
      <c r="D233" s="2">
        <v>2.9550000000000001</v>
      </c>
      <c r="H233" t="s">
        <v>1093</v>
      </c>
      <c r="I233">
        <f t="shared" ca="1" si="9"/>
        <v>0</v>
      </c>
      <c r="J233">
        <f t="shared" ca="1" si="10"/>
        <v>0</v>
      </c>
      <c r="K233">
        <f t="shared" ca="1" si="11"/>
        <v>0</v>
      </c>
      <c r="L233">
        <f t="shared" ca="1" si="12"/>
        <v>0</v>
      </c>
      <c r="M233">
        <f t="shared" ca="1" si="13"/>
        <v>0</v>
      </c>
      <c r="N233">
        <f t="shared" ca="1" si="14"/>
        <v>0</v>
      </c>
      <c r="O233">
        <f t="shared" ca="1" si="15"/>
        <v>0</v>
      </c>
      <c r="P233">
        <f t="shared" ca="1" si="16"/>
        <v>0</v>
      </c>
      <c r="Q233">
        <f t="shared" ca="1" si="17"/>
        <v>0</v>
      </c>
      <c r="R233">
        <f t="shared" ca="1" si="18"/>
        <v>0</v>
      </c>
      <c r="S233">
        <f t="shared" ca="1" si="19"/>
        <v>0</v>
      </c>
      <c r="T233">
        <f t="shared" ca="1" si="20"/>
        <v>0</v>
      </c>
      <c r="U233">
        <f t="shared" ca="1" si="21"/>
        <v>0</v>
      </c>
      <c r="V233">
        <f t="shared" ca="1" si="22"/>
        <v>0</v>
      </c>
      <c r="W233">
        <f t="shared" ca="1" si="23"/>
        <v>0</v>
      </c>
      <c r="X233">
        <f t="shared" ca="1" si="24"/>
        <v>0</v>
      </c>
      <c r="Y233">
        <f t="shared" ca="1" si="25"/>
        <v>0</v>
      </c>
      <c r="Z233">
        <f t="shared" ca="1" si="26"/>
        <v>0</v>
      </c>
      <c r="AA233">
        <f t="shared" ca="1" si="27"/>
        <v>11.26797616489352</v>
      </c>
      <c r="AB233">
        <f t="shared" ca="1" si="28"/>
        <v>0</v>
      </c>
      <c r="AC233">
        <f t="shared" ca="1" si="29"/>
        <v>0</v>
      </c>
      <c r="AD233">
        <f t="shared" ca="1" si="30"/>
        <v>0</v>
      </c>
      <c r="AE233">
        <f t="shared" ca="1" si="31"/>
        <v>0</v>
      </c>
      <c r="AF233">
        <f t="shared" ca="1" si="32"/>
        <v>0</v>
      </c>
      <c r="AG233">
        <f t="shared" ca="1" si="33"/>
        <v>0</v>
      </c>
      <c r="AH233">
        <f t="shared" ca="1" si="34"/>
        <v>0</v>
      </c>
      <c r="AI233">
        <f t="shared" ca="1" si="35"/>
        <v>0</v>
      </c>
      <c r="AJ233">
        <f t="shared" ca="1" si="36"/>
        <v>0</v>
      </c>
      <c r="AK233">
        <f t="shared" ca="1" si="37"/>
        <v>0</v>
      </c>
      <c r="AL233">
        <f t="shared" ca="1" si="38"/>
        <v>0</v>
      </c>
      <c r="AM233">
        <f t="shared" ca="1" si="39"/>
        <v>0</v>
      </c>
      <c r="AN233">
        <f t="shared" ca="1" si="40"/>
        <v>0</v>
      </c>
      <c r="AO233">
        <f t="shared" ca="1" si="41"/>
        <v>0</v>
      </c>
      <c r="AP233">
        <f t="shared" ca="1" si="42"/>
        <v>0</v>
      </c>
    </row>
    <row r="234" spans="1:46" x14ac:dyDescent="0.2">
      <c r="A234" s="2" t="s">
        <v>230</v>
      </c>
      <c r="B234" s="2" t="str">
        <f>VLOOKUP(A234,'[14]Calculated coal req (reg.)'!$A$2:$B$599,2,FALSE)</f>
        <v>ROSA TPP PH-I UNIT 3-4</v>
      </c>
      <c r="C234" s="2">
        <v>3.8556876647774398</v>
      </c>
      <c r="D234" s="2">
        <v>3.5459999999999998</v>
      </c>
      <c r="H234" t="s">
        <v>1109</v>
      </c>
      <c r="I234">
        <f t="shared" ca="1" si="9"/>
        <v>0</v>
      </c>
      <c r="J234">
        <f t="shared" ca="1" si="10"/>
        <v>0</v>
      </c>
      <c r="K234">
        <f t="shared" ca="1" si="11"/>
        <v>0</v>
      </c>
      <c r="L234">
        <f t="shared" ca="1" si="12"/>
        <v>0</v>
      </c>
      <c r="M234">
        <f t="shared" ca="1" si="13"/>
        <v>0</v>
      </c>
      <c r="N234">
        <f t="shared" ca="1" si="14"/>
        <v>0</v>
      </c>
      <c r="O234">
        <f t="shared" ca="1" si="15"/>
        <v>0</v>
      </c>
      <c r="P234">
        <f t="shared" ca="1" si="16"/>
        <v>0</v>
      </c>
      <c r="Q234">
        <f t="shared" ca="1" si="17"/>
        <v>0</v>
      </c>
      <c r="R234">
        <f t="shared" ca="1" si="18"/>
        <v>0</v>
      </c>
      <c r="S234">
        <f t="shared" ca="1" si="19"/>
        <v>0</v>
      </c>
      <c r="T234">
        <f t="shared" ca="1" si="20"/>
        <v>0</v>
      </c>
      <c r="U234">
        <f t="shared" ca="1" si="21"/>
        <v>0</v>
      </c>
      <c r="V234">
        <f t="shared" ca="1" si="22"/>
        <v>0</v>
      </c>
      <c r="W234">
        <f t="shared" ca="1" si="23"/>
        <v>0</v>
      </c>
      <c r="X234">
        <f t="shared" ca="1" si="24"/>
        <v>0</v>
      </c>
      <c r="Y234">
        <f t="shared" ca="1" si="25"/>
        <v>0</v>
      </c>
      <c r="Z234">
        <f t="shared" ca="1" si="26"/>
        <v>0</v>
      </c>
      <c r="AA234">
        <f t="shared" ca="1" si="27"/>
        <v>0</v>
      </c>
      <c r="AB234">
        <f t="shared" ca="1" si="28"/>
        <v>0</v>
      </c>
      <c r="AC234">
        <f t="shared" ca="1" si="29"/>
        <v>0</v>
      </c>
      <c r="AD234">
        <f t="shared" ca="1" si="30"/>
        <v>0</v>
      </c>
      <c r="AE234">
        <f t="shared" ca="1" si="31"/>
        <v>0</v>
      </c>
      <c r="AF234">
        <f t="shared" ca="1" si="32"/>
        <v>0</v>
      </c>
      <c r="AG234">
        <f t="shared" ca="1" si="33"/>
        <v>0</v>
      </c>
      <c r="AH234">
        <f t="shared" ca="1" si="34"/>
        <v>0</v>
      </c>
      <c r="AI234">
        <f t="shared" ca="1" si="35"/>
        <v>0</v>
      </c>
      <c r="AJ234">
        <f t="shared" ca="1" si="36"/>
        <v>0</v>
      </c>
      <c r="AK234">
        <f t="shared" ca="1" si="37"/>
        <v>0</v>
      </c>
      <c r="AL234">
        <f t="shared" ca="1" si="38"/>
        <v>0</v>
      </c>
      <c r="AM234">
        <f t="shared" ca="1" si="39"/>
        <v>0</v>
      </c>
      <c r="AN234">
        <f t="shared" ca="1" si="40"/>
        <v>12.128435780761681</v>
      </c>
      <c r="AO234">
        <f t="shared" ca="1" si="41"/>
        <v>0</v>
      </c>
      <c r="AP234">
        <f t="shared" ca="1" si="42"/>
        <v>0</v>
      </c>
    </row>
    <row r="235" spans="1:46" x14ac:dyDescent="0.2">
      <c r="A235" s="2" t="s">
        <v>202</v>
      </c>
      <c r="B235" s="2" t="str">
        <f>VLOOKUP(A235,'[14]Calculated coal req (reg.)'!$A$2:$B$599,2,FALSE)</f>
        <v>GOINDWAL SAHIB</v>
      </c>
      <c r="C235" s="2">
        <v>2.6949425783498402</v>
      </c>
      <c r="D235" s="2">
        <v>3.1914000000000002</v>
      </c>
      <c r="H235" t="s">
        <v>1081</v>
      </c>
      <c r="I235">
        <f t="shared" ca="1" si="9"/>
        <v>0</v>
      </c>
      <c r="J235">
        <f t="shared" ca="1" si="10"/>
        <v>0</v>
      </c>
      <c r="K235">
        <f t="shared" ca="1" si="11"/>
        <v>0</v>
      </c>
      <c r="L235">
        <f t="shared" ca="1" si="12"/>
        <v>0</v>
      </c>
      <c r="M235">
        <f t="shared" ca="1" si="13"/>
        <v>0</v>
      </c>
      <c r="N235">
        <f t="shared" ca="1" si="14"/>
        <v>0</v>
      </c>
      <c r="O235">
        <f t="shared" ca="1" si="15"/>
        <v>0</v>
      </c>
      <c r="P235">
        <f t="shared" ca="1" si="16"/>
        <v>0</v>
      </c>
      <c r="Q235">
        <f t="shared" ca="1" si="17"/>
        <v>0</v>
      </c>
      <c r="R235">
        <f t="shared" ca="1" si="18"/>
        <v>0</v>
      </c>
      <c r="S235">
        <f t="shared" ca="1" si="19"/>
        <v>0</v>
      </c>
      <c r="T235">
        <f t="shared" ca="1" si="20"/>
        <v>0</v>
      </c>
      <c r="U235">
        <f t="shared" ca="1" si="21"/>
        <v>0</v>
      </c>
      <c r="V235">
        <f t="shared" ca="1" si="22"/>
        <v>0</v>
      </c>
      <c r="W235">
        <f t="shared" ca="1" si="23"/>
        <v>0</v>
      </c>
      <c r="X235">
        <f t="shared" ca="1" si="24"/>
        <v>0</v>
      </c>
      <c r="Y235">
        <f t="shared" ca="1" si="25"/>
        <v>0</v>
      </c>
      <c r="Z235">
        <f t="shared" ca="1" si="26"/>
        <v>0</v>
      </c>
      <c r="AA235">
        <f t="shared" ca="1" si="27"/>
        <v>0</v>
      </c>
      <c r="AB235">
        <f t="shared" ca="1" si="28"/>
        <v>0</v>
      </c>
      <c r="AC235">
        <f t="shared" ca="1" si="29"/>
        <v>0</v>
      </c>
      <c r="AD235">
        <f t="shared" ca="1" si="30"/>
        <v>0</v>
      </c>
      <c r="AE235">
        <f t="shared" ca="1" si="31"/>
        <v>0</v>
      </c>
      <c r="AF235">
        <f t="shared" ca="1" si="32"/>
        <v>0</v>
      </c>
      <c r="AG235">
        <f t="shared" ca="1" si="33"/>
        <v>0</v>
      </c>
      <c r="AH235">
        <f t="shared" ca="1" si="34"/>
        <v>0</v>
      </c>
      <c r="AI235">
        <f t="shared" ca="1" si="35"/>
        <v>0</v>
      </c>
      <c r="AJ235">
        <f t="shared" ca="1" si="36"/>
        <v>0</v>
      </c>
      <c r="AK235">
        <f t="shared" ca="1" si="37"/>
        <v>0</v>
      </c>
      <c r="AL235">
        <f t="shared" ca="1" si="38"/>
        <v>0</v>
      </c>
      <c r="AM235">
        <f t="shared" ca="1" si="39"/>
        <v>0</v>
      </c>
      <c r="AN235">
        <f t="shared" ca="1" si="40"/>
        <v>20.35557279909915</v>
      </c>
      <c r="AO235">
        <f t="shared" ca="1" si="41"/>
        <v>0</v>
      </c>
      <c r="AP235">
        <f t="shared" ca="1" si="42"/>
        <v>0</v>
      </c>
    </row>
    <row r="236" spans="1:46" x14ac:dyDescent="0.2">
      <c r="A236" s="2" t="s">
        <v>223</v>
      </c>
      <c r="B236" s="2" t="str">
        <f>VLOOKUP(A236,'[14]Calculated coal req (reg.)'!$A$2:$B$599,2,FALSE)</f>
        <v>BUTIBORI TPP</v>
      </c>
      <c r="C236" s="2">
        <v>1.64824715782968</v>
      </c>
      <c r="D236" s="2">
        <v>3.5459999999999998</v>
      </c>
      <c r="H236" t="s">
        <v>1010</v>
      </c>
      <c r="I236">
        <f t="shared" ca="1" si="9"/>
        <v>0</v>
      </c>
      <c r="J236">
        <f t="shared" ca="1" si="10"/>
        <v>0</v>
      </c>
      <c r="K236">
        <f t="shared" ca="1" si="11"/>
        <v>0</v>
      </c>
      <c r="L236">
        <f t="shared" ca="1" si="12"/>
        <v>0</v>
      </c>
      <c r="M236">
        <f t="shared" ca="1" si="13"/>
        <v>0</v>
      </c>
      <c r="N236">
        <f t="shared" ca="1" si="14"/>
        <v>0</v>
      </c>
      <c r="O236">
        <f t="shared" ca="1" si="15"/>
        <v>0</v>
      </c>
      <c r="P236">
        <f t="shared" ca="1" si="16"/>
        <v>0</v>
      </c>
      <c r="Q236">
        <f t="shared" ca="1" si="17"/>
        <v>0</v>
      </c>
      <c r="R236">
        <f t="shared" ca="1" si="18"/>
        <v>0</v>
      </c>
      <c r="S236">
        <f t="shared" ca="1" si="19"/>
        <v>0</v>
      </c>
      <c r="T236">
        <f t="shared" ca="1" si="20"/>
        <v>0</v>
      </c>
      <c r="U236">
        <f t="shared" ca="1" si="21"/>
        <v>0</v>
      </c>
      <c r="V236">
        <f t="shared" ca="1" si="22"/>
        <v>0</v>
      </c>
      <c r="W236">
        <f t="shared" ca="1" si="23"/>
        <v>0</v>
      </c>
      <c r="X236">
        <f t="shared" ca="1" si="24"/>
        <v>0</v>
      </c>
      <c r="Y236">
        <f t="shared" ca="1" si="25"/>
        <v>0</v>
      </c>
      <c r="Z236">
        <f t="shared" ca="1" si="26"/>
        <v>0</v>
      </c>
      <c r="AA236">
        <f t="shared" ca="1" si="27"/>
        <v>0</v>
      </c>
      <c r="AB236">
        <f t="shared" ca="1" si="28"/>
        <v>0</v>
      </c>
      <c r="AC236">
        <f t="shared" ca="1" si="29"/>
        <v>0</v>
      </c>
      <c r="AD236">
        <f t="shared" ca="1" si="30"/>
        <v>0</v>
      </c>
      <c r="AE236">
        <f t="shared" ca="1" si="31"/>
        <v>0</v>
      </c>
      <c r="AF236">
        <f t="shared" ca="1" si="32"/>
        <v>0</v>
      </c>
      <c r="AG236">
        <f t="shared" ca="1" si="33"/>
        <v>0</v>
      </c>
      <c r="AH236">
        <f t="shared" ca="1" si="34"/>
        <v>0</v>
      </c>
      <c r="AI236">
        <f t="shared" ca="1" si="35"/>
        <v>0</v>
      </c>
      <c r="AJ236">
        <f t="shared" ca="1" si="36"/>
        <v>0</v>
      </c>
      <c r="AK236">
        <f t="shared" ca="1" si="37"/>
        <v>0</v>
      </c>
      <c r="AL236">
        <f t="shared" ca="1" si="38"/>
        <v>0</v>
      </c>
      <c r="AM236">
        <f t="shared" ca="1" si="39"/>
        <v>0</v>
      </c>
      <c r="AN236">
        <f t="shared" ca="1" si="40"/>
        <v>16.785491036778069</v>
      </c>
      <c r="AO236">
        <f t="shared" ca="1" si="41"/>
        <v>0</v>
      </c>
      <c r="AP236">
        <f t="shared" ca="1" si="42"/>
        <v>0</v>
      </c>
    </row>
    <row r="237" spans="1:46" x14ac:dyDescent="0.2">
      <c r="A237" s="2" t="s">
        <v>203</v>
      </c>
      <c r="B237" s="2" t="str">
        <f>VLOOKUP(A237,'[14]Calculated coal req (reg.)'!$A$2:$B$599,2,FALSE)</f>
        <v>GOINDWAL SAHIB</v>
      </c>
      <c r="C237" s="2">
        <v>2.5576797035108099</v>
      </c>
      <c r="D237" s="2">
        <v>3.1914000000000002</v>
      </c>
      <c r="H237" t="s">
        <v>1020</v>
      </c>
      <c r="I237">
        <f t="shared" ca="1" si="9"/>
        <v>0</v>
      </c>
      <c r="J237">
        <f t="shared" ca="1" si="10"/>
        <v>0</v>
      </c>
      <c r="K237">
        <f t="shared" ca="1" si="11"/>
        <v>0</v>
      </c>
      <c r="L237">
        <f t="shared" ca="1" si="12"/>
        <v>0</v>
      </c>
      <c r="M237">
        <f t="shared" ca="1" si="13"/>
        <v>0</v>
      </c>
      <c r="N237">
        <f t="shared" ca="1" si="14"/>
        <v>0</v>
      </c>
      <c r="O237">
        <f t="shared" ca="1" si="15"/>
        <v>0</v>
      </c>
      <c r="P237">
        <f t="shared" ca="1" si="16"/>
        <v>0</v>
      </c>
      <c r="Q237">
        <f t="shared" ca="1" si="17"/>
        <v>0</v>
      </c>
      <c r="R237">
        <f t="shared" ca="1" si="18"/>
        <v>0</v>
      </c>
      <c r="S237">
        <f t="shared" ca="1" si="19"/>
        <v>0</v>
      </c>
      <c r="T237">
        <f t="shared" ca="1" si="20"/>
        <v>0</v>
      </c>
      <c r="U237">
        <f t="shared" ca="1" si="21"/>
        <v>0</v>
      </c>
      <c r="V237">
        <f t="shared" ca="1" si="22"/>
        <v>0</v>
      </c>
      <c r="W237">
        <f t="shared" ca="1" si="23"/>
        <v>0</v>
      </c>
      <c r="X237">
        <f t="shared" ca="1" si="24"/>
        <v>0</v>
      </c>
      <c r="Y237">
        <f t="shared" ca="1" si="25"/>
        <v>0</v>
      </c>
      <c r="Z237">
        <f t="shared" ca="1" si="26"/>
        <v>0</v>
      </c>
      <c r="AA237">
        <f t="shared" ca="1" si="27"/>
        <v>0</v>
      </c>
      <c r="AB237">
        <f t="shared" ca="1" si="28"/>
        <v>0</v>
      </c>
      <c r="AC237">
        <f t="shared" ca="1" si="29"/>
        <v>0</v>
      </c>
      <c r="AD237">
        <f t="shared" ca="1" si="30"/>
        <v>0</v>
      </c>
      <c r="AE237">
        <f t="shared" ca="1" si="31"/>
        <v>0</v>
      </c>
      <c r="AF237">
        <f t="shared" ca="1" si="32"/>
        <v>0</v>
      </c>
      <c r="AG237">
        <f t="shared" ca="1" si="33"/>
        <v>0</v>
      </c>
      <c r="AH237">
        <f t="shared" ca="1" si="34"/>
        <v>0</v>
      </c>
      <c r="AI237">
        <f t="shared" ca="1" si="35"/>
        <v>0</v>
      </c>
      <c r="AJ237">
        <f t="shared" ca="1" si="36"/>
        <v>0</v>
      </c>
      <c r="AK237">
        <f t="shared" ca="1" si="37"/>
        <v>0</v>
      </c>
      <c r="AL237">
        <f t="shared" ca="1" si="38"/>
        <v>0</v>
      </c>
      <c r="AM237">
        <f t="shared" ca="1" si="39"/>
        <v>0</v>
      </c>
      <c r="AN237">
        <f t="shared" ca="1" si="40"/>
        <v>22.472343201440601</v>
      </c>
      <c r="AO237">
        <f t="shared" ca="1" si="41"/>
        <v>0</v>
      </c>
      <c r="AP237">
        <f t="shared" ca="1" si="42"/>
        <v>0</v>
      </c>
    </row>
    <row r="238" spans="1:46" x14ac:dyDescent="0.2">
      <c r="A238" s="2" t="s">
        <v>189</v>
      </c>
      <c r="B238" s="2" t="str">
        <f>VLOOKUP(A238,'[14]Calculated coal req (reg.)'!$A$2:$B$599,2,FALSE)</f>
        <v>BALCO TPS</v>
      </c>
      <c r="C238" s="2">
        <v>3.49828641630029</v>
      </c>
      <c r="D238" s="2">
        <v>3.5459999999999998</v>
      </c>
      <c r="H238" t="s">
        <v>1012</v>
      </c>
      <c r="I238">
        <f t="shared" ca="1" si="9"/>
        <v>0</v>
      </c>
      <c r="J238">
        <f t="shared" ca="1" si="10"/>
        <v>0</v>
      </c>
      <c r="K238">
        <f t="shared" ca="1" si="11"/>
        <v>0</v>
      </c>
      <c r="L238">
        <f t="shared" ca="1" si="12"/>
        <v>0</v>
      </c>
      <c r="M238">
        <f t="shared" ca="1" si="13"/>
        <v>0</v>
      </c>
      <c r="N238">
        <f t="shared" ca="1" si="14"/>
        <v>0</v>
      </c>
      <c r="O238">
        <f t="shared" ca="1" si="15"/>
        <v>0</v>
      </c>
      <c r="P238">
        <f t="shared" ca="1" si="16"/>
        <v>0</v>
      </c>
      <c r="Q238">
        <f t="shared" ca="1" si="17"/>
        <v>0</v>
      </c>
      <c r="R238">
        <f t="shared" ca="1" si="18"/>
        <v>0</v>
      </c>
      <c r="S238">
        <f t="shared" ca="1" si="19"/>
        <v>0</v>
      </c>
      <c r="T238">
        <f t="shared" ca="1" si="20"/>
        <v>0</v>
      </c>
      <c r="U238">
        <f t="shared" ca="1" si="21"/>
        <v>0</v>
      </c>
      <c r="V238">
        <f t="shared" ca="1" si="22"/>
        <v>0</v>
      </c>
      <c r="W238">
        <f t="shared" ca="1" si="23"/>
        <v>0</v>
      </c>
      <c r="X238">
        <f t="shared" ca="1" si="24"/>
        <v>0</v>
      </c>
      <c r="Y238">
        <f t="shared" ca="1" si="25"/>
        <v>0</v>
      </c>
      <c r="Z238">
        <f t="shared" ca="1" si="26"/>
        <v>8.1037440866740038</v>
      </c>
      <c r="AA238">
        <f t="shared" ca="1" si="27"/>
        <v>0</v>
      </c>
      <c r="AB238">
        <f t="shared" ca="1" si="28"/>
        <v>0</v>
      </c>
      <c r="AC238">
        <f t="shared" ca="1" si="29"/>
        <v>0</v>
      </c>
      <c r="AD238">
        <f t="shared" ca="1" si="30"/>
        <v>0</v>
      </c>
      <c r="AE238">
        <f t="shared" ca="1" si="31"/>
        <v>0</v>
      </c>
      <c r="AF238">
        <f t="shared" ca="1" si="32"/>
        <v>0</v>
      </c>
      <c r="AG238">
        <f t="shared" ca="1" si="33"/>
        <v>0</v>
      </c>
      <c r="AH238">
        <f t="shared" ca="1" si="34"/>
        <v>0</v>
      </c>
      <c r="AI238">
        <f t="shared" ca="1" si="35"/>
        <v>0</v>
      </c>
      <c r="AJ238">
        <f t="shared" ca="1" si="36"/>
        <v>0</v>
      </c>
      <c r="AK238">
        <f t="shared" ca="1" si="37"/>
        <v>0</v>
      </c>
      <c r="AL238">
        <f t="shared" ca="1" si="38"/>
        <v>0</v>
      </c>
      <c r="AM238">
        <f t="shared" ca="1" si="39"/>
        <v>0</v>
      </c>
      <c r="AN238">
        <f t="shared" ca="1" si="40"/>
        <v>9.8998913007308964</v>
      </c>
      <c r="AO238">
        <f t="shared" ca="1" si="41"/>
        <v>0</v>
      </c>
      <c r="AP238">
        <f t="shared" ca="1" si="42"/>
        <v>0</v>
      </c>
    </row>
    <row r="239" spans="1:46" x14ac:dyDescent="0.2">
      <c r="A239" s="2" t="s">
        <v>368</v>
      </c>
      <c r="B239" s="2" t="str">
        <f>VLOOKUP(A239,'[14]Calculated coal req (reg.)'!$A$2:$B$599,2,FALSE)</f>
        <v>KORBA STPS UNIT 1-6</v>
      </c>
      <c r="C239" s="2">
        <v>10.4864221127531</v>
      </c>
      <c r="D239" s="2">
        <v>5.91</v>
      </c>
      <c r="H239" t="s">
        <v>1026</v>
      </c>
      <c r="I239">
        <f t="shared" ca="1" si="9"/>
        <v>0</v>
      </c>
      <c r="J239">
        <f t="shared" ca="1" si="10"/>
        <v>0</v>
      </c>
      <c r="K239">
        <f t="shared" ca="1" si="11"/>
        <v>0</v>
      </c>
      <c r="L239">
        <f t="shared" ca="1" si="12"/>
        <v>0</v>
      </c>
      <c r="M239">
        <f t="shared" ca="1" si="13"/>
        <v>0</v>
      </c>
      <c r="N239">
        <f t="shared" ca="1" si="14"/>
        <v>0.14995622376116799</v>
      </c>
      <c r="O239">
        <f t="shared" ca="1" si="15"/>
        <v>0</v>
      </c>
      <c r="P239">
        <f t="shared" ca="1" si="16"/>
        <v>0</v>
      </c>
      <c r="Q239">
        <f t="shared" ca="1" si="17"/>
        <v>0</v>
      </c>
      <c r="R239">
        <f t="shared" ca="1" si="18"/>
        <v>0</v>
      </c>
      <c r="S239">
        <f t="shared" ca="1" si="19"/>
        <v>0</v>
      </c>
      <c r="T239">
        <f t="shared" ca="1" si="20"/>
        <v>0</v>
      </c>
      <c r="U239">
        <f t="shared" ca="1" si="21"/>
        <v>0</v>
      </c>
      <c r="V239">
        <f t="shared" ca="1" si="22"/>
        <v>0</v>
      </c>
      <c r="W239">
        <f t="shared" ca="1" si="23"/>
        <v>0</v>
      </c>
      <c r="X239">
        <f t="shared" ca="1" si="24"/>
        <v>0</v>
      </c>
      <c r="Y239">
        <f t="shared" ca="1" si="25"/>
        <v>0</v>
      </c>
      <c r="Z239">
        <f t="shared" ca="1" si="26"/>
        <v>0</v>
      </c>
      <c r="AA239">
        <f t="shared" ca="1" si="27"/>
        <v>0</v>
      </c>
      <c r="AB239">
        <f t="shared" ca="1" si="28"/>
        <v>0</v>
      </c>
      <c r="AC239">
        <f t="shared" ca="1" si="29"/>
        <v>0</v>
      </c>
      <c r="AD239">
        <f t="shared" ca="1" si="30"/>
        <v>0</v>
      </c>
      <c r="AE239">
        <f t="shared" ca="1" si="31"/>
        <v>0</v>
      </c>
      <c r="AF239">
        <f t="shared" ca="1" si="32"/>
        <v>0</v>
      </c>
      <c r="AG239">
        <f t="shared" ca="1" si="33"/>
        <v>0</v>
      </c>
      <c r="AH239">
        <f t="shared" ca="1" si="34"/>
        <v>0</v>
      </c>
      <c r="AI239">
        <f t="shared" ca="1" si="35"/>
        <v>0</v>
      </c>
      <c r="AJ239">
        <f t="shared" ca="1" si="36"/>
        <v>0</v>
      </c>
      <c r="AK239">
        <f t="shared" ca="1" si="37"/>
        <v>0</v>
      </c>
      <c r="AL239">
        <f t="shared" ca="1" si="38"/>
        <v>0</v>
      </c>
      <c r="AM239">
        <f t="shared" ca="1" si="39"/>
        <v>0</v>
      </c>
      <c r="AN239">
        <f t="shared" ca="1" si="40"/>
        <v>0</v>
      </c>
      <c r="AO239">
        <f t="shared" ca="1" si="41"/>
        <v>0</v>
      </c>
      <c r="AP239">
        <f t="shared" ca="1" si="42"/>
        <v>0</v>
      </c>
    </row>
    <row r="240" spans="1:46" x14ac:dyDescent="0.2">
      <c r="A240" s="2" t="s">
        <v>199</v>
      </c>
      <c r="B240" s="2" t="str">
        <f>VLOOKUP(A240,'[14]Calculated coal req (reg.)'!$A$2:$B$599,2,FALSE)</f>
        <v>NABI NAGAR TPP</v>
      </c>
      <c r="C240" s="2">
        <v>2.8774564948708399</v>
      </c>
      <c r="D240" s="2">
        <v>2.9550000000000001</v>
      </c>
      <c r="H240" t="s">
        <v>1184</v>
      </c>
      <c r="I240">
        <f t="shared" ca="1" si="9"/>
        <v>0</v>
      </c>
      <c r="J240">
        <f t="shared" ca="1" si="10"/>
        <v>0</v>
      </c>
      <c r="K240">
        <f t="shared" ca="1" si="11"/>
        <v>0</v>
      </c>
      <c r="L240">
        <f t="shared" ca="1" si="12"/>
        <v>0</v>
      </c>
      <c r="M240">
        <f t="shared" ca="1" si="13"/>
        <v>0</v>
      </c>
      <c r="N240">
        <f t="shared" ca="1" si="14"/>
        <v>0</v>
      </c>
      <c r="O240">
        <f t="shared" ca="1" si="15"/>
        <v>0</v>
      </c>
      <c r="P240">
        <f t="shared" ca="1" si="16"/>
        <v>0</v>
      </c>
      <c r="Q240">
        <f t="shared" ca="1" si="17"/>
        <v>0</v>
      </c>
      <c r="R240">
        <f t="shared" ca="1" si="18"/>
        <v>0</v>
      </c>
      <c r="S240">
        <f t="shared" ca="1" si="19"/>
        <v>0</v>
      </c>
      <c r="T240">
        <f t="shared" ca="1" si="20"/>
        <v>0</v>
      </c>
      <c r="U240">
        <f t="shared" ca="1" si="21"/>
        <v>0</v>
      </c>
      <c r="V240">
        <f t="shared" ca="1" si="22"/>
        <v>0</v>
      </c>
      <c r="W240">
        <f t="shared" ca="1" si="23"/>
        <v>0</v>
      </c>
      <c r="X240">
        <f t="shared" ca="1" si="24"/>
        <v>0</v>
      </c>
      <c r="Y240">
        <f t="shared" ca="1" si="25"/>
        <v>0</v>
      </c>
      <c r="Z240">
        <f t="shared" ca="1" si="26"/>
        <v>0</v>
      </c>
      <c r="AA240">
        <f t="shared" ca="1" si="27"/>
        <v>0</v>
      </c>
      <c r="AB240">
        <f t="shared" ca="1" si="28"/>
        <v>0</v>
      </c>
      <c r="AC240">
        <f t="shared" ca="1" si="29"/>
        <v>0</v>
      </c>
      <c r="AD240">
        <f t="shared" ca="1" si="30"/>
        <v>0</v>
      </c>
      <c r="AE240">
        <f t="shared" ca="1" si="31"/>
        <v>0</v>
      </c>
      <c r="AF240">
        <f t="shared" ca="1" si="32"/>
        <v>0</v>
      </c>
      <c r="AG240">
        <f t="shared" ca="1" si="33"/>
        <v>0</v>
      </c>
      <c r="AH240">
        <f t="shared" ca="1" si="34"/>
        <v>0</v>
      </c>
      <c r="AI240">
        <f t="shared" ca="1" si="35"/>
        <v>0</v>
      </c>
      <c r="AJ240">
        <f t="shared" ca="1" si="36"/>
        <v>0</v>
      </c>
      <c r="AK240">
        <f t="shared" ca="1" si="37"/>
        <v>0</v>
      </c>
      <c r="AL240">
        <f t="shared" ca="1" si="38"/>
        <v>0</v>
      </c>
      <c r="AM240">
        <f t="shared" ca="1" si="39"/>
        <v>0</v>
      </c>
      <c r="AN240">
        <f t="shared" ca="1" si="40"/>
        <v>0</v>
      </c>
      <c r="AO240">
        <f t="shared" ca="1" si="41"/>
        <v>0</v>
      </c>
      <c r="AP240">
        <f t="shared" ca="1" si="42"/>
        <v>0</v>
      </c>
    </row>
    <row r="241" spans="1:42" x14ac:dyDescent="0.2">
      <c r="A241" s="2" t="s">
        <v>372</v>
      </c>
      <c r="B241" s="2" t="str">
        <f>VLOOKUP(A241,'[14]Calculated coal req (reg.)'!$A$2:$B$599,2,FALSE)</f>
        <v>SINGRAULI STPS</v>
      </c>
      <c r="C241" s="2">
        <v>10.4032334560446</v>
      </c>
      <c r="D241" s="2">
        <v>5.91</v>
      </c>
      <c r="H241" t="s">
        <v>1110</v>
      </c>
      <c r="I241">
        <f t="shared" ca="1" si="9"/>
        <v>0</v>
      </c>
      <c r="J241">
        <f t="shared" ca="1" si="10"/>
        <v>0</v>
      </c>
      <c r="K241">
        <f t="shared" ca="1" si="11"/>
        <v>0</v>
      </c>
      <c r="L241">
        <f t="shared" ca="1" si="12"/>
        <v>0</v>
      </c>
      <c r="M241">
        <f t="shared" ca="1" si="13"/>
        <v>0</v>
      </c>
      <c r="N241">
        <f t="shared" ca="1" si="14"/>
        <v>0</v>
      </c>
      <c r="O241">
        <f t="shared" ca="1" si="15"/>
        <v>0</v>
      </c>
      <c r="P241">
        <f t="shared" ca="1" si="16"/>
        <v>0</v>
      </c>
      <c r="Q241">
        <f t="shared" ca="1" si="17"/>
        <v>0</v>
      </c>
      <c r="R241">
        <f t="shared" ca="1" si="18"/>
        <v>0</v>
      </c>
      <c r="S241">
        <f t="shared" ca="1" si="19"/>
        <v>0</v>
      </c>
      <c r="T241">
        <f t="shared" ca="1" si="20"/>
        <v>0</v>
      </c>
      <c r="U241">
        <f t="shared" ca="1" si="21"/>
        <v>0</v>
      </c>
      <c r="V241">
        <f t="shared" ca="1" si="22"/>
        <v>0</v>
      </c>
      <c r="W241">
        <f t="shared" ca="1" si="23"/>
        <v>0</v>
      </c>
      <c r="X241">
        <f t="shared" ca="1" si="24"/>
        <v>0</v>
      </c>
      <c r="Y241">
        <f t="shared" ca="1" si="25"/>
        <v>0</v>
      </c>
      <c r="Z241">
        <f t="shared" ca="1" si="26"/>
        <v>0</v>
      </c>
      <c r="AA241">
        <f t="shared" ca="1" si="27"/>
        <v>0</v>
      </c>
      <c r="AB241">
        <f t="shared" ca="1" si="28"/>
        <v>0</v>
      </c>
      <c r="AC241">
        <f t="shared" ca="1" si="29"/>
        <v>0</v>
      </c>
      <c r="AD241">
        <f t="shared" ca="1" si="30"/>
        <v>0</v>
      </c>
      <c r="AE241">
        <f t="shared" ca="1" si="31"/>
        <v>0</v>
      </c>
      <c r="AF241">
        <f t="shared" ca="1" si="32"/>
        <v>0</v>
      </c>
      <c r="AG241">
        <f t="shared" ca="1" si="33"/>
        <v>0</v>
      </c>
      <c r="AH241">
        <f t="shared" ca="1" si="34"/>
        <v>0</v>
      </c>
      <c r="AI241">
        <f t="shared" ca="1" si="35"/>
        <v>0</v>
      </c>
      <c r="AJ241">
        <f t="shared" ca="1" si="36"/>
        <v>0</v>
      </c>
      <c r="AK241">
        <f t="shared" ca="1" si="37"/>
        <v>0</v>
      </c>
      <c r="AL241">
        <f t="shared" ca="1" si="38"/>
        <v>0</v>
      </c>
      <c r="AM241">
        <f t="shared" ca="1" si="39"/>
        <v>0</v>
      </c>
      <c r="AN241">
        <f t="shared" ca="1" si="40"/>
        <v>0</v>
      </c>
      <c r="AO241">
        <f t="shared" ca="1" si="41"/>
        <v>0</v>
      </c>
      <c r="AP241">
        <f t="shared" ca="1" si="42"/>
        <v>11.71350985810027</v>
      </c>
    </row>
    <row r="242" spans="1:42" x14ac:dyDescent="0.2">
      <c r="A242" s="2" t="s">
        <v>200</v>
      </c>
      <c r="B242" s="2" t="str">
        <f>VLOOKUP(A242,'[14]Calculated coal req (reg.)'!$A$2:$B$599,2,FALSE)</f>
        <v>BONGAIGAON TPS</v>
      </c>
      <c r="C242" s="2">
        <v>3.56990141991984</v>
      </c>
      <c r="D242" s="2">
        <v>2.9550000000000001</v>
      </c>
      <c r="H242" t="s">
        <v>1111</v>
      </c>
      <c r="I242">
        <f t="shared" ca="1" si="9"/>
        <v>0</v>
      </c>
      <c r="J242">
        <f t="shared" ca="1" si="10"/>
        <v>0</v>
      </c>
      <c r="K242">
        <f t="shared" ca="1" si="11"/>
        <v>0</v>
      </c>
      <c r="L242">
        <f t="shared" ca="1" si="12"/>
        <v>0</v>
      </c>
      <c r="M242">
        <f t="shared" ca="1" si="13"/>
        <v>0</v>
      </c>
      <c r="N242">
        <f t="shared" ca="1" si="14"/>
        <v>0</v>
      </c>
      <c r="O242">
        <f t="shared" ca="1" si="15"/>
        <v>0</v>
      </c>
      <c r="P242">
        <f t="shared" ca="1" si="16"/>
        <v>0</v>
      </c>
      <c r="Q242">
        <f t="shared" ca="1" si="17"/>
        <v>0</v>
      </c>
      <c r="R242">
        <f t="shared" ca="1" si="18"/>
        <v>0</v>
      </c>
      <c r="S242">
        <f t="shared" ca="1" si="19"/>
        <v>0</v>
      </c>
      <c r="T242">
        <f t="shared" ca="1" si="20"/>
        <v>0</v>
      </c>
      <c r="U242">
        <f t="shared" ca="1" si="21"/>
        <v>0</v>
      </c>
      <c r="V242">
        <f t="shared" ca="1" si="22"/>
        <v>0</v>
      </c>
      <c r="W242">
        <f t="shared" ca="1" si="23"/>
        <v>0</v>
      </c>
      <c r="X242">
        <f t="shared" ca="1" si="24"/>
        <v>0</v>
      </c>
      <c r="Y242">
        <f t="shared" ca="1" si="25"/>
        <v>0</v>
      </c>
      <c r="Z242">
        <f t="shared" ca="1" si="26"/>
        <v>0</v>
      </c>
      <c r="AA242">
        <f t="shared" ca="1" si="27"/>
        <v>0</v>
      </c>
      <c r="AB242">
        <f t="shared" ca="1" si="28"/>
        <v>0</v>
      </c>
      <c r="AC242">
        <f t="shared" ca="1" si="29"/>
        <v>0</v>
      </c>
      <c r="AD242">
        <f t="shared" ca="1" si="30"/>
        <v>0</v>
      </c>
      <c r="AE242">
        <f t="shared" ca="1" si="31"/>
        <v>0</v>
      </c>
      <c r="AF242">
        <f t="shared" ca="1" si="32"/>
        <v>0</v>
      </c>
      <c r="AG242">
        <f t="shared" ca="1" si="33"/>
        <v>0</v>
      </c>
      <c r="AH242">
        <f t="shared" ca="1" si="34"/>
        <v>0</v>
      </c>
      <c r="AI242">
        <f t="shared" ca="1" si="35"/>
        <v>0</v>
      </c>
      <c r="AJ242">
        <f t="shared" ca="1" si="36"/>
        <v>0</v>
      </c>
      <c r="AK242">
        <f t="shared" ca="1" si="37"/>
        <v>0</v>
      </c>
      <c r="AL242">
        <f t="shared" ca="1" si="38"/>
        <v>0</v>
      </c>
      <c r="AM242">
        <f t="shared" ca="1" si="39"/>
        <v>0</v>
      </c>
      <c r="AN242">
        <f t="shared" ca="1" si="40"/>
        <v>0</v>
      </c>
      <c r="AO242">
        <f t="shared" ca="1" si="41"/>
        <v>0</v>
      </c>
      <c r="AP242">
        <f t="shared" ca="1" si="42"/>
        <v>7.77788616310891</v>
      </c>
    </row>
    <row r="243" spans="1:42" x14ac:dyDescent="0.2">
      <c r="A243" s="2" t="s">
        <v>195</v>
      </c>
      <c r="B243" s="2" t="str">
        <f>VLOOKUP(A243,'[14]Calculated coal req (reg.)'!$A$2:$B$599,2,FALSE)</f>
        <v>BALCO TPS</v>
      </c>
      <c r="C243" s="2">
        <v>4.3834208762424201</v>
      </c>
      <c r="D243" s="2">
        <v>3.5459999999999998</v>
      </c>
      <c r="H243" t="s">
        <v>1092</v>
      </c>
      <c r="I243">
        <f t="shared" ca="1" si="9"/>
        <v>0</v>
      </c>
      <c r="J243">
        <f t="shared" ca="1" si="10"/>
        <v>0</v>
      </c>
      <c r="K243">
        <f t="shared" ca="1" si="11"/>
        <v>0</v>
      </c>
      <c r="L243">
        <f t="shared" ca="1" si="12"/>
        <v>0</v>
      </c>
      <c r="M243">
        <f t="shared" ca="1" si="13"/>
        <v>0</v>
      </c>
      <c r="N243">
        <f t="shared" ca="1" si="14"/>
        <v>1.1183879472219926</v>
      </c>
      <c r="O243">
        <f t="shared" ca="1" si="15"/>
        <v>0</v>
      </c>
      <c r="P243">
        <f t="shared" ca="1" si="16"/>
        <v>0</v>
      </c>
      <c r="Q243">
        <f t="shared" ca="1" si="17"/>
        <v>0</v>
      </c>
      <c r="R243">
        <f t="shared" ca="1" si="18"/>
        <v>0</v>
      </c>
      <c r="S243">
        <f t="shared" ca="1" si="19"/>
        <v>0</v>
      </c>
      <c r="T243">
        <f t="shared" ca="1" si="20"/>
        <v>0</v>
      </c>
      <c r="U243">
        <f t="shared" ca="1" si="21"/>
        <v>0</v>
      </c>
      <c r="V243">
        <f t="shared" ca="1" si="22"/>
        <v>0</v>
      </c>
      <c r="W243">
        <f t="shared" ca="1" si="23"/>
        <v>0</v>
      </c>
      <c r="X243">
        <f t="shared" ca="1" si="24"/>
        <v>0</v>
      </c>
      <c r="Y243">
        <f t="shared" ca="1" si="25"/>
        <v>2.3283062554648244</v>
      </c>
      <c r="Z243">
        <f t="shared" ca="1" si="26"/>
        <v>0</v>
      </c>
      <c r="AA243">
        <f t="shared" ca="1" si="27"/>
        <v>0</v>
      </c>
      <c r="AB243">
        <f t="shared" ca="1" si="28"/>
        <v>0</v>
      </c>
      <c r="AC243">
        <f t="shared" ca="1" si="29"/>
        <v>0</v>
      </c>
      <c r="AD243">
        <f t="shared" ca="1" si="30"/>
        <v>0</v>
      </c>
      <c r="AE243">
        <f t="shared" ca="1" si="31"/>
        <v>0</v>
      </c>
      <c r="AF243">
        <f t="shared" ca="1" si="32"/>
        <v>0</v>
      </c>
      <c r="AG243">
        <f t="shared" ca="1" si="33"/>
        <v>0</v>
      </c>
      <c r="AH243">
        <f t="shared" ca="1" si="34"/>
        <v>0</v>
      </c>
      <c r="AI243">
        <f t="shared" ca="1" si="35"/>
        <v>0</v>
      </c>
      <c r="AJ243">
        <f t="shared" ca="1" si="36"/>
        <v>0</v>
      </c>
      <c r="AK243">
        <f t="shared" ca="1" si="37"/>
        <v>4.435013089855893</v>
      </c>
      <c r="AL243">
        <f t="shared" ca="1" si="38"/>
        <v>0</v>
      </c>
      <c r="AM243">
        <f t="shared" ca="1" si="39"/>
        <v>0</v>
      </c>
      <c r="AN243">
        <f t="shared" ca="1" si="40"/>
        <v>0</v>
      </c>
      <c r="AO243">
        <f t="shared" ca="1" si="41"/>
        <v>0</v>
      </c>
      <c r="AP243">
        <f t="shared" ca="1" si="42"/>
        <v>0</v>
      </c>
    </row>
    <row r="244" spans="1:42" x14ac:dyDescent="0.2">
      <c r="A244" s="2" t="s">
        <v>210</v>
      </c>
      <c r="B244" s="2" t="str">
        <f>VLOOKUP(A244,'[14]Calculated coal req (reg.)'!$A$2:$B$599,2,FALSE)</f>
        <v>AMRAVATI TPS</v>
      </c>
      <c r="C244" s="2">
        <v>2.0065316246589</v>
      </c>
      <c r="D244" s="2">
        <v>3.1914000000000002</v>
      </c>
      <c r="H244" t="s">
        <v>1075</v>
      </c>
      <c r="I244">
        <f t="shared" ca="1" si="9"/>
        <v>0</v>
      </c>
      <c r="J244">
        <f t="shared" ca="1" si="10"/>
        <v>0</v>
      </c>
      <c r="K244">
        <f t="shared" ca="1" si="11"/>
        <v>0</v>
      </c>
      <c r="L244">
        <f t="shared" ca="1" si="12"/>
        <v>0</v>
      </c>
      <c r="M244">
        <f t="shared" ca="1" si="13"/>
        <v>0</v>
      </c>
      <c r="N244">
        <f t="shared" ca="1" si="14"/>
        <v>0.31610365024932335</v>
      </c>
      <c r="O244">
        <f t="shared" ca="1" si="15"/>
        <v>0</v>
      </c>
      <c r="P244">
        <f t="shared" ca="1" si="16"/>
        <v>0</v>
      </c>
      <c r="Q244">
        <f t="shared" ca="1" si="17"/>
        <v>0</v>
      </c>
      <c r="R244">
        <f t="shared" ca="1" si="18"/>
        <v>0</v>
      </c>
      <c r="S244">
        <f t="shared" ca="1" si="19"/>
        <v>0</v>
      </c>
      <c r="T244">
        <f t="shared" ca="1" si="20"/>
        <v>0</v>
      </c>
      <c r="U244">
        <f t="shared" ca="1" si="21"/>
        <v>0</v>
      </c>
      <c r="V244">
        <f t="shared" ca="1" si="22"/>
        <v>0</v>
      </c>
      <c r="W244">
        <f t="shared" ca="1" si="23"/>
        <v>0</v>
      </c>
      <c r="X244">
        <f t="shared" ca="1" si="24"/>
        <v>0</v>
      </c>
      <c r="Y244">
        <f t="shared" ca="1" si="25"/>
        <v>0</v>
      </c>
      <c r="Z244">
        <f t="shared" ca="1" si="26"/>
        <v>0</v>
      </c>
      <c r="AA244">
        <f t="shared" ca="1" si="27"/>
        <v>0</v>
      </c>
      <c r="AB244">
        <f t="shared" ca="1" si="28"/>
        <v>0</v>
      </c>
      <c r="AC244">
        <f t="shared" ca="1" si="29"/>
        <v>0</v>
      </c>
      <c r="AD244">
        <f t="shared" ca="1" si="30"/>
        <v>0</v>
      </c>
      <c r="AE244">
        <f t="shared" ca="1" si="31"/>
        <v>0</v>
      </c>
      <c r="AF244">
        <f t="shared" ca="1" si="32"/>
        <v>0</v>
      </c>
      <c r="AG244">
        <f t="shared" ca="1" si="33"/>
        <v>0</v>
      </c>
      <c r="AH244">
        <f t="shared" ca="1" si="34"/>
        <v>0</v>
      </c>
      <c r="AI244">
        <f t="shared" ca="1" si="35"/>
        <v>5.6663625795776369</v>
      </c>
      <c r="AJ244">
        <f t="shared" ca="1" si="36"/>
        <v>0</v>
      </c>
      <c r="AK244">
        <f t="shared" ca="1" si="37"/>
        <v>0</v>
      </c>
      <c r="AL244">
        <f t="shared" ca="1" si="38"/>
        <v>0</v>
      </c>
      <c r="AM244">
        <f t="shared" ca="1" si="39"/>
        <v>0</v>
      </c>
      <c r="AN244">
        <f t="shared" ca="1" si="40"/>
        <v>0</v>
      </c>
      <c r="AO244">
        <f t="shared" ca="1" si="41"/>
        <v>0</v>
      </c>
      <c r="AP244">
        <f t="shared" ca="1" si="42"/>
        <v>0</v>
      </c>
    </row>
    <row r="245" spans="1:42" x14ac:dyDescent="0.2">
      <c r="A245" s="2" t="s">
        <v>209</v>
      </c>
      <c r="B245" s="2" t="str">
        <f>VLOOKUP(A245,'[14]Calculated coal req (reg.)'!$A$2:$B$599,2,FALSE)</f>
        <v>AMRAVATI TPS</v>
      </c>
      <c r="C245" s="2">
        <v>2.1416718251547602</v>
      </c>
      <c r="D245" s="2">
        <v>3.1914000000000002</v>
      </c>
      <c r="H245" t="s">
        <v>1112</v>
      </c>
      <c r="I245">
        <f t="shared" ca="1" si="9"/>
        <v>0</v>
      </c>
      <c r="J245">
        <f t="shared" ca="1" si="10"/>
        <v>0</v>
      </c>
      <c r="K245">
        <f t="shared" ca="1" si="11"/>
        <v>0</v>
      </c>
      <c r="L245">
        <f t="shared" ca="1" si="12"/>
        <v>0</v>
      </c>
      <c r="M245">
        <f t="shared" ca="1" si="13"/>
        <v>0</v>
      </c>
      <c r="N245">
        <f t="shared" ca="1" si="14"/>
        <v>0</v>
      </c>
      <c r="O245">
        <f t="shared" ca="1" si="15"/>
        <v>0</v>
      </c>
      <c r="P245">
        <f t="shared" ca="1" si="16"/>
        <v>0</v>
      </c>
      <c r="Q245">
        <f t="shared" ca="1" si="17"/>
        <v>0</v>
      </c>
      <c r="R245">
        <f t="shared" ca="1" si="18"/>
        <v>0</v>
      </c>
      <c r="S245">
        <f t="shared" ca="1" si="19"/>
        <v>0</v>
      </c>
      <c r="T245">
        <f t="shared" ca="1" si="20"/>
        <v>0</v>
      </c>
      <c r="U245">
        <f t="shared" ca="1" si="21"/>
        <v>0</v>
      </c>
      <c r="V245">
        <f t="shared" ca="1" si="22"/>
        <v>0</v>
      </c>
      <c r="W245">
        <f t="shared" ca="1" si="23"/>
        <v>0</v>
      </c>
      <c r="X245">
        <f t="shared" ca="1" si="24"/>
        <v>0</v>
      </c>
      <c r="Y245">
        <f t="shared" ca="1" si="25"/>
        <v>0</v>
      </c>
      <c r="Z245">
        <f t="shared" ca="1" si="26"/>
        <v>0</v>
      </c>
      <c r="AA245">
        <f t="shared" ca="1" si="27"/>
        <v>0</v>
      </c>
      <c r="AB245">
        <f t="shared" ca="1" si="28"/>
        <v>0</v>
      </c>
      <c r="AC245">
        <f t="shared" ca="1" si="29"/>
        <v>0</v>
      </c>
      <c r="AD245">
        <f t="shared" ca="1" si="30"/>
        <v>0</v>
      </c>
      <c r="AE245">
        <f t="shared" ca="1" si="31"/>
        <v>0</v>
      </c>
      <c r="AF245">
        <f t="shared" ca="1" si="32"/>
        <v>0</v>
      </c>
      <c r="AG245">
        <f t="shared" ca="1" si="33"/>
        <v>0</v>
      </c>
      <c r="AH245">
        <f t="shared" ca="1" si="34"/>
        <v>0</v>
      </c>
      <c r="AI245">
        <f t="shared" ca="1" si="35"/>
        <v>0</v>
      </c>
      <c r="AJ245">
        <f t="shared" ca="1" si="36"/>
        <v>0</v>
      </c>
      <c r="AK245">
        <f t="shared" ca="1" si="37"/>
        <v>0</v>
      </c>
      <c r="AL245">
        <f t="shared" ca="1" si="38"/>
        <v>0</v>
      </c>
      <c r="AM245">
        <f t="shared" ca="1" si="39"/>
        <v>0</v>
      </c>
      <c r="AN245">
        <f t="shared" ca="1" si="40"/>
        <v>0</v>
      </c>
      <c r="AO245">
        <f t="shared" ca="1" si="41"/>
        <v>0</v>
      </c>
      <c r="AP245">
        <f t="shared" ca="1" si="42"/>
        <v>3.4886722562988828</v>
      </c>
    </row>
    <row r="246" spans="1:42" x14ac:dyDescent="0.2">
      <c r="A246" s="2" t="s">
        <v>213</v>
      </c>
      <c r="B246" s="2" t="str">
        <f>VLOOKUP(A246,'[14]Calculated coal req (reg.)'!$A$2:$B$599,2,FALSE)</f>
        <v>AMRAVATI TPS</v>
      </c>
      <c r="C246" s="2">
        <v>2.3744707541576302</v>
      </c>
      <c r="D246" s="2">
        <v>3.1914000000000002</v>
      </c>
      <c r="H246" t="s">
        <v>992</v>
      </c>
      <c r="I246">
        <f t="shared" ca="1" si="9"/>
        <v>0</v>
      </c>
      <c r="J246">
        <f t="shared" ca="1" si="10"/>
        <v>0</v>
      </c>
      <c r="K246">
        <f t="shared" ca="1" si="11"/>
        <v>0</v>
      </c>
      <c r="L246">
        <f t="shared" ca="1" si="12"/>
        <v>0</v>
      </c>
      <c r="M246">
        <f t="shared" ca="1" si="13"/>
        <v>0</v>
      </c>
      <c r="N246">
        <f t="shared" ca="1" si="14"/>
        <v>0</v>
      </c>
      <c r="O246">
        <f t="shared" ca="1" si="15"/>
        <v>0</v>
      </c>
      <c r="P246">
        <f t="shared" ca="1" si="16"/>
        <v>0</v>
      </c>
      <c r="Q246">
        <f t="shared" ca="1" si="17"/>
        <v>0</v>
      </c>
      <c r="R246">
        <f t="shared" ca="1" si="18"/>
        <v>0</v>
      </c>
      <c r="S246">
        <f t="shared" ca="1" si="19"/>
        <v>0</v>
      </c>
      <c r="T246">
        <f t="shared" ca="1" si="20"/>
        <v>0</v>
      </c>
      <c r="U246">
        <f t="shared" ca="1" si="21"/>
        <v>0</v>
      </c>
      <c r="V246">
        <f t="shared" ca="1" si="22"/>
        <v>0</v>
      </c>
      <c r="W246">
        <f t="shared" ca="1" si="23"/>
        <v>0</v>
      </c>
      <c r="X246">
        <f t="shared" ca="1" si="24"/>
        <v>0</v>
      </c>
      <c r="Y246">
        <f t="shared" ca="1" si="25"/>
        <v>0</v>
      </c>
      <c r="Z246">
        <f t="shared" ca="1" si="26"/>
        <v>0</v>
      </c>
      <c r="AA246">
        <f t="shared" ca="1" si="27"/>
        <v>0</v>
      </c>
      <c r="AB246">
        <f t="shared" ca="1" si="28"/>
        <v>0</v>
      </c>
      <c r="AC246">
        <f t="shared" ca="1" si="29"/>
        <v>0</v>
      </c>
      <c r="AD246">
        <f t="shared" ca="1" si="30"/>
        <v>0</v>
      </c>
      <c r="AE246">
        <f t="shared" ca="1" si="31"/>
        <v>0</v>
      </c>
      <c r="AF246">
        <f t="shared" ca="1" si="32"/>
        <v>0</v>
      </c>
      <c r="AG246">
        <f t="shared" ca="1" si="33"/>
        <v>0</v>
      </c>
      <c r="AH246">
        <f t="shared" ca="1" si="34"/>
        <v>0</v>
      </c>
      <c r="AI246">
        <f t="shared" ca="1" si="35"/>
        <v>0</v>
      </c>
      <c r="AJ246">
        <f t="shared" ca="1" si="36"/>
        <v>0</v>
      </c>
      <c r="AK246">
        <f t="shared" ca="1" si="37"/>
        <v>0</v>
      </c>
      <c r="AL246">
        <f t="shared" ca="1" si="38"/>
        <v>0</v>
      </c>
      <c r="AM246">
        <f t="shared" ca="1" si="39"/>
        <v>0</v>
      </c>
      <c r="AN246">
        <f t="shared" ca="1" si="40"/>
        <v>21.55498598311145</v>
      </c>
      <c r="AO246">
        <f t="shared" ca="1" si="41"/>
        <v>0</v>
      </c>
      <c r="AP246">
        <f t="shared" ca="1" si="42"/>
        <v>0</v>
      </c>
    </row>
    <row r="247" spans="1:42" x14ac:dyDescent="0.2">
      <c r="A247" s="2" t="s">
        <v>252</v>
      </c>
      <c r="B247" s="2" t="str">
        <f>VLOOKUP(A247,'[14]Calculated coal req (reg.)'!$A$2:$B$599,2,FALSE)</f>
        <v>ROSA TPP PH-I UNIT 1-2</v>
      </c>
      <c r="C247" s="2">
        <v>4.1355756758234499</v>
      </c>
      <c r="D247" s="2">
        <v>3.5459999999999998</v>
      </c>
      <c r="H247" t="s">
        <v>1016</v>
      </c>
      <c r="I247">
        <f t="shared" ca="1" si="9"/>
        <v>0</v>
      </c>
      <c r="J247">
        <f t="shared" ca="1" si="10"/>
        <v>0</v>
      </c>
      <c r="K247">
        <f t="shared" ca="1" si="11"/>
        <v>0</v>
      </c>
      <c r="L247">
        <f t="shared" ca="1" si="12"/>
        <v>0</v>
      </c>
      <c r="M247">
        <f t="shared" ca="1" si="13"/>
        <v>0</v>
      </c>
      <c r="N247">
        <f t="shared" ca="1" si="14"/>
        <v>0</v>
      </c>
      <c r="O247">
        <f t="shared" ca="1" si="15"/>
        <v>0</v>
      </c>
      <c r="P247">
        <f t="shared" ca="1" si="16"/>
        <v>0</v>
      </c>
      <c r="Q247">
        <f t="shared" ca="1" si="17"/>
        <v>0</v>
      </c>
      <c r="R247">
        <f t="shared" ca="1" si="18"/>
        <v>0</v>
      </c>
      <c r="S247">
        <f t="shared" ca="1" si="19"/>
        <v>0</v>
      </c>
      <c r="T247">
        <f t="shared" ca="1" si="20"/>
        <v>0</v>
      </c>
      <c r="U247">
        <f t="shared" ca="1" si="21"/>
        <v>0</v>
      </c>
      <c r="V247">
        <f t="shared" ca="1" si="22"/>
        <v>0</v>
      </c>
      <c r="W247">
        <f t="shared" ca="1" si="23"/>
        <v>0</v>
      </c>
      <c r="X247">
        <f t="shared" ca="1" si="24"/>
        <v>0</v>
      </c>
      <c r="Y247">
        <f t="shared" ca="1" si="25"/>
        <v>0</v>
      </c>
      <c r="Z247">
        <f t="shared" ca="1" si="26"/>
        <v>0</v>
      </c>
      <c r="AA247">
        <f t="shared" ca="1" si="27"/>
        <v>0</v>
      </c>
      <c r="AB247">
        <f t="shared" ca="1" si="28"/>
        <v>0</v>
      </c>
      <c r="AC247">
        <f t="shared" ca="1" si="29"/>
        <v>0</v>
      </c>
      <c r="AD247">
        <f t="shared" ca="1" si="30"/>
        <v>0</v>
      </c>
      <c r="AE247">
        <f t="shared" ca="1" si="31"/>
        <v>0</v>
      </c>
      <c r="AF247">
        <f t="shared" ca="1" si="32"/>
        <v>0</v>
      </c>
      <c r="AG247">
        <f t="shared" ca="1" si="33"/>
        <v>0</v>
      </c>
      <c r="AH247">
        <f t="shared" ca="1" si="34"/>
        <v>0</v>
      </c>
      <c r="AI247">
        <f t="shared" ca="1" si="35"/>
        <v>10.154854292203408</v>
      </c>
      <c r="AJ247">
        <f t="shared" ca="1" si="36"/>
        <v>0</v>
      </c>
      <c r="AK247">
        <f t="shared" ca="1" si="37"/>
        <v>7.3353660201194941</v>
      </c>
      <c r="AL247">
        <f t="shared" ca="1" si="38"/>
        <v>0</v>
      </c>
      <c r="AM247">
        <f t="shared" ca="1" si="39"/>
        <v>0</v>
      </c>
      <c r="AN247">
        <f t="shared" ca="1" si="40"/>
        <v>0</v>
      </c>
      <c r="AO247">
        <f t="shared" ca="1" si="41"/>
        <v>0</v>
      </c>
      <c r="AP247">
        <f t="shared" ca="1" si="42"/>
        <v>0</v>
      </c>
    </row>
    <row r="248" spans="1:42" x14ac:dyDescent="0.2">
      <c r="A248" s="2" t="s">
        <v>254</v>
      </c>
      <c r="B248" s="2" t="str">
        <f>VLOOKUP(A248,'[14]Calculated coal req (reg.)'!$A$2:$B$599,2,FALSE)</f>
        <v>PATHADI TPS</v>
      </c>
      <c r="C248" s="2">
        <v>5.1927271951596596</v>
      </c>
      <c r="D248" s="2">
        <v>3.5459999999999998</v>
      </c>
      <c r="H248" t="s">
        <v>1090</v>
      </c>
      <c r="I248">
        <f t="shared" ca="1" si="9"/>
        <v>0</v>
      </c>
      <c r="J248">
        <f t="shared" ca="1" si="10"/>
        <v>0</v>
      </c>
      <c r="K248">
        <f t="shared" ca="1" si="11"/>
        <v>0</v>
      </c>
      <c r="L248">
        <f t="shared" ca="1" si="12"/>
        <v>0.22222723253757642</v>
      </c>
      <c r="M248">
        <f t="shared" ca="1" si="13"/>
        <v>0</v>
      </c>
      <c r="N248">
        <f t="shared" ca="1" si="14"/>
        <v>0</v>
      </c>
      <c r="O248">
        <f t="shared" ca="1" si="15"/>
        <v>0</v>
      </c>
      <c r="P248">
        <f t="shared" ca="1" si="16"/>
        <v>0</v>
      </c>
      <c r="Q248">
        <f t="shared" ca="1" si="17"/>
        <v>0</v>
      </c>
      <c r="R248">
        <f t="shared" ca="1" si="18"/>
        <v>0</v>
      </c>
      <c r="S248">
        <f t="shared" ca="1" si="19"/>
        <v>0</v>
      </c>
      <c r="T248">
        <f t="shared" ca="1" si="20"/>
        <v>0</v>
      </c>
      <c r="U248">
        <f t="shared" ca="1" si="21"/>
        <v>0</v>
      </c>
      <c r="V248">
        <f t="shared" ca="1" si="22"/>
        <v>0</v>
      </c>
      <c r="W248">
        <f t="shared" ca="1" si="23"/>
        <v>0</v>
      </c>
      <c r="X248">
        <f t="shared" ca="1" si="24"/>
        <v>0</v>
      </c>
      <c r="Y248">
        <f t="shared" ca="1" si="25"/>
        <v>0</v>
      </c>
      <c r="Z248">
        <f t="shared" ca="1" si="26"/>
        <v>0</v>
      </c>
      <c r="AA248">
        <f t="shared" ca="1" si="27"/>
        <v>0</v>
      </c>
      <c r="AB248">
        <f t="shared" ca="1" si="28"/>
        <v>0</v>
      </c>
      <c r="AC248">
        <f t="shared" ca="1" si="29"/>
        <v>0</v>
      </c>
      <c r="AD248">
        <f t="shared" ca="1" si="30"/>
        <v>0</v>
      </c>
      <c r="AE248">
        <f t="shared" ca="1" si="31"/>
        <v>0</v>
      </c>
      <c r="AF248">
        <f t="shared" ca="1" si="32"/>
        <v>0</v>
      </c>
      <c r="AG248">
        <f t="shared" ca="1" si="33"/>
        <v>0</v>
      </c>
      <c r="AH248">
        <f t="shared" ca="1" si="34"/>
        <v>0</v>
      </c>
      <c r="AI248">
        <f t="shared" ca="1" si="35"/>
        <v>0</v>
      </c>
      <c r="AJ248">
        <f t="shared" ca="1" si="36"/>
        <v>0</v>
      </c>
      <c r="AK248">
        <f t="shared" ca="1" si="37"/>
        <v>0</v>
      </c>
      <c r="AL248">
        <f t="shared" ca="1" si="38"/>
        <v>0</v>
      </c>
      <c r="AM248">
        <f t="shared" ca="1" si="39"/>
        <v>0</v>
      </c>
      <c r="AN248">
        <f t="shared" ca="1" si="40"/>
        <v>0</v>
      </c>
      <c r="AO248">
        <f t="shared" ca="1" si="41"/>
        <v>0</v>
      </c>
      <c r="AP248">
        <f t="shared" ca="1" si="42"/>
        <v>0</v>
      </c>
    </row>
    <row r="249" spans="1:42" x14ac:dyDescent="0.2">
      <c r="A249" s="2" t="s">
        <v>206</v>
      </c>
      <c r="B249" s="2" t="str">
        <f>VLOOKUP(A249,'[14]Calculated coal req (reg.)'!$A$2:$B$599,2,FALSE)</f>
        <v>NABI NAGAR TPP</v>
      </c>
      <c r="C249" s="2">
        <v>4.1204956376573598</v>
      </c>
      <c r="D249" s="2">
        <v>2.9550000000000001</v>
      </c>
      <c r="H249" t="s">
        <v>998</v>
      </c>
      <c r="I249">
        <f t="shared" ca="1" si="9"/>
        <v>0</v>
      </c>
      <c r="J249">
        <f t="shared" ca="1" si="10"/>
        <v>0</v>
      </c>
      <c r="K249">
        <f t="shared" ca="1" si="11"/>
        <v>0</v>
      </c>
      <c r="L249">
        <f t="shared" ca="1" si="12"/>
        <v>20.156106458248857</v>
      </c>
      <c r="M249">
        <f t="shared" ca="1" si="13"/>
        <v>0</v>
      </c>
      <c r="N249">
        <f t="shared" ca="1" si="14"/>
        <v>0</v>
      </c>
      <c r="O249">
        <f t="shared" ca="1" si="15"/>
        <v>0</v>
      </c>
      <c r="P249">
        <f t="shared" ca="1" si="16"/>
        <v>0</v>
      </c>
      <c r="Q249">
        <f t="shared" ca="1" si="17"/>
        <v>0</v>
      </c>
      <c r="R249">
        <f t="shared" ca="1" si="18"/>
        <v>0</v>
      </c>
      <c r="S249">
        <f t="shared" ca="1" si="19"/>
        <v>0</v>
      </c>
      <c r="T249">
        <f t="shared" ca="1" si="20"/>
        <v>0</v>
      </c>
      <c r="U249">
        <f t="shared" ca="1" si="21"/>
        <v>0</v>
      </c>
      <c r="V249">
        <f t="shared" ca="1" si="22"/>
        <v>0</v>
      </c>
      <c r="W249">
        <f t="shared" ca="1" si="23"/>
        <v>1.666184193677035</v>
      </c>
      <c r="X249">
        <f t="shared" ca="1" si="24"/>
        <v>0</v>
      </c>
      <c r="Y249">
        <f t="shared" ca="1" si="25"/>
        <v>0</v>
      </c>
      <c r="Z249">
        <f t="shared" ca="1" si="26"/>
        <v>0</v>
      </c>
      <c r="AA249">
        <f t="shared" ca="1" si="27"/>
        <v>0</v>
      </c>
      <c r="AB249">
        <f t="shared" ca="1" si="28"/>
        <v>0</v>
      </c>
      <c r="AC249">
        <f t="shared" ca="1" si="29"/>
        <v>0</v>
      </c>
      <c r="AD249">
        <f t="shared" ca="1" si="30"/>
        <v>0</v>
      </c>
      <c r="AE249">
        <f t="shared" ca="1" si="31"/>
        <v>0</v>
      </c>
      <c r="AF249">
        <f t="shared" ca="1" si="32"/>
        <v>2.4512408831444072</v>
      </c>
      <c r="AG249">
        <f t="shared" ca="1" si="33"/>
        <v>0</v>
      </c>
      <c r="AH249">
        <f t="shared" ca="1" si="34"/>
        <v>0</v>
      </c>
      <c r="AI249">
        <f t="shared" ca="1" si="35"/>
        <v>0</v>
      </c>
      <c r="AJ249">
        <f t="shared" ca="1" si="36"/>
        <v>0.3080132937624519</v>
      </c>
      <c r="AK249">
        <f t="shared" ca="1" si="37"/>
        <v>0</v>
      </c>
      <c r="AL249">
        <f t="shared" ca="1" si="38"/>
        <v>0.17057741332394888</v>
      </c>
      <c r="AM249">
        <f t="shared" ca="1" si="39"/>
        <v>0</v>
      </c>
      <c r="AN249">
        <f t="shared" ca="1" si="40"/>
        <v>0</v>
      </c>
      <c r="AO249">
        <f t="shared" ca="1" si="41"/>
        <v>0</v>
      </c>
      <c r="AP249">
        <f t="shared" ca="1" si="42"/>
        <v>0</v>
      </c>
    </row>
    <row r="250" spans="1:42" x14ac:dyDescent="0.2">
      <c r="A250" s="2" t="s">
        <v>207</v>
      </c>
      <c r="B250" s="2" t="str">
        <f>VLOOKUP(A250,'[14]Calculated coal req (reg.)'!$A$2:$B$599,2,FALSE)</f>
        <v>PARLI TPS UNIT 8</v>
      </c>
      <c r="C250" s="2">
        <v>3.0476580397972999</v>
      </c>
      <c r="D250" s="2">
        <v>2.9550000000000001</v>
      </c>
      <c r="H250" t="s">
        <v>1113</v>
      </c>
      <c r="I250">
        <f t="shared" ca="1" si="9"/>
        <v>0</v>
      </c>
      <c r="J250">
        <f t="shared" ca="1" si="10"/>
        <v>0</v>
      </c>
      <c r="K250">
        <f t="shared" ca="1" si="11"/>
        <v>0</v>
      </c>
      <c r="L250">
        <f t="shared" ca="1" si="12"/>
        <v>0</v>
      </c>
      <c r="M250">
        <f t="shared" ca="1" si="13"/>
        <v>0</v>
      </c>
      <c r="N250">
        <f t="shared" ca="1" si="14"/>
        <v>0</v>
      </c>
      <c r="O250">
        <f t="shared" ca="1" si="15"/>
        <v>0</v>
      </c>
      <c r="P250">
        <f t="shared" ca="1" si="16"/>
        <v>0</v>
      </c>
      <c r="Q250">
        <f t="shared" ca="1" si="17"/>
        <v>0</v>
      </c>
      <c r="R250">
        <f t="shared" ca="1" si="18"/>
        <v>0</v>
      </c>
      <c r="S250">
        <f t="shared" ca="1" si="19"/>
        <v>0</v>
      </c>
      <c r="T250">
        <f t="shared" ca="1" si="20"/>
        <v>0</v>
      </c>
      <c r="U250">
        <f t="shared" ca="1" si="21"/>
        <v>0</v>
      </c>
      <c r="V250">
        <f t="shared" ca="1" si="22"/>
        <v>0</v>
      </c>
      <c r="W250">
        <f t="shared" ca="1" si="23"/>
        <v>0</v>
      </c>
      <c r="X250">
        <f t="shared" ca="1" si="24"/>
        <v>0</v>
      </c>
      <c r="Y250">
        <f t="shared" ca="1" si="25"/>
        <v>0</v>
      </c>
      <c r="Z250">
        <f t="shared" ca="1" si="26"/>
        <v>0</v>
      </c>
      <c r="AA250">
        <f t="shared" ca="1" si="27"/>
        <v>0</v>
      </c>
      <c r="AB250">
        <f t="shared" ca="1" si="28"/>
        <v>0</v>
      </c>
      <c r="AC250">
        <f t="shared" ca="1" si="29"/>
        <v>0</v>
      </c>
      <c r="AD250">
        <f t="shared" ca="1" si="30"/>
        <v>0</v>
      </c>
      <c r="AE250">
        <f t="shared" ca="1" si="31"/>
        <v>0</v>
      </c>
      <c r="AF250">
        <f t="shared" ca="1" si="32"/>
        <v>0</v>
      </c>
      <c r="AG250">
        <f t="shared" ca="1" si="33"/>
        <v>0</v>
      </c>
      <c r="AH250">
        <f t="shared" ca="1" si="34"/>
        <v>0</v>
      </c>
      <c r="AI250">
        <f t="shared" ca="1" si="35"/>
        <v>0</v>
      </c>
      <c r="AJ250">
        <f t="shared" ca="1" si="36"/>
        <v>0</v>
      </c>
      <c r="AK250">
        <f t="shared" ca="1" si="37"/>
        <v>0</v>
      </c>
      <c r="AL250">
        <f t="shared" ca="1" si="38"/>
        <v>0</v>
      </c>
      <c r="AM250">
        <f t="shared" ca="1" si="39"/>
        <v>0</v>
      </c>
      <c r="AN250">
        <f t="shared" ca="1" si="40"/>
        <v>0.33066408602150499</v>
      </c>
      <c r="AO250">
        <f t="shared" ca="1" si="41"/>
        <v>0</v>
      </c>
      <c r="AP250">
        <f t="shared" ca="1" si="42"/>
        <v>0</v>
      </c>
    </row>
    <row r="251" spans="1:42" x14ac:dyDescent="0.2">
      <c r="A251" s="2" t="s">
        <v>257</v>
      </c>
      <c r="B251" s="2" t="str">
        <f>VLOOKUP(A251,'[14]Calculated coal req (reg.)'!$A$2:$B$599,2,FALSE)</f>
        <v>ROSA TPP PH-I UNIT 1-2</v>
      </c>
      <c r="C251" s="2">
        <v>3.8772071014217802</v>
      </c>
      <c r="D251" s="2">
        <v>3.5459999999999998</v>
      </c>
      <c r="H251" t="s">
        <v>1185</v>
      </c>
      <c r="I251">
        <f t="shared" ca="1" si="9"/>
        <v>0</v>
      </c>
      <c r="J251">
        <f t="shared" ca="1" si="10"/>
        <v>0</v>
      </c>
      <c r="K251">
        <f t="shared" ca="1" si="11"/>
        <v>0</v>
      </c>
      <c r="L251">
        <f t="shared" ca="1" si="12"/>
        <v>0</v>
      </c>
      <c r="M251">
        <f t="shared" ca="1" si="13"/>
        <v>0</v>
      </c>
      <c r="N251">
        <f t="shared" ca="1" si="14"/>
        <v>0</v>
      </c>
      <c r="O251">
        <f t="shared" ca="1" si="15"/>
        <v>0</v>
      </c>
      <c r="P251">
        <f t="shared" ca="1" si="16"/>
        <v>0</v>
      </c>
      <c r="Q251">
        <f t="shared" ca="1" si="17"/>
        <v>0</v>
      </c>
      <c r="R251">
        <f t="shared" ca="1" si="18"/>
        <v>0</v>
      </c>
      <c r="S251">
        <f t="shared" ca="1" si="19"/>
        <v>0</v>
      </c>
      <c r="T251">
        <f t="shared" ca="1" si="20"/>
        <v>0</v>
      </c>
      <c r="U251">
        <f t="shared" ca="1" si="21"/>
        <v>0</v>
      </c>
      <c r="V251">
        <f t="shared" ca="1" si="22"/>
        <v>0</v>
      </c>
      <c r="W251">
        <f t="shared" ca="1" si="23"/>
        <v>0</v>
      </c>
      <c r="X251">
        <f t="shared" ca="1" si="24"/>
        <v>0</v>
      </c>
      <c r="Y251">
        <f t="shared" ca="1" si="25"/>
        <v>0</v>
      </c>
      <c r="Z251">
        <f t="shared" ca="1" si="26"/>
        <v>0</v>
      </c>
      <c r="AA251">
        <f t="shared" ca="1" si="27"/>
        <v>0</v>
      </c>
      <c r="AB251">
        <f t="shared" ca="1" si="28"/>
        <v>0</v>
      </c>
      <c r="AC251">
        <f t="shared" ca="1" si="29"/>
        <v>0</v>
      </c>
      <c r="AD251">
        <f t="shared" ca="1" si="30"/>
        <v>0</v>
      </c>
      <c r="AE251">
        <f t="shared" ca="1" si="31"/>
        <v>0</v>
      </c>
      <c r="AF251">
        <f t="shared" ca="1" si="32"/>
        <v>0</v>
      </c>
      <c r="AG251">
        <f t="shared" ca="1" si="33"/>
        <v>0</v>
      </c>
      <c r="AH251">
        <f t="shared" ca="1" si="34"/>
        <v>0</v>
      </c>
      <c r="AI251">
        <f t="shared" ca="1" si="35"/>
        <v>0</v>
      </c>
      <c r="AJ251">
        <f t="shared" ca="1" si="36"/>
        <v>0</v>
      </c>
      <c r="AK251">
        <f t="shared" ca="1" si="37"/>
        <v>0</v>
      </c>
      <c r="AL251">
        <f t="shared" ca="1" si="38"/>
        <v>0</v>
      </c>
      <c r="AM251">
        <f t="shared" ca="1" si="39"/>
        <v>0</v>
      </c>
      <c r="AN251">
        <f t="shared" ca="1" si="40"/>
        <v>0</v>
      </c>
      <c r="AO251">
        <f t="shared" ca="1" si="41"/>
        <v>0</v>
      </c>
      <c r="AP251">
        <f t="shared" ca="1" si="42"/>
        <v>0</v>
      </c>
    </row>
    <row r="252" spans="1:42" x14ac:dyDescent="0.2">
      <c r="A252" s="2" t="s">
        <v>222</v>
      </c>
      <c r="B252" s="2" t="str">
        <f>VLOOKUP(A252,'[14]Calculated coal req (reg.)'!$A$2:$B$599,2,FALSE)</f>
        <v>AMRAVATI TPS</v>
      </c>
      <c r="C252" s="2">
        <v>2.68161387098103</v>
      </c>
      <c r="D252" s="2">
        <v>3.1914000000000002</v>
      </c>
      <c r="H252" t="s">
        <v>1058</v>
      </c>
      <c r="I252">
        <f t="shared" ca="1" si="9"/>
        <v>0</v>
      </c>
      <c r="J252">
        <f t="shared" ca="1" si="10"/>
        <v>0</v>
      </c>
      <c r="K252">
        <f t="shared" ca="1" si="11"/>
        <v>0</v>
      </c>
      <c r="L252">
        <f t="shared" ca="1" si="12"/>
        <v>0</v>
      </c>
      <c r="M252">
        <f t="shared" ca="1" si="13"/>
        <v>0</v>
      </c>
      <c r="N252">
        <f t="shared" ca="1" si="14"/>
        <v>0</v>
      </c>
      <c r="O252">
        <f t="shared" ca="1" si="15"/>
        <v>0</v>
      </c>
      <c r="P252">
        <f t="shared" ca="1" si="16"/>
        <v>0</v>
      </c>
      <c r="Q252">
        <f t="shared" ca="1" si="17"/>
        <v>0</v>
      </c>
      <c r="R252">
        <f t="shared" ca="1" si="18"/>
        <v>0</v>
      </c>
      <c r="S252">
        <f t="shared" ca="1" si="19"/>
        <v>0</v>
      </c>
      <c r="T252">
        <f t="shared" ca="1" si="20"/>
        <v>0</v>
      </c>
      <c r="U252">
        <f t="shared" ca="1" si="21"/>
        <v>0</v>
      </c>
      <c r="V252">
        <f t="shared" ca="1" si="22"/>
        <v>0</v>
      </c>
      <c r="W252">
        <f t="shared" ca="1" si="23"/>
        <v>0</v>
      </c>
      <c r="X252">
        <f t="shared" ca="1" si="24"/>
        <v>3.9527235102494802</v>
      </c>
      <c r="Y252">
        <f t="shared" ca="1" si="25"/>
        <v>0</v>
      </c>
      <c r="Z252">
        <f t="shared" ca="1" si="26"/>
        <v>0</v>
      </c>
      <c r="AA252">
        <f t="shared" ca="1" si="27"/>
        <v>0</v>
      </c>
      <c r="AB252">
        <f t="shared" ca="1" si="28"/>
        <v>0</v>
      </c>
      <c r="AC252">
        <f t="shared" ca="1" si="29"/>
        <v>0</v>
      </c>
      <c r="AD252">
        <f t="shared" ca="1" si="30"/>
        <v>0</v>
      </c>
      <c r="AE252">
        <f t="shared" ca="1" si="31"/>
        <v>0</v>
      </c>
      <c r="AF252">
        <f t="shared" ca="1" si="32"/>
        <v>0</v>
      </c>
      <c r="AG252">
        <f t="shared" ca="1" si="33"/>
        <v>0</v>
      </c>
      <c r="AH252">
        <f t="shared" ca="1" si="34"/>
        <v>0</v>
      </c>
      <c r="AI252">
        <f t="shared" ca="1" si="35"/>
        <v>0</v>
      </c>
      <c r="AJ252">
        <f t="shared" ca="1" si="36"/>
        <v>0</v>
      </c>
      <c r="AK252">
        <f t="shared" ca="1" si="37"/>
        <v>0</v>
      </c>
      <c r="AL252">
        <f t="shared" ca="1" si="38"/>
        <v>0</v>
      </c>
      <c r="AM252">
        <f t="shared" ca="1" si="39"/>
        <v>0</v>
      </c>
      <c r="AN252">
        <f t="shared" ca="1" si="40"/>
        <v>0</v>
      </c>
      <c r="AO252">
        <f t="shared" ca="1" si="41"/>
        <v>0</v>
      </c>
      <c r="AP252">
        <f t="shared" ca="1" si="42"/>
        <v>0</v>
      </c>
    </row>
    <row r="253" spans="1:42" x14ac:dyDescent="0.2">
      <c r="A253" s="2" t="s">
        <v>235</v>
      </c>
      <c r="B253" s="2" t="str">
        <f>VLOOKUP(A253,'[14]Calculated coal req (reg.)'!$A$2:$B$599,2,FALSE)</f>
        <v>MAHADEV PRASAD STPP</v>
      </c>
      <c r="C253" s="2">
        <v>2.8430944202199901</v>
      </c>
      <c r="D253" s="2">
        <v>3.1914000000000002</v>
      </c>
      <c r="H253" t="s">
        <v>1041</v>
      </c>
      <c r="I253">
        <f t="shared" ca="1" si="9"/>
        <v>0</v>
      </c>
      <c r="J253">
        <f t="shared" ca="1" si="10"/>
        <v>0</v>
      </c>
      <c r="K253">
        <f t="shared" ca="1" si="11"/>
        <v>0</v>
      </c>
      <c r="L253">
        <f t="shared" ca="1" si="12"/>
        <v>0</v>
      </c>
      <c r="M253">
        <f t="shared" ca="1" si="13"/>
        <v>0</v>
      </c>
      <c r="N253">
        <f t="shared" ca="1" si="14"/>
        <v>0</v>
      </c>
      <c r="O253">
        <f t="shared" ca="1" si="15"/>
        <v>0</v>
      </c>
      <c r="P253">
        <f t="shared" ca="1" si="16"/>
        <v>0</v>
      </c>
      <c r="Q253">
        <f t="shared" ca="1" si="17"/>
        <v>0</v>
      </c>
      <c r="R253">
        <f t="shared" ca="1" si="18"/>
        <v>0</v>
      </c>
      <c r="S253">
        <f t="shared" ca="1" si="19"/>
        <v>0</v>
      </c>
      <c r="T253">
        <f t="shared" ca="1" si="20"/>
        <v>0</v>
      </c>
      <c r="U253">
        <f t="shared" ca="1" si="21"/>
        <v>0</v>
      </c>
      <c r="V253">
        <f t="shared" ca="1" si="22"/>
        <v>0</v>
      </c>
      <c r="W253">
        <f t="shared" ca="1" si="23"/>
        <v>0</v>
      </c>
      <c r="X253">
        <f t="shared" ca="1" si="24"/>
        <v>5.2037938662005301</v>
      </c>
      <c r="Y253">
        <f t="shared" ca="1" si="25"/>
        <v>0</v>
      </c>
      <c r="Z253">
        <f t="shared" ca="1" si="26"/>
        <v>0</v>
      </c>
      <c r="AA253">
        <f t="shared" ca="1" si="27"/>
        <v>0</v>
      </c>
      <c r="AB253">
        <f t="shared" ca="1" si="28"/>
        <v>0</v>
      </c>
      <c r="AC253">
        <f t="shared" ca="1" si="29"/>
        <v>0</v>
      </c>
      <c r="AD253">
        <f t="shared" ca="1" si="30"/>
        <v>0</v>
      </c>
      <c r="AE253">
        <f t="shared" ca="1" si="31"/>
        <v>0</v>
      </c>
      <c r="AF253">
        <f t="shared" ca="1" si="32"/>
        <v>0</v>
      </c>
      <c r="AG253">
        <f t="shared" ca="1" si="33"/>
        <v>0</v>
      </c>
      <c r="AH253">
        <f t="shared" ca="1" si="34"/>
        <v>0</v>
      </c>
      <c r="AI253">
        <f t="shared" ca="1" si="35"/>
        <v>0</v>
      </c>
      <c r="AJ253">
        <f t="shared" ca="1" si="36"/>
        <v>0</v>
      </c>
      <c r="AK253">
        <f t="shared" ca="1" si="37"/>
        <v>0</v>
      </c>
      <c r="AL253">
        <f t="shared" ca="1" si="38"/>
        <v>0</v>
      </c>
      <c r="AM253">
        <f t="shared" ca="1" si="39"/>
        <v>0</v>
      </c>
      <c r="AN253">
        <f t="shared" ca="1" si="40"/>
        <v>0</v>
      </c>
      <c r="AO253">
        <f t="shared" ca="1" si="41"/>
        <v>0</v>
      </c>
      <c r="AP253">
        <f t="shared" ca="1" si="42"/>
        <v>0</v>
      </c>
    </row>
    <row r="254" spans="1:42" x14ac:dyDescent="0.2">
      <c r="A254" s="2" t="s">
        <v>261</v>
      </c>
      <c r="B254" s="2" t="str">
        <f>VLOOKUP(A254,'[14]Calculated coal req (reg.)'!$A$2:$B$599,2,FALSE)</f>
        <v>PATHADI TPS</v>
      </c>
      <c r="C254" s="2">
        <v>5.4394364381656297</v>
      </c>
      <c r="D254" s="2">
        <v>3.5459999999999998</v>
      </c>
      <c r="H254" t="s">
        <v>983</v>
      </c>
      <c r="I254">
        <f t="shared" ca="1" si="9"/>
        <v>0</v>
      </c>
      <c r="J254">
        <f t="shared" ca="1" si="10"/>
        <v>0</v>
      </c>
      <c r="K254">
        <f t="shared" ca="1" si="11"/>
        <v>0</v>
      </c>
      <c r="L254">
        <f t="shared" ca="1" si="12"/>
        <v>0</v>
      </c>
      <c r="M254">
        <f t="shared" ca="1" si="13"/>
        <v>0</v>
      </c>
      <c r="N254">
        <f t="shared" ca="1" si="14"/>
        <v>0</v>
      </c>
      <c r="O254">
        <f t="shared" ca="1" si="15"/>
        <v>0</v>
      </c>
      <c r="P254">
        <f t="shared" ca="1" si="16"/>
        <v>0</v>
      </c>
      <c r="Q254">
        <f t="shared" ca="1" si="17"/>
        <v>0</v>
      </c>
      <c r="R254">
        <f t="shared" ca="1" si="18"/>
        <v>0</v>
      </c>
      <c r="S254">
        <f t="shared" ca="1" si="19"/>
        <v>0</v>
      </c>
      <c r="T254">
        <f t="shared" ca="1" si="20"/>
        <v>0</v>
      </c>
      <c r="U254">
        <f t="shared" ca="1" si="21"/>
        <v>0</v>
      </c>
      <c r="V254">
        <f t="shared" ca="1" si="22"/>
        <v>0</v>
      </c>
      <c r="W254">
        <f t="shared" ca="1" si="23"/>
        <v>0</v>
      </c>
      <c r="X254">
        <f t="shared" ca="1" si="24"/>
        <v>2.8541688533997198</v>
      </c>
      <c r="Y254">
        <f t="shared" ca="1" si="25"/>
        <v>0</v>
      </c>
      <c r="Z254">
        <f t="shared" ca="1" si="26"/>
        <v>0</v>
      </c>
      <c r="AA254">
        <f t="shared" ca="1" si="27"/>
        <v>0</v>
      </c>
      <c r="AB254">
        <f t="shared" ca="1" si="28"/>
        <v>0</v>
      </c>
      <c r="AC254">
        <f t="shared" ca="1" si="29"/>
        <v>0</v>
      </c>
      <c r="AD254">
        <f t="shared" ca="1" si="30"/>
        <v>0</v>
      </c>
      <c r="AE254">
        <f t="shared" ca="1" si="31"/>
        <v>0</v>
      </c>
      <c r="AF254">
        <f t="shared" ca="1" si="32"/>
        <v>0</v>
      </c>
      <c r="AG254">
        <f t="shared" ca="1" si="33"/>
        <v>0</v>
      </c>
      <c r="AH254">
        <f t="shared" ca="1" si="34"/>
        <v>0</v>
      </c>
      <c r="AI254">
        <f t="shared" ca="1" si="35"/>
        <v>0</v>
      </c>
      <c r="AJ254">
        <f t="shared" ca="1" si="36"/>
        <v>0</v>
      </c>
      <c r="AK254">
        <f t="shared" ca="1" si="37"/>
        <v>0</v>
      </c>
      <c r="AL254">
        <f t="shared" ca="1" si="38"/>
        <v>0</v>
      </c>
      <c r="AM254">
        <f t="shared" ca="1" si="39"/>
        <v>0</v>
      </c>
      <c r="AN254">
        <f t="shared" ca="1" si="40"/>
        <v>0</v>
      </c>
      <c r="AO254">
        <f t="shared" ca="1" si="41"/>
        <v>0</v>
      </c>
      <c r="AP254">
        <f t="shared" ca="1" si="42"/>
        <v>0</v>
      </c>
    </row>
    <row r="255" spans="1:42" x14ac:dyDescent="0.2">
      <c r="A255" s="2" t="s">
        <v>238</v>
      </c>
      <c r="B255" s="2" t="str">
        <f>VLOOKUP(A255,'[14]Calculated coal req (reg.)'!$A$2:$B$599,2,FALSE)</f>
        <v>MAHADEV PRASAD STPP</v>
      </c>
      <c r="C255" s="2">
        <v>4.82982407456256</v>
      </c>
      <c r="D255" s="2">
        <v>3.1914000000000002</v>
      </c>
      <c r="H255" t="s">
        <v>1186</v>
      </c>
      <c r="I255">
        <f t="shared" ca="1" si="9"/>
        <v>0</v>
      </c>
      <c r="J255">
        <f t="shared" ca="1" si="10"/>
        <v>0</v>
      </c>
      <c r="K255">
        <f t="shared" ca="1" si="11"/>
        <v>0</v>
      </c>
      <c r="L255">
        <f t="shared" ca="1" si="12"/>
        <v>0</v>
      </c>
      <c r="M255">
        <f t="shared" ca="1" si="13"/>
        <v>0</v>
      </c>
      <c r="N255">
        <f t="shared" ca="1" si="14"/>
        <v>0</v>
      </c>
      <c r="O255">
        <f t="shared" ca="1" si="15"/>
        <v>0</v>
      </c>
      <c r="P255">
        <f t="shared" ca="1" si="16"/>
        <v>0</v>
      </c>
      <c r="Q255">
        <f t="shared" ca="1" si="17"/>
        <v>0</v>
      </c>
      <c r="R255">
        <f t="shared" ca="1" si="18"/>
        <v>0</v>
      </c>
      <c r="S255">
        <f t="shared" ca="1" si="19"/>
        <v>0</v>
      </c>
      <c r="T255">
        <f t="shared" ca="1" si="20"/>
        <v>0</v>
      </c>
      <c r="U255">
        <f t="shared" ca="1" si="21"/>
        <v>0</v>
      </c>
      <c r="V255">
        <f t="shared" ca="1" si="22"/>
        <v>0</v>
      </c>
      <c r="W255">
        <f t="shared" ca="1" si="23"/>
        <v>0</v>
      </c>
      <c r="X255">
        <f t="shared" ca="1" si="24"/>
        <v>0</v>
      </c>
      <c r="Y255">
        <f t="shared" ca="1" si="25"/>
        <v>0</v>
      </c>
      <c r="Z255">
        <f t="shared" ca="1" si="26"/>
        <v>0</v>
      </c>
      <c r="AA255">
        <f t="shared" ca="1" si="27"/>
        <v>0</v>
      </c>
      <c r="AB255">
        <f t="shared" ca="1" si="28"/>
        <v>0</v>
      </c>
      <c r="AC255">
        <f t="shared" ca="1" si="29"/>
        <v>0</v>
      </c>
      <c r="AD255">
        <f t="shared" ca="1" si="30"/>
        <v>0</v>
      </c>
      <c r="AE255">
        <f t="shared" ca="1" si="31"/>
        <v>0</v>
      </c>
      <c r="AF255">
        <f t="shared" ca="1" si="32"/>
        <v>0</v>
      </c>
      <c r="AG255">
        <f t="shared" ca="1" si="33"/>
        <v>0</v>
      </c>
      <c r="AH255">
        <f t="shared" ca="1" si="34"/>
        <v>0</v>
      </c>
      <c r="AI255">
        <f t="shared" ca="1" si="35"/>
        <v>0</v>
      </c>
      <c r="AJ255">
        <f t="shared" ca="1" si="36"/>
        <v>0</v>
      </c>
      <c r="AK255">
        <f t="shared" ca="1" si="37"/>
        <v>0</v>
      </c>
      <c r="AL255">
        <f t="shared" ca="1" si="38"/>
        <v>0</v>
      </c>
      <c r="AM255">
        <f t="shared" ca="1" si="39"/>
        <v>0</v>
      </c>
      <c r="AN255">
        <f t="shared" ca="1" si="40"/>
        <v>0</v>
      </c>
      <c r="AO255">
        <f t="shared" ca="1" si="41"/>
        <v>0</v>
      </c>
      <c r="AP255">
        <f t="shared" ca="1" si="42"/>
        <v>0</v>
      </c>
    </row>
    <row r="256" spans="1:42" x14ac:dyDescent="0.2">
      <c r="A256" s="2" t="s">
        <v>217</v>
      </c>
      <c r="B256" s="2" t="str">
        <f>VLOOKUP(A256,'[14]Calculated coal req (reg.)'!$A$2:$B$599,2,FALSE)</f>
        <v>BONGAIGAON TPS</v>
      </c>
      <c r="C256" s="2">
        <v>3.9807899540195701</v>
      </c>
      <c r="D256" s="2">
        <v>2.9550000000000001</v>
      </c>
      <c r="H256" t="s">
        <v>1114</v>
      </c>
      <c r="I256">
        <f t="shared" ca="1" si="9"/>
        <v>0</v>
      </c>
      <c r="J256">
        <f t="shared" ca="1" si="10"/>
        <v>0</v>
      </c>
      <c r="K256">
        <f t="shared" ca="1" si="11"/>
        <v>0</v>
      </c>
      <c r="L256">
        <f t="shared" ca="1" si="12"/>
        <v>0</v>
      </c>
      <c r="M256">
        <f t="shared" ca="1" si="13"/>
        <v>0</v>
      </c>
      <c r="N256">
        <f t="shared" ca="1" si="14"/>
        <v>1.4987981342712962</v>
      </c>
      <c r="O256">
        <f t="shared" ca="1" si="15"/>
        <v>4.0810435849672642</v>
      </c>
      <c r="P256">
        <f t="shared" ca="1" si="16"/>
        <v>3.433712623961219</v>
      </c>
      <c r="Q256">
        <f t="shared" ca="1" si="17"/>
        <v>0</v>
      </c>
      <c r="R256">
        <f t="shared" ca="1" si="18"/>
        <v>0</v>
      </c>
      <c r="S256">
        <f t="shared" ca="1" si="19"/>
        <v>0</v>
      </c>
      <c r="T256">
        <f t="shared" ca="1" si="20"/>
        <v>0</v>
      </c>
      <c r="U256">
        <f t="shared" ca="1" si="21"/>
        <v>0</v>
      </c>
      <c r="V256">
        <f t="shared" ca="1" si="22"/>
        <v>0</v>
      </c>
      <c r="W256">
        <f t="shared" ca="1" si="23"/>
        <v>0</v>
      </c>
      <c r="X256">
        <f t="shared" ca="1" si="24"/>
        <v>0</v>
      </c>
      <c r="Y256">
        <f t="shared" ca="1" si="25"/>
        <v>0</v>
      </c>
      <c r="Z256">
        <f t="shared" ca="1" si="26"/>
        <v>0</v>
      </c>
      <c r="AA256">
        <f t="shared" ca="1" si="27"/>
        <v>0</v>
      </c>
      <c r="AB256">
        <f t="shared" ca="1" si="28"/>
        <v>0</v>
      </c>
      <c r="AC256">
        <f t="shared" ca="1" si="29"/>
        <v>0</v>
      </c>
      <c r="AD256">
        <f t="shared" ca="1" si="30"/>
        <v>0</v>
      </c>
      <c r="AE256">
        <f t="shared" ca="1" si="31"/>
        <v>0</v>
      </c>
      <c r="AF256">
        <f t="shared" ca="1" si="32"/>
        <v>0</v>
      </c>
      <c r="AG256">
        <f t="shared" ca="1" si="33"/>
        <v>0</v>
      </c>
      <c r="AH256">
        <f t="shared" ca="1" si="34"/>
        <v>0</v>
      </c>
      <c r="AI256">
        <f t="shared" ca="1" si="35"/>
        <v>0</v>
      </c>
      <c r="AJ256">
        <f t="shared" ca="1" si="36"/>
        <v>0</v>
      </c>
      <c r="AK256">
        <f t="shared" ca="1" si="37"/>
        <v>0</v>
      </c>
      <c r="AL256">
        <f t="shared" ca="1" si="38"/>
        <v>0</v>
      </c>
      <c r="AM256">
        <f t="shared" ca="1" si="39"/>
        <v>0</v>
      </c>
      <c r="AN256">
        <f t="shared" ca="1" si="40"/>
        <v>0</v>
      </c>
      <c r="AO256">
        <f t="shared" ca="1" si="41"/>
        <v>0</v>
      </c>
      <c r="AP256">
        <f t="shared" ca="1" si="42"/>
        <v>0</v>
      </c>
    </row>
    <row r="257" spans="1:42" x14ac:dyDescent="0.2">
      <c r="A257" s="2" t="s">
        <v>234</v>
      </c>
      <c r="B257" s="2" t="str">
        <f>VLOOKUP(A257,'[14]Calculated coal req (reg.)'!$A$2:$B$599,2,FALSE)</f>
        <v>AMRAVATI TPS</v>
      </c>
      <c r="C257" s="2">
        <v>2.0636880899411998</v>
      </c>
      <c r="D257" s="2">
        <v>3.1914000000000002</v>
      </c>
      <c r="H257" t="s">
        <v>1115</v>
      </c>
      <c r="I257">
        <f t="shared" ca="1" si="9"/>
        <v>0</v>
      </c>
      <c r="J257">
        <f t="shared" ca="1" si="10"/>
        <v>0</v>
      </c>
      <c r="K257">
        <f t="shared" ca="1" si="11"/>
        <v>0</v>
      </c>
      <c r="L257">
        <f t="shared" ca="1" si="12"/>
        <v>0</v>
      </c>
      <c r="M257">
        <f t="shared" ca="1" si="13"/>
        <v>0</v>
      </c>
      <c r="N257">
        <f t="shared" ca="1" si="14"/>
        <v>0</v>
      </c>
      <c r="O257">
        <f t="shared" ca="1" si="15"/>
        <v>0</v>
      </c>
      <c r="P257">
        <f t="shared" ca="1" si="16"/>
        <v>0</v>
      </c>
      <c r="Q257">
        <f t="shared" ca="1" si="17"/>
        <v>0</v>
      </c>
      <c r="R257">
        <f t="shared" ca="1" si="18"/>
        <v>0</v>
      </c>
      <c r="S257">
        <f t="shared" ca="1" si="19"/>
        <v>0</v>
      </c>
      <c r="T257">
        <f t="shared" ca="1" si="20"/>
        <v>0</v>
      </c>
      <c r="U257">
        <f t="shared" ca="1" si="21"/>
        <v>0</v>
      </c>
      <c r="V257">
        <f t="shared" ca="1" si="22"/>
        <v>0</v>
      </c>
      <c r="W257">
        <f t="shared" ca="1" si="23"/>
        <v>0</v>
      </c>
      <c r="X257">
        <f t="shared" ca="1" si="24"/>
        <v>0</v>
      </c>
      <c r="Y257">
        <f t="shared" ca="1" si="25"/>
        <v>0</v>
      </c>
      <c r="Z257">
        <f t="shared" ca="1" si="26"/>
        <v>0</v>
      </c>
      <c r="AA257">
        <f t="shared" ca="1" si="27"/>
        <v>0.60207771244945796</v>
      </c>
      <c r="AB257">
        <f t="shared" ca="1" si="28"/>
        <v>0</v>
      </c>
      <c r="AC257">
        <f t="shared" ca="1" si="29"/>
        <v>0</v>
      </c>
      <c r="AD257">
        <f t="shared" ca="1" si="30"/>
        <v>0</v>
      </c>
      <c r="AE257">
        <f t="shared" ca="1" si="31"/>
        <v>0</v>
      </c>
      <c r="AF257">
        <f t="shared" ca="1" si="32"/>
        <v>0</v>
      </c>
      <c r="AG257">
        <f t="shared" ca="1" si="33"/>
        <v>0</v>
      </c>
      <c r="AH257">
        <f t="shared" ca="1" si="34"/>
        <v>0</v>
      </c>
      <c r="AI257">
        <f t="shared" ca="1" si="35"/>
        <v>0</v>
      </c>
      <c r="AJ257">
        <f t="shared" ca="1" si="36"/>
        <v>0</v>
      </c>
      <c r="AK257">
        <f t="shared" ca="1" si="37"/>
        <v>0</v>
      </c>
      <c r="AL257">
        <f t="shared" ca="1" si="38"/>
        <v>0</v>
      </c>
      <c r="AM257">
        <f t="shared" ca="1" si="39"/>
        <v>0</v>
      </c>
      <c r="AN257">
        <f t="shared" ca="1" si="40"/>
        <v>0</v>
      </c>
      <c r="AO257">
        <f t="shared" ca="1" si="41"/>
        <v>0</v>
      </c>
      <c r="AP257">
        <f t="shared" ca="1" si="42"/>
        <v>0</v>
      </c>
    </row>
    <row r="258" spans="1:42" x14ac:dyDescent="0.2">
      <c r="A258" s="2" t="s">
        <v>264</v>
      </c>
      <c r="B258" s="2" t="str">
        <f>VLOOKUP(A258,'[14]Calculated coal req (reg.)'!$A$2:$B$599,2,FALSE)</f>
        <v>SAGARDIGHI TPS UNIT 1-2</v>
      </c>
      <c r="C258" s="2">
        <v>4.2402802000459001</v>
      </c>
      <c r="D258" s="2">
        <v>3.5459999999999998</v>
      </c>
      <c r="H258" t="s">
        <v>1047</v>
      </c>
      <c r="I258">
        <f t="shared" ca="1" si="9"/>
        <v>0</v>
      </c>
      <c r="J258">
        <f t="shared" ca="1" si="10"/>
        <v>0</v>
      </c>
      <c r="K258">
        <f t="shared" ca="1" si="11"/>
        <v>0</v>
      </c>
      <c r="L258">
        <f t="shared" ca="1" si="12"/>
        <v>0</v>
      </c>
      <c r="M258">
        <f t="shared" ca="1" si="13"/>
        <v>0</v>
      </c>
      <c r="N258">
        <f t="shared" ca="1" si="14"/>
        <v>0</v>
      </c>
      <c r="O258">
        <f t="shared" ca="1" si="15"/>
        <v>0</v>
      </c>
      <c r="P258">
        <f t="shared" ca="1" si="16"/>
        <v>0</v>
      </c>
      <c r="Q258">
        <f t="shared" ca="1" si="17"/>
        <v>0</v>
      </c>
      <c r="R258">
        <f t="shared" ca="1" si="18"/>
        <v>0</v>
      </c>
      <c r="S258">
        <f t="shared" ca="1" si="19"/>
        <v>0</v>
      </c>
      <c r="T258">
        <f t="shared" ca="1" si="20"/>
        <v>0</v>
      </c>
      <c r="U258">
        <f t="shared" ca="1" si="21"/>
        <v>0</v>
      </c>
      <c r="V258">
        <f t="shared" ca="1" si="22"/>
        <v>0</v>
      </c>
      <c r="W258">
        <f t="shared" ca="1" si="23"/>
        <v>0</v>
      </c>
      <c r="X258">
        <f t="shared" ca="1" si="24"/>
        <v>0</v>
      </c>
      <c r="Y258">
        <f t="shared" ca="1" si="25"/>
        <v>0</v>
      </c>
      <c r="Z258">
        <f t="shared" ca="1" si="26"/>
        <v>0</v>
      </c>
      <c r="AA258">
        <f t="shared" ca="1" si="27"/>
        <v>16.646571350000883</v>
      </c>
      <c r="AB258">
        <f t="shared" ca="1" si="28"/>
        <v>0</v>
      </c>
      <c r="AC258">
        <f t="shared" ca="1" si="29"/>
        <v>0</v>
      </c>
      <c r="AD258">
        <f t="shared" ca="1" si="30"/>
        <v>0</v>
      </c>
      <c r="AE258">
        <f t="shared" ca="1" si="31"/>
        <v>0</v>
      </c>
      <c r="AF258">
        <f t="shared" ca="1" si="32"/>
        <v>0</v>
      </c>
      <c r="AG258">
        <f t="shared" ca="1" si="33"/>
        <v>0</v>
      </c>
      <c r="AH258">
        <f t="shared" ca="1" si="34"/>
        <v>0</v>
      </c>
      <c r="AI258">
        <f t="shared" ca="1" si="35"/>
        <v>0</v>
      </c>
      <c r="AJ258">
        <f t="shared" ca="1" si="36"/>
        <v>0</v>
      </c>
      <c r="AK258">
        <f t="shared" ca="1" si="37"/>
        <v>0</v>
      </c>
      <c r="AL258">
        <f t="shared" ca="1" si="38"/>
        <v>0</v>
      </c>
      <c r="AM258">
        <f t="shared" ca="1" si="39"/>
        <v>0</v>
      </c>
      <c r="AN258">
        <f t="shared" ca="1" si="40"/>
        <v>0</v>
      </c>
      <c r="AO258">
        <f t="shared" ca="1" si="41"/>
        <v>0</v>
      </c>
      <c r="AP258">
        <f t="shared" ca="1" si="42"/>
        <v>0</v>
      </c>
    </row>
    <row r="259" spans="1:42" x14ac:dyDescent="0.2">
      <c r="A259" s="2" t="s">
        <v>227</v>
      </c>
      <c r="B259" s="2" t="str">
        <f>VLOOKUP(A259,'[14]Calculated coal req (reg.)'!$A$2:$B$599,2,FALSE)</f>
        <v>CHHABRA TPS UNIT 1-4</v>
      </c>
      <c r="C259" s="2">
        <v>4.9204921306999196</v>
      </c>
      <c r="D259" s="2">
        <v>2.9550000000000001</v>
      </c>
      <c r="H259" t="s">
        <v>1102</v>
      </c>
      <c r="I259">
        <f t="shared" ca="1" si="9"/>
        <v>0</v>
      </c>
      <c r="J259">
        <f t="shared" ca="1" si="10"/>
        <v>0</v>
      </c>
      <c r="K259">
        <f t="shared" ca="1" si="11"/>
        <v>0</v>
      </c>
      <c r="L259">
        <f t="shared" ca="1" si="12"/>
        <v>0</v>
      </c>
      <c r="M259">
        <f t="shared" ca="1" si="13"/>
        <v>0</v>
      </c>
      <c r="N259">
        <f t="shared" ca="1" si="14"/>
        <v>0</v>
      </c>
      <c r="O259">
        <f t="shared" ca="1" si="15"/>
        <v>0</v>
      </c>
      <c r="P259">
        <f t="shared" ca="1" si="16"/>
        <v>0</v>
      </c>
      <c r="Q259">
        <f t="shared" ca="1" si="17"/>
        <v>0</v>
      </c>
      <c r="R259">
        <f t="shared" ca="1" si="18"/>
        <v>0</v>
      </c>
      <c r="S259">
        <f t="shared" ca="1" si="19"/>
        <v>0</v>
      </c>
      <c r="T259">
        <f t="shared" ca="1" si="20"/>
        <v>0</v>
      </c>
      <c r="U259">
        <f t="shared" ca="1" si="21"/>
        <v>0</v>
      </c>
      <c r="V259">
        <f t="shared" ca="1" si="22"/>
        <v>0</v>
      </c>
      <c r="W259">
        <f t="shared" ca="1" si="23"/>
        <v>0</v>
      </c>
      <c r="X259">
        <f t="shared" ca="1" si="24"/>
        <v>0</v>
      </c>
      <c r="Y259">
        <f t="shared" ca="1" si="25"/>
        <v>0</v>
      </c>
      <c r="Z259">
        <f t="shared" ca="1" si="26"/>
        <v>6.8893118193406995</v>
      </c>
      <c r="AA259">
        <f t="shared" ca="1" si="27"/>
        <v>0</v>
      </c>
      <c r="AB259">
        <f t="shared" ca="1" si="28"/>
        <v>0</v>
      </c>
      <c r="AC259">
        <f t="shared" ca="1" si="29"/>
        <v>0</v>
      </c>
      <c r="AD259">
        <f t="shared" ca="1" si="30"/>
        <v>0</v>
      </c>
      <c r="AE259">
        <f t="shared" ca="1" si="31"/>
        <v>0</v>
      </c>
      <c r="AF259">
        <f t="shared" ca="1" si="32"/>
        <v>0</v>
      </c>
      <c r="AG259">
        <f t="shared" ca="1" si="33"/>
        <v>0</v>
      </c>
      <c r="AH259">
        <f t="shared" ca="1" si="34"/>
        <v>0</v>
      </c>
      <c r="AI259">
        <f t="shared" ca="1" si="35"/>
        <v>0</v>
      </c>
      <c r="AJ259">
        <f t="shared" ca="1" si="36"/>
        <v>0</v>
      </c>
      <c r="AK259">
        <f t="shared" ca="1" si="37"/>
        <v>0</v>
      </c>
      <c r="AL259">
        <f t="shared" ca="1" si="38"/>
        <v>0</v>
      </c>
      <c r="AM259">
        <f t="shared" ca="1" si="39"/>
        <v>0</v>
      </c>
      <c r="AN259">
        <f t="shared" ca="1" si="40"/>
        <v>0</v>
      </c>
      <c r="AO259">
        <f t="shared" ca="1" si="41"/>
        <v>0</v>
      </c>
      <c r="AP259">
        <f t="shared" ca="1" si="42"/>
        <v>0</v>
      </c>
    </row>
    <row r="260" spans="1:42" x14ac:dyDescent="0.2">
      <c r="A260" s="2" t="s">
        <v>268</v>
      </c>
      <c r="B260" s="2" t="str">
        <f>VLOOKUP(A260,'[14]Calculated coal req (reg.)'!$A$2:$B$599,2,FALSE)</f>
        <v>YAMUNA NAGAR TPS</v>
      </c>
      <c r="C260" s="2">
        <v>4.6943063942299199</v>
      </c>
      <c r="D260" s="2">
        <v>3.5459999999999998</v>
      </c>
      <c r="H260" t="s">
        <v>1086</v>
      </c>
      <c r="I260">
        <f t="shared" ca="1" si="9"/>
        <v>0</v>
      </c>
      <c r="J260">
        <f t="shared" ca="1" si="10"/>
        <v>0.68400566554465314</v>
      </c>
      <c r="K260">
        <f t="shared" ca="1" si="11"/>
        <v>7.1886343198198608</v>
      </c>
      <c r="L260">
        <f t="shared" ca="1" si="12"/>
        <v>0</v>
      </c>
      <c r="M260">
        <f t="shared" ca="1" si="13"/>
        <v>0</v>
      </c>
      <c r="N260">
        <f t="shared" ca="1" si="14"/>
        <v>0</v>
      </c>
      <c r="O260">
        <f t="shared" ca="1" si="15"/>
        <v>0</v>
      </c>
      <c r="P260">
        <f t="shared" ca="1" si="16"/>
        <v>0</v>
      </c>
      <c r="Q260">
        <f t="shared" ca="1" si="17"/>
        <v>0</v>
      </c>
      <c r="R260">
        <f t="shared" ca="1" si="18"/>
        <v>0</v>
      </c>
      <c r="S260">
        <f t="shared" ca="1" si="19"/>
        <v>0</v>
      </c>
      <c r="T260">
        <f t="shared" ca="1" si="20"/>
        <v>0</v>
      </c>
      <c r="U260">
        <f t="shared" ca="1" si="21"/>
        <v>0</v>
      </c>
      <c r="V260">
        <f t="shared" ca="1" si="22"/>
        <v>0</v>
      </c>
      <c r="W260">
        <f t="shared" ca="1" si="23"/>
        <v>0</v>
      </c>
      <c r="X260">
        <f t="shared" ca="1" si="24"/>
        <v>0</v>
      </c>
      <c r="Y260">
        <f t="shared" ca="1" si="25"/>
        <v>0</v>
      </c>
      <c r="Z260">
        <f t="shared" ca="1" si="26"/>
        <v>0</v>
      </c>
      <c r="AA260">
        <f t="shared" ca="1" si="27"/>
        <v>0</v>
      </c>
      <c r="AB260">
        <f t="shared" ca="1" si="28"/>
        <v>0.48057884483502922</v>
      </c>
      <c r="AC260">
        <f t="shared" ca="1" si="29"/>
        <v>0</v>
      </c>
      <c r="AD260">
        <f t="shared" ca="1" si="30"/>
        <v>0.68666780204560862</v>
      </c>
      <c r="AE260">
        <f t="shared" ca="1" si="31"/>
        <v>0.6023638126116756</v>
      </c>
      <c r="AF260">
        <f t="shared" ca="1" si="32"/>
        <v>0</v>
      </c>
      <c r="AG260">
        <f t="shared" ca="1" si="33"/>
        <v>0</v>
      </c>
      <c r="AH260">
        <f t="shared" ca="1" si="34"/>
        <v>0</v>
      </c>
      <c r="AI260">
        <f t="shared" ca="1" si="35"/>
        <v>0</v>
      </c>
      <c r="AJ260">
        <f t="shared" ca="1" si="36"/>
        <v>0</v>
      </c>
      <c r="AK260">
        <f t="shared" ca="1" si="37"/>
        <v>0</v>
      </c>
      <c r="AL260">
        <f t="shared" ca="1" si="38"/>
        <v>0</v>
      </c>
      <c r="AM260">
        <f t="shared" ca="1" si="39"/>
        <v>0.88738745085891502</v>
      </c>
      <c r="AN260">
        <f t="shared" ca="1" si="40"/>
        <v>0</v>
      </c>
      <c r="AO260">
        <f t="shared" ca="1" si="41"/>
        <v>0</v>
      </c>
      <c r="AP260">
        <f t="shared" ca="1" si="42"/>
        <v>0</v>
      </c>
    </row>
    <row r="261" spans="1:42" x14ac:dyDescent="0.2">
      <c r="A261" s="2" t="s">
        <v>229</v>
      </c>
      <c r="B261" s="2"/>
      <c r="C261" s="2">
        <v>3.3640397429128401</v>
      </c>
      <c r="D261" s="2">
        <v>2.9550000000000001</v>
      </c>
      <c r="H261" t="s">
        <v>1116</v>
      </c>
      <c r="I261">
        <f t="shared" ca="1" si="9"/>
        <v>0</v>
      </c>
      <c r="J261">
        <f t="shared" ca="1" si="10"/>
        <v>0</v>
      </c>
      <c r="K261">
        <f t="shared" ca="1" si="11"/>
        <v>0</v>
      </c>
      <c r="L261">
        <f t="shared" ca="1" si="12"/>
        <v>0</v>
      </c>
      <c r="M261">
        <f t="shared" ca="1" si="13"/>
        <v>0</v>
      </c>
      <c r="N261">
        <f t="shared" ca="1" si="14"/>
        <v>0</v>
      </c>
      <c r="O261">
        <f t="shared" ca="1" si="15"/>
        <v>0</v>
      </c>
      <c r="P261">
        <f t="shared" ca="1" si="16"/>
        <v>0</v>
      </c>
      <c r="Q261">
        <f t="shared" ca="1" si="17"/>
        <v>0</v>
      </c>
      <c r="R261">
        <f t="shared" ca="1" si="18"/>
        <v>0</v>
      </c>
      <c r="S261">
        <f t="shared" ca="1" si="19"/>
        <v>0</v>
      </c>
      <c r="T261">
        <f t="shared" ca="1" si="20"/>
        <v>0</v>
      </c>
      <c r="U261">
        <f t="shared" ca="1" si="21"/>
        <v>0</v>
      </c>
      <c r="V261">
        <f t="shared" ca="1" si="22"/>
        <v>0</v>
      </c>
      <c r="W261">
        <f t="shared" ca="1" si="23"/>
        <v>0</v>
      </c>
      <c r="X261">
        <f t="shared" ca="1" si="24"/>
        <v>0</v>
      </c>
      <c r="Y261">
        <f t="shared" ca="1" si="25"/>
        <v>0</v>
      </c>
      <c r="Z261">
        <f t="shared" ca="1" si="26"/>
        <v>0</v>
      </c>
      <c r="AA261">
        <f t="shared" ca="1" si="27"/>
        <v>0</v>
      </c>
      <c r="AB261">
        <f t="shared" ca="1" si="28"/>
        <v>0</v>
      </c>
      <c r="AC261">
        <f t="shared" ca="1" si="29"/>
        <v>0</v>
      </c>
      <c r="AD261">
        <f t="shared" ca="1" si="30"/>
        <v>0</v>
      </c>
      <c r="AE261">
        <f t="shared" ca="1" si="31"/>
        <v>0</v>
      </c>
      <c r="AF261">
        <f t="shared" ca="1" si="32"/>
        <v>0</v>
      </c>
      <c r="AG261">
        <f t="shared" ca="1" si="33"/>
        <v>0</v>
      </c>
      <c r="AH261">
        <f t="shared" ca="1" si="34"/>
        <v>0</v>
      </c>
      <c r="AI261">
        <f t="shared" ca="1" si="35"/>
        <v>0</v>
      </c>
      <c r="AJ261">
        <f t="shared" ca="1" si="36"/>
        <v>0</v>
      </c>
      <c r="AK261">
        <f t="shared" ca="1" si="37"/>
        <v>0</v>
      </c>
      <c r="AL261">
        <f t="shared" ca="1" si="38"/>
        <v>0</v>
      </c>
      <c r="AM261">
        <f t="shared" ca="1" si="39"/>
        <v>0</v>
      </c>
      <c r="AN261">
        <f t="shared" ca="1" si="40"/>
        <v>0</v>
      </c>
      <c r="AO261">
        <f t="shared" ca="1" si="41"/>
        <v>0</v>
      </c>
      <c r="AP261">
        <f t="shared" ca="1" si="42"/>
        <v>16.0250763804016</v>
      </c>
    </row>
    <row r="262" spans="1:42" x14ac:dyDescent="0.2">
      <c r="A262" s="2" t="s">
        <v>274</v>
      </c>
      <c r="B262" s="2"/>
      <c r="C262" s="2">
        <v>2.9058792822713002</v>
      </c>
      <c r="D262" s="2">
        <v>3.5459999999999998</v>
      </c>
      <c r="H262" t="s">
        <v>1087</v>
      </c>
      <c r="I262">
        <f t="shared" ca="1" si="9"/>
        <v>0</v>
      </c>
      <c r="J262">
        <f t="shared" ca="1" si="10"/>
        <v>0</v>
      </c>
      <c r="K262">
        <f t="shared" ca="1" si="11"/>
        <v>0</v>
      </c>
      <c r="L262">
        <f t="shared" ca="1" si="12"/>
        <v>0</v>
      </c>
      <c r="M262">
        <f t="shared" ca="1" si="13"/>
        <v>0</v>
      </c>
      <c r="N262">
        <f t="shared" ca="1" si="14"/>
        <v>0</v>
      </c>
      <c r="O262">
        <f t="shared" ca="1" si="15"/>
        <v>0</v>
      </c>
      <c r="P262">
        <f t="shared" ca="1" si="16"/>
        <v>0</v>
      </c>
      <c r="Q262">
        <f t="shared" ca="1" si="17"/>
        <v>0</v>
      </c>
      <c r="R262">
        <f t="shared" ca="1" si="18"/>
        <v>0</v>
      </c>
      <c r="S262">
        <f t="shared" ca="1" si="19"/>
        <v>0</v>
      </c>
      <c r="T262">
        <f t="shared" ca="1" si="20"/>
        <v>0</v>
      </c>
      <c r="U262">
        <f t="shared" ca="1" si="21"/>
        <v>0</v>
      </c>
      <c r="V262">
        <f t="shared" ca="1" si="22"/>
        <v>0</v>
      </c>
      <c r="W262">
        <f t="shared" ca="1" si="23"/>
        <v>0</v>
      </c>
      <c r="X262">
        <f t="shared" ca="1" si="24"/>
        <v>0</v>
      </c>
      <c r="Y262">
        <f t="shared" ca="1" si="25"/>
        <v>0</v>
      </c>
      <c r="Z262">
        <f t="shared" ca="1" si="26"/>
        <v>0</v>
      </c>
      <c r="AA262">
        <f t="shared" ca="1" si="27"/>
        <v>4.7154926184649497</v>
      </c>
      <c r="AB262">
        <f t="shared" ca="1" si="28"/>
        <v>0</v>
      </c>
      <c r="AC262">
        <f t="shared" ca="1" si="29"/>
        <v>0</v>
      </c>
      <c r="AD262">
        <f t="shared" ca="1" si="30"/>
        <v>0</v>
      </c>
      <c r="AE262">
        <f t="shared" ca="1" si="31"/>
        <v>0</v>
      </c>
      <c r="AF262">
        <f t="shared" ca="1" si="32"/>
        <v>0</v>
      </c>
      <c r="AG262">
        <f t="shared" ca="1" si="33"/>
        <v>0</v>
      </c>
      <c r="AH262">
        <f t="shared" ca="1" si="34"/>
        <v>0</v>
      </c>
      <c r="AI262">
        <f t="shared" ca="1" si="35"/>
        <v>0</v>
      </c>
      <c r="AJ262">
        <f t="shared" ca="1" si="36"/>
        <v>0</v>
      </c>
      <c r="AK262">
        <f t="shared" ca="1" si="37"/>
        <v>0</v>
      </c>
      <c r="AL262">
        <f t="shared" ca="1" si="38"/>
        <v>0</v>
      </c>
      <c r="AM262">
        <f t="shared" ca="1" si="39"/>
        <v>0</v>
      </c>
      <c r="AN262">
        <f t="shared" ca="1" si="40"/>
        <v>0</v>
      </c>
      <c r="AO262">
        <f t="shared" ca="1" si="41"/>
        <v>0</v>
      </c>
      <c r="AP262">
        <f t="shared" ca="1" si="42"/>
        <v>0</v>
      </c>
    </row>
    <row r="263" spans="1:42" x14ac:dyDescent="0.2">
      <c r="A263" s="2" t="s">
        <v>273</v>
      </c>
      <c r="B263" s="2" t="str">
        <f>VLOOKUP(A263,'[14]Calculated coal req (reg.)'!$A$2:$B$599,2,FALSE)</f>
        <v>SAGARDIGHI TPS UNIT 1-2</v>
      </c>
      <c r="C263" s="2">
        <v>2.9892881674523699</v>
      </c>
      <c r="D263" s="2">
        <v>3.5459999999999998</v>
      </c>
      <c r="H263" t="s">
        <v>1076</v>
      </c>
      <c r="I263">
        <f t="shared" ca="1" si="9"/>
        <v>0</v>
      </c>
      <c r="J263">
        <f t="shared" ca="1" si="10"/>
        <v>0</v>
      </c>
      <c r="K263">
        <f t="shared" ca="1" si="11"/>
        <v>0</v>
      </c>
      <c r="L263">
        <f t="shared" ca="1" si="12"/>
        <v>0</v>
      </c>
      <c r="M263">
        <f t="shared" ca="1" si="13"/>
        <v>0</v>
      </c>
      <c r="N263">
        <f t="shared" ca="1" si="14"/>
        <v>0</v>
      </c>
      <c r="O263">
        <f t="shared" ca="1" si="15"/>
        <v>0</v>
      </c>
      <c r="P263">
        <f t="shared" ca="1" si="16"/>
        <v>0</v>
      </c>
      <c r="Q263">
        <f t="shared" ca="1" si="17"/>
        <v>0</v>
      </c>
      <c r="R263">
        <f t="shared" ca="1" si="18"/>
        <v>0</v>
      </c>
      <c r="S263">
        <f t="shared" ca="1" si="19"/>
        <v>0</v>
      </c>
      <c r="T263">
        <f t="shared" ca="1" si="20"/>
        <v>0</v>
      </c>
      <c r="U263">
        <f t="shared" ca="1" si="21"/>
        <v>0</v>
      </c>
      <c r="V263">
        <f t="shared" ca="1" si="22"/>
        <v>0</v>
      </c>
      <c r="W263">
        <f t="shared" ca="1" si="23"/>
        <v>0</v>
      </c>
      <c r="X263">
        <f t="shared" ca="1" si="24"/>
        <v>0</v>
      </c>
      <c r="Y263">
        <f t="shared" ca="1" si="25"/>
        <v>0</v>
      </c>
      <c r="Z263">
        <f t="shared" ca="1" si="26"/>
        <v>0</v>
      </c>
      <c r="AA263">
        <f t="shared" ca="1" si="27"/>
        <v>24.271601671374039</v>
      </c>
      <c r="AB263">
        <f t="shared" ca="1" si="28"/>
        <v>0</v>
      </c>
      <c r="AC263">
        <f t="shared" ca="1" si="29"/>
        <v>0</v>
      </c>
      <c r="AD263">
        <f t="shared" ca="1" si="30"/>
        <v>0</v>
      </c>
      <c r="AE263">
        <f t="shared" ca="1" si="31"/>
        <v>0</v>
      </c>
      <c r="AF263">
        <f t="shared" ca="1" si="32"/>
        <v>0</v>
      </c>
      <c r="AG263">
        <f t="shared" ca="1" si="33"/>
        <v>0</v>
      </c>
      <c r="AH263">
        <f t="shared" ca="1" si="34"/>
        <v>0</v>
      </c>
      <c r="AI263">
        <f t="shared" ca="1" si="35"/>
        <v>0</v>
      </c>
      <c r="AJ263">
        <f t="shared" ca="1" si="36"/>
        <v>0</v>
      </c>
      <c r="AK263">
        <f t="shared" ca="1" si="37"/>
        <v>0</v>
      </c>
      <c r="AL263">
        <f t="shared" ca="1" si="38"/>
        <v>0</v>
      </c>
      <c r="AM263">
        <f t="shared" ca="1" si="39"/>
        <v>0</v>
      </c>
      <c r="AN263">
        <f t="shared" ca="1" si="40"/>
        <v>0</v>
      </c>
      <c r="AO263">
        <f t="shared" ca="1" si="41"/>
        <v>0</v>
      </c>
      <c r="AP263">
        <f t="shared" ca="1" si="42"/>
        <v>0</v>
      </c>
    </row>
    <row r="264" spans="1:42" x14ac:dyDescent="0.2">
      <c r="A264" s="2" t="s">
        <v>237</v>
      </c>
      <c r="B264" s="2" t="str">
        <f>VLOOKUP(A264,'[14]Calculated coal req (reg.)'!$A$2:$B$599,2,FALSE)</f>
        <v>SATPURA TPS UNIT 10-11</v>
      </c>
      <c r="C264" s="2">
        <v>4.542180419958</v>
      </c>
      <c r="D264" s="2">
        <v>2.9550000000000001</v>
      </c>
      <c r="H264" t="s">
        <v>1033</v>
      </c>
      <c r="I264">
        <f t="shared" ca="1" si="9"/>
        <v>0</v>
      </c>
      <c r="J264">
        <f t="shared" ca="1" si="10"/>
        <v>0</v>
      </c>
      <c r="K264">
        <f t="shared" ca="1" si="11"/>
        <v>0</v>
      </c>
      <c r="L264">
        <f t="shared" ca="1" si="12"/>
        <v>0</v>
      </c>
      <c r="M264">
        <f t="shared" ca="1" si="13"/>
        <v>0</v>
      </c>
      <c r="N264">
        <f t="shared" ca="1" si="14"/>
        <v>0</v>
      </c>
      <c r="O264">
        <f t="shared" ca="1" si="15"/>
        <v>0</v>
      </c>
      <c r="P264">
        <f t="shared" ca="1" si="16"/>
        <v>0</v>
      </c>
      <c r="Q264">
        <f t="shared" ca="1" si="17"/>
        <v>0</v>
      </c>
      <c r="R264">
        <f t="shared" ca="1" si="18"/>
        <v>0</v>
      </c>
      <c r="S264">
        <f t="shared" ca="1" si="19"/>
        <v>0</v>
      </c>
      <c r="T264">
        <f t="shared" ca="1" si="20"/>
        <v>0</v>
      </c>
      <c r="U264">
        <f t="shared" ca="1" si="21"/>
        <v>0</v>
      </c>
      <c r="V264">
        <f t="shared" ca="1" si="22"/>
        <v>0</v>
      </c>
      <c r="W264">
        <f t="shared" ca="1" si="23"/>
        <v>0</v>
      </c>
      <c r="X264">
        <f t="shared" ca="1" si="24"/>
        <v>0</v>
      </c>
      <c r="Y264">
        <f t="shared" ca="1" si="25"/>
        <v>0</v>
      </c>
      <c r="Z264">
        <f t="shared" ca="1" si="26"/>
        <v>0</v>
      </c>
      <c r="AA264">
        <f t="shared" ca="1" si="27"/>
        <v>17.44747387641841</v>
      </c>
      <c r="AB264">
        <f t="shared" ca="1" si="28"/>
        <v>0</v>
      </c>
      <c r="AC264">
        <f t="shared" ca="1" si="29"/>
        <v>0</v>
      </c>
      <c r="AD264">
        <f t="shared" ca="1" si="30"/>
        <v>0</v>
      </c>
      <c r="AE264">
        <f t="shared" ca="1" si="31"/>
        <v>0</v>
      </c>
      <c r="AF264">
        <f t="shared" ca="1" si="32"/>
        <v>0</v>
      </c>
      <c r="AG264">
        <f t="shared" ca="1" si="33"/>
        <v>0</v>
      </c>
      <c r="AH264">
        <f t="shared" ca="1" si="34"/>
        <v>0</v>
      </c>
      <c r="AI264">
        <f t="shared" ca="1" si="35"/>
        <v>0</v>
      </c>
      <c r="AJ264">
        <f t="shared" ca="1" si="36"/>
        <v>0</v>
      </c>
      <c r="AK264">
        <f t="shared" ca="1" si="37"/>
        <v>0</v>
      </c>
      <c r="AL264">
        <f t="shared" ca="1" si="38"/>
        <v>0</v>
      </c>
      <c r="AM264">
        <f t="shared" ca="1" si="39"/>
        <v>0</v>
      </c>
      <c r="AN264">
        <f t="shared" ca="1" si="40"/>
        <v>0</v>
      </c>
      <c r="AO264">
        <f t="shared" ca="1" si="41"/>
        <v>0</v>
      </c>
      <c r="AP264">
        <f t="shared" ca="1" si="42"/>
        <v>0</v>
      </c>
    </row>
    <row r="265" spans="1:42" x14ac:dyDescent="0.2">
      <c r="A265" s="2" t="s">
        <v>276</v>
      </c>
      <c r="B265" s="2" t="str">
        <f>VLOOKUP(A265,'[14]Calculated coal req (reg.)'!$A$2:$B$599,2,FALSE)</f>
        <v>YAMUNA NAGAR TPS</v>
      </c>
      <c r="C265" s="2">
        <v>4.0484654114801204</v>
      </c>
      <c r="D265" s="2">
        <v>3.5459999999999998</v>
      </c>
      <c r="H265" t="s">
        <v>905</v>
      </c>
      <c r="I265">
        <f t="shared" ca="1" si="9"/>
        <v>0</v>
      </c>
      <c r="J265">
        <f t="shared" ca="1" si="10"/>
        <v>0</v>
      </c>
      <c r="K265">
        <f t="shared" ca="1" si="11"/>
        <v>0</v>
      </c>
      <c r="L265">
        <f t="shared" ca="1" si="12"/>
        <v>0</v>
      </c>
      <c r="M265">
        <f t="shared" ca="1" si="13"/>
        <v>0</v>
      </c>
      <c r="N265">
        <f t="shared" ca="1" si="14"/>
        <v>0</v>
      </c>
      <c r="O265">
        <f t="shared" ca="1" si="15"/>
        <v>0</v>
      </c>
      <c r="P265">
        <f t="shared" ca="1" si="16"/>
        <v>0</v>
      </c>
      <c r="Q265">
        <f t="shared" ca="1" si="17"/>
        <v>8.0839222415506722</v>
      </c>
      <c r="R265">
        <f t="shared" ca="1" si="18"/>
        <v>0</v>
      </c>
      <c r="S265">
        <f t="shared" ca="1" si="19"/>
        <v>0</v>
      </c>
      <c r="T265">
        <f t="shared" ca="1" si="20"/>
        <v>0</v>
      </c>
      <c r="U265">
        <f t="shared" ca="1" si="21"/>
        <v>0</v>
      </c>
      <c r="V265">
        <f t="shared" ca="1" si="22"/>
        <v>0</v>
      </c>
      <c r="W265">
        <f t="shared" ca="1" si="23"/>
        <v>0</v>
      </c>
      <c r="X265">
        <f t="shared" ca="1" si="24"/>
        <v>0</v>
      </c>
      <c r="Y265">
        <f t="shared" ca="1" si="25"/>
        <v>0</v>
      </c>
      <c r="Z265">
        <f t="shared" ca="1" si="26"/>
        <v>1.7062135779039473</v>
      </c>
      <c r="AA265">
        <f t="shared" ca="1" si="27"/>
        <v>0</v>
      </c>
      <c r="AB265">
        <f t="shared" ca="1" si="28"/>
        <v>0</v>
      </c>
      <c r="AC265">
        <f t="shared" ca="1" si="29"/>
        <v>0</v>
      </c>
      <c r="AD265">
        <f t="shared" ca="1" si="30"/>
        <v>0</v>
      </c>
      <c r="AE265">
        <f t="shared" ca="1" si="31"/>
        <v>0</v>
      </c>
      <c r="AF265">
        <f t="shared" ca="1" si="32"/>
        <v>0</v>
      </c>
      <c r="AG265">
        <f t="shared" ca="1" si="33"/>
        <v>0</v>
      </c>
      <c r="AH265">
        <f t="shared" ca="1" si="34"/>
        <v>0</v>
      </c>
      <c r="AI265">
        <f t="shared" ca="1" si="35"/>
        <v>0</v>
      </c>
      <c r="AJ265">
        <f t="shared" ca="1" si="36"/>
        <v>0</v>
      </c>
      <c r="AK265">
        <f t="shared" ca="1" si="37"/>
        <v>0</v>
      </c>
      <c r="AL265">
        <f t="shared" ca="1" si="38"/>
        <v>0</v>
      </c>
      <c r="AM265">
        <f t="shared" ca="1" si="39"/>
        <v>0</v>
      </c>
      <c r="AN265">
        <f t="shared" ca="1" si="40"/>
        <v>0</v>
      </c>
      <c r="AO265">
        <f t="shared" ca="1" si="41"/>
        <v>0</v>
      </c>
      <c r="AP265">
        <f t="shared" ca="1" si="42"/>
        <v>0</v>
      </c>
    </row>
    <row r="266" spans="1:42" x14ac:dyDescent="0.2">
      <c r="A266" s="2" t="s">
        <v>240</v>
      </c>
      <c r="B266" s="2" t="str">
        <f>VLOOKUP(A266,'[14]Calculated coal req (reg.)'!$A$2:$B$599,2,FALSE)</f>
        <v>CHHABRA TPS UNIT 1-4</v>
      </c>
      <c r="C266" s="2">
        <v>4.3724274363561397</v>
      </c>
      <c r="D266" s="2">
        <v>2.9550000000000001</v>
      </c>
      <c r="H266" t="s">
        <v>1099</v>
      </c>
      <c r="I266">
        <f t="shared" ca="1" si="9"/>
        <v>0</v>
      </c>
      <c r="J266">
        <f t="shared" ca="1" si="10"/>
        <v>0</v>
      </c>
      <c r="K266">
        <f t="shared" ca="1" si="11"/>
        <v>0</v>
      </c>
      <c r="L266">
        <f t="shared" ca="1" si="12"/>
        <v>0</v>
      </c>
      <c r="M266">
        <f t="shared" ca="1" si="13"/>
        <v>0</v>
      </c>
      <c r="N266">
        <f t="shared" ca="1" si="14"/>
        <v>0</v>
      </c>
      <c r="O266">
        <f t="shared" ca="1" si="15"/>
        <v>0</v>
      </c>
      <c r="P266">
        <f t="shared" ca="1" si="16"/>
        <v>0</v>
      </c>
      <c r="Q266">
        <f t="shared" ca="1" si="17"/>
        <v>0</v>
      </c>
      <c r="R266">
        <f t="shared" ca="1" si="18"/>
        <v>0</v>
      </c>
      <c r="S266">
        <f t="shared" ca="1" si="19"/>
        <v>0</v>
      </c>
      <c r="T266">
        <f t="shared" ca="1" si="20"/>
        <v>0</v>
      </c>
      <c r="U266">
        <f t="shared" ca="1" si="21"/>
        <v>0</v>
      </c>
      <c r="V266">
        <f t="shared" ca="1" si="22"/>
        <v>0</v>
      </c>
      <c r="W266">
        <f t="shared" ca="1" si="23"/>
        <v>0</v>
      </c>
      <c r="X266">
        <f t="shared" ca="1" si="24"/>
        <v>0</v>
      </c>
      <c r="Y266">
        <f t="shared" ca="1" si="25"/>
        <v>0</v>
      </c>
      <c r="Z266">
        <f t="shared" ca="1" si="26"/>
        <v>0</v>
      </c>
      <c r="AA266">
        <f t="shared" ca="1" si="27"/>
        <v>0</v>
      </c>
      <c r="AB266">
        <f t="shared" ca="1" si="28"/>
        <v>0</v>
      </c>
      <c r="AC266">
        <f t="shared" ca="1" si="29"/>
        <v>0</v>
      </c>
      <c r="AD266">
        <f t="shared" ca="1" si="30"/>
        <v>0</v>
      </c>
      <c r="AE266">
        <f t="shared" ca="1" si="31"/>
        <v>0</v>
      </c>
      <c r="AF266">
        <f t="shared" ca="1" si="32"/>
        <v>0</v>
      </c>
      <c r="AG266">
        <f t="shared" ca="1" si="33"/>
        <v>0</v>
      </c>
      <c r="AH266">
        <f t="shared" ca="1" si="34"/>
        <v>0</v>
      </c>
      <c r="AI266">
        <f t="shared" ca="1" si="35"/>
        <v>19.251300371294931</v>
      </c>
      <c r="AJ266">
        <f t="shared" ca="1" si="36"/>
        <v>0</v>
      </c>
      <c r="AK266">
        <f t="shared" ca="1" si="37"/>
        <v>0</v>
      </c>
      <c r="AL266">
        <f t="shared" ca="1" si="38"/>
        <v>0</v>
      </c>
      <c r="AM266">
        <f t="shared" ca="1" si="39"/>
        <v>0</v>
      </c>
      <c r="AN266">
        <f t="shared" ca="1" si="40"/>
        <v>0</v>
      </c>
      <c r="AO266">
        <f t="shared" ca="1" si="41"/>
        <v>0</v>
      </c>
      <c r="AP266">
        <f t="shared" ca="1" si="42"/>
        <v>0</v>
      </c>
    </row>
    <row r="267" spans="1:42" x14ac:dyDescent="0.2">
      <c r="A267" s="2" t="s">
        <v>246</v>
      </c>
      <c r="B267" s="2" t="str">
        <f>VLOOKUP(A267,'[14]Calculated coal req (reg.)'!$A$2:$B$599,2,FALSE)</f>
        <v>BINA TPS</v>
      </c>
      <c r="C267" s="2">
        <v>3.2284540803714799</v>
      </c>
      <c r="D267" s="2">
        <v>2.9550000000000001</v>
      </c>
      <c r="H267" t="s">
        <v>993</v>
      </c>
      <c r="I267">
        <f t="shared" ca="1" si="9"/>
        <v>0</v>
      </c>
      <c r="J267">
        <f t="shared" ca="1" si="10"/>
        <v>0</v>
      </c>
      <c r="K267">
        <f t="shared" ca="1" si="11"/>
        <v>0</v>
      </c>
      <c r="L267">
        <f t="shared" ca="1" si="12"/>
        <v>0</v>
      </c>
      <c r="M267">
        <f t="shared" ca="1" si="13"/>
        <v>0</v>
      </c>
      <c r="N267">
        <f t="shared" ca="1" si="14"/>
        <v>0</v>
      </c>
      <c r="O267">
        <f t="shared" ca="1" si="15"/>
        <v>0</v>
      </c>
      <c r="P267">
        <f t="shared" ca="1" si="16"/>
        <v>0</v>
      </c>
      <c r="Q267">
        <f t="shared" ca="1" si="17"/>
        <v>0</v>
      </c>
      <c r="R267">
        <f t="shared" ca="1" si="18"/>
        <v>0</v>
      </c>
      <c r="S267">
        <f t="shared" ca="1" si="19"/>
        <v>0</v>
      </c>
      <c r="T267">
        <f t="shared" ca="1" si="20"/>
        <v>0</v>
      </c>
      <c r="U267">
        <f t="shared" ca="1" si="21"/>
        <v>0</v>
      </c>
      <c r="V267">
        <f t="shared" ca="1" si="22"/>
        <v>0</v>
      </c>
      <c r="W267">
        <f t="shared" ca="1" si="23"/>
        <v>0</v>
      </c>
      <c r="X267">
        <f t="shared" ca="1" si="24"/>
        <v>0</v>
      </c>
      <c r="Y267">
        <f t="shared" ca="1" si="25"/>
        <v>0</v>
      </c>
      <c r="Z267">
        <f t="shared" ca="1" si="26"/>
        <v>0</v>
      </c>
      <c r="AA267">
        <f t="shared" ca="1" si="27"/>
        <v>0</v>
      </c>
      <c r="AB267">
        <f t="shared" ca="1" si="28"/>
        <v>0</v>
      </c>
      <c r="AC267">
        <f t="shared" ca="1" si="29"/>
        <v>0</v>
      </c>
      <c r="AD267">
        <f t="shared" ca="1" si="30"/>
        <v>0</v>
      </c>
      <c r="AE267">
        <f t="shared" ca="1" si="31"/>
        <v>0</v>
      </c>
      <c r="AF267">
        <f t="shared" ca="1" si="32"/>
        <v>0</v>
      </c>
      <c r="AG267">
        <f t="shared" ca="1" si="33"/>
        <v>0</v>
      </c>
      <c r="AH267">
        <f t="shared" ca="1" si="34"/>
        <v>0</v>
      </c>
      <c r="AI267">
        <f t="shared" ca="1" si="35"/>
        <v>7.0537783374825596</v>
      </c>
      <c r="AJ267">
        <f t="shared" ca="1" si="36"/>
        <v>0</v>
      </c>
      <c r="AK267">
        <f t="shared" ca="1" si="37"/>
        <v>0</v>
      </c>
      <c r="AL267">
        <f t="shared" ca="1" si="38"/>
        <v>0</v>
      </c>
      <c r="AM267">
        <f t="shared" ca="1" si="39"/>
        <v>0</v>
      </c>
      <c r="AN267">
        <f t="shared" ca="1" si="40"/>
        <v>0</v>
      </c>
      <c r="AO267">
        <f t="shared" ca="1" si="41"/>
        <v>0</v>
      </c>
      <c r="AP267">
        <f t="shared" ca="1" si="42"/>
        <v>0</v>
      </c>
    </row>
    <row r="268" spans="1:42" x14ac:dyDescent="0.2">
      <c r="A268" s="2" t="s">
        <v>245</v>
      </c>
      <c r="B268" s="2" t="str">
        <f>VLOOKUP(A268,'[14]Calculated coal req (reg.)'!$A$2:$B$599,2,FALSE)</f>
        <v>PARICHHA TPS UNIT 5-6</v>
      </c>
      <c r="C268" s="2">
        <v>3.9791618148913201</v>
      </c>
      <c r="D268" s="2">
        <v>2.9550000000000001</v>
      </c>
      <c r="H268" t="s">
        <v>988</v>
      </c>
      <c r="I268">
        <f t="shared" ca="1" si="9"/>
        <v>0</v>
      </c>
      <c r="J268">
        <f t="shared" ca="1" si="10"/>
        <v>0</v>
      </c>
      <c r="K268">
        <f t="shared" ca="1" si="11"/>
        <v>0</v>
      </c>
      <c r="L268">
        <f t="shared" ca="1" si="12"/>
        <v>0</v>
      </c>
      <c r="M268">
        <f t="shared" ca="1" si="13"/>
        <v>0</v>
      </c>
      <c r="N268">
        <f t="shared" ca="1" si="14"/>
        <v>0</v>
      </c>
      <c r="O268">
        <f t="shared" ca="1" si="15"/>
        <v>0</v>
      </c>
      <c r="P268">
        <f t="shared" ca="1" si="16"/>
        <v>0</v>
      </c>
      <c r="Q268">
        <f t="shared" ca="1" si="17"/>
        <v>0</v>
      </c>
      <c r="R268">
        <f t="shared" ca="1" si="18"/>
        <v>0</v>
      </c>
      <c r="S268">
        <f t="shared" ca="1" si="19"/>
        <v>0</v>
      </c>
      <c r="T268">
        <f t="shared" ca="1" si="20"/>
        <v>0</v>
      </c>
      <c r="U268">
        <f t="shared" ca="1" si="21"/>
        <v>0</v>
      </c>
      <c r="V268">
        <f t="shared" ca="1" si="22"/>
        <v>0</v>
      </c>
      <c r="W268">
        <f t="shared" ca="1" si="23"/>
        <v>0</v>
      </c>
      <c r="X268">
        <f t="shared" ca="1" si="24"/>
        <v>0</v>
      </c>
      <c r="Y268">
        <f t="shared" ca="1" si="25"/>
        <v>0</v>
      </c>
      <c r="Z268">
        <f t="shared" ca="1" si="26"/>
        <v>0</v>
      </c>
      <c r="AA268">
        <f t="shared" ca="1" si="27"/>
        <v>0</v>
      </c>
      <c r="AB268">
        <f t="shared" ca="1" si="28"/>
        <v>0</v>
      </c>
      <c r="AC268">
        <f t="shared" ca="1" si="29"/>
        <v>0</v>
      </c>
      <c r="AD268">
        <f t="shared" ca="1" si="30"/>
        <v>0</v>
      </c>
      <c r="AE268">
        <f t="shared" ca="1" si="31"/>
        <v>0</v>
      </c>
      <c r="AF268">
        <f t="shared" ca="1" si="32"/>
        <v>0</v>
      </c>
      <c r="AG268">
        <f t="shared" ca="1" si="33"/>
        <v>0</v>
      </c>
      <c r="AH268">
        <f t="shared" ca="1" si="34"/>
        <v>0</v>
      </c>
      <c r="AI268">
        <f t="shared" ca="1" si="35"/>
        <v>9.6809891991582706</v>
      </c>
      <c r="AJ268">
        <f t="shared" ca="1" si="36"/>
        <v>0</v>
      </c>
      <c r="AK268">
        <f t="shared" ca="1" si="37"/>
        <v>0</v>
      </c>
      <c r="AL268">
        <f t="shared" ca="1" si="38"/>
        <v>0</v>
      </c>
      <c r="AM268">
        <f t="shared" ca="1" si="39"/>
        <v>0</v>
      </c>
      <c r="AN268">
        <f t="shared" ca="1" si="40"/>
        <v>0</v>
      </c>
      <c r="AO268">
        <f t="shared" ca="1" si="41"/>
        <v>0</v>
      </c>
      <c r="AP268">
        <f t="shared" ca="1" si="42"/>
        <v>0</v>
      </c>
    </row>
    <row r="269" spans="1:42" x14ac:dyDescent="0.2">
      <c r="A269" s="2" t="s">
        <v>244</v>
      </c>
      <c r="B269" s="2" t="str">
        <f>VLOOKUP(A269,'[14]Calculated coal req (reg.)'!$A$2:$B$599,2,FALSE)</f>
        <v>SATPURA TPS UNIT 10-11</v>
      </c>
      <c r="C269" s="2">
        <v>4.2637411416565101</v>
      </c>
      <c r="D269" s="2">
        <v>2.9550000000000001</v>
      </c>
      <c r="H269" t="s">
        <v>1117</v>
      </c>
      <c r="I269">
        <f t="shared" ca="1" si="9"/>
        <v>0</v>
      </c>
      <c r="J269">
        <f t="shared" ca="1" si="10"/>
        <v>0</v>
      </c>
      <c r="K269">
        <f t="shared" ca="1" si="11"/>
        <v>0</v>
      </c>
      <c r="L269">
        <f t="shared" ca="1" si="12"/>
        <v>0</v>
      </c>
      <c r="M269">
        <f t="shared" ca="1" si="13"/>
        <v>0</v>
      </c>
      <c r="N269">
        <f t="shared" ca="1" si="14"/>
        <v>0</v>
      </c>
      <c r="O269">
        <f t="shared" ca="1" si="15"/>
        <v>0</v>
      </c>
      <c r="P269">
        <f t="shared" ca="1" si="16"/>
        <v>0</v>
      </c>
      <c r="Q269">
        <f t="shared" ca="1" si="17"/>
        <v>9.1748676628945542</v>
      </c>
      <c r="R269">
        <f t="shared" ca="1" si="18"/>
        <v>0</v>
      </c>
      <c r="S269">
        <f t="shared" ca="1" si="19"/>
        <v>0</v>
      </c>
      <c r="T269">
        <f t="shared" ca="1" si="20"/>
        <v>0</v>
      </c>
      <c r="U269">
        <f t="shared" ca="1" si="21"/>
        <v>0</v>
      </c>
      <c r="V269">
        <f t="shared" ca="1" si="22"/>
        <v>0</v>
      </c>
      <c r="W269">
        <f t="shared" ca="1" si="23"/>
        <v>0</v>
      </c>
      <c r="X269">
        <f t="shared" ca="1" si="24"/>
        <v>0</v>
      </c>
      <c r="Y269">
        <f t="shared" ca="1" si="25"/>
        <v>0</v>
      </c>
      <c r="Z269">
        <f t="shared" ca="1" si="26"/>
        <v>0</v>
      </c>
      <c r="AA269">
        <f t="shared" ca="1" si="27"/>
        <v>0</v>
      </c>
      <c r="AB269">
        <f t="shared" ca="1" si="28"/>
        <v>0</v>
      </c>
      <c r="AC269">
        <f t="shared" ca="1" si="29"/>
        <v>0</v>
      </c>
      <c r="AD269">
        <f t="shared" ca="1" si="30"/>
        <v>0</v>
      </c>
      <c r="AE269">
        <f t="shared" ca="1" si="31"/>
        <v>0</v>
      </c>
      <c r="AF269">
        <f t="shared" ca="1" si="32"/>
        <v>0</v>
      </c>
      <c r="AG269">
        <f t="shared" ca="1" si="33"/>
        <v>0</v>
      </c>
      <c r="AH269">
        <f t="shared" ca="1" si="34"/>
        <v>0</v>
      </c>
      <c r="AI269">
        <f t="shared" ca="1" si="35"/>
        <v>0</v>
      </c>
      <c r="AJ269">
        <f t="shared" ca="1" si="36"/>
        <v>0</v>
      </c>
      <c r="AK269">
        <f t="shared" ca="1" si="37"/>
        <v>0</v>
      </c>
      <c r="AL269">
        <f t="shared" ca="1" si="38"/>
        <v>0</v>
      </c>
      <c r="AM269">
        <f t="shared" ca="1" si="39"/>
        <v>0</v>
      </c>
      <c r="AN269">
        <f t="shared" ca="1" si="40"/>
        <v>0.96111457070741579</v>
      </c>
      <c r="AO269">
        <f t="shared" ca="1" si="41"/>
        <v>0</v>
      </c>
      <c r="AP269">
        <f t="shared" ca="1" si="42"/>
        <v>0</v>
      </c>
    </row>
    <row r="270" spans="1:42" x14ac:dyDescent="0.2">
      <c r="A270" s="2" t="s">
        <v>253</v>
      </c>
      <c r="B270" s="2" t="str">
        <f>VLOOKUP(A270,'[14]Calculated coal req (reg.)'!$A$2:$B$599,2,FALSE)</f>
        <v>BINA TPS</v>
      </c>
      <c r="C270" s="2">
        <v>3.6608577389692201</v>
      </c>
      <c r="D270" s="2">
        <v>2.9550000000000001</v>
      </c>
      <c r="H270" t="s">
        <v>1054</v>
      </c>
      <c r="I270">
        <f t="shared" ca="1" si="9"/>
        <v>0</v>
      </c>
      <c r="J270">
        <f t="shared" ca="1" si="10"/>
        <v>0</v>
      </c>
      <c r="K270">
        <f t="shared" ca="1" si="11"/>
        <v>0</v>
      </c>
      <c r="L270">
        <f t="shared" ca="1" si="12"/>
        <v>0</v>
      </c>
      <c r="M270">
        <f t="shared" ca="1" si="13"/>
        <v>2.7459685340279205E-3</v>
      </c>
      <c r="N270">
        <f t="shared" ca="1" si="14"/>
        <v>0</v>
      </c>
      <c r="O270">
        <f t="shared" ca="1" si="15"/>
        <v>0</v>
      </c>
      <c r="P270">
        <f t="shared" ca="1" si="16"/>
        <v>0</v>
      </c>
      <c r="Q270">
        <f t="shared" ca="1" si="17"/>
        <v>11.889944195196591</v>
      </c>
      <c r="R270">
        <f t="shared" ca="1" si="18"/>
        <v>0</v>
      </c>
      <c r="S270">
        <f t="shared" ca="1" si="19"/>
        <v>0</v>
      </c>
      <c r="T270">
        <f t="shared" ca="1" si="20"/>
        <v>0</v>
      </c>
      <c r="U270">
        <f t="shared" ca="1" si="21"/>
        <v>0.31464752703356214</v>
      </c>
      <c r="V270">
        <f t="shared" ca="1" si="22"/>
        <v>4.6393663197596198E-2</v>
      </c>
      <c r="W270">
        <f t="shared" ca="1" si="23"/>
        <v>0</v>
      </c>
      <c r="X270">
        <f t="shared" ca="1" si="24"/>
        <v>0</v>
      </c>
      <c r="Y270">
        <f t="shared" ca="1" si="25"/>
        <v>0</v>
      </c>
      <c r="Z270">
        <f t="shared" ca="1" si="26"/>
        <v>0</v>
      </c>
      <c r="AA270">
        <f t="shared" ca="1" si="27"/>
        <v>0</v>
      </c>
      <c r="AB270">
        <f t="shared" ca="1" si="28"/>
        <v>0</v>
      </c>
      <c r="AC270">
        <f t="shared" ca="1" si="29"/>
        <v>0</v>
      </c>
      <c r="AD270">
        <f t="shared" ca="1" si="30"/>
        <v>0</v>
      </c>
      <c r="AE270">
        <f t="shared" ca="1" si="31"/>
        <v>0</v>
      </c>
      <c r="AF270">
        <f t="shared" ca="1" si="32"/>
        <v>0</v>
      </c>
      <c r="AG270">
        <f t="shared" ca="1" si="33"/>
        <v>0</v>
      </c>
      <c r="AH270">
        <f t="shared" ca="1" si="34"/>
        <v>0.11102077708221415</v>
      </c>
      <c r="AI270">
        <f t="shared" ca="1" si="35"/>
        <v>0.84289558411201226</v>
      </c>
      <c r="AJ270">
        <f t="shared" ca="1" si="36"/>
        <v>0</v>
      </c>
      <c r="AK270">
        <f t="shared" ca="1" si="37"/>
        <v>0</v>
      </c>
      <c r="AL270">
        <f t="shared" ca="1" si="38"/>
        <v>0</v>
      </c>
      <c r="AM270">
        <f t="shared" ca="1" si="39"/>
        <v>0</v>
      </c>
      <c r="AN270">
        <f t="shared" ca="1" si="40"/>
        <v>1.3278600661687723</v>
      </c>
      <c r="AO270">
        <f t="shared" ca="1" si="41"/>
        <v>5.912772339201576E-2</v>
      </c>
      <c r="AP270">
        <f t="shared" ca="1" si="42"/>
        <v>0</v>
      </c>
    </row>
    <row r="271" spans="1:42" x14ac:dyDescent="0.2">
      <c r="A271" s="2" t="s">
        <v>255</v>
      </c>
      <c r="B271" s="2" t="str">
        <f>VLOOKUP(A271,'[14]Calculated coal req (reg.)'!$A$2:$B$599,2,FALSE)</f>
        <v>HARDUAGANJ TPS UNIT 8-9</v>
      </c>
      <c r="C271" s="2">
        <v>4.3817416870596899</v>
      </c>
      <c r="D271" s="2">
        <v>2.9550000000000001</v>
      </c>
      <c r="H271" t="s">
        <v>1118</v>
      </c>
      <c r="I271">
        <f t="shared" ca="1" si="9"/>
        <v>0</v>
      </c>
      <c r="J271">
        <f t="shared" ca="1" si="10"/>
        <v>0</v>
      </c>
      <c r="K271">
        <f t="shared" ca="1" si="11"/>
        <v>0</v>
      </c>
      <c r="L271">
        <f t="shared" ca="1" si="12"/>
        <v>0</v>
      </c>
      <c r="M271">
        <f t="shared" ca="1" si="13"/>
        <v>0</v>
      </c>
      <c r="N271">
        <f t="shared" ca="1" si="14"/>
        <v>0</v>
      </c>
      <c r="O271">
        <f t="shared" ca="1" si="15"/>
        <v>0</v>
      </c>
      <c r="P271">
        <f t="shared" ca="1" si="16"/>
        <v>0</v>
      </c>
      <c r="Q271">
        <f t="shared" ca="1" si="17"/>
        <v>0</v>
      </c>
      <c r="R271">
        <f t="shared" ca="1" si="18"/>
        <v>0</v>
      </c>
      <c r="S271">
        <f t="shared" ca="1" si="19"/>
        <v>0</v>
      </c>
      <c r="T271">
        <f t="shared" ca="1" si="20"/>
        <v>0</v>
      </c>
      <c r="U271">
        <f t="shared" ca="1" si="21"/>
        <v>0</v>
      </c>
      <c r="V271">
        <f t="shared" ca="1" si="22"/>
        <v>0</v>
      </c>
      <c r="W271">
        <f t="shared" ca="1" si="23"/>
        <v>0</v>
      </c>
      <c r="X271">
        <f t="shared" ca="1" si="24"/>
        <v>0</v>
      </c>
      <c r="Y271">
        <f t="shared" ca="1" si="25"/>
        <v>0</v>
      </c>
      <c r="Z271">
        <f t="shared" ca="1" si="26"/>
        <v>0</v>
      </c>
      <c r="AA271">
        <f t="shared" ca="1" si="27"/>
        <v>9.3111879369294002</v>
      </c>
      <c r="AB271">
        <f t="shared" ca="1" si="28"/>
        <v>0</v>
      </c>
      <c r="AC271">
        <f t="shared" ca="1" si="29"/>
        <v>0</v>
      </c>
      <c r="AD271">
        <f t="shared" ca="1" si="30"/>
        <v>0</v>
      </c>
      <c r="AE271">
        <f t="shared" ca="1" si="31"/>
        <v>0</v>
      </c>
      <c r="AF271">
        <f t="shared" ca="1" si="32"/>
        <v>0</v>
      </c>
      <c r="AG271">
        <f t="shared" ca="1" si="33"/>
        <v>0</v>
      </c>
      <c r="AH271">
        <f t="shared" ca="1" si="34"/>
        <v>0</v>
      </c>
      <c r="AI271">
        <f t="shared" ca="1" si="35"/>
        <v>0</v>
      </c>
      <c r="AJ271">
        <f t="shared" ca="1" si="36"/>
        <v>0</v>
      </c>
      <c r="AK271">
        <f t="shared" ca="1" si="37"/>
        <v>0</v>
      </c>
      <c r="AL271">
        <f t="shared" ca="1" si="38"/>
        <v>0</v>
      </c>
      <c r="AM271">
        <f t="shared" ca="1" si="39"/>
        <v>0</v>
      </c>
      <c r="AN271">
        <f t="shared" ca="1" si="40"/>
        <v>0</v>
      </c>
      <c r="AO271">
        <f t="shared" ca="1" si="41"/>
        <v>0</v>
      </c>
      <c r="AP271">
        <f t="shared" ca="1" si="42"/>
        <v>0</v>
      </c>
    </row>
    <row r="272" spans="1:42" x14ac:dyDescent="0.2">
      <c r="A272" s="2" t="s">
        <v>256</v>
      </c>
      <c r="B272" s="2" t="str">
        <f>VLOOKUP(A272,'[14]Calculated coal req (reg.)'!$A$2:$B$599,2,FALSE)</f>
        <v>PARICHHA TPS UNIT 5-6</v>
      </c>
      <c r="C272" s="2">
        <v>2.6389057391811002</v>
      </c>
      <c r="D272" s="2">
        <v>2.9550000000000001</v>
      </c>
      <c r="H272" t="s">
        <v>982</v>
      </c>
      <c r="I272">
        <f t="shared" ca="1" si="9"/>
        <v>17.732453774718099</v>
      </c>
      <c r="J272">
        <f t="shared" ca="1" si="10"/>
        <v>0</v>
      </c>
      <c r="K272">
        <f t="shared" ca="1" si="11"/>
        <v>0</v>
      </c>
      <c r="L272">
        <f t="shared" ca="1" si="12"/>
        <v>0</v>
      </c>
      <c r="M272">
        <f t="shared" ca="1" si="13"/>
        <v>0</v>
      </c>
      <c r="N272">
        <f t="shared" ca="1" si="14"/>
        <v>0</v>
      </c>
      <c r="O272">
        <f t="shared" ca="1" si="15"/>
        <v>0</v>
      </c>
      <c r="P272">
        <f t="shared" ca="1" si="16"/>
        <v>0</v>
      </c>
      <c r="Q272">
        <f t="shared" ca="1" si="17"/>
        <v>0</v>
      </c>
      <c r="R272">
        <f t="shared" ca="1" si="18"/>
        <v>0</v>
      </c>
      <c r="S272">
        <f t="shared" ca="1" si="19"/>
        <v>0</v>
      </c>
      <c r="T272">
        <f t="shared" ca="1" si="20"/>
        <v>0</v>
      </c>
      <c r="U272">
        <f t="shared" ca="1" si="21"/>
        <v>0</v>
      </c>
      <c r="V272">
        <f t="shared" ca="1" si="22"/>
        <v>0</v>
      </c>
      <c r="W272">
        <f t="shared" ca="1" si="23"/>
        <v>0</v>
      </c>
      <c r="X272">
        <f t="shared" ca="1" si="24"/>
        <v>0</v>
      </c>
      <c r="Y272">
        <f t="shared" ca="1" si="25"/>
        <v>0</v>
      </c>
      <c r="Z272">
        <f t="shared" ca="1" si="26"/>
        <v>0</v>
      </c>
      <c r="AA272">
        <f t="shared" ca="1" si="27"/>
        <v>0</v>
      </c>
      <c r="AB272">
        <f t="shared" ca="1" si="28"/>
        <v>0</v>
      </c>
      <c r="AC272">
        <f t="shared" ca="1" si="29"/>
        <v>0</v>
      </c>
      <c r="AD272">
        <f t="shared" ca="1" si="30"/>
        <v>0</v>
      </c>
      <c r="AE272">
        <f t="shared" ca="1" si="31"/>
        <v>0</v>
      </c>
      <c r="AF272">
        <f t="shared" ca="1" si="32"/>
        <v>0</v>
      </c>
      <c r="AG272">
        <f t="shared" ca="1" si="33"/>
        <v>0</v>
      </c>
      <c r="AH272">
        <f t="shared" ca="1" si="34"/>
        <v>0</v>
      </c>
      <c r="AI272">
        <f t="shared" ca="1" si="35"/>
        <v>0</v>
      </c>
      <c r="AJ272">
        <f t="shared" ca="1" si="36"/>
        <v>0</v>
      </c>
      <c r="AK272">
        <f t="shared" ca="1" si="37"/>
        <v>0</v>
      </c>
      <c r="AL272">
        <f t="shared" ca="1" si="38"/>
        <v>0</v>
      </c>
      <c r="AM272">
        <f t="shared" ca="1" si="39"/>
        <v>0</v>
      </c>
      <c r="AN272">
        <f t="shared" ca="1" si="40"/>
        <v>0</v>
      </c>
      <c r="AO272">
        <f t="shared" ca="1" si="41"/>
        <v>0</v>
      </c>
      <c r="AP272">
        <f t="shared" ca="1" si="42"/>
        <v>0</v>
      </c>
    </row>
    <row r="273" spans="1:42" x14ac:dyDescent="0.2">
      <c r="A273" s="2" t="s">
        <v>259</v>
      </c>
      <c r="B273" s="2" t="str">
        <f>VLOOKUP(A273,'[14]Calculated coal req (reg.)'!$A$2:$B$599,2,FALSE)</f>
        <v>SANTALDIH TPS</v>
      </c>
      <c r="C273" s="2">
        <v>5.0454858516517396</v>
      </c>
      <c r="D273" s="2">
        <v>2.9550000000000001</v>
      </c>
      <c r="H273" t="s">
        <v>975</v>
      </c>
      <c r="I273">
        <f t="shared" ca="1" si="9"/>
        <v>0</v>
      </c>
      <c r="J273">
        <f t="shared" ca="1" si="10"/>
        <v>0</v>
      </c>
      <c r="K273">
        <f t="shared" ca="1" si="11"/>
        <v>0</v>
      </c>
      <c r="L273">
        <f t="shared" ca="1" si="12"/>
        <v>0</v>
      </c>
      <c r="M273">
        <f t="shared" ca="1" si="13"/>
        <v>0</v>
      </c>
      <c r="N273">
        <f t="shared" ca="1" si="14"/>
        <v>0</v>
      </c>
      <c r="O273">
        <f t="shared" ca="1" si="15"/>
        <v>0</v>
      </c>
      <c r="P273">
        <f t="shared" ca="1" si="16"/>
        <v>0</v>
      </c>
      <c r="Q273">
        <f t="shared" ca="1" si="17"/>
        <v>0</v>
      </c>
      <c r="R273">
        <f t="shared" ca="1" si="18"/>
        <v>0</v>
      </c>
      <c r="S273">
        <f t="shared" ca="1" si="19"/>
        <v>0</v>
      </c>
      <c r="T273">
        <f t="shared" ca="1" si="20"/>
        <v>0</v>
      </c>
      <c r="U273">
        <f t="shared" ca="1" si="21"/>
        <v>0</v>
      </c>
      <c r="V273">
        <f t="shared" ca="1" si="22"/>
        <v>0</v>
      </c>
      <c r="W273">
        <f t="shared" ca="1" si="23"/>
        <v>0</v>
      </c>
      <c r="X273">
        <f t="shared" ca="1" si="24"/>
        <v>0</v>
      </c>
      <c r="Y273">
        <f t="shared" ca="1" si="25"/>
        <v>0</v>
      </c>
      <c r="Z273">
        <f t="shared" ca="1" si="26"/>
        <v>0</v>
      </c>
      <c r="AA273">
        <f t="shared" ca="1" si="27"/>
        <v>0</v>
      </c>
      <c r="AB273">
        <f t="shared" ca="1" si="28"/>
        <v>0</v>
      </c>
      <c r="AC273">
        <f t="shared" ca="1" si="29"/>
        <v>0</v>
      </c>
      <c r="AD273">
        <f t="shared" ca="1" si="30"/>
        <v>0</v>
      </c>
      <c r="AE273">
        <f t="shared" ca="1" si="31"/>
        <v>0</v>
      </c>
      <c r="AF273">
        <f t="shared" ca="1" si="32"/>
        <v>0</v>
      </c>
      <c r="AG273">
        <f t="shared" ca="1" si="33"/>
        <v>0</v>
      </c>
      <c r="AH273">
        <f t="shared" ca="1" si="34"/>
        <v>0</v>
      </c>
      <c r="AI273">
        <f t="shared" ca="1" si="35"/>
        <v>0</v>
      </c>
      <c r="AJ273">
        <f t="shared" ca="1" si="36"/>
        <v>0</v>
      </c>
      <c r="AK273">
        <f t="shared" ca="1" si="37"/>
        <v>0</v>
      </c>
      <c r="AL273">
        <f t="shared" ca="1" si="38"/>
        <v>0</v>
      </c>
      <c r="AM273">
        <f t="shared" ca="1" si="39"/>
        <v>0</v>
      </c>
      <c r="AN273">
        <f t="shared" ca="1" si="40"/>
        <v>0</v>
      </c>
      <c r="AO273">
        <f t="shared" ca="1" si="41"/>
        <v>0</v>
      </c>
      <c r="AP273">
        <f t="shared" ca="1" si="42"/>
        <v>0</v>
      </c>
    </row>
    <row r="274" spans="1:42" x14ac:dyDescent="0.2">
      <c r="A274" s="2" t="s">
        <v>260</v>
      </c>
      <c r="B274" s="2" t="str">
        <f>VLOOKUP(A274,'[14]Calculated coal req (reg.)'!$A$2:$B$599,2,FALSE)</f>
        <v>HARDUAGANJ TPS UNIT 8-9</v>
      </c>
      <c r="C274" s="2">
        <v>4.1778569085580104</v>
      </c>
      <c r="D274" s="2">
        <v>2.9550000000000001</v>
      </c>
      <c r="H274" t="s">
        <v>1017</v>
      </c>
      <c r="I274">
        <f t="shared" ca="1" si="9"/>
        <v>0</v>
      </c>
      <c r="J274">
        <f t="shared" ca="1" si="10"/>
        <v>0</v>
      </c>
      <c r="K274">
        <f t="shared" ca="1" si="11"/>
        <v>0</v>
      </c>
      <c r="L274">
        <f t="shared" ca="1" si="12"/>
        <v>0</v>
      </c>
      <c r="M274">
        <f t="shared" ca="1" si="13"/>
        <v>0</v>
      </c>
      <c r="N274">
        <f t="shared" ca="1" si="14"/>
        <v>0</v>
      </c>
      <c r="O274">
        <f t="shared" ca="1" si="15"/>
        <v>0</v>
      </c>
      <c r="P274">
        <f t="shared" ca="1" si="16"/>
        <v>0</v>
      </c>
      <c r="Q274">
        <f t="shared" ca="1" si="17"/>
        <v>0</v>
      </c>
      <c r="R274">
        <f t="shared" ca="1" si="18"/>
        <v>0</v>
      </c>
      <c r="S274">
        <f t="shared" ca="1" si="19"/>
        <v>0</v>
      </c>
      <c r="T274">
        <f t="shared" ca="1" si="20"/>
        <v>0</v>
      </c>
      <c r="U274">
        <f t="shared" ca="1" si="21"/>
        <v>0</v>
      </c>
      <c r="V274">
        <f t="shared" ca="1" si="22"/>
        <v>0</v>
      </c>
      <c r="W274">
        <f t="shared" ca="1" si="23"/>
        <v>0</v>
      </c>
      <c r="X274">
        <f t="shared" ca="1" si="24"/>
        <v>0</v>
      </c>
      <c r="Y274">
        <f t="shared" ca="1" si="25"/>
        <v>12.040159884459431</v>
      </c>
      <c r="Z274">
        <f t="shared" ca="1" si="26"/>
        <v>0</v>
      </c>
      <c r="AA274">
        <f t="shared" ca="1" si="27"/>
        <v>0</v>
      </c>
      <c r="AB274">
        <f t="shared" ca="1" si="28"/>
        <v>0</v>
      </c>
      <c r="AC274">
        <f t="shared" ca="1" si="29"/>
        <v>0</v>
      </c>
      <c r="AD274">
        <f t="shared" ca="1" si="30"/>
        <v>0</v>
      </c>
      <c r="AE274">
        <f t="shared" ca="1" si="31"/>
        <v>0</v>
      </c>
      <c r="AF274">
        <f t="shared" ca="1" si="32"/>
        <v>0</v>
      </c>
      <c r="AG274">
        <f t="shared" ca="1" si="33"/>
        <v>0</v>
      </c>
      <c r="AH274">
        <f t="shared" ca="1" si="34"/>
        <v>0</v>
      </c>
      <c r="AI274">
        <f t="shared" ca="1" si="35"/>
        <v>0</v>
      </c>
      <c r="AJ274">
        <f t="shared" ca="1" si="36"/>
        <v>0</v>
      </c>
      <c r="AK274">
        <f t="shared" ca="1" si="37"/>
        <v>0</v>
      </c>
      <c r="AL274">
        <f t="shared" ca="1" si="38"/>
        <v>0</v>
      </c>
      <c r="AM274">
        <f t="shared" ca="1" si="39"/>
        <v>0</v>
      </c>
      <c r="AN274">
        <f t="shared" ca="1" si="40"/>
        <v>0</v>
      </c>
      <c r="AO274">
        <f t="shared" ca="1" si="41"/>
        <v>0</v>
      </c>
      <c r="AP274">
        <f t="shared" ca="1" si="42"/>
        <v>0</v>
      </c>
    </row>
    <row r="275" spans="1:42" x14ac:dyDescent="0.2">
      <c r="A275" s="2" t="s">
        <v>224</v>
      </c>
      <c r="B275" s="2" t="str">
        <f>VLOOKUP(A275,'[14]Calculated coal req (reg.)'!$A$2:$B$599,2,FALSE)</f>
        <v>MUZAFFARPUR TPS UNIT 3-4</v>
      </c>
      <c r="C275" s="2">
        <v>2.9214107835866998</v>
      </c>
      <c r="D275" s="2">
        <v>2.3048999999999999</v>
      </c>
      <c r="H275" t="s">
        <v>1078</v>
      </c>
      <c r="I275">
        <f t="shared" ca="1" si="9"/>
        <v>0</v>
      </c>
      <c r="J275">
        <f t="shared" ca="1" si="10"/>
        <v>0</v>
      </c>
      <c r="K275">
        <f t="shared" ca="1" si="11"/>
        <v>0</v>
      </c>
      <c r="L275">
        <f t="shared" ca="1" si="12"/>
        <v>0</v>
      </c>
      <c r="M275">
        <f t="shared" ca="1" si="13"/>
        <v>0</v>
      </c>
      <c r="N275">
        <f t="shared" ca="1" si="14"/>
        <v>0</v>
      </c>
      <c r="O275">
        <f t="shared" ca="1" si="15"/>
        <v>0</v>
      </c>
      <c r="P275">
        <f t="shared" ca="1" si="16"/>
        <v>0</v>
      </c>
      <c r="Q275">
        <f t="shared" ca="1" si="17"/>
        <v>0</v>
      </c>
      <c r="R275">
        <f t="shared" ca="1" si="18"/>
        <v>0</v>
      </c>
      <c r="S275">
        <f t="shared" ca="1" si="19"/>
        <v>0</v>
      </c>
      <c r="T275">
        <f t="shared" ca="1" si="20"/>
        <v>0</v>
      </c>
      <c r="U275">
        <f t="shared" ca="1" si="21"/>
        <v>0</v>
      </c>
      <c r="V275">
        <f t="shared" ca="1" si="22"/>
        <v>0</v>
      </c>
      <c r="W275">
        <f t="shared" ca="1" si="23"/>
        <v>0</v>
      </c>
      <c r="X275">
        <f t="shared" ca="1" si="24"/>
        <v>0</v>
      </c>
      <c r="Y275">
        <f t="shared" ca="1" si="25"/>
        <v>0</v>
      </c>
      <c r="Z275">
        <f t="shared" ca="1" si="26"/>
        <v>0</v>
      </c>
      <c r="AA275">
        <f t="shared" ca="1" si="27"/>
        <v>0</v>
      </c>
      <c r="AB275">
        <f t="shared" ca="1" si="28"/>
        <v>0</v>
      </c>
      <c r="AC275">
        <f t="shared" ca="1" si="29"/>
        <v>0</v>
      </c>
      <c r="AD275">
        <f t="shared" ca="1" si="30"/>
        <v>0</v>
      </c>
      <c r="AE275">
        <f t="shared" ca="1" si="31"/>
        <v>0</v>
      </c>
      <c r="AF275">
        <f t="shared" ca="1" si="32"/>
        <v>0</v>
      </c>
      <c r="AG275">
        <f t="shared" ca="1" si="33"/>
        <v>0</v>
      </c>
      <c r="AH275">
        <f t="shared" ca="1" si="34"/>
        <v>0</v>
      </c>
      <c r="AI275">
        <f t="shared" ca="1" si="35"/>
        <v>0</v>
      </c>
      <c r="AJ275">
        <f t="shared" ca="1" si="36"/>
        <v>0</v>
      </c>
      <c r="AK275">
        <f t="shared" ca="1" si="37"/>
        <v>2.9746339029568754</v>
      </c>
      <c r="AL275">
        <f t="shared" ca="1" si="38"/>
        <v>0</v>
      </c>
      <c r="AM275">
        <f t="shared" ca="1" si="39"/>
        <v>0</v>
      </c>
      <c r="AN275">
        <f t="shared" ca="1" si="40"/>
        <v>5.2655745372113154</v>
      </c>
      <c r="AO275">
        <f t="shared" ca="1" si="41"/>
        <v>0</v>
      </c>
      <c r="AP275">
        <f t="shared" ca="1" si="42"/>
        <v>0</v>
      </c>
    </row>
    <row r="276" spans="1:42" x14ac:dyDescent="0.2">
      <c r="A276" s="2" t="s">
        <v>267</v>
      </c>
      <c r="B276" s="2" t="str">
        <f>VLOOKUP(A276,'[14]Calculated coal req (reg.)'!$A$2:$B$599,2,FALSE)</f>
        <v>RAICHUR TPS UNIT 8</v>
      </c>
      <c r="C276" s="2">
        <v>4.2281974909824704</v>
      </c>
      <c r="D276" s="2">
        <v>2.9550000000000001</v>
      </c>
      <c r="H276" t="s">
        <v>1119</v>
      </c>
      <c r="I276">
        <f t="shared" ca="1" si="9"/>
        <v>21.407231980458221</v>
      </c>
      <c r="J276">
        <f t="shared" ca="1" si="10"/>
        <v>0</v>
      </c>
      <c r="K276">
        <f t="shared" ca="1" si="11"/>
        <v>0</v>
      </c>
      <c r="L276">
        <f t="shared" ca="1" si="12"/>
        <v>0</v>
      </c>
      <c r="M276">
        <f t="shared" ca="1" si="13"/>
        <v>0</v>
      </c>
      <c r="N276">
        <f t="shared" ca="1" si="14"/>
        <v>0</v>
      </c>
      <c r="O276">
        <f t="shared" ca="1" si="15"/>
        <v>0</v>
      </c>
      <c r="P276">
        <f t="shared" ca="1" si="16"/>
        <v>0</v>
      </c>
      <c r="Q276">
        <f t="shared" ca="1" si="17"/>
        <v>0</v>
      </c>
      <c r="R276">
        <f t="shared" ca="1" si="18"/>
        <v>0</v>
      </c>
      <c r="S276">
        <f t="shared" ca="1" si="19"/>
        <v>0</v>
      </c>
      <c r="T276">
        <f t="shared" ca="1" si="20"/>
        <v>0</v>
      </c>
      <c r="U276">
        <f t="shared" ca="1" si="21"/>
        <v>0</v>
      </c>
      <c r="V276">
        <f t="shared" ca="1" si="22"/>
        <v>0</v>
      </c>
      <c r="W276">
        <f t="shared" ca="1" si="23"/>
        <v>0</v>
      </c>
      <c r="X276">
        <f t="shared" ca="1" si="24"/>
        <v>0</v>
      </c>
      <c r="Y276">
        <f t="shared" ca="1" si="25"/>
        <v>0</v>
      </c>
      <c r="Z276">
        <f t="shared" ca="1" si="26"/>
        <v>0</v>
      </c>
      <c r="AA276">
        <f t="shared" ca="1" si="27"/>
        <v>0</v>
      </c>
      <c r="AB276">
        <f t="shared" ca="1" si="28"/>
        <v>0</v>
      </c>
      <c r="AC276">
        <f t="shared" ca="1" si="29"/>
        <v>0</v>
      </c>
      <c r="AD276">
        <f t="shared" ca="1" si="30"/>
        <v>0</v>
      </c>
      <c r="AE276">
        <f t="shared" ca="1" si="31"/>
        <v>0</v>
      </c>
      <c r="AF276">
        <f t="shared" ca="1" si="32"/>
        <v>0</v>
      </c>
      <c r="AG276">
        <f t="shared" ca="1" si="33"/>
        <v>0</v>
      </c>
      <c r="AH276">
        <f t="shared" ca="1" si="34"/>
        <v>0</v>
      </c>
      <c r="AI276">
        <f t="shared" ca="1" si="35"/>
        <v>0</v>
      </c>
      <c r="AJ276">
        <f t="shared" ca="1" si="36"/>
        <v>0</v>
      </c>
      <c r="AK276">
        <f t="shared" ca="1" si="37"/>
        <v>0</v>
      </c>
      <c r="AL276">
        <f t="shared" ca="1" si="38"/>
        <v>0</v>
      </c>
      <c r="AM276">
        <f t="shared" ca="1" si="39"/>
        <v>0</v>
      </c>
      <c r="AN276">
        <f t="shared" ca="1" si="40"/>
        <v>0</v>
      </c>
      <c r="AO276">
        <f t="shared" ca="1" si="41"/>
        <v>0</v>
      </c>
      <c r="AP276">
        <f t="shared" ca="1" si="42"/>
        <v>0</v>
      </c>
    </row>
    <row r="277" spans="1:42" x14ac:dyDescent="0.2">
      <c r="A277" s="2" t="s">
        <v>311</v>
      </c>
      <c r="B277" s="2" t="str">
        <f>VLOOKUP(A277,'[14]Calculated coal req (reg.)'!$A$2:$B$599,2,FALSE)</f>
        <v>AMARKANTAK TPS</v>
      </c>
      <c r="C277" s="2">
        <v>4.5950846501403602</v>
      </c>
      <c r="D277" s="2"/>
      <c r="H277" t="s">
        <v>1055</v>
      </c>
      <c r="I277">
        <f t="shared" ca="1" si="9"/>
        <v>8.6369523220031095</v>
      </c>
      <c r="J277">
        <f t="shared" ca="1" si="10"/>
        <v>0</v>
      </c>
      <c r="K277">
        <f t="shared" ca="1" si="11"/>
        <v>0</v>
      </c>
      <c r="L277">
        <f t="shared" ca="1" si="12"/>
        <v>0</v>
      </c>
      <c r="M277">
        <f t="shared" ca="1" si="13"/>
        <v>0</v>
      </c>
      <c r="N277">
        <f t="shared" ca="1" si="14"/>
        <v>0</v>
      </c>
      <c r="O277">
        <f t="shared" ca="1" si="15"/>
        <v>0</v>
      </c>
      <c r="P277">
        <f t="shared" ca="1" si="16"/>
        <v>0</v>
      </c>
      <c r="Q277">
        <f t="shared" ca="1" si="17"/>
        <v>0</v>
      </c>
      <c r="R277">
        <f t="shared" ca="1" si="18"/>
        <v>0</v>
      </c>
      <c r="S277">
        <f t="shared" ca="1" si="19"/>
        <v>0</v>
      </c>
      <c r="T277">
        <f t="shared" ca="1" si="20"/>
        <v>0</v>
      </c>
      <c r="U277">
        <f t="shared" ca="1" si="21"/>
        <v>0</v>
      </c>
      <c r="V277">
        <f t="shared" ca="1" si="22"/>
        <v>0</v>
      </c>
      <c r="W277">
        <f t="shared" ca="1" si="23"/>
        <v>0</v>
      </c>
      <c r="X277">
        <f t="shared" ca="1" si="24"/>
        <v>0</v>
      </c>
      <c r="Y277">
        <f t="shared" ca="1" si="25"/>
        <v>0</v>
      </c>
      <c r="Z277">
        <f t="shared" ca="1" si="26"/>
        <v>0</v>
      </c>
      <c r="AA277">
        <f t="shared" ca="1" si="27"/>
        <v>0</v>
      </c>
      <c r="AB277">
        <f t="shared" ca="1" si="28"/>
        <v>0</v>
      </c>
      <c r="AC277">
        <f t="shared" ca="1" si="29"/>
        <v>0</v>
      </c>
      <c r="AD277">
        <f t="shared" ca="1" si="30"/>
        <v>0</v>
      </c>
      <c r="AE277">
        <f t="shared" ca="1" si="31"/>
        <v>0</v>
      </c>
      <c r="AF277">
        <f t="shared" ca="1" si="32"/>
        <v>0</v>
      </c>
      <c r="AG277">
        <f t="shared" ca="1" si="33"/>
        <v>0</v>
      </c>
      <c r="AH277">
        <f t="shared" ca="1" si="34"/>
        <v>0</v>
      </c>
      <c r="AI277">
        <f t="shared" ca="1" si="35"/>
        <v>0</v>
      </c>
      <c r="AJ277">
        <f t="shared" ca="1" si="36"/>
        <v>0</v>
      </c>
      <c r="AK277">
        <f t="shared" ca="1" si="37"/>
        <v>0</v>
      </c>
      <c r="AL277">
        <f t="shared" ca="1" si="38"/>
        <v>0</v>
      </c>
      <c r="AM277">
        <f t="shared" ca="1" si="39"/>
        <v>0</v>
      </c>
      <c r="AN277">
        <f t="shared" ca="1" si="40"/>
        <v>0</v>
      </c>
      <c r="AO277">
        <f t="shared" ca="1" si="41"/>
        <v>0</v>
      </c>
      <c r="AP277">
        <f t="shared" ca="1" si="42"/>
        <v>0</v>
      </c>
    </row>
    <row r="278" spans="1:42" x14ac:dyDescent="0.2">
      <c r="A278" s="2" t="s">
        <v>456</v>
      </c>
      <c r="B278" s="2" t="str">
        <f>VLOOKUP(A278,'[14]Calculated coal req (reg.)'!$A$2:$B$599,2,FALSE)</f>
        <v>ANPARA - A</v>
      </c>
      <c r="C278" s="2">
        <v>4.0643762869149098</v>
      </c>
      <c r="D278" s="2"/>
      <c r="H278" t="s">
        <v>1120</v>
      </c>
      <c r="I278">
        <f t="shared" ca="1" si="9"/>
        <v>0</v>
      </c>
      <c r="J278">
        <f t="shared" ca="1" si="10"/>
        <v>0</v>
      </c>
      <c r="K278">
        <f t="shared" ca="1" si="11"/>
        <v>0</v>
      </c>
      <c r="L278">
        <f t="shared" ca="1" si="12"/>
        <v>0</v>
      </c>
      <c r="M278">
        <f t="shared" ca="1" si="13"/>
        <v>0</v>
      </c>
      <c r="N278">
        <f t="shared" ca="1" si="14"/>
        <v>10.668340499496789</v>
      </c>
      <c r="O278">
        <f t="shared" ca="1" si="15"/>
        <v>0</v>
      </c>
      <c r="P278">
        <f t="shared" ca="1" si="16"/>
        <v>0</v>
      </c>
      <c r="Q278">
        <f t="shared" ca="1" si="17"/>
        <v>0</v>
      </c>
      <c r="R278">
        <f t="shared" ca="1" si="18"/>
        <v>0</v>
      </c>
      <c r="S278">
        <f t="shared" ca="1" si="19"/>
        <v>0</v>
      </c>
      <c r="T278">
        <f t="shared" ca="1" si="20"/>
        <v>0</v>
      </c>
      <c r="U278">
        <f t="shared" ca="1" si="21"/>
        <v>0</v>
      </c>
      <c r="V278">
        <f t="shared" ca="1" si="22"/>
        <v>0</v>
      </c>
      <c r="W278">
        <f t="shared" ca="1" si="23"/>
        <v>0</v>
      </c>
      <c r="X278">
        <f t="shared" ca="1" si="24"/>
        <v>0</v>
      </c>
      <c r="Y278">
        <f t="shared" ca="1" si="25"/>
        <v>0</v>
      </c>
      <c r="Z278">
        <f t="shared" ca="1" si="26"/>
        <v>0</v>
      </c>
      <c r="AA278">
        <f t="shared" ca="1" si="27"/>
        <v>0</v>
      </c>
      <c r="AB278">
        <f t="shared" ca="1" si="28"/>
        <v>0</v>
      </c>
      <c r="AC278">
        <f t="shared" ca="1" si="29"/>
        <v>0</v>
      </c>
      <c r="AD278">
        <f t="shared" ca="1" si="30"/>
        <v>0</v>
      </c>
      <c r="AE278">
        <f t="shared" ca="1" si="31"/>
        <v>0</v>
      </c>
      <c r="AF278">
        <f t="shared" ca="1" si="32"/>
        <v>0</v>
      </c>
      <c r="AG278">
        <f t="shared" ca="1" si="33"/>
        <v>0</v>
      </c>
      <c r="AH278">
        <f t="shared" ca="1" si="34"/>
        <v>0</v>
      </c>
      <c r="AI278">
        <f t="shared" ca="1" si="35"/>
        <v>0</v>
      </c>
      <c r="AJ278">
        <f t="shared" ca="1" si="36"/>
        <v>0</v>
      </c>
      <c r="AK278">
        <f t="shared" ca="1" si="37"/>
        <v>0</v>
      </c>
      <c r="AL278">
        <f t="shared" ca="1" si="38"/>
        <v>0</v>
      </c>
      <c r="AM278">
        <f t="shared" ca="1" si="39"/>
        <v>0</v>
      </c>
      <c r="AN278">
        <f t="shared" ca="1" si="40"/>
        <v>0</v>
      </c>
      <c r="AO278">
        <f t="shared" ca="1" si="41"/>
        <v>0</v>
      </c>
      <c r="AP278">
        <f t="shared" ca="1" si="42"/>
        <v>0</v>
      </c>
    </row>
    <row r="279" spans="1:42" x14ac:dyDescent="0.2">
      <c r="A279" s="2" t="s">
        <v>451</v>
      </c>
      <c r="B279" s="2" t="str">
        <f>VLOOKUP(A279,'[14]Calculated coal req (reg.)'!$A$2:$B$599,2,FALSE)</f>
        <v>ANPARA - A</v>
      </c>
      <c r="C279" s="2">
        <v>3.8906037332132701</v>
      </c>
      <c r="D279" s="2"/>
      <c r="H279" t="s">
        <v>1042</v>
      </c>
      <c r="I279">
        <f t="shared" ca="1" si="9"/>
        <v>0</v>
      </c>
      <c r="J279">
        <f t="shared" ca="1" si="10"/>
        <v>0</v>
      </c>
      <c r="K279">
        <f t="shared" ca="1" si="11"/>
        <v>0</v>
      </c>
      <c r="L279">
        <f t="shared" ca="1" si="12"/>
        <v>0</v>
      </c>
      <c r="M279">
        <f t="shared" ca="1" si="13"/>
        <v>0</v>
      </c>
      <c r="N279">
        <f t="shared" ca="1" si="14"/>
        <v>0</v>
      </c>
      <c r="O279">
        <f t="shared" ca="1" si="15"/>
        <v>0</v>
      </c>
      <c r="P279">
        <f t="shared" ca="1" si="16"/>
        <v>0</v>
      </c>
      <c r="Q279">
        <f t="shared" ca="1" si="17"/>
        <v>0</v>
      </c>
      <c r="R279">
        <f t="shared" ca="1" si="18"/>
        <v>0</v>
      </c>
      <c r="S279">
        <f t="shared" ca="1" si="19"/>
        <v>0</v>
      </c>
      <c r="T279">
        <f t="shared" ca="1" si="20"/>
        <v>0</v>
      </c>
      <c r="U279">
        <f t="shared" ca="1" si="21"/>
        <v>0</v>
      </c>
      <c r="V279">
        <f t="shared" ca="1" si="22"/>
        <v>0</v>
      </c>
      <c r="W279">
        <f t="shared" ca="1" si="23"/>
        <v>0</v>
      </c>
      <c r="X279">
        <f t="shared" ca="1" si="24"/>
        <v>0</v>
      </c>
      <c r="Y279">
        <f t="shared" ca="1" si="25"/>
        <v>0</v>
      </c>
      <c r="Z279">
        <f t="shared" ca="1" si="26"/>
        <v>0</v>
      </c>
      <c r="AA279">
        <f t="shared" ca="1" si="27"/>
        <v>0</v>
      </c>
      <c r="AB279">
        <f t="shared" ca="1" si="28"/>
        <v>0</v>
      </c>
      <c r="AC279">
        <f t="shared" ca="1" si="29"/>
        <v>0</v>
      </c>
      <c r="AD279">
        <f t="shared" ca="1" si="30"/>
        <v>0</v>
      </c>
      <c r="AE279">
        <f t="shared" ca="1" si="31"/>
        <v>0</v>
      </c>
      <c r="AF279">
        <f t="shared" ca="1" si="32"/>
        <v>0</v>
      </c>
      <c r="AG279">
        <f t="shared" ca="1" si="33"/>
        <v>0</v>
      </c>
      <c r="AH279">
        <f t="shared" ca="1" si="34"/>
        <v>17.591184609177738</v>
      </c>
      <c r="AI279">
        <f t="shared" ca="1" si="35"/>
        <v>0</v>
      </c>
      <c r="AJ279">
        <f t="shared" ca="1" si="36"/>
        <v>0</v>
      </c>
      <c r="AK279">
        <f t="shared" ca="1" si="37"/>
        <v>0</v>
      </c>
      <c r="AL279">
        <f t="shared" ca="1" si="38"/>
        <v>0</v>
      </c>
      <c r="AM279">
        <f t="shared" ca="1" si="39"/>
        <v>0</v>
      </c>
      <c r="AN279">
        <f t="shared" ca="1" si="40"/>
        <v>0</v>
      </c>
      <c r="AO279">
        <f t="shared" ca="1" si="41"/>
        <v>0</v>
      </c>
      <c r="AP279">
        <f t="shared" ca="1" si="42"/>
        <v>0</v>
      </c>
    </row>
    <row r="280" spans="1:42" x14ac:dyDescent="0.2">
      <c r="A280" s="2" t="s">
        <v>445</v>
      </c>
      <c r="B280" s="2" t="str">
        <f>VLOOKUP(A280,'[14]Calculated coal req (reg.)'!$A$2:$B$599,2,FALSE)</f>
        <v>ANPARA - A</v>
      </c>
      <c r="C280" s="2">
        <v>4.1734557606334999</v>
      </c>
      <c r="D280" s="2"/>
      <c r="H280" t="s">
        <v>1121</v>
      </c>
      <c r="I280">
        <f t="shared" ca="1" si="9"/>
        <v>0</v>
      </c>
      <c r="J280">
        <f t="shared" ca="1" si="10"/>
        <v>0</v>
      </c>
      <c r="K280">
        <f t="shared" ca="1" si="11"/>
        <v>0</v>
      </c>
      <c r="L280">
        <f t="shared" ca="1" si="12"/>
        <v>0</v>
      </c>
      <c r="M280">
        <f t="shared" ca="1" si="13"/>
        <v>0</v>
      </c>
      <c r="N280">
        <f t="shared" ca="1" si="14"/>
        <v>0</v>
      </c>
      <c r="O280">
        <f t="shared" ca="1" si="15"/>
        <v>0</v>
      </c>
      <c r="P280">
        <f t="shared" ca="1" si="16"/>
        <v>0</v>
      </c>
      <c r="Q280">
        <f t="shared" ca="1" si="17"/>
        <v>0</v>
      </c>
      <c r="R280">
        <f t="shared" ca="1" si="18"/>
        <v>0</v>
      </c>
      <c r="S280">
        <f t="shared" ca="1" si="19"/>
        <v>0</v>
      </c>
      <c r="T280">
        <f t="shared" ca="1" si="20"/>
        <v>0</v>
      </c>
      <c r="U280">
        <f t="shared" ca="1" si="21"/>
        <v>0</v>
      </c>
      <c r="V280">
        <f t="shared" ca="1" si="22"/>
        <v>0</v>
      </c>
      <c r="W280">
        <f t="shared" ca="1" si="23"/>
        <v>0</v>
      </c>
      <c r="X280">
        <f t="shared" ca="1" si="24"/>
        <v>0</v>
      </c>
      <c r="Y280">
        <f t="shared" ca="1" si="25"/>
        <v>0</v>
      </c>
      <c r="Z280">
        <f t="shared" ca="1" si="26"/>
        <v>0</v>
      </c>
      <c r="AA280">
        <f t="shared" ca="1" si="27"/>
        <v>0</v>
      </c>
      <c r="AB280">
        <f t="shared" ca="1" si="28"/>
        <v>0</v>
      </c>
      <c r="AC280">
        <f t="shared" ca="1" si="29"/>
        <v>0</v>
      </c>
      <c r="AD280">
        <f t="shared" ca="1" si="30"/>
        <v>0</v>
      </c>
      <c r="AE280">
        <f t="shared" ca="1" si="31"/>
        <v>0</v>
      </c>
      <c r="AF280">
        <f t="shared" ca="1" si="32"/>
        <v>0</v>
      </c>
      <c r="AG280">
        <f t="shared" ca="1" si="33"/>
        <v>0</v>
      </c>
      <c r="AH280">
        <f t="shared" ca="1" si="34"/>
        <v>0</v>
      </c>
      <c r="AI280">
        <f t="shared" ca="1" si="35"/>
        <v>0</v>
      </c>
      <c r="AJ280">
        <f t="shared" ca="1" si="36"/>
        <v>0</v>
      </c>
      <c r="AK280">
        <f t="shared" ca="1" si="37"/>
        <v>0</v>
      </c>
      <c r="AL280">
        <f t="shared" ca="1" si="38"/>
        <v>0</v>
      </c>
      <c r="AM280">
        <f t="shared" ca="1" si="39"/>
        <v>0</v>
      </c>
      <c r="AN280">
        <f t="shared" ca="1" si="40"/>
        <v>0</v>
      </c>
      <c r="AO280">
        <f t="shared" ca="1" si="41"/>
        <v>0</v>
      </c>
      <c r="AP280">
        <f t="shared" ca="1" si="42"/>
        <v>2.17334714479933</v>
      </c>
    </row>
    <row r="281" spans="1:42" x14ac:dyDescent="0.2">
      <c r="A281" s="2" t="s">
        <v>302</v>
      </c>
      <c r="B281" s="2" t="str">
        <f>VLOOKUP(A281,'[14]Calculated coal req (reg.)'!$A$2:$B$599,2,FALSE)</f>
        <v>BAKRESWAR TPS UNIT 1-3</v>
      </c>
      <c r="C281" s="2">
        <v>3.9706256225982401</v>
      </c>
      <c r="D281" s="2"/>
      <c r="H281" t="s">
        <v>1082</v>
      </c>
      <c r="I281">
        <f t="shared" ca="1" si="9"/>
        <v>0</v>
      </c>
      <c r="J281">
        <f t="shared" ca="1" si="10"/>
        <v>9.2737947796372414E-2</v>
      </c>
      <c r="K281">
        <f t="shared" ca="1" si="11"/>
        <v>0.99445945928437651</v>
      </c>
      <c r="L281">
        <f t="shared" ca="1" si="12"/>
        <v>13.541502906977941</v>
      </c>
      <c r="M281">
        <f t="shared" ca="1" si="13"/>
        <v>0</v>
      </c>
      <c r="N281">
        <f t="shared" ca="1" si="14"/>
        <v>0</v>
      </c>
      <c r="O281">
        <f t="shared" ca="1" si="15"/>
        <v>0</v>
      </c>
      <c r="P281">
        <f t="shared" ca="1" si="16"/>
        <v>0</v>
      </c>
      <c r="Q281">
        <f t="shared" ca="1" si="17"/>
        <v>0.54824938661715272</v>
      </c>
      <c r="R281">
        <f t="shared" ca="1" si="18"/>
        <v>0</v>
      </c>
      <c r="S281">
        <f t="shared" ca="1" si="19"/>
        <v>0</v>
      </c>
      <c r="T281">
        <f t="shared" ca="1" si="20"/>
        <v>0.27045222102010397</v>
      </c>
      <c r="U281">
        <f t="shared" ca="1" si="21"/>
        <v>0</v>
      </c>
      <c r="V281">
        <f t="shared" ca="1" si="22"/>
        <v>0.41144061736999038</v>
      </c>
      <c r="W281">
        <f t="shared" ca="1" si="23"/>
        <v>3.9835866525476726</v>
      </c>
      <c r="X281">
        <f t="shared" ca="1" si="24"/>
        <v>0</v>
      </c>
      <c r="Y281">
        <f t="shared" ca="1" si="25"/>
        <v>0</v>
      </c>
      <c r="Z281">
        <f t="shared" ca="1" si="26"/>
        <v>0</v>
      </c>
      <c r="AA281">
        <f t="shared" ca="1" si="27"/>
        <v>0</v>
      </c>
      <c r="AB281">
        <f t="shared" ca="1" si="28"/>
        <v>0</v>
      </c>
      <c r="AC281">
        <f t="shared" ca="1" si="29"/>
        <v>0</v>
      </c>
      <c r="AD281">
        <f t="shared" ca="1" si="30"/>
        <v>7.35720215756481E-2</v>
      </c>
      <c r="AE281">
        <f t="shared" ca="1" si="31"/>
        <v>0.22890566827572736</v>
      </c>
      <c r="AF281">
        <f t="shared" ca="1" si="32"/>
        <v>6.4752799506318954</v>
      </c>
      <c r="AG281">
        <f t="shared" ca="1" si="33"/>
        <v>0</v>
      </c>
      <c r="AH281">
        <f t="shared" ca="1" si="34"/>
        <v>0.29222736894289081</v>
      </c>
      <c r="AI281">
        <f t="shared" ca="1" si="35"/>
        <v>0.23937905133909171</v>
      </c>
      <c r="AJ281">
        <f t="shared" ca="1" si="36"/>
        <v>0.69559778609430578</v>
      </c>
      <c r="AK281">
        <f t="shared" ca="1" si="37"/>
        <v>0.75169076218667097</v>
      </c>
      <c r="AL281">
        <f t="shared" ca="1" si="38"/>
        <v>0.35746291124447799</v>
      </c>
      <c r="AM281">
        <f t="shared" ca="1" si="39"/>
        <v>0</v>
      </c>
      <c r="AN281">
        <f t="shared" ca="1" si="40"/>
        <v>0.72657939768168545</v>
      </c>
      <c r="AO281">
        <f t="shared" ca="1" si="41"/>
        <v>0</v>
      </c>
      <c r="AP281">
        <f t="shared" ca="1" si="42"/>
        <v>0</v>
      </c>
    </row>
    <row r="282" spans="1:42" x14ac:dyDescent="0.2">
      <c r="A282" s="2" t="s">
        <v>373</v>
      </c>
      <c r="B282" s="2" t="str">
        <f>VLOOKUP(A282,'[14]Calculated coal req (reg.)'!$A$2:$B$599,2,FALSE)</f>
        <v>BAKRESWAR TPS UNIT 1-3</v>
      </c>
      <c r="C282" s="2">
        <v>4.0064306659957198</v>
      </c>
      <c r="D282" s="2"/>
      <c r="H282" t="s">
        <v>1049</v>
      </c>
      <c r="I282">
        <f t="shared" ca="1" si="9"/>
        <v>0</v>
      </c>
      <c r="J282">
        <f t="shared" ca="1" si="10"/>
        <v>0</v>
      </c>
      <c r="K282">
        <f t="shared" ca="1" si="11"/>
        <v>4.5907752434513421E-2</v>
      </c>
      <c r="L282">
        <f t="shared" ca="1" si="12"/>
        <v>4.039416690462966</v>
      </c>
      <c r="M282">
        <f t="shared" ca="1" si="13"/>
        <v>0</v>
      </c>
      <c r="N282">
        <f t="shared" ca="1" si="14"/>
        <v>0</v>
      </c>
      <c r="O282">
        <f t="shared" ca="1" si="15"/>
        <v>0</v>
      </c>
      <c r="P282">
        <f t="shared" ca="1" si="16"/>
        <v>0</v>
      </c>
      <c r="Q282">
        <f t="shared" ca="1" si="17"/>
        <v>0</v>
      </c>
      <c r="R282">
        <f t="shared" ca="1" si="18"/>
        <v>0</v>
      </c>
      <c r="S282">
        <f t="shared" ca="1" si="19"/>
        <v>0</v>
      </c>
      <c r="T282">
        <f t="shared" ca="1" si="20"/>
        <v>0</v>
      </c>
      <c r="U282">
        <f t="shared" ca="1" si="21"/>
        <v>0</v>
      </c>
      <c r="V282">
        <f t="shared" ca="1" si="22"/>
        <v>0</v>
      </c>
      <c r="W282">
        <f t="shared" ca="1" si="23"/>
        <v>2.2561390452939896</v>
      </c>
      <c r="X282">
        <f t="shared" ca="1" si="24"/>
        <v>0</v>
      </c>
      <c r="Y282">
        <f t="shared" ca="1" si="25"/>
        <v>0</v>
      </c>
      <c r="Z282">
        <f t="shared" ca="1" si="26"/>
        <v>0</v>
      </c>
      <c r="AA282">
        <f t="shared" ca="1" si="27"/>
        <v>0</v>
      </c>
      <c r="AB282">
        <f t="shared" ca="1" si="28"/>
        <v>0</v>
      </c>
      <c r="AC282">
        <f t="shared" ca="1" si="29"/>
        <v>0</v>
      </c>
      <c r="AD282">
        <f t="shared" ca="1" si="30"/>
        <v>0</v>
      </c>
      <c r="AE282">
        <f t="shared" ca="1" si="31"/>
        <v>0</v>
      </c>
      <c r="AF282">
        <f t="shared" ca="1" si="32"/>
        <v>2.2517097700166557</v>
      </c>
      <c r="AG282">
        <f t="shared" ca="1" si="33"/>
        <v>0</v>
      </c>
      <c r="AH282">
        <f t="shared" ca="1" si="34"/>
        <v>0</v>
      </c>
      <c r="AI282">
        <f t="shared" ca="1" si="35"/>
        <v>0</v>
      </c>
      <c r="AJ282">
        <f t="shared" ca="1" si="36"/>
        <v>0</v>
      </c>
      <c r="AK282">
        <f t="shared" ca="1" si="37"/>
        <v>0</v>
      </c>
      <c r="AL282">
        <f t="shared" ca="1" si="38"/>
        <v>0.10328584273295355</v>
      </c>
      <c r="AM282">
        <f t="shared" ca="1" si="39"/>
        <v>0</v>
      </c>
      <c r="AN282">
        <f t="shared" ca="1" si="40"/>
        <v>0</v>
      </c>
      <c r="AO282">
        <f t="shared" ca="1" si="41"/>
        <v>0</v>
      </c>
      <c r="AP282">
        <f t="shared" ca="1" si="42"/>
        <v>0</v>
      </c>
    </row>
    <row r="283" spans="1:42" x14ac:dyDescent="0.2">
      <c r="A283" s="2" t="s">
        <v>365</v>
      </c>
      <c r="B283" s="2" t="str">
        <f>VLOOKUP(A283,'[14]Calculated coal req (reg.)'!$A$2:$B$599,2,FALSE)</f>
        <v>BAKRESWAR TPS UNIT 1-3</v>
      </c>
      <c r="C283" s="2">
        <v>3.7364535695063101</v>
      </c>
      <c r="D283" s="2"/>
      <c r="H283" t="s">
        <v>976</v>
      </c>
      <c r="I283">
        <f t="shared" ca="1" si="9"/>
        <v>0.24399384202289001</v>
      </c>
      <c r="J283">
        <f t="shared" ca="1" si="10"/>
        <v>0</v>
      </c>
      <c r="K283">
        <f t="shared" ca="1" si="11"/>
        <v>0</v>
      </c>
      <c r="L283">
        <f t="shared" ca="1" si="12"/>
        <v>0</v>
      </c>
      <c r="M283">
        <f t="shared" ca="1" si="13"/>
        <v>0</v>
      </c>
      <c r="N283">
        <f t="shared" ca="1" si="14"/>
        <v>0.53766045787590566</v>
      </c>
      <c r="O283">
        <f t="shared" ca="1" si="15"/>
        <v>0.41758640342787473</v>
      </c>
      <c r="P283">
        <f t="shared" ca="1" si="16"/>
        <v>0.14313699882032238</v>
      </c>
      <c r="Q283">
        <f t="shared" ca="1" si="17"/>
        <v>0</v>
      </c>
      <c r="R283">
        <f t="shared" ca="1" si="18"/>
        <v>8.3980195750453179E-2</v>
      </c>
      <c r="S283">
        <f t="shared" ca="1" si="19"/>
        <v>1.5756710975027088</v>
      </c>
      <c r="T283">
        <f t="shared" ca="1" si="20"/>
        <v>0</v>
      </c>
      <c r="U283">
        <f t="shared" ca="1" si="21"/>
        <v>0</v>
      </c>
      <c r="V283">
        <f t="shared" ca="1" si="22"/>
        <v>0</v>
      </c>
      <c r="W283">
        <f t="shared" ca="1" si="23"/>
        <v>0</v>
      </c>
      <c r="X283">
        <f t="shared" ca="1" si="24"/>
        <v>0</v>
      </c>
      <c r="Y283">
        <f t="shared" ca="1" si="25"/>
        <v>0</v>
      </c>
      <c r="Z283">
        <f t="shared" ca="1" si="26"/>
        <v>0</v>
      </c>
      <c r="AA283">
        <f t="shared" ca="1" si="27"/>
        <v>0.23754160815131156</v>
      </c>
      <c r="AB283">
        <f t="shared" ca="1" si="28"/>
        <v>0</v>
      </c>
      <c r="AC283">
        <f t="shared" ca="1" si="29"/>
        <v>0</v>
      </c>
      <c r="AD283">
        <f t="shared" ca="1" si="30"/>
        <v>0</v>
      </c>
      <c r="AE283">
        <f t="shared" ca="1" si="31"/>
        <v>0</v>
      </c>
      <c r="AF283">
        <f t="shared" ca="1" si="32"/>
        <v>0</v>
      </c>
      <c r="AG283">
        <f t="shared" ca="1" si="33"/>
        <v>0</v>
      </c>
      <c r="AH283">
        <f t="shared" ca="1" si="34"/>
        <v>0</v>
      </c>
      <c r="AI283">
        <f t="shared" ca="1" si="35"/>
        <v>0</v>
      </c>
      <c r="AJ283">
        <f t="shared" ca="1" si="36"/>
        <v>0</v>
      </c>
      <c r="AK283">
        <f t="shared" ca="1" si="37"/>
        <v>0</v>
      </c>
      <c r="AL283">
        <f t="shared" ca="1" si="38"/>
        <v>6.1434640370343387E-2</v>
      </c>
      <c r="AM283">
        <f t="shared" ca="1" si="39"/>
        <v>0</v>
      </c>
      <c r="AN283">
        <f t="shared" ca="1" si="40"/>
        <v>0</v>
      </c>
      <c r="AO283">
        <f t="shared" ca="1" si="41"/>
        <v>0</v>
      </c>
      <c r="AP283">
        <f t="shared" ca="1" si="42"/>
        <v>0</v>
      </c>
    </row>
    <row r="284" spans="1:42" x14ac:dyDescent="0.2">
      <c r="A284" s="2" t="s">
        <v>358</v>
      </c>
      <c r="B284" s="2" t="str">
        <f>VLOOKUP(A284,'[14]Calculated coal req (reg.)'!$A$2:$B$599,2,FALSE)</f>
        <v>BAKRESWAR TPS UNIT 4-5</v>
      </c>
      <c r="C284" s="2">
        <v>4.0090597183819696</v>
      </c>
      <c r="D284" s="2"/>
      <c r="H284" t="s">
        <v>1122</v>
      </c>
      <c r="I284">
        <f t="shared" ca="1" si="9"/>
        <v>0</v>
      </c>
      <c r="J284">
        <f t="shared" ca="1" si="10"/>
        <v>0</v>
      </c>
      <c r="K284">
        <f t="shared" ca="1" si="11"/>
        <v>0</v>
      </c>
      <c r="L284">
        <f t="shared" ca="1" si="12"/>
        <v>0</v>
      </c>
      <c r="M284">
        <f t="shared" ca="1" si="13"/>
        <v>0</v>
      </c>
      <c r="N284">
        <f t="shared" ca="1" si="14"/>
        <v>0</v>
      </c>
      <c r="O284">
        <f t="shared" ca="1" si="15"/>
        <v>0</v>
      </c>
      <c r="P284">
        <f t="shared" ca="1" si="16"/>
        <v>0</v>
      </c>
      <c r="Q284">
        <f t="shared" ca="1" si="17"/>
        <v>0</v>
      </c>
      <c r="R284">
        <f t="shared" ca="1" si="18"/>
        <v>0</v>
      </c>
      <c r="S284">
        <f t="shared" ca="1" si="19"/>
        <v>4.9578403548745804</v>
      </c>
      <c r="T284">
        <f t="shared" ca="1" si="20"/>
        <v>0</v>
      </c>
      <c r="U284">
        <f t="shared" ca="1" si="21"/>
        <v>0</v>
      </c>
      <c r="V284">
        <f t="shared" ca="1" si="22"/>
        <v>0</v>
      </c>
      <c r="W284">
        <f t="shared" ca="1" si="23"/>
        <v>0</v>
      </c>
      <c r="X284">
        <f t="shared" ca="1" si="24"/>
        <v>0</v>
      </c>
      <c r="Y284">
        <f t="shared" ca="1" si="25"/>
        <v>0</v>
      </c>
      <c r="Z284">
        <f t="shared" ca="1" si="26"/>
        <v>0</v>
      </c>
      <c r="AA284">
        <f t="shared" ca="1" si="27"/>
        <v>0</v>
      </c>
      <c r="AB284">
        <f t="shared" ca="1" si="28"/>
        <v>0</v>
      </c>
      <c r="AC284">
        <f t="shared" ca="1" si="29"/>
        <v>0</v>
      </c>
      <c r="AD284">
        <f t="shared" ca="1" si="30"/>
        <v>0</v>
      </c>
      <c r="AE284">
        <f t="shared" ca="1" si="31"/>
        <v>0</v>
      </c>
      <c r="AF284">
        <f t="shared" ca="1" si="32"/>
        <v>0</v>
      </c>
      <c r="AG284">
        <f t="shared" ca="1" si="33"/>
        <v>0</v>
      </c>
      <c r="AH284">
        <f t="shared" ca="1" si="34"/>
        <v>0</v>
      </c>
      <c r="AI284">
        <f t="shared" ca="1" si="35"/>
        <v>0</v>
      </c>
      <c r="AJ284">
        <f t="shared" ca="1" si="36"/>
        <v>0</v>
      </c>
      <c r="AK284">
        <f t="shared" ca="1" si="37"/>
        <v>0</v>
      </c>
      <c r="AL284">
        <f t="shared" ca="1" si="38"/>
        <v>0</v>
      </c>
      <c r="AM284">
        <f t="shared" ca="1" si="39"/>
        <v>0</v>
      </c>
      <c r="AN284">
        <f t="shared" ca="1" si="40"/>
        <v>0</v>
      </c>
      <c r="AO284">
        <f t="shared" ca="1" si="41"/>
        <v>0</v>
      </c>
      <c r="AP284">
        <f t="shared" ca="1" si="42"/>
        <v>0</v>
      </c>
    </row>
    <row r="285" spans="1:42" x14ac:dyDescent="0.2">
      <c r="A285" s="2" t="s">
        <v>313</v>
      </c>
      <c r="B285" s="2" t="str">
        <f>VLOOKUP(A285,'[14]Calculated coal req (reg.)'!$A$2:$B$599,2,FALSE)</f>
        <v>BAKRESWAR TPS UNIT 4-5</v>
      </c>
      <c r="C285" s="2">
        <v>3.76882644472694</v>
      </c>
      <c r="D285" s="2"/>
      <c r="H285" t="s">
        <v>1123</v>
      </c>
      <c r="I285">
        <f t="shared" ca="1" si="9"/>
        <v>0</v>
      </c>
      <c r="J285">
        <f t="shared" ca="1" si="10"/>
        <v>0</v>
      </c>
      <c r="K285">
        <f t="shared" ca="1" si="11"/>
        <v>0</v>
      </c>
      <c r="L285">
        <f t="shared" ca="1" si="12"/>
        <v>0</v>
      </c>
      <c r="M285">
        <f t="shared" ca="1" si="13"/>
        <v>0</v>
      </c>
      <c r="N285">
        <f t="shared" ca="1" si="14"/>
        <v>0</v>
      </c>
      <c r="O285">
        <f t="shared" ca="1" si="15"/>
        <v>0</v>
      </c>
      <c r="P285">
        <f t="shared" ca="1" si="16"/>
        <v>0</v>
      </c>
      <c r="Q285">
        <f t="shared" ca="1" si="17"/>
        <v>0</v>
      </c>
      <c r="R285">
        <f t="shared" ca="1" si="18"/>
        <v>0</v>
      </c>
      <c r="S285">
        <f t="shared" ca="1" si="19"/>
        <v>3.7000039391210602</v>
      </c>
      <c r="T285">
        <f t="shared" ca="1" si="20"/>
        <v>0</v>
      </c>
      <c r="U285">
        <f t="shared" ca="1" si="21"/>
        <v>0</v>
      </c>
      <c r="V285">
        <f t="shared" ca="1" si="22"/>
        <v>0</v>
      </c>
      <c r="W285">
        <f t="shared" ca="1" si="23"/>
        <v>0</v>
      </c>
      <c r="X285">
        <f t="shared" ca="1" si="24"/>
        <v>0</v>
      </c>
      <c r="Y285">
        <f t="shared" ca="1" si="25"/>
        <v>0</v>
      </c>
      <c r="Z285">
        <f t="shared" ca="1" si="26"/>
        <v>0</v>
      </c>
      <c r="AA285">
        <f t="shared" ca="1" si="27"/>
        <v>0</v>
      </c>
      <c r="AB285">
        <f t="shared" ca="1" si="28"/>
        <v>0</v>
      </c>
      <c r="AC285">
        <f t="shared" ca="1" si="29"/>
        <v>0</v>
      </c>
      <c r="AD285">
        <f t="shared" ca="1" si="30"/>
        <v>0</v>
      </c>
      <c r="AE285">
        <f t="shared" ca="1" si="31"/>
        <v>0</v>
      </c>
      <c r="AF285">
        <f t="shared" ca="1" si="32"/>
        <v>0</v>
      </c>
      <c r="AG285">
        <f t="shared" ca="1" si="33"/>
        <v>0</v>
      </c>
      <c r="AH285">
        <f t="shared" ca="1" si="34"/>
        <v>0</v>
      </c>
      <c r="AI285">
        <f t="shared" ca="1" si="35"/>
        <v>0</v>
      </c>
      <c r="AJ285">
        <f t="shared" ca="1" si="36"/>
        <v>0</v>
      </c>
      <c r="AK285">
        <f t="shared" ca="1" si="37"/>
        <v>0</v>
      </c>
      <c r="AL285">
        <f t="shared" ca="1" si="38"/>
        <v>0</v>
      </c>
      <c r="AM285">
        <f t="shared" ca="1" si="39"/>
        <v>0</v>
      </c>
      <c r="AN285">
        <f t="shared" ca="1" si="40"/>
        <v>0</v>
      </c>
      <c r="AO285">
        <f t="shared" ca="1" si="41"/>
        <v>0</v>
      </c>
      <c r="AP285">
        <f t="shared" ca="1" si="42"/>
        <v>0</v>
      </c>
    </row>
    <row r="286" spans="1:42" x14ac:dyDescent="0.2">
      <c r="A286" s="2" t="s">
        <v>540</v>
      </c>
      <c r="B286" s="2" t="str">
        <f>VLOOKUP(A286,'[14]Calculated coal req (reg.)'!$A$2:$B$599,2,FALSE)</f>
        <v>BANDEL TPS</v>
      </c>
      <c r="C286" s="2">
        <v>0.51929747073467802</v>
      </c>
      <c r="D286" s="2"/>
      <c r="H286" t="s">
        <v>1124</v>
      </c>
      <c r="I286">
        <f t="shared" ca="1" si="9"/>
        <v>0</v>
      </c>
      <c r="J286">
        <f t="shared" ca="1" si="10"/>
        <v>0</v>
      </c>
      <c r="K286">
        <f t="shared" ca="1" si="11"/>
        <v>0</v>
      </c>
      <c r="L286">
        <f t="shared" ca="1" si="12"/>
        <v>0</v>
      </c>
      <c r="M286">
        <f t="shared" ca="1" si="13"/>
        <v>0</v>
      </c>
      <c r="N286">
        <f t="shared" ca="1" si="14"/>
        <v>0</v>
      </c>
      <c r="O286">
        <f t="shared" ca="1" si="15"/>
        <v>0</v>
      </c>
      <c r="P286">
        <f t="shared" ca="1" si="16"/>
        <v>0</v>
      </c>
      <c r="Q286">
        <f t="shared" ca="1" si="17"/>
        <v>0</v>
      </c>
      <c r="R286">
        <f t="shared" ca="1" si="18"/>
        <v>0</v>
      </c>
      <c r="S286">
        <f t="shared" ca="1" si="19"/>
        <v>0</v>
      </c>
      <c r="T286">
        <f t="shared" ca="1" si="20"/>
        <v>0</v>
      </c>
      <c r="U286">
        <f t="shared" ca="1" si="21"/>
        <v>0</v>
      </c>
      <c r="V286">
        <f t="shared" ca="1" si="22"/>
        <v>0</v>
      </c>
      <c r="W286">
        <f t="shared" ca="1" si="23"/>
        <v>0</v>
      </c>
      <c r="X286">
        <f t="shared" ca="1" si="24"/>
        <v>0</v>
      </c>
      <c r="Y286">
        <f t="shared" ca="1" si="25"/>
        <v>0</v>
      </c>
      <c r="Z286">
        <f t="shared" ca="1" si="26"/>
        <v>0</v>
      </c>
      <c r="AA286">
        <f t="shared" ca="1" si="27"/>
        <v>0</v>
      </c>
      <c r="AB286">
        <f t="shared" ca="1" si="28"/>
        <v>0</v>
      </c>
      <c r="AC286">
        <f t="shared" ca="1" si="29"/>
        <v>0</v>
      </c>
      <c r="AD286">
        <f t="shared" ca="1" si="30"/>
        <v>0</v>
      </c>
      <c r="AE286">
        <f t="shared" ca="1" si="31"/>
        <v>0</v>
      </c>
      <c r="AF286">
        <f t="shared" ca="1" si="32"/>
        <v>0</v>
      </c>
      <c r="AG286">
        <f t="shared" ca="1" si="33"/>
        <v>0</v>
      </c>
      <c r="AH286">
        <f t="shared" ca="1" si="34"/>
        <v>5.3764719607323697</v>
      </c>
      <c r="AI286">
        <f t="shared" ca="1" si="35"/>
        <v>0</v>
      </c>
      <c r="AJ286">
        <f t="shared" ca="1" si="36"/>
        <v>0</v>
      </c>
      <c r="AK286">
        <f t="shared" ca="1" si="37"/>
        <v>0</v>
      </c>
      <c r="AL286">
        <f t="shared" ca="1" si="38"/>
        <v>0</v>
      </c>
      <c r="AM286">
        <f t="shared" ca="1" si="39"/>
        <v>0</v>
      </c>
      <c r="AN286">
        <f t="shared" ca="1" si="40"/>
        <v>0</v>
      </c>
      <c r="AO286">
        <f t="shared" ca="1" si="41"/>
        <v>0</v>
      </c>
      <c r="AP286">
        <f t="shared" ca="1" si="42"/>
        <v>0</v>
      </c>
    </row>
    <row r="287" spans="1:42" x14ac:dyDescent="0.2">
      <c r="A287" s="2" t="s">
        <v>539</v>
      </c>
      <c r="B287" s="2" t="str">
        <f>VLOOKUP(A287,'[14]Calculated coal req (reg.)'!$A$2:$B$599,2,FALSE)</f>
        <v>BANDEL TPS</v>
      </c>
      <c r="C287" s="2">
        <v>0.53532126489750498</v>
      </c>
      <c r="D287" s="2"/>
      <c r="H287" t="s">
        <v>1187</v>
      </c>
      <c r="I287">
        <f t="shared" ca="1" si="9"/>
        <v>0</v>
      </c>
      <c r="J287">
        <f t="shared" ca="1" si="10"/>
        <v>0</v>
      </c>
      <c r="K287">
        <f t="shared" ca="1" si="11"/>
        <v>0</v>
      </c>
      <c r="L287">
        <f t="shared" ca="1" si="12"/>
        <v>0</v>
      </c>
      <c r="M287">
        <f t="shared" ca="1" si="13"/>
        <v>0</v>
      </c>
      <c r="N287">
        <f t="shared" ca="1" si="14"/>
        <v>0</v>
      </c>
      <c r="O287">
        <f t="shared" ca="1" si="15"/>
        <v>0</v>
      </c>
      <c r="P287">
        <f t="shared" ca="1" si="16"/>
        <v>0</v>
      </c>
      <c r="Q287">
        <f t="shared" ca="1" si="17"/>
        <v>0</v>
      </c>
      <c r="R287">
        <f t="shared" ca="1" si="18"/>
        <v>0</v>
      </c>
      <c r="S287">
        <f t="shared" ca="1" si="19"/>
        <v>0</v>
      </c>
      <c r="T287">
        <f t="shared" ca="1" si="20"/>
        <v>0</v>
      </c>
      <c r="U287">
        <f t="shared" ca="1" si="21"/>
        <v>0</v>
      </c>
      <c r="V287">
        <f t="shared" ca="1" si="22"/>
        <v>0</v>
      </c>
      <c r="W287">
        <f t="shared" ca="1" si="23"/>
        <v>0</v>
      </c>
      <c r="X287">
        <f t="shared" ca="1" si="24"/>
        <v>0</v>
      </c>
      <c r="Y287">
        <f t="shared" ca="1" si="25"/>
        <v>0</v>
      </c>
      <c r="Z287">
        <f t="shared" ca="1" si="26"/>
        <v>0</v>
      </c>
      <c r="AA287">
        <f t="shared" ca="1" si="27"/>
        <v>0</v>
      </c>
      <c r="AB287">
        <f t="shared" ca="1" si="28"/>
        <v>0</v>
      </c>
      <c r="AC287">
        <f t="shared" ca="1" si="29"/>
        <v>0</v>
      </c>
      <c r="AD287">
        <f t="shared" ca="1" si="30"/>
        <v>0</v>
      </c>
      <c r="AE287">
        <f t="shared" ca="1" si="31"/>
        <v>0</v>
      </c>
      <c r="AF287">
        <f t="shared" ca="1" si="32"/>
        <v>0</v>
      </c>
      <c r="AG287">
        <f t="shared" ca="1" si="33"/>
        <v>0</v>
      </c>
      <c r="AH287">
        <f t="shared" ca="1" si="34"/>
        <v>0</v>
      </c>
      <c r="AI287">
        <f t="shared" ca="1" si="35"/>
        <v>0</v>
      </c>
      <c r="AJ287">
        <f t="shared" ca="1" si="36"/>
        <v>0</v>
      </c>
      <c r="AK287">
        <f t="shared" ca="1" si="37"/>
        <v>0</v>
      </c>
      <c r="AL287">
        <f t="shared" ca="1" si="38"/>
        <v>0</v>
      </c>
      <c r="AM287">
        <f t="shared" ca="1" si="39"/>
        <v>0</v>
      </c>
      <c r="AN287">
        <f t="shared" ca="1" si="40"/>
        <v>0</v>
      </c>
      <c r="AO287">
        <f t="shared" ca="1" si="41"/>
        <v>0</v>
      </c>
      <c r="AP287">
        <f t="shared" ca="1" si="42"/>
        <v>0</v>
      </c>
    </row>
    <row r="288" spans="1:42" x14ac:dyDescent="0.2">
      <c r="A288" s="2" t="s">
        <v>488</v>
      </c>
      <c r="B288" s="2" t="str">
        <f>VLOOKUP(A288,'[14]Calculated coal req (reg.)'!$A$2:$B$599,2,FALSE)</f>
        <v>BANDEL TPS</v>
      </c>
      <c r="C288" s="2">
        <v>2.4340535206667</v>
      </c>
      <c r="D288" s="2"/>
      <c r="H288" t="s">
        <v>1091</v>
      </c>
      <c r="I288">
        <f t="shared" ca="1" si="9"/>
        <v>0</v>
      </c>
      <c r="J288">
        <f t="shared" ca="1" si="10"/>
        <v>0</v>
      </c>
      <c r="K288">
        <f t="shared" ca="1" si="11"/>
        <v>0</v>
      </c>
      <c r="L288">
        <f t="shared" ca="1" si="12"/>
        <v>0</v>
      </c>
      <c r="M288">
        <f t="shared" ca="1" si="13"/>
        <v>0</v>
      </c>
      <c r="N288">
        <f t="shared" ca="1" si="14"/>
        <v>0</v>
      </c>
      <c r="O288">
        <f t="shared" ca="1" si="15"/>
        <v>0</v>
      </c>
      <c r="P288">
        <f t="shared" ca="1" si="16"/>
        <v>0</v>
      </c>
      <c r="Q288">
        <f t="shared" ca="1" si="17"/>
        <v>0</v>
      </c>
      <c r="R288">
        <f t="shared" ca="1" si="18"/>
        <v>0</v>
      </c>
      <c r="S288">
        <f t="shared" ca="1" si="19"/>
        <v>0</v>
      </c>
      <c r="T288">
        <f t="shared" ca="1" si="20"/>
        <v>0</v>
      </c>
      <c r="U288">
        <f t="shared" ca="1" si="21"/>
        <v>0</v>
      </c>
      <c r="V288">
        <f t="shared" ca="1" si="22"/>
        <v>0</v>
      </c>
      <c r="W288">
        <f t="shared" ca="1" si="23"/>
        <v>0</v>
      </c>
      <c r="X288">
        <f t="shared" ca="1" si="24"/>
        <v>0</v>
      </c>
      <c r="Y288">
        <f t="shared" ca="1" si="25"/>
        <v>0</v>
      </c>
      <c r="Z288">
        <f t="shared" ca="1" si="26"/>
        <v>0</v>
      </c>
      <c r="AA288">
        <f t="shared" ca="1" si="27"/>
        <v>0</v>
      </c>
      <c r="AB288">
        <f t="shared" ca="1" si="28"/>
        <v>0</v>
      </c>
      <c r="AC288">
        <f t="shared" ca="1" si="29"/>
        <v>0</v>
      </c>
      <c r="AD288">
        <f t="shared" ca="1" si="30"/>
        <v>0</v>
      </c>
      <c r="AE288">
        <f t="shared" ca="1" si="31"/>
        <v>0</v>
      </c>
      <c r="AF288">
        <f t="shared" ca="1" si="32"/>
        <v>0</v>
      </c>
      <c r="AG288">
        <f t="shared" ca="1" si="33"/>
        <v>0</v>
      </c>
      <c r="AH288">
        <f t="shared" ca="1" si="34"/>
        <v>5.2526222818606501</v>
      </c>
      <c r="AI288">
        <f t="shared" ca="1" si="35"/>
        <v>0</v>
      </c>
      <c r="AJ288">
        <f t="shared" ca="1" si="36"/>
        <v>0</v>
      </c>
      <c r="AK288">
        <f t="shared" ca="1" si="37"/>
        <v>0</v>
      </c>
      <c r="AL288">
        <f t="shared" ca="1" si="38"/>
        <v>0</v>
      </c>
      <c r="AM288">
        <f t="shared" ca="1" si="39"/>
        <v>0</v>
      </c>
      <c r="AN288">
        <f t="shared" ca="1" si="40"/>
        <v>0</v>
      </c>
      <c r="AO288">
        <f t="shared" ca="1" si="41"/>
        <v>0</v>
      </c>
      <c r="AP288">
        <f t="shared" ca="1" si="42"/>
        <v>0</v>
      </c>
    </row>
    <row r="289" spans="1:42" x14ac:dyDescent="0.2">
      <c r="A289" s="2" t="s">
        <v>265</v>
      </c>
      <c r="B289" s="2" t="str">
        <f>VLOOKUP(A289,'[14]Calculated coal req (reg.)'!$A$2:$B$599,2,FALSE)</f>
        <v>BARAUNI TPS</v>
      </c>
      <c r="C289" s="2">
        <v>0.15012921764923901</v>
      </c>
      <c r="D289" s="2"/>
      <c r="H289" t="s">
        <v>1077</v>
      </c>
      <c r="I289">
        <f t="shared" ca="1" si="9"/>
        <v>0</v>
      </c>
      <c r="J289">
        <f t="shared" ca="1" si="10"/>
        <v>0</v>
      </c>
      <c r="K289">
        <f t="shared" ca="1" si="11"/>
        <v>0</v>
      </c>
      <c r="L289">
        <f t="shared" ca="1" si="12"/>
        <v>0</v>
      </c>
      <c r="M289">
        <f t="shared" ca="1" si="13"/>
        <v>0</v>
      </c>
      <c r="N289">
        <f t="shared" ca="1" si="14"/>
        <v>0</v>
      </c>
      <c r="O289">
        <f t="shared" ca="1" si="15"/>
        <v>0</v>
      </c>
      <c r="P289">
        <f t="shared" ca="1" si="16"/>
        <v>0</v>
      </c>
      <c r="Q289">
        <f t="shared" ca="1" si="17"/>
        <v>0</v>
      </c>
      <c r="R289">
        <f t="shared" ca="1" si="18"/>
        <v>0</v>
      </c>
      <c r="S289">
        <f t="shared" ca="1" si="19"/>
        <v>0</v>
      </c>
      <c r="T289">
        <f t="shared" ca="1" si="20"/>
        <v>0</v>
      </c>
      <c r="U289">
        <f t="shared" ca="1" si="21"/>
        <v>0</v>
      </c>
      <c r="V289">
        <f t="shared" ca="1" si="22"/>
        <v>0</v>
      </c>
      <c r="W289">
        <f t="shared" ca="1" si="23"/>
        <v>0</v>
      </c>
      <c r="X289">
        <f t="shared" ca="1" si="24"/>
        <v>0</v>
      </c>
      <c r="Y289">
        <f t="shared" ca="1" si="25"/>
        <v>0</v>
      </c>
      <c r="Z289">
        <f t="shared" ca="1" si="26"/>
        <v>0</v>
      </c>
      <c r="AA289">
        <f t="shared" ca="1" si="27"/>
        <v>0</v>
      </c>
      <c r="AB289">
        <f t="shared" ca="1" si="28"/>
        <v>0</v>
      </c>
      <c r="AC289">
        <f t="shared" ca="1" si="29"/>
        <v>0</v>
      </c>
      <c r="AD289">
        <f t="shared" ca="1" si="30"/>
        <v>0</v>
      </c>
      <c r="AE289">
        <f t="shared" ca="1" si="31"/>
        <v>0</v>
      </c>
      <c r="AF289">
        <f t="shared" ca="1" si="32"/>
        <v>0</v>
      </c>
      <c r="AG289">
        <f t="shared" ca="1" si="33"/>
        <v>0</v>
      </c>
      <c r="AH289">
        <f t="shared" ca="1" si="34"/>
        <v>0</v>
      </c>
      <c r="AI289">
        <f t="shared" ca="1" si="35"/>
        <v>0</v>
      </c>
      <c r="AJ289">
        <f t="shared" ca="1" si="36"/>
        <v>0</v>
      </c>
      <c r="AK289">
        <f t="shared" ca="1" si="37"/>
        <v>0</v>
      </c>
      <c r="AL289">
        <f t="shared" ca="1" si="38"/>
        <v>0</v>
      </c>
      <c r="AM289">
        <f t="shared" ca="1" si="39"/>
        <v>0</v>
      </c>
      <c r="AN289">
        <f t="shared" ca="1" si="40"/>
        <v>0</v>
      </c>
      <c r="AO289">
        <f t="shared" ca="1" si="41"/>
        <v>0</v>
      </c>
      <c r="AP289">
        <f t="shared" ca="1" si="42"/>
        <v>12.41228395790319</v>
      </c>
    </row>
    <row r="290" spans="1:42" x14ac:dyDescent="0.2">
      <c r="A290" s="2" t="s">
        <v>341</v>
      </c>
      <c r="B290" s="2" t="str">
        <f>VLOOKUP(A290,'[14]Calculated coal req (reg.)'!$A$2:$B$599,2,FALSE)</f>
        <v>BARKHERA TPS</v>
      </c>
      <c r="C290" s="2">
        <v>0.179276400409626</v>
      </c>
      <c r="D290" s="2"/>
      <c r="H290" t="s">
        <v>1125</v>
      </c>
      <c r="I290">
        <f t="shared" ca="1" si="9"/>
        <v>0</v>
      </c>
      <c r="J290">
        <f t="shared" ca="1" si="10"/>
        <v>0</v>
      </c>
      <c r="K290">
        <f t="shared" ca="1" si="11"/>
        <v>0</v>
      </c>
      <c r="L290">
        <f t="shared" ca="1" si="12"/>
        <v>0</v>
      </c>
      <c r="M290">
        <f t="shared" ca="1" si="13"/>
        <v>0</v>
      </c>
      <c r="N290">
        <f t="shared" ca="1" si="14"/>
        <v>0</v>
      </c>
      <c r="O290">
        <f t="shared" ca="1" si="15"/>
        <v>0</v>
      </c>
      <c r="P290">
        <f t="shared" ca="1" si="16"/>
        <v>0</v>
      </c>
      <c r="Q290">
        <f t="shared" ca="1" si="17"/>
        <v>0</v>
      </c>
      <c r="R290">
        <f t="shared" ca="1" si="18"/>
        <v>0</v>
      </c>
      <c r="S290">
        <f t="shared" ca="1" si="19"/>
        <v>0</v>
      </c>
      <c r="T290">
        <f t="shared" ca="1" si="20"/>
        <v>0</v>
      </c>
      <c r="U290">
        <f t="shared" ca="1" si="21"/>
        <v>0</v>
      </c>
      <c r="V290">
        <f t="shared" ca="1" si="22"/>
        <v>0</v>
      </c>
      <c r="W290">
        <f t="shared" ca="1" si="23"/>
        <v>0</v>
      </c>
      <c r="X290">
        <f t="shared" ca="1" si="24"/>
        <v>0</v>
      </c>
      <c r="Y290">
        <f t="shared" ca="1" si="25"/>
        <v>0</v>
      </c>
      <c r="Z290">
        <f t="shared" ca="1" si="26"/>
        <v>0</v>
      </c>
      <c r="AA290">
        <f t="shared" ca="1" si="27"/>
        <v>0</v>
      </c>
      <c r="AB290">
        <f t="shared" ca="1" si="28"/>
        <v>0</v>
      </c>
      <c r="AC290">
        <f t="shared" ca="1" si="29"/>
        <v>0</v>
      </c>
      <c r="AD290">
        <f t="shared" ca="1" si="30"/>
        <v>0</v>
      </c>
      <c r="AE290">
        <f t="shared" ca="1" si="31"/>
        <v>0</v>
      </c>
      <c r="AF290">
        <f t="shared" ca="1" si="32"/>
        <v>0</v>
      </c>
      <c r="AG290">
        <f t="shared" ca="1" si="33"/>
        <v>0</v>
      </c>
      <c r="AH290">
        <f t="shared" ca="1" si="34"/>
        <v>0</v>
      </c>
      <c r="AI290">
        <f t="shared" ca="1" si="35"/>
        <v>0</v>
      </c>
      <c r="AJ290">
        <f t="shared" ca="1" si="36"/>
        <v>0</v>
      </c>
      <c r="AK290">
        <f t="shared" ca="1" si="37"/>
        <v>0</v>
      </c>
      <c r="AL290">
        <f t="shared" ca="1" si="38"/>
        <v>0</v>
      </c>
      <c r="AM290">
        <f t="shared" ca="1" si="39"/>
        <v>0</v>
      </c>
      <c r="AN290">
        <f t="shared" ca="1" si="40"/>
        <v>0.53117556109963404</v>
      </c>
      <c r="AO290">
        <f t="shared" ca="1" si="41"/>
        <v>0</v>
      </c>
      <c r="AP290">
        <f t="shared" ca="1" si="42"/>
        <v>0</v>
      </c>
    </row>
    <row r="291" spans="1:42" x14ac:dyDescent="0.2">
      <c r="A291" s="2" t="s">
        <v>339</v>
      </c>
      <c r="B291" s="2" t="str">
        <f>VLOOKUP(A291,'[14]Calculated coal req (reg.)'!$A$2:$B$599,2,FALSE)</f>
        <v>BARKHERA TPS</v>
      </c>
      <c r="C291" s="2">
        <v>0.15138768561187901</v>
      </c>
      <c r="D291" s="2"/>
      <c r="H291" t="s">
        <v>1104</v>
      </c>
      <c r="I291">
        <f t="shared" ca="1" si="9"/>
        <v>0</v>
      </c>
      <c r="J291">
        <f t="shared" ca="1" si="10"/>
        <v>0</v>
      </c>
      <c r="K291">
        <f t="shared" ca="1" si="11"/>
        <v>0</v>
      </c>
      <c r="L291">
        <f t="shared" ca="1" si="12"/>
        <v>0</v>
      </c>
      <c r="M291">
        <f t="shared" ca="1" si="13"/>
        <v>0</v>
      </c>
      <c r="N291">
        <f t="shared" ca="1" si="14"/>
        <v>0</v>
      </c>
      <c r="O291">
        <f t="shared" ca="1" si="15"/>
        <v>0</v>
      </c>
      <c r="P291">
        <f t="shared" ca="1" si="16"/>
        <v>0</v>
      </c>
      <c r="Q291">
        <f t="shared" ca="1" si="17"/>
        <v>0</v>
      </c>
      <c r="R291">
        <f t="shared" ca="1" si="18"/>
        <v>0</v>
      </c>
      <c r="S291">
        <f t="shared" ca="1" si="19"/>
        <v>0</v>
      </c>
      <c r="T291">
        <f t="shared" ca="1" si="20"/>
        <v>0</v>
      </c>
      <c r="U291">
        <f t="shared" ca="1" si="21"/>
        <v>0</v>
      </c>
      <c r="V291">
        <f t="shared" ca="1" si="22"/>
        <v>0</v>
      </c>
      <c r="W291">
        <f t="shared" ca="1" si="23"/>
        <v>0</v>
      </c>
      <c r="X291">
        <f t="shared" ca="1" si="24"/>
        <v>0</v>
      </c>
      <c r="Y291">
        <f t="shared" ca="1" si="25"/>
        <v>0</v>
      </c>
      <c r="Z291">
        <f t="shared" ca="1" si="26"/>
        <v>0</v>
      </c>
      <c r="AA291">
        <f t="shared" ca="1" si="27"/>
        <v>0</v>
      </c>
      <c r="AB291">
        <f t="shared" ca="1" si="28"/>
        <v>0</v>
      </c>
      <c r="AC291">
        <f t="shared" ca="1" si="29"/>
        <v>0</v>
      </c>
      <c r="AD291">
        <f t="shared" ca="1" si="30"/>
        <v>0</v>
      </c>
      <c r="AE291">
        <f t="shared" ca="1" si="31"/>
        <v>0</v>
      </c>
      <c r="AF291">
        <f t="shared" ca="1" si="32"/>
        <v>0</v>
      </c>
      <c r="AG291">
        <f t="shared" ca="1" si="33"/>
        <v>0</v>
      </c>
      <c r="AH291">
        <f t="shared" ca="1" si="34"/>
        <v>0</v>
      </c>
      <c r="AI291">
        <f t="shared" ca="1" si="35"/>
        <v>0</v>
      </c>
      <c r="AJ291">
        <f t="shared" ca="1" si="36"/>
        <v>0</v>
      </c>
      <c r="AK291">
        <f t="shared" ca="1" si="37"/>
        <v>0</v>
      </c>
      <c r="AL291">
        <f t="shared" ca="1" si="38"/>
        <v>0</v>
      </c>
      <c r="AM291">
        <f t="shared" ca="1" si="39"/>
        <v>0</v>
      </c>
      <c r="AN291">
        <f t="shared" ca="1" si="40"/>
        <v>8.5595985956177003</v>
      </c>
      <c r="AO291">
        <f t="shared" ca="1" si="41"/>
        <v>0</v>
      </c>
      <c r="AP291">
        <f t="shared" ca="1" si="42"/>
        <v>0</v>
      </c>
    </row>
    <row r="292" spans="1:42" x14ac:dyDescent="0.2">
      <c r="A292" s="2" t="s">
        <v>233</v>
      </c>
      <c r="B292" s="2"/>
      <c r="C292" s="2">
        <v>0.18591200716845799</v>
      </c>
      <c r="D292" s="2"/>
      <c r="H292" t="s">
        <v>1126</v>
      </c>
      <c r="I292">
        <f t="shared" ca="1" si="9"/>
        <v>0</v>
      </c>
      <c r="J292">
        <f t="shared" ca="1" si="10"/>
        <v>0</v>
      </c>
      <c r="K292">
        <f t="shared" ca="1" si="11"/>
        <v>0</v>
      </c>
      <c r="L292">
        <f t="shared" ca="1" si="12"/>
        <v>0</v>
      </c>
      <c r="M292">
        <f t="shared" ca="1" si="13"/>
        <v>0</v>
      </c>
      <c r="N292">
        <f t="shared" ca="1" si="14"/>
        <v>0</v>
      </c>
      <c r="O292">
        <f t="shared" ca="1" si="15"/>
        <v>0</v>
      </c>
      <c r="P292">
        <f t="shared" ca="1" si="16"/>
        <v>0</v>
      </c>
      <c r="Q292">
        <f t="shared" ca="1" si="17"/>
        <v>0</v>
      </c>
      <c r="R292">
        <f t="shared" ca="1" si="18"/>
        <v>0</v>
      </c>
      <c r="S292">
        <f t="shared" ca="1" si="19"/>
        <v>0</v>
      </c>
      <c r="T292">
        <f t="shared" ca="1" si="20"/>
        <v>0</v>
      </c>
      <c r="U292">
        <f t="shared" ca="1" si="21"/>
        <v>0</v>
      </c>
      <c r="V292">
        <f t="shared" ca="1" si="22"/>
        <v>0</v>
      </c>
      <c r="W292">
        <f t="shared" ca="1" si="23"/>
        <v>0</v>
      </c>
      <c r="X292">
        <f t="shared" ca="1" si="24"/>
        <v>0</v>
      </c>
      <c r="Y292">
        <f t="shared" ca="1" si="25"/>
        <v>0</v>
      </c>
      <c r="Z292">
        <f t="shared" ca="1" si="26"/>
        <v>0</v>
      </c>
      <c r="AA292">
        <f t="shared" ca="1" si="27"/>
        <v>0</v>
      </c>
      <c r="AB292">
        <f t="shared" ca="1" si="28"/>
        <v>0</v>
      </c>
      <c r="AC292">
        <f t="shared" ca="1" si="29"/>
        <v>0</v>
      </c>
      <c r="AD292">
        <f t="shared" ca="1" si="30"/>
        <v>0</v>
      </c>
      <c r="AE292">
        <f t="shared" ca="1" si="31"/>
        <v>0</v>
      </c>
      <c r="AF292">
        <f t="shared" ca="1" si="32"/>
        <v>7.6650460410867698</v>
      </c>
      <c r="AG292">
        <f t="shared" ca="1" si="33"/>
        <v>0</v>
      </c>
      <c r="AH292">
        <f t="shared" ca="1" si="34"/>
        <v>0</v>
      </c>
      <c r="AI292">
        <f t="shared" ca="1" si="35"/>
        <v>0</v>
      </c>
      <c r="AJ292">
        <f t="shared" ca="1" si="36"/>
        <v>0</v>
      </c>
      <c r="AK292">
        <f t="shared" ca="1" si="37"/>
        <v>0</v>
      </c>
      <c r="AL292">
        <f t="shared" ca="1" si="38"/>
        <v>0</v>
      </c>
      <c r="AM292">
        <f t="shared" ca="1" si="39"/>
        <v>0</v>
      </c>
      <c r="AN292">
        <f t="shared" ca="1" si="40"/>
        <v>0</v>
      </c>
      <c r="AO292">
        <f t="shared" ca="1" si="41"/>
        <v>0</v>
      </c>
      <c r="AP292">
        <f t="shared" ca="1" si="42"/>
        <v>0</v>
      </c>
    </row>
    <row r="293" spans="1:42" x14ac:dyDescent="0.2">
      <c r="A293" s="2" t="s">
        <v>290</v>
      </c>
      <c r="B293" s="2" t="str">
        <f>VLOOKUP(A293,'[14]Calculated coal req (reg.)'!$A$2:$B$599,2,FALSE)</f>
        <v>BHILAI TPS</v>
      </c>
      <c r="C293" s="2">
        <v>4.4430615712343497</v>
      </c>
      <c r="D293" s="2"/>
      <c r="H293" t="s">
        <v>986</v>
      </c>
      <c r="I293">
        <f t="shared" ca="1" si="9"/>
        <v>0</v>
      </c>
      <c r="J293">
        <f t="shared" ca="1" si="10"/>
        <v>0</v>
      </c>
      <c r="K293">
        <f t="shared" ca="1" si="11"/>
        <v>0</v>
      </c>
      <c r="L293">
        <f t="shared" ca="1" si="12"/>
        <v>0</v>
      </c>
      <c r="M293">
        <f t="shared" ca="1" si="13"/>
        <v>0</v>
      </c>
      <c r="N293">
        <f t="shared" ca="1" si="14"/>
        <v>0</v>
      </c>
      <c r="O293">
        <f t="shared" ca="1" si="15"/>
        <v>0</v>
      </c>
      <c r="P293">
        <f t="shared" ca="1" si="16"/>
        <v>0</v>
      </c>
      <c r="Q293">
        <f t="shared" ca="1" si="17"/>
        <v>0</v>
      </c>
      <c r="R293">
        <f t="shared" ca="1" si="18"/>
        <v>0</v>
      </c>
      <c r="S293">
        <f t="shared" ca="1" si="19"/>
        <v>0</v>
      </c>
      <c r="T293">
        <f t="shared" ca="1" si="20"/>
        <v>0</v>
      </c>
      <c r="U293">
        <f t="shared" ca="1" si="21"/>
        <v>0</v>
      </c>
      <c r="V293">
        <f t="shared" ca="1" si="22"/>
        <v>0</v>
      </c>
      <c r="W293">
        <f t="shared" ca="1" si="23"/>
        <v>0</v>
      </c>
      <c r="X293">
        <f t="shared" ca="1" si="24"/>
        <v>0</v>
      </c>
      <c r="Y293">
        <f t="shared" ca="1" si="25"/>
        <v>0</v>
      </c>
      <c r="Z293">
        <f t="shared" ca="1" si="26"/>
        <v>0</v>
      </c>
      <c r="AA293">
        <f t="shared" ca="1" si="27"/>
        <v>0</v>
      </c>
      <c r="AB293">
        <f t="shared" ca="1" si="28"/>
        <v>0</v>
      </c>
      <c r="AC293">
        <f t="shared" ca="1" si="29"/>
        <v>0</v>
      </c>
      <c r="AD293">
        <f t="shared" ca="1" si="30"/>
        <v>0</v>
      </c>
      <c r="AE293">
        <f t="shared" ca="1" si="31"/>
        <v>0</v>
      </c>
      <c r="AF293">
        <f t="shared" ca="1" si="32"/>
        <v>15.231579784416541</v>
      </c>
      <c r="AG293">
        <f t="shared" ca="1" si="33"/>
        <v>0</v>
      </c>
      <c r="AH293">
        <f t="shared" ca="1" si="34"/>
        <v>0</v>
      </c>
      <c r="AI293">
        <f t="shared" ca="1" si="35"/>
        <v>0</v>
      </c>
      <c r="AJ293">
        <f t="shared" ca="1" si="36"/>
        <v>0</v>
      </c>
      <c r="AK293">
        <f t="shared" ca="1" si="37"/>
        <v>0</v>
      </c>
      <c r="AL293">
        <f t="shared" ca="1" si="38"/>
        <v>0</v>
      </c>
      <c r="AM293">
        <f t="shared" ca="1" si="39"/>
        <v>0</v>
      </c>
      <c r="AN293">
        <f t="shared" ca="1" si="40"/>
        <v>0</v>
      </c>
      <c r="AO293">
        <f t="shared" ca="1" si="41"/>
        <v>0</v>
      </c>
      <c r="AP293">
        <f t="shared" ca="1" si="42"/>
        <v>0</v>
      </c>
    </row>
    <row r="294" spans="1:42" x14ac:dyDescent="0.2">
      <c r="A294" s="2" t="s">
        <v>282</v>
      </c>
      <c r="B294" s="2" t="str">
        <f>VLOOKUP(A294,'[14]Calculated coal req (reg.)'!$A$2:$B$599,2,FALSE)</f>
        <v>BHILAI TPS</v>
      </c>
      <c r="C294" s="2">
        <v>4.57049277196543</v>
      </c>
      <c r="D294" s="2"/>
      <c r="H294" t="s">
        <v>1044</v>
      </c>
      <c r="I294">
        <f t="shared" ca="1" si="9"/>
        <v>0</v>
      </c>
      <c r="J294">
        <f t="shared" ca="1" si="10"/>
        <v>0</v>
      </c>
      <c r="K294">
        <f t="shared" ca="1" si="11"/>
        <v>0</v>
      </c>
      <c r="L294">
        <f t="shared" ca="1" si="12"/>
        <v>0</v>
      </c>
      <c r="M294">
        <f t="shared" ca="1" si="13"/>
        <v>1.3119746933755136E-2</v>
      </c>
      <c r="N294">
        <f t="shared" ca="1" si="14"/>
        <v>0</v>
      </c>
      <c r="O294">
        <f t="shared" ca="1" si="15"/>
        <v>0</v>
      </c>
      <c r="P294">
        <f t="shared" ca="1" si="16"/>
        <v>0</v>
      </c>
      <c r="Q294">
        <f t="shared" ca="1" si="17"/>
        <v>6.6229508383356768</v>
      </c>
      <c r="R294">
        <f t="shared" ca="1" si="18"/>
        <v>0</v>
      </c>
      <c r="S294">
        <f t="shared" ca="1" si="19"/>
        <v>0</v>
      </c>
      <c r="T294">
        <f t="shared" ca="1" si="20"/>
        <v>8.9679407221045739</v>
      </c>
      <c r="U294">
        <f t="shared" ca="1" si="21"/>
        <v>0</v>
      </c>
      <c r="V294">
        <f t="shared" ca="1" si="22"/>
        <v>0.66535137851056503</v>
      </c>
      <c r="W294">
        <f t="shared" ca="1" si="23"/>
        <v>0</v>
      </c>
      <c r="X294">
        <f t="shared" ca="1" si="24"/>
        <v>0</v>
      </c>
      <c r="Y294">
        <f t="shared" ca="1" si="25"/>
        <v>0</v>
      </c>
      <c r="Z294">
        <f t="shared" ca="1" si="26"/>
        <v>0</v>
      </c>
      <c r="AA294">
        <f t="shared" ca="1" si="27"/>
        <v>0</v>
      </c>
      <c r="AB294">
        <f t="shared" ca="1" si="28"/>
        <v>0</v>
      </c>
      <c r="AC294">
        <f t="shared" ca="1" si="29"/>
        <v>0</v>
      </c>
      <c r="AD294">
        <f t="shared" ca="1" si="30"/>
        <v>0</v>
      </c>
      <c r="AE294">
        <f t="shared" ca="1" si="31"/>
        <v>0</v>
      </c>
      <c r="AF294">
        <f t="shared" ca="1" si="32"/>
        <v>0</v>
      </c>
      <c r="AG294">
        <f t="shared" ca="1" si="33"/>
        <v>0</v>
      </c>
      <c r="AH294">
        <f t="shared" ca="1" si="34"/>
        <v>0.10024774643810604</v>
      </c>
      <c r="AI294">
        <f t="shared" ca="1" si="35"/>
        <v>0</v>
      </c>
      <c r="AJ294">
        <f t="shared" ca="1" si="36"/>
        <v>0</v>
      </c>
      <c r="AK294">
        <f t="shared" ca="1" si="37"/>
        <v>0</v>
      </c>
      <c r="AL294">
        <f t="shared" ca="1" si="38"/>
        <v>0</v>
      </c>
      <c r="AM294">
        <f t="shared" ca="1" si="39"/>
        <v>0</v>
      </c>
      <c r="AN294">
        <f t="shared" ca="1" si="40"/>
        <v>0.35789144021020708</v>
      </c>
      <c r="AO294">
        <f t="shared" ca="1" si="41"/>
        <v>0.1092296364943072</v>
      </c>
      <c r="AP294">
        <f t="shared" ca="1" si="42"/>
        <v>0</v>
      </c>
    </row>
    <row r="295" spans="1:42" x14ac:dyDescent="0.2">
      <c r="A295" s="2" t="s">
        <v>490</v>
      </c>
      <c r="B295" s="2" t="str">
        <f>VLOOKUP(A295,'[14]Calculated coal req (reg.)'!$A$2:$B$599,2,FALSE)</f>
        <v>BHUSAWAL TPS UNIT 2-3</v>
      </c>
      <c r="C295" s="2">
        <v>0.60207771244945796</v>
      </c>
      <c r="D295" s="2"/>
      <c r="H295" t="s">
        <v>1068</v>
      </c>
      <c r="I295">
        <f t="shared" ref="I295:I358" ca="1" si="43">$I67*M67</f>
        <v>0</v>
      </c>
      <c r="J295">
        <f t="shared" ref="J295:J358" ca="1" si="44">$I67*N67</f>
        <v>0</v>
      </c>
      <c r="K295">
        <f t="shared" ref="K295:K358" ca="1" si="45">$I67*O67</f>
        <v>0</v>
      </c>
      <c r="L295">
        <f t="shared" ref="L295:L358" ca="1" si="46">$I67*P67</f>
        <v>0</v>
      </c>
      <c r="M295">
        <f t="shared" ref="M295:M358" ca="1" si="47">$I67*Q67</f>
        <v>0</v>
      </c>
      <c r="N295">
        <f t="shared" ref="N295:N358" ca="1" si="48">$I67*R67</f>
        <v>0</v>
      </c>
      <c r="O295">
        <f t="shared" ref="O295:O358" ca="1" si="49">$I67*S67</f>
        <v>0</v>
      </c>
      <c r="P295">
        <f t="shared" ref="P295:P358" ca="1" si="50">$I67*T67</f>
        <v>0</v>
      </c>
      <c r="Q295">
        <f t="shared" ref="Q295:Q358" ca="1" si="51">$I67*U67</f>
        <v>0</v>
      </c>
      <c r="R295">
        <f t="shared" ref="R295:R358" ca="1" si="52">$I67*V67</f>
        <v>0</v>
      </c>
      <c r="S295">
        <f t="shared" ref="S295:S358" ca="1" si="53">$I67*W67</f>
        <v>0</v>
      </c>
      <c r="T295">
        <f t="shared" ref="T295:T358" ca="1" si="54">$I67*X67</f>
        <v>0</v>
      </c>
      <c r="U295">
        <f t="shared" ref="U295:U358" ca="1" si="55">$I67*Y67</f>
        <v>0</v>
      </c>
      <c r="V295">
        <f t="shared" ref="V295:V358" ca="1" si="56">$I67*Z67</f>
        <v>0</v>
      </c>
      <c r="W295">
        <f t="shared" ref="W295:W358" ca="1" si="57">$I67*AA67</f>
        <v>0</v>
      </c>
      <c r="X295">
        <f t="shared" ref="X295:X358" ca="1" si="58">$I67*AB67</f>
        <v>0</v>
      </c>
      <c r="Y295">
        <f t="shared" ref="Y295:Y358" ca="1" si="59">$I67*AC67</f>
        <v>0</v>
      </c>
      <c r="Z295">
        <f t="shared" ref="Z295:Z358" ca="1" si="60">$I67*AD67</f>
        <v>0</v>
      </c>
      <c r="AA295">
        <f t="shared" ref="AA295:AA358" ca="1" si="61">$I67*AE67</f>
        <v>0</v>
      </c>
      <c r="AB295">
        <f t="shared" ref="AB295:AB358" ca="1" si="62">$I67*AF67</f>
        <v>0</v>
      </c>
      <c r="AC295">
        <f t="shared" ref="AC295:AC358" ca="1" si="63">$I67*AG67</f>
        <v>0</v>
      </c>
      <c r="AD295">
        <f t="shared" ref="AD295:AD358" ca="1" si="64">$I67*AH67</f>
        <v>0</v>
      </c>
      <c r="AE295">
        <f t="shared" ref="AE295:AE358" ca="1" si="65">$I67*AI67</f>
        <v>0</v>
      </c>
      <c r="AF295">
        <f t="shared" ref="AF295:AF358" ca="1" si="66">$I67*AJ67</f>
        <v>0</v>
      </c>
      <c r="AG295">
        <f t="shared" ref="AG295:AG358" ca="1" si="67">$I67*AK67</f>
        <v>0</v>
      </c>
      <c r="AH295">
        <f t="shared" ref="AH295:AH358" ca="1" si="68">$I67*AL67</f>
        <v>0</v>
      </c>
      <c r="AI295">
        <f t="shared" ref="AI295:AI358" ca="1" si="69">$I67*AM67</f>
        <v>0</v>
      </c>
      <c r="AJ295">
        <f t="shared" ref="AJ295:AJ358" ca="1" si="70">$I67*AN67</f>
        <v>0</v>
      </c>
      <c r="AK295">
        <f t="shared" ref="AK295:AK358" ca="1" si="71">$I67*AO67</f>
        <v>8.5593640587168807</v>
      </c>
      <c r="AL295">
        <f t="shared" ref="AL295:AL358" ca="1" si="72">$I67*AP67</f>
        <v>0</v>
      </c>
      <c r="AM295">
        <f t="shared" ref="AM295:AM358" ca="1" si="73">$I67*AQ67</f>
        <v>0</v>
      </c>
      <c r="AN295">
        <f t="shared" ref="AN295:AN358" ca="1" si="74">$I67*AR67</f>
        <v>0</v>
      </c>
      <c r="AO295">
        <f t="shared" ref="AO295:AO358" ca="1" si="75">$I67*AS67</f>
        <v>0</v>
      </c>
      <c r="AP295">
        <f t="shared" ref="AP295:AP358" ca="1" si="76">$I67*AT67</f>
        <v>0</v>
      </c>
    </row>
    <row r="296" spans="1:42" x14ac:dyDescent="0.2">
      <c r="A296" s="2" t="s">
        <v>411</v>
      </c>
      <c r="B296" s="2"/>
      <c r="C296" s="2">
        <v>1.0924949052739299</v>
      </c>
      <c r="D296" s="2"/>
      <c r="H296" t="s">
        <v>1065</v>
      </c>
      <c r="I296">
        <f t="shared" ca="1" si="43"/>
        <v>0</v>
      </c>
      <c r="J296">
        <f t="shared" ca="1" si="44"/>
        <v>0</v>
      </c>
      <c r="K296">
        <f t="shared" ca="1" si="45"/>
        <v>0</v>
      </c>
      <c r="L296">
        <f t="shared" ca="1" si="46"/>
        <v>0</v>
      </c>
      <c r="M296">
        <f t="shared" ca="1" si="47"/>
        <v>0</v>
      </c>
      <c r="N296">
        <f t="shared" ca="1" si="48"/>
        <v>0</v>
      </c>
      <c r="O296">
        <f t="shared" ca="1" si="49"/>
        <v>0</v>
      </c>
      <c r="P296">
        <f t="shared" ca="1" si="50"/>
        <v>0</v>
      </c>
      <c r="Q296">
        <f t="shared" ca="1" si="51"/>
        <v>0</v>
      </c>
      <c r="R296">
        <f t="shared" ca="1" si="52"/>
        <v>0</v>
      </c>
      <c r="S296">
        <f t="shared" ca="1" si="53"/>
        <v>0</v>
      </c>
      <c r="T296">
        <f t="shared" ca="1" si="54"/>
        <v>0</v>
      </c>
      <c r="U296">
        <f t="shared" ca="1" si="55"/>
        <v>0</v>
      </c>
      <c r="V296">
        <f t="shared" ca="1" si="56"/>
        <v>0</v>
      </c>
      <c r="W296">
        <f t="shared" ca="1" si="57"/>
        <v>0</v>
      </c>
      <c r="X296">
        <f t="shared" ca="1" si="58"/>
        <v>0</v>
      </c>
      <c r="Y296">
        <f t="shared" ca="1" si="59"/>
        <v>0</v>
      </c>
      <c r="Z296">
        <f t="shared" ca="1" si="60"/>
        <v>0</v>
      </c>
      <c r="AA296">
        <f t="shared" ca="1" si="61"/>
        <v>0</v>
      </c>
      <c r="AB296">
        <f t="shared" ca="1" si="62"/>
        <v>0</v>
      </c>
      <c r="AC296">
        <f t="shared" ca="1" si="63"/>
        <v>0</v>
      </c>
      <c r="AD296">
        <f t="shared" ca="1" si="64"/>
        <v>0</v>
      </c>
      <c r="AE296">
        <f t="shared" ca="1" si="65"/>
        <v>0</v>
      </c>
      <c r="AF296">
        <f t="shared" ca="1" si="66"/>
        <v>0</v>
      </c>
      <c r="AG296">
        <f t="shared" ca="1" si="67"/>
        <v>0</v>
      </c>
      <c r="AH296">
        <f t="shared" ca="1" si="68"/>
        <v>0</v>
      </c>
      <c r="AI296">
        <f t="shared" ca="1" si="69"/>
        <v>0</v>
      </c>
      <c r="AJ296">
        <f t="shared" ca="1" si="70"/>
        <v>0</v>
      </c>
      <c r="AK296">
        <f t="shared" ca="1" si="71"/>
        <v>8.8881905865423594</v>
      </c>
      <c r="AL296">
        <f t="shared" ca="1" si="72"/>
        <v>0</v>
      </c>
      <c r="AM296">
        <f t="shared" ca="1" si="73"/>
        <v>0</v>
      </c>
      <c r="AN296">
        <f t="shared" ca="1" si="74"/>
        <v>0</v>
      </c>
      <c r="AO296">
        <f t="shared" ca="1" si="75"/>
        <v>0</v>
      </c>
      <c r="AP296">
        <f t="shared" ca="1" si="76"/>
        <v>0</v>
      </c>
    </row>
    <row r="297" spans="1:42" x14ac:dyDescent="0.2">
      <c r="A297" s="2" t="s">
        <v>375</v>
      </c>
      <c r="B297" s="2" t="str">
        <f>VLOOKUP(A297,'[14]Calculated coal req (reg.)'!$A$2:$B$599,2,FALSE)</f>
        <v>BUDGE BUDGE TPS</v>
      </c>
      <c r="C297" s="2">
        <v>5.4119674735596801</v>
      </c>
      <c r="D297" s="2"/>
      <c r="H297" t="s">
        <v>1188</v>
      </c>
      <c r="I297">
        <f t="shared" ca="1" si="43"/>
        <v>0</v>
      </c>
      <c r="J297">
        <f t="shared" ca="1" si="44"/>
        <v>0</v>
      </c>
      <c r="K297">
        <f t="shared" ca="1" si="45"/>
        <v>0</v>
      </c>
      <c r="L297">
        <f t="shared" ca="1" si="46"/>
        <v>0</v>
      </c>
      <c r="M297">
        <f t="shared" ca="1" si="47"/>
        <v>0</v>
      </c>
      <c r="N297">
        <f t="shared" ca="1" si="48"/>
        <v>0</v>
      </c>
      <c r="O297">
        <f t="shared" ca="1" si="49"/>
        <v>0</v>
      </c>
      <c r="P297">
        <f t="shared" ca="1" si="50"/>
        <v>0</v>
      </c>
      <c r="Q297">
        <f t="shared" ca="1" si="51"/>
        <v>0</v>
      </c>
      <c r="R297">
        <f t="shared" ca="1" si="52"/>
        <v>0</v>
      </c>
      <c r="S297">
        <f t="shared" ca="1" si="53"/>
        <v>0</v>
      </c>
      <c r="T297">
        <f t="shared" ca="1" si="54"/>
        <v>0</v>
      </c>
      <c r="U297">
        <f t="shared" ca="1" si="55"/>
        <v>0</v>
      </c>
      <c r="V297">
        <f t="shared" ca="1" si="56"/>
        <v>0</v>
      </c>
      <c r="W297">
        <f t="shared" ca="1" si="57"/>
        <v>0</v>
      </c>
      <c r="X297">
        <f t="shared" ca="1" si="58"/>
        <v>0</v>
      </c>
      <c r="Y297">
        <f t="shared" ca="1" si="59"/>
        <v>0</v>
      </c>
      <c r="Z297">
        <f t="shared" ca="1" si="60"/>
        <v>0</v>
      </c>
      <c r="AA297">
        <f t="shared" ca="1" si="61"/>
        <v>0</v>
      </c>
      <c r="AB297">
        <f t="shared" ca="1" si="62"/>
        <v>0</v>
      </c>
      <c r="AC297">
        <f t="shared" ca="1" si="63"/>
        <v>0</v>
      </c>
      <c r="AD297">
        <f t="shared" ca="1" si="64"/>
        <v>0</v>
      </c>
      <c r="AE297">
        <f t="shared" ca="1" si="65"/>
        <v>0</v>
      </c>
      <c r="AF297">
        <f t="shared" ca="1" si="66"/>
        <v>0</v>
      </c>
      <c r="AG297">
        <f t="shared" ca="1" si="67"/>
        <v>0</v>
      </c>
      <c r="AH297">
        <f t="shared" ca="1" si="68"/>
        <v>0</v>
      </c>
      <c r="AI297">
        <f t="shared" ca="1" si="69"/>
        <v>0</v>
      </c>
      <c r="AJ297">
        <f t="shared" ca="1" si="70"/>
        <v>0</v>
      </c>
      <c r="AK297">
        <f t="shared" ca="1" si="71"/>
        <v>0</v>
      </c>
      <c r="AL297">
        <f t="shared" ca="1" si="72"/>
        <v>0</v>
      </c>
      <c r="AM297">
        <f t="shared" ca="1" si="73"/>
        <v>0</v>
      </c>
      <c r="AN297">
        <f t="shared" ca="1" si="74"/>
        <v>0</v>
      </c>
      <c r="AO297">
        <f t="shared" ca="1" si="75"/>
        <v>0</v>
      </c>
      <c r="AP297">
        <f t="shared" ca="1" si="76"/>
        <v>0</v>
      </c>
    </row>
    <row r="298" spans="1:42" x14ac:dyDescent="0.2">
      <c r="A298" s="2" t="s">
        <v>361</v>
      </c>
      <c r="B298" s="2" t="str">
        <f>VLOOKUP(A298,'[14]Calculated coal req (reg.)'!$A$2:$B$599,2,FALSE)</f>
        <v>BUDGE BUDGE TPS</v>
      </c>
      <c r="C298" s="2">
        <v>5.0127657566784896</v>
      </c>
      <c r="D298" s="2"/>
      <c r="H298" t="s">
        <v>1127</v>
      </c>
      <c r="I298">
        <f t="shared" ca="1" si="43"/>
        <v>0</v>
      </c>
      <c r="J298">
        <f t="shared" ca="1" si="44"/>
        <v>0</v>
      </c>
      <c r="K298">
        <f t="shared" ca="1" si="45"/>
        <v>0</v>
      </c>
      <c r="L298">
        <f t="shared" ca="1" si="46"/>
        <v>0</v>
      </c>
      <c r="M298">
        <f t="shared" ca="1" si="47"/>
        <v>0</v>
      </c>
      <c r="N298">
        <f t="shared" ca="1" si="48"/>
        <v>0</v>
      </c>
      <c r="O298">
        <f t="shared" ca="1" si="49"/>
        <v>0</v>
      </c>
      <c r="P298">
        <f t="shared" ca="1" si="50"/>
        <v>0</v>
      </c>
      <c r="Q298">
        <f t="shared" ca="1" si="51"/>
        <v>0</v>
      </c>
      <c r="R298">
        <f t="shared" ca="1" si="52"/>
        <v>0</v>
      </c>
      <c r="S298">
        <f t="shared" ca="1" si="53"/>
        <v>0</v>
      </c>
      <c r="T298">
        <f t="shared" ca="1" si="54"/>
        <v>0</v>
      </c>
      <c r="U298">
        <f t="shared" ca="1" si="55"/>
        <v>0</v>
      </c>
      <c r="V298">
        <f t="shared" ca="1" si="56"/>
        <v>0</v>
      </c>
      <c r="W298">
        <f t="shared" ca="1" si="57"/>
        <v>0</v>
      </c>
      <c r="X298">
        <f t="shared" ca="1" si="58"/>
        <v>0</v>
      </c>
      <c r="Y298">
        <f t="shared" ca="1" si="59"/>
        <v>0</v>
      </c>
      <c r="Z298">
        <f t="shared" ca="1" si="60"/>
        <v>0</v>
      </c>
      <c r="AA298">
        <f t="shared" ca="1" si="61"/>
        <v>6.0338102095005697</v>
      </c>
      <c r="AB298">
        <f t="shared" ca="1" si="62"/>
        <v>0</v>
      </c>
      <c r="AC298">
        <f t="shared" ca="1" si="63"/>
        <v>0</v>
      </c>
      <c r="AD298">
        <f t="shared" ca="1" si="64"/>
        <v>0</v>
      </c>
      <c r="AE298">
        <f t="shared" ca="1" si="65"/>
        <v>0</v>
      </c>
      <c r="AF298">
        <f t="shared" ca="1" si="66"/>
        <v>0</v>
      </c>
      <c r="AG298">
        <f t="shared" ca="1" si="67"/>
        <v>0</v>
      </c>
      <c r="AH298">
        <f t="shared" ca="1" si="68"/>
        <v>0</v>
      </c>
      <c r="AI298">
        <f t="shared" ca="1" si="69"/>
        <v>0</v>
      </c>
      <c r="AJ298">
        <f t="shared" ca="1" si="70"/>
        <v>0</v>
      </c>
      <c r="AK298">
        <f t="shared" ca="1" si="71"/>
        <v>0</v>
      </c>
      <c r="AL298">
        <f t="shared" ca="1" si="72"/>
        <v>0</v>
      </c>
      <c r="AM298">
        <f t="shared" ca="1" si="73"/>
        <v>0</v>
      </c>
      <c r="AN298">
        <f t="shared" ca="1" si="74"/>
        <v>0</v>
      </c>
      <c r="AO298">
        <f t="shared" ca="1" si="75"/>
        <v>0</v>
      </c>
      <c r="AP298">
        <f t="shared" ca="1" si="76"/>
        <v>0</v>
      </c>
    </row>
    <row r="299" spans="1:42" x14ac:dyDescent="0.2">
      <c r="A299" s="2" t="s">
        <v>280</v>
      </c>
      <c r="B299" s="2" t="str">
        <f>VLOOKUP(A299,'[14]Calculated coal req (reg.)'!$A$2:$B$599,2,FALSE)</f>
        <v>BUDGE BUDGE TPS</v>
      </c>
      <c r="C299" s="2">
        <v>5.6003431501634298</v>
      </c>
      <c r="D299" s="2"/>
      <c r="H299" t="s">
        <v>1128</v>
      </c>
      <c r="I299">
        <f t="shared" ca="1" si="43"/>
        <v>0</v>
      </c>
      <c r="J299">
        <f t="shared" ca="1" si="44"/>
        <v>3.7325555891268743E-2</v>
      </c>
      <c r="K299">
        <f t="shared" ca="1" si="45"/>
        <v>0.36224781500076036</v>
      </c>
      <c r="L299">
        <f t="shared" ca="1" si="46"/>
        <v>7.4214166756880964</v>
      </c>
      <c r="M299">
        <f t="shared" ca="1" si="47"/>
        <v>0</v>
      </c>
      <c r="N299">
        <f t="shared" ca="1" si="48"/>
        <v>0</v>
      </c>
      <c r="O299">
        <f t="shared" ca="1" si="49"/>
        <v>0</v>
      </c>
      <c r="P299">
        <f t="shared" ca="1" si="50"/>
        <v>0</v>
      </c>
      <c r="Q299">
        <f t="shared" ca="1" si="51"/>
        <v>0.99615007839428071</v>
      </c>
      <c r="R299">
        <f t="shared" ca="1" si="52"/>
        <v>0</v>
      </c>
      <c r="S299">
        <f t="shared" ca="1" si="53"/>
        <v>0</v>
      </c>
      <c r="T299">
        <f t="shared" ca="1" si="54"/>
        <v>0.52645725599219284</v>
      </c>
      <c r="U299">
        <f t="shared" ca="1" si="55"/>
        <v>0</v>
      </c>
      <c r="V299">
        <f t="shared" ca="1" si="56"/>
        <v>0.68946298342577261</v>
      </c>
      <c r="W299">
        <f t="shared" ca="1" si="57"/>
        <v>0.62410418465062778</v>
      </c>
      <c r="X299">
        <f t="shared" ca="1" si="58"/>
        <v>0</v>
      </c>
      <c r="Y299">
        <f t="shared" ca="1" si="59"/>
        <v>0</v>
      </c>
      <c r="Z299">
        <f t="shared" ca="1" si="60"/>
        <v>0</v>
      </c>
      <c r="AA299">
        <f t="shared" ca="1" si="61"/>
        <v>0</v>
      </c>
      <c r="AB299">
        <f t="shared" ca="1" si="62"/>
        <v>0</v>
      </c>
      <c r="AC299">
        <f t="shared" ca="1" si="63"/>
        <v>0</v>
      </c>
      <c r="AD299">
        <f t="shared" ca="1" si="64"/>
        <v>2.8345616072777247E-2</v>
      </c>
      <c r="AE299">
        <f t="shared" ca="1" si="65"/>
        <v>8.7691300074738798E-2</v>
      </c>
      <c r="AF299">
        <f t="shared" ca="1" si="66"/>
        <v>2.7887189917324147</v>
      </c>
      <c r="AG299">
        <f t="shared" ca="1" si="67"/>
        <v>0</v>
      </c>
      <c r="AH299">
        <f t="shared" ca="1" si="68"/>
        <v>0.50628648410662425</v>
      </c>
      <c r="AI299">
        <f t="shared" ca="1" si="69"/>
        <v>0.40300987016429424</v>
      </c>
      <c r="AJ299">
        <f t="shared" ca="1" si="70"/>
        <v>0.28192781965300645</v>
      </c>
      <c r="AK299">
        <f t="shared" ca="1" si="71"/>
        <v>0.16183336726865691</v>
      </c>
      <c r="AL299">
        <f t="shared" ca="1" si="72"/>
        <v>0.12599188582306659</v>
      </c>
      <c r="AM299">
        <f t="shared" ca="1" si="73"/>
        <v>0</v>
      </c>
      <c r="AN299">
        <f t="shared" ca="1" si="74"/>
        <v>1.3124034969642329</v>
      </c>
      <c r="AO299">
        <f t="shared" ca="1" si="75"/>
        <v>0</v>
      </c>
      <c r="AP299">
        <f t="shared" ca="1" si="76"/>
        <v>0</v>
      </c>
    </row>
    <row r="300" spans="1:42" x14ac:dyDescent="0.2">
      <c r="A300" s="2" t="s">
        <v>327</v>
      </c>
      <c r="B300" s="2"/>
      <c r="C300" s="2">
        <v>0.64726572604139399</v>
      </c>
      <c r="D300" s="2"/>
      <c r="H300" t="s">
        <v>1056</v>
      </c>
      <c r="I300">
        <f t="shared" ca="1" si="43"/>
        <v>0</v>
      </c>
      <c r="J300">
        <f t="shared" ca="1" si="44"/>
        <v>0</v>
      </c>
      <c r="K300">
        <f t="shared" ca="1" si="45"/>
        <v>1.6134868370165756</v>
      </c>
      <c r="L300">
        <f t="shared" ca="1" si="46"/>
        <v>2.1228439182782086</v>
      </c>
      <c r="M300">
        <f t="shared" ca="1" si="47"/>
        <v>3.1041497486253167E-3</v>
      </c>
      <c r="N300">
        <f t="shared" ca="1" si="48"/>
        <v>0.46674839825166103</v>
      </c>
      <c r="O300">
        <f t="shared" ca="1" si="49"/>
        <v>9.5524675486804392E-2</v>
      </c>
      <c r="P300">
        <f t="shared" ca="1" si="50"/>
        <v>4.4854848445202981E-2</v>
      </c>
      <c r="Q300">
        <f t="shared" ca="1" si="51"/>
        <v>3.0525361243531068</v>
      </c>
      <c r="R300">
        <f t="shared" ca="1" si="52"/>
        <v>0</v>
      </c>
      <c r="S300">
        <f t="shared" ca="1" si="53"/>
        <v>2.877797916820227</v>
      </c>
      <c r="T300">
        <f t="shared" ca="1" si="54"/>
        <v>1.3805421661670443</v>
      </c>
      <c r="U300">
        <f t="shared" ca="1" si="55"/>
        <v>0.58900495239299056</v>
      </c>
      <c r="V300">
        <f t="shared" ca="1" si="56"/>
        <v>1.7931479715514955</v>
      </c>
      <c r="W300">
        <f t="shared" ca="1" si="57"/>
        <v>0.78222713970188806</v>
      </c>
      <c r="X300">
        <f t="shared" ca="1" si="58"/>
        <v>0</v>
      </c>
      <c r="Y300">
        <f t="shared" ca="1" si="59"/>
        <v>0</v>
      </c>
      <c r="Z300">
        <f t="shared" ca="1" si="60"/>
        <v>1.3231344532111011</v>
      </c>
      <c r="AA300">
        <f t="shared" ca="1" si="61"/>
        <v>2.869929023410386</v>
      </c>
      <c r="AB300">
        <f t="shared" ca="1" si="62"/>
        <v>0</v>
      </c>
      <c r="AC300">
        <f t="shared" ca="1" si="63"/>
        <v>0</v>
      </c>
      <c r="AD300">
        <f t="shared" ca="1" si="64"/>
        <v>0</v>
      </c>
      <c r="AE300">
        <f t="shared" ca="1" si="65"/>
        <v>0</v>
      </c>
      <c r="AF300">
        <f t="shared" ca="1" si="66"/>
        <v>0.73383753327890966</v>
      </c>
      <c r="AG300">
        <f t="shared" ca="1" si="67"/>
        <v>0</v>
      </c>
      <c r="AH300">
        <f t="shared" ca="1" si="68"/>
        <v>2.427276491606063</v>
      </c>
      <c r="AI300">
        <f t="shared" ca="1" si="69"/>
        <v>1.6731628116614548</v>
      </c>
      <c r="AJ300">
        <f t="shared" ca="1" si="70"/>
        <v>0.10541093265935246</v>
      </c>
      <c r="AK300">
        <f t="shared" ca="1" si="71"/>
        <v>0</v>
      </c>
      <c r="AL300">
        <f t="shared" ca="1" si="72"/>
        <v>0.24456249588187948</v>
      </c>
      <c r="AM300">
        <f t="shared" ca="1" si="73"/>
        <v>0</v>
      </c>
      <c r="AN300">
        <f t="shared" ca="1" si="74"/>
        <v>4.242500055936322</v>
      </c>
      <c r="AO300">
        <f t="shared" ca="1" si="75"/>
        <v>0.43484074712570159</v>
      </c>
      <c r="AP300">
        <f t="shared" ca="1" si="76"/>
        <v>0</v>
      </c>
    </row>
    <row r="301" spans="1:42" x14ac:dyDescent="0.2">
      <c r="A301" s="2" t="s">
        <v>463</v>
      </c>
      <c r="B301" s="2" t="str">
        <f>VLOOKUP(A301,'[14]Calculated coal req (reg.)'!$A$2:$B$599,2,FALSE)</f>
        <v>CHANDRAPUR UNITS 3-7</v>
      </c>
      <c r="C301" s="2">
        <v>2.0496953484756002</v>
      </c>
      <c r="D301" s="2"/>
      <c r="H301" t="s">
        <v>1051</v>
      </c>
      <c r="I301">
        <f t="shared" ca="1" si="43"/>
        <v>0</v>
      </c>
      <c r="J301">
        <f t="shared" ca="1" si="44"/>
        <v>0</v>
      </c>
      <c r="K301">
        <f t="shared" ca="1" si="45"/>
        <v>0</v>
      </c>
      <c r="L301">
        <f t="shared" ca="1" si="46"/>
        <v>0</v>
      </c>
      <c r="M301">
        <f t="shared" ca="1" si="47"/>
        <v>0</v>
      </c>
      <c r="N301">
        <f t="shared" ca="1" si="48"/>
        <v>0</v>
      </c>
      <c r="O301">
        <f t="shared" ca="1" si="49"/>
        <v>0</v>
      </c>
      <c r="P301">
        <f t="shared" ca="1" si="50"/>
        <v>0</v>
      </c>
      <c r="Q301">
        <f t="shared" ca="1" si="51"/>
        <v>0</v>
      </c>
      <c r="R301">
        <f t="shared" ca="1" si="52"/>
        <v>0</v>
      </c>
      <c r="S301">
        <f t="shared" ca="1" si="53"/>
        <v>0</v>
      </c>
      <c r="T301">
        <f t="shared" ca="1" si="54"/>
        <v>0</v>
      </c>
      <c r="U301">
        <f t="shared" ca="1" si="55"/>
        <v>0</v>
      </c>
      <c r="V301">
        <f t="shared" ca="1" si="56"/>
        <v>0</v>
      </c>
      <c r="W301">
        <f t="shared" ca="1" si="57"/>
        <v>0</v>
      </c>
      <c r="X301">
        <f t="shared" ca="1" si="58"/>
        <v>0</v>
      </c>
      <c r="Y301">
        <f t="shared" ca="1" si="59"/>
        <v>0</v>
      </c>
      <c r="Z301">
        <f t="shared" ca="1" si="60"/>
        <v>0</v>
      </c>
      <c r="AA301">
        <f t="shared" ca="1" si="61"/>
        <v>0</v>
      </c>
      <c r="AB301">
        <f t="shared" ca="1" si="62"/>
        <v>0</v>
      </c>
      <c r="AC301">
        <f t="shared" ca="1" si="63"/>
        <v>0</v>
      </c>
      <c r="AD301">
        <f t="shared" ca="1" si="64"/>
        <v>0</v>
      </c>
      <c r="AE301">
        <f t="shared" ca="1" si="65"/>
        <v>0</v>
      </c>
      <c r="AF301">
        <f t="shared" ca="1" si="66"/>
        <v>0</v>
      </c>
      <c r="AG301">
        <f t="shared" ca="1" si="67"/>
        <v>0</v>
      </c>
      <c r="AH301">
        <f t="shared" ca="1" si="68"/>
        <v>0</v>
      </c>
      <c r="AI301">
        <f t="shared" ca="1" si="69"/>
        <v>0</v>
      </c>
      <c r="AJ301">
        <f t="shared" ca="1" si="70"/>
        <v>0</v>
      </c>
      <c r="AK301">
        <f t="shared" ca="1" si="71"/>
        <v>0</v>
      </c>
      <c r="AL301">
        <f t="shared" ca="1" si="72"/>
        <v>9.6179698888849003</v>
      </c>
      <c r="AM301">
        <f t="shared" ca="1" si="73"/>
        <v>0</v>
      </c>
      <c r="AN301">
        <f t="shared" ca="1" si="74"/>
        <v>0</v>
      </c>
      <c r="AO301">
        <f t="shared" ca="1" si="75"/>
        <v>0</v>
      </c>
      <c r="AP301">
        <f t="shared" ca="1" si="76"/>
        <v>0</v>
      </c>
    </row>
    <row r="302" spans="1:42" x14ac:dyDescent="0.2">
      <c r="A302" s="2" t="s">
        <v>459</v>
      </c>
      <c r="B302" s="2" t="str">
        <f>VLOOKUP(A302,'[14]Calculated coal req (reg.)'!$A$2:$B$599,2,FALSE)</f>
        <v>CHANDRAPUR UNITS 3-7</v>
      </c>
      <c r="C302" s="2">
        <v>2.2701040141603501</v>
      </c>
      <c r="D302" s="2"/>
      <c r="H302" t="s">
        <v>1014</v>
      </c>
      <c r="I302">
        <f t="shared" ca="1" si="43"/>
        <v>0</v>
      </c>
      <c r="J302">
        <f t="shared" ca="1" si="44"/>
        <v>0</v>
      </c>
      <c r="K302">
        <f t="shared" ca="1" si="45"/>
        <v>0</v>
      </c>
      <c r="L302">
        <f t="shared" ca="1" si="46"/>
        <v>0</v>
      </c>
      <c r="M302">
        <f t="shared" ca="1" si="47"/>
        <v>0</v>
      </c>
      <c r="N302">
        <f t="shared" ca="1" si="48"/>
        <v>0</v>
      </c>
      <c r="O302">
        <f t="shared" ca="1" si="49"/>
        <v>0</v>
      </c>
      <c r="P302">
        <f t="shared" ca="1" si="50"/>
        <v>0</v>
      </c>
      <c r="Q302">
        <f t="shared" ca="1" si="51"/>
        <v>0</v>
      </c>
      <c r="R302">
        <f t="shared" ca="1" si="52"/>
        <v>0</v>
      </c>
      <c r="S302">
        <f t="shared" ca="1" si="53"/>
        <v>0</v>
      </c>
      <c r="T302">
        <f t="shared" ca="1" si="54"/>
        <v>0</v>
      </c>
      <c r="U302">
        <f t="shared" ca="1" si="55"/>
        <v>0</v>
      </c>
      <c r="V302">
        <f t="shared" ca="1" si="56"/>
        <v>0</v>
      </c>
      <c r="W302">
        <f t="shared" ca="1" si="57"/>
        <v>0</v>
      </c>
      <c r="X302">
        <f t="shared" ca="1" si="58"/>
        <v>0</v>
      </c>
      <c r="Y302">
        <f t="shared" ca="1" si="59"/>
        <v>0</v>
      </c>
      <c r="Z302">
        <f t="shared" ca="1" si="60"/>
        <v>0</v>
      </c>
      <c r="AA302">
        <f t="shared" ca="1" si="61"/>
        <v>0</v>
      </c>
      <c r="AB302">
        <f t="shared" ca="1" si="62"/>
        <v>0</v>
      </c>
      <c r="AC302">
        <f t="shared" ca="1" si="63"/>
        <v>0</v>
      </c>
      <c r="AD302">
        <f t="shared" ca="1" si="64"/>
        <v>0</v>
      </c>
      <c r="AE302">
        <f t="shared" ca="1" si="65"/>
        <v>0</v>
      </c>
      <c r="AF302">
        <f t="shared" ca="1" si="66"/>
        <v>0</v>
      </c>
      <c r="AG302">
        <f t="shared" ca="1" si="67"/>
        <v>0</v>
      </c>
      <c r="AH302">
        <f t="shared" ca="1" si="68"/>
        <v>0</v>
      </c>
      <c r="AI302">
        <f t="shared" ca="1" si="69"/>
        <v>0</v>
      </c>
      <c r="AJ302">
        <f t="shared" ca="1" si="70"/>
        <v>0</v>
      </c>
      <c r="AK302">
        <f t="shared" ca="1" si="71"/>
        <v>0</v>
      </c>
      <c r="AL302">
        <f t="shared" ca="1" si="72"/>
        <v>11.204573528532199</v>
      </c>
      <c r="AM302">
        <f t="shared" ca="1" si="73"/>
        <v>0</v>
      </c>
      <c r="AN302">
        <f t="shared" ca="1" si="74"/>
        <v>0</v>
      </c>
      <c r="AO302">
        <f t="shared" ca="1" si="75"/>
        <v>0</v>
      </c>
      <c r="AP302">
        <f t="shared" ca="1" si="76"/>
        <v>0</v>
      </c>
    </row>
    <row r="303" spans="1:42" x14ac:dyDescent="0.2">
      <c r="A303" s="2" t="s">
        <v>277</v>
      </c>
      <c r="B303" s="2" t="str">
        <f>VLOOKUP(A303,'[14]Calculated coal req (reg.)'!$A$2:$B$599,2,FALSE)</f>
        <v>CHANDRAPURA(DVC)</v>
      </c>
      <c r="C303" s="2">
        <v>4.9912216757311798</v>
      </c>
      <c r="D303" s="2"/>
      <c r="H303" t="s">
        <v>1019</v>
      </c>
      <c r="I303">
        <f t="shared" ca="1" si="43"/>
        <v>0</v>
      </c>
      <c r="J303">
        <f t="shared" ca="1" si="44"/>
        <v>0</v>
      </c>
      <c r="K303">
        <f t="shared" ca="1" si="45"/>
        <v>0</v>
      </c>
      <c r="L303">
        <f t="shared" ca="1" si="46"/>
        <v>0</v>
      </c>
      <c r="M303">
        <f t="shared" ca="1" si="47"/>
        <v>0</v>
      </c>
      <c r="N303">
        <f t="shared" ca="1" si="48"/>
        <v>0</v>
      </c>
      <c r="O303">
        <f t="shared" ca="1" si="49"/>
        <v>0</v>
      </c>
      <c r="P303">
        <f t="shared" ca="1" si="50"/>
        <v>0</v>
      </c>
      <c r="Q303">
        <f t="shared" ca="1" si="51"/>
        <v>0</v>
      </c>
      <c r="R303">
        <f t="shared" ca="1" si="52"/>
        <v>0</v>
      </c>
      <c r="S303">
        <f t="shared" ca="1" si="53"/>
        <v>0</v>
      </c>
      <c r="T303">
        <f t="shared" ca="1" si="54"/>
        <v>0</v>
      </c>
      <c r="U303">
        <f t="shared" ca="1" si="55"/>
        <v>0</v>
      </c>
      <c r="V303">
        <f t="shared" ca="1" si="56"/>
        <v>0</v>
      </c>
      <c r="W303">
        <f t="shared" ca="1" si="57"/>
        <v>0</v>
      </c>
      <c r="X303">
        <f t="shared" ca="1" si="58"/>
        <v>0</v>
      </c>
      <c r="Y303">
        <f t="shared" ca="1" si="59"/>
        <v>0</v>
      </c>
      <c r="Z303">
        <f t="shared" ca="1" si="60"/>
        <v>0</v>
      </c>
      <c r="AA303">
        <f t="shared" ca="1" si="61"/>
        <v>0</v>
      </c>
      <c r="AB303">
        <f t="shared" ca="1" si="62"/>
        <v>0</v>
      </c>
      <c r="AC303">
        <f t="shared" ca="1" si="63"/>
        <v>0</v>
      </c>
      <c r="AD303">
        <f t="shared" ca="1" si="64"/>
        <v>0</v>
      </c>
      <c r="AE303">
        <f t="shared" ca="1" si="65"/>
        <v>0</v>
      </c>
      <c r="AF303">
        <f t="shared" ca="1" si="66"/>
        <v>0</v>
      </c>
      <c r="AG303">
        <f t="shared" ca="1" si="67"/>
        <v>0</v>
      </c>
      <c r="AH303">
        <f t="shared" ca="1" si="68"/>
        <v>0</v>
      </c>
      <c r="AI303">
        <f t="shared" ca="1" si="69"/>
        <v>10.728071916568799</v>
      </c>
      <c r="AJ303">
        <f t="shared" ca="1" si="70"/>
        <v>0</v>
      </c>
      <c r="AK303">
        <f t="shared" ca="1" si="71"/>
        <v>0</v>
      </c>
      <c r="AL303">
        <f t="shared" ca="1" si="72"/>
        <v>0</v>
      </c>
      <c r="AM303">
        <f t="shared" ca="1" si="73"/>
        <v>0</v>
      </c>
      <c r="AN303">
        <f t="shared" ca="1" si="74"/>
        <v>0</v>
      </c>
      <c r="AO303">
        <f t="shared" ca="1" si="75"/>
        <v>0</v>
      </c>
      <c r="AP303">
        <f t="shared" ca="1" si="76"/>
        <v>0</v>
      </c>
    </row>
    <row r="304" spans="1:42" x14ac:dyDescent="0.2">
      <c r="A304" s="2" t="s">
        <v>270</v>
      </c>
      <c r="B304" s="2" t="str">
        <f>VLOOKUP(A304,'[14]Calculated coal req (reg.)'!$A$2:$B$599,2,FALSE)</f>
        <v>CHANDRAPURA(DVC)</v>
      </c>
      <c r="C304" s="2">
        <v>4.7989141437234402</v>
      </c>
      <c r="D304" s="2"/>
      <c r="H304" t="s">
        <v>1015</v>
      </c>
      <c r="I304">
        <f t="shared" ca="1" si="43"/>
        <v>0</v>
      </c>
      <c r="J304">
        <f t="shared" ca="1" si="44"/>
        <v>0</v>
      </c>
      <c r="K304">
        <f t="shared" ca="1" si="45"/>
        <v>0</v>
      </c>
      <c r="L304">
        <f t="shared" ca="1" si="46"/>
        <v>0</v>
      </c>
      <c r="M304">
        <f t="shared" ca="1" si="47"/>
        <v>0</v>
      </c>
      <c r="N304">
        <f t="shared" ca="1" si="48"/>
        <v>0</v>
      </c>
      <c r="O304">
        <f t="shared" ca="1" si="49"/>
        <v>0</v>
      </c>
      <c r="P304">
        <f t="shared" ca="1" si="50"/>
        <v>0</v>
      </c>
      <c r="Q304">
        <f t="shared" ca="1" si="51"/>
        <v>0</v>
      </c>
      <c r="R304">
        <f t="shared" ca="1" si="52"/>
        <v>0</v>
      </c>
      <c r="S304">
        <f t="shared" ca="1" si="53"/>
        <v>0</v>
      </c>
      <c r="T304">
        <f t="shared" ca="1" si="54"/>
        <v>0</v>
      </c>
      <c r="U304">
        <f t="shared" ca="1" si="55"/>
        <v>0</v>
      </c>
      <c r="V304">
        <f t="shared" ca="1" si="56"/>
        <v>0</v>
      </c>
      <c r="W304">
        <f t="shared" ca="1" si="57"/>
        <v>0</v>
      </c>
      <c r="X304">
        <f t="shared" ca="1" si="58"/>
        <v>0</v>
      </c>
      <c r="Y304">
        <f t="shared" ca="1" si="59"/>
        <v>0</v>
      </c>
      <c r="Z304">
        <f t="shared" ca="1" si="60"/>
        <v>0</v>
      </c>
      <c r="AA304">
        <f t="shared" ca="1" si="61"/>
        <v>0</v>
      </c>
      <c r="AB304">
        <f t="shared" ca="1" si="62"/>
        <v>0</v>
      </c>
      <c r="AC304">
        <f t="shared" ca="1" si="63"/>
        <v>0</v>
      </c>
      <c r="AD304">
        <f t="shared" ca="1" si="64"/>
        <v>0</v>
      </c>
      <c r="AE304">
        <f t="shared" ca="1" si="65"/>
        <v>0</v>
      </c>
      <c r="AF304">
        <f t="shared" ca="1" si="66"/>
        <v>0</v>
      </c>
      <c r="AG304">
        <f t="shared" ca="1" si="67"/>
        <v>0</v>
      </c>
      <c r="AH304">
        <f t="shared" ca="1" si="68"/>
        <v>0</v>
      </c>
      <c r="AI304">
        <f t="shared" ca="1" si="69"/>
        <v>5.9284317880081803</v>
      </c>
      <c r="AJ304">
        <f t="shared" ca="1" si="70"/>
        <v>0</v>
      </c>
      <c r="AK304">
        <f t="shared" ca="1" si="71"/>
        <v>0</v>
      </c>
      <c r="AL304">
        <f t="shared" ca="1" si="72"/>
        <v>0</v>
      </c>
      <c r="AM304">
        <f t="shared" ca="1" si="73"/>
        <v>0</v>
      </c>
      <c r="AN304">
        <f t="shared" ca="1" si="74"/>
        <v>0</v>
      </c>
      <c r="AO304">
        <f t="shared" ca="1" si="75"/>
        <v>0</v>
      </c>
      <c r="AP304">
        <f t="shared" ca="1" si="76"/>
        <v>0</v>
      </c>
    </row>
    <row r="305" spans="1:42" x14ac:dyDescent="0.2">
      <c r="A305" s="2" t="s">
        <v>278</v>
      </c>
      <c r="B305" s="2" t="str">
        <f>VLOOKUP(A305,'[14]Calculated coal req (reg.)'!$A$2:$B$599,2,FALSE)</f>
        <v>CHHABRA TPS UNIT 1-4</v>
      </c>
      <c r="C305" s="2">
        <v>5.1310663661108302</v>
      </c>
      <c r="D305" s="2"/>
      <c r="H305" t="s">
        <v>1072</v>
      </c>
      <c r="I305">
        <f t="shared" ca="1" si="43"/>
        <v>0</v>
      </c>
      <c r="J305">
        <f t="shared" ca="1" si="44"/>
        <v>0</v>
      </c>
      <c r="K305">
        <f t="shared" ca="1" si="45"/>
        <v>0</v>
      </c>
      <c r="L305">
        <f t="shared" ca="1" si="46"/>
        <v>0</v>
      </c>
      <c r="M305">
        <f t="shared" ca="1" si="47"/>
        <v>0</v>
      </c>
      <c r="N305">
        <f t="shared" ca="1" si="48"/>
        <v>0</v>
      </c>
      <c r="O305">
        <f t="shared" ca="1" si="49"/>
        <v>0</v>
      </c>
      <c r="P305">
        <f t="shared" ca="1" si="50"/>
        <v>0</v>
      </c>
      <c r="Q305">
        <f t="shared" ca="1" si="51"/>
        <v>0</v>
      </c>
      <c r="R305">
        <f t="shared" ca="1" si="52"/>
        <v>0</v>
      </c>
      <c r="S305">
        <f t="shared" ca="1" si="53"/>
        <v>0</v>
      </c>
      <c r="T305">
        <f t="shared" ca="1" si="54"/>
        <v>8.3699387600229826</v>
      </c>
      <c r="U305">
        <f t="shared" ca="1" si="55"/>
        <v>0</v>
      </c>
      <c r="V305">
        <f t="shared" ca="1" si="56"/>
        <v>0</v>
      </c>
      <c r="W305">
        <f t="shared" ca="1" si="57"/>
        <v>0</v>
      </c>
      <c r="X305">
        <f t="shared" ca="1" si="58"/>
        <v>0</v>
      </c>
      <c r="Y305">
        <f t="shared" ca="1" si="59"/>
        <v>0</v>
      </c>
      <c r="Z305">
        <f t="shared" ca="1" si="60"/>
        <v>0</v>
      </c>
      <c r="AA305">
        <f t="shared" ca="1" si="61"/>
        <v>0</v>
      </c>
      <c r="AB305">
        <f t="shared" ca="1" si="62"/>
        <v>0</v>
      </c>
      <c r="AC305">
        <f t="shared" ca="1" si="63"/>
        <v>0</v>
      </c>
      <c r="AD305">
        <f t="shared" ca="1" si="64"/>
        <v>0</v>
      </c>
      <c r="AE305">
        <f t="shared" ca="1" si="65"/>
        <v>0</v>
      </c>
      <c r="AF305">
        <f t="shared" ca="1" si="66"/>
        <v>8.1283118305461475</v>
      </c>
      <c r="AG305">
        <f t="shared" ca="1" si="67"/>
        <v>0</v>
      </c>
      <c r="AH305">
        <f t="shared" ca="1" si="68"/>
        <v>0</v>
      </c>
      <c r="AI305">
        <f t="shared" ca="1" si="69"/>
        <v>0</v>
      </c>
      <c r="AJ305">
        <f t="shared" ca="1" si="70"/>
        <v>0</v>
      </c>
      <c r="AK305">
        <f t="shared" ca="1" si="71"/>
        <v>0</v>
      </c>
      <c r="AL305">
        <f t="shared" ca="1" si="72"/>
        <v>0</v>
      </c>
      <c r="AM305">
        <f t="shared" ca="1" si="73"/>
        <v>0</v>
      </c>
      <c r="AN305">
        <f t="shared" ca="1" si="74"/>
        <v>0</v>
      </c>
      <c r="AO305">
        <f t="shared" ca="1" si="75"/>
        <v>0</v>
      </c>
      <c r="AP305">
        <f t="shared" ca="1" si="76"/>
        <v>0</v>
      </c>
    </row>
    <row r="306" spans="1:42" x14ac:dyDescent="0.2">
      <c r="A306" s="2" t="s">
        <v>269</v>
      </c>
      <c r="B306" s="2" t="str">
        <f>VLOOKUP(A306,'[14]Calculated coal req (reg.)'!$A$2:$B$599,2,FALSE)</f>
        <v>CHHABRA TPS UNIT 1-4</v>
      </c>
      <c r="C306" s="2">
        <v>4.82731443812804</v>
      </c>
      <c r="D306" s="2"/>
      <c r="H306" t="s">
        <v>1129</v>
      </c>
      <c r="I306">
        <f t="shared" ca="1" si="43"/>
        <v>0</v>
      </c>
      <c r="J306">
        <f t="shared" ca="1" si="44"/>
        <v>0</v>
      </c>
      <c r="K306">
        <f t="shared" ca="1" si="45"/>
        <v>0</v>
      </c>
      <c r="L306">
        <f t="shared" ca="1" si="46"/>
        <v>0</v>
      </c>
      <c r="M306">
        <f t="shared" ca="1" si="47"/>
        <v>0</v>
      </c>
      <c r="N306">
        <f t="shared" ca="1" si="48"/>
        <v>4.8060694940123078E-2</v>
      </c>
      <c r="O306">
        <f t="shared" ca="1" si="49"/>
        <v>0</v>
      </c>
      <c r="P306">
        <f t="shared" ca="1" si="50"/>
        <v>0</v>
      </c>
      <c r="Q306">
        <f t="shared" ca="1" si="51"/>
        <v>0</v>
      </c>
      <c r="R306">
        <f t="shared" ca="1" si="52"/>
        <v>0</v>
      </c>
      <c r="S306">
        <f t="shared" ca="1" si="53"/>
        <v>4.8602812025826863</v>
      </c>
      <c r="T306">
        <f t="shared" ca="1" si="54"/>
        <v>0</v>
      </c>
      <c r="U306">
        <f t="shared" ca="1" si="55"/>
        <v>0</v>
      </c>
      <c r="V306">
        <f t="shared" ca="1" si="56"/>
        <v>0</v>
      </c>
      <c r="W306">
        <f t="shared" ca="1" si="57"/>
        <v>0</v>
      </c>
      <c r="X306">
        <f t="shared" ca="1" si="58"/>
        <v>0</v>
      </c>
      <c r="Y306">
        <f t="shared" ca="1" si="59"/>
        <v>0</v>
      </c>
      <c r="Z306">
        <f t="shared" ca="1" si="60"/>
        <v>0</v>
      </c>
      <c r="AA306">
        <f t="shared" ca="1" si="61"/>
        <v>0</v>
      </c>
      <c r="AB306">
        <f t="shared" ca="1" si="62"/>
        <v>0</v>
      </c>
      <c r="AC306">
        <f t="shared" ca="1" si="63"/>
        <v>0</v>
      </c>
      <c r="AD306">
        <f t="shared" ca="1" si="64"/>
        <v>0</v>
      </c>
      <c r="AE306">
        <f t="shared" ca="1" si="65"/>
        <v>0</v>
      </c>
      <c r="AF306">
        <f t="shared" ca="1" si="66"/>
        <v>0</v>
      </c>
      <c r="AG306">
        <f t="shared" ca="1" si="67"/>
        <v>0</v>
      </c>
      <c r="AH306">
        <f t="shared" ca="1" si="68"/>
        <v>0</v>
      </c>
      <c r="AI306">
        <f t="shared" ca="1" si="69"/>
        <v>0</v>
      </c>
      <c r="AJ306">
        <f t="shared" ca="1" si="70"/>
        <v>0</v>
      </c>
      <c r="AK306">
        <f t="shared" ca="1" si="71"/>
        <v>0</v>
      </c>
      <c r="AL306">
        <f t="shared" ca="1" si="72"/>
        <v>0</v>
      </c>
      <c r="AM306">
        <f t="shared" ca="1" si="73"/>
        <v>0</v>
      </c>
      <c r="AN306">
        <f t="shared" ca="1" si="74"/>
        <v>0</v>
      </c>
      <c r="AO306">
        <f t="shared" ca="1" si="75"/>
        <v>0</v>
      </c>
      <c r="AP306">
        <f t="shared" ca="1" si="76"/>
        <v>0</v>
      </c>
    </row>
    <row r="307" spans="1:42" x14ac:dyDescent="0.2">
      <c r="A307" s="2" t="s">
        <v>421</v>
      </c>
      <c r="B307" s="2" t="str">
        <f>VLOOKUP(A307,'[14]Calculated coal req (reg.)'!$A$2:$B$599,2,FALSE)</f>
        <v>DADRI (NCTPP) UNIT 1-4</v>
      </c>
      <c r="C307" s="2">
        <v>2.4197686777195102</v>
      </c>
      <c r="D307" s="2"/>
      <c r="H307" t="s">
        <v>1008</v>
      </c>
      <c r="I307">
        <f t="shared" ca="1" si="43"/>
        <v>0</v>
      </c>
      <c r="J307">
        <f t="shared" ca="1" si="44"/>
        <v>0</v>
      </c>
      <c r="K307">
        <f t="shared" ca="1" si="45"/>
        <v>0</v>
      </c>
      <c r="L307">
        <f t="shared" ca="1" si="46"/>
        <v>0</v>
      </c>
      <c r="M307">
        <f t="shared" ca="1" si="47"/>
        <v>0</v>
      </c>
      <c r="N307">
        <f t="shared" ca="1" si="48"/>
        <v>0</v>
      </c>
      <c r="O307">
        <f t="shared" ca="1" si="49"/>
        <v>0</v>
      </c>
      <c r="P307">
        <f t="shared" ca="1" si="50"/>
        <v>0</v>
      </c>
      <c r="Q307">
        <f t="shared" ca="1" si="51"/>
        <v>0</v>
      </c>
      <c r="R307">
        <f t="shared" ca="1" si="52"/>
        <v>0</v>
      </c>
      <c r="S307">
        <f t="shared" ca="1" si="53"/>
        <v>0</v>
      </c>
      <c r="T307">
        <f t="shared" ca="1" si="54"/>
        <v>0</v>
      </c>
      <c r="U307">
        <f t="shared" ca="1" si="55"/>
        <v>0</v>
      </c>
      <c r="V307">
        <f t="shared" ca="1" si="56"/>
        <v>0</v>
      </c>
      <c r="W307">
        <f t="shared" ca="1" si="57"/>
        <v>0</v>
      </c>
      <c r="X307">
        <f t="shared" ca="1" si="58"/>
        <v>0</v>
      </c>
      <c r="Y307">
        <f t="shared" ca="1" si="59"/>
        <v>0</v>
      </c>
      <c r="Z307">
        <f t="shared" ca="1" si="60"/>
        <v>0</v>
      </c>
      <c r="AA307">
        <f t="shared" ca="1" si="61"/>
        <v>0</v>
      </c>
      <c r="AB307">
        <f t="shared" ca="1" si="62"/>
        <v>0</v>
      </c>
      <c r="AC307">
        <f t="shared" ca="1" si="63"/>
        <v>0</v>
      </c>
      <c r="AD307">
        <f t="shared" ca="1" si="64"/>
        <v>0</v>
      </c>
      <c r="AE307">
        <f t="shared" ca="1" si="65"/>
        <v>0</v>
      </c>
      <c r="AF307">
        <f t="shared" ca="1" si="66"/>
        <v>0</v>
      </c>
      <c r="AG307">
        <f t="shared" ca="1" si="67"/>
        <v>0</v>
      </c>
      <c r="AH307">
        <f t="shared" ca="1" si="68"/>
        <v>0</v>
      </c>
      <c r="AI307">
        <f t="shared" ca="1" si="69"/>
        <v>18.928694845692451</v>
      </c>
      <c r="AJ307">
        <f t="shared" ca="1" si="70"/>
        <v>0</v>
      </c>
      <c r="AK307">
        <f t="shared" ca="1" si="71"/>
        <v>0</v>
      </c>
      <c r="AL307">
        <f t="shared" ca="1" si="72"/>
        <v>0</v>
      </c>
      <c r="AM307">
        <f t="shared" ca="1" si="73"/>
        <v>0</v>
      </c>
      <c r="AN307">
        <f t="shared" ca="1" si="74"/>
        <v>0</v>
      </c>
      <c r="AO307">
        <f t="shared" ca="1" si="75"/>
        <v>0</v>
      </c>
      <c r="AP307">
        <f t="shared" ca="1" si="76"/>
        <v>0</v>
      </c>
    </row>
    <row r="308" spans="1:42" x14ac:dyDescent="0.2">
      <c r="A308" s="2" t="s">
        <v>417</v>
      </c>
      <c r="B308" s="2" t="str">
        <f>VLOOKUP(A308,'[14]Calculated coal req (reg.)'!$A$2:$B$599,2,FALSE)</f>
        <v>DADRI (NCTPP) UNIT 1-4</v>
      </c>
      <c r="C308" s="2">
        <v>2.2434619692074</v>
      </c>
      <c r="D308" s="2"/>
      <c r="H308" t="s">
        <v>1130</v>
      </c>
      <c r="I308">
        <f t="shared" ca="1" si="43"/>
        <v>0</v>
      </c>
      <c r="J308">
        <f t="shared" ca="1" si="44"/>
        <v>0</v>
      </c>
      <c r="K308">
        <f t="shared" ca="1" si="45"/>
        <v>0</v>
      </c>
      <c r="L308">
        <f t="shared" ca="1" si="46"/>
        <v>0</v>
      </c>
      <c r="M308">
        <f t="shared" ca="1" si="47"/>
        <v>0</v>
      </c>
      <c r="N308">
        <f t="shared" ca="1" si="48"/>
        <v>0</v>
      </c>
      <c r="O308">
        <f t="shared" ca="1" si="49"/>
        <v>0</v>
      </c>
      <c r="P308">
        <f t="shared" ca="1" si="50"/>
        <v>0</v>
      </c>
      <c r="Q308">
        <f t="shared" ca="1" si="51"/>
        <v>0</v>
      </c>
      <c r="R308">
        <f t="shared" ca="1" si="52"/>
        <v>0</v>
      </c>
      <c r="S308">
        <f t="shared" ca="1" si="53"/>
        <v>0</v>
      </c>
      <c r="T308">
        <f t="shared" ca="1" si="54"/>
        <v>0</v>
      </c>
      <c r="U308">
        <f t="shared" ca="1" si="55"/>
        <v>0</v>
      </c>
      <c r="V308">
        <f t="shared" ca="1" si="56"/>
        <v>0</v>
      </c>
      <c r="W308">
        <f t="shared" ca="1" si="57"/>
        <v>0</v>
      </c>
      <c r="X308">
        <f t="shared" ca="1" si="58"/>
        <v>0</v>
      </c>
      <c r="Y308">
        <f t="shared" ca="1" si="59"/>
        <v>0</v>
      </c>
      <c r="Z308">
        <f t="shared" ca="1" si="60"/>
        <v>0</v>
      </c>
      <c r="AA308">
        <f t="shared" ca="1" si="61"/>
        <v>0</v>
      </c>
      <c r="AB308">
        <f t="shared" ca="1" si="62"/>
        <v>0</v>
      </c>
      <c r="AC308">
        <f t="shared" ca="1" si="63"/>
        <v>0</v>
      </c>
      <c r="AD308">
        <f t="shared" ca="1" si="64"/>
        <v>0</v>
      </c>
      <c r="AE308">
        <f t="shared" ca="1" si="65"/>
        <v>0</v>
      </c>
      <c r="AF308">
        <f t="shared" ca="1" si="66"/>
        <v>0</v>
      </c>
      <c r="AG308">
        <f t="shared" ca="1" si="67"/>
        <v>0</v>
      </c>
      <c r="AH308">
        <f t="shared" ca="1" si="68"/>
        <v>0</v>
      </c>
      <c r="AI308">
        <f t="shared" ca="1" si="69"/>
        <v>0</v>
      </c>
      <c r="AJ308">
        <f t="shared" ca="1" si="70"/>
        <v>0</v>
      </c>
      <c r="AK308">
        <f t="shared" ca="1" si="71"/>
        <v>0</v>
      </c>
      <c r="AL308">
        <f t="shared" ca="1" si="72"/>
        <v>0</v>
      </c>
      <c r="AM308">
        <f t="shared" ca="1" si="73"/>
        <v>0</v>
      </c>
      <c r="AN308">
        <f t="shared" ca="1" si="74"/>
        <v>0.29329082949308599</v>
      </c>
      <c r="AO308">
        <f t="shared" ca="1" si="75"/>
        <v>0</v>
      </c>
      <c r="AP308">
        <f t="shared" ca="1" si="76"/>
        <v>0</v>
      </c>
    </row>
    <row r="309" spans="1:42" x14ac:dyDescent="0.2">
      <c r="A309" s="2" t="s">
        <v>412</v>
      </c>
      <c r="B309" s="2" t="str">
        <f>VLOOKUP(A309,'[14]Calculated coal req (reg.)'!$A$2:$B$599,2,FALSE)</f>
        <v>DADRI (NCTPP) UNIT 1-4</v>
      </c>
      <c r="C309" s="2">
        <v>2.6030767175168101</v>
      </c>
      <c r="D309" s="2"/>
      <c r="H309" t="s">
        <v>1131</v>
      </c>
      <c r="I309">
        <f t="shared" ca="1" si="43"/>
        <v>0</v>
      </c>
      <c r="J309">
        <f t="shared" ca="1" si="44"/>
        <v>0</v>
      </c>
      <c r="K309">
        <f t="shared" ca="1" si="45"/>
        <v>0</v>
      </c>
      <c r="L309">
        <f t="shared" ca="1" si="46"/>
        <v>0</v>
      </c>
      <c r="M309">
        <f t="shared" ca="1" si="47"/>
        <v>0</v>
      </c>
      <c r="N309">
        <f t="shared" ca="1" si="48"/>
        <v>0</v>
      </c>
      <c r="O309">
        <f t="shared" ca="1" si="49"/>
        <v>0</v>
      </c>
      <c r="P309">
        <f t="shared" ca="1" si="50"/>
        <v>0</v>
      </c>
      <c r="Q309">
        <f t="shared" ca="1" si="51"/>
        <v>0</v>
      </c>
      <c r="R309">
        <f t="shared" ca="1" si="52"/>
        <v>0</v>
      </c>
      <c r="S309">
        <f t="shared" ca="1" si="53"/>
        <v>0</v>
      </c>
      <c r="T309">
        <f t="shared" ca="1" si="54"/>
        <v>0</v>
      </c>
      <c r="U309">
        <f t="shared" ca="1" si="55"/>
        <v>0</v>
      </c>
      <c r="V309">
        <f t="shared" ca="1" si="56"/>
        <v>0</v>
      </c>
      <c r="W309">
        <f t="shared" ca="1" si="57"/>
        <v>0</v>
      </c>
      <c r="X309">
        <f t="shared" ca="1" si="58"/>
        <v>0</v>
      </c>
      <c r="Y309">
        <f t="shared" ca="1" si="59"/>
        <v>0</v>
      </c>
      <c r="Z309">
        <f t="shared" ca="1" si="60"/>
        <v>0</v>
      </c>
      <c r="AA309">
        <f t="shared" ca="1" si="61"/>
        <v>10.622013567558401</v>
      </c>
      <c r="AB309">
        <f t="shared" ca="1" si="62"/>
        <v>0</v>
      </c>
      <c r="AC309">
        <f t="shared" ca="1" si="63"/>
        <v>0</v>
      </c>
      <c r="AD309">
        <f t="shared" ca="1" si="64"/>
        <v>0</v>
      </c>
      <c r="AE309">
        <f t="shared" ca="1" si="65"/>
        <v>0</v>
      </c>
      <c r="AF309">
        <f t="shared" ca="1" si="66"/>
        <v>0</v>
      </c>
      <c r="AG309">
        <f t="shared" ca="1" si="67"/>
        <v>0</v>
      </c>
      <c r="AH309">
        <f t="shared" ca="1" si="68"/>
        <v>0</v>
      </c>
      <c r="AI309">
        <f t="shared" ca="1" si="69"/>
        <v>0</v>
      </c>
      <c r="AJ309">
        <f t="shared" ca="1" si="70"/>
        <v>0</v>
      </c>
      <c r="AK309">
        <f t="shared" ca="1" si="71"/>
        <v>0</v>
      </c>
      <c r="AL309">
        <f t="shared" ca="1" si="72"/>
        <v>0</v>
      </c>
      <c r="AM309">
        <f t="shared" ca="1" si="73"/>
        <v>0</v>
      </c>
      <c r="AN309">
        <f t="shared" ca="1" si="74"/>
        <v>0</v>
      </c>
      <c r="AO309">
        <f t="shared" ca="1" si="75"/>
        <v>0</v>
      </c>
      <c r="AP309">
        <f t="shared" ca="1" si="76"/>
        <v>0</v>
      </c>
    </row>
    <row r="310" spans="1:42" x14ac:dyDescent="0.2">
      <c r="A310" s="2" t="s">
        <v>405</v>
      </c>
      <c r="B310" s="2" t="str">
        <f>VLOOKUP(A310,'[14]Calculated coal req (reg.)'!$A$2:$B$599,2,FALSE)</f>
        <v>DADRI (NCTPP) UNIT 1-4</v>
      </c>
      <c r="C310" s="2">
        <v>2.8696748691582501</v>
      </c>
      <c r="D310" s="2"/>
      <c r="H310" t="s">
        <v>1048</v>
      </c>
      <c r="I310">
        <f t="shared" ca="1" si="43"/>
        <v>0</v>
      </c>
      <c r="J310">
        <f t="shared" ca="1" si="44"/>
        <v>0</v>
      </c>
      <c r="K310">
        <f t="shared" ca="1" si="45"/>
        <v>0</v>
      </c>
      <c r="L310">
        <f t="shared" ca="1" si="46"/>
        <v>0</v>
      </c>
      <c r="M310">
        <f t="shared" ca="1" si="47"/>
        <v>0</v>
      </c>
      <c r="N310">
        <f t="shared" ca="1" si="48"/>
        <v>0</v>
      </c>
      <c r="O310">
        <f t="shared" ca="1" si="49"/>
        <v>0</v>
      </c>
      <c r="P310">
        <f t="shared" ca="1" si="50"/>
        <v>0</v>
      </c>
      <c r="Q310">
        <f t="shared" ca="1" si="51"/>
        <v>0</v>
      </c>
      <c r="R310">
        <f t="shared" ca="1" si="52"/>
        <v>0</v>
      </c>
      <c r="S310">
        <f t="shared" ca="1" si="53"/>
        <v>0</v>
      </c>
      <c r="T310">
        <f t="shared" ca="1" si="54"/>
        <v>0</v>
      </c>
      <c r="U310">
        <f t="shared" ca="1" si="55"/>
        <v>0</v>
      </c>
      <c r="V310">
        <f t="shared" ca="1" si="56"/>
        <v>0</v>
      </c>
      <c r="W310">
        <f t="shared" ca="1" si="57"/>
        <v>0</v>
      </c>
      <c r="X310">
        <f t="shared" ca="1" si="58"/>
        <v>0</v>
      </c>
      <c r="Y310">
        <f t="shared" ca="1" si="59"/>
        <v>0</v>
      </c>
      <c r="Z310">
        <f t="shared" ca="1" si="60"/>
        <v>0</v>
      </c>
      <c r="AA310">
        <f t="shared" ca="1" si="61"/>
        <v>8.5379622238112898</v>
      </c>
      <c r="AB310">
        <f t="shared" ca="1" si="62"/>
        <v>0</v>
      </c>
      <c r="AC310">
        <f t="shared" ca="1" si="63"/>
        <v>0</v>
      </c>
      <c r="AD310">
        <f t="shared" ca="1" si="64"/>
        <v>0</v>
      </c>
      <c r="AE310">
        <f t="shared" ca="1" si="65"/>
        <v>0</v>
      </c>
      <c r="AF310">
        <f t="shared" ca="1" si="66"/>
        <v>0</v>
      </c>
      <c r="AG310">
        <f t="shared" ca="1" si="67"/>
        <v>0</v>
      </c>
      <c r="AH310">
        <f t="shared" ca="1" si="68"/>
        <v>0</v>
      </c>
      <c r="AI310">
        <f t="shared" ca="1" si="69"/>
        <v>0</v>
      </c>
      <c r="AJ310">
        <f t="shared" ca="1" si="70"/>
        <v>0</v>
      </c>
      <c r="AK310">
        <f t="shared" ca="1" si="71"/>
        <v>0</v>
      </c>
      <c r="AL310">
        <f t="shared" ca="1" si="72"/>
        <v>0</v>
      </c>
      <c r="AM310">
        <f t="shared" ca="1" si="73"/>
        <v>0</v>
      </c>
      <c r="AN310">
        <f t="shared" ca="1" si="74"/>
        <v>0</v>
      </c>
      <c r="AO310">
        <f t="shared" ca="1" si="75"/>
        <v>0</v>
      </c>
      <c r="AP310">
        <f t="shared" ca="1" si="76"/>
        <v>0</v>
      </c>
    </row>
    <row r="311" spans="1:42" x14ac:dyDescent="0.2">
      <c r="A311" s="2" t="s">
        <v>390</v>
      </c>
      <c r="B311" s="2" t="str">
        <f>VLOOKUP(A311,'[14]Calculated coal req (reg.)'!$A$2:$B$599,2,FALSE)</f>
        <v>DAHANU TPS</v>
      </c>
      <c r="C311" s="2">
        <v>4.78610039009037</v>
      </c>
      <c r="D311" s="2"/>
      <c r="H311" t="s">
        <v>984</v>
      </c>
      <c r="I311">
        <f t="shared" ca="1" si="43"/>
        <v>0.44465124643905773</v>
      </c>
      <c r="J311">
        <f t="shared" ca="1" si="44"/>
        <v>0</v>
      </c>
      <c r="K311">
        <f t="shared" ca="1" si="45"/>
        <v>0</v>
      </c>
      <c r="L311">
        <f t="shared" ca="1" si="46"/>
        <v>0</v>
      </c>
      <c r="M311">
        <f t="shared" ca="1" si="47"/>
        <v>0</v>
      </c>
      <c r="N311">
        <f t="shared" ca="1" si="48"/>
        <v>2.7168625449868675</v>
      </c>
      <c r="O311">
        <f t="shared" ca="1" si="49"/>
        <v>0</v>
      </c>
      <c r="P311">
        <f t="shared" ca="1" si="50"/>
        <v>0</v>
      </c>
      <c r="Q311">
        <f t="shared" ca="1" si="51"/>
        <v>0</v>
      </c>
      <c r="R311">
        <f t="shared" ca="1" si="52"/>
        <v>0.57607118120729217</v>
      </c>
      <c r="S311">
        <f t="shared" ca="1" si="53"/>
        <v>0</v>
      </c>
      <c r="T311">
        <f t="shared" ca="1" si="54"/>
        <v>0</v>
      </c>
      <c r="U311">
        <f t="shared" ca="1" si="55"/>
        <v>0</v>
      </c>
      <c r="V311">
        <f t="shared" ca="1" si="56"/>
        <v>0.28389544864425076</v>
      </c>
      <c r="W311">
        <f t="shared" ca="1" si="57"/>
        <v>0</v>
      </c>
      <c r="X311">
        <f t="shared" ca="1" si="58"/>
        <v>0</v>
      </c>
      <c r="Y311">
        <f t="shared" ca="1" si="59"/>
        <v>0</v>
      </c>
      <c r="Z311">
        <f t="shared" ca="1" si="60"/>
        <v>0</v>
      </c>
      <c r="AA311">
        <f t="shared" ca="1" si="61"/>
        <v>0</v>
      </c>
      <c r="AB311">
        <f t="shared" ca="1" si="62"/>
        <v>0</v>
      </c>
      <c r="AC311">
        <f t="shared" ca="1" si="63"/>
        <v>0</v>
      </c>
      <c r="AD311">
        <f t="shared" ca="1" si="64"/>
        <v>0</v>
      </c>
      <c r="AE311">
        <f t="shared" ca="1" si="65"/>
        <v>0</v>
      </c>
      <c r="AF311">
        <f t="shared" ca="1" si="66"/>
        <v>0</v>
      </c>
      <c r="AG311">
        <f t="shared" ca="1" si="67"/>
        <v>0</v>
      </c>
      <c r="AH311">
        <f t="shared" ca="1" si="68"/>
        <v>0</v>
      </c>
      <c r="AI311">
        <f t="shared" ca="1" si="69"/>
        <v>0</v>
      </c>
      <c r="AJ311">
        <f t="shared" ca="1" si="70"/>
        <v>0</v>
      </c>
      <c r="AK311">
        <f t="shared" ca="1" si="71"/>
        <v>0</v>
      </c>
      <c r="AL311">
        <f t="shared" ca="1" si="72"/>
        <v>0.44857698818984149</v>
      </c>
      <c r="AM311">
        <f t="shared" ca="1" si="73"/>
        <v>0</v>
      </c>
      <c r="AN311">
        <f t="shared" ca="1" si="74"/>
        <v>0</v>
      </c>
      <c r="AO311">
        <f t="shared" ca="1" si="75"/>
        <v>0</v>
      </c>
      <c r="AP311">
        <f t="shared" ca="1" si="76"/>
        <v>0</v>
      </c>
    </row>
    <row r="312" spans="1:42" x14ac:dyDescent="0.2">
      <c r="A312" s="2" t="s">
        <v>389</v>
      </c>
      <c r="B312" s="2" t="str">
        <f>VLOOKUP(A312,'[14]Calculated coal req (reg.)'!$A$2:$B$599,2,FALSE)</f>
        <v>DAHANU TPS</v>
      </c>
      <c r="C312" s="2">
        <v>4.5250875468390301</v>
      </c>
      <c r="D312" s="2"/>
      <c r="H312" t="s">
        <v>1039</v>
      </c>
      <c r="I312">
        <f t="shared" ca="1" si="43"/>
        <v>0</v>
      </c>
      <c r="J312">
        <f t="shared" ca="1" si="44"/>
        <v>0</v>
      </c>
      <c r="K312">
        <f t="shared" ca="1" si="45"/>
        <v>0</v>
      </c>
      <c r="L312">
        <f t="shared" ca="1" si="46"/>
        <v>0</v>
      </c>
      <c r="M312">
        <f t="shared" ca="1" si="47"/>
        <v>0</v>
      </c>
      <c r="N312">
        <f t="shared" ca="1" si="48"/>
        <v>0</v>
      </c>
      <c r="O312">
        <f t="shared" ca="1" si="49"/>
        <v>0</v>
      </c>
      <c r="P312">
        <f t="shared" ca="1" si="50"/>
        <v>0</v>
      </c>
      <c r="Q312">
        <f t="shared" ca="1" si="51"/>
        <v>0</v>
      </c>
      <c r="R312">
        <f t="shared" ca="1" si="52"/>
        <v>0</v>
      </c>
      <c r="S312">
        <f t="shared" ca="1" si="53"/>
        <v>0</v>
      </c>
      <c r="T312">
        <f t="shared" ca="1" si="54"/>
        <v>4.9145906363729344</v>
      </c>
      <c r="U312">
        <f t="shared" ca="1" si="55"/>
        <v>0</v>
      </c>
      <c r="V312">
        <f t="shared" ca="1" si="56"/>
        <v>0</v>
      </c>
      <c r="W312">
        <f t="shared" ca="1" si="57"/>
        <v>0</v>
      </c>
      <c r="X312">
        <f t="shared" ca="1" si="58"/>
        <v>12.779673985870467</v>
      </c>
      <c r="Y312">
        <f t="shared" ca="1" si="59"/>
        <v>0</v>
      </c>
      <c r="Z312">
        <f t="shared" ca="1" si="60"/>
        <v>0</v>
      </c>
      <c r="AA312">
        <f t="shared" ca="1" si="61"/>
        <v>0</v>
      </c>
      <c r="AB312">
        <f t="shared" ca="1" si="62"/>
        <v>0</v>
      </c>
      <c r="AC312">
        <f t="shared" ca="1" si="63"/>
        <v>0</v>
      </c>
      <c r="AD312">
        <f t="shared" ca="1" si="64"/>
        <v>0</v>
      </c>
      <c r="AE312">
        <f t="shared" ca="1" si="65"/>
        <v>0</v>
      </c>
      <c r="AF312">
        <f t="shared" ca="1" si="66"/>
        <v>0</v>
      </c>
      <c r="AG312">
        <f t="shared" ca="1" si="67"/>
        <v>0</v>
      </c>
      <c r="AH312">
        <f t="shared" ca="1" si="68"/>
        <v>0</v>
      </c>
      <c r="AI312">
        <f t="shared" ca="1" si="69"/>
        <v>0</v>
      </c>
      <c r="AJ312">
        <f t="shared" ca="1" si="70"/>
        <v>0</v>
      </c>
      <c r="AK312">
        <f t="shared" ca="1" si="71"/>
        <v>0</v>
      </c>
      <c r="AL312">
        <f t="shared" ca="1" si="72"/>
        <v>0</v>
      </c>
      <c r="AM312">
        <f t="shared" ca="1" si="73"/>
        <v>0</v>
      </c>
      <c r="AN312">
        <f t="shared" ca="1" si="74"/>
        <v>0</v>
      </c>
      <c r="AO312">
        <f t="shared" ca="1" si="75"/>
        <v>0</v>
      </c>
      <c r="AP312">
        <f t="shared" ca="1" si="76"/>
        <v>0</v>
      </c>
    </row>
    <row r="313" spans="1:42" x14ac:dyDescent="0.2">
      <c r="A313" s="2" t="s">
        <v>507</v>
      </c>
      <c r="B313" s="2" t="str">
        <f>VLOOKUP(A313,'[14]Calculated coal req (reg.)'!$A$2:$B$599,2,FALSE)</f>
        <v>DR. N TATA RAO TPS UNIT 1-6</v>
      </c>
      <c r="C313" s="2">
        <v>2.82060334851775</v>
      </c>
      <c r="D313" s="2"/>
      <c r="H313" t="s">
        <v>1132</v>
      </c>
      <c r="I313">
        <f t="shared" ca="1" si="43"/>
        <v>0</v>
      </c>
      <c r="J313">
        <f t="shared" ca="1" si="44"/>
        <v>0</v>
      </c>
      <c r="K313">
        <f t="shared" ca="1" si="45"/>
        <v>0</v>
      </c>
      <c r="L313">
        <f t="shared" ca="1" si="46"/>
        <v>0</v>
      </c>
      <c r="M313">
        <f t="shared" ca="1" si="47"/>
        <v>0</v>
      </c>
      <c r="N313">
        <f t="shared" ca="1" si="48"/>
        <v>0</v>
      </c>
      <c r="O313">
        <f t="shared" ca="1" si="49"/>
        <v>0</v>
      </c>
      <c r="P313">
        <f t="shared" ca="1" si="50"/>
        <v>0</v>
      </c>
      <c r="Q313">
        <f t="shared" ca="1" si="51"/>
        <v>0</v>
      </c>
      <c r="R313">
        <f t="shared" ca="1" si="52"/>
        <v>0</v>
      </c>
      <c r="S313">
        <f t="shared" ca="1" si="53"/>
        <v>0</v>
      </c>
      <c r="T313">
        <f t="shared" ca="1" si="54"/>
        <v>0</v>
      </c>
      <c r="U313">
        <f t="shared" ca="1" si="55"/>
        <v>0</v>
      </c>
      <c r="V313">
        <f t="shared" ca="1" si="56"/>
        <v>0</v>
      </c>
      <c r="W313">
        <f t="shared" ca="1" si="57"/>
        <v>0</v>
      </c>
      <c r="X313">
        <f t="shared" ca="1" si="58"/>
        <v>0</v>
      </c>
      <c r="Y313">
        <f t="shared" ca="1" si="59"/>
        <v>0</v>
      </c>
      <c r="Z313">
        <f t="shared" ca="1" si="60"/>
        <v>0</v>
      </c>
      <c r="AA313">
        <f t="shared" ca="1" si="61"/>
        <v>0</v>
      </c>
      <c r="AB313">
        <f t="shared" ca="1" si="62"/>
        <v>0</v>
      </c>
      <c r="AC313">
        <f t="shared" ca="1" si="63"/>
        <v>0</v>
      </c>
      <c r="AD313">
        <f t="shared" ca="1" si="64"/>
        <v>0</v>
      </c>
      <c r="AE313">
        <f t="shared" ca="1" si="65"/>
        <v>0</v>
      </c>
      <c r="AF313">
        <f t="shared" ca="1" si="66"/>
        <v>0</v>
      </c>
      <c r="AG313">
        <f t="shared" ca="1" si="67"/>
        <v>0</v>
      </c>
      <c r="AH313">
        <f t="shared" ca="1" si="68"/>
        <v>0</v>
      </c>
      <c r="AI313">
        <f t="shared" ca="1" si="69"/>
        <v>0</v>
      </c>
      <c r="AJ313">
        <f t="shared" ca="1" si="70"/>
        <v>0</v>
      </c>
      <c r="AK313">
        <f t="shared" ca="1" si="71"/>
        <v>0</v>
      </c>
      <c r="AL313">
        <f t="shared" ca="1" si="72"/>
        <v>0</v>
      </c>
      <c r="AM313">
        <f t="shared" ca="1" si="73"/>
        <v>0</v>
      </c>
      <c r="AN313">
        <f t="shared" ca="1" si="74"/>
        <v>0</v>
      </c>
      <c r="AO313">
        <f t="shared" ca="1" si="75"/>
        <v>0</v>
      </c>
      <c r="AP313">
        <f t="shared" ca="1" si="76"/>
        <v>11.059320681983214</v>
      </c>
    </row>
    <row r="314" spans="1:42" x14ac:dyDescent="0.2">
      <c r="A314" s="2" t="s">
        <v>501</v>
      </c>
      <c r="B314" s="2" t="str">
        <f>VLOOKUP(A314,'[14]Calculated coal req (reg.)'!$A$2:$B$599,2,FALSE)</f>
        <v>DR. N TATA RAO TPS UNIT 1-6</v>
      </c>
      <c r="C314" s="2">
        <v>3.17509850080905</v>
      </c>
      <c r="D314" s="2"/>
      <c r="H314" t="s">
        <v>1133</v>
      </c>
      <c r="I314">
        <f t="shared" ca="1" si="43"/>
        <v>0</v>
      </c>
      <c r="J314">
        <f t="shared" ca="1" si="44"/>
        <v>0</v>
      </c>
      <c r="K314">
        <f t="shared" ca="1" si="45"/>
        <v>0</v>
      </c>
      <c r="L314">
        <f t="shared" ca="1" si="46"/>
        <v>0</v>
      </c>
      <c r="M314">
        <f t="shared" ca="1" si="47"/>
        <v>0</v>
      </c>
      <c r="N314">
        <f t="shared" ca="1" si="48"/>
        <v>0</v>
      </c>
      <c r="O314">
        <f t="shared" ca="1" si="49"/>
        <v>0</v>
      </c>
      <c r="P314">
        <f t="shared" ca="1" si="50"/>
        <v>0</v>
      </c>
      <c r="Q314">
        <f t="shared" ca="1" si="51"/>
        <v>0</v>
      </c>
      <c r="R314">
        <f t="shared" ca="1" si="52"/>
        <v>0</v>
      </c>
      <c r="S314">
        <f t="shared" ca="1" si="53"/>
        <v>0</v>
      </c>
      <c r="T314">
        <f t="shared" ca="1" si="54"/>
        <v>0</v>
      </c>
      <c r="U314">
        <f t="shared" ca="1" si="55"/>
        <v>0</v>
      </c>
      <c r="V314">
        <f t="shared" ca="1" si="56"/>
        <v>0</v>
      </c>
      <c r="W314">
        <f t="shared" ca="1" si="57"/>
        <v>0</v>
      </c>
      <c r="X314">
        <f t="shared" ca="1" si="58"/>
        <v>0</v>
      </c>
      <c r="Y314">
        <f t="shared" ca="1" si="59"/>
        <v>0</v>
      </c>
      <c r="Z314">
        <f t="shared" ca="1" si="60"/>
        <v>0</v>
      </c>
      <c r="AA314">
        <f t="shared" ca="1" si="61"/>
        <v>1.2538285228737389</v>
      </c>
      <c r="AB314">
        <f t="shared" ca="1" si="62"/>
        <v>0</v>
      </c>
      <c r="AC314">
        <f t="shared" ca="1" si="63"/>
        <v>0</v>
      </c>
      <c r="AD314">
        <f t="shared" ca="1" si="64"/>
        <v>0</v>
      </c>
      <c r="AE314">
        <f t="shared" ca="1" si="65"/>
        <v>0</v>
      </c>
      <c r="AF314">
        <f t="shared" ca="1" si="66"/>
        <v>0</v>
      </c>
      <c r="AG314">
        <f t="shared" ca="1" si="67"/>
        <v>0</v>
      </c>
      <c r="AH314">
        <f t="shared" ca="1" si="68"/>
        <v>0</v>
      </c>
      <c r="AI314">
        <f t="shared" ca="1" si="69"/>
        <v>0</v>
      </c>
      <c r="AJ314">
        <f t="shared" ca="1" si="70"/>
        <v>0</v>
      </c>
      <c r="AK314">
        <f t="shared" ca="1" si="71"/>
        <v>0</v>
      </c>
      <c r="AL314">
        <f t="shared" ca="1" si="72"/>
        <v>0</v>
      </c>
      <c r="AM314">
        <f t="shared" ca="1" si="73"/>
        <v>0</v>
      </c>
      <c r="AN314">
        <f t="shared" ca="1" si="74"/>
        <v>0</v>
      </c>
      <c r="AO314">
        <f t="shared" ca="1" si="75"/>
        <v>0</v>
      </c>
      <c r="AP314">
        <f t="shared" ca="1" si="76"/>
        <v>0</v>
      </c>
    </row>
    <row r="315" spans="1:42" x14ac:dyDescent="0.2">
      <c r="A315" s="2" t="s">
        <v>434</v>
      </c>
      <c r="B315" s="2" t="str">
        <f>VLOOKUP(A315,'[14]Calculated coal req (reg.)'!$A$2:$B$599,2,FALSE)</f>
        <v>DR. N TATA RAO TPS UNIT 1-6</v>
      </c>
      <c r="C315" s="2">
        <v>3.7687188624644499</v>
      </c>
      <c r="D315" s="2"/>
      <c r="H315" t="s">
        <v>999</v>
      </c>
      <c r="I315">
        <f t="shared" ca="1" si="43"/>
        <v>0</v>
      </c>
      <c r="J315">
        <f t="shared" ca="1" si="44"/>
        <v>0</v>
      </c>
      <c r="K315">
        <f t="shared" ca="1" si="45"/>
        <v>0</v>
      </c>
      <c r="L315">
        <f t="shared" ca="1" si="46"/>
        <v>0</v>
      </c>
      <c r="M315">
        <f t="shared" ca="1" si="47"/>
        <v>0</v>
      </c>
      <c r="N315">
        <f t="shared" ca="1" si="48"/>
        <v>0</v>
      </c>
      <c r="O315">
        <f t="shared" ca="1" si="49"/>
        <v>0</v>
      </c>
      <c r="P315">
        <f t="shared" ca="1" si="50"/>
        <v>0</v>
      </c>
      <c r="Q315">
        <f t="shared" ca="1" si="51"/>
        <v>0</v>
      </c>
      <c r="R315">
        <f t="shared" ca="1" si="52"/>
        <v>0</v>
      </c>
      <c r="S315">
        <f t="shared" ca="1" si="53"/>
        <v>0</v>
      </c>
      <c r="T315">
        <f t="shared" ca="1" si="54"/>
        <v>0</v>
      </c>
      <c r="U315">
        <f t="shared" ca="1" si="55"/>
        <v>0</v>
      </c>
      <c r="V315">
        <f t="shared" ca="1" si="56"/>
        <v>0</v>
      </c>
      <c r="W315">
        <f t="shared" ca="1" si="57"/>
        <v>0</v>
      </c>
      <c r="X315">
        <f t="shared" ca="1" si="58"/>
        <v>0</v>
      </c>
      <c r="Y315">
        <f t="shared" ca="1" si="59"/>
        <v>0</v>
      </c>
      <c r="Z315">
        <f t="shared" ca="1" si="60"/>
        <v>0</v>
      </c>
      <c r="AA315">
        <f t="shared" ca="1" si="61"/>
        <v>22.932462897672611</v>
      </c>
      <c r="AB315">
        <f t="shared" ca="1" si="62"/>
        <v>0</v>
      </c>
      <c r="AC315">
        <f t="shared" ca="1" si="63"/>
        <v>0</v>
      </c>
      <c r="AD315">
        <f t="shared" ca="1" si="64"/>
        <v>0</v>
      </c>
      <c r="AE315">
        <f t="shared" ca="1" si="65"/>
        <v>0</v>
      </c>
      <c r="AF315">
        <f t="shared" ca="1" si="66"/>
        <v>0</v>
      </c>
      <c r="AG315">
        <f t="shared" ca="1" si="67"/>
        <v>0</v>
      </c>
      <c r="AH315">
        <f t="shared" ca="1" si="68"/>
        <v>0</v>
      </c>
      <c r="AI315">
        <f t="shared" ca="1" si="69"/>
        <v>0</v>
      </c>
      <c r="AJ315">
        <f t="shared" ca="1" si="70"/>
        <v>0</v>
      </c>
      <c r="AK315">
        <f t="shared" ca="1" si="71"/>
        <v>0</v>
      </c>
      <c r="AL315">
        <f t="shared" ca="1" si="72"/>
        <v>0</v>
      </c>
      <c r="AM315">
        <f t="shared" ca="1" si="73"/>
        <v>0</v>
      </c>
      <c r="AN315">
        <f t="shared" ca="1" si="74"/>
        <v>0</v>
      </c>
      <c r="AO315">
        <f t="shared" ca="1" si="75"/>
        <v>0</v>
      </c>
      <c r="AP315">
        <f t="shared" ca="1" si="76"/>
        <v>0</v>
      </c>
    </row>
    <row r="316" spans="1:42" x14ac:dyDescent="0.2">
      <c r="A316" s="2" t="s">
        <v>427</v>
      </c>
      <c r="B316" s="2" t="str">
        <f>VLOOKUP(A316,'[14]Calculated coal req (reg.)'!$A$2:$B$599,2,FALSE)</f>
        <v>DR. N TATA RAO TPS UNIT 1-6</v>
      </c>
      <c r="C316" s="2">
        <v>3.9218024483187199</v>
      </c>
      <c r="D316" s="2"/>
      <c r="H316" t="s">
        <v>1134</v>
      </c>
      <c r="I316">
        <f t="shared" ca="1" si="43"/>
        <v>0</v>
      </c>
      <c r="J316">
        <f t="shared" ca="1" si="44"/>
        <v>0</v>
      </c>
      <c r="K316">
        <f t="shared" ca="1" si="45"/>
        <v>0</v>
      </c>
      <c r="L316">
        <f t="shared" ca="1" si="46"/>
        <v>0</v>
      </c>
      <c r="M316">
        <f t="shared" ca="1" si="47"/>
        <v>0</v>
      </c>
      <c r="N316">
        <f t="shared" ca="1" si="48"/>
        <v>4.3281834696841202</v>
      </c>
      <c r="O316">
        <f t="shared" ca="1" si="49"/>
        <v>0</v>
      </c>
      <c r="P316">
        <f t="shared" ca="1" si="50"/>
        <v>0</v>
      </c>
      <c r="Q316">
        <f t="shared" ca="1" si="51"/>
        <v>0</v>
      </c>
      <c r="R316">
        <f t="shared" ca="1" si="52"/>
        <v>0</v>
      </c>
      <c r="S316">
        <f t="shared" ca="1" si="53"/>
        <v>0</v>
      </c>
      <c r="T316">
        <f t="shared" ca="1" si="54"/>
        <v>0</v>
      </c>
      <c r="U316">
        <f t="shared" ca="1" si="55"/>
        <v>0</v>
      </c>
      <c r="V316">
        <f t="shared" ca="1" si="56"/>
        <v>0</v>
      </c>
      <c r="W316">
        <f t="shared" ca="1" si="57"/>
        <v>0</v>
      </c>
      <c r="X316">
        <f t="shared" ca="1" si="58"/>
        <v>0</v>
      </c>
      <c r="Y316">
        <f t="shared" ca="1" si="59"/>
        <v>0</v>
      </c>
      <c r="Z316">
        <f t="shared" ca="1" si="60"/>
        <v>0</v>
      </c>
      <c r="AA316">
        <f t="shared" ca="1" si="61"/>
        <v>0</v>
      </c>
      <c r="AB316">
        <f t="shared" ca="1" si="62"/>
        <v>0</v>
      </c>
      <c r="AC316">
        <f t="shared" ca="1" si="63"/>
        <v>0</v>
      </c>
      <c r="AD316">
        <f t="shared" ca="1" si="64"/>
        <v>0</v>
      </c>
      <c r="AE316">
        <f t="shared" ca="1" si="65"/>
        <v>0</v>
      </c>
      <c r="AF316">
        <f t="shared" ca="1" si="66"/>
        <v>0</v>
      </c>
      <c r="AG316">
        <f t="shared" ca="1" si="67"/>
        <v>0</v>
      </c>
      <c r="AH316">
        <f t="shared" ca="1" si="68"/>
        <v>0</v>
      </c>
      <c r="AI316">
        <f t="shared" ca="1" si="69"/>
        <v>0</v>
      </c>
      <c r="AJ316">
        <f t="shared" ca="1" si="70"/>
        <v>0</v>
      </c>
      <c r="AK316">
        <f t="shared" ca="1" si="71"/>
        <v>0</v>
      </c>
      <c r="AL316">
        <f t="shared" ca="1" si="72"/>
        <v>0</v>
      </c>
      <c r="AM316">
        <f t="shared" ca="1" si="73"/>
        <v>0</v>
      </c>
      <c r="AN316">
        <f t="shared" ca="1" si="74"/>
        <v>0</v>
      </c>
      <c r="AO316">
        <f t="shared" ca="1" si="75"/>
        <v>0</v>
      </c>
      <c r="AP316">
        <f t="shared" ca="1" si="76"/>
        <v>0</v>
      </c>
    </row>
    <row r="317" spans="1:42" x14ac:dyDescent="0.2">
      <c r="A317" s="2" t="s">
        <v>404</v>
      </c>
      <c r="B317" s="2" t="str">
        <f>VLOOKUP(A317,'[14]Calculated coal req (reg.)'!$A$2:$B$599,2,FALSE)</f>
        <v>DR. N TATA RAO TPS UNIT 1-6</v>
      </c>
      <c r="C317" s="2">
        <v>3.8946157211716699</v>
      </c>
      <c r="D317" s="2"/>
      <c r="H317" t="s">
        <v>1085</v>
      </c>
      <c r="I317">
        <f t="shared" ca="1" si="43"/>
        <v>0.41248355368573675</v>
      </c>
      <c r="J317">
        <f t="shared" ca="1" si="44"/>
        <v>0</v>
      </c>
      <c r="K317">
        <f t="shared" ca="1" si="45"/>
        <v>0</v>
      </c>
      <c r="L317">
        <f t="shared" ca="1" si="46"/>
        <v>0</v>
      </c>
      <c r="M317">
        <f t="shared" ca="1" si="47"/>
        <v>0</v>
      </c>
      <c r="N317">
        <f t="shared" ca="1" si="48"/>
        <v>4.5272146320388593</v>
      </c>
      <c r="O317">
        <f t="shared" ca="1" si="49"/>
        <v>1.1058172661149117</v>
      </c>
      <c r="P317">
        <f t="shared" ca="1" si="50"/>
        <v>1.0759885401102622</v>
      </c>
      <c r="Q317">
        <f t="shared" ca="1" si="51"/>
        <v>0</v>
      </c>
      <c r="R317">
        <f t="shared" ca="1" si="52"/>
        <v>4.5597200068808021</v>
      </c>
      <c r="S317">
        <f t="shared" ca="1" si="53"/>
        <v>7.9640277199963263</v>
      </c>
      <c r="T317">
        <f t="shared" ca="1" si="54"/>
        <v>0</v>
      </c>
      <c r="U317">
        <f t="shared" ca="1" si="55"/>
        <v>0</v>
      </c>
      <c r="V317">
        <f t="shared" ca="1" si="56"/>
        <v>7.599855749375177E-2</v>
      </c>
      <c r="W317">
        <f t="shared" ca="1" si="57"/>
        <v>0</v>
      </c>
      <c r="X317">
        <f t="shared" ca="1" si="58"/>
        <v>0</v>
      </c>
      <c r="Y317">
        <f t="shared" ca="1" si="59"/>
        <v>0</v>
      </c>
      <c r="Z317">
        <f t="shared" ca="1" si="60"/>
        <v>10.289792123613939</v>
      </c>
      <c r="AA317">
        <f t="shared" ca="1" si="61"/>
        <v>13.503225126596151</v>
      </c>
      <c r="AB317">
        <f t="shared" ca="1" si="62"/>
        <v>0</v>
      </c>
      <c r="AC317">
        <f t="shared" ca="1" si="63"/>
        <v>0</v>
      </c>
      <c r="AD317">
        <f t="shared" ca="1" si="64"/>
        <v>0</v>
      </c>
      <c r="AE317">
        <f t="shared" ca="1" si="65"/>
        <v>0</v>
      </c>
      <c r="AF317">
        <f t="shared" ca="1" si="66"/>
        <v>0</v>
      </c>
      <c r="AG317">
        <f t="shared" ca="1" si="67"/>
        <v>0</v>
      </c>
      <c r="AH317">
        <f t="shared" ca="1" si="68"/>
        <v>0</v>
      </c>
      <c r="AI317">
        <f t="shared" ca="1" si="69"/>
        <v>0</v>
      </c>
      <c r="AJ317">
        <f t="shared" ca="1" si="70"/>
        <v>0</v>
      </c>
      <c r="AK317">
        <f t="shared" ca="1" si="71"/>
        <v>0</v>
      </c>
      <c r="AL317">
        <f t="shared" ca="1" si="72"/>
        <v>0.27490861751680923</v>
      </c>
      <c r="AM317">
        <f t="shared" ca="1" si="73"/>
        <v>0</v>
      </c>
      <c r="AN317">
        <f t="shared" ca="1" si="74"/>
        <v>0</v>
      </c>
      <c r="AO317">
        <f t="shared" ca="1" si="75"/>
        <v>0</v>
      </c>
      <c r="AP317">
        <f t="shared" ca="1" si="76"/>
        <v>0</v>
      </c>
    </row>
    <row r="318" spans="1:42" x14ac:dyDescent="0.2">
      <c r="A318" s="2" t="s">
        <v>400</v>
      </c>
      <c r="B318" s="2" t="str">
        <f>VLOOKUP(A318,'[14]Calculated coal req (reg.)'!$A$2:$B$599,2,FALSE)</f>
        <v>DR. N TATA RAO TPS UNIT 1-6</v>
      </c>
      <c r="C318" s="2">
        <v>3.8263930991765802</v>
      </c>
      <c r="D318" s="2"/>
      <c r="H318" t="s">
        <v>1050</v>
      </c>
      <c r="I318">
        <f t="shared" ca="1" si="43"/>
        <v>0</v>
      </c>
      <c r="J318">
        <f t="shared" ca="1" si="44"/>
        <v>0</v>
      </c>
      <c r="K318">
        <f t="shared" ca="1" si="45"/>
        <v>0</v>
      </c>
      <c r="L318">
        <f t="shared" ca="1" si="46"/>
        <v>0</v>
      </c>
      <c r="M318">
        <f t="shared" ca="1" si="47"/>
        <v>0</v>
      </c>
      <c r="N318">
        <f t="shared" ca="1" si="48"/>
        <v>1.9959007616158544</v>
      </c>
      <c r="O318">
        <f t="shared" ca="1" si="49"/>
        <v>0.58694565937670629</v>
      </c>
      <c r="P318">
        <f t="shared" ca="1" si="50"/>
        <v>0.14851529647294423</v>
      </c>
      <c r="Q318">
        <f t="shared" ca="1" si="51"/>
        <v>0</v>
      </c>
      <c r="R318">
        <f t="shared" ca="1" si="52"/>
        <v>0.18805479799154215</v>
      </c>
      <c r="S318">
        <f t="shared" ca="1" si="53"/>
        <v>2.5470047101395683</v>
      </c>
      <c r="T318">
        <f t="shared" ca="1" si="54"/>
        <v>0</v>
      </c>
      <c r="U318">
        <f t="shared" ca="1" si="55"/>
        <v>0</v>
      </c>
      <c r="V318">
        <f t="shared" ca="1" si="56"/>
        <v>0.10494573672255313</v>
      </c>
      <c r="W318">
        <f t="shared" ca="1" si="57"/>
        <v>0</v>
      </c>
      <c r="X318">
        <f t="shared" ca="1" si="58"/>
        <v>0</v>
      </c>
      <c r="Y318">
        <f t="shared" ca="1" si="59"/>
        <v>0</v>
      </c>
      <c r="Z318">
        <f t="shared" ca="1" si="60"/>
        <v>1.927737843660615</v>
      </c>
      <c r="AA318">
        <f t="shared" ca="1" si="61"/>
        <v>3.2193343891309305</v>
      </c>
      <c r="AB318">
        <f t="shared" ca="1" si="62"/>
        <v>0</v>
      </c>
      <c r="AC318">
        <f t="shared" ca="1" si="63"/>
        <v>0</v>
      </c>
      <c r="AD318">
        <f t="shared" ca="1" si="64"/>
        <v>0</v>
      </c>
      <c r="AE318">
        <f t="shared" ca="1" si="65"/>
        <v>0</v>
      </c>
      <c r="AF318">
        <f t="shared" ca="1" si="66"/>
        <v>0</v>
      </c>
      <c r="AG318">
        <f t="shared" ca="1" si="67"/>
        <v>0</v>
      </c>
      <c r="AH318">
        <f t="shared" ca="1" si="68"/>
        <v>0</v>
      </c>
      <c r="AI318">
        <f t="shared" ca="1" si="69"/>
        <v>0</v>
      </c>
      <c r="AJ318">
        <f t="shared" ca="1" si="70"/>
        <v>0</v>
      </c>
      <c r="AK318">
        <f t="shared" ca="1" si="71"/>
        <v>0</v>
      </c>
      <c r="AL318">
        <f t="shared" ca="1" si="72"/>
        <v>0.15043331300118609</v>
      </c>
      <c r="AM318">
        <f t="shared" ca="1" si="73"/>
        <v>0</v>
      </c>
      <c r="AN318">
        <f t="shared" ca="1" si="74"/>
        <v>0</v>
      </c>
      <c r="AO318">
        <f t="shared" ca="1" si="75"/>
        <v>0</v>
      </c>
      <c r="AP318">
        <f t="shared" ca="1" si="76"/>
        <v>0</v>
      </c>
    </row>
    <row r="319" spans="1:42" x14ac:dyDescent="0.2">
      <c r="A319" s="2" t="s">
        <v>306</v>
      </c>
      <c r="B319" s="2" t="str">
        <f>VLOOKUP(A319,'[14]Calculated coal req (reg.)'!$A$2:$B$599,2,FALSE)</f>
        <v>DSPM TPS</v>
      </c>
      <c r="C319" s="2">
        <v>5.2709479689955296</v>
      </c>
      <c r="D319" s="2"/>
      <c r="H319" t="s">
        <v>1135</v>
      </c>
      <c r="I319">
        <f t="shared" ca="1" si="43"/>
        <v>0</v>
      </c>
      <c r="J319">
        <f t="shared" ca="1" si="44"/>
        <v>0</v>
      </c>
      <c r="K319">
        <f t="shared" ca="1" si="45"/>
        <v>0</v>
      </c>
      <c r="L319">
        <f t="shared" ca="1" si="46"/>
        <v>0</v>
      </c>
      <c r="M319">
        <f t="shared" ca="1" si="47"/>
        <v>0</v>
      </c>
      <c r="N319">
        <f t="shared" ca="1" si="48"/>
        <v>14.3108436347993</v>
      </c>
      <c r="O319">
        <f t="shared" ca="1" si="49"/>
        <v>0</v>
      </c>
      <c r="P319">
        <f t="shared" ca="1" si="50"/>
        <v>0</v>
      </c>
      <c r="Q319">
        <f t="shared" ca="1" si="51"/>
        <v>0</v>
      </c>
      <c r="R319">
        <f t="shared" ca="1" si="52"/>
        <v>0</v>
      </c>
      <c r="S319">
        <f t="shared" ca="1" si="53"/>
        <v>0</v>
      </c>
      <c r="T319">
        <f t="shared" ca="1" si="54"/>
        <v>0</v>
      </c>
      <c r="U319">
        <f t="shared" ca="1" si="55"/>
        <v>0</v>
      </c>
      <c r="V319">
        <f t="shared" ca="1" si="56"/>
        <v>0</v>
      </c>
      <c r="W319">
        <f t="shared" ca="1" si="57"/>
        <v>0</v>
      </c>
      <c r="X319">
        <f t="shared" ca="1" si="58"/>
        <v>0</v>
      </c>
      <c r="Y319">
        <f t="shared" ca="1" si="59"/>
        <v>0</v>
      </c>
      <c r="Z319">
        <f t="shared" ca="1" si="60"/>
        <v>0</v>
      </c>
      <c r="AA319">
        <f t="shared" ca="1" si="61"/>
        <v>0</v>
      </c>
      <c r="AB319">
        <f t="shared" ca="1" si="62"/>
        <v>0</v>
      </c>
      <c r="AC319">
        <f t="shared" ca="1" si="63"/>
        <v>0</v>
      </c>
      <c r="AD319">
        <f t="shared" ca="1" si="64"/>
        <v>0</v>
      </c>
      <c r="AE319">
        <f t="shared" ca="1" si="65"/>
        <v>0</v>
      </c>
      <c r="AF319">
        <f t="shared" ca="1" si="66"/>
        <v>0</v>
      </c>
      <c r="AG319">
        <f t="shared" ca="1" si="67"/>
        <v>0</v>
      </c>
      <c r="AH319">
        <f t="shared" ca="1" si="68"/>
        <v>0</v>
      </c>
      <c r="AI319">
        <f t="shared" ca="1" si="69"/>
        <v>0</v>
      </c>
      <c r="AJ319">
        <f t="shared" ca="1" si="70"/>
        <v>0</v>
      </c>
      <c r="AK319">
        <f t="shared" ca="1" si="71"/>
        <v>0</v>
      </c>
      <c r="AL319">
        <f t="shared" ca="1" si="72"/>
        <v>0</v>
      </c>
      <c r="AM319">
        <f t="shared" ca="1" si="73"/>
        <v>0</v>
      </c>
      <c r="AN319">
        <f t="shared" ca="1" si="74"/>
        <v>0</v>
      </c>
      <c r="AO319">
        <f t="shared" ca="1" si="75"/>
        <v>0</v>
      </c>
      <c r="AP319">
        <f t="shared" ca="1" si="76"/>
        <v>0</v>
      </c>
    </row>
    <row r="320" spans="1:42" x14ac:dyDescent="0.2">
      <c r="A320" s="2" t="s">
        <v>297</v>
      </c>
      <c r="B320" s="2" t="str">
        <f>VLOOKUP(A320,'[14]Calculated coal req (reg.)'!$A$2:$B$599,2,FALSE)</f>
        <v>DSPM TPS</v>
      </c>
      <c r="C320" s="2">
        <v>5.3973925305012598</v>
      </c>
      <c r="D320" s="2"/>
      <c r="H320" t="s">
        <v>1037</v>
      </c>
      <c r="I320">
        <f t="shared" ca="1" si="43"/>
        <v>0</v>
      </c>
      <c r="J320">
        <f t="shared" ca="1" si="44"/>
        <v>0</v>
      </c>
      <c r="K320">
        <f t="shared" ca="1" si="45"/>
        <v>0</v>
      </c>
      <c r="L320">
        <f t="shared" ca="1" si="46"/>
        <v>0</v>
      </c>
      <c r="M320">
        <f t="shared" ca="1" si="47"/>
        <v>0</v>
      </c>
      <c r="N320">
        <f t="shared" ca="1" si="48"/>
        <v>10.4309758682486</v>
      </c>
      <c r="O320">
        <f t="shared" ca="1" si="49"/>
        <v>0</v>
      </c>
      <c r="P320">
        <f t="shared" ca="1" si="50"/>
        <v>0</v>
      </c>
      <c r="Q320">
        <f t="shared" ca="1" si="51"/>
        <v>0</v>
      </c>
      <c r="R320">
        <f t="shared" ca="1" si="52"/>
        <v>0</v>
      </c>
      <c r="S320">
        <f t="shared" ca="1" si="53"/>
        <v>0</v>
      </c>
      <c r="T320">
        <f t="shared" ca="1" si="54"/>
        <v>0</v>
      </c>
      <c r="U320">
        <f t="shared" ca="1" si="55"/>
        <v>0</v>
      </c>
      <c r="V320">
        <f t="shared" ca="1" si="56"/>
        <v>0</v>
      </c>
      <c r="W320">
        <f t="shared" ca="1" si="57"/>
        <v>0</v>
      </c>
      <c r="X320">
        <f t="shared" ca="1" si="58"/>
        <v>0</v>
      </c>
      <c r="Y320">
        <f t="shared" ca="1" si="59"/>
        <v>0</v>
      </c>
      <c r="Z320">
        <f t="shared" ca="1" si="60"/>
        <v>0</v>
      </c>
      <c r="AA320">
        <f t="shared" ca="1" si="61"/>
        <v>0</v>
      </c>
      <c r="AB320">
        <f t="shared" ca="1" si="62"/>
        <v>0</v>
      </c>
      <c r="AC320">
        <f t="shared" ca="1" si="63"/>
        <v>0</v>
      </c>
      <c r="AD320">
        <f t="shared" ca="1" si="64"/>
        <v>0</v>
      </c>
      <c r="AE320">
        <f t="shared" ca="1" si="65"/>
        <v>0</v>
      </c>
      <c r="AF320">
        <f t="shared" ca="1" si="66"/>
        <v>0</v>
      </c>
      <c r="AG320">
        <f t="shared" ca="1" si="67"/>
        <v>0</v>
      </c>
      <c r="AH320">
        <f t="shared" ca="1" si="68"/>
        <v>0</v>
      </c>
      <c r="AI320">
        <f t="shared" ca="1" si="69"/>
        <v>0</v>
      </c>
      <c r="AJ320">
        <f t="shared" ca="1" si="70"/>
        <v>0</v>
      </c>
      <c r="AK320">
        <f t="shared" ca="1" si="71"/>
        <v>0</v>
      </c>
      <c r="AL320">
        <f t="shared" ca="1" si="72"/>
        <v>0</v>
      </c>
      <c r="AM320">
        <f t="shared" ca="1" si="73"/>
        <v>0</v>
      </c>
      <c r="AN320">
        <f t="shared" ca="1" si="74"/>
        <v>0</v>
      </c>
      <c r="AO320">
        <f t="shared" ca="1" si="75"/>
        <v>0</v>
      </c>
      <c r="AP320">
        <f t="shared" ca="1" si="76"/>
        <v>0</v>
      </c>
    </row>
    <row r="321" spans="1:42" x14ac:dyDescent="0.2">
      <c r="A321" s="2" t="s">
        <v>484</v>
      </c>
      <c r="B321" s="2" t="str">
        <f>VLOOKUP(A321,'[14]Calculated coal req (reg.)'!$A$2:$B$599,2,FALSE)</f>
        <v>DURGAPUR TPS</v>
      </c>
      <c r="C321" s="2">
        <v>2.17334714479933</v>
      </c>
      <c r="D321" s="2"/>
      <c r="H321" t="s">
        <v>1136</v>
      </c>
      <c r="I321">
        <f t="shared" ca="1" si="43"/>
        <v>0</v>
      </c>
      <c r="J321">
        <f t="shared" ca="1" si="44"/>
        <v>0</v>
      </c>
      <c r="K321">
        <f t="shared" ca="1" si="45"/>
        <v>0</v>
      </c>
      <c r="L321">
        <f t="shared" ca="1" si="46"/>
        <v>0</v>
      </c>
      <c r="M321">
        <f t="shared" ca="1" si="47"/>
        <v>0</v>
      </c>
      <c r="N321">
        <f t="shared" ca="1" si="48"/>
        <v>0</v>
      </c>
      <c r="O321">
        <f t="shared" ca="1" si="49"/>
        <v>0</v>
      </c>
      <c r="P321">
        <f t="shared" ca="1" si="50"/>
        <v>0</v>
      </c>
      <c r="Q321">
        <f t="shared" ca="1" si="51"/>
        <v>0</v>
      </c>
      <c r="R321">
        <f t="shared" ca="1" si="52"/>
        <v>0</v>
      </c>
      <c r="S321">
        <f t="shared" ca="1" si="53"/>
        <v>0</v>
      </c>
      <c r="T321">
        <f t="shared" ca="1" si="54"/>
        <v>0</v>
      </c>
      <c r="U321">
        <f t="shared" ca="1" si="55"/>
        <v>0</v>
      </c>
      <c r="V321">
        <f t="shared" ca="1" si="56"/>
        <v>0</v>
      </c>
      <c r="W321">
        <f t="shared" ca="1" si="57"/>
        <v>0</v>
      </c>
      <c r="X321">
        <f t="shared" ca="1" si="58"/>
        <v>0</v>
      </c>
      <c r="Y321">
        <f t="shared" ca="1" si="59"/>
        <v>0</v>
      </c>
      <c r="Z321">
        <f t="shared" ca="1" si="60"/>
        <v>0</v>
      </c>
      <c r="AA321">
        <f t="shared" ca="1" si="61"/>
        <v>0</v>
      </c>
      <c r="AB321">
        <f t="shared" ca="1" si="62"/>
        <v>0</v>
      </c>
      <c r="AC321">
        <f t="shared" ca="1" si="63"/>
        <v>0</v>
      </c>
      <c r="AD321">
        <f t="shared" ca="1" si="64"/>
        <v>0</v>
      </c>
      <c r="AE321">
        <f t="shared" ca="1" si="65"/>
        <v>0</v>
      </c>
      <c r="AF321">
        <f t="shared" ca="1" si="66"/>
        <v>0</v>
      </c>
      <c r="AG321">
        <f t="shared" ca="1" si="67"/>
        <v>0</v>
      </c>
      <c r="AH321">
        <f t="shared" ca="1" si="68"/>
        <v>0</v>
      </c>
      <c r="AI321">
        <f t="shared" ca="1" si="69"/>
        <v>21.03183776066253</v>
      </c>
      <c r="AJ321">
        <f t="shared" ca="1" si="70"/>
        <v>0</v>
      </c>
      <c r="AK321">
        <f t="shared" ca="1" si="71"/>
        <v>0</v>
      </c>
      <c r="AL321">
        <f t="shared" ca="1" si="72"/>
        <v>0</v>
      </c>
      <c r="AM321">
        <f t="shared" ca="1" si="73"/>
        <v>0</v>
      </c>
      <c r="AN321">
        <f t="shared" ca="1" si="74"/>
        <v>0</v>
      </c>
      <c r="AO321">
        <f t="shared" ca="1" si="75"/>
        <v>0</v>
      </c>
      <c r="AP321">
        <f t="shared" ca="1" si="76"/>
        <v>0</v>
      </c>
    </row>
    <row r="322" spans="1:42" x14ac:dyDescent="0.2">
      <c r="A322" s="2" t="s">
        <v>462</v>
      </c>
      <c r="B322" s="2" t="str">
        <f>VLOOKUP(A322,'[14]Calculated coal req (reg.)'!$A$2:$B$599,2,FALSE)</f>
        <v>FARAKKA STPS UNIT 1-5</v>
      </c>
      <c r="C322" s="2">
        <v>3.7421848828447302</v>
      </c>
      <c r="D322" s="2"/>
      <c r="H322" t="s">
        <v>1045</v>
      </c>
      <c r="I322">
        <f t="shared" ca="1" si="43"/>
        <v>0</v>
      </c>
      <c r="J322">
        <f t="shared" ca="1" si="44"/>
        <v>0</v>
      </c>
      <c r="K322">
        <f t="shared" ca="1" si="45"/>
        <v>0</v>
      </c>
      <c r="L322">
        <f t="shared" ca="1" si="46"/>
        <v>0</v>
      </c>
      <c r="M322">
        <f t="shared" ca="1" si="47"/>
        <v>0</v>
      </c>
      <c r="N322">
        <f t="shared" ca="1" si="48"/>
        <v>0</v>
      </c>
      <c r="O322">
        <f t="shared" ca="1" si="49"/>
        <v>0</v>
      </c>
      <c r="P322">
        <f t="shared" ca="1" si="50"/>
        <v>0</v>
      </c>
      <c r="Q322">
        <f t="shared" ca="1" si="51"/>
        <v>0</v>
      </c>
      <c r="R322">
        <f t="shared" ca="1" si="52"/>
        <v>0</v>
      </c>
      <c r="S322">
        <f t="shared" ca="1" si="53"/>
        <v>0</v>
      </c>
      <c r="T322">
        <f t="shared" ca="1" si="54"/>
        <v>0</v>
      </c>
      <c r="U322">
        <f t="shared" ca="1" si="55"/>
        <v>0</v>
      </c>
      <c r="V322">
        <f t="shared" ca="1" si="56"/>
        <v>0</v>
      </c>
      <c r="W322">
        <f t="shared" ca="1" si="57"/>
        <v>0</v>
      </c>
      <c r="X322">
        <f t="shared" ca="1" si="58"/>
        <v>0</v>
      </c>
      <c r="Y322">
        <f t="shared" ca="1" si="59"/>
        <v>0</v>
      </c>
      <c r="Z322">
        <f t="shared" ca="1" si="60"/>
        <v>0</v>
      </c>
      <c r="AA322">
        <f t="shared" ca="1" si="61"/>
        <v>0</v>
      </c>
      <c r="AB322">
        <f t="shared" ca="1" si="62"/>
        <v>0</v>
      </c>
      <c r="AC322">
        <f t="shared" ca="1" si="63"/>
        <v>0</v>
      </c>
      <c r="AD322">
        <f t="shared" ca="1" si="64"/>
        <v>0</v>
      </c>
      <c r="AE322">
        <f t="shared" ca="1" si="65"/>
        <v>0</v>
      </c>
      <c r="AF322">
        <f t="shared" ca="1" si="66"/>
        <v>0</v>
      </c>
      <c r="AG322">
        <f t="shared" ca="1" si="67"/>
        <v>0</v>
      </c>
      <c r="AH322">
        <f t="shared" ca="1" si="68"/>
        <v>0</v>
      </c>
      <c r="AI322">
        <f t="shared" ca="1" si="69"/>
        <v>0</v>
      </c>
      <c r="AJ322">
        <f t="shared" ca="1" si="70"/>
        <v>0</v>
      </c>
      <c r="AK322">
        <f t="shared" ca="1" si="71"/>
        <v>0</v>
      </c>
      <c r="AL322">
        <f t="shared" ca="1" si="72"/>
        <v>10.0923394388827</v>
      </c>
      <c r="AM322">
        <f t="shared" ca="1" si="73"/>
        <v>0</v>
      </c>
      <c r="AN322">
        <f t="shared" ca="1" si="74"/>
        <v>0</v>
      </c>
      <c r="AO322">
        <f t="shared" ca="1" si="75"/>
        <v>0</v>
      </c>
      <c r="AP322">
        <f t="shared" ca="1" si="76"/>
        <v>0</v>
      </c>
    </row>
    <row r="323" spans="1:42" x14ac:dyDescent="0.2">
      <c r="A323" s="2" t="s">
        <v>454</v>
      </c>
      <c r="B323" s="2" t="str">
        <f>VLOOKUP(A323,'[14]Calculated coal req (reg.)'!$A$2:$B$599,2,FALSE)</f>
        <v>FARAKKA STPS UNIT 1-5</v>
      </c>
      <c r="C323" s="2">
        <v>3.8131783251231499</v>
      </c>
      <c r="D323" s="2"/>
      <c r="H323" t="s">
        <v>1137</v>
      </c>
      <c r="I323">
        <f t="shared" ca="1" si="43"/>
        <v>0</v>
      </c>
      <c r="J323">
        <f t="shared" ca="1" si="44"/>
        <v>0</v>
      </c>
      <c r="K323">
        <f t="shared" ca="1" si="45"/>
        <v>0</v>
      </c>
      <c r="L323">
        <f t="shared" ca="1" si="46"/>
        <v>0</v>
      </c>
      <c r="M323">
        <f t="shared" ca="1" si="47"/>
        <v>0</v>
      </c>
      <c r="N323">
        <f t="shared" ca="1" si="48"/>
        <v>0</v>
      </c>
      <c r="O323">
        <f t="shared" ca="1" si="49"/>
        <v>0</v>
      </c>
      <c r="P323">
        <f t="shared" ca="1" si="50"/>
        <v>0</v>
      </c>
      <c r="Q323">
        <f t="shared" ca="1" si="51"/>
        <v>0</v>
      </c>
      <c r="R323">
        <f t="shared" ca="1" si="52"/>
        <v>0</v>
      </c>
      <c r="S323">
        <f t="shared" ca="1" si="53"/>
        <v>0</v>
      </c>
      <c r="T323">
        <f t="shared" ca="1" si="54"/>
        <v>0</v>
      </c>
      <c r="U323">
        <f t="shared" ca="1" si="55"/>
        <v>0</v>
      </c>
      <c r="V323">
        <f t="shared" ca="1" si="56"/>
        <v>0</v>
      </c>
      <c r="W323">
        <f t="shared" ca="1" si="57"/>
        <v>0</v>
      </c>
      <c r="X323">
        <f t="shared" ca="1" si="58"/>
        <v>0</v>
      </c>
      <c r="Y323">
        <f t="shared" ca="1" si="59"/>
        <v>0</v>
      </c>
      <c r="Z323">
        <f t="shared" ca="1" si="60"/>
        <v>0</v>
      </c>
      <c r="AA323">
        <f t="shared" ca="1" si="61"/>
        <v>0</v>
      </c>
      <c r="AB323">
        <f t="shared" ca="1" si="62"/>
        <v>0</v>
      </c>
      <c r="AC323">
        <f t="shared" ca="1" si="63"/>
        <v>0</v>
      </c>
      <c r="AD323">
        <f t="shared" ca="1" si="64"/>
        <v>0</v>
      </c>
      <c r="AE323">
        <f t="shared" ca="1" si="65"/>
        <v>0</v>
      </c>
      <c r="AF323">
        <f t="shared" ca="1" si="66"/>
        <v>0</v>
      </c>
      <c r="AG323">
        <f t="shared" ca="1" si="67"/>
        <v>0</v>
      </c>
      <c r="AH323">
        <f t="shared" ca="1" si="68"/>
        <v>0</v>
      </c>
      <c r="AI323">
        <f t="shared" ca="1" si="69"/>
        <v>0</v>
      </c>
      <c r="AJ323">
        <f t="shared" ca="1" si="70"/>
        <v>0</v>
      </c>
      <c r="AK323">
        <f t="shared" ca="1" si="71"/>
        <v>0</v>
      </c>
      <c r="AL323">
        <f t="shared" ca="1" si="72"/>
        <v>10.31590855447851</v>
      </c>
      <c r="AM323">
        <f t="shared" ca="1" si="73"/>
        <v>0</v>
      </c>
      <c r="AN323">
        <f t="shared" ca="1" si="74"/>
        <v>0</v>
      </c>
      <c r="AO323">
        <f t="shared" ca="1" si="75"/>
        <v>0</v>
      </c>
      <c r="AP323">
        <f t="shared" ca="1" si="76"/>
        <v>0</v>
      </c>
    </row>
    <row r="324" spans="1:42" x14ac:dyDescent="0.2">
      <c r="A324" s="2" t="s">
        <v>450</v>
      </c>
      <c r="B324" s="2" t="str">
        <f>VLOOKUP(A324,'[14]Calculated coal req (reg.)'!$A$2:$B$599,2,FALSE)</f>
        <v>FARAKKA STPS UNIT 1-5</v>
      </c>
      <c r="C324" s="2">
        <v>3.6652955709165398</v>
      </c>
      <c r="D324" s="2"/>
      <c r="H324" t="s">
        <v>977</v>
      </c>
      <c r="I324">
        <f t="shared" ca="1" si="43"/>
        <v>0</v>
      </c>
      <c r="J324">
        <f t="shared" ca="1" si="44"/>
        <v>0</v>
      </c>
      <c r="K324">
        <f t="shared" ca="1" si="45"/>
        <v>0</v>
      </c>
      <c r="L324">
        <f t="shared" ca="1" si="46"/>
        <v>0</v>
      </c>
      <c r="M324">
        <f t="shared" ca="1" si="47"/>
        <v>0</v>
      </c>
      <c r="N324">
        <f t="shared" ca="1" si="48"/>
        <v>0</v>
      </c>
      <c r="O324">
        <f t="shared" ca="1" si="49"/>
        <v>0</v>
      </c>
      <c r="P324">
        <f t="shared" ca="1" si="50"/>
        <v>0</v>
      </c>
      <c r="Q324">
        <f t="shared" ca="1" si="51"/>
        <v>0</v>
      </c>
      <c r="R324">
        <f t="shared" ca="1" si="52"/>
        <v>0</v>
      </c>
      <c r="S324">
        <f t="shared" ca="1" si="53"/>
        <v>0</v>
      </c>
      <c r="T324">
        <f t="shared" ca="1" si="54"/>
        <v>0</v>
      </c>
      <c r="U324">
        <f t="shared" ca="1" si="55"/>
        <v>0</v>
      </c>
      <c r="V324">
        <f t="shared" ca="1" si="56"/>
        <v>0</v>
      </c>
      <c r="W324">
        <f t="shared" ca="1" si="57"/>
        <v>0</v>
      </c>
      <c r="X324">
        <f t="shared" ca="1" si="58"/>
        <v>0</v>
      </c>
      <c r="Y324">
        <f t="shared" ca="1" si="59"/>
        <v>0</v>
      </c>
      <c r="Z324">
        <f t="shared" ca="1" si="60"/>
        <v>0</v>
      </c>
      <c r="AA324">
        <f t="shared" ca="1" si="61"/>
        <v>0</v>
      </c>
      <c r="AB324">
        <f t="shared" ca="1" si="62"/>
        <v>0</v>
      </c>
      <c r="AC324">
        <f t="shared" ca="1" si="63"/>
        <v>0</v>
      </c>
      <c r="AD324">
        <f t="shared" ca="1" si="64"/>
        <v>0</v>
      </c>
      <c r="AE324">
        <f t="shared" ca="1" si="65"/>
        <v>0</v>
      </c>
      <c r="AF324">
        <f t="shared" ca="1" si="66"/>
        <v>0</v>
      </c>
      <c r="AG324">
        <f t="shared" ca="1" si="67"/>
        <v>0</v>
      </c>
      <c r="AH324">
        <f t="shared" ca="1" si="68"/>
        <v>0</v>
      </c>
      <c r="AI324">
        <f t="shared" ca="1" si="69"/>
        <v>0</v>
      </c>
      <c r="AJ324">
        <f t="shared" ca="1" si="70"/>
        <v>0</v>
      </c>
      <c r="AK324">
        <f t="shared" ca="1" si="71"/>
        <v>0</v>
      </c>
      <c r="AL324">
        <f t="shared" ca="1" si="72"/>
        <v>12.164454465657199</v>
      </c>
      <c r="AM324">
        <f t="shared" ca="1" si="73"/>
        <v>0</v>
      </c>
      <c r="AN324">
        <f t="shared" ca="1" si="74"/>
        <v>0</v>
      </c>
      <c r="AO324">
        <f t="shared" ca="1" si="75"/>
        <v>0</v>
      </c>
      <c r="AP324">
        <f t="shared" ca="1" si="76"/>
        <v>0</v>
      </c>
    </row>
    <row r="325" spans="1:42" x14ac:dyDescent="0.2">
      <c r="A325" s="2" t="s">
        <v>430</v>
      </c>
      <c r="B325" s="2" t="str">
        <f>VLOOKUP(A325,'[14]Calculated coal req (reg.)'!$A$2:$B$599,2,FALSE)</f>
        <v>GANDHI NAGAR TPS UNIT 3-4</v>
      </c>
      <c r="C325" s="2">
        <v>2.5189247793674099</v>
      </c>
      <c r="D325" s="2"/>
      <c r="H325" t="s">
        <v>1138</v>
      </c>
      <c r="I325">
        <f t="shared" ca="1" si="43"/>
        <v>0</v>
      </c>
      <c r="J325">
        <f t="shared" ca="1" si="44"/>
        <v>0</v>
      </c>
      <c r="K325">
        <f t="shared" ca="1" si="45"/>
        <v>0</v>
      </c>
      <c r="L325">
        <f t="shared" ca="1" si="46"/>
        <v>0</v>
      </c>
      <c r="M325">
        <f t="shared" ca="1" si="47"/>
        <v>0</v>
      </c>
      <c r="N325">
        <f t="shared" ca="1" si="48"/>
        <v>0</v>
      </c>
      <c r="O325">
        <f t="shared" ca="1" si="49"/>
        <v>0</v>
      </c>
      <c r="P325">
        <f t="shared" ca="1" si="50"/>
        <v>0</v>
      </c>
      <c r="Q325">
        <f t="shared" ca="1" si="51"/>
        <v>0</v>
      </c>
      <c r="R325">
        <f t="shared" ca="1" si="52"/>
        <v>0</v>
      </c>
      <c r="S325">
        <f t="shared" ca="1" si="53"/>
        <v>0</v>
      </c>
      <c r="T325">
        <f t="shared" ca="1" si="54"/>
        <v>0</v>
      </c>
      <c r="U325">
        <f t="shared" ca="1" si="55"/>
        <v>0</v>
      </c>
      <c r="V325">
        <f t="shared" ca="1" si="56"/>
        <v>0</v>
      </c>
      <c r="W325">
        <f t="shared" ca="1" si="57"/>
        <v>0</v>
      </c>
      <c r="X325">
        <f t="shared" ca="1" si="58"/>
        <v>0</v>
      </c>
      <c r="Y325">
        <f t="shared" ca="1" si="59"/>
        <v>0</v>
      </c>
      <c r="Z325">
        <f t="shared" ca="1" si="60"/>
        <v>0</v>
      </c>
      <c r="AA325">
        <f t="shared" ca="1" si="61"/>
        <v>0</v>
      </c>
      <c r="AB325">
        <f t="shared" ca="1" si="62"/>
        <v>0</v>
      </c>
      <c r="AC325">
        <f t="shared" ca="1" si="63"/>
        <v>0</v>
      </c>
      <c r="AD325">
        <f t="shared" ca="1" si="64"/>
        <v>0</v>
      </c>
      <c r="AE325">
        <f t="shared" ca="1" si="65"/>
        <v>0</v>
      </c>
      <c r="AF325">
        <f t="shared" ca="1" si="66"/>
        <v>0</v>
      </c>
      <c r="AG325">
        <f t="shared" ca="1" si="67"/>
        <v>0</v>
      </c>
      <c r="AH325">
        <f t="shared" ca="1" si="68"/>
        <v>0</v>
      </c>
      <c r="AI325">
        <f t="shared" ca="1" si="69"/>
        <v>0</v>
      </c>
      <c r="AJ325">
        <f t="shared" ca="1" si="70"/>
        <v>0</v>
      </c>
      <c r="AK325">
        <f t="shared" ca="1" si="71"/>
        <v>0</v>
      </c>
      <c r="AL325">
        <f t="shared" ca="1" si="72"/>
        <v>9.7855984045004405</v>
      </c>
      <c r="AM325">
        <f t="shared" ca="1" si="73"/>
        <v>0</v>
      </c>
      <c r="AN325">
        <f t="shared" ca="1" si="74"/>
        <v>0</v>
      </c>
      <c r="AO325">
        <f t="shared" ca="1" si="75"/>
        <v>0</v>
      </c>
      <c r="AP325">
        <f t="shared" ca="1" si="76"/>
        <v>0</v>
      </c>
    </row>
    <row r="326" spans="1:42" x14ac:dyDescent="0.2">
      <c r="A326" s="2" t="s">
        <v>422</v>
      </c>
      <c r="B326" s="2" t="str">
        <f>VLOOKUP(A326,'[14]Calculated coal req (reg.)'!$A$2:$B$599,2,FALSE)</f>
        <v>GANDHI NAGAR TPS UNIT 3-4</v>
      </c>
      <c r="C326" s="2">
        <v>2.4389155755071701</v>
      </c>
      <c r="D326" s="2"/>
      <c r="H326" t="s">
        <v>980</v>
      </c>
      <c r="I326">
        <f t="shared" ca="1" si="43"/>
        <v>2.9883331788220922</v>
      </c>
      <c r="J326">
        <f t="shared" ca="1" si="44"/>
        <v>0</v>
      </c>
      <c r="K326">
        <f t="shared" ca="1" si="45"/>
        <v>0</v>
      </c>
      <c r="L326">
        <f t="shared" ca="1" si="46"/>
        <v>0</v>
      </c>
      <c r="M326">
        <f t="shared" ca="1" si="47"/>
        <v>0</v>
      </c>
      <c r="N326">
        <f t="shared" ca="1" si="48"/>
        <v>0</v>
      </c>
      <c r="O326">
        <f t="shared" ca="1" si="49"/>
        <v>0</v>
      </c>
      <c r="P326">
        <f t="shared" ca="1" si="50"/>
        <v>0</v>
      </c>
      <c r="Q326">
        <f t="shared" ca="1" si="51"/>
        <v>0</v>
      </c>
      <c r="R326">
        <f t="shared" ca="1" si="52"/>
        <v>0</v>
      </c>
      <c r="S326">
        <f t="shared" ca="1" si="53"/>
        <v>0</v>
      </c>
      <c r="T326">
        <f t="shared" ca="1" si="54"/>
        <v>0</v>
      </c>
      <c r="U326">
        <f t="shared" ca="1" si="55"/>
        <v>0</v>
      </c>
      <c r="V326">
        <f t="shared" ca="1" si="56"/>
        <v>0</v>
      </c>
      <c r="W326">
        <f t="shared" ca="1" si="57"/>
        <v>0</v>
      </c>
      <c r="X326">
        <f t="shared" ca="1" si="58"/>
        <v>7.9943690290871467</v>
      </c>
      <c r="Y326">
        <f t="shared" ca="1" si="59"/>
        <v>1.1098585445331739</v>
      </c>
      <c r="Z326">
        <f t="shared" ca="1" si="60"/>
        <v>0</v>
      </c>
      <c r="AA326">
        <f t="shared" ca="1" si="61"/>
        <v>0</v>
      </c>
      <c r="AB326">
        <f t="shared" ca="1" si="62"/>
        <v>0</v>
      </c>
      <c r="AC326">
        <f t="shared" ca="1" si="63"/>
        <v>0</v>
      </c>
      <c r="AD326">
        <f t="shared" ca="1" si="64"/>
        <v>0</v>
      </c>
      <c r="AE326">
        <f t="shared" ca="1" si="65"/>
        <v>0</v>
      </c>
      <c r="AF326">
        <f t="shared" ca="1" si="66"/>
        <v>0</v>
      </c>
      <c r="AG326">
        <f t="shared" ca="1" si="67"/>
        <v>0</v>
      </c>
      <c r="AH326">
        <f t="shared" ca="1" si="68"/>
        <v>0</v>
      </c>
      <c r="AI326">
        <f t="shared" ca="1" si="69"/>
        <v>0</v>
      </c>
      <c r="AJ326">
        <f t="shared" ca="1" si="70"/>
        <v>0</v>
      </c>
      <c r="AK326">
        <f t="shared" ca="1" si="71"/>
        <v>2.4222854997975154</v>
      </c>
      <c r="AL326">
        <f t="shared" ca="1" si="72"/>
        <v>2.0659029823593538</v>
      </c>
      <c r="AM326">
        <f t="shared" ca="1" si="73"/>
        <v>0</v>
      </c>
      <c r="AN326">
        <f t="shared" ca="1" si="74"/>
        <v>0</v>
      </c>
      <c r="AO326">
        <f t="shared" ca="1" si="75"/>
        <v>0</v>
      </c>
      <c r="AP326">
        <f t="shared" ca="1" si="76"/>
        <v>0</v>
      </c>
    </row>
    <row r="327" spans="1:42" x14ac:dyDescent="0.2">
      <c r="A327" s="2" t="s">
        <v>383</v>
      </c>
      <c r="B327" s="2" t="str">
        <f>VLOOKUP(A327,'[14]Calculated coal req (reg.)'!$A$2:$B$599,2,FALSE)</f>
        <v>GANDHI NAGAR TPS UNIT 5</v>
      </c>
      <c r="C327" s="2">
        <v>3.7000039391210602</v>
      </c>
      <c r="D327" s="2"/>
      <c r="H327" t="s">
        <v>1139</v>
      </c>
      <c r="I327">
        <f t="shared" ca="1" si="43"/>
        <v>0</v>
      </c>
      <c r="J327">
        <f t="shared" ca="1" si="44"/>
        <v>0</v>
      </c>
      <c r="K327">
        <f t="shared" ca="1" si="45"/>
        <v>0</v>
      </c>
      <c r="L327">
        <f t="shared" ca="1" si="46"/>
        <v>0</v>
      </c>
      <c r="M327">
        <f t="shared" ca="1" si="47"/>
        <v>0</v>
      </c>
      <c r="N327">
        <f t="shared" ca="1" si="48"/>
        <v>0</v>
      </c>
      <c r="O327">
        <f t="shared" ca="1" si="49"/>
        <v>0</v>
      </c>
      <c r="P327">
        <f t="shared" ca="1" si="50"/>
        <v>0</v>
      </c>
      <c r="Q327">
        <f t="shared" ca="1" si="51"/>
        <v>0</v>
      </c>
      <c r="R327">
        <f t="shared" ca="1" si="52"/>
        <v>0</v>
      </c>
      <c r="S327">
        <f t="shared" ca="1" si="53"/>
        <v>0</v>
      </c>
      <c r="T327">
        <f t="shared" ca="1" si="54"/>
        <v>0</v>
      </c>
      <c r="U327">
        <f t="shared" ca="1" si="55"/>
        <v>0</v>
      </c>
      <c r="V327">
        <f t="shared" ca="1" si="56"/>
        <v>0</v>
      </c>
      <c r="W327">
        <f t="shared" ca="1" si="57"/>
        <v>0</v>
      </c>
      <c r="X327">
        <f t="shared" ca="1" si="58"/>
        <v>0</v>
      </c>
      <c r="Y327">
        <f t="shared" ca="1" si="59"/>
        <v>0</v>
      </c>
      <c r="Z327">
        <f t="shared" ca="1" si="60"/>
        <v>0</v>
      </c>
      <c r="AA327">
        <f t="shared" ca="1" si="61"/>
        <v>0</v>
      </c>
      <c r="AB327">
        <f t="shared" ca="1" si="62"/>
        <v>0</v>
      </c>
      <c r="AC327">
        <f t="shared" ca="1" si="63"/>
        <v>0</v>
      </c>
      <c r="AD327">
        <f t="shared" ca="1" si="64"/>
        <v>0</v>
      </c>
      <c r="AE327">
        <f t="shared" ca="1" si="65"/>
        <v>0</v>
      </c>
      <c r="AF327">
        <f t="shared" ca="1" si="66"/>
        <v>0</v>
      </c>
      <c r="AG327">
        <f t="shared" ca="1" si="67"/>
        <v>0</v>
      </c>
      <c r="AH327">
        <f t="shared" ca="1" si="68"/>
        <v>0</v>
      </c>
      <c r="AI327">
        <f t="shared" ca="1" si="69"/>
        <v>0</v>
      </c>
      <c r="AJ327">
        <f t="shared" ca="1" si="70"/>
        <v>0</v>
      </c>
      <c r="AK327">
        <f t="shared" ca="1" si="71"/>
        <v>0</v>
      </c>
      <c r="AL327">
        <f t="shared" ca="1" si="72"/>
        <v>0</v>
      </c>
      <c r="AM327">
        <f t="shared" ca="1" si="73"/>
        <v>0</v>
      </c>
      <c r="AN327">
        <f t="shared" ca="1" si="74"/>
        <v>0.42644485407066002</v>
      </c>
      <c r="AO327">
        <f t="shared" ca="1" si="75"/>
        <v>0</v>
      </c>
      <c r="AP327">
        <f t="shared" ca="1" si="76"/>
        <v>0</v>
      </c>
    </row>
    <row r="328" spans="1:42" x14ac:dyDescent="0.2">
      <c r="A328" s="2" t="s">
        <v>385</v>
      </c>
      <c r="B328" s="2" t="str">
        <f>VLOOKUP(A328,'[14]Calculated coal req (reg.)'!$A$2:$B$599,2,FALSE)</f>
        <v>GH TPS (LEH.MOH.)</v>
      </c>
      <c r="C328" s="2">
        <v>1.12630611861503</v>
      </c>
      <c r="D328" s="2"/>
      <c r="H328" t="s">
        <v>1189</v>
      </c>
      <c r="I328">
        <f t="shared" ca="1" si="43"/>
        <v>0</v>
      </c>
      <c r="J328">
        <f t="shared" ca="1" si="44"/>
        <v>0</v>
      </c>
      <c r="K328">
        <f t="shared" ca="1" si="45"/>
        <v>0</v>
      </c>
      <c r="L328">
        <f t="shared" ca="1" si="46"/>
        <v>0</v>
      </c>
      <c r="M328">
        <f t="shared" ca="1" si="47"/>
        <v>0</v>
      </c>
      <c r="N328">
        <f t="shared" ca="1" si="48"/>
        <v>0</v>
      </c>
      <c r="O328">
        <f t="shared" ca="1" si="49"/>
        <v>0</v>
      </c>
      <c r="P328">
        <f t="shared" ca="1" si="50"/>
        <v>0</v>
      </c>
      <c r="Q328">
        <f t="shared" ca="1" si="51"/>
        <v>0</v>
      </c>
      <c r="R328">
        <f t="shared" ca="1" si="52"/>
        <v>0</v>
      </c>
      <c r="S328">
        <f t="shared" ca="1" si="53"/>
        <v>0</v>
      </c>
      <c r="T328">
        <f t="shared" ca="1" si="54"/>
        <v>0</v>
      </c>
      <c r="U328">
        <f t="shared" ca="1" si="55"/>
        <v>0</v>
      </c>
      <c r="V328">
        <f t="shared" ca="1" si="56"/>
        <v>0</v>
      </c>
      <c r="W328">
        <f t="shared" ca="1" si="57"/>
        <v>0</v>
      </c>
      <c r="X328">
        <f t="shared" ca="1" si="58"/>
        <v>0</v>
      </c>
      <c r="Y328">
        <f t="shared" ca="1" si="59"/>
        <v>0</v>
      </c>
      <c r="Z328">
        <f t="shared" ca="1" si="60"/>
        <v>0</v>
      </c>
      <c r="AA328">
        <f t="shared" ca="1" si="61"/>
        <v>0</v>
      </c>
      <c r="AB328">
        <f t="shared" ca="1" si="62"/>
        <v>0</v>
      </c>
      <c r="AC328">
        <f t="shared" ca="1" si="63"/>
        <v>0</v>
      </c>
      <c r="AD328">
        <f t="shared" ca="1" si="64"/>
        <v>0</v>
      </c>
      <c r="AE328">
        <f t="shared" ca="1" si="65"/>
        <v>0</v>
      </c>
      <c r="AF328">
        <f t="shared" ca="1" si="66"/>
        <v>0</v>
      </c>
      <c r="AG328">
        <f t="shared" ca="1" si="67"/>
        <v>0</v>
      </c>
      <c r="AH328">
        <f t="shared" ca="1" si="68"/>
        <v>0</v>
      </c>
      <c r="AI328">
        <f t="shared" ca="1" si="69"/>
        <v>0</v>
      </c>
      <c r="AJ328">
        <f t="shared" ca="1" si="70"/>
        <v>0</v>
      </c>
      <c r="AK328">
        <f t="shared" ca="1" si="71"/>
        <v>0</v>
      </c>
      <c r="AL328">
        <f t="shared" ca="1" si="72"/>
        <v>0</v>
      </c>
      <c r="AM328">
        <f t="shared" ca="1" si="73"/>
        <v>0</v>
      </c>
      <c r="AN328">
        <f t="shared" ca="1" si="74"/>
        <v>0</v>
      </c>
      <c r="AO328">
        <f t="shared" ca="1" si="75"/>
        <v>0</v>
      </c>
      <c r="AP328">
        <f t="shared" ca="1" si="76"/>
        <v>0</v>
      </c>
    </row>
    <row r="329" spans="1:42" x14ac:dyDescent="0.2">
      <c r="A329" s="2" t="s">
        <v>381</v>
      </c>
      <c r="B329" s="2" t="str">
        <f>VLOOKUP(A329,'[14]Calculated coal req (reg.)'!$A$2:$B$599,2,FALSE)</f>
        <v>GH TPS (LEH.MOH.)</v>
      </c>
      <c r="C329" s="2">
        <v>1.1365718408460901</v>
      </c>
      <c r="D329" s="2"/>
      <c r="H329" t="s">
        <v>1190</v>
      </c>
      <c r="I329">
        <f t="shared" ca="1" si="43"/>
        <v>0</v>
      </c>
      <c r="J329">
        <f t="shared" ca="1" si="44"/>
        <v>0</v>
      </c>
      <c r="K329">
        <f t="shared" ca="1" si="45"/>
        <v>0</v>
      </c>
      <c r="L329">
        <f t="shared" ca="1" si="46"/>
        <v>0</v>
      </c>
      <c r="M329">
        <f t="shared" ca="1" si="47"/>
        <v>0</v>
      </c>
      <c r="N329">
        <f t="shared" ca="1" si="48"/>
        <v>0</v>
      </c>
      <c r="O329">
        <f t="shared" ca="1" si="49"/>
        <v>0</v>
      </c>
      <c r="P329">
        <f t="shared" ca="1" si="50"/>
        <v>0</v>
      </c>
      <c r="Q329">
        <f t="shared" ca="1" si="51"/>
        <v>0</v>
      </c>
      <c r="R329">
        <f t="shared" ca="1" si="52"/>
        <v>0</v>
      </c>
      <c r="S329">
        <f t="shared" ca="1" si="53"/>
        <v>0</v>
      </c>
      <c r="T329">
        <f t="shared" ca="1" si="54"/>
        <v>0</v>
      </c>
      <c r="U329">
        <f t="shared" ca="1" si="55"/>
        <v>0</v>
      </c>
      <c r="V329">
        <f t="shared" ca="1" si="56"/>
        <v>0</v>
      </c>
      <c r="W329">
        <f t="shared" ca="1" si="57"/>
        <v>0</v>
      </c>
      <c r="X329">
        <f t="shared" ca="1" si="58"/>
        <v>0</v>
      </c>
      <c r="Y329">
        <f t="shared" ca="1" si="59"/>
        <v>0</v>
      </c>
      <c r="Z329">
        <f t="shared" ca="1" si="60"/>
        <v>0</v>
      </c>
      <c r="AA329">
        <f t="shared" ca="1" si="61"/>
        <v>0</v>
      </c>
      <c r="AB329">
        <f t="shared" ca="1" si="62"/>
        <v>0</v>
      </c>
      <c r="AC329">
        <f t="shared" ca="1" si="63"/>
        <v>0</v>
      </c>
      <c r="AD329">
        <f t="shared" ca="1" si="64"/>
        <v>0</v>
      </c>
      <c r="AE329">
        <f t="shared" ca="1" si="65"/>
        <v>0</v>
      </c>
      <c r="AF329">
        <f t="shared" ca="1" si="66"/>
        <v>0</v>
      </c>
      <c r="AG329">
        <f t="shared" ca="1" si="67"/>
        <v>0</v>
      </c>
      <c r="AH329">
        <f t="shared" ca="1" si="68"/>
        <v>0</v>
      </c>
      <c r="AI329">
        <f t="shared" ca="1" si="69"/>
        <v>0</v>
      </c>
      <c r="AJ329">
        <f t="shared" ca="1" si="70"/>
        <v>0</v>
      </c>
      <c r="AK329">
        <f t="shared" ca="1" si="71"/>
        <v>0</v>
      </c>
      <c r="AL329">
        <f t="shared" ca="1" si="72"/>
        <v>0</v>
      </c>
      <c r="AM329">
        <f t="shared" ca="1" si="73"/>
        <v>0</v>
      </c>
      <c r="AN329">
        <f t="shared" ca="1" si="74"/>
        <v>0</v>
      </c>
      <c r="AO329">
        <f t="shared" ca="1" si="75"/>
        <v>0</v>
      </c>
      <c r="AP329">
        <f t="shared" ca="1" si="76"/>
        <v>0</v>
      </c>
    </row>
    <row r="330" spans="1:42" x14ac:dyDescent="0.2">
      <c r="A330" s="2" t="s">
        <v>296</v>
      </c>
      <c r="B330" s="2" t="str">
        <f>VLOOKUP(A330,'[14]Calculated coal req (reg.)'!$A$2:$B$599,2,FALSE)</f>
        <v>GH TPS (LEH.MOH.)</v>
      </c>
      <c r="C330" s="2">
        <v>1.7782096650599399</v>
      </c>
      <c r="D330" s="2"/>
      <c r="H330" t="s">
        <v>995</v>
      </c>
      <c r="I330">
        <f t="shared" ca="1" si="43"/>
        <v>0</v>
      </c>
      <c r="J330">
        <f t="shared" ca="1" si="44"/>
        <v>0</v>
      </c>
      <c r="K330">
        <f t="shared" ca="1" si="45"/>
        <v>0</v>
      </c>
      <c r="L330">
        <f t="shared" ca="1" si="46"/>
        <v>0</v>
      </c>
      <c r="M330">
        <f t="shared" ca="1" si="47"/>
        <v>0</v>
      </c>
      <c r="N330">
        <f t="shared" ca="1" si="48"/>
        <v>0</v>
      </c>
      <c r="O330">
        <f t="shared" ca="1" si="49"/>
        <v>0</v>
      </c>
      <c r="P330">
        <f t="shared" ca="1" si="50"/>
        <v>0</v>
      </c>
      <c r="Q330">
        <f t="shared" ca="1" si="51"/>
        <v>0</v>
      </c>
      <c r="R330">
        <f t="shared" ca="1" si="52"/>
        <v>0</v>
      </c>
      <c r="S330">
        <f t="shared" ca="1" si="53"/>
        <v>0</v>
      </c>
      <c r="T330">
        <f t="shared" ca="1" si="54"/>
        <v>0</v>
      </c>
      <c r="U330">
        <f t="shared" ca="1" si="55"/>
        <v>0</v>
      </c>
      <c r="V330">
        <f t="shared" ca="1" si="56"/>
        <v>0</v>
      </c>
      <c r="W330">
        <f t="shared" ca="1" si="57"/>
        <v>0</v>
      </c>
      <c r="X330">
        <f t="shared" ca="1" si="58"/>
        <v>0</v>
      </c>
      <c r="Y330">
        <f t="shared" ca="1" si="59"/>
        <v>0</v>
      </c>
      <c r="Z330">
        <f t="shared" ca="1" si="60"/>
        <v>0</v>
      </c>
      <c r="AA330">
        <f t="shared" ca="1" si="61"/>
        <v>0</v>
      </c>
      <c r="AB330">
        <f t="shared" ca="1" si="62"/>
        <v>0</v>
      </c>
      <c r="AC330">
        <f t="shared" ca="1" si="63"/>
        <v>0</v>
      </c>
      <c r="AD330">
        <f t="shared" ca="1" si="64"/>
        <v>0</v>
      </c>
      <c r="AE330">
        <f t="shared" ca="1" si="65"/>
        <v>0</v>
      </c>
      <c r="AF330">
        <f t="shared" ca="1" si="66"/>
        <v>0</v>
      </c>
      <c r="AG330">
        <f t="shared" ca="1" si="67"/>
        <v>0</v>
      </c>
      <c r="AH330">
        <f t="shared" ca="1" si="68"/>
        <v>0</v>
      </c>
      <c r="AI330">
        <f t="shared" ca="1" si="69"/>
        <v>0</v>
      </c>
      <c r="AJ330">
        <f t="shared" ca="1" si="70"/>
        <v>0</v>
      </c>
      <c r="AK330">
        <f t="shared" ca="1" si="71"/>
        <v>0</v>
      </c>
      <c r="AL330">
        <f t="shared" ca="1" si="72"/>
        <v>0</v>
      </c>
      <c r="AM330">
        <f t="shared" ca="1" si="73"/>
        <v>0</v>
      </c>
      <c r="AN330">
        <f t="shared" ca="1" si="74"/>
        <v>18.674646599139841</v>
      </c>
      <c r="AO330">
        <f t="shared" ca="1" si="75"/>
        <v>0</v>
      </c>
      <c r="AP330">
        <f t="shared" ca="1" si="76"/>
        <v>0</v>
      </c>
    </row>
    <row r="331" spans="1:42" x14ac:dyDescent="0.2">
      <c r="A331" s="2" t="s">
        <v>288</v>
      </c>
      <c r="B331" s="2" t="str">
        <f>VLOOKUP(A331,'[14]Calculated coal req (reg.)'!$A$2:$B$599,2,FALSE)</f>
        <v>GH TPS (LEH.MOH.)</v>
      </c>
      <c r="C331" s="2">
        <v>1.33538433621131</v>
      </c>
      <c r="D331" s="2"/>
      <c r="H331" t="s">
        <v>978</v>
      </c>
      <c r="I331">
        <f t="shared" ca="1" si="43"/>
        <v>7.0953530772978016E-2</v>
      </c>
      <c r="J331">
        <f t="shared" ca="1" si="44"/>
        <v>0</v>
      </c>
      <c r="K331">
        <f t="shared" ca="1" si="45"/>
        <v>0</v>
      </c>
      <c r="L331">
        <f t="shared" ca="1" si="46"/>
        <v>0</v>
      </c>
      <c r="M331">
        <f t="shared" ca="1" si="47"/>
        <v>0</v>
      </c>
      <c r="N331">
        <f t="shared" ca="1" si="48"/>
        <v>1.7843215184704162</v>
      </c>
      <c r="O331">
        <f t="shared" ca="1" si="49"/>
        <v>0.23705880689617106</v>
      </c>
      <c r="P331">
        <f t="shared" ca="1" si="50"/>
        <v>7.1011791883318409E-2</v>
      </c>
      <c r="Q331">
        <f t="shared" ca="1" si="51"/>
        <v>0</v>
      </c>
      <c r="R331">
        <f t="shared" ca="1" si="52"/>
        <v>4.257561913136098E-2</v>
      </c>
      <c r="S331">
        <f t="shared" ca="1" si="53"/>
        <v>0.45471101151484505</v>
      </c>
      <c r="T331">
        <f t="shared" ca="1" si="54"/>
        <v>0</v>
      </c>
      <c r="U331">
        <f t="shared" ca="1" si="55"/>
        <v>0</v>
      </c>
      <c r="V331">
        <f t="shared" ca="1" si="56"/>
        <v>4.2948190180317015E-2</v>
      </c>
      <c r="W331">
        <f t="shared" ca="1" si="57"/>
        <v>0</v>
      </c>
      <c r="X331">
        <f t="shared" ca="1" si="58"/>
        <v>0</v>
      </c>
      <c r="Y331">
        <f t="shared" ca="1" si="59"/>
        <v>0</v>
      </c>
      <c r="Z331">
        <f t="shared" ca="1" si="60"/>
        <v>0</v>
      </c>
      <c r="AA331">
        <f t="shared" ca="1" si="61"/>
        <v>0.90833046778373783</v>
      </c>
      <c r="AB331">
        <f t="shared" ca="1" si="62"/>
        <v>0</v>
      </c>
      <c r="AC331">
        <f t="shared" ca="1" si="63"/>
        <v>0</v>
      </c>
      <c r="AD331">
        <f t="shared" ca="1" si="64"/>
        <v>0</v>
      </c>
      <c r="AE331">
        <f t="shared" ca="1" si="65"/>
        <v>0</v>
      </c>
      <c r="AF331">
        <f t="shared" ca="1" si="66"/>
        <v>0</v>
      </c>
      <c r="AG331">
        <f t="shared" ca="1" si="67"/>
        <v>0</v>
      </c>
      <c r="AH331">
        <f t="shared" ca="1" si="68"/>
        <v>0</v>
      </c>
      <c r="AI331">
        <f t="shared" ca="1" si="69"/>
        <v>0</v>
      </c>
      <c r="AJ331">
        <f t="shared" ca="1" si="70"/>
        <v>0</v>
      </c>
      <c r="AK331">
        <f t="shared" ca="1" si="71"/>
        <v>0</v>
      </c>
      <c r="AL331">
        <f t="shared" ca="1" si="72"/>
        <v>5.7845785236335712E-2</v>
      </c>
      <c r="AM331">
        <f t="shared" ca="1" si="73"/>
        <v>0</v>
      </c>
      <c r="AN331">
        <f t="shared" ca="1" si="74"/>
        <v>0</v>
      </c>
      <c r="AO331">
        <f t="shared" ca="1" si="75"/>
        <v>0</v>
      </c>
      <c r="AP331">
        <f t="shared" ca="1" si="76"/>
        <v>0</v>
      </c>
    </row>
    <row r="332" spans="1:42" x14ac:dyDescent="0.2">
      <c r="A332" s="2" t="s">
        <v>520</v>
      </c>
      <c r="B332" s="2" t="str">
        <f>VLOOKUP(A332,'[14]Calculated coal req (reg.)'!$A$2:$B$599,2,FALSE)</f>
        <v>HARDUAGANJ TPS UNIT 7</v>
      </c>
      <c r="C332" s="2">
        <v>0.53117556109963404</v>
      </c>
      <c r="D332" s="2"/>
      <c r="H332" t="s">
        <v>1097</v>
      </c>
      <c r="I332">
        <f t="shared" ca="1" si="43"/>
        <v>0</v>
      </c>
      <c r="J332">
        <f t="shared" ca="1" si="44"/>
        <v>0</v>
      </c>
      <c r="K332">
        <f t="shared" ca="1" si="45"/>
        <v>0</v>
      </c>
      <c r="L332">
        <f t="shared" ca="1" si="46"/>
        <v>0</v>
      </c>
      <c r="M332">
        <f t="shared" ca="1" si="47"/>
        <v>0</v>
      </c>
      <c r="N332">
        <f t="shared" ca="1" si="48"/>
        <v>0</v>
      </c>
      <c r="O332">
        <f t="shared" ca="1" si="49"/>
        <v>0</v>
      </c>
      <c r="P332">
        <f t="shared" ca="1" si="50"/>
        <v>0</v>
      </c>
      <c r="Q332">
        <f t="shared" ca="1" si="51"/>
        <v>0</v>
      </c>
      <c r="R332">
        <f t="shared" ca="1" si="52"/>
        <v>0</v>
      </c>
      <c r="S332">
        <f t="shared" ca="1" si="53"/>
        <v>0</v>
      </c>
      <c r="T332">
        <f t="shared" ca="1" si="54"/>
        <v>0</v>
      </c>
      <c r="U332">
        <f t="shared" ca="1" si="55"/>
        <v>0</v>
      </c>
      <c r="V332">
        <f t="shared" ca="1" si="56"/>
        <v>0</v>
      </c>
      <c r="W332">
        <f t="shared" ca="1" si="57"/>
        <v>5.1433739912472198</v>
      </c>
      <c r="X332">
        <f t="shared" ca="1" si="58"/>
        <v>0</v>
      </c>
      <c r="Y332">
        <f t="shared" ca="1" si="59"/>
        <v>0</v>
      </c>
      <c r="Z332">
        <f t="shared" ca="1" si="60"/>
        <v>0</v>
      </c>
      <c r="AA332">
        <f t="shared" ca="1" si="61"/>
        <v>0</v>
      </c>
      <c r="AB332">
        <f t="shared" ca="1" si="62"/>
        <v>0</v>
      </c>
      <c r="AC332">
        <f t="shared" ca="1" si="63"/>
        <v>0</v>
      </c>
      <c r="AD332">
        <f t="shared" ca="1" si="64"/>
        <v>0</v>
      </c>
      <c r="AE332">
        <f t="shared" ca="1" si="65"/>
        <v>0</v>
      </c>
      <c r="AF332">
        <f t="shared" ca="1" si="66"/>
        <v>0</v>
      </c>
      <c r="AG332">
        <f t="shared" ca="1" si="67"/>
        <v>0</v>
      </c>
      <c r="AH332">
        <f t="shared" ca="1" si="68"/>
        <v>0</v>
      </c>
      <c r="AI332">
        <f t="shared" ca="1" si="69"/>
        <v>0</v>
      </c>
      <c r="AJ332">
        <f t="shared" ca="1" si="70"/>
        <v>0</v>
      </c>
      <c r="AK332">
        <f t="shared" ca="1" si="71"/>
        <v>2.5012787894269524</v>
      </c>
      <c r="AL332">
        <f t="shared" ca="1" si="72"/>
        <v>0</v>
      </c>
      <c r="AM332">
        <f t="shared" ca="1" si="73"/>
        <v>0</v>
      </c>
      <c r="AN332">
        <f t="shared" ca="1" si="74"/>
        <v>0</v>
      </c>
      <c r="AO332">
        <f t="shared" ca="1" si="75"/>
        <v>0</v>
      </c>
      <c r="AP332">
        <f t="shared" ca="1" si="76"/>
        <v>2.8265714108378005E-2</v>
      </c>
    </row>
    <row r="333" spans="1:42" x14ac:dyDescent="0.2">
      <c r="A333" s="2" t="s">
        <v>403</v>
      </c>
      <c r="B333" s="2" t="str">
        <f>VLOOKUP(A333,'[14]Calculated coal req (reg.)'!$A$2:$B$599,2,FALSE)</f>
        <v>IB VALLEY TPS UNIT 1-2</v>
      </c>
      <c r="C333" s="2">
        <v>3.8271237541627499</v>
      </c>
      <c r="D333" s="2"/>
      <c r="H333" t="s">
        <v>1003</v>
      </c>
      <c r="I333">
        <f t="shared" ca="1" si="43"/>
        <v>0</v>
      </c>
      <c r="J333">
        <f t="shared" ca="1" si="44"/>
        <v>0</v>
      </c>
      <c r="K333">
        <f t="shared" ca="1" si="45"/>
        <v>0</v>
      </c>
      <c r="L333">
        <f t="shared" ca="1" si="46"/>
        <v>0</v>
      </c>
      <c r="M333">
        <f t="shared" ca="1" si="47"/>
        <v>0</v>
      </c>
      <c r="N333">
        <f t="shared" ca="1" si="48"/>
        <v>0</v>
      </c>
      <c r="O333">
        <f t="shared" ca="1" si="49"/>
        <v>0</v>
      </c>
      <c r="P333">
        <f t="shared" ca="1" si="50"/>
        <v>0</v>
      </c>
      <c r="Q333">
        <f t="shared" ca="1" si="51"/>
        <v>0</v>
      </c>
      <c r="R333">
        <f t="shared" ca="1" si="52"/>
        <v>0</v>
      </c>
      <c r="S333">
        <f t="shared" ca="1" si="53"/>
        <v>0</v>
      </c>
      <c r="T333">
        <f t="shared" ca="1" si="54"/>
        <v>19.026439205113263</v>
      </c>
      <c r="U333">
        <f t="shared" ca="1" si="55"/>
        <v>0</v>
      </c>
      <c r="V333">
        <f t="shared" ca="1" si="56"/>
        <v>0</v>
      </c>
      <c r="W333">
        <f t="shared" ca="1" si="57"/>
        <v>0</v>
      </c>
      <c r="X333">
        <f t="shared" ca="1" si="58"/>
        <v>0</v>
      </c>
      <c r="Y333">
        <f t="shared" ca="1" si="59"/>
        <v>0</v>
      </c>
      <c r="Z333">
        <f t="shared" ca="1" si="60"/>
        <v>0</v>
      </c>
      <c r="AA333">
        <f t="shared" ca="1" si="61"/>
        <v>0</v>
      </c>
      <c r="AB333">
        <f t="shared" ca="1" si="62"/>
        <v>0</v>
      </c>
      <c r="AC333">
        <f t="shared" ca="1" si="63"/>
        <v>0</v>
      </c>
      <c r="AD333">
        <f t="shared" ca="1" si="64"/>
        <v>0</v>
      </c>
      <c r="AE333">
        <f t="shared" ca="1" si="65"/>
        <v>0</v>
      </c>
      <c r="AF333">
        <f t="shared" ca="1" si="66"/>
        <v>0</v>
      </c>
      <c r="AG333">
        <f t="shared" ca="1" si="67"/>
        <v>0</v>
      </c>
      <c r="AH333">
        <f t="shared" ca="1" si="68"/>
        <v>0</v>
      </c>
      <c r="AI333">
        <f t="shared" ca="1" si="69"/>
        <v>0</v>
      </c>
      <c r="AJ333">
        <f t="shared" ca="1" si="70"/>
        <v>0</v>
      </c>
      <c r="AK333">
        <f t="shared" ca="1" si="71"/>
        <v>0</v>
      </c>
      <c r="AL333">
        <f t="shared" ca="1" si="72"/>
        <v>0</v>
      </c>
      <c r="AM333">
        <f t="shared" ca="1" si="73"/>
        <v>0</v>
      </c>
      <c r="AN333">
        <f t="shared" ca="1" si="74"/>
        <v>0</v>
      </c>
      <c r="AO333">
        <f t="shared" ca="1" si="75"/>
        <v>0</v>
      </c>
      <c r="AP333">
        <f t="shared" ca="1" si="76"/>
        <v>0</v>
      </c>
    </row>
    <row r="334" spans="1:42" x14ac:dyDescent="0.2">
      <c r="A334" s="2" t="s">
        <v>397</v>
      </c>
      <c r="B334" s="2" t="str">
        <f>VLOOKUP(A334,'[14]Calculated coal req (reg.)'!$A$2:$B$599,2,FALSE)</f>
        <v>IB VALLEY TPS UNIT 1-2</v>
      </c>
      <c r="C334" s="2">
        <v>3.8379222869240199</v>
      </c>
      <c r="D334" s="2"/>
      <c r="H334" t="s">
        <v>1034</v>
      </c>
      <c r="I334">
        <f t="shared" ca="1" si="43"/>
        <v>0</v>
      </c>
      <c r="J334">
        <f t="shared" ca="1" si="44"/>
        <v>0</v>
      </c>
      <c r="K334">
        <f t="shared" ca="1" si="45"/>
        <v>0</v>
      </c>
      <c r="L334">
        <f t="shared" ca="1" si="46"/>
        <v>0</v>
      </c>
      <c r="M334">
        <f t="shared" ca="1" si="47"/>
        <v>0</v>
      </c>
      <c r="N334">
        <f t="shared" ca="1" si="48"/>
        <v>0</v>
      </c>
      <c r="O334">
        <f t="shared" ca="1" si="49"/>
        <v>0</v>
      </c>
      <c r="P334">
        <f t="shared" ca="1" si="50"/>
        <v>0</v>
      </c>
      <c r="Q334">
        <f t="shared" ca="1" si="51"/>
        <v>8.6760087805786128</v>
      </c>
      <c r="R334">
        <f t="shared" ca="1" si="52"/>
        <v>0</v>
      </c>
      <c r="S334">
        <f t="shared" ca="1" si="53"/>
        <v>0</v>
      </c>
      <c r="T334">
        <f t="shared" ca="1" si="54"/>
        <v>0</v>
      </c>
      <c r="U334">
        <f t="shared" ca="1" si="55"/>
        <v>0</v>
      </c>
      <c r="V334">
        <f t="shared" ca="1" si="56"/>
        <v>0</v>
      </c>
      <c r="W334">
        <f t="shared" ca="1" si="57"/>
        <v>0</v>
      </c>
      <c r="X334">
        <f t="shared" ca="1" si="58"/>
        <v>0</v>
      </c>
      <c r="Y334">
        <f t="shared" ca="1" si="59"/>
        <v>10.202744344233784</v>
      </c>
      <c r="Z334">
        <f t="shared" ca="1" si="60"/>
        <v>0</v>
      </c>
      <c r="AA334">
        <f t="shared" ca="1" si="61"/>
        <v>0</v>
      </c>
      <c r="AB334">
        <f t="shared" ca="1" si="62"/>
        <v>0</v>
      </c>
      <c r="AC334">
        <f t="shared" ca="1" si="63"/>
        <v>0</v>
      </c>
      <c r="AD334">
        <f t="shared" ca="1" si="64"/>
        <v>0</v>
      </c>
      <c r="AE334">
        <f t="shared" ca="1" si="65"/>
        <v>0</v>
      </c>
      <c r="AF334">
        <f t="shared" ca="1" si="66"/>
        <v>0</v>
      </c>
      <c r="AG334">
        <f t="shared" ca="1" si="67"/>
        <v>0</v>
      </c>
      <c r="AH334">
        <f t="shared" ca="1" si="68"/>
        <v>0</v>
      </c>
      <c r="AI334">
        <f t="shared" ca="1" si="69"/>
        <v>0</v>
      </c>
      <c r="AJ334">
        <f t="shared" ca="1" si="70"/>
        <v>0</v>
      </c>
      <c r="AK334">
        <f t="shared" ca="1" si="71"/>
        <v>0</v>
      </c>
      <c r="AL334">
        <f t="shared" ca="1" si="72"/>
        <v>0</v>
      </c>
      <c r="AM334">
        <f t="shared" ca="1" si="73"/>
        <v>0</v>
      </c>
      <c r="AN334">
        <f t="shared" ca="1" si="74"/>
        <v>0</v>
      </c>
      <c r="AO334">
        <f t="shared" ca="1" si="75"/>
        <v>0</v>
      </c>
      <c r="AP334">
        <f t="shared" ca="1" si="76"/>
        <v>0</v>
      </c>
    </row>
    <row r="335" spans="1:42" x14ac:dyDescent="0.2">
      <c r="A335" s="2" t="s">
        <v>388</v>
      </c>
      <c r="B335" s="2"/>
      <c r="C335" s="2">
        <v>2.0828475469415499</v>
      </c>
      <c r="D335" s="2"/>
      <c r="H335" t="s">
        <v>1140</v>
      </c>
      <c r="I335">
        <f t="shared" ca="1" si="43"/>
        <v>0</v>
      </c>
      <c r="J335">
        <f t="shared" ca="1" si="44"/>
        <v>0</v>
      </c>
      <c r="K335">
        <f t="shared" ca="1" si="45"/>
        <v>0</v>
      </c>
      <c r="L335">
        <f t="shared" ca="1" si="46"/>
        <v>0</v>
      </c>
      <c r="M335">
        <f t="shared" ca="1" si="47"/>
        <v>0</v>
      </c>
      <c r="N335">
        <f t="shared" ca="1" si="48"/>
        <v>0</v>
      </c>
      <c r="O335">
        <f t="shared" ca="1" si="49"/>
        <v>0</v>
      </c>
      <c r="P335">
        <f t="shared" ca="1" si="50"/>
        <v>0</v>
      </c>
      <c r="Q335">
        <f t="shared" ca="1" si="51"/>
        <v>0</v>
      </c>
      <c r="R335">
        <f t="shared" ca="1" si="52"/>
        <v>0</v>
      </c>
      <c r="S335">
        <f t="shared" ca="1" si="53"/>
        <v>0</v>
      </c>
      <c r="T335">
        <f t="shared" ca="1" si="54"/>
        <v>0</v>
      </c>
      <c r="U335">
        <f t="shared" ca="1" si="55"/>
        <v>0</v>
      </c>
      <c r="V335">
        <f t="shared" ca="1" si="56"/>
        <v>0</v>
      </c>
      <c r="W335">
        <f t="shared" ca="1" si="57"/>
        <v>0</v>
      </c>
      <c r="X335">
        <f t="shared" ca="1" si="58"/>
        <v>0</v>
      </c>
      <c r="Y335">
        <f t="shared" ca="1" si="59"/>
        <v>0</v>
      </c>
      <c r="Z335">
        <f t="shared" ca="1" si="60"/>
        <v>0</v>
      </c>
      <c r="AA335">
        <f t="shared" ca="1" si="61"/>
        <v>0</v>
      </c>
      <c r="AB335">
        <f t="shared" ca="1" si="62"/>
        <v>0</v>
      </c>
      <c r="AC335">
        <f t="shared" ca="1" si="63"/>
        <v>0</v>
      </c>
      <c r="AD335">
        <f t="shared" ca="1" si="64"/>
        <v>0</v>
      </c>
      <c r="AE335">
        <f t="shared" ca="1" si="65"/>
        <v>0</v>
      </c>
      <c r="AF335">
        <f t="shared" ca="1" si="66"/>
        <v>0</v>
      </c>
      <c r="AG335">
        <f t="shared" ca="1" si="67"/>
        <v>0</v>
      </c>
      <c r="AH335">
        <f t="shared" ca="1" si="68"/>
        <v>0</v>
      </c>
      <c r="AI335">
        <f t="shared" ca="1" si="69"/>
        <v>0</v>
      </c>
      <c r="AJ335">
        <f t="shared" ca="1" si="70"/>
        <v>0</v>
      </c>
      <c r="AK335">
        <f t="shared" ca="1" si="71"/>
        <v>0</v>
      </c>
      <c r="AL335">
        <f t="shared" ca="1" si="72"/>
        <v>0</v>
      </c>
      <c r="AM335">
        <f t="shared" ca="1" si="73"/>
        <v>0</v>
      </c>
      <c r="AN335">
        <f t="shared" ca="1" si="74"/>
        <v>0.31264612391192903</v>
      </c>
      <c r="AO335">
        <f t="shared" ca="1" si="75"/>
        <v>0</v>
      </c>
      <c r="AP335">
        <f t="shared" ca="1" si="76"/>
        <v>0</v>
      </c>
    </row>
    <row r="336" spans="1:42" x14ac:dyDescent="0.2">
      <c r="A336" s="2" t="s">
        <v>384</v>
      </c>
      <c r="B336" s="2"/>
      <c r="C336" s="2">
        <v>2.07531232321627</v>
      </c>
      <c r="D336" s="2"/>
      <c r="H336" t="s">
        <v>1030</v>
      </c>
      <c r="I336">
        <f t="shared" ca="1" si="43"/>
        <v>0</v>
      </c>
      <c r="J336">
        <f t="shared" ca="1" si="44"/>
        <v>0</v>
      </c>
      <c r="K336">
        <f t="shared" ca="1" si="45"/>
        <v>0</v>
      </c>
      <c r="L336">
        <f t="shared" ca="1" si="46"/>
        <v>0</v>
      </c>
      <c r="M336">
        <f t="shared" ca="1" si="47"/>
        <v>0</v>
      </c>
      <c r="N336">
        <f t="shared" ca="1" si="48"/>
        <v>7.3230792650359673</v>
      </c>
      <c r="O336">
        <f t="shared" ca="1" si="49"/>
        <v>0</v>
      </c>
      <c r="P336">
        <f t="shared" ca="1" si="50"/>
        <v>0</v>
      </c>
      <c r="Q336">
        <f t="shared" ca="1" si="51"/>
        <v>0</v>
      </c>
      <c r="R336">
        <f t="shared" ca="1" si="52"/>
        <v>0</v>
      </c>
      <c r="S336">
        <f t="shared" ca="1" si="53"/>
        <v>0</v>
      </c>
      <c r="T336">
        <f t="shared" ca="1" si="54"/>
        <v>0</v>
      </c>
      <c r="U336">
        <f t="shared" ca="1" si="55"/>
        <v>0</v>
      </c>
      <c r="V336">
        <f t="shared" ca="1" si="56"/>
        <v>0</v>
      </c>
      <c r="W336">
        <f t="shared" ca="1" si="57"/>
        <v>0</v>
      </c>
      <c r="X336">
        <f t="shared" ca="1" si="58"/>
        <v>0</v>
      </c>
      <c r="Y336">
        <f t="shared" ca="1" si="59"/>
        <v>0</v>
      </c>
      <c r="Z336">
        <f t="shared" ca="1" si="60"/>
        <v>0</v>
      </c>
      <c r="AA336">
        <f t="shared" ca="1" si="61"/>
        <v>0</v>
      </c>
      <c r="AB336">
        <f t="shared" ca="1" si="62"/>
        <v>0</v>
      </c>
      <c r="AC336">
        <f t="shared" ca="1" si="63"/>
        <v>0</v>
      </c>
      <c r="AD336">
        <f t="shared" ca="1" si="64"/>
        <v>0</v>
      </c>
      <c r="AE336">
        <f t="shared" ca="1" si="65"/>
        <v>0</v>
      </c>
      <c r="AF336">
        <f t="shared" ca="1" si="66"/>
        <v>0</v>
      </c>
      <c r="AG336">
        <f t="shared" ca="1" si="67"/>
        <v>0</v>
      </c>
      <c r="AH336">
        <f t="shared" ca="1" si="68"/>
        <v>0</v>
      </c>
      <c r="AI336">
        <f t="shared" ca="1" si="69"/>
        <v>0</v>
      </c>
      <c r="AJ336">
        <f t="shared" ca="1" si="70"/>
        <v>0</v>
      </c>
      <c r="AK336">
        <f t="shared" ca="1" si="71"/>
        <v>0</v>
      </c>
      <c r="AL336">
        <f t="shared" ca="1" si="72"/>
        <v>8.1099610270391338</v>
      </c>
      <c r="AM336">
        <f t="shared" ca="1" si="73"/>
        <v>0</v>
      </c>
      <c r="AN336">
        <f t="shared" ca="1" si="74"/>
        <v>0</v>
      </c>
      <c r="AO336">
        <f t="shared" ca="1" si="75"/>
        <v>0</v>
      </c>
      <c r="AP336">
        <f t="shared" ca="1" si="76"/>
        <v>0</v>
      </c>
    </row>
    <row r="337" spans="1:42" x14ac:dyDescent="0.2">
      <c r="A337" s="2" t="s">
        <v>250</v>
      </c>
      <c r="B337" s="2" t="str">
        <f>VLOOKUP(A337,'[14]Calculated coal req (reg.)'!$A$2:$B$599,2,FALSE)</f>
        <v>JSW RATNAGIRI TPP UNIT 1</v>
      </c>
      <c r="C337" s="2">
        <v>6.0338102095005697</v>
      </c>
      <c r="D337" s="2"/>
      <c r="H337" t="s">
        <v>1040</v>
      </c>
      <c r="I337">
        <f t="shared" ca="1" si="43"/>
        <v>0.53746659848188039</v>
      </c>
      <c r="J337">
        <f t="shared" ca="1" si="44"/>
        <v>0</v>
      </c>
      <c r="K337">
        <f t="shared" ca="1" si="45"/>
        <v>0</v>
      </c>
      <c r="L337">
        <f t="shared" ca="1" si="46"/>
        <v>0</v>
      </c>
      <c r="M337">
        <f t="shared" ca="1" si="47"/>
        <v>0</v>
      </c>
      <c r="N337">
        <f t="shared" ca="1" si="48"/>
        <v>0.71264819362877674</v>
      </c>
      <c r="O337">
        <f t="shared" ca="1" si="49"/>
        <v>0.61559269186718568</v>
      </c>
      <c r="P337">
        <f t="shared" ca="1" si="50"/>
        <v>0.22235838298304059</v>
      </c>
      <c r="Q337">
        <f t="shared" ca="1" si="51"/>
        <v>0</v>
      </c>
      <c r="R337">
        <f t="shared" ca="1" si="52"/>
        <v>0.2337728682029038</v>
      </c>
      <c r="S337">
        <f t="shared" ca="1" si="53"/>
        <v>4.3124884747967354</v>
      </c>
      <c r="T337">
        <f t="shared" ca="1" si="54"/>
        <v>0</v>
      </c>
      <c r="U337">
        <f t="shared" ca="1" si="55"/>
        <v>0</v>
      </c>
      <c r="V337">
        <f t="shared" ca="1" si="56"/>
        <v>8.2119807087220317E-2</v>
      </c>
      <c r="W337">
        <f t="shared" ca="1" si="57"/>
        <v>0</v>
      </c>
      <c r="X337">
        <f t="shared" ca="1" si="58"/>
        <v>0</v>
      </c>
      <c r="Y337">
        <f t="shared" ca="1" si="59"/>
        <v>0</v>
      </c>
      <c r="Z337">
        <f t="shared" ca="1" si="60"/>
        <v>1.5291576614778553</v>
      </c>
      <c r="AA337">
        <f t="shared" ca="1" si="61"/>
        <v>5.3872649718467853</v>
      </c>
      <c r="AB337">
        <f t="shared" ca="1" si="62"/>
        <v>0</v>
      </c>
      <c r="AC337">
        <f t="shared" ca="1" si="63"/>
        <v>0</v>
      </c>
      <c r="AD337">
        <f t="shared" ca="1" si="64"/>
        <v>0</v>
      </c>
      <c r="AE337">
        <f t="shared" ca="1" si="65"/>
        <v>0</v>
      </c>
      <c r="AF337">
        <f t="shared" ca="1" si="66"/>
        <v>0</v>
      </c>
      <c r="AG337">
        <f t="shared" ca="1" si="67"/>
        <v>0</v>
      </c>
      <c r="AH337">
        <f t="shared" ca="1" si="68"/>
        <v>0</v>
      </c>
      <c r="AI337">
        <f t="shared" ca="1" si="69"/>
        <v>0</v>
      </c>
      <c r="AJ337">
        <f t="shared" ca="1" si="70"/>
        <v>0</v>
      </c>
      <c r="AK337">
        <f t="shared" ca="1" si="71"/>
        <v>0</v>
      </c>
      <c r="AL337">
        <f t="shared" ca="1" si="72"/>
        <v>0.16685961053478673</v>
      </c>
      <c r="AM337">
        <f t="shared" ca="1" si="73"/>
        <v>0</v>
      </c>
      <c r="AN337">
        <f t="shared" ca="1" si="74"/>
        <v>0</v>
      </c>
      <c r="AO337">
        <f t="shared" ca="1" si="75"/>
        <v>0</v>
      </c>
      <c r="AP337">
        <f t="shared" ca="1" si="76"/>
        <v>0</v>
      </c>
    </row>
    <row r="338" spans="1:42" x14ac:dyDescent="0.2">
      <c r="A338" s="2" t="s">
        <v>247</v>
      </c>
      <c r="B338" s="2"/>
      <c r="C338" s="2">
        <v>4.7125467669316796</v>
      </c>
      <c r="D338" s="2"/>
      <c r="H338" t="s">
        <v>994</v>
      </c>
      <c r="I338">
        <f t="shared" ca="1" si="43"/>
        <v>0</v>
      </c>
      <c r="J338">
        <f t="shared" ca="1" si="44"/>
        <v>0</v>
      </c>
      <c r="K338">
        <f t="shared" ca="1" si="45"/>
        <v>0</v>
      </c>
      <c r="L338">
        <f t="shared" ca="1" si="46"/>
        <v>0</v>
      </c>
      <c r="M338">
        <f t="shared" ca="1" si="47"/>
        <v>0</v>
      </c>
      <c r="N338">
        <f t="shared" ca="1" si="48"/>
        <v>0.8891570137637983</v>
      </c>
      <c r="O338">
        <f t="shared" ca="1" si="49"/>
        <v>0.74471610245280861</v>
      </c>
      <c r="P338">
        <f t="shared" ca="1" si="50"/>
        <v>0.26659790849915183</v>
      </c>
      <c r="Q338">
        <f t="shared" ca="1" si="51"/>
        <v>0</v>
      </c>
      <c r="R338">
        <f t="shared" ca="1" si="52"/>
        <v>0.27788858634878938</v>
      </c>
      <c r="S338">
        <f t="shared" ca="1" si="53"/>
        <v>4.630939831207594</v>
      </c>
      <c r="T338">
        <f t="shared" ca="1" si="54"/>
        <v>0</v>
      </c>
      <c r="U338">
        <f t="shared" ca="1" si="55"/>
        <v>0</v>
      </c>
      <c r="V338">
        <f t="shared" ca="1" si="56"/>
        <v>8.4220916353512712E-2</v>
      </c>
      <c r="W338">
        <f t="shared" ca="1" si="57"/>
        <v>0</v>
      </c>
      <c r="X338">
        <f t="shared" ca="1" si="58"/>
        <v>0</v>
      </c>
      <c r="Y338">
        <f t="shared" ca="1" si="59"/>
        <v>0</v>
      </c>
      <c r="Z338">
        <f t="shared" ca="1" si="60"/>
        <v>1.9275308372127469</v>
      </c>
      <c r="AA338">
        <f t="shared" ca="1" si="61"/>
        <v>6.5896357550169489</v>
      </c>
      <c r="AB338">
        <f t="shared" ca="1" si="62"/>
        <v>0</v>
      </c>
      <c r="AC338">
        <f t="shared" ca="1" si="63"/>
        <v>0</v>
      </c>
      <c r="AD338">
        <f t="shared" ca="1" si="64"/>
        <v>0</v>
      </c>
      <c r="AE338">
        <f t="shared" ca="1" si="65"/>
        <v>0</v>
      </c>
      <c r="AF338">
        <f t="shared" ca="1" si="66"/>
        <v>0</v>
      </c>
      <c r="AG338">
        <f t="shared" ca="1" si="67"/>
        <v>0</v>
      </c>
      <c r="AH338">
        <f t="shared" ca="1" si="68"/>
        <v>0</v>
      </c>
      <c r="AI338">
        <f t="shared" ca="1" si="69"/>
        <v>0</v>
      </c>
      <c r="AJ338">
        <f t="shared" ca="1" si="70"/>
        <v>0</v>
      </c>
      <c r="AK338">
        <f t="shared" ca="1" si="71"/>
        <v>0</v>
      </c>
      <c r="AL338">
        <f t="shared" ca="1" si="72"/>
        <v>0.20284880845393005</v>
      </c>
      <c r="AM338">
        <f t="shared" ca="1" si="73"/>
        <v>0</v>
      </c>
      <c r="AN338">
        <f t="shared" ca="1" si="74"/>
        <v>0</v>
      </c>
      <c r="AO338">
        <f t="shared" ca="1" si="75"/>
        <v>0</v>
      </c>
      <c r="AP338">
        <f t="shared" ca="1" si="76"/>
        <v>0</v>
      </c>
    </row>
    <row r="339" spans="1:42" x14ac:dyDescent="0.2">
      <c r="A339" s="2" t="s">
        <v>242</v>
      </c>
      <c r="B339" s="2"/>
      <c r="C339" s="2">
        <v>5.3552731620672001</v>
      </c>
      <c r="D339" s="2"/>
      <c r="H339" t="s">
        <v>990</v>
      </c>
      <c r="I339">
        <f t="shared" ca="1" si="43"/>
        <v>0</v>
      </c>
      <c r="J339">
        <f t="shared" ca="1" si="44"/>
        <v>0</v>
      </c>
      <c r="K339">
        <f t="shared" ca="1" si="45"/>
        <v>0</v>
      </c>
      <c r="L339">
        <f t="shared" ca="1" si="46"/>
        <v>0</v>
      </c>
      <c r="M339">
        <f t="shared" ca="1" si="47"/>
        <v>0</v>
      </c>
      <c r="N339">
        <f t="shared" ca="1" si="48"/>
        <v>0</v>
      </c>
      <c r="O339">
        <f t="shared" ca="1" si="49"/>
        <v>0</v>
      </c>
      <c r="P339">
        <f t="shared" ca="1" si="50"/>
        <v>0</v>
      </c>
      <c r="Q339">
        <f t="shared" ca="1" si="51"/>
        <v>0</v>
      </c>
      <c r="R339">
        <f t="shared" ca="1" si="52"/>
        <v>0</v>
      </c>
      <c r="S339">
        <f t="shared" ca="1" si="53"/>
        <v>0</v>
      </c>
      <c r="T339">
        <f t="shared" ca="1" si="54"/>
        <v>0</v>
      </c>
      <c r="U339">
        <f t="shared" ca="1" si="55"/>
        <v>0</v>
      </c>
      <c r="V339">
        <f t="shared" ca="1" si="56"/>
        <v>0</v>
      </c>
      <c r="W339">
        <f t="shared" ca="1" si="57"/>
        <v>0</v>
      </c>
      <c r="X339">
        <f t="shared" ca="1" si="58"/>
        <v>0</v>
      </c>
      <c r="Y339">
        <f t="shared" ca="1" si="59"/>
        <v>0</v>
      </c>
      <c r="Z339">
        <f t="shared" ca="1" si="60"/>
        <v>0</v>
      </c>
      <c r="AA339">
        <f t="shared" ca="1" si="61"/>
        <v>0</v>
      </c>
      <c r="AB339">
        <f t="shared" ca="1" si="62"/>
        <v>0</v>
      </c>
      <c r="AC339">
        <f t="shared" ca="1" si="63"/>
        <v>0</v>
      </c>
      <c r="AD339">
        <f t="shared" ca="1" si="64"/>
        <v>0</v>
      </c>
      <c r="AE339">
        <f t="shared" ca="1" si="65"/>
        <v>0</v>
      </c>
      <c r="AF339">
        <f t="shared" ca="1" si="66"/>
        <v>0</v>
      </c>
      <c r="AG339">
        <f t="shared" ca="1" si="67"/>
        <v>0</v>
      </c>
      <c r="AH339">
        <f t="shared" ca="1" si="68"/>
        <v>0</v>
      </c>
      <c r="AI339">
        <f t="shared" ca="1" si="69"/>
        <v>6.1610070352456366E-2</v>
      </c>
      <c r="AJ339">
        <f t="shared" ca="1" si="70"/>
        <v>0</v>
      </c>
      <c r="AK339">
        <f t="shared" ca="1" si="71"/>
        <v>0</v>
      </c>
      <c r="AL339">
        <f t="shared" ca="1" si="72"/>
        <v>0</v>
      </c>
      <c r="AM339">
        <f t="shared" ca="1" si="73"/>
        <v>0</v>
      </c>
      <c r="AN339">
        <f t="shared" ca="1" si="74"/>
        <v>1.4756465916391237</v>
      </c>
      <c r="AO339">
        <f t="shared" ca="1" si="75"/>
        <v>0</v>
      </c>
      <c r="AP339">
        <f t="shared" ca="1" si="76"/>
        <v>0</v>
      </c>
    </row>
    <row r="340" spans="1:42" x14ac:dyDescent="0.2">
      <c r="A340" s="2" t="s">
        <v>236</v>
      </c>
      <c r="B340" s="2"/>
      <c r="C340" s="2">
        <v>5.3840248341190398</v>
      </c>
      <c r="D340" s="2"/>
      <c r="H340" t="s">
        <v>1046</v>
      </c>
      <c r="I340">
        <f t="shared" ca="1" si="43"/>
        <v>0</v>
      </c>
      <c r="J340">
        <f t="shared" ca="1" si="44"/>
        <v>0</v>
      </c>
      <c r="K340">
        <f t="shared" ca="1" si="45"/>
        <v>0</v>
      </c>
      <c r="L340">
        <f t="shared" ca="1" si="46"/>
        <v>0</v>
      </c>
      <c r="M340">
        <f t="shared" ca="1" si="47"/>
        <v>0</v>
      </c>
      <c r="N340">
        <f t="shared" ca="1" si="48"/>
        <v>0</v>
      </c>
      <c r="O340">
        <f t="shared" ca="1" si="49"/>
        <v>0</v>
      </c>
      <c r="P340">
        <f t="shared" ca="1" si="50"/>
        <v>0</v>
      </c>
      <c r="Q340">
        <f t="shared" ca="1" si="51"/>
        <v>11.862703776853433</v>
      </c>
      <c r="R340">
        <f t="shared" ca="1" si="52"/>
        <v>0</v>
      </c>
      <c r="S340">
        <f t="shared" ca="1" si="53"/>
        <v>0</v>
      </c>
      <c r="T340">
        <f t="shared" ca="1" si="54"/>
        <v>4.422969699932934</v>
      </c>
      <c r="U340">
        <f t="shared" ca="1" si="55"/>
        <v>0</v>
      </c>
      <c r="V340">
        <f t="shared" ca="1" si="56"/>
        <v>0</v>
      </c>
      <c r="W340">
        <f t="shared" ca="1" si="57"/>
        <v>0</v>
      </c>
      <c r="X340">
        <f t="shared" ca="1" si="58"/>
        <v>10.350252010319148</v>
      </c>
      <c r="Y340">
        <f t="shared" ca="1" si="59"/>
        <v>5.932760912498459</v>
      </c>
      <c r="Z340">
        <f t="shared" ca="1" si="60"/>
        <v>1.7628989319215358</v>
      </c>
      <c r="AA340">
        <f t="shared" ca="1" si="61"/>
        <v>0</v>
      </c>
      <c r="AB340">
        <f t="shared" ca="1" si="62"/>
        <v>0</v>
      </c>
      <c r="AC340">
        <f t="shared" ca="1" si="63"/>
        <v>0</v>
      </c>
      <c r="AD340">
        <f t="shared" ca="1" si="64"/>
        <v>0</v>
      </c>
      <c r="AE340">
        <f t="shared" ca="1" si="65"/>
        <v>0</v>
      </c>
      <c r="AF340">
        <f t="shared" ca="1" si="66"/>
        <v>0</v>
      </c>
      <c r="AG340">
        <f t="shared" ca="1" si="67"/>
        <v>0</v>
      </c>
      <c r="AH340">
        <f t="shared" ca="1" si="68"/>
        <v>0</v>
      </c>
      <c r="AI340">
        <f t="shared" ca="1" si="69"/>
        <v>0</v>
      </c>
      <c r="AJ340">
        <f t="shared" ca="1" si="70"/>
        <v>0</v>
      </c>
      <c r="AK340">
        <f t="shared" ca="1" si="71"/>
        <v>0</v>
      </c>
      <c r="AL340">
        <f t="shared" ca="1" si="72"/>
        <v>0</v>
      </c>
      <c r="AM340">
        <f t="shared" ca="1" si="73"/>
        <v>0</v>
      </c>
      <c r="AN340">
        <f t="shared" ca="1" si="74"/>
        <v>0</v>
      </c>
      <c r="AO340">
        <f t="shared" ca="1" si="75"/>
        <v>0</v>
      </c>
      <c r="AP340">
        <f t="shared" ca="1" si="76"/>
        <v>0</v>
      </c>
    </row>
    <row r="341" spans="1:42" x14ac:dyDescent="0.2">
      <c r="A341" s="2" t="s">
        <v>419</v>
      </c>
      <c r="B341" s="2" t="str">
        <f>VLOOKUP(A341,'[14]Calculated coal req (reg.)'!$A$2:$B$599,2,FALSE)</f>
        <v>KAHALGAON TPS UNIT 1-4</v>
      </c>
      <c r="C341" s="2">
        <v>3.9479110828610202</v>
      </c>
      <c r="D341" s="2"/>
      <c r="H341" t="s">
        <v>1141</v>
      </c>
      <c r="I341">
        <f t="shared" ca="1" si="43"/>
        <v>0</v>
      </c>
      <c r="J341">
        <f t="shared" ca="1" si="44"/>
        <v>0</v>
      </c>
      <c r="K341">
        <f t="shared" ca="1" si="45"/>
        <v>0</v>
      </c>
      <c r="L341">
        <f t="shared" ca="1" si="46"/>
        <v>0</v>
      </c>
      <c r="M341">
        <f t="shared" ca="1" si="47"/>
        <v>0</v>
      </c>
      <c r="N341">
        <f t="shared" ca="1" si="48"/>
        <v>0</v>
      </c>
      <c r="O341">
        <f t="shared" ca="1" si="49"/>
        <v>0</v>
      </c>
      <c r="P341">
        <f t="shared" ca="1" si="50"/>
        <v>0</v>
      </c>
      <c r="Q341">
        <f t="shared" ca="1" si="51"/>
        <v>0</v>
      </c>
      <c r="R341">
        <f t="shared" ca="1" si="52"/>
        <v>0</v>
      </c>
      <c r="S341">
        <f t="shared" ca="1" si="53"/>
        <v>0</v>
      </c>
      <c r="T341">
        <f t="shared" ca="1" si="54"/>
        <v>0</v>
      </c>
      <c r="U341">
        <f t="shared" ca="1" si="55"/>
        <v>0</v>
      </c>
      <c r="V341">
        <f t="shared" ca="1" si="56"/>
        <v>0</v>
      </c>
      <c r="W341">
        <f t="shared" ca="1" si="57"/>
        <v>0</v>
      </c>
      <c r="X341">
        <f t="shared" ca="1" si="58"/>
        <v>0</v>
      </c>
      <c r="Y341">
        <f t="shared" ca="1" si="59"/>
        <v>0</v>
      </c>
      <c r="Z341">
        <f t="shared" ca="1" si="60"/>
        <v>0</v>
      </c>
      <c r="AA341">
        <f t="shared" ca="1" si="61"/>
        <v>0</v>
      </c>
      <c r="AB341">
        <f t="shared" ca="1" si="62"/>
        <v>0</v>
      </c>
      <c r="AC341">
        <f t="shared" ca="1" si="63"/>
        <v>0</v>
      </c>
      <c r="AD341">
        <f t="shared" ca="1" si="64"/>
        <v>0</v>
      </c>
      <c r="AE341">
        <f t="shared" ca="1" si="65"/>
        <v>0</v>
      </c>
      <c r="AF341">
        <f t="shared" ca="1" si="66"/>
        <v>0</v>
      </c>
      <c r="AG341">
        <f t="shared" ca="1" si="67"/>
        <v>0</v>
      </c>
      <c r="AH341">
        <f t="shared" ca="1" si="68"/>
        <v>0</v>
      </c>
      <c r="AI341">
        <f t="shared" ca="1" si="69"/>
        <v>0</v>
      </c>
      <c r="AJ341">
        <f t="shared" ca="1" si="70"/>
        <v>0</v>
      </c>
      <c r="AK341">
        <f t="shared" ca="1" si="71"/>
        <v>14.139132546807691</v>
      </c>
      <c r="AL341">
        <f t="shared" ca="1" si="72"/>
        <v>0</v>
      </c>
      <c r="AM341">
        <f t="shared" ca="1" si="73"/>
        <v>0</v>
      </c>
      <c r="AN341">
        <f t="shared" ca="1" si="74"/>
        <v>0</v>
      </c>
      <c r="AO341">
        <f t="shared" ca="1" si="75"/>
        <v>0</v>
      </c>
      <c r="AP341">
        <f t="shared" ca="1" si="76"/>
        <v>0</v>
      </c>
    </row>
    <row r="342" spans="1:42" x14ac:dyDescent="0.2">
      <c r="A342" s="2" t="s">
        <v>408</v>
      </c>
      <c r="B342" s="2" t="str">
        <f>VLOOKUP(A342,'[14]Calculated coal req (reg.)'!$A$2:$B$599,2,FALSE)</f>
        <v>KAHALGAON TPS UNIT 1-4</v>
      </c>
      <c r="C342" s="2">
        <v>4.0606934894378197</v>
      </c>
      <c r="D342" s="2"/>
      <c r="H342" t="s">
        <v>1031</v>
      </c>
      <c r="I342">
        <f t="shared" ca="1" si="43"/>
        <v>0</v>
      </c>
      <c r="J342">
        <f t="shared" ca="1" si="44"/>
        <v>0</v>
      </c>
      <c r="K342">
        <f t="shared" ca="1" si="45"/>
        <v>0</v>
      </c>
      <c r="L342">
        <f t="shared" ca="1" si="46"/>
        <v>0</v>
      </c>
      <c r="M342">
        <f t="shared" ca="1" si="47"/>
        <v>0</v>
      </c>
      <c r="N342">
        <f t="shared" ca="1" si="48"/>
        <v>0</v>
      </c>
      <c r="O342">
        <f t="shared" ca="1" si="49"/>
        <v>0</v>
      </c>
      <c r="P342">
        <f t="shared" ca="1" si="50"/>
        <v>0</v>
      </c>
      <c r="Q342">
        <f t="shared" ca="1" si="51"/>
        <v>0</v>
      </c>
      <c r="R342">
        <f t="shared" ca="1" si="52"/>
        <v>0</v>
      </c>
      <c r="S342">
        <f t="shared" ca="1" si="53"/>
        <v>0</v>
      </c>
      <c r="T342">
        <f t="shared" ca="1" si="54"/>
        <v>0</v>
      </c>
      <c r="U342">
        <f t="shared" ca="1" si="55"/>
        <v>0</v>
      </c>
      <c r="V342">
        <f t="shared" ca="1" si="56"/>
        <v>0</v>
      </c>
      <c r="W342">
        <f t="shared" ca="1" si="57"/>
        <v>0</v>
      </c>
      <c r="X342">
        <f t="shared" ca="1" si="58"/>
        <v>0</v>
      </c>
      <c r="Y342">
        <f t="shared" ca="1" si="59"/>
        <v>0</v>
      </c>
      <c r="Z342">
        <f t="shared" ca="1" si="60"/>
        <v>0</v>
      </c>
      <c r="AA342">
        <f t="shared" ca="1" si="61"/>
        <v>0</v>
      </c>
      <c r="AB342">
        <f t="shared" ca="1" si="62"/>
        <v>0</v>
      </c>
      <c r="AC342">
        <f t="shared" ca="1" si="63"/>
        <v>0</v>
      </c>
      <c r="AD342">
        <f t="shared" ca="1" si="64"/>
        <v>0</v>
      </c>
      <c r="AE342">
        <f t="shared" ca="1" si="65"/>
        <v>0</v>
      </c>
      <c r="AF342">
        <f t="shared" ca="1" si="66"/>
        <v>0</v>
      </c>
      <c r="AG342">
        <f t="shared" ca="1" si="67"/>
        <v>0</v>
      </c>
      <c r="AH342">
        <f t="shared" ca="1" si="68"/>
        <v>0</v>
      </c>
      <c r="AI342">
        <f t="shared" ca="1" si="69"/>
        <v>0</v>
      </c>
      <c r="AJ342">
        <f t="shared" ca="1" si="70"/>
        <v>0</v>
      </c>
      <c r="AK342">
        <f t="shared" ca="1" si="71"/>
        <v>7.8208142283313</v>
      </c>
      <c r="AL342">
        <f t="shared" ca="1" si="72"/>
        <v>0</v>
      </c>
      <c r="AM342">
        <f t="shared" ca="1" si="73"/>
        <v>0</v>
      </c>
      <c r="AN342">
        <f t="shared" ca="1" si="74"/>
        <v>0</v>
      </c>
      <c r="AO342">
        <f t="shared" ca="1" si="75"/>
        <v>0</v>
      </c>
      <c r="AP342">
        <f t="shared" ca="1" si="76"/>
        <v>0</v>
      </c>
    </row>
    <row r="343" spans="1:42" x14ac:dyDescent="0.2">
      <c r="A343" s="2" t="s">
        <v>399</v>
      </c>
      <c r="B343" s="2" t="str">
        <f>VLOOKUP(A343,'[14]Calculated coal req (reg.)'!$A$2:$B$599,2,FALSE)</f>
        <v>KAHALGAON TPS UNIT 1-4</v>
      </c>
      <c r="C343" s="2">
        <v>4.1672242370341497</v>
      </c>
      <c r="D343" s="2"/>
      <c r="H343" t="s">
        <v>1142</v>
      </c>
      <c r="I343">
        <f t="shared" ca="1" si="43"/>
        <v>0</v>
      </c>
      <c r="J343">
        <f t="shared" ca="1" si="44"/>
        <v>0</v>
      </c>
      <c r="K343">
        <f t="shared" ca="1" si="45"/>
        <v>0</v>
      </c>
      <c r="L343">
        <f t="shared" ca="1" si="46"/>
        <v>0</v>
      </c>
      <c r="M343">
        <f t="shared" ca="1" si="47"/>
        <v>0</v>
      </c>
      <c r="N343">
        <f t="shared" ca="1" si="48"/>
        <v>0</v>
      </c>
      <c r="O343">
        <f t="shared" ca="1" si="49"/>
        <v>0</v>
      </c>
      <c r="P343">
        <f t="shared" ca="1" si="50"/>
        <v>0</v>
      </c>
      <c r="Q343">
        <f t="shared" ca="1" si="51"/>
        <v>0</v>
      </c>
      <c r="R343">
        <f t="shared" ca="1" si="52"/>
        <v>0</v>
      </c>
      <c r="S343">
        <f t="shared" ca="1" si="53"/>
        <v>22.55913345687048</v>
      </c>
      <c r="T343">
        <f t="shared" ca="1" si="54"/>
        <v>0</v>
      </c>
      <c r="U343">
        <f t="shared" ca="1" si="55"/>
        <v>0</v>
      </c>
      <c r="V343">
        <f t="shared" ca="1" si="56"/>
        <v>0</v>
      </c>
      <c r="W343">
        <f t="shared" ca="1" si="57"/>
        <v>0</v>
      </c>
      <c r="X343">
        <f t="shared" ca="1" si="58"/>
        <v>0</v>
      </c>
      <c r="Y343">
        <f t="shared" ca="1" si="59"/>
        <v>0</v>
      </c>
      <c r="Z343">
        <f t="shared" ca="1" si="60"/>
        <v>0</v>
      </c>
      <c r="AA343">
        <f t="shared" ca="1" si="61"/>
        <v>0</v>
      </c>
      <c r="AB343">
        <f t="shared" ca="1" si="62"/>
        <v>0</v>
      </c>
      <c r="AC343">
        <f t="shared" ca="1" si="63"/>
        <v>0</v>
      </c>
      <c r="AD343">
        <f t="shared" ca="1" si="64"/>
        <v>0</v>
      </c>
      <c r="AE343">
        <f t="shared" ca="1" si="65"/>
        <v>0</v>
      </c>
      <c r="AF343">
        <f t="shared" ca="1" si="66"/>
        <v>0</v>
      </c>
      <c r="AG343">
        <f t="shared" ca="1" si="67"/>
        <v>0</v>
      </c>
      <c r="AH343">
        <f t="shared" ca="1" si="68"/>
        <v>0</v>
      </c>
      <c r="AI343">
        <f t="shared" ca="1" si="69"/>
        <v>0</v>
      </c>
      <c r="AJ343">
        <f t="shared" ca="1" si="70"/>
        <v>0</v>
      </c>
      <c r="AK343">
        <f t="shared" ca="1" si="71"/>
        <v>0</v>
      </c>
      <c r="AL343">
        <f t="shared" ca="1" si="72"/>
        <v>0</v>
      </c>
      <c r="AM343">
        <f t="shared" ca="1" si="73"/>
        <v>0</v>
      </c>
      <c r="AN343">
        <f t="shared" ca="1" si="74"/>
        <v>0</v>
      </c>
      <c r="AO343">
        <f t="shared" ca="1" si="75"/>
        <v>0</v>
      </c>
      <c r="AP343">
        <f t="shared" ca="1" si="76"/>
        <v>0</v>
      </c>
    </row>
    <row r="344" spans="1:42" x14ac:dyDescent="0.2">
      <c r="A344" s="2" t="s">
        <v>394</v>
      </c>
      <c r="B344" s="2" t="str">
        <f>VLOOKUP(A344,'[14]Calculated coal req (reg.)'!$A$2:$B$599,2,FALSE)</f>
        <v>KAHALGAON TPS UNIT 1-4</v>
      </c>
      <c r="C344" s="2">
        <v>4.1775445715698201</v>
      </c>
      <c r="D344" s="2"/>
      <c r="H344" t="s">
        <v>1062</v>
      </c>
      <c r="I344">
        <f t="shared" ca="1" si="43"/>
        <v>0</v>
      </c>
      <c r="J344">
        <f t="shared" ca="1" si="44"/>
        <v>0</v>
      </c>
      <c r="K344">
        <f t="shared" ca="1" si="45"/>
        <v>0</v>
      </c>
      <c r="L344">
        <f t="shared" ca="1" si="46"/>
        <v>0</v>
      </c>
      <c r="M344">
        <f t="shared" ca="1" si="47"/>
        <v>0</v>
      </c>
      <c r="N344">
        <f t="shared" ca="1" si="48"/>
        <v>0</v>
      </c>
      <c r="O344">
        <f t="shared" ca="1" si="49"/>
        <v>0</v>
      </c>
      <c r="P344">
        <f t="shared" ca="1" si="50"/>
        <v>0</v>
      </c>
      <c r="Q344">
        <f t="shared" ca="1" si="51"/>
        <v>0</v>
      </c>
      <c r="R344">
        <f t="shared" ca="1" si="52"/>
        <v>0</v>
      </c>
      <c r="S344">
        <f t="shared" ca="1" si="53"/>
        <v>14.148905065507719</v>
      </c>
      <c r="T344">
        <f t="shared" ca="1" si="54"/>
        <v>0</v>
      </c>
      <c r="U344">
        <f t="shared" ca="1" si="55"/>
        <v>0</v>
      </c>
      <c r="V344">
        <f t="shared" ca="1" si="56"/>
        <v>0</v>
      </c>
      <c r="W344">
        <f t="shared" ca="1" si="57"/>
        <v>0</v>
      </c>
      <c r="X344">
        <f t="shared" ca="1" si="58"/>
        <v>0</v>
      </c>
      <c r="Y344">
        <f t="shared" ca="1" si="59"/>
        <v>0</v>
      </c>
      <c r="Z344">
        <f t="shared" ca="1" si="60"/>
        <v>0</v>
      </c>
      <c r="AA344">
        <f t="shared" ca="1" si="61"/>
        <v>0</v>
      </c>
      <c r="AB344">
        <f t="shared" ca="1" si="62"/>
        <v>0</v>
      </c>
      <c r="AC344">
        <f t="shared" ca="1" si="63"/>
        <v>0</v>
      </c>
      <c r="AD344">
        <f t="shared" ca="1" si="64"/>
        <v>0</v>
      </c>
      <c r="AE344">
        <f t="shared" ca="1" si="65"/>
        <v>0</v>
      </c>
      <c r="AF344">
        <f t="shared" ca="1" si="66"/>
        <v>0</v>
      </c>
      <c r="AG344">
        <f t="shared" ca="1" si="67"/>
        <v>0</v>
      </c>
      <c r="AH344">
        <f t="shared" ca="1" si="68"/>
        <v>0</v>
      </c>
      <c r="AI344">
        <f t="shared" ca="1" si="69"/>
        <v>0</v>
      </c>
      <c r="AJ344">
        <f t="shared" ca="1" si="70"/>
        <v>0</v>
      </c>
      <c r="AK344">
        <f t="shared" ca="1" si="71"/>
        <v>0</v>
      </c>
      <c r="AL344">
        <f t="shared" ca="1" si="72"/>
        <v>0</v>
      </c>
      <c r="AM344">
        <f t="shared" ca="1" si="73"/>
        <v>0</v>
      </c>
      <c r="AN344">
        <f t="shared" ca="1" si="74"/>
        <v>0</v>
      </c>
      <c r="AO344">
        <f t="shared" ca="1" si="75"/>
        <v>0</v>
      </c>
      <c r="AP344">
        <f t="shared" ca="1" si="76"/>
        <v>0</v>
      </c>
    </row>
    <row r="345" spans="1:42" x14ac:dyDescent="0.2">
      <c r="A345" s="2" t="s">
        <v>310</v>
      </c>
      <c r="B345" s="2" t="str">
        <f>VLOOKUP(A345,'[14]Calculated coal req (reg.)'!$A$2:$B$599,2,FALSE)</f>
        <v>KASAIPALLI TPP</v>
      </c>
      <c r="C345" s="2">
        <v>2.5680320031075001</v>
      </c>
      <c r="D345" s="2"/>
      <c r="H345" t="s">
        <v>1061</v>
      </c>
      <c r="I345">
        <f t="shared" ca="1" si="43"/>
        <v>0</v>
      </c>
      <c r="J345">
        <f t="shared" ca="1" si="44"/>
        <v>0</v>
      </c>
      <c r="K345">
        <f t="shared" ca="1" si="45"/>
        <v>0</v>
      </c>
      <c r="L345">
        <f t="shared" ca="1" si="46"/>
        <v>0</v>
      </c>
      <c r="M345">
        <f t="shared" ca="1" si="47"/>
        <v>0</v>
      </c>
      <c r="N345">
        <f t="shared" ca="1" si="48"/>
        <v>0</v>
      </c>
      <c r="O345">
        <f t="shared" ca="1" si="49"/>
        <v>0</v>
      </c>
      <c r="P345">
        <f t="shared" ca="1" si="50"/>
        <v>0</v>
      </c>
      <c r="Q345">
        <f t="shared" ca="1" si="51"/>
        <v>0</v>
      </c>
      <c r="R345">
        <f t="shared" ca="1" si="52"/>
        <v>0</v>
      </c>
      <c r="S345">
        <f t="shared" ca="1" si="53"/>
        <v>0</v>
      </c>
      <c r="T345">
        <f t="shared" ca="1" si="54"/>
        <v>32.281526043752102</v>
      </c>
      <c r="U345">
        <f t="shared" ca="1" si="55"/>
        <v>0</v>
      </c>
      <c r="V345">
        <f t="shared" ca="1" si="56"/>
        <v>0</v>
      </c>
      <c r="W345">
        <f t="shared" ca="1" si="57"/>
        <v>0</v>
      </c>
      <c r="X345">
        <f t="shared" ca="1" si="58"/>
        <v>0</v>
      </c>
      <c r="Y345">
        <f t="shared" ca="1" si="59"/>
        <v>0</v>
      </c>
      <c r="Z345">
        <f t="shared" ca="1" si="60"/>
        <v>0</v>
      </c>
      <c r="AA345">
        <f t="shared" ca="1" si="61"/>
        <v>0</v>
      </c>
      <c r="AB345">
        <f t="shared" ca="1" si="62"/>
        <v>0</v>
      </c>
      <c r="AC345">
        <f t="shared" ca="1" si="63"/>
        <v>0</v>
      </c>
      <c r="AD345">
        <f t="shared" ca="1" si="64"/>
        <v>0</v>
      </c>
      <c r="AE345">
        <f t="shared" ca="1" si="65"/>
        <v>0</v>
      </c>
      <c r="AF345">
        <f t="shared" ca="1" si="66"/>
        <v>0</v>
      </c>
      <c r="AG345">
        <f t="shared" ca="1" si="67"/>
        <v>0</v>
      </c>
      <c r="AH345">
        <f t="shared" ca="1" si="68"/>
        <v>0</v>
      </c>
      <c r="AI345">
        <f t="shared" ca="1" si="69"/>
        <v>0</v>
      </c>
      <c r="AJ345">
        <f t="shared" ca="1" si="70"/>
        <v>0</v>
      </c>
      <c r="AK345">
        <f t="shared" ca="1" si="71"/>
        <v>0</v>
      </c>
      <c r="AL345">
        <f t="shared" ca="1" si="72"/>
        <v>0</v>
      </c>
      <c r="AM345">
        <f t="shared" ca="1" si="73"/>
        <v>0</v>
      </c>
      <c r="AN345">
        <f t="shared" ca="1" si="74"/>
        <v>0</v>
      </c>
      <c r="AO345">
        <f t="shared" ca="1" si="75"/>
        <v>0</v>
      </c>
      <c r="AP345">
        <f t="shared" ca="1" si="76"/>
        <v>0</v>
      </c>
    </row>
    <row r="346" spans="1:42" x14ac:dyDescent="0.2">
      <c r="A346" s="2" t="s">
        <v>303</v>
      </c>
      <c r="B346" s="2" t="str">
        <f>VLOOKUP(A346,'[14]Calculated coal req (reg.)'!$A$2:$B$599,2,FALSE)</f>
        <v>KASAIPALLI TPP</v>
      </c>
      <c r="C346" s="2">
        <v>2.3403098944153098</v>
      </c>
      <c r="D346" s="2"/>
      <c r="H346" t="s">
        <v>1024</v>
      </c>
      <c r="I346">
        <f t="shared" ca="1" si="43"/>
        <v>0</v>
      </c>
      <c r="J346">
        <f t="shared" ca="1" si="44"/>
        <v>0</v>
      </c>
      <c r="K346">
        <f t="shared" ca="1" si="45"/>
        <v>0</v>
      </c>
      <c r="L346">
        <f t="shared" ca="1" si="46"/>
        <v>0</v>
      </c>
      <c r="M346">
        <f t="shared" ca="1" si="47"/>
        <v>0</v>
      </c>
      <c r="N346">
        <f t="shared" ca="1" si="48"/>
        <v>0</v>
      </c>
      <c r="O346">
        <f t="shared" ca="1" si="49"/>
        <v>0</v>
      </c>
      <c r="P346">
        <f t="shared" ca="1" si="50"/>
        <v>0</v>
      </c>
      <c r="Q346">
        <f t="shared" ca="1" si="51"/>
        <v>0</v>
      </c>
      <c r="R346">
        <f t="shared" ca="1" si="52"/>
        <v>0</v>
      </c>
      <c r="S346">
        <f t="shared" ca="1" si="53"/>
        <v>36.479956928901721</v>
      </c>
      <c r="T346">
        <f t="shared" ca="1" si="54"/>
        <v>7.3909318274734774</v>
      </c>
      <c r="U346">
        <f t="shared" ca="1" si="55"/>
        <v>0</v>
      </c>
      <c r="V346">
        <f t="shared" ca="1" si="56"/>
        <v>0</v>
      </c>
      <c r="W346">
        <f t="shared" ca="1" si="57"/>
        <v>0</v>
      </c>
      <c r="X346">
        <f t="shared" ca="1" si="58"/>
        <v>0</v>
      </c>
      <c r="Y346">
        <f t="shared" ca="1" si="59"/>
        <v>0</v>
      </c>
      <c r="Z346">
        <f t="shared" ca="1" si="60"/>
        <v>0</v>
      </c>
      <c r="AA346">
        <f t="shared" ca="1" si="61"/>
        <v>14.688526678961459</v>
      </c>
      <c r="AB346">
        <f t="shared" ca="1" si="62"/>
        <v>0</v>
      </c>
      <c r="AC346">
        <f t="shared" ca="1" si="63"/>
        <v>0</v>
      </c>
      <c r="AD346">
        <f t="shared" ca="1" si="64"/>
        <v>0</v>
      </c>
      <c r="AE346">
        <f t="shared" ca="1" si="65"/>
        <v>0</v>
      </c>
      <c r="AF346">
        <f t="shared" ca="1" si="66"/>
        <v>0</v>
      </c>
      <c r="AG346">
        <f t="shared" ca="1" si="67"/>
        <v>0</v>
      </c>
      <c r="AH346">
        <f t="shared" ca="1" si="68"/>
        <v>9.5790554978155011</v>
      </c>
      <c r="AI346">
        <f t="shared" ca="1" si="69"/>
        <v>6.4203573345876483</v>
      </c>
      <c r="AJ346">
        <f t="shared" ca="1" si="70"/>
        <v>0</v>
      </c>
      <c r="AK346">
        <f t="shared" ca="1" si="71"/>
        <v>0</v>
      </c>
      <c r="AL346">
        <f t="shared" ca="1" si="72"/>
        <v>0</v>
      </c>
      <c r="AM346">
        <f t="shared" ca="1" si="73"/>
        <v>0</v>
      </c>
      <c r="AN346">
        <f t="shared" ca="1" si="74"/>
        <v>0</v>
      </c>
      <c r="AO346">
        <f t="shared" ca="1" si="75"/>
        <v>0</v>
      </c>
      <c r="AP346">
        <f t="shared" ca="1" si="76"/>
        <v>0</v>
      </c>
    </row>
    <row r="347" spans="1:42" x14ac:dyDescent="0.2">
      <c r="A347" s="2" t="s">
        <v>344</v>
      </c>
      <c r="B347" s="2" t="str">
        <f>VLOOKUP(A347,'[14]Calculated coal req (reg.)'!$A$2:$B$599,2,FALSE)</f>
        <v>KHAMBARKHERA TPS</v>
      </c>
      <c r="C347" s="2">
        <v>0.14380664618535499</v>
      </c>
      <c r="D347" s="2"/>
      <c r="H347" t="s">
        <v>1067</v>
      </c>
      <c r="I347">
        <f t="shared" ca="1" si="43"/>
        <v>0</v>
      </c>
      <c r="J347">
        <f t="shared" ca="1" si="44"/>
        <v>0</v>
      </c>
      <c r="K347">
        <f t="shared" ca="1" si="45"/>
        <v>0</v>
      </c>
      <c r="L347">
        <f t="shared" ca="1" si="46"/>
        <v>0</v>
      </c>
      <c r="M347">
        <f t="shared" ca="1" si="47"/>
        <v>0</v>
      </c>
      <c r="N347">
        <f t="shared" ca="1" si="48"/>
        <v>0</v>
      </c>
      <c r="O347">
        <f t="shared" ca="1" si="49"/>
        <v>0</v>
      </c>
      <c r="P347">
        <f t="shared" ca="1" si="50"/>
        <v>0</v>
      </c>
      <c r="Q347">
        <f t="shared" ca="1" si="51"/>
        <v>0</v>
      </c>
      <c r="R347">
        <f t="shared" ca="1" si="52"/>
        <v>0</v>
      </c>
      <c r="S347">
        <f t="shared" ca="1" si="53"/>
        <v>0</v>
      </c>
      <c r="T347">
        <f t="shared" ca="1" si="54"/>
        <v>0</v>
      </c>
      <c r="U347">
        <f t="shared" ca="1" si="55"/>
        <v>0</v>
      </c>
      <c r="V347">
        <f t="shared" ca="1" si="56"/>
        <v>0</v>
      </c>
      <c r="W347">
        <f t="shared" ca="1" si="57"/>
        <v>0</v>
      </c>
      <c r="X347">
        <f t="shared" ca="1" si="58"/>
        <v>0</v>
      </c>
      <c r="Y347">
        <f t="shared" ca="1" si="59"/>
        <v>0</v>
      </c>
      <c r="Z347">
        <f t="shared" ca="1" si="60"/>
        <v>0</v>
      </c>
      <c r="AA347">
        <f t="shared" ca="1" si="61"/>
        <v>0</v>
      </c>
      <c r="AB347">
        <f t="shared" ca="1" si="62"/>
        <v>0</v>
      </c>
      <c r="AC347">
        <f t="shared" ca="1" si="63"/>
        <v>0</v>
      </c>
      <c r="AD347">
        <f t="shared" ca="1" si="64"/>
        <v>0</v>
      </c>
      <c r="AE347">
        <f t="shared" ca="1" si="65"/>
        <v>0</v>
      </c>
      <c r="AF347">
        <f t="shared" ca="1" si="66"/>
        <v>0</v>
      </c>
      <c r="AG347">
        <f t="shared" ca="1" si="67"/>
        <v>0</v>
      </c>
      <c r="AH347">
        <f t="shared" ca="1" si="68"/>
        <v>0</v>
      </c>
      <c r="AI347">
        <f t="shared" ca="1" si="69"/>
        <v>0</v>
      </c>
      <c r="AJ347">
        <f t="shared" ca="1" si="70"/>
        <v>0</v>
      </c>
      <c r="AK347">
        <f t="shared" ca="1" si="71"/>
        <v>9.692831897192459</v>
      </c>
      <c r="AL347">
        <f t="shared" ca="1" si="72"/>
        <v>0</v>
      </c>
      <c r="AM347">
        <f t="shared" ca="1" si="73"/>
        <v>0</v>
      </c>
      <c r="AN347">
        <f t="shared" ca="1" si="74"/>
        <v>0</v>
      </c>
      <c r="AO347">
        <f t="shared" ca="1" si="75"/>
        <v>0</v>
      </c>
      <c r="AP347">
        <f t="shared" ca="1" si="76"/>
        <v>0</v>
      </c>
    </row>
    <row r="348" spans="1:42" x14ac:dyDescent="0.2">
      <c r="A348" s="2" t="s">
        <v>342</v>
      </c>
      <c r="B348" s="2" t="str">
        <f>VLOOKUP(A348,'[14]Calculated coal req (reg.)'!$A$2:$B$599,2,FALSE)</f>
        <v>KHAMBARKHERA TPS</v>
      </c>
      <c r="C348" s="2">
        <v>0.149484183307731</v>
      </c>
      <c r="D348" s="2"/>
      <c r="H348" t="s">
        <v>1143</v>
      </c>
      <c r="I348">
        <f t="shared" ca="1" si="43"/>
        <v>0</v>
      </c>
      <c r="J348">
        <f t="shared" ca="1" si="44"/>
        <v>0</v>
      </c>
      <c r="K348">
        <f t="shared" ca="1" si="45"/>
        <v>0</v>
      </c>
      <c r="L348">
        <f t="shared" ca="1" si="46"/>
        <v>2.0333862356022738</v>
      </c>
      <c r="M348">
        <f t="shared" ca="1" si="47"/>
        <v>0</v>
      </c>
      <c r="N348">
        <f t="shared" ca="1" si="48"/>
        <v>0</v>
      </c>
      <c r="O348">
        <f t="shared" ca="1" si="49"/>
        <v>0</v>
      </c>
      <c r="P348">
        <f t="shared" ca="1" si="50"/>
        <v>0</v>
      </c>
      <c r="Q348">
        <f t="shared" ca="1" si="51"/>
        <v>0</v>
      </c>
      <c r="R348">
        <f t="shared" ca="1" si="52"/>
        <v>0</v>
      </c>
      <c r="S348">
        <f t="shared" ca="1" si="53"/>
        <v>0</v>
      </c>
      <c r="T348">
        <f t="shared" ca="1" si="54"/>
        <v>0</v>
      </c>
      <c r="U348">
        <f t="shared" ca="1" si="55"/>
        <v>0</v>
      </c>
      <c r="V348">
        <f t="shared" ca="1" si="56"/>
        <v>0</v>
      </c>
      <c r="W348">
        <f t="shared" ca="1" si="57"/>
        <v>0</v>
      </c>
      <c r="X348">
        <f t="shared" ca="1" si="58"/>
        <v>0</v>
      </c>
      <c r="Y348">
        <f t="shared" ca="1" si="59"/>
        <v>0</v>
      </c>
      <c r="Z348">
        <f t="shared" ca="1" si="60"/>
        <v>0</v>
      </c>
      <c r="AA348">
        <f t="shared" ca="1" si="61"/>
        <v>0</v>
      </c>
      <c r="AB348">
        <f t="shared" ca="1" si="62"/>
        <v>0</v>
      </c>
      <c r="AC348">
        <f t="shared" ca="1" si="63"/>
        <v>0</v>
      </c>
      <c r="AD348">
        <f t="shared" ca="1" si="64"/>
        <v>0</v>
      </c>
      <c r="AE348">
        <f t="shared" ca="1" si="65"/>
        <v>0</v>
      </c>
      <c r="AF348">
        <f t="shared" ca="1" si="66"/>
        <v>0</v>
      </c>
      <c r="AG348">
        <f t="shared" ca="1" si="67"/>
        <v>0</v>
      </c>
      <c r="AH348">
        <f t="shared" ca="1" si="68"/>
        <v>0</v>
      </c>
      <c r="AI348">
        <f t="shared" ca="1" si="69"/>
        <v>0</v>
      </c>
      <c r="AJ348">
        <f t="shared" ca="1" si="70"/>
        <v>0</v>
      </c>
      <c r="AK348">
        <f t="shared" ca="1" si="71"/>
        <v>0</v>
      </c>
      <c r="AL348">
        <f t="shared" ca="1" si="72"/>
        <v>0</v>
      </c>
      <c r="AM348">
        <f t="shared" ca="1" si="73"/>
        <v>0</v>
      </c>
      <c r="AN348">
        <f t="shared" ca="1" si="74"/>
        <v>0</v>
      </c>
      <c r="AO348">
        <f t="shared" ca="1" si="75"/>
        <v>0</v>
      </c>
      <c r="AP348">
        <f t="shared" ca="1" si="76"/>
        <v>0</v>
      </c>
    </row>
    <row r="349" spans="1:42" x14ac:dyDescent="0.2">
      <c r="A349" s="2" t="s">
        <v>439</v>
      </c>
      <c r="B349" s="2" t="str">
        <f>VLOOKUP(A349,'[14]Calculated coal req (reg.)'!$A$2:$B$599,2,FALSE)</f>
        <v>KHAPARKHEDA TPS UNIT 1-4</v>
      </c>
      <c r="C349" s="2">
        <v>1.9541558798050001</v>
      </c>
      <c r="D349" s="2"/>
      <c r="H349" t="s">
        <v>1106</v>
      </c>
      <c r="I349">
        <f t="shared" ca="1" si="43"/>
        <v>0</v>
      </c>
      <c r="J349">
        <f t="shared" ca="1" si="44"/>
        <v>0</v>
      </c>
      <c r="K349">
        <f t="shared" ca="1" si="45"/>
        <v>0</v>
      </c>
      <c r="L349">
        <f t="shared" ca="1" si="46"/>
        <v>5.7172759186123292</v>
      </c>
      <c r="M349">
        <f t="shared" ca="1" si="47"/>
        <v>0</v>
      </c>
      <c r="N349">
        <f t="shared" ca="1" si="48"/>
        <v>0</v>
      </c>
      <c r="O349">
        <f t="shared" ca="1" si="49"/>
        <v>0</v>
      </c>
      <c r="P349">
        <f t="shared" ca="1" si="50"/>
        <v>0</v>
      </c>
      <c r="Q349">
        <f t="shared" ca="1" si="51"/>
        <v>0</v>
      </c>
      <c r="R349">
        <f t="shared" ca="1" si="52"/>
        <v>0</v>
      </c>
      <c r="S349">
        <f t="shared" ca="1" si="53"/>
        <v>0</v>
      </c>
      <c r="T349">
        <f t="shared" ca="1" si="54"/>
        <v>0</v>
      </c>
      <c r="U349">
        <f t="shared" ca="1" si="55"/>
        <v>0</v>
      </c>
      <c r="V349">
        <f t="shared" ca="1" si="56"/>
        <v>0</v>
      </c>
      <c r="W349">
        <f t="shared" ca="1" si="57"/>
        <v>0</v>
      </c>
      <c r="X349">
        <f t="shared" ca="1" si="58"/>
        <v>0</v>
      </c>
      <c r="Y349">
        <f t="shared" ca="1" si="59"/>
        <v>0</v>
      </c>
      <c r="Z349">
        <f t="shared" ca="1" si="60"/>
        <v>0</v>
      </c>
      <c r="AA349">
        <f t="shared" ca="1" si="61"/>
        <v>0</v>
      </c>
      <c r="AB349">
        <f t="shared" ca="1" si="62"/>
        <v>0</v>
      </c>
      <c r="AC349">
        <f t="shared" ca="1" si="63"/>
        <v>0</v>
      </c>
      <c r="AD349">
        <f t="shared" ca="1" si="64"/>
        <v>0</v>
      </c>
      <c r="AE349">
        <f t="shared" ca="1" si="65"/>
        <v>0</v>
      </c>
      <c r="AF349">
        <f t="shared" ca="1" si="66"/>
        <v>0</v>
      </c>
      <c r="AG349">
        <f t="shared" ca="1" si="67"/>
        <v>0</v>
      </c>
      <c r="AH349">
        <f t="shared" ca="1" si="68"/>
        <v>0</v>
      </c>
      <c r="AI349">
        <f t="shared" ca="1" si="69"/>
        <v>0</v>
      </c>
      <c r="AJ349">
        <f t="shared" ca="1" si="70"/>
        <v>0</v>
      </c>
      <c r="AK349">
        <f t="shared" ca="1" si="71"/>
        <v>0</v>
      </c>
      <c r="AL349">
        <f t="shared" ca="1" si="72"/>
        <v>1.6898872260150712E-2</v>
      </c>
      <c r="AM349">
        <f t="shared" ca="1" si="73"/>
        <v>0</v>
      </c>
      <c r="AN349">
        <f t="shared" ca="1" si="74"/>
        <v>0</v>
      </c>
      <c r="AO349">
        <f t="shared" ca="1" si="75"/>
        <v>0</v>
      </c>
      <c r="AP349">
        <f t="shared" ca="1" si="76"/>
        <v>0</v>
      </c>
    </row>
    <row r="350" spans="1:42" x14ac:dyDescent="0.2">
      <c r="A350" s="2" t="s">
        <v>432</v>
      </c>
      <c r="B350" s="2" t="str">
        <f>VLOOKUP(A350,'[14]Calculated coal req (reg.)'!$A$2:$B$599,2,FALSE)</f>
        <v>KHAPARKHEDA TPS UNIT 1-4</v>
      </c>
      <c r="C350" s="2">
        <v>2.7425626160830601</v>
      </c>
      <c r="D350" s="2"/>
      <c r="H350" t="s">
        <v>1080</v>
      </c>
      <c r="I350">
        <f t="shared" ca="1" si="43"/>
        <v>0</v>
      </c>
      <c r="J350">
        <f t="shared" ca="1" si="44"/>
        <v>0</v>
      </c>
      <c r="K350">
        <f t="shared" ca="1" si="45"/>
        <v>0</v>
      </c>
      <c r="L350">
        <f t="shared" ca="1" si="46"/>
        <v>11.266875779885659</v>
      </c>
      <c r="M350">
        <f t="shared" ca="1" si="47"/>
        <v>0</v>
      </c>
      <c r="N350">
        <f t="shared" ca="1" si="48"/>
        <v>0</v>
      </c>
      <c r="O350">
        <f t="shared" ca="1" si="49"/>
        <v>0</v>
      </c>
      <c r="P350">
        <f t="shared" ca="1" si="50"/>
        <v>0</v>
      </c>
      <c r="Q350">
        <f t="shared" ca="1" si="51"/>
        <v>0</v>
      </c>
      <c r="R350">
        <f t="shared" ca="1" si="52"/>
        <v>0</v>
      </c>
      <c r="S350">
        <f t="shared" ca="1" si="53"/>
        <v>0</v>
      </c>
      <c r="T350">
        <f t="shared" ca="1" si="54"/>
        <v>0</v>
      </c>
      <c r="U350">
        <f t="shared" ca="1" si="55"/>
        <v>0</v>
      </c>
      <c r="V350">
        <f t="shared" ca="1" si="56"/>
        <v>0</v>
      </c>
      <c r="W350">
        <f t="shared" ca="1" si="57"/>
        <v>0</v>
      </c>
      <c r="X350">
        <f t="shared" ca="1" si="58"/>
        <v>0</v>
      </c>
      <c r="Y350">
        <f t="shared" ca="1" si="59"/>
        <v>0</v>
      </c>
      <c r="Z350">
        <f t="shared" ca="1" si="60"/>
        <v>0</v>
      </c>
      <c r="AA350">
        <f t="shared" ca="1" si="61"/>
        <v>0</v>
      </c>
      <c r="AB350">
        <f t="shared" ca="1" si="62"/>
        <v>0</v>
      </c>
      <c r="AC350">
        <f t="shared" ca="1" si="63"/>
        <v>0</v>
      </c>
      <c r="AD350">
        <f t="shared" ca="1" si="64"/>
        <v>0</v>
      </c>
      <c r="AE350">
        <f t="shared" ca="1" si="65"/>
        <v>0</v>
      </c>
      <c r="AF350">
        <f t="shared" ca="1" si="66"/>
        <v>0</v>
      </c>
      <c r="AG350">
        <f t="shared" ca="1" si="67"/>
        <v>0</v>
      </c>
      <c r="AH350">
        <f t="shared" ca="1" si="68"/>
        <v>0</v>
      </c>
      <c r="AI350">
        <f t="shared" ca="1" si="69"/>
        <v>0</v>
      </c>
      <c r="AJ350">
        <f t="shared" ca="1" si="70"/>
        <v>0</v>
      </c>
      <c r="AK350">
        <f t="shared" ca="1" si="71"/>
        <v>0</v>
      </c>
      <c r="AL350">
        <f t="shared" ca="1" si="72"/>
        <v>0</v>
      </c>
      <c r="AM350">
        <f t="shared" ca="1" si="73"/>
        <v>0</v>
      </c>
      <c r="AN350">
        <f t="shared" ca="1" si="74"/>
        <v>0</v>
      </c>
      <c r="AO350">
        <f t="shared" ca="1" si="75"/>
        <v>0</v>
      </c>
      <c r="AP350">
        <f t="shared" ca="1" si="76"/>
        <v>0</v>
      </c>
    </row>
    <row r="351" spans="1:42" x14ac:dyDescent="0.2">
      <c r="A351" s="2" t="s">
        <v>366</v>
      </c>
      <c r="B351" s="2" t="str">
        <f>VLOOKUP(A351,'[14]Calculated coal req (reg.)'!$A$2:$B$599,2,FALSE)</f>
        <v>KHAPARKHEDA TPS UNIT 1-4</v>
      </c>
      <c r="C351" s="2">
        <v>2.7438840081742901</v>
      </c>
      <c r="D351" s="2"/>
      <c r="H351" t="s">
        <v>987</v>
      </c>
      <c r="I351">
        <f t="shared" ca="1" si="43"/>
        <v>0</v>
      </c>
      <c r="J351">
        <f t="shared" ca="1" si="44"/>
        <v>0</v>
      </c>
      <c r="K351">
        <f t="shared" ca="1" si="45"/>
        <v>0</v>
      </c>
      <c r="L351">
        <f t="shared" ca="1" si="46"/>
        <v>5.6442800236231845</v>
      </c>
      <c r="M351">
        <f t="shared" ca="1" si="47"/>
        <v>0</v>
      </c>
      <c r="N351">
        <f t="shared" ca="1" si="48"/>
        <v>0</v>
      </c>
      <c r="O351">
        <f t="shared" ca="1" si="49"/>
        <v>0</v>
      </c>
      <c r="P351">
        <f t="shared" ca="1" si="50"/>
        <v>0</v>
      </c>
      <c r="Q351">
        <f t="shared" ca="1" si="51"/>
        <v>0</v>
      </c>
      <c r="R351">
        <f t="shared" ca="1" si="52"/>
        <v>0</v>
      </c>
      <c r="S351">
        <f t="shared" ca="1" si="53"/>
        <v>0</v>
      </c>
      <c r="T351">
        <f t="shared" ca="1" si="54"/>
        <v>0</v>
      </c>
      <c r="U351">
        <f t="shared" ca="1" si="55"/>
        <v>0</v>
      </c>
      <c r="V351">
        <f t="shared" ca="1" si="56"/>
        <v>0</v>
      </c>
      <c r="W351">
        <f t="shared" ca="1" si="57"/>
        <v>0</v>
      </c>
      <c r="X351">
        <f t="shared" ca="1" si="58"/>
        <v>0</v>
      </c>
      <c r="Y351">
        <f t="shared" ca="1" si="59"/>
        <v>0</v>
      </c>
      <c r="Z351">
        <f t="shared" ca="1" si="60"/>
        <v>0</v>
      </c>
      <c r="AA351">
        <f t="shared" ca="1" si="61"/>
        <v>0</v>
      </c>
      <c r="AB351">
        <f t="shared" ca="1" si="62"/>
        <v>0</v>
      </c>
      <c r="AC351">
        <f t="shared" ca="1" si="63"/>
        <v>0</v>
      </c>
      <c r="AD351">
        <f t="shared" ca="1" si="64"/>
        <v>0</v>
      </c>
      <c r="AE351">
        <f t="shared" ca="1" si="65"/>
        <v>0</v>
      </c>
      <c r="AF351">
        <f t="shared" ca="1" si="66"/>
        <v>0</v>
      </c>
      <c r="AG351">
        <f t="shared" ca="1" si="67"/>
        <v>0</v>
      </c>
      <c r="AH351">
        <f t="shared" ca="1" si="68"/>
        <v>0</v>
      </c>
      <c r="AI351">
        <f t="shared" ca="1" si="69"/>
        <v>0</v>
      </c>
      <c r="AJ351">
        <f t="shared" ca="1" si="70"/>
        <v>0</v>
      </c>
      <c r="AK351">
        <f t="shared" ca="1" si="71"/>
        <v>0</v>
      </c>
      <c r="AL351">
        <f t="shared" ca="1" si="72"/>
        <v>0</v>
      </c>
      <c r="AM351">
        <f t="shared" ca="1" si="73"/>
        <v>0</v>
      </c>
      <c r="AN351">
        <f t="shared" ca="1" si="74"/>
        <v>0.54816593484918552</v>
      </c>
      <c r="AO351">
        <f t="shared" ca="1" si="75"/>
        <v>0</v>
      </c>
      <c r="AP351">
        <f t="shared" ca="1" si="76"/>
        <v>0</v>
      </c>
    </row>
    <row r="352" spans="1:42" x14ac:dyDescent="0.2">
      <c r="A352" s="2" t="s">
        <v>360</v>
      </c>
      <c r="B352" s="2" t="str">
        <f>VLOOKUP(A352,'[14]Calculated coal req (reg.)'!$A$2:$B$599,2,FALSE)</f>
        <v>KHAPARKHEDA TPS UNIT 1-4</v>
      </c>
      <c r="C352" s="2">
        <v>3.18141106349605</v>
      </c>
      <c r="D352" s="2"/>
      <c r="H352" t="s">
        <v>1144</v>
      </c>
      <c r="I352">
        <f t="shared" ca="1" si="43"/>
        <v>0</v>
      </c>
      <c r="J352">
        <f t="shared" ca="1" si="44"/>
        <v>0</v>
      </c>
      <c r="K352">
        <f t="shared" ca="1" si="45"/>
        <v>0</v>
      </c>
      <c r="L352">
        <f t="shared" ca="1" si="46"/>
        <v>0</v>
      </c>
      <c r="M352">
        <f t="shared" ca="1" si="47"/>
        <v>0</v>
      </c>
      <c r="N352">
        <f t="shared" ca="1" si="48"/>
        <v>0</v>
      </c>
      <c r="O352">
        <f t="shared" ca="1" si="49"/>
        <v>0</v>
      </c>
      <c r="P352">
        <f t="shared" ca="1" si="50"/>
        <v>0</v>
      </c>
      <c r="Q352">
        <f t="shared" ca="1" si="51"/>
        <v>0</v>
      </c>
      <c r="R352">
        <f t="shared" ca="1" si="52"/>
        <v>0</v>
      </c>
      <c r="S352">
        <f t="shared" ca="1" si="53"/>
        <v>0</v>
      </c>
      <c r="T352">
        <f t="shared" ca="1" si="54"/>
        <v>0</v>
      </c>
      <c r="U352">
        <f t="shared" ca="1" si="55"/>
        <v>0</v>
      </c>
      <c r="V352">
        <f t="shared" ca="1" si="56"/>
        <v>0</v>
      </c>
      <c r="W352">
        <f t="shared" ca="1" si="57"/>
        <v>0</v>
      </c>
      <c r="X352">
        <f t="shared" ca="1" si="58"/>
        <v>0</v>
      </c>
      <c r="Y352">
        <f t="shared" ca="1" si="59"/>
        <v>0</v>
      </c>
      <c r="Z352">
        <f t="shared" ca="1" si="60"/>
        <v>0</v>
      </c>
      <c r="AA352">
        <f t="shared" ca="1" si="61"/>
        <v>6.8066694985496099</v>
      </c>
      <c r="AB352">
        <f t="shared" ca="1" si="62"/>
        <v>0</v>
      </c>
      <c r="AC352">
        <f t="shared" ca="1" si="63"/>
        <v>0</v>
      </c>
      <c r="AD352">
        <f t="shared" ca="1" si="64"/>
        <v>0</v>
      </c>
      <c r="AE352">
        <f t="shared" ca="1" si="65"/>
        <v>0</v>
      </c>
      <c r="AF352">
        <f t="shared" ca="1" si="66"/>
        <v>0</v>
      </c>
      <c r="AG352">
        <f t="shared" ca="1" si="67"/>
        <v>0</v>
      </c>
      <c r="AH352">
        <f t="shared" ca="1" si="68"/>
        <v>0</v>
      </c>
      <c r="AI352">
        <f t="shared" ca="1" si="69"/>
        <v>0</v>
      </c>
      <c r="AJ352">
        <f t="shared" ca="1" si="70"/>
        <v>0</v>
      </c>
      <c r="AK352">
        <f t="shared" ca="1" si="71"/>
        <v>0</v>
      </c>
      <c r="AL352">
        <f t="shared" ca="1" si="72"/>
        <v>0</v>
      </c>
      <c r="AM352">
        <f t="shared" ca="1" si="73"/>
        <v>0</v>
      </c>
      <c r="AN352">
        <f t="shared" ca="1" si="74"/>
        <v>0</v>
      </c>
      <c r="AO352">
        <f t="shared" ca="1" si="75"/>
        <v>0</v>
      </c>
      <c r="AP352">
        <f t="shared" ca="1" si="76"/>
        <v>0</v>
      </c>
    </row>
    <row r="353" spans="1:42" x14ac:dyDescent="0.2">
      <c r="A353" s="2" t="s">
        <v>416</v>
      </c>
      <c r="B353" s="2" t="str">
        <f>VLOOKUP(A353,'[14]Calculated coal req (reg.)'!$A$2:$B$599,2,FALSE)</f>
        <v>KOLAGHAT TPS</v>
      </c>
      <c r="C353" s="2">
        <v>0.84223699048325296</v>
      </c>
      <c r="D353" s="2"/>
      <c r="H353" t="s">
        <v>1074</v>
      </c>
      <c r="I353">
        <f t="shared" ca="1" si="43"/>
        <v>0</v>
      </c>
      <c r="J353">
        <f t="shared" ca="1" si="44"/>
        <v>0</v>
      </c>
      <c r="K353">
        <f t="shared" ca="1" si="45"/>
        <v>0</v>
      </c>
      <c r="L353">
        <f t="shared" ca="1" si="46"/>
        <v>0</v>
      </c>
      <c r="M353">
        <f t="shared" ca="1" si="47"/>
        <v>0</v>
      </c>
      <c r="N353">
        <f t="shared" ca="1" si="48"/>
        <v>0</v>
      </c>
      <c r="O353">
        <f t="shared" ca="1" si="49"/>
        <v>0</v>
      </c>
      <c r="P353">
        <f t="shared" ca="1" si="50"/>
        <v>0</v>
      </c>
      <c r="Q353">
        <f t="shared" ca="1" si="51"/>
        <v>0</v>
      </c>
      <c r="R353">
        <f t="shared" ca="1" si="52"/>
        <v>0</v>
      </c>
      <c r="S353">
        <f t="shared" ca="1" si="53"/>
        <v>0</v>
      </c>
      <c r="T353">
        <f t="shared" ca="1" si="54"/>
        <v>0</v>
      </c>
      <c r="U353">
        <f t="shared" ca="1" si="55"/>
        <v>0</v>
      </c>
      <c r="V353">
        <f t="shared" ca="1" si="56"/>
        <v>0</v>
      </c>
      <c r="W353">
        <f t="shared" ca="1" si="57"/>
        <v>0</v>
      </c>
      <c r="X353">
        <f t="shared" ca="1" si="58"/>
        <v>0</v>
      </c>
      <c r="Y353">
        <f t="shared" ca="1" si="59"/>
        <v>0</v>
      </c>
      <c r="Z353">
        <f t="shared" ca="1" si="60"/>
        <v>0</v>
      </c>
      <c r="AA353">
        <f t="shared" ca="1" si="61"/>
        <v>0</v>
      </c>
      <c r="AB353">
        <f t="shared" ca="1" si="62"/>
        <v>0</v>
      </c>
      <c r="AC353">
        <f t="shared" ca="1" si="63"/>
        <v>0</v>
      </c>
      <c r="AD353">
        <f t="shared" ca="1" si="64"/>
        <v>0</v>
      </c>
      <c r="AE353">
        <f t="shared" ca="1" si="65"/>
        <v>0</v>
      </c>
      <c r="AF353">
        <f t="shared" ca="1" si="66"/>
        <v>0</v>
      </c>
      <c r="AG353">
        <f t="shared" ca="1" si="67"/>
        <v>0</v>
      </c>
      <c r="AH353">
        <f t="shared" ca="1" si="68"/>
        <v>0</v>
      </c>
      <c r="AI353">
        <f t="shared" ca="1" si="69"/>
        <v>0</v>
      </c>
      <c r="AJ353">
        <f t="shared" ca="1" si="70"/>
        <v>0</v>
      </c>
      <c r="AK353">
        <f t="shared" ca="1" si="71"/>
        <v>0</v>
      </c>
      <c r="AL353">
        <f t="shared" ca="1" si="72"/>
        <v>0</v>
      </c>
      <c r="AM353">
        <f t="shared" ca="1" si="73"/>
        <v>0</v>
      </c>
      <c r="AN353">
        <f t="shared" ca="1" si="74"/>
        <v>8.0257664806751698</v>
      </c>
      <c r="AO353">
        <f t="shared" ca="1" si="75"/>
        <v>0</v>
      </c>
      <c r="AP353">
        <f t="shared" ca="1" si="76"/>
        <v>0</v>
      </c>
    </row>
    <row r="354" spans="1:42" x14ac:dyDescent="0.2">
      <c r="A354" s="2" t="s">
        <v>428</v>
      </c>
      <c r="B354" s="2" t="str">
        <f>VLOOKUP(A354,'[14]Calculated coal req (reg.)'!$A$2:$B$599,2,FALSE)</f>
        <v>KOLAGHAT TPS</v>
      </c>
      <c r="C354" s="2">
        <v>2.3105322416612402</v>
      </c>
      <c r="D354" s="2"/>
      <c r="H354" t="s">
        <v>1191</v>
      </c>
      <c r="I354">
        <f t="shared" ca="1" si="43"/>
        <v>0</v>
      </c>
      <c r="J354">
        <f t="shared" ca="1" si="44"/>
        <v>0</v>
      </c>
      <c r="K354">
        <f t="shared" ca="1" si="45"/>
        <v>0</v>
      </c>
      <c r="L354">
        <f t="shared" ca="1" si="46"/>
        <v>0</v>
      </c>
      <c r="M354">
        <f t="shared" ca="1" si="47"/>
        <v>0</v>
      </c>
      <c r="N354">
        <f t="shared" ca="1" si="48"/>
        <v>0</v>
      </c>
      <c r="O354">
        <f t="shared" ca="1" si="49"/>
        <v>0</v>
      </c>
      <c r="P354">
        <f t="shared" ca="1" si="50"/>
        <v>0</v>
      </c>
      <c r="Q354">
        <f t="shared" ca="1" si="51"/>
        <v>0</v>
      </c>
      <c r="R354">
        <f t="shared" ca="1" si="52"/>
        <v>0</v>
      </c>
      <c r="S354">
        <f t="shared" ca="1" si="53"/>
        <v>0</v>
      </c>
      <c r="T354">
        <f t="shared" ca="1" si="54"/>
        <v>0</v>
      </c>
      <c r="U354">
        <f t="shared" ca="1" si="55"/>
        <v>0</v>
      </c>
      <c r="V354">
        <f t="shared" ca="1" si="56"/>
        <v>0</v>
      </c>
      <c r="W354">
        <f t="shared" ca="1" si="57"/>
        <v>0</v>
      </c>
      <c r="X354">
        <f t="shared" ca="1" si="58"/>
        <v>0</v>
      </c>
      <c r="Y354">
        <f t="shared" ca="1" si="59"/>
        <v>0</v>
      </c>
      <c r="Z354">
        <f t="shared" ca="1" si="60"/>
        <v>0</v>
      </c>
      <c r="AA354">
        <f t="shared" ca="1" si="61"/>
        <v>0</v>
      </c>
      <c r="AB354">
        <f t="shared" ca="1" si="62"/>
        <v>0</v>
      </c>
      <c r="AC354">
        <f t="shared" ca="1" si="63"/>
        <v>0</v>
      </c>
      <c r="AD354">
        <f t="shared" ca="1" si="64"/>
        <v>0</v>
      </c>
      <c r="AE354">
        <f t="shared" ca="1" si="65"/>
        <v>0</v>
      </c>
      <c r="AF354">
        <f t="shared" ca="1" si="66"/>
        <v>0</v>
      </c>
      <c r="AG354">
        <f t="shared" ca="1" si="67"/>
        <v>0</v>
      </c>
      <c r="AH354">
        <f t="shared" ca="1" si="68"/>
        <v>0</v>
      </c>
      <c r="AI354">
        <f t="shared" ca="1" si="69"/>
        <v>0</v>
      </c>
      <c r="AJ354">
        <f t="shared" ca="1" si="70"/>
        <v>0</v>
      </c>
      <c r="AK354">
        <f t="shared" ca="1" si="71"/>
        <v>0</v>
      </c>
      <c r="AL354">
        <f t="shared" ca="1" si="72"/>
        <v>0</v>
      </c>
      <c r="AM354">
        <f t="shared" ca="1" si="73"/>
        <v>0</v>
      </c>
      <c r="AN354">
        <f t="shared" ca="1" si="74"/>
        <v>0</v>
      </c>
      <c r="AO354">
        <f t="shared" ca="1" si="75"/>
        <v>0</v>
      </c>
      <c r="AP354">
        <f t="shared" ca="1" si="76"/>
        <v>0</v>
      </c>
    </row>
    <row r="355" spans="1:42" x14ac:dyDescent="0.2">
      <c r="A355" s="2" t="s">
        <v>460</v>
      </c>
      <c r="B355" s="2" t="str">
        <f>VLOOKUP(A355,'[14]Calculated coal req (reg.)'!$A$2:$B$599,2,FALSE)</f>
        <v>KOLAGHAT TPS</v>
      </c>
      <c r="C355" s="2">
        <v>4.59569892473118E-2</v>
      </c>
      <c r="D355" s="2"/>
      <c r="H355" t="s">
        <v>1192</v>
      </c>
      <c r="I355">
        <f t="shared" ca="1" si="43"/>
        <v>0</v>
      </c>
      <c r="J355">
        <f t="shared" ca="1" si="44"/>
        <v>0</v>
      </c>
      <c r="K355">
        <f t="shared" ca="1" si="45"/>
        <v>0</v>
      </c>
      <c r="L355">
        <f t="shared" ca="1" si="46"/>
        <v>0</v>
      </c>
      <c r="M355">
        <f t="shared" ca="1" si="47"/>
        <v>0</v>
      </c>
      <c r="N355">
        <f t="shared" ca="1" si="48"/>
        <v>0</v>
      </c>
      <c r="O355">
        <f t="shared" ca="1" si="49"/>
        <v>0</v>
      </c>
      <c r="P355">
        <f t="shared" ca="1" si="50"/>
        <v>0</v>
      </c>
      <c r="Q355">
        <f t="shared" ca="1" si="51"/>
        <v>0</v>
      </c>
      <c r="R355">
        <f t="shared" ca="1" si="52"/>
        <v>0</v>
      </c>
      <c r="S355">
        <f t="shared" ca="1" si="53"/>
        <v>0</v>
      </c>
      <c r="T355">
        <f t="shared" ca="1" si="54"/>
        <v>0</v>
      </c>
      <c r="U355">
        <f t="shared" ca="1" si="55"/>
        <v>0</v>
      </c>
      <c r="V355">
        <f t="shared" ca="1" si="56"/>
        <v>0</v>
      </c>
      <c r="W355">
        <f t="shared" ca="1" si="57"/>
        <v>0</v>
      </c>
      <c r="X355">
        <f t="shared" ca="1" si="58"/>
        <v>0</v>
      </c>
      <c r="Y355">
        <f t="shared" ca="1" si="59"/>
        <v>0</v>
      </c>
      <c r="Z355">
        <f t="shared" ca="1" si="60"/>
        <v>0</v>
      </c>
      <c r="AA355">
        <f t="shared" ca="1" si="61"/>
        <v>0</v>
      </c>
      <c r="AB355">
        <f t="shared" ca="1" si="62"/>
        <v>0</v>
      </c>
      <c r="AC355">
        <f t="shared" ca="1" si="63"/>
        <v>0</v>
      </c>
      <c r="AD355">
        <f t="shared" ca="1" si="64"/>
        <v>0</v>
      </c>
      <c r="AE355">
        <f t="shared" ca="1" si="65"/>
        <v>0</v>
      </c>
      <c r="AF355">
        <f t="shared" ca="1" si="66"/>
        <v>0</v>
      </c>
      <c r="AG355">
        <f t="shared" ca="1" si="67"/>
        <v>0</v>
      </c>
      <c r="AH355">
        <f t="shared" ca="1" si="68"/>
        <v>0</v>
      </c>
      <c r="AI355">
        <f t="shared" ca="1" si="69"/>
        <v>0</v>
      </c>
      <c r="AJ355">
        <f t="shared" ca="1" si="70"/>
        <v>0</v>
      </c>
      <c r="AK355">
        <f t="shared" ca="1" si="71"/>
        <v>0</v>
      </c>
      <c r="AL355">
        <f t="shared" ca="1" si="72"/>
        <v>0</v>
      </c>
      <c r="AM355">
        <f t="shared" ca="1" si="73"/>
        <v>0</v>
      </c>
      <c r="AN355">
        <f t="shared" ca="1" si="74"/>
        <v>0</v>
      </c>
      <c r="AO355">
        <f t="shared" ca="1" si="75"/>
        <v>0</v>
      </c>
      <c r="AP355">
        <f t="shared" ca="1" si="76"/>
        <v>0</v>
      </c>
    </row>
    <row r="356" spans="1:42" x14ac:dyDescent="0.2">
      <c r="A356" s="2" t="s">
        <v>475</v>
      </c>
      <c r="B356" s="2" t="str">
        <f>VLOOKUP(A356,'[14]Calculated coal req (reg.)'!$A$2:$B$599,2,FALSE)</f>
        <v>KOLAGHAT TPS</v>
      </c>
      <c r="C356" s="2">
        <v>2.4331689427406098</v>
      </c>
      <c r="D356" s="2"/>
      <c r="H356" t="s">
        <v>1193</v>
      </c>
      <c r="I356">
        <f t="shared" ca="1" si="43"/>
        <v>0</v>
      </c>
      <c r="J356">
        <f t="shared" ca="1" si="44"/>
        <v>0</v>
      </c>
      <c r="K356">
        <f t="shared" ca="1" si="45"/>
        <v>0</v>
      </c>
      <c r="L356">
        <f t="shared" ca="1" si="46"/>
        <v>0</v>
      </c>
      <c r="M356">
        <f t="shared" ca="1" si="47"/>
        <v>0</v>
      </c>
      <c r="N356">
        <f t="shared" ca="1" si="48"/>
        <v>0</v>
      </c>
      <c r="O356">
        <f t="shared" ca="1" si="49"/>
        <v>0</v>
      </c>
      <c r="P356">
        <f t="shared" ca="1" si="50"/>
        <v>0</v>
      </c>
      <c r="Q356">
        <f t="shared" ca="1" si="51"/>
        <v>0</v>
      </c>
      <c r="R356">
        <f t="shared" ca="1" si="52"/>
        <v>0</v>
      </c>
      <c r="S356">
        <f t="shared" ca="1" si="53"/>
        <v>0</v>
      </c>
      <c r="T356">
        <f t="shared" ca="1" si="54"/>
        <v>0</v>
      </c>
      <c r="U356">
        <f t="shared" ca="1" si="55"/>
        <v>0</v>
      </c>
      <c r="V356">
        <f t="shared" ca="1" si="56"/>
        <v>0</v>
      </c>
      <c r="W356">
        <f t="shared" ca="1" si="57"/>
        <v>0</v>
      </c>
      <c r="X356">
        <f t="shared" ca="1" si="58"/>
        <v>0</v>
      </c>
      <c r="Y356">
        <f t="shared" ca="1" si="59"/>
        <v>0</v>
      </c>
      <c r="Z356">
        <f t="shared" ca="1" si="60"/>
        <v>0</v>
      </c>
      <c r="AA356">
        <f t="shared" ca="1" si="61"/>
        <v>0</v>
      </c>
      <c r="AB356">
        <f t="shared" ca="1" si="62"/>
        <v>0</v>
      </c>
      <c r="AC356">
        <f t="shared" ca="1" si="63"/>
        <v>0</v>
      </c>
      <c r="AD356">
        <f t="shared" ca="1" si="64"/>
        <v>0</v>
      </c>
      <c r="AE356">
        <f t="shared" ca="1" si="65"/>
        <v>0</v>
      </c>
      <c r="AF356">
        <f t="shared" ca="1" si="66"/>
        <v>0</v>
      </c>
      <c r="AG356">
        <f t="shared" ca="1" si="67"/>
        <v>0</v>
      </c>
      <c r="AH356">
        <f t="shared" ca="1" si="68"/>
        <v>0</v>
      </c>
      <c r="AI356">
        <f t="shared" ca="1" si="69"/>
        <v>0</v>
      </c>
      <c r="AJ356">
        <f t="shared" ca="1" si="70"/>
        <v>0</v>
      </c>
      <c r="AK356">
        <f t="shared" ca="1" si="71"/>
        <v>0</v>
      </c>
      <c r="AL356">
        <f t="shared" ca="1" si="72"/>
        <v>0</v>
      </c>
      <c r="AM356">
        <f t="shared" ca="1" si="73"/>
        <v>0</v>
      </c>
      <c r="AN356">
        <f t="shared" ca="1" si="74"/>
        <v>0</v>
      </c>
      <c r="AO356">
        <f t="shared" ca="1" si="75"/>
        <v>0</v>
      </c>
      <c r="AP356">
        <f t="shared" ca="1" si="76"/>
        <v>0</v>
      </c>
    </row>
    <row r="357" spans="1:42" x14ac:dyDescent="0.2">
      <c r="A357" s="2" t="s">
        <v>409</v>
      </c>
      <c r="B357" s="2" t="str">
        <f>VLOOKUP(A357,'[14]Calculated coal req (reg.)'!$A$2:$B$599,2,FALSE)</f>
        <v>KOLAGHAT TPS</v>
      </c>
      <c r="C357" s="2">
        <v>2.8428184466782498</v>
      </c>
      <c r="D357" s="2"/>
      <c r="H357" t="s">
        <v>1194</v>
      </c>
      <c r="I357">
        <f t="shared" ca="1" si="43"/>
        <v>0</v>
      </c>
      <c r="J357">
        <f t="shared" ca="1" si="44"/>
        <v>0</v>
      </c>
      <c r="K357">
        <f t="shared" ca="1" si="45"/>
        <v>0</v>
      </c>
      <c r="L357">
        <f t="shared" ca="1" si="46"/>
        <v>0</v>
      </c>
      <c r="M357">
        <f t="shared" ca="1" si="47"/>
        <v>0</v>
      </c>
      <c r="N357">
        <f t="shared" ca="1" si="48"/>
        <v>0</v>
      </c>
      <c r="O357">
        <f t="shared" ca="1" si="49"/>
        <v>0</v>
      </c>
      <c r="P357">
        <f t="shared" ca="1" si="50"/>
        <v>0</v>
      </c>
      <c r="Q357">
        <f t="shared" ca="1" si="51"/>
        <v>0</v>
      </c>
      <c r="R357">
        <f t="shared" ca="1" si="52"/>
        <v>0</v>
      </c>
      <c r="S357">
        <f t="shared" ca="1" si="53"/>
        <v>0</v>
      </c>
      <c r="T357">
        <f t="shared" ca="1" si="54"/>
        <v>0</v>
      </c>
      <c r="U357">
        <f t="shared" ca="1" si="55"/>
        <v>0</v>
      </c>
      <c r="V357">
        <f t="shared" ca="1" si="56"/>
        <v>0</v>
      </c>
      <c r="W357">
        <f t="shared" ca="1" si="57"/>
        <v>0</v>
      </c>
      <c r="X357">
        <f t="shared" ca="1" si="58"/>
        <v>0</v>
      </c>
      <c r="Y357">
        <f t="shared" ca="1" si="59"/>
        <v>0</v>
      </c>
      <c r="Z357">
        <f t="shared" ca="1" si="60"/>
        <v>0</v>
      </c>
      <c r="AA357">
        <f t="shared" ca="1" si="61"/>
        <v>0</v>
      </c>
      <c r="AB357">
        <f t="shared" ca="1" si="62"/>
        <v>0</v>
      </c>
      <c r="AC357">
        <f t="shared" ca="1" si="63"/>
        <v>0</v>
      </c>
      <c r="AD357">
        <f t="shared" ca="1" si="64"/>
        <v>0</v>
      </c>
      <c r="AE357">
        <f t="shared" ca="1" si="65"/>
        <v>0</v>
      </c>
      <c r="AF357">
        <f t="shared" ca="1" si="66"/>
        <v>0</v>
      </c>
      <c r="AG357">
        <f t="shared" ca="1" si="67"/>
        <v>0</v>
      </c>
      <c r="AH357">
        <f t="shared" ca="1" si="68"/>
        <v>0</v>
      </c>
      <c r="AI357">
        <f t="shared" ca="1" si="69"/>
        <v>0</v>
      </c>
      <c r="AJ357">
        <f t="shared" ca="1" si="70"/>
        <v>0</v>
      </c>
      <c r="AK357">
        <f t="shared" ca="1" si="71"/>
        <v>0</v>
      </c>
      <c r="AL357">
        <f t="shared" ca="1" si="72"/>
        <v>0</v>
      </c>
      <c r="AM357">
        <f t="shared" ca="1" si="73"/>
        <v>0</v>
      </c>
      <c r="AN357">
        <f t="shared" ca="1" si="74"/>
        <v>0</v>
      </c>
      <c r="AO357">
        <f t="shared" ca="1" si="75"/>
        <v>0</v>
      </c>
      <c r="AP357">
        <f t="shared" ca="1" si="76"/>
        <v>0</v>
      </c>
    </row>
    <row r="358" spans="1:42" x14ac:dyDescent="0.2">
      <c r="A358" s="2" t="s">
        <v>425</v>
      </c>
      <c r="B358" s="2" t="str">
        <f>VLOOKUP(A358,'[14]Calculated coal req (reg.)'!$A$2:$B$599,2,FALSE)</f>
        <v>KOLAGHAT TPS</v>
      </c>
      <c r="C358" s="2">
        <v>2.5846070711725502</v>
      </c>
      <c r="D358" s="2"/>
      <c r="H358" t="s">
        <v>1195</v>
      </c>
      <c r="I358">
        <f t="shared" ca="1" si="43"/>
        <v>0</v>
      </c>
      <c r="J358">
        <f t="shared" ca="1" si="44"/>
        <v>0</v>
      </c>
      <c r="K358">
        <f t="shared" ca="1" si="45"/>
        <v>0</v>
      </c>
      <c r="L358">
        <f t="shared" ca="1" si="46"/>
        <v>0</v>
      </c>
      <c r="M358">
        <f t="shared" ca="1" si="47"/>
        <v>0</v>
      </c>
      <c r="N358">
        <f t="shared" ca="1" si="48"/>
        <v>0</v>
      </c>
      <c r="O358">
        <f t="shared" ca="1" si="49"/>
        <v>0</v>
      </c>
      <c r="P358">
        <f t="shared" ca="1" si="50"/>
        <v>0</v>
      </c>
      <c r="Q358">
        <f t="shared" ca="1" si="51"/>
        <v>0</v>
      </c>
      <c r="R358">
        <f t="shared" ca="1" si="52"/>
        <v>0</v>
      </c>
      <c r="S358">
        <f t="shared" ca="1" si="53"/>
        <v>0</v>
      </c>
      <c r="T358">
        <f t="shared" ca="1" si="54"/>
        <v>0</v>
      </c>
      <c r="U358">
        <f t="shared" ca="1" si="55"/>
        <v>0</v>
      </c>
      <c r="V358">
        <f t="shared" ca="1" si="56"/>
        <v>0</v>
      </c>
      <c r="W358">
        <f t="shared" ca="1" si="57"/>
        <v>0</v>
      </c>
      <c r="X358">
        <f t="shared" ca="1" si="58"/>
        <v>0</v>
      </c>
      <c r="Y358">
        <f t="shared" ca="1" si="59"/>
        <v>0</v>
      </c>
      <c r="Z358">
        <f t="shared" ca="1" si="60"/>
        <v>0</v>
      </c>
      <c r="AA358">
        <f t="shared" ca="1" si="61"/>
        <v>0</v>
      </c>
      <c r="AB358">
        <f t="shared" ca="1" si="62"/>
        <v>0</v>
      </c>
      <c r="AC358">
        <f t="shared" ca="1" si="63"/>
        <v>0</v>
      </c>
      <c r="AD358">
        <f t="shared" ca="1" si="64"/>
        <v>0</v>
      </c>
      <c r="AE358">
        <f t="shared" ca="1" si="65"/>
        <v>0</v>
      </c>
      <c r="AF358">
        <f t="shared" ca="1" si="66"/>
        <v>0</v>
      </c>
      <c r="AG358">
        <f t="shared" ca="1" si="67"/>
        <v>0</v>
      </c>
      <c r="AH358">
        <f t="shared" ca="1" si="68"/>
        <v>0</v>
      </c>
      <c r="AI358">
        <f t="shared" ca="1" si="69"/>
        <v>0</v>
      </c>
      <c r="AJ358">
        <f t="shared" ca="1" si="70"/>
        <v>0</v>
      </c>
      <c r="AK358">
        <f t="shared" ca="1" si="71"/>
        <v>0</v>
      </c>
      <c r="AL358">
        <f t="shared" ca="1" si="72"/>
        <v>0</v>
      </c>
      <c r="AM358">
        <f t="shared" ca="1" si="73"/>
        <v>0</v>
      </c>
      <c r="AN358">
        <f t="shared" ca="1" si="74"/>
        <v>0</v>
      </c>
      <c r="AO358">
        <f t="shared" ca="1" si="75"/>
        <v>0</v>
      </c>
      <c r="AP358">
        <f t="shared" ca="1" si="76"/>
        <v>0</v>
      </c>
    </row>
    <row r="359" spans="1:42" x14ac:dyDescent="0.2">
      <c r="A359" s="2" t="s">
        <v>495</v>
      </c>
      <c r="B359" s="2" t="str">
        <f>VLOOKUP(A359,'[14]Calculated coal req (reg.)'!$A$2:$B$599,2,FALSE)</f>
        <v>KORADI TPS UNIT 5-7</v>
      </c>
      <c r="C359" s="2">
        <v>0.78318701996927798</v>
      </c>
      <c r="D359" s="2"/>
      <c r="H359" t="s">
        <v>1196</v>
      </c>
      <c r="I359">
        <f t="shared" ref="I359:I422" ca="1" si="77">$I131*M131</f>
        <v>0</v>
      </c>
      <c r="J359">
        <f t="shared" ref="J359:J422" ca="1" si="78">$I131*N131</f>
        <v>0</v>
      </c>
      <c r="K359">
        <f t="shared" ref="K359:K422" ca="1" si="79">$I131*O131</f>
        <v>0</v>
      </c>
      <c r="L359">
        <f t="shared" ref="L359:L422" ca="1" si="80">$I131*P131</f>
        <v>0</v>
      </c>
      <c r="M359">
        <f t="shared" ref="M359:M422" ca="1" si="81">$I131*Q131</f>
        <v>0</v>
      </c>
      <c r="N359">
        <f t="shared" ref="N359:N422" ca="1" si="82">$I131*R131</f>
        <v>0</v>
      </c>
      <c r="O359">
        <f t="shared" ref="O359:O422" ca="1" si="83">$I131*S131</f>
        <v>0</v>
      </c>
      <c r="P359">
        <f t="shared" ref="P359:P422" ca="1" si="84">$I131*T131</f>
        <v>0</v>
      </c>
      <c r="Q359">
        <f t="shared" ref="Q359:Q422" ca="1" si="85">$I131*U131</f>
        <v>0</v>
      </c>
      <c r="R359">
        <f t="shared" ref="R359:R422" ca="1" si="86">$I131*V131</f>
        <v>0</v>
      </c>
      <c r="S359">
        <f t="shared" ref="S359:S422" ca="1" si="87">$I131*W131</f>
        <v>0</v>
      </c>
      <c r="T359">
        <f t="shared" ref="T359:T422" ca="1" si="88">$I131*X131</f>
        <v>0</v>
      </c>
      <c r="U359">
        <f t="shared" ref="U359:U422" ca="1" si="89">$I131*Y131</f>
        <v>0</v>
      </c>
      <c r="V359">
        <f t="shared" ref="V359:V422" ca="1" si="90">$I131*Z131</f>
        <v>0</v>
      </c>
      <c r="W359">
        <f t="shared" ref="W359:W422" ca="1" si="91">$I131*AA131</f>
        <v>0</v>
      </c>
      <c r="X359">
        <f t="shared" ref="X359:X422" ca="1" si="92">$I131*AB131</f>
        <v>0</v>
      </c>
      <c r="Y359">
        <f t="shared" ref="Y359:Y422" ca="1" si="93">$I131*AC131</f>
        <v>0</v>
      </c>
      <c r="Z359">
        <f t="shared" ref="Z359:Z422" ca="1" si="94">$I131*AD131</f>
        <v>0</v>
      </c>
      <c r="AA359">
        <f t="shared" ref="AA359:AA422" ca="1" si="95">$I131*AE131</f>
        <v>0</v>
      </c>
      <c r="AB359">
        <f t="shared" ref="AB359:AB422" ca="1" si="96">$I131*AF131</f>
        <v>0</v>
      </c>
      <c r="AC359">
        <f t="shared" ref="AC359:AC422" ca="1" si="97">$I131*AG131</f>
        <v>0</v>
      </c>
      <c r="AD359">
        <f t="shared" ref="AD359:AD422" ca="1" si="98">$I131*AH131</f>
        <v>0</v>
      </c>
      <c r="AE359">
        <f t="shared" ref="AE359:AE422" ca="1" si="99">$I131*AI131</f>
        <v>0</v>
      </c>
      <c r="AF359">
        <f t="shared" ref="AF359:AF422" ca="1" si="100">$I131*AJ131</f>
        <v>0</v>
      </c>
      <c r="AG359">
        <f t="shared" ref="AG359:AG422" ca="1" si="101">$I131*AK131</f>
        <v>0</v>
      </c>
      <c r="AH359">
        <f t="shared" ref="AH359:AH422" ca="1" si="102">$I131*AL131</f>
        <v>0</v>
      </c>
      <c r="AI359">
        <f t="shared" ref="AI359:AI422" ca="1" si="103">$I131*AM131</f>
        <v>0</v>
      </c>
      <c r="AJ359">
        <f t="shared" ref="AJ359:AJ422" ca="1" si="104">$I131*AN131</f>
        <v>0</v>
      </c>
      <c r="AK359">
        <f t="shared" ref="AK359:AK422" ca="1" si="105">$I131*AO131</f>
        <v>0</v>
      </c>
      <c r="AL359">
        <f t="shared" ref="AL359:AL422" ca="1" si="106">$I131*AP131</f>
        <v>0</v>
      </c>
      <c r="AM359">
        <f t="shared" ref="AM359:AM422" ca="1" si="107">$I131*AQ131</f>
        <v>0</v>
      </c>
      <c r="AN359">
        <f t="shared" ref="AN359:AN422" ca="1" si="108">$I131*AR131</f>
        <v>0</v>
      </c>
      <c r="AO359">
        <f t="shared" ref="AO359:AO422" ca="1" si="109">$I131*AS131</f>
        <v>0</v>
      </c>
      <c r="AP359">
        <f t="shared" ref="AP359:AP422" ca="1" si="110">$I131*AT131</f>
        <v>0</v>
      </c>
    </row>
    <row r="360" spans="1:42" x14ac:dyDescent="0.2">
      <c r="A360" s="2" t="s">
        <v>487</v>
      </c>
      <c r="B360" s="2" t="str">
        <f>VLOOKUP(A360,'[14]Calculated coal req (reg.)'!$A$2:$B$599,2,FALSE)</f>
        <v>KORADI TPS UNIT 5-7</v>
      </c>
      <c r="C360" s="2">
        <v>0.470641502904461</v>
      </c>
      <c r="D360" s="2"/>
      <c r="H360" t="s">
        <v>997</v>
      </c>
      <c r="I360">
        <f t="shared" ca="1" si="77"/>
        <v>0</v>
      </c>
      <c r="J360">
        <f t="shared" ca="1" si="78"/>
        <v>0</v>
      </c>
      <c r="K360">
        <f t="shared" ca="1" si="79"/>
        <v>0</v>
      </c>
      <c r="L360">
        <f t="shared" ca="1" si="80"/>
        <v>0</v>
      </c>
      <c r="M360">
        <f t="shared" ca="1" si="81"/>
        <v>0</v>
      </c>
      <c r="N360">
        <f t="shared" ca="1" si="82"/>
        <v>0</v>
      </c>
      <c r="O360">
        <f t="shared" ca="1" si="83"/>
        <v>0</v>
      </c>
      <c r="P360">
        <f t="shared" ca="1" si="84"/>
        <v>0</v>
      </c>
      <c r="Q360">
        <f t="shared" ca="1" si="85"/>
        <v>0</v>
      </c>
      <c r="R360">
        <f t="shared" ca="1" si="86"/>
        <v>0</v>
      </c>
      <c r="S360">
        <f t="shared" ca="1" si="87"/>
        <v>0</v>
      </c>
      <c r="T360">
        <f t="shared" ca="1" si="88"/>
        <v>0</v>
      </c>
      <c r="U360">
        <f t="shared" ca="1" si="89"/>
        <v>0</v>
      </c>
      <c r="V360">
        <f t="shared" ca="1" si="90"/>
        <v>0</v>
      </c>
      <c r="W360">
        <f t="shared" ca="1" si="91"/>
        <v>0</v>
      </c>
      <c r="X360">
        <f t="shared" ca="1" si="92"/>
        <v>0</v>
      </c>
      <c r="Y360">
        <f t="shared" ca="1" si="93"/>
        <v>0</v>
      </c>
      <c r="Z360">
        <f t="shared" ca="1" si="94"/>
        <v>18.83361043656441</v>
      </c>
      <c r="AA360">
        <f t="shared" ca="1" si="95"/>
        <v>0</v>
      </c>
      <c r="AB360">
        <f t="shared" ca="1" si="96"/>
        <v>0</v>
      </c>
      <c r="AC360">
        <f t="shared" ca="1" si="97"/>
        <v>0</v>
      </c>
      <c r="AD360">
        <f t="shared" ca="1" si="98"/>
        <v>0</v>
      </c>
      <c r="AE360">
        <f t="shared" ca="1" si="99"/>
        <v>0</v>
      </c>
      <c r="AF360">
        <f t="shared" ca="1" si="100"/>
        <v>0</v>
      </c>
      <c r="AG360">
        <f t="shared" ca="1" si="101"/>
        <v>0</v>
      </c>
      <c r="AH360">
        <f t="shared" ca="1" si="102"/>
        <v>0</v>
      </c>
      <c r="AI360">
        <f t="shared" ca="1" si="103"/>
        <v>0</v>
      </c>
      <c r="AJ360">
        <f t="shared" ca="1" si="104"/>
        <v>0</v>
      </c>
      <c r="AK360">
        <f t="shared" ca="1" si="105"/>
        <v>0</v>
      </c>
      <c r="AL360">
        <f t="shared" ca="1" si="106"/>
        <v>0</v>
      </c>
      <c r="AM360">
        <f t="shared" ca="1" si="107"/>
        <v>0</v>
      </c>
      <c r="AN360">
        <f t="shared" ca="1" si="108"/>
        <v>0</v>
      </c>
      <c r="AO360">
        <f t="shared" ca="1" si="109"/>
        <v>0</v>
      </c>
      <c r="AP360">
        <f t="shared" ca="1" si="110"/>
        <v>0</v>
      </c>
    </row>
    <row r="361" spans="1:42" x14ac:dyDescent="0.2">
      <c r="A361" s="2" t="s">
        <v>491</v>
      </c>
      <c r="B361" s="2" t="str">
        <f>VLOOKUP(A361,'[14]Calculated coal req (reg.)'!$A$2:$B$599,2,FALSE)</f>
        <v>KORBA STPS UNIT 1-6</v>
      </c>
      <c r="C361" s="2">
        <v>4.2133861963027597</v>
      </c>
      <c r="D361" s="2"/>
      <c r="H361" t="s">
        <v>1145</v>
      </c>
      <c r="I361">
        <f t="shared" ca="1" si="77"/>
        <v>0</v>
      </c>
      <c r="J361">
        <f t="shared" ca="1" si="78"/>
        <v>0</v>
      </c>
      <c r="K361">
        <f t="shared" ca="1" si="79"/>
        <v>0</v>
      </c>
      <c r="L361">
        <f t="shared" ca="1" si="80"/>
        <v>0</v>
      </c>
      <c r="M361">
        <f t="shared" ca="1" si="81"/>
        <v>0</v>
      </c>
      <c r="N361">
        <f t="shared" ca="1" si="82"/>
        <v>0</v>
      </c>
      <c r="O361">
        <f t="shared" ca="1" si="83"/>
        <v>0</v>
      </c>
      <c r="P361">
        <f t="shared" ca="1" si="84"/>
        <v>0</v>
      </c>
      <c r="Q361">
        <f t="shared" ca="1" si="85"/>
        <v>0</v>
      </c>
      <c r="R361">
        <f t="shared" ca="1" si="86"/>
        <v>0</v>
      </c>
      <c r="S361">
        <f t="shared" ca="1" si="87"/>
        <v>0</v>
      </c>
      <c r="T361">
        <f t="shared" ca="1" si="88"/>
        <v>0</v>
      </c>
      <c r="U361">
        <f t="shared" ca="1" si="89"/>
        <v>0</v>
      </c>
      <c r="V361">
        <f t="shared" ca="1" si="90"/>
        <v>0</v>
      </c>
      <c r="W361">
        <f t="shared" ca="1" si="91"/>
        <v>0</v>
      </c>
      <c r="X361">
        <f t="shared" ca="1" si="92"/>
        <v>0</v>
      </c>
      <c r="Y361">
        <f t="shared" ca="1" si="93"/>
        <v>0</v>
      </c>
      <c r="Z361">
        <f t="shared" ca="1" si="94"/>
        <v>0</v>
      </c>
      <c r="AA361">
        <f t="shared" ca="1" si="95"/>
        <v>0</v>
      </c>
      <c r="AB361">
        <f t="shared" ca="1" si="96"/>
        <v>0</v>
      </c>
      <c r="AC361">
        <f t="shared" ca="1" si="97"/>
        <v>0</v>
      </c>
      <c r="AD361">
        <f t="shared" ca="1" si="98"/>
        <v>0</v>
      </c>
      <c r="AE361">
        <f t="shared" ca="1" si="99"/>
        <v>0</v>
      </c>
      <c r="AF361">
        <f t="shared" ca="1" si="100"/>
        <v>0</v>
      </c>
      <c r="AG361">
        <f t="shared" ca="1" si="101"/>
        <v>0</v>
      </c>
      <c r="AH361">
        <f t="shared" ca="1" si="102"/>
        <v>0</v>
      </c>
      <c r="AI361">
        <f t="shared" ca="1" si="103"/>
        <v>0</v>
      </c>
      <c r="AJ361">
        <f t="shared" ca="1" si="104"/>
        <v>0</v>
      </c>
      <c r="AK361">
        <f t="shared" ca="1" si="105"/>
        <v>10.4644362169483</v>
      </c>
      <c r="AL361">
        <f t="shared" ca="1" si="106"/>
        <v>0</v>
      </c>
      <c r="AM361">
        <f t="shared" ca="1" si="107"/>
        <v>0</v>
      </c>
      <c r="AN361">
        <f t="shared" ca="1" si="108"/>
        <v>0</v>
      </c>
      <c r="AO361">
        <f t="shared" ca="1" si="109"/>
        <v>0</v>
      </c>
      <c r="AP361">
        <f t="shared" ca="1" si="110"/>
        <v>0</v>
      </c>
    </row>
    <row r="362" spans="1:42" x14ac:dyDescent="0.2">
      <c r="A362" s="2" t="s">
        <v>483</v>
      </c>
      <c r="B362" s="2" t="str">
        <f>VLOOKUP(A362,'[14]Calculated coal req (reg.)'!$A$2:$B$599,2,FALSE)</f>
        <v>KORBA STPS UNIT 1-6</v>
      </c>
      <c r="C362" s="2">
        <v>4.1117773672687399</v>
      </c>
      <c r="D362" s="2"/>
      <c r="H362" t="s">
        <v>1023</v>
      </c>
      <c r="I362">
        <f t="shared" ca="1" si="77"/>
        <v>0</v>
      </c>
      <c r="J362">
        <f t="shared" ca="1" si="78"/>
        <v>0</v>
      </c>
      <c r="K362">
        <f t="shared" ca="1" si="79"/>
        <v>0</v>
      </c>
      <c r="L362">
        <f t="shared" ca="1" si="80"/>
        <v>0</v>
      </c>
      <c r="M362">
        <f t="shared" ca="1" si="81"/>
        <v>0</v>
      </c>
      <c r="N362">
        <f t="shared" ca="1" si="82"/>
        <v>0</v>
      </c>
      <c r="O362">
        <f t="shared" ca="1" si="83"/>
        <v>0</v>
      </c>
      <c r="P362">
        <f t="shared" ca="1" si="84"/>
        <v>0</v>
      </c>
      <c r="Q362">
        <f t="shared" ca="1" si="85"/>
        <v>0</v>
      </c>
      <c r="R362">
        <f t="shared" ca="1" si="86"/>
        <v>0</v>
      </c>
      <c r="S362">
        <f t="shared" ca="1" si="87"/>
        <v>0</v>
      </c>
      <c r="T362">
        <f t="shared" ca="1" si="88"/>
        <v>0</v>
      </c>
      <c r="U362">
        <f t="shared" ca="1" si="89"/>
        <v>0</v>
      </c>
      <c r="V362">
        <f t="shared" ca="1" si="90"/>
        <v>0</v>
      </c>
      <c r="W362">
        <f t="shared" ca="1" si="91"/>
        <v>0</v>
      </c>
      <c r="X362">
        <f t="shared" ca="1" si="92"/>
        <v>0</v>
      </c>
      <c r="Y362">
        <f t="shared" ca="1" si="93"/>
        <v>0</v>
      </c>
      <c r="Z362">
        <f t="shared" ca="1" si="94"/>
        <v>0</v>
      </c>
      <c r="AA362">
        <f t="shared" ca="1" si="95"/>
        <v>0</v>
      </c>
      <c r="AB362">
        <f t="shared" ca="1" si="96"/>
        <v>0</v>
      </c>
      <c r="AC362">
        <f t="shared" ca="1" si="97"/>
        <v>0</v>
      </c>
      <c r="AD362">
        <f t="shared" ca="1" si="98"/>
        <v>0</v>
      </c>
      <c r="AE362">
        <f t="shared" ca="1" si="99"/>
        <v>0</v>
      </c>
      <c r="AF362">
        <f t="shared" ca="1" si="100"/>
        <v>0</v>
      </c>
      <c r="AG362">
        <f t="shared" ca="1" si="101"/>
        <v>0</v>
      </c>
      <c r="AH362">
        <f t="shared" ca="1" si="102"/>
        <v>0</v>
      </c>
      <c r="AI362">
        <f t="shared" ca="1" si="103"/>
        <v>0</v>
      </c>
      <c r="AJ362">
        <f t="shared" ca="1" si="104"/>
        <v>0</v>
      </c>
      <c r="AK362">
        <f t="shared" ca="1" si="105"/>
        <v>16.485177739216788</v>
      </c>
      <c r="AL362">
        <f t="shared" ca="1" si="106"/>
        <v>0</v>
      </c>
      <c r="AM362">
        <f t="shared" ca="1" si="107"/>
        <v>0</v>
      </c>
      <c r="AN362">
        <f t="shared" ca="1" si="108"/>
        <v>0</v>
      </c>
      <c r="AO362">
        <f t="shared" ca="1" si="109"/>
        <v>0</v>
      </c>
      <c r="AP362">
        <f t="shared" ca="1" si="110"/>
        <v>0</v>
      </c>
    </row>
    <row r="363" spans="1:42" x14ac:dyDescent="0.2">
      <c r="A363" s="2" t="s">
        <v>479</v>
      </c>
      <c r="B363" s="2" t="str">
        <f>VLOOKUP(A363,'[14]Calculated coal req (reg.)'!$A$2:$B$599,2,FALSE)</f>
        <v>KORBA STPS UNIT 1-6</v>
      </c>
      <c r="C363" s="2">
        <v>4.4069708500142601</v>
      </c>
      <c r="D363" s="2"/>
      <c r="H363" t="s">
        <v>1052</v>
      </c>
      <c r="I363">
        <f t="shared" ca="1" si="77"/>
        <v>1.6518269469766027</v>
      </c>
      <c r="J363">
        <f t="shared" ca="1" si="78"/>
        <v>0</v>
      </c>
      <c r="K363">
        <f t="shared" ca="1" si="79"/>
        <v>0</v>
      </c>
      <c r="L363">
        <f t="shared" ca="1" si="80"/>
        <v>0</v>
      </c>
      <c r="M363">
        <f t="shared" ca="1" si="81"/>
        <v>0</v>
      </c>
      <c r="N363">
        <f t="shared" ca="1" si="82"/>
        <v>0</v>
      </c>
      <c r="O363">
        <f t="shared" ca="1" si="83"/>
        <v>0</v>
      </c>
      <c r="P363">
        <f t="shared" ca="1" si="84"/>
        <v>0</v>
      </c>
      <c r="Q363">
        <f t="shared" ca="1" si="85"/>
        <v>0</v>
      </c>
      <c r="R363">
        <f t="shared" ca="1" si="86"/>
        <v>0</v>
      </c>
      <c r="S363">
        <f t="shared" ca="1" si="87"/>
        <v>0</v>
      </c>
      <c r="T363">
        <f t="shared" ca="1" si="88"/>
        <v>0</v>
      </c>
      <c r="U363">
        <f t="shared" ca="1" si="89"/>
        <v>0</v>
      </c>
      <c r="V363">
        <f t="shared" ca="1" si="90"/>
        <v>0</v>
      </c>
      <c r="W363">
        <f t="shared" ca="1" si="91"/>
        <v>0</v>
      </c>
      <c r="X363">
        <f t="shared" ca="1" si="92"/>
        <v>2.7187445253784022</v>
      </c>
      <c r="Y363">
        <f t="shared" ca="1" si="93"/>
        <v>1.2034302456317236</v>
      </c>
      <c r="Z363">
        <f t="shared" ca="1" si="94"/>
        <v>0</v>
      </c>
      <c r="AA363">
        <f t="shared" ca="1" si="95"/>
        <v>0</v>
      </c>
      <c r="AB363">
        <f t="shared" ca="1" si="96"/>
        <v>0</v>
      </c>
      <c r="AC363">
        <f t="shared" ca="1" si="97"/>
        <v>0</v>
      </c>
      <c r="AD363">
        <f t="shared" ca="1" si="98"/>
        <v>0</v>
      </c>
      <c r="AE363">
        <f t="shared" ca="1" si="99"/>
        <v>0</v>
      </c>
      <c r="AF363">
        <f t="shared" ca="1" si="100"/>
        <v>0</v>
      </c>
      <c r="AG363">
        <f t="shared" ca="1" si="101"/>
        <v>0.3336699719915529</v>
      </c>
      <c r="AH363">
        <f t="shared" ca="1" si="102"/>
        <v>0</v>
      </c>
      <c r="AI363">
        <f t="shared" ca="1" si="103"/>
        <v>0</v>
      </c>
      <c r="AJ363">
        <f t="shared" ca="1" si="104"/>
        <v>0</v>
      </c>
      <c r="AK363">
        <f t="shared" ca="1" si="105"/>
        <v>5.9815413207066266</v>
      </c>
      <c r="AL363">
        <f t="shared" ca="1" si="106"/>
        <v>1.9599460990273596</v>
      </c>
      <c r="AM363">
        <f t="shared" ca="1" si="107"/>
        <v>0</v>
      </c>
      <c r="AN363">
        <f t="shared" ca="1" si="108"/>
        <v>0</v>
      </c>
      <c r="AO363">
        <f t="shared" ca="1" si="109"/>
        <v>0</v>
      </c>
      <c r="AP363">
        <f t="shared" ca="1" si="110"/>
        <v>0</v>
      </c>
    </row>
    <row r="364" spans="1:42" x14ac:dyDescent="0.2">
      <c r="A364" s="2" t="s">
        <v>537</v>
      </c>
      <c r="B364" s="2" t="str">
        <f>VLOOKUP(A364,'[14]Calculated coal req (reg.)'!$A$2:$B$599,2,FALSE)</f>
        <v>KORBA EAST TPS (STG II &amp; III)</v>
      </c>
      <c r="C364" s="2">
        <v>1.66173371647509E-2</v>
      </c>
      <c r="D364" s="2"/>
      <c r="H364" t="s">
        <v>1146</v>
      </c>
      <c r="I364">
        <f t="shared" ca="1" si="77"/>
        <v>0</v>
      </c>
      <c r="J364">
        <f t="shared" ca="1" si="78"/>
        <v>0</v>
      </c>
      <c r="K364">
        <f t="shared" ca="1" si="79"/>
        <v>0</v>
      </c>
      <c r="L364">
        <f t="shared" ca="1" si="80"/>
        <v>0</v>
      </c>
      <c r="M364">
        <f t="shared" ca="1" si="81"/>
        <v>0</v>
      </c>
      <c r="N364">
        <f t="shared" ca="1" si="82"/>
        <v>0</v>
      </c>
      <c r="O364">
        <f t="shared" ca="1" si="83"/>
        <v>0</v>
      </c>
      <c r="P364">
        <f t="shared" ca="1" si="84"/>
        <v>0</v>
      </c>
      <c r="Q364">
        <f t="shared" ca="1" si="85"/>
        <v>0</v>
      </c>
      <c r="R364">
        <f t="shared" ca="1" si="86"/>
        <v>0</v>
      </c>
      <c r="S364">
        <f t="shared" ca="1" si="87"/>
        <v>0</v>
      </c>
      <c r="T364">
        <f t="shared" ca="1" si="88"/>
        <v>0</v>
      </c>
      <c r="U364">
        <f t="shared" ca="1" si="89"/>
        <v>0</v>
      </c>
      <c r="V364">
        <f t="shared" ca="1" si="90"/>
        <v>0</v>
      </c>
      <c r="W364">
        <f t="shared" ca="1" si="91"/>
        <v>0</v>
      </c>
      <c r="X364">
        <f t="shared" ca="1" si="92"/>
        <v>0</v>
      </c>
      <c r="Y364">
        <f t="shared" ca="1" si="93"/>
        <v>0</v>
      </c>
      <c r="Z364">
        <f t="shared" ca="1" si="94"/>
        <v>0</v>
      </c>
      <c r="AA364">
        <f t="shared" ca="1" si="95"/>
        <v>0</v>
      </c>
      <c r="AB364">
        <f t="shared" ca="1" si="96"/>
        <v>0</v>
      </c>
      <c r="AC364">
        <f t="shared" ca="1" si="97"/>
        <v>0</v>
      </c>
      <c r="AD364">
        <f t="shared" ca="1" si="98"/>
        <v>0</v>
      </c>
      <c r="AE364">
        <f t="shared" ca="1" si="99"/>
        <v>0</v>
      </c>
      <c r="AF364">
        <f t="shared" ca="1" si="100"/>
        <v>0</v>
      </c>
      <c r="AG364">
        <f t="shared" ca="1" si="101"/>
        <v>0</v>
      </c>
      <c r="AH364">
        <f t="shared" ca="1" si="102"/>
        <v>0</v>
      </c>
      <c r="AI364">
        <f t="shared" ca="1" si="103"/>
        <v>0</v>
      </c>
      <c r="AJ364">
        <f t="shared" ca="1" si="104"/>
        <v>0</v>
      </c>
      <c r="AK364">
        <f t="shared" ca="1" si="105"/>
        <v>0</v>
      </c>
      <c r="AL364">
        <f t="shared" ca="1" si="106"/>
        <v>0</v>
      </c>
      <c r="AM364">
        <f t="shared" ca="1" si="107"/>
        <v>0</v>
      </c>
      <c r="AN364">
        <f t="shared" ca="1" si="108"/>
        <v>1.5340792540792501</v>
      </c>
      <c r="AO364">
        <f t="shared" ca="1" si="109"/>
        <v>0</v>
      </c>
      <c r="AP364">
        <f t="shared" ca="1" si="110"/>
        <v>0</v>
      </c>
    </row>
    <row r="365" spans="1:42" x14ac:dyDescent="0.2">
      <c r="A365" s="2" t="s">
        <v>533</v>
      </c>
      <c r="B365" s="2" t="str">
        <f>VLOOKUP(A365,'[14]Calculated coal req (reg.)'!$A$2:$B$599,2,FALSE)</f>
        <v>KORBA EAST TPS (STG II &amp; III)</v>
      </c>
      <c r="C365" s="2">
        <v>0.37501944422374001</v>
      </c>
      <c r="D365" s="2"/>
      <c r="H365" t="s">
        <v>1147</v>
      </c>
      <c r="I365">
        <f t="shared" ca="1" si="77"/>
        <v>0</v>
      </c>
      <c r="J365">
        <f t="shared" ca="1" si="78"/>
        <v>0</v>
      </c>
      <c r="K365">
        <f t="shared" ca="1" si="79"/>
        <v>0</v>
      </c>
      <c r="L365">
        <f t="shared" ca="1" si="80"/>
        <v>0</v>
      </c>
      <c r="M365">
        <f t="shared" ca="1" si="81"/>
        <v>0</v>
      </c>
      <c r="N365">
        <f t="shared" ca="1" si="82"/>
        <v>0</v>
      </c>
      <c r="O365">
        <f t="shared" ca="1" si="83"/>
        <v>0</v>
      </c>
      <c r="P365">
        <f t="shared" ca="1" si="84"/>
        <v>0</v>
      </c>
      <c r="Q365">
        <f t="shared" ca="1" si="85"/>
        <v>0</v>
      </c>
      <c r="R365">
        <f t="shared" ca="1" si="86"/>
        <v>0</v>
      </c>
      <c r="S365">
        <f t="shared" ca="1" si="87"/>
        <v>0</v>
      </c>
      <c r="T365">
        <f t="shared" ca="1" si="88"/>
        <v>0</v>
      </c>
      <c r="U365">
        <f t="shared" ca="1" si="89"/>
        <v>0</v>
      </c>
      <c r="V365">
        <f t="shared" ca="1" si="90"/>
        <v>0</v>
      </c>
      <c r="W365">
        <f t="shared" ca="1" si="91"/>
        <v>0</v>
      </c>
      <c r="X365">
        <f t="shared" ca="1" si="92"/>
        <v>0</v>
      </c>
      <c r="Y365">
        <f t="shared" ca="1" si="93"/>
        <v>0</v>
      </c>
      <c r="Z365">
        <f t="shared" ca="1" si="94"/>
        <v>0</v>
      </c>
      <c r="AA365">
        <f t="shared" ca="1" si="95"/>
        <v>0</v>
      </c>
      <c r="AB365">
        <f t="shared" ca="1" si="96"/>
        <v>0</v>
      </c>
      <c r="AC365">
        <f t="shared" ca="1" si="97"/>
        <v>0</v>
      </c>
      <c r="AD365">
        <f t="shared" ca="1" si="98"/>
        <v>0</v>
      </c>
      <c r="AE365">
        <f t="shared" ca="1" si="99"/>
        <v>0</v>
      </c>
      <c r="AF365">
        <f t="shared" ca="1" si="100"/>
        <v>0</v>
      </c>
      <c r="AG365">
        <f t="shared" ca="1" si="101"/>
        <v>0</v>
      </c>
      <c r="AH365">
        <f t="shared" ca="1" si="102"/>
        <v>0</v>
      </c>
      <c r="AI365">
        <f t="shared" ca="1" si="103"/>
        <v>0</v>
      </c>
      <c r="AJ365">
        <f t="shared" ca="1" si="104"/>
        <v>0</v>
      </c>
      <c r="AK365">
        <f t="shared" ca="1" si="105"/>
        <v>0</v>
      </c>
      <c r="AL365">
        <f t="shared" ca="1" si="106"/>
        <v>0</v>
      </c>
      <c r="AM365">
        <f t="shared" ca="1" si="107"/>
        <v>0</v>
      </c>
      <c r="AN365">
        <f t="shared" ca="1" si="108"/>
        <v>10.073275640438691</v>
      </c>
      <c r="AO365">
        <f t="shared" ca="1" si="109"/>
        <v>0</v>
      </c>
      <c r="AP365">
        <f t="shared" ca="1" si="110"/>
        <v>0</v>
      </c>
    </row>
    <row r="366" spans="1:42" x14ac:dyDescent="0.2">
      <c r="A366" s="2" t="s">
        <v>532</v>
      </c>
      <c r="B366" s="2" t="str">
        <f>VLOOKUP(A366,'[14]Calculated coal req (reg.)'!$A$2:$B$599,2,FALSE)</f>
        <v>KORBA EAST TPS (STG II &amp; III)</v>
      </c>
      <c r="C366" s="2">
        <v>0.31018653486236902</v>
      </c>
      <c r="D366" s="2"/>
      <c r="H366" t="s">
        <v>1148</v>
      </c>
      <c r="I366">
        <f t="shared" ca="1" si="77"/>
        <v>0</v>
      </c>
      <c r="J366">
        <f t="shared" ca="1" si="78"/>
        <v>0</v>
      </c>
      <c r="K366">
        <f t="shared" ca="1" si="79"/>
        <v>0</v>
      </c>
      <c r="L366">
        <f t="shared" ca="1" si="80"/>
        <v>0</v>
      </c>
      <c r="M366">
        <f t="shared" ca="1" si="81"/>
        <v>0</v>
      </c>
      <c r="N366">
        <f t="shared" ca="1" si="82"/>
        <v>0</v>
      </c>
      <c r="O366">
        <f t="shared" ca="1" si="83"/>
        <v>0</v>
      </c>
      <c r="P366">
        <f t="shared" ca="1" si="84"/>
        <v>0</v>
      </c>
      <c r="Q366">
        <f t="shared" ca="1" si="85"/>
        <v>0</v>
      </c>
      <c r="R366">
        <f t="shared" ca="1" si="86"/>
        <v>0</v>
      </c>
      <c r="S366">
        <f t="shared" ca="1" si="87"/>
        <v>0</v>
      </c>
      <c r="T366">
        <f t="shared" ca="1" si="88"/>
        <v>0</v>
      </c>
      <c r="U366">
        <f t="shared" ca="1" si="89"/>
        <v>0</v>
      </c>
      <c r="V366">
        <f t="shared" ca="1" si="90"/>
        <v>0</v>
      </c>
      <c r="W366">
        <f t="shared" ca="1" si="91"/>
        <v>0</v>
      </c>
      <c r="X366">
        <f t="shared" ca="1" si="92"/>
        <v>0</v>
      </c>
      <c r="Y366">
        <f t="shared" ca="1" si="93"/>
        <v>7.7781501350707067</v>
      </c>
      <c r="Z366">
        <f t="shared" ca="1" si="94"/>
        <v>0</v>
      </c>
      <c r="AA366">
        <f t="shared" ca="1" si="95"/>
        <v>0</v>
      </c>
      <c r="AB366">
        <f t="shared" ca="1" si="96"/>
        <v>0</v>
      </c>
      <c r="AC366">
        <f t="shared" ca="1" si="97"/>
        <v>0</v>
      </c>
      <c r="AD366">
        <f t="shared" ca="1" si="98"/>
        <v>0</v>
      </c>
      <c r="AE366">
        <f t="shared" ca="1" si="99"/>
        <v>0</v>
      </c>
      <c r="AF366">
        <f t="shared" ca="1" si="100"/>
        <v>0</v>
      </c>
      <c r="AG366">
        <f t="shared" ca="1" si="101"/>
        <v>0</v>
      </c>
      <c r="AH366">
        <f t="shared" ca="1" si="102"/>
        <v>0</v>
      </c>
      <c r="AI366">
        <f t="shared" ca="1" si="103"/>
        <v>0</v>
      </c>
      <c r="AJ366">
        <f t="shared" ca="1" si="104"/>
        <v>0</v>
      </c>
      <c r="AK366">
        <f t="shared" ca="1" si="105"/>
        <v>0</v>
      </c>
      <c r="AL366">
        <f t="shared" ca="1" si="106"/>
        <v>0</v>
      </c>
      <c r="AM366">
        <f t="shared" ca="1" si="107"/>
        <v>0</v>
      </c>
      <c r="AN366">
        <f t="shared" ca="1" si="108"/>
        <v>0</v>
      </c>
      <c r="AO366">
        <f t="shared" ca="1" si="109"/>
        <v>0</v>
      </c>
      <c r="AP366">
        <f t="shared" ca="1" si="110"/>
        <v>0</v>
      </c>
    </row>
    <row r="367" spans="1:42" x14ac:dyDescent="0.2">
      <c r="A367" s="2" t="s">
        <v>522</v>
      </c>
      <c r="B367" s="2" t="str">
        <f>VLOOKUP(A367,'[14]Calculated coal req (reg.)'!$A$2:$B$599,2,FALSE)</f>
        <v>KORBA EAST TPS (STG II &amp; III)</v>
      </c>
      <c r="C367" s="2">
        <v>1.8373763580344999</v>
      </c>
      <c r="D367" s="2"/>
      <c r="H367" t="s">
        <v>294</v>
      </c>
      <c r="I367">
        <f t="shared" ca="1" si="77"/>
        <v>0</v>
      </c>
      <c r="J367">
        <f t="shared" ca="1" si="78"/>
        <v>0</v>
      </c>
      <c r="K367">
        <f t="shared" ca="1" si="79"/>
        <v>0</v>
      </c>
      <c r="L367">
        <f t="shared" ca="1" si="80"/>
        <v>0</v>
      </c>
      <c r="M367">
        <f t="shared" ca="1" si="81"/>
        <v>0</v>
      </c>
      <c r="N367">
        <f t="shared" ca="1" si="82"/>
        <v>1.2411715287869445</v>
      </c>
      <c r="O367">
        <f t="shared" ca="1" si="83"/>
        <v>0</v>
      </c>
      <c r="P367">
        <f t="shared" ca="1" si="84"/>
        <v>0</v>
      </c>
      <c r="Q367">
        <f t="shared" ca="1" si="85"/>
        <v>0</v>
      </c>
      <c r="R367">
        <f t="shared" ca="1" si="86"/>
        <v>0</v>
      </c>
      <c r="S367">
        <f t="shared" ca="1" si="87"/>
        <v>0</v>
      </c>
      <c r="T367">
        <f t="shared" ca="1" si="88"/>
        <v>0</v>
      </c>
      <c r="U367">
        <f t="shared" ca="1" si="89"/>
        <v>0</v>
      </c>
      <c r="V367">
        <f t="shared" ca="1" si="90"/>
        <v>0</v>
      </c>
      <c r="W367">
        <f t="shared" ca="1" si="91"/>
        <v>0</v>
      </c>
      <c r="X367">
        <f t="shared" ca="1" si="92"/>
        <v>0</v>
      </c>
      <c r="Y367">
        <f t="shared" ca="1" si="93"/>
        <v>8.3373441972654998</v>
      </c>
      <c r="Z367">
        <f t="shared" ca="1" si="94"/>
        <v>0</v>
      </c>
      <c r="AA367">
        <f t="shared" ca="1" si="95"/>
        <v>0</v>
      </c>
      <c r="AB367">
        <f t="shared" ca="1" si="96"/>
        <v>0</v>
      </c>
      <c r="AC367">
        <f t="shared" ca="1" si="97"/>
        <v>0</v>
      </c>
      <c r="AD367">
        <f t="shared" ca="1" si="98"/>
        <v>0</v>
      </c>
      <c r="AE367">
        <f t="shared" ca="1" si="99"/>
        <v>0</v>
      </c>
      <c r="AF367">
        <f t="shared" ca="1" si="100"/>
        <v>0</v>
      </c>
      <c r="AG367">
        <f t="shared" ca="1" si="101"/>
        <v>0</v>
      </c>
      <c r="AH367">
        <f t="shared" ca="1" si="102"/>
        <v>0</v>
      </c>
      <c r="AI367">
        <f t="shared" ca="1" si="103"/>
        <v>0</v>
      </c>
      <c r="AJ367">
        <f t="shared" ca="1" si="104"/>
        <v>0</v>
      </c>
      <c r="AK367">
        <f t="shared" ca="1" si="105"/>
        <v>9.9192558627926175</v>
      </c>
      <c r="AL367">
        <f t="shared" ca="1" si="106"/>
        <v>0</v>
      </c>
      <c r="AM367">
        <f t="shared" ca="1" si="107"/>
        <v>0</v>
      </c>
      <c r="AN367">
        <f t="shared" ca="1" si="108"/>
        <v>0</v>
      </c>
      <c r="AO367">
        <f t="shared" ca="1" si="109"/>
        <v>0</v>
      </c>
      <c r="AP367">
        <f t="shared" ca="1" si="110"/>
        <v>0</v>
      </c>
    </row>
    <row r="368" spans="1:42" x14ac:dyDescent="0.2">
      <c r="A368" s="2" t="s">
        <v>517</v>
      </c>
      <c r="B368" s="2" t="str">
        <f>VLOOKUP(A368,'[14]Calculated coal req (reg.)'!$A$2:$B$599,2,FALSE)</f>
        <v>KORBA EAST TPS (STG II &amp; III)</v>
      </c>
      <c r="C368" s="2">
        <v>1.78898379539876</v>
      </c>
      <c r="D368" s="2"/>
      <c r="H368" t="s">
        <v>1025</v>
      </c>
      <c r="I368">
        <f t="shared" ca="1" si="77"/>
        <v>8.7922548607588258</v>
      </c>
      <c r="J368">
        <f t="shared" ca="1" si="78"/>
        <v>0</v>
      </c>
      <c r="K368">
        <f t="shared" ca="1" si="79"/>
        <v>0</v>
      </c>
      <c r="L368">
        <f t="shared" ca="1" si="80"/>
        <v>0</v>
      </c>
      <c r="M368">
        <f t="shared" ca="1" si="81"/>
        <v>0</v>
      </c>
      <c r="N368">
        <f t="shared" ca="1" si="82"/>
        <v>0</v>
      </c>
      <c r="O368">
        <f t="shared" ca="1" si="83"/>
        <v>0</v>
      </c>
      <c r="P368">
        <f t="shared" ca="1" si="84"/>
        <v>0</v>
      </c>
      <c r="Q368">
        <f t="shared" ca="1" si="85"/>
        <v>0</v>
      </c>
      <c r="R368">
        <f t="shared" ca="1" si="86"/>
        <v>0</v>
      </c>
      <c r="S368">
        <f t="shared" ca="1" si="87"/>
        <v>0</v>
      </c>
      <c r="T368">
        <f t="shared" ca="1" si="88"/>
        <v>0</v>
      </c>
      <c r="U368">
        <f t="shared" ca="1" si="89"/>
        <v>0</v>
      </c>
      <c r="V368">
        <f t="shared" ca="1" si="90"/>
        <v>0</v>
      </c>
      <c r="W368">
        <f t="shared" ca="1" si="91"/>
        <v>0</v>
      </c>
      <c r="X368">
        <f t="shared" ca="1" si="92"/>
        <v>0</v>
      </c>
      <c r="Y368">
        <f t="shared" ca="1" si="93"/>
        <v>0</v>
      </c>
      <c r="Z368">
        <f t="shared" ca="1" si="94"/>
        <v>0</v>
      </c>
      <c r="AA368">
        <f t="shared" ca="1" si="95"/>
        <v>0</v>
      </c>
      <c r="AB368">
        <f t="shared" ca="1" si="96"/>
        <v>0</v>
      </c>
      <c r="AC368">
        <f t="shared" ca="1" si="97"/>
        <v>0</v>
      </c>
      <c r="AD368">
        <f t="shared" ca="1" si="98"/>
        <v>0</v>
      </c>
      <c r="AE368">
        <f t="shared" ca="1" si="99"/>
        <v>0</v>
      </c>
      <c r="AF368">
        <f t="shared" ca="1" si="100"/>
        <v>0</v>
      </c>
      <c r="AG368">
        <f t="shared" ca="1" si="101"/>
        <v>0</v>
      </c>
      <c r="AH368">
        <f t="shared" ca="1" si="102"/>
        <v>0</v>
      </c>
      <c r="AI368">
        <f t="shared" ca="1" si="103"/>
        <v>0</v>
      </c>
      <c r="AJ368">
        <f t="shared" ca="1" si="104"/>
        <v>0</v>
      </c>
      <c r="AK368">
        <f t="shared" ca="1" si="105"/>
        <v>0</v>
      </c>
      <c r="AL368">
        <f t="shared" ca="1" si="106"/>
        <v>16.073281746926174</v>
      </c>
      <c r="AM368">
        <f t="shared" ca="1" si="107"/>
        <v>0</v>
      </c>
      <c r="AN368">
        <f t="shared" ca="1" si="108"/>
        <v>0</v>
      </c>
      <c r="AO368">
        <f t="shared" ca="1" si="109"/>
        <v>0</v>
      </c>
      <c r="AP368">
        <f t="shared" ca="1" si="110"/>
        <v>0</v>
      </c>
    </row>
    <row r="369" spans="1:42" x14ac:dyDescent="0.2">
      <c r="A369" s="2" t="s">
        <v>477</v>
      </c>
      <c r="B369" s="2" t="str">
        <f>VLOOKUP(A369,'[14]Calculated coal req (reg.)'!$A$2:$B$599,2,FALSE)</f>
        <v>KORBA-WEST TPS UNIT 1-4</v>
      </c>
      <c r="C369" s="2">
        <v>3.5678446331020299</v>
      </c>
      <c r="D369" s="2"/>
      <c r="H369" t="s">
        <v>1149</v>
      </c>
      <c r="I369">
        <f t="shared" ca="1" si="77"/>
        <v>0</v>
      </c>
      <c r="J369">
        <f t="shared" ca="1" si="78"/>
        <v>0</v>
      </c>
      <c r="K369">
        <f t="shared" ca="1" si="79"/>
        <v>0</v>
      </c>
      <c r="L369">
        <f t="shared" ca="1" si="80"/>
        <v>0</v>
      </c>
      <c r="M369">
        <f t="shared" ca="1" si="81"/>
        <v>0</v>
      </c>
      <c r="N369">
        <f t="shared" ca="1" si="82"/>
        <v>0</v>
      </c>
      <c r="O369">
        <f t="shared" ca="1" si="83"/>
        <v>0</v>
      </c>
      <c r="P369">
        <f t="shared" ca="1" si="84"/>
        <v>0</v>
      </c>
      <c r="Q369">
        <f t="shared" ca="1" si="85"/>
        <v>0</v>
      </c>
      <c r="R369">
        <f t="shared" ca="1" si="86"/>
        <v>0</v>
      </c>
      <c r="S369">
        <f t="shared" ca="1" si="87"/>
        <v>0</v>
      </c>
      <c r="T369">
        <f t="shared" ca="1" si="88"/>
        <v>0.26302802755750099</v>
      </c>
      <c r="U369">
        <f t="shared" ca="1" si="89"/>
        <v>0</v>
      </c>
      <c r="V369">
        <f t="shared" ca="1" si="90"/>
        <v>0</v>
      </c>
      <c r="W369">
        <f t="shared" ca="1" si="91"/>
        <v>0</v>
      </c>
      <c r="X369">
        <f t="shared" ca="1" si="92"/>
        <v>0</v>
      </c>
      <c r="Y369">
        <f t="shared" ca="1" si="93"/>
        <v>0</v>
      </c>
      <c r="Z369">
        <f t="shared" ca="1" si="94"/>
        <v>0</v>
      </c>
      <c r="AA369">
        <f t="shared" ca="1" si="95"/>
        <v>0</v>
      </c>
      <c r="AB369">
        <f t="shared" ca="1" si="96"/>
        <v>0</v>
      </c>
      <c r="AC369">
        <f t="shared" ca="1" si="97"/>
        <v>0</v>
      </c>
      <c r="AD369">
        <f t="shared" ca="1" si="98"/>
        <v>0</v>
      </c>
      <c r="AE369">
        <f t="shared" ca="1" si="99"/>
        <v>0</v>
      </c>
      <c r="AF369">
        <f t="shared" ca="1" si="100"/>
        <v>0</v>
      </c>
      <c r="AG369">
        <f t="shared" ca="1" si="101"/>
        <v>0</v>
      </c>
      <c r="AH369">
        <f t="shared" ca="1" si="102"/>
        <v>0</v>
      </c>
      <c r="AI369">
        <f t="shared" ca="1" si="103"/>
        <v>0</v>
      </c>
      <c r="AJ369">
        <f t="shared" ca="1" si="104"/>
        <v>0</v>
      </c>
      <c r="AK369">
        <f t="shared" ca="1" si="105"/>
        <v>0</v>
      </c>
      <c r="AL369">
        <f t="shared" ca="1" si="106"/>
        <v>0</v>
      </c>
      <c r="AM369">
        <f t="shared" ca="1" si="107"/>
        <v>0</v>
      </c>
      <c r="AN369">
        <f t="shared" ca="1" si="108"/>
        <v>0</v>
      </c>
      <c r="AO369">
        <f t="shared" ca="1" si="109"/>
        <v>0</v>
      </c>
      <c r="AP369">
        <f t="shared" ca="1" si="110"/>
        <v>0</v>
      </c>
    </row>
    <row r="370" spans="1:42" x14ac:dyDescent="0.2">
      <c r="A370" s="2" t="s">
        <v>473</v>
      </c>
      <c r="B370" s="2" t="str">
        <f>VLOOKUP(A370,'[14]Calculated coal req (reg.)'!$A$2:$B$599,2,FALSE)</f>
        <v>KORBA-WEST TPS UNIT 1-4</v>
      </c>
      <c r="C370" s="2">
        <v>3.6808928291376799</v>
      </c>
      <c r="D370" s="2"/>
      <c r="H370" t="s">
        <v>1150</v>
      </c>
      <c r="I370">
        <f t="shared" ca="1" si="77"/>
        <v>0</v>
      </c>
      <c r="J370">
        <f t="shared" ca="1" si="78"/>
        <v>0</v>
      </c>
      <c r="K370">
        <f t="shared" ca="1" si="79"/>
        <v>0</v>
      </c>
      <c r="L370">
        <f t="shared" ca="1" si="80"/>
        <v>0</v>
      </c>
      <c r="M370">
        <f t="shared" ca="1" si="81"/>
        <v>0</v>
      </c>
      <c r="N370">
        <f t="shared" ca="1" si="82"/>
        <v>0</v>
      </c>
      <c r="O370">
        <f t="shared" ca="1" si="83"/>
        <v>0</v>
      </c>
      <c r="P370">
        <f t="shared" ca="1" si="84"/>
        <v>0</v>
      </c>
      <c r="Q370">
        <f t="shared" ca="1" si="85"/>
        <v>0</v>
      </c>
      <c r="R370">
        <f t="shared" ca="1" si="86"/>
        <v>0</v>
      </c>
      <c r="S370">
        <f t="shared" ca="1" si="87"/>
        <v>0</v>
      </c>
      <c r="T370">
        <f t="shared" ca="1" si="88"/>
        <v>0.61630677790137101</v>
      </c>
      <c r="U370">
        <f t="shared" ca="1" si="89"/>
        <v>0</v>
      </c>
      <c r="V370">
        <f t="shared" ca="1" si="90"/>
        <v>0</v>
      </c>
      <c r="W370">
        <f t="shared" ca="1" si="91"/>
        <v>0</v>
      </c>
      <c r="X370">
        <f t="shared" ca="1" si="92"/>
        <v>0</v>
      </c>
      <c r="Y370">
        <f t="shared" ca="1" si="93"/>
        <v>0</v>
      </c>
      <c r="Z370">
        <f t="shared" ca="1" si="94"/>
        <v>0</v>
      </c>
      <c r="AA370">
        <f t="shared" ca="1" si="95"/>
        <v>0</v>
      </c>
      <c r="AB370">
        <f t="shared" ca="1" si="96"/>
        <v>0</v>
      </c>
      <c r="AC370">
        <f t="shared" ca="1" si="97"/>
        <v>0</v>
      </c>
      <c r="AD370">
        <f t="shared" ca="1" si="98"/>
        <v>0</v>
      </c>
      <c r="AE370">
        <f t="shared" ca="1" si="99"/>
        <v>0</v>
      </c>
      <c r="AF370">
        <f t="shared" ca="1" si="100"/>
        <v>0</v>
      </c>
      <c r="AG370">
        <f t="shared" ca="1" si="101"/>
        <v>0</v>
      </c>
      <c r="AH370">
        <f t="shared" ca="1" si="102"/>
        <v>0</v>
      </c>
      <c r="AI370">
        <f t="shared" ca="1" si="103"/>
        <v>0</v>
      </c>
      <c r="AJ370">
        <f t="shared" ca="1" si="104"/>
        <v>0</v>
      </c>
      <c r="AK370">
        <f t="shared" ca="1" si="105"/>
        <v>0</v>
      </c>
      <c r="AL370">
        <f t="shared" ca="1" si="106"/>
        <v>0</v>
      </c>
      <c r="AM370">
        <f t="shared" ca="1" si="107"/>
        <v>0</v>
      </c>
      <c r="AN370">
        <f t="shared" ca="1" si="108"/>
        <v>0</v>
      </c>
      <c r="AO370">
        <f t="shared" ca="1" si="109"/>
        <v>0</v>
      </c>
      <c r="AP370">
        <f t="shared" ca="1" si="110"/>
        <v>0</v>
      </c>
    </row>
    <row r="371" spans="1:42" x14ac:dyDescent="0.2">
      <c r="A371" s="2" t="s">
        <v>465</v>
      </c>
      <c r="B371" s="2" t="str">
        <f>VLOOKUP(A371,'[14]Calculated coal req (reg.)'!$A$2:$B$599,2,FALSE)</f>
        <v>KORBA-WEST TPS UNIT 1-4</v>
      </c>
      <c r="C371" s="2">
        <v>3.2784480246527501</v>
      </c>
      <c r="D371" s="2"/>
      <c r="H371" t="s">
        <v>1151</v>
      </c>
      <c r="I371">
        <f t="shared" ca="1" si="77"/>
        <v>0</v>
      </c>
      <c r="J371">
        <f t="shared" ca="1" si="78"/>
        <v>0</v>
      </c>
      <c r="K371">
        <f t="shared" ca="1" si="79"/>
        <v>0</v>
      </c>
      <c r="L371">
        <f t="shared" ca="1" si="80"/>
        <v>0</v>
      </c>
      <c r="M371">
        <f t="shared" ca="1" si="81"/>
        <v>0</v>
      </c>
      <c r="N371">
        <f t="shared" ca="1" si="82"/>
        <v>0</v>
      </c>
      <c r="O371">
        <f t="shared" ca="1" si="83"/>
        <v>0</v>
      </c>
      <c r="P371">
        <f t="shared" ca="1" si="84"/>
        <v>0</v>
      </c>
      <c r="Q371">
        <f t="shared" ca="1" si="85"/>
        <v>0</v>
      </c>
      <c r="R371">
        <f t="shared" ca="1" si="86"/>
        <v>0</v>
      </c>
      <c r="S371">
        <f t="shared" ca="1" si="87"/>
        <v>0</v>
      </c>
      <c r="T371">
        <f t="shared" ca="1" si="88"/>
        <v>3.21206361189852</v>
      </c>
      <c r="U371">
        <f t="shared" ca="1" si="89"/>
        <v>0</v>
      </c>
      <c r="V371">
        <f t="shared" ca="1" si="90"/>
        <v>0</v>
      </c>
      <c r="W371">
        <f t="shared" ca="1" si="91"/>
        <v>0</v>
      </c>
      <c r="X371">
        <f t="shared" ca="1" si="92"/>
        <v>0</v>
      </c>
      <c r="Y371">
        <f t="shared" ca="1" si="93"/>
        <v>0</v>
      </c>
      <c r="Z371">
        <f t="shared" ca="1" si="94"/>
        <v>0</v>
      </c>
      <c r="AA371">
        <f t="shared" ca="1" si="95"/>
        <v>0</v>
      </c>
      <c r="AB371">
        <f t="shared" ca="1" si="96"/>
        <v>0</v>
      </c>
      <c r="AC371">
        <f t="shared" ca="1" si="97"/>
        <v>0</v>
      </c>
      <c r="AD371">
        <f t="shared" ca="1" si="98"/>
        <v>0</v>
      </c>
      <c r="AE371">
        <f t="shared" ca="1" si="99"/>
        <v>0</v>
      </c>
      <c r="AF371">
        <f t="shared" ca="1" si="100"/>
        <v>0</v>
      </c>
      <c r="AG371">
        <f t="shared" ca="1" si="101"/>
        <v>0</v>
      </c>
      <c r="AH371">
        <f t="shared" ca="1" si="102"/>
        <v>0</v>
      </c>
      <c r="AI371">
        <f t="shared" ca="1" si="103"/>
        <v>0</v>
      </c>
      <c r="AJ371">
        <f t="shared" ca="1" si="104"/>
        <v>0</v>
      </c>
      <c r="AK371">
        <f t="shared" ca="1" si="105"/>
        <v>0</v>
      </c>
      <c r="AL371">
        <f t="shared" ca="1" si="106"/>
        <v>0</v>
      </c>
      <c r="AM371">
        <f t="shared" ca="1" si="107"/>
        <v>0</v>
      </c>
      <c r="AN371">
        <f t="shared" ca="1" si="108"/>
        <v>0</v>
      </c>
      <c r="AO371">
        <f t="shared" ca="1" si="109"/>
        <v>0</v>
      </c>
      <c r="AP371">
        <f t="shared" ca="1" si="110"/>
        <v>0</v>
      </c>
    </row>
    <row r="372" spans="1:42" x14ac:dyDescent="0.2">
      <c r="A372" s="2" t="s">
        <v>458</v>
      </c>
      <c r="B372" s="2" t="str">
        <f>VLOOKUP(A372,'[14]Calculated coal req (reg.)'!$A$2:$B$599,2,FALSE)</f>
        <v>KORBA-WEST TPS UNIT 1-4</v>
      </c>
      <c r="C372" s="2">
        <v>3.7836581479068401</v>
      </c>
      <c r="D372" s="2"/>
      <c r="H372" t="s">
        <v>1152</v>
      </c>
      <c r="I372">
        <f t="shared" ca="1" si="77"/>
        <v>0</v>
      </c>
      <c r="J372">
        <f t="shared" ca="1" si="78"/>
        <v>0</v>
      </c>
      <c r="K372">
        <f t="shared" ca="1" si="79"/>
        <v>0</v>
      </c>
      <c r="L372">
        <f t="shared" ca="1" si="80"/>
        <v>0</v>
      </c>
      <c r="M372">
        <f t="shared" ca="1" si="81"/>
        <v>0</v>
      </c>
      <c r="N372">
        <f t="shared" ca="1" si="82"/>
        <v>0</v>
      </c>
      <c r="O372">
        <f t="shared" ca="1" si="83"/>
        <v>0</v>
      </c>
      <c r="P372">
        <f t="shared" ca="1" si="84"/>
        <v>0</v>
      </c>
      <c r="Q372">
        <f t="shared" ca="1" si="85"/>
        <v>0</v>
      </c>
      <c r="R372">
        <f t="shared" ca="1" si="86"/>
        <v>0</v>
      </c>
      <c r="S372">
        <f t="shared" ca="1" si="87"/>
        <v>0</v>
      </c>
      <c r="T372">
        <f t="shared" ca="1" si="88"/>
        <v>3.4156200073814702</v>
      </c>
      <c r="U372">
        <f t="shared" ca="1" si="89"/>
        <v>0</v>
      </c>
      <c r="V372">
        <f t="shared" ca="1" si="90"/>
        <v>0</v>
      </c>
      <c r="W372">
        <f t="shared" ca="1" si="91"/>
        <v>0</v>
      </c>
      <c r="X372">
        <f t="shared" ca="1" si="92"/>
        <v>0</v>
      </c>
      <c r="Y372">
        <f t="shared" ca="1" si="93"/>
        <v>0</v>
      </c>
      <c r="Z372">
        <f t="shared" ca="1" si="94"/>
        <v>0</v>
      </c>
      <c r="AA372">
        <f t="shared" ca="1" si="95"/>
        <v>0</v>
      </c>
      <c r="AB372">
        <f t="shared" ca="1" si="96"/>
        <v>0</v>
      </c>
      <c r="AC372">
        <f t="shared" ca="1" si="97"/>
        <v>0</v>
      </c>
      <c r="AD372">
        <f t="shared" ca="1" si="98"/>
        <v>0</v>
      </c>
      <c r="AE372">
        <f t="shared" ca="1" si="99"/>
        <v>0</v>
      </c>
      <c r="AF372">
        <f t="shared" ca="1" si="100"/>
        <v>0</v>
      </c>
      <c r="AG372">
        <f t="shared" ca="1" si="101"/>
        <v>0</v>
      </c>
      <c r="AH372">
        <f t="shared" ca="1" si="102"/>
        <v>0</v>
      </c>
      <c r="AI372">
        <f t="shared" ca="1" si="103"/>
        <v>0</v>
      </c>
      <c r="AJ372">
        <f t="shared" ca="1" si="104"/>
        <v>0</v>
      </c>
      <c r="AK372">
        <f t="shared" ca="1" si="105"/>
        <v>0</v>
      </c>
      <c r="AL372">
        <f t="shared" ca="1" si="106"/>
        <v>0</v>
      </c>
      <c r="AM372">
        <f t="shared" ca="1" si="107"/>
        <v>0</v>
      </c>
      <c r="AN372">
        <f t="shared" ca="1" si="108"/>
        <v>0</v>
      </c>
      <c r="AO372">
        <f t="shared" ca="1" si="109"/>
        <v>0</v>
      </c>
      <c r="AP372">
        <f t="shared" ca="1" si="110"/>
        <v>0</v>
      </c>
    </row>
    <row r="373" spans="1:42" x14ac:dyDescent="0.2">
      <c r="A373" s="2" t="s">
        <v>513</v>
      </c>
      <c r="B373" s="2" t="str">
        <f>VLOOKUP(A373,'[14]Calculated coal req (reg.)'!$A$2:$B$599,2,FALSE)</f>
        <v>KOTA TPS</v>
      </c>
      <c r="C373" s="2">
        <v>1.0723789174920899</v>
      </c>
      <c r="D373" s="2"/>
      <c r="H373" t="s">
        <v>1197</v>
      </c>
      <c r="I373">
        <f t="shared" ca="1" si="77"/>
        <v>0</v>
      </c>
      <c r="J373">
        <f t="shared" ca="1" si="78"/>
        <v>0</v>
      </c>
      <c r="K373">
        <f t="shared" ca="1" si="79"/>
        <v>0</v>
      </c>
      <c r="L373">
        <f t="shared" ca="1" si="80"/>
        <v>0</v>
      </c>
      <c r="M373">
        <f t="shared" ca="1" si="81"/>
        <v>0</v>
      </c>
      <c r="N373">
        <f t="shared" ca="1" si="82"/>
        <v>0</v>
      </c>
      <c r="O373">
        <f t="shared" ca="1" si="83"/>
        <v>0</v>
      </c>
      <c r="P373">
        <f t="shared" ca="1" si="84"/>
        <v>0</v>
      </c>
      <c r="Q373">
        <f t="shared" ca="1" si="85"/>
        <v>0</v>
      </c>
      <c r="R373">
        <f t="shared" ca="1" si="86"/>
        <v>0</v>
      </c>
      <c r="S373">
        <f t="shared" ca="1" si="87"/>
        <v>0</v>
      </c>
      <c r="T373">
        <f t="shared" ca="1" si="88"/>
        <v>0</v>
      </c>
      <c r="U373">
        <f t="shared" ca="1" si="89"/>
        <v>0</v>
      </c>
      <c r="V373">
        <f t="shared" ca="1" si="90"/>
        <v>0</v>
      </c>
      <c r="W373">
        <f t="shared" ca="1" si="91"/>
        <v>0</v>
      </c>
      <c r="X373">
        <f t="shared" ca="1" si="92"/>
        <v>0</v>
      </c>
      <c r="Y373">
        <f t="shared" ca="1" si="93"/>
        <v>0</v>
      </c>
      <c r="Z373">
        <f t="shared" ca="1" si="94"/>
        <v>0</v>
      </c>
      <c r="AA373">
        <f t="shared" ca="1" si="95"/>
        <v>0</v>
      </c>
      <c r="AB373">
        <f t="shared" ca="1" si="96"/>
        <v>0</v>
      </c>
      <c r="AC373">
        <f t="shared" ca="1" si="97"/>
        <v>0</v>
      </c>
      <c r="AD373">
        <f t="shared" ca="1" si="98"/>
        <v>0</v>
      </c>
      <c r="AE373">
        <f t="shared" ca="1" si="99"/>
        <v>0</v>
      </c>
      <c r="AF373">
        <f t="shared" ca="1" si="100"/>
        <v>0</v>
      </c>
      <c r="AG373">
        <f t="shared" ca="1" si="101"/>
        <v>0</v>
      </c>
      <c r="AH373">
        <f t="shared" ca="1" si="102"/>
        <v>0</v>
      </c>
      <c r="AI373">
        <f t="shared" ca="1" si="103"/>
        <v>0</v>
      </c>
      <c r="AJ373">
        <f t="shared" ca="1" si="104"/>
        <v>0</v>
      </c>
      <c r="AK373">
        <f t="shared" ca="1" si="105"/>
        <v>0</v>
      </c>
      <c r="AL373">
        <f t="shared" ca="1" si="106"/>
        <v>0</v>
      </c>
      <c r="AM373">
        <f t="shared" ca="1" si="107"/>
        <v>0</v>
      </c>
      <c r="AN373">
        <f t="shared" ca="1" si="108"/>
        <v>0</v>
      </c>
      <c r="AO373">
        <f t="shared" ca="1" si="109"/>
        <v>0</v>
      </c>
      <c r="AP373">
        <f t="shared" ca="1" si="110"/>
        <v>0</v>
      </c>
    </row>
    <row r="374" spans="1:42" x14ac:dyDescent="0.2">
      <c r="A374" s="2" t="s">
        <v>510</v>
      </c>
      <c r="B374" s="2" t="str">
        <f>VLOOKUP(A374,'[14]Calculated coal req (reg.)'!$A$2:$B$599,2,FALSE)</f>
        <v>KOTA TPS</v>
      </c>
      <c r="C374" s="2">
        <v>1.5016887366915599</v>
      </c>
      <c r="D374" s="2"/>
      <c r="H374" t="s">
        <v>1153</v>
      </c>
      <c r="I374">
        <f t="shared" ca="1" si="77"/>
        <v>0</v>
      </c>
      <c r="J374">
        <f t="shared" ca="1" si="78"/>
        <v>0</v>
      </c>
      <c r="K374">
        <f t="shared" ca="1" si="79"/>
        <v>0</v>
      </c>
      <c r="L374">
        <f t="shared" ca="1" si="80"/>
        <v>0</v>
      </c>
      <c r="M374">
        <f t="shared" ca="1" si="81"/>
        <v>0</v>
      </c>
      <c r="N374">
        <f t="shared" ca="1" si="82"/>
        <v>0</v>
      </c>
      <c r="O374">
        <f t="shared" ca="1" si="83"/>
        <v>0</v>
      </c>
      <c r="P374">
        <f t="shared" ca="1" si="84"/>
        <v>0</v>
      </c>
      <c r="Q374">
        <f t="shared" ca="1" si="85"/>
        <v>0</v>
      </c>
      <c r="R374">
        <f t="shared" ca="1" si="86"/>
        <v>0</v>
      </c>
      <c r="S374">
        <f t="shared" ca="1" si="87"/>
        <v>0</v>
      </c>
      <c r="T374">
        <f t="shared" ca="1" si="88"/>
        <v>0</v>
      </c>
      <c r="U374">
        <f t="shared" ca="1" si="89"/>
        <v>0</v>
      </c>
      <c r="V374">
        <f t="shared" ca="1" si="90"/>
        <v>0</v>
      </c>
      <c r="W374">
        <f t="shared" ca="1" si="91"/>
        <v>0</v>
      </c>
      <c r="X374">
        <f t="shared" ca="1" si="92"/>
        <v>0</v>
      </c>
      <c r="Y374">
        <f t="shared" ca="1" si="93"/>
        <v>0</v>
      </c>
      <c r="Z374">
        <f t="shared" ca="1" si="94"/>
        <v>0</v>
      </c>
      <c r="AA374">
        <f t="shared" ca="1" si="95"/>
        <v>7.5461424576775498</v>
      </c>
      <c r="AB374">
        <f t="shared" ca="1" si="96"/>
        <v>0</v>
      </c>
      <c r="AC374">
        <f t="shared" ca="1" si="97"/>
        <v>0</v>
      </c>
      <c r="AD374">
        <f t="shared" ca="1" si="98"/>
        <v>0</v>
      </c>
      <c r="AE374">
        <f t="shared" ca="1" si="99"/>
        <v>0</v>
      </c>
      <c r="AF374">
        <f t="shared" ca="1" si="100"/>
        <v>0</v>
      </c>
      <c r="AG374">
        <f t="shared" ca="1" si="101"/>
        <v>0</v>
      </c>
      <c r="AH374">
        <f t="shared" ca="1" si="102"/>
        <v>0</v>
      </c>
      <c r="AI374">
        <f t="shared" ca="1" si="103"/>
        <v>0</v>
      </c>
      <c r="AJ374">
        <f t="shared" ca="1" si="104"/>
        <v>0</v>
      </c>
      <c r="AK374">
        <f t="shared" ca="1" si="105"/>
        <v>0</v>
      </c>
      <c r="AL374">
        <f t="shared" ca="1" si="106"/>
        <v>0</v>
      </c>
      <c r="AM374">
        <f t="shared" ca="1" si="107"/>
        <v>0</v>
      </c>
      <c r="AN374">
        <f t="shared" ca="1" si="108"/>
        <v>0</v>
      </c>
      <c r="AO374">
        <f t="shared" ca="1" si="109"/>
        <v>0</v>
      </c>
      <c r="AP374">
        <f t="shared" ca="1" si="110"/>
        <v>0</v>
      </c>
    </row>
    <row r="375" spans="1:42" x14ac:dyDescent="0.2">
      <c r="A375" s="2" t="s">
        <v>443</v>
      </c>
      <c r="B375" s="2" t="str">
        <f>VLOOKUP(A375,'[14]Calculated coal req (reg.)'!$A$2:$B$599,2,FALSE)</f>
        <v>KOTA TPS</v>
      </c>
      <c r="C375" s="2">
        <v>3.4471937722234398</v>
      </c>
      <c r="D375" s="2"/>
      <c r="H375" t="s">
        <v>1154</v>
      </c>
      <c r="I375">
        <f t="shared" ca="1" si="77"/>
        <v>0</v>
      </c>
      <c r="J375">
        <f t="shared" ca="1" si="78"/>
        <v>0</v>
      </c>
      <c r="K375">
        <f t="shared" ca="1" si="79"/>
        <v>0</v>
      </c>
      <c r="L375">
        <f t="shared" ca="1" si="80"/>
        <v>0</v>
      </c>
      <c r="M375">
        <f t="shared" ca="1" si="81"/>
        <v>0</v>
      </c>
      <c r="N375">
        <f t="shared" ca="1" si="82"/>
        <v>0</v>
      </c>
      <c r="O375">
        <f t="shared" ca="1" si="83"/>
        <v>0</v>
      </c>
      <c r="P375">
        <f t="shared" ca="1" si="84"/>
        <v>0</v>
      </c>
      <c r="Q375">
        <f t="shared" ca="1" si="85"/>
        <v>0</v>
      </c>
      <c r="R375">
        <f t="shared" ca="1" si="86"/>
        <v>0</v>
      </c>
      <c r="S375">
        <f t="shared" ca="1" si="87"/>
        <v>0</v>
      </c>
      <c r="T375">
        <f t="shared" ca="1" si="88"/>
        <v>0</v>
      </c>
      <c r="U375">
        <f t="shared" ca="1" si="89"/>
        <v>0</v>
      </c>
      <c r="V375">
        <f t="shared" ca="1" si="90"/>
        <v>0</v>
      </c>
      <c r="W375">
        <f t="shared" ca="1" si="91"/>
        <v>0</v>
      </c>
      <c r="X375">
        <f t="shared" ca="1" si="92"/>
        <v>0</v>
      </c>
      <c r="Y375">
        <f t="shared" ca="1" si="93"/>
        <v>0</v>
      </c>
      <c r="Z375">
        <f t="shared" ca="1" si="94"/>
        <v>0</v>
      </c>
      <c r="AA375">
        <f t="shared" ca="1" si="95"/>
        <v>0</v>
      </c>
      <c r="AB375">
        <f t="shared" ca="1" si="96"/>
        <v>0</v>
      </c>
      <c r="AC375">
        <f t="shared" ca="1" si="97"/>
        <v>0</v>
      </c>
      <c r="AD375">
        <f t="shared" ca="1" si="98"/>
        <v>0</v>
      </c>
      <c r="AE375">
        <f t="shared" ca="1" si="99"/>
        <v>0</v>
      </c>
      <c r="AF375">
        <f t="shared" ca="1" si="100"/>
        <v>0</v>
      </c>
      <c r="AG375">
        <f t="shared" ca="1" si="101"/>
        <v>0</v>
      </c>
      <c r="AH375">
        <f t="shared" ca="1" si="102"/>
        <v>0</v>
      </c>
      <c r="AI375">
        <f t="shared" ca="1" si="103"/>
        <v>0</v>
      </c>
      <c r="AJ375">
        <f t="shared" ca="1" si="104"/>
        <v>0</v>
      </c>
      <c r="AK375">
        <f t="shared" ca="1" si="105"/>
        <v>0</v>
      </c>
      <c r="AL375">
        <f t="shared" ca="1" si="106"/>
        <v>0</v>
      </c>
      <c r="AM375">
        <f t="shared" ca="1" si="107"/>
        <v>0</v>
      </c>
      <c r="AN375">
        <f t="shared" ca="1" si="108"/>
        <v>0.56961224094359797</v>
      </c>
      <c r="AO375">
        <f t="shared" ca="1" si="109"/>
        <v>0</v>
      </c>
      <c r="AP375">
        <f t="shared" ca="1" si="110"/>
        <v>0</v>
      </c>
    </row>
    <row r="376" spans="1:42" x14ac:dyDescent="0.2">
      <c r="A376" s="2" t="s">
        <v>435</v>
      </c>
      <c r="B376" s="2" t="str">
        <f>VLOOKUP(A376,'[14]Calculated coal req (reg.)'!$A$2:$B$599,2,FALSE)</f>
        <v>KOTA TPS</v>
      </c>
      <c r="C376" s="2">
        <v>3.4831962014458799</v>
      </c>
      <c r="D376" s="2"/>
      <c r="H376" t="s">
        <v>1155</v>
      </c>
      <c r="I376">
        <f t="shared" ca="1" si="77"/>
        <v>0</v>
      </c>
      <c r="J376">
        <f t="shared" ca="1" si="78"/>
        <v>0</v>
      </c>
      <c r="K376">
        <f t="shared" ca="1" si="79"/>
        <v>0</v>
      </c>
      <c r="L376">
        <f t="shared" ca="1" si="80"/>
        <v>0</v>
      </c>
      <c r="M376">
        <f t="shared" ca="1" si="81"/>
        <v>0</v>
      </c>
      <c r="N376">
        <f t="shared" ca="1" si="82"/>
        <v>0</v>
      </c>
      <c r="O376">
        <f t="shared" ca="1" si="83"/>
        <v>0</v>
      </c>
      <c r="P376">
        <f t="shared" ca="1" si="84"/>
        <v>0</v>
      </c>
      <c r="Q376">
        <f t="shared" ca="1" si="85"/>
        <v>0</v>
      </c>
      <c r="R376">
        <f t="shared" ca="1" si="86"/>
        <v>0</v>
      </c>
      <c r="S376">
        <f t="shared" ca="1" si="87"/>
        <v>0</v>
      </c>
      <c r="T376">
        <f t="shared" ca="1" si="88"/>
        <v>0</v>
      </c>
      <c r="U376">
        <f t="shared" ca="1" si="89"/>
        <v>0</v>
      </c>
      <c r="V376">
        <f t="shared" ca="1" si="90"/>
        <v>0</v>
      </c>
      <c r="W376">
        <f t="shared" ca="1" si="91"/>
        <v>0</v>
      </c>
      <c r="X376">
        <f t="shared" ca="1" si="92"/>
        <v>0</v>
      </c>
      <c r="Y376">
        <f t="shared" ca="1" si="93"/>
        <v>0</v>
      </c>
      <c r="Z376">
        <f t="shared" ca="1" si="94"/>
        <v>0</v>
      </c>
      <c r="AA376">
        <f t="shared" ca="1" si="95"/>
        <v>0</v>
      </c>
      <c r="AB376">
        <f t="shared" ca="1" si="96"/>
        <v>0</v>
      </c>
      <c r="AC376">
        <f t="shared" ca="1" si="97"/>
        <v>0</v>
      </c>
      <c r="AD376">
        <f t="shared" ca="1" si="98"/>
        <v>0</v>
      </c>
      <c r="AE376">
        <f t="shared" ca="1" si="99"/>
        <v>0</v>
      </c>
      <c r="AF376">
        <f t="shared" ca="1" si="100"/>
        <v>0</v>
      </c>
      <c r="AG376">
        <f t="shared" ca="1" si="101"/>
        <v>0</v>
      </c>
      <c r="AH376">
        <f t="shared" ca="1" si="102"/>
        <v>0</v>
      </c>
      <c r="AI376">
        <f t="shared" ca="1" si="103"/>
        <v>0</v>
      </c>
      <c r="AJ376">
        <f t="shared" ca="1" si="104"/>
        <v>0</v>
      </c>
      <c r="AK376">
        <f t="shared" ca="1" si="105"/>
        <v>0</v>
      </c>
      <c r="AL376">
        <f t="shared" ca="1" si="106"/>
        <v>0</v>
      </c>
      <c r="AM376">
        <f t="shared" ca="1" si="107"/>
        <v>0</v>
      </c>
      <c r="AN376">
        <f t="shared" ca="1" si="108"/>
        <v>6.3381381252537992</v>
      </c>
      <c r="AO376">
        <f t="shared" ca="1" si="109"/>
        <v>0</v>
      </c>
      <c r="AP376">
        <f t="shared" ca="1" si="110"/>
        <v>0</v>
      </c>
    </row>
    <row r="377" spans="1:42" x14ac:dyDescent="0.2">
      <c r="A377" s="2" t="s">
        <v>406</v>
      </c>
      <c r="B377" s="2" t="str">
        <f>VLOOKUP(A377,'[14]Calculated coal req (reg.)'!$A$2:$B$599,2,FALSE)</f>
        <v>KOTA TPS</v>
      </c>
      <c r="C377" s="2">
        <v>3.5915788387506802</v>
      </c>
      <c r="D377" s="2"/>
      <c r="H377" t="s">
        <v>1103</v>
      </c>
      <c r="I377">
        <f t="shared" ca="1" si="77"/>
        <v>0</v>
      </c>
      <c r="J377">
        <f t="shared" ca="1" si="78"/>
        <v>0</v>
      </c>
      <c r="K377">
        <f t="shared" ca="1" si="79"/>
        <v>0</v>
      </c>
      <c r="L377">
        <f t="shared" ca="1" si="80"/>
        <v>0</v>
      </c>
      <c r="M377">
        <f t="shared" ca="1" si="81"/>
        <v>0</v>
      </c>
      <c r="N377">
        <f t="shared" ca="1" si="82"/>
        <v>0</v>
      </c>
      <c r="O377">
        <f t="shared" ca="1" si="83"/>
        <v>0</v>
      </c>
      <c r="P377">
        <f t="shared" ca="1" si="84"/>
        <v>0</v>
      </c>
      <c r="Q377">
        <f t="shared" ca="1" si="85"/>
        <v>0</v>
      </c>
      <c r="R377">
        <f t="shared" ca="1" si="86"/>
        <v>0</v>
      </c>
      <c r="S377">
        <f t="shared" ca="1" si="87"/>
        <v>0</v>
      </c>
      <c r="T377">
        <f t="shared" ca="1" si="88"/>
        <v>0</v>
      </c>
      <c r="U377">
        <f t="shared" ca="1" si="89"/>
        <v>0</v>
      </c>
      <c r="V377">
        <f t="shared" ca="1" si="90"/>
        <v>0</v>
      </c>
      <c r="W377">
        <f t="shared" ca="1" si="91"/>
        <v>0</v>
      </c>
      <c r="X377">
        <f t="shared" ca="1" si="92"/>
        <v>0</v>
      </c>
      <c r="Y377">
        <f t="shared" ca="1" si="93"/>
        <v>0</v>
      </c>
      <c r="Z377">
        <f t="shared" ca="1" si="94"/>
        <v>0</v>
      </c>
      <c r="AA377">
        <f t="shared" ca="1" si="95"/>
        <v>0</v>
      </c>
      <c r="AB377">
        <f t="shared" ca="1" si="96"/>
        <v>0</v>
      </c>
      <c r="AC377">
        <f t="shared" ca="1" si="97"/>
        <v>0</v>
      </c>
      <c r="AD377">
        <f t="shared" ca="1" si="98"/>
        <v>0</v>
      </c>
      <c r="AE377">
        <f t="shared" ca="1" si="99"/>
        <v>0</v>
      </c>
      <c r="AF377">
        <f t="shared" ca="1" si="100"/>
        <v>0</v>
      </c>
      <c r="AG377">
        <f t="shared" ca="1" si="101"/>
        <v>0</v>
      </c>
      <c r="AH377">
        <f t="shared" ca="1" si="102"/>
        <v>0</v>
      </c>
      <c r="AI377">
        <f t="shared" ca="1" si="103"/>
        <v>0</v>
      </c>
      <c r="AJ377">
        <f t="shared" ca="1" si="104"/>
        <v>0</v>
      </c>
      <c r="AK377">
        <f t="shared" ca="1" si="105"/>
        <v>0</v>
      </c>
      <c r="AL377">
        <f t="shared" ca="1" si="106"/>
        <v>0</v>
      </c>
      <c r="AM377">
        <f t="shared" ca="1" si="107"/>
        <v>0</v>
      </c>
      <c r="AN377">
        <f t="shared" ca="1" si="108"/>
        <v>6.6180675540724199</v>
      </c>
      <c r="AO377">
        <f t="shared" ca="1" si="109"/>
        <v>0</v>
      </c>
      <c r="AP377">
        <f t="shared" ca="1" si="110"/>
        <v>0</v>
      </c>
    </row>
    <row r="378" spans="1:42" x14ac:dyDescent="0.2">
      <c r="A378" s="2" t="s">
        <v>351</v>
      </c>
      <c r="B378" s="2" t="str">
        <f>VLOOKUP(A378,'[14]Calculated coal req (reg.)'!$A$2:$B$599,2,FALSE)</f>
        <v>KOTA TPS</v>
      </c>
      <c r="C378" s="2">
        <v>3.8860217673958699</v>
      </c>
      <c r="D378" s="2"/>
      <c r="H378" t="s">
        <v>1156</v>
      </c>
      <c r="I378">
        <f t="shared" ca="1" si="77"/>
        <v>0</v>
      </c>
      <c r="J378">
        <f t="shared" ca="1" si="78"/>
        <v>0</v>
      </c>
      <c r="K378">
        <f t="shared" ca="1" si="79"/>
        <v>0</v>
      </c>
      <c r="L378">
        <f t="shared" ca="1" si="80"/>
        <v>0</v>
      </c>
      <c r="M378">
        <f t="shared" ca="1" si="81"/>
        <v>0</v>
      </c>
      <c r="N378">
        <f t="shared" ca="1" si="82"/>
        <v>0</v>
      </c>
      <c r="O378">
        <f t="shared" ca="1" si="83"/>
        <v>0</v>
      </c>
      <c r="P378">
        <f t="shared" ca="1" si="84"/>
        <v>0</v>
      </c>
      <c r="Q378">
        <f t="shared" ca="1" si="85"/>
        <v>0</v>
      </c>
      <c r="R378">
        <f t="shared" ca="1" si="86"/>
        <v>0</v>
      </c>
      <c r="S378">
        <f t="shared" ca="1" si="87"/>
        <v>0</v>
      </c>
      <c r="T378">
        <f t="shared" ca="1" si="88"/>
        <v>0</v>
      </c>
      <c r="U378">
        <f t="shared" ca="1" si="89"/>
        <v>0</v>
      </c>
      <c r="V378">
        <f t="shared" ca="1" si="90"/>
        <v>0</v>
      </c>
      <c r="W378">
        <f t="shared" ca="1" si="91"/>
        <v>0</v>
      </c>
      <c r="X378">
        <f t="shared" ca="1" si="92"/>
        <v>0</v>
      </c>
      <c r="Y378">
        <f t="shared" ca="1" si="93"/>
        <v>0</v>
      </c>
      <c r="Z378">
        <f t="shared" ca="1" si="94"/>
        <v>0</v>
      </c>
      <c r="AA378">
        <f t="shared" ca="1" si="95"/>
        <v>4.5394351940797701</v>
      </c>
      <c r="AB378">
        <f t="shared" ca="1" si="96"/>
        <v>0</v>
      </c>
      <c r="AC378">
        <f t="shared" ca="1" si="97"/>
        <v>0</v>
      </c>
      <c r="AD378">
        <f t="shared" ca="1" si="98"/>
        <v>0</v>
      </c>
      <c r="AE378">
        <f t="shared" ca="1" si="99"/>
        <v>0</v>
      </c>
      <c r="AF378">
        <f t="shared" ca="1" si="100"/>
        <v>0</v>
      </c>
      <c r="AG378">
        <f t="shared" ca="1" si="101"/>
        <v>0</v>
      </c>
      <c r="AH378">
        <f t="shared" ca="1" si="102"/>
        <v>0</v>
      </c>
      <c r="AI378">
        <f t="shared" ca="1" si="103"/>
        <v>0</v>
      </c>
      <c r="AJ378">
        <f t="shared" ca="1" si="104"/>
        <v>0</v>
      </c>
      <c r="AK378">
        <f t="shared" ca="1" si="105"/>
        <v>0</v>
      </c>
      <c r="AL378">
        <f t="shared" ca="1" si="106"/>
        <v>0</v>
      </c>
      <c r="AM378">
        <f t="shared" ca="1" si="107"/>
        <v>0</v>
      </c>
      <c r="AN378">
        <f t="shared" ca="1" si="108"/>
        <v>0</v>
      </c>
      <c r="AO378">
        <f t="shared" ca="1" si="109"/>
        <v>0</v>
      </c>
      <c r="AP378">
        <f t="shared" ca="1" si="110"/>
        <v>0</v>
      </c>
    </row>
    <row r="379" spans="1:42" x14ac:dyDescent="0.2">
      <c r="A379" s="2" t="s">
        <v>305</v>
      </c>
      <c r="B379" s="2" t="str">
        <f>VLOOKUP(A379,'[14]Calculated coal req (reg.)'!$A$2:$B$599,2,FALSE)</f>
        <v>KOTA TPS</v>
      </c>
      <c r="C379" s="2">
        <v>4.0497795266630101</v>
      </c>
      <c r="D379" s="2"/>
      <c r="H379" t="s">
        <v>1096</v>
      </c>
      <c r="I379">
        <f t="shared" ca="1" si="77"/>
        <v>0</v>
      </c>
      <c r="J379">
        <f t="shared" ca="1" si="78"/>
        <v>0</v>
      </c>
      <c r="K379">
        <f t="shared" ca="1" si="79"/>
        <v>0</v>
      </c>
      <c r="L379">
        <f t="shared" ca="1" si="80"/>
        <v>0</v>
      </c>
      <c r="M379">
        <f t="shared" ca="1" si="81"/>
        <v>0</v>
      </c>
      <c r="N379">
        <f t="shared" ca="1" si="82"/>
        <v>0</v>
      </c>
      <c r="O379">
        <f t="shared" ca="1" si="83"/>
        <v>0</v>
      </c>
      <c r="P379">
        <f t="shared" ca="1" si="84"/>
        <v>0</v>
      </c>
      <c r="Q379">
        <f t="shared" ca="1" si="85"/>
        <v>0</v>
      </c>
      <c r="R379">
        <f t="shared" ca="1" si="86"/>
        <v>0</v>
      </c>
      <c r="S379">
        <f t="shared" ca="1" si="87"/>
        <v>0</v>
      </c>
      <c r="T379">
        <f t="shared" ca="1" si="88"/>
        <v>0</v>
      </c>
      <c r="U379">
        <f t="shared" ca="1" si="89"/>
        <v>0</v>
      </c>
      <c r="V379">
        <f t="shared" ca="1" si="90"/>
        <v>0</v>
      </c>
      <c r="W379">
        <f t="shared" ca="1" si="91"/>
        <v>0</v>
      </c>
      <c r="X379">
        <f t="shared" ca="1" si="92"/>
        <v>0</v>
      </c>
      <c r="Y379">
        <f t="shared" ca="1" si="93"/>
        <v>0</v>
      </c>
      <c r="Z379">
        <f t="shared" ca="1" si="94"/>
        <v>0</v>
      </c>
      <c r="AA379">
        <f t="shared" ca="1" si="95"/>
        <v>3.0476580397972999</v>
      </c>
      <c r="AB379">
        <f t="shared" ca="1" si="96"/>
        <v>0</v>
      </c>
      <c r="AC379">
        <f t="shared" ca="1" si="97"/>
        <v>0</v>
      </c>
      <c r="AD379">
        <f t="shared" ca="1" si="98"/>
        <v>0</v>
      </c>
      <c r="AE379">
        <f t="shared" ca="1" si="99"/>
        <v>0</v>
      </c>
      <c r="AF379">
        <f t="shared" ca="1" si="100"/>
        <v>0</v>
      </c>
      <c r="AG379">
        <f t="shared" ca="1" si="101"/>
        <v>0</v>
      </c>
      <c r="AH379">
        <f t="shared" ca="1" si="102"/>
        <v>0</v>
      </c>
      <c r="AI379">
        <f t="shared" ca="1" si="103"/>
        <v>0</v>
      </c>
      <c r="AJ379">
        <f t="shared" ca="1" si="104"/>
        <v>0</v>
      </c>
      <c r="AK379">
        <f t="shared" ca="1" si="105"/>
        <v>0</v>
      </c>
      <c r="AL379">
        <f t="shared" ca="1" si="106"/>
        <v>0</v>
      </c>
      <c r="AM379">
        <f t="shared" ca="1" si="107"/>
        <v>0</v>
      </c>
      <c r="AN379">
        <f t="shared" ca="1" si="108"/>
        <v>0</v>
      </c>
      <c r="AO379">
        <f t="shared" ca="1" si="109"/>
        <v>0</v>
      </c>
      <c r="AP379">
        <f t="shared" ca="1" si="110"/>
        <v>0</v>
      </c>
    </row>
    <row r="380" spans="1:42" x14ac:dyDescent="0.2">
      <c r="A380" s="2" t="s">
        <v>369</v>
      </c>
      <c r="B380" s="2" t="str">
        <f>VLOOKUP(A380,'[14]Calculated coal req (reg.)'!$A$2:$B$599,2,FALSE)</f>
        <v>KOTHAGUDEM NEW TPS UNIT 9-10</v>
      </c>
      <c r="C380" s="2">
        <v>5.1329029609619097</v>
      </c>
      <c r="D380" s="2"/>
      <c r="H380" t="s">
        <v>1095</v>
      </c>
      <c r="I380">
        <f t="shared" ca="1" si="77"/>
        <v>0</v>
      </c>
      <c r="J380">
        <f t="shared" ca="1" si="78"/>
        <v>0</v>
      </c>
      <c r="K380">
        <f t="shared" ca="1" si="79"/>
        <v>0</v>
      </c>
      <c r="L380">
        <f t="shared" ca="1" si="80"/>
        <v>0</v>
      </c>
      <c r="M380">
        <f t="shared" ca="1" si="81"/>
        <v>0</v>
      </c>
      <c r="N380">
        <f t="shared" ca="1" si="82"/>
        <v>0</v>
      </c>
      <c r="O380">
        <f t="shared" ca="1" si="83"/>
        <v>0</v>
      </c>
      <c r="P380">
        <f t="shared" ca="1" si="84"/>
        <v>0</v>
      </c>
      <c r="Q380">
        <f t="shared" ca="1" si="85"/>
        <v>0</v>
      </c>
      <c r="R380">
        <f t="shared" ca="1" si="86"/>
        <v>0</v>
      </c>
      <c r="S380">
        <f t="shared" ca="1" si="87"/>
        <v>0</v>
      </c>
      <c r="T380">
        <f t="shared" ca="1" si="88"/>
        <v>4.9022388352552433</v>
      </c>
      <c r="U380">
        <f t="shared" ca="1" si="89"/>
        <v>0</v>
      </c>
      <c r="V380">
        <f t="shared" ca="1" si="90"/>
        <v>0</v>
      </c>
      <c r="W380">
        <f t="shared" ca="1" si="91"/>
        <v>0</v>
      </c>
      <c r="X380">
        <f t="shared" ca="1" si="92"/>
        <v>0</v>
      </c>
      <c r="Y380">
        <f t="shared" ca="1" si="93"/>
        <v>0</v>
      </c>
      <c r="Z380">
        <f t="shared" ca="1" si="94"/>
        <v>5.729924798070047</v>
      </c>
      <c r="AA380">
        <f t="shared" ca="1" si="95"/>
        <v>0</v>
      </c>
      <c r="AB380">
        <f t="shared" ca="1" si="96"/>
        <v>0</v>
      </c>
      <c r="AC380">
        <f t="shared" ca="1" si="97"/>
        <v>0</v>
      </c>
      <c r="AD380">
        <f t="shared" ca="1" si="98"/>
        <v>0</v>
      </c>
      <c r="AE380">
        <f t="shared" ca="1" si="99"/>
        <v>0</v>
      </c>
      <c r="AF380">
        <f t="shared" ca="1" si="100"/>
        <v>0</v>
      </c>
      <c r="AG380">
        <f t="shared" ca="1" si="101"/>
        <v>0</v>
      </c>
      <c r="AH380">
        <f t="shared" ca="1" si="102"/>
        <v>0</v>
      </c>
      <c r="AI380">
        <f t="shared" ca="1" si="103"/>
        <v>0</v>
      </c>
      <c r="AJ380">
        <f t="shared" ca="1" si="104"/>
        <v>0</v>
      </c>
      <c r="AK380">
        <f t="shared" ca="1" si="105"/>
        <v>0</v>
      </c>
      <c r="AL380">
        <f t="shared" ca="1" si="106"/>
        <v>0</v>
      </c>
      <c r="AM380">
        <f t="shared" ca="1" si="107"/>
        <v>0</v>
      </c>
      <c r="AN380">
        <f t="shared" ca="1" si="108"/>
        <v>0</v>
      </c>
      <c r="AO380">
        <f t="shared" ca="1" si="109"/>
        <v>0</v>
      </c>
      <c r="AP380">
        <f t="shared" ca="1" si="110"/>
        <v>0</v>
      </c>
    </row>
    <row r="381" spans="1:42" x14ac:dyDescent="0.2">
      <c r="A381" s="2" t="s">
        <v>379</v>
      </c>
      <c r="B381" s="2" t="str">
        <f>VLOOKUP(A381,'[14]Calculated coal req (reg.)'!$A$2:$B$599,2,FALSE)</f>
        <v>KOTHAGUDEM NEW TPS UNIT 9-10</v>
      </c>
      <c r="C381" s="2">
        <v>5.1830055935166</v>
      </c>
      <c r="D381" s="2"/>
      <c r="H381" t="s">
        <v>1013</v>
      </c>
      <c r="I381">
        <f t="shared" ca="1" si="77"/>
        <v>0</v>
      </c>
      <c r="J381">
        <f t="shared" ca="1" si="78"/>
        <v>0</v>
      </c>
      <c r="K381">
        <f t="shared" ca="1" si="79"/>
        <v>0</v>
      </c>
      <c r="L381">
        <f t="shared" ca="1" si="80"/>
        <v>0</v>
      </c>
      <c r="M381">
        <f t="shared" ca="1" si="81"/>
        <v>0</v>
      </c>
      <c r="N381">
        <f t="shared" ca="1" si="82"/>
        <v>0</v>
      </c>
      <c r="O381">
        <f t="shared" ca="1" si="83"/>
        <v>0</v>
      </c>
      <c r="P381">
        <f t="shared" ca="1" si="84"/>
        <v>0</v>
      </c>
      <c r="Q381">
        <f t="shared" ca="1" si="85"/>
        <v>0</v>
      </c>
      <c r="R381">
        <f t="shared" ca="1" si="86"/>
        <v>0</v>
      </c>
      <c r="S381">
        <f t="shared" ca="1" si="87"/>
        <v>0</v>
      </c>
      <c r="T381">
        <f t="shared" ca="1" si="88"/>
        <v>1.8897852581500239</v>
      </c>
      <c r="U381">
        <f t="shared" ca="1" si="89"/>
        <v>0</v>
      </c>
      <c r="V381">
        <f t="shared" ca="1" si="90"/>
        <v>0</v>
      </c>
      <c r="W381">
        <f t="shared" ca="1" si="91"/>
        <v>0</v>
      </c>
      <c r="X381">
        <f t="shared" ca="1" si="92"/>
        <v>0</v>
      </c>
      <c r="Y381">
        <f t="shared" ca="1" si="93"/>
        <v>1.3202558324095168</v>
      </c>
      <c r="Z381">
        <f t="shared" ca="1" si="94"/>
        <v>0</v>
      </c>
      <c r="AA381">
        <f t="shared" ca="1" si="95"/>
        <v>0</v>
      </c>
      <c r="AB381">
        <f t="shared" ca="1" si="96"/>
        <v>0</v>
      </c>
      <c r="AC381">
        <f t="shared" ca="1" si="97"/>
        <v>0</v>
      </c>
      <c r="AD381">
        <f t="shared" ca="1" si="98"/>
        <v>0</v>
      </c>
      <c r="AE381">
        <f t="shared" ca="1" si="99"/>
        <v>0</v>
      </c>
      <c r="AF381">
        <f t="shared" ca="1" si="100"/>
        <v>0</v>
      </c>
      <c r="AG381">
        <f t="shared" ca="1" si="101"/>
        <v>0</v>
      </c>
      <c r="AH381">
        <f t="shared" ca="1" si="102"/>
        <v>6.9739942555410108</v>
      </c>
      <c r="AI381">
        <f t="shared" ca="1" si="103"/>
        <v>0</v>
      </c>
      <c r="AJ381">
        <f t="shared" ca="1" si="104"/>
        <v>0</v>
      </c>
      <c r="AK381">
        <f t="shared" ca="1" si="105"/>
        <v>0</v>
      </c>
      <c r="AL381">
        <f t="shared" ca="1" si="106"/>
        <v>0</v>
      </c>
      <c r="AM381">
        <f t="shared" ca="1" si="107"/>
        <v>0</v>
      </c>
      <c r="AN381">
        <f t="shared" ca="1" si="108"/>
        <v>0</v>
      </c>
      <c r="AO381">
        <f t="shared" ca="1" si="109"/>
        <v>0</v>
      </c>
      <c r="AP381">
        <f t="shared" ca="1" si="110"/>
        <v>0</v>
      </c>
    </row>
    <row r="382" spans="1:42" x14ac:dyDescent="0.2">
      <c r="A382" s="2" t="s">
        <v>538</v>
      </c>
      <c r="B382" s="2" t="str">
        <f>VLOOKUP(A382,'[14]Calculated coal req (reg.)'!$A$2:$B$599,2,FALSE)</f>
        <v>KOTHAGUDEM TPS</v>
      </c>
      <c r="C382" s="2">
        <v>1.0014563820470701</v>
      </c>
      <c r="D382" s="2"/>
      <c r="H382" t="s">
        <v>1157</v>
      </c>
      <c r="I382">
        <f t="shared" ca="1" si="77"/>
        <v>0</v>
      </c>
      <c r="J382">
        <f t="shared" ca="1" si="78"/>
        <v>0</v>
      </c>
      <c r="K382">
        <f t="shared" ca="1" si="79"/>
        <v>0</v>
      </c>
      <c r="L382">
        <f t="shared" ca="1" si="80"/>
        <v>0</v>
      </c>
      <c r="M382">
        <f t="shared" ca="1" si="81"/>
        <v>0</v>
      </c>
      <c r="N382">
        <f t="shared" ca="1" si="82"/>
        <v>0</v>
      </c>
      <c r="O382">
        <f t="shared" ca="1" si="83"/>
        <v>0</v>
      </c>
      <c r="P382">
        <f t="shared" ca="1" si="84"/>
        <v>0</v>
      </c>
      <c r="Q382">
        <f t="shared" ca="1" si="85"/>
        <v>0</v>
      </c>
      <c r="R382">
        <f t="shared" ca="1" si="86"/>
        <v>0</v>
      </c>
      <c r="S382">
        <f t="shared" ca="1" si="87"/>
        <v>0</v>
      </c>
      <c r="T382">
        <f t="shared" ca="1" si="88"/>
        <v>0</v>
      </c>
      <c r="U382">
        <f t="shared" ca="1" si="89"/>
        <v>0</v>
      </c>
      <c r="V382">
        <f t="shared" ca="1" si="90"/>
        <v>0</v>
      </c>
      <c r="W382">
        <f t="shared" ca="1" si="91"/>
        <v>0</v>
      </c>
      <c r="X382">
        <f t="shared" ca="1" si="92"/>
        <v>20.555375780388601</v>
      </c>
      <c r="Y382">
        <f t="shared" ca="1" si="93"/>
        <v>0</v>
      </c>
      <c r="Z382">
        <f t="shared" ca="1" si="94"/>
        <v>0</v>
      </c>
      <c r="AA382">
        <f t="shared" ca="1" si="95"/>
        <v>0</v>
      </c>
      <c r="AB382">
        <f t="shared" ca="1" si="96"/>
        <v>0</v>
      </c>
      <c r="AC382">
        <f t="shared" ca="1" si="97"/>
        <v>0</v>
      </c>
      <c r="AD382">
        <f t="shared" ca="1" si="98"/>
        <v>0</v>
      </c>
      <c r="AE382">
        <f t="shared" ca="1" si="99"/>
        <v>0</v>
      </c>
      <c r="AF382">
        <f t="shared" ca="1" si="100"/>
        <v>0</v>
      </c>
      <c r="AG382">
        <f t="shared" ca="1" si="101"/>
        <v>0</v>
      </c>
      <c r="AH382">
        <f t="shared" ca="1" si="102"/>
        <v>0</v>
      </c>
      <c r="AI382">
        <f t="shared" ca="1" si="103"/>
        <v>0</v>
      </c>
      <c r="AJ382">
        <f t="shared" ca="1" si="104"/>
        <v>0</v>
      </c>
      <c r="AK382">
        <f t="shared" ca="1" si="105"/>
        <v>0</v>
      </c>
      <c r="AL382">
        <f t="shared" ca="1" si="106"/>
        <v>0</v>
      </c>
      <c r="AM382">
        <f t="shared" ca="1" si="107"/>
        <v>0</v>
      </c>
      <c r="AN382">
        <f t="shared" ca="1" si="108"/>
        <v>0</v>
      </c>
      <c r="AO382">
        <f t="shared" ca="1" si="109"/>
        <v>0</v>
      </c>
      <c r="AP382">
        <f t="shared" ca="1" si="110"/>
        <v>0</v>
      </c>
    </row>
    <row r="383" spans="1:42" x14ac:dyDescent="0.2">
      <c r="A383" s="2" t="s">
        <v>536</v>
      </c>
      <c r="B383" s="2" t="str">
        <f>VLOOKUP(A383,'[14]Calculated coal req (reg.)'!$A$2:$B$599,2,FALSE)</f>
        <v>KOTHAGUDEM TPS</v>
      </c>
      <c r="C383" s="2">
        <v>1.0524373999329</v>
      </c>
      <c r="D383" s="2"/>
      <c r="H383" t="s">
        <v>1107</v>
      </c>
      <c r="I383">
        <f t="shared" ca="1" si="77"/>
        <v>0</v>
      </c>
      <c r="J383">
        <f t="shared" ca="1" si="78"/>
        <v>0</v>
      </c>
      <c r="K383">
        <f t="shared" ca="1" si="79"/>
        <v>0</v>
      </c>
      <c r="L383">
        <f t="shared" ca="1" si="80"/>
        <v>0</v>
      </c>
      <c r="M383">
        <f t="shared" ca="1" si="81"/>
        <v>0</v>
      </c>
      <c r="N383">
        <f t="shared" ca="1" si="82"/>
        <v>0</v>
      </c>
      <c r="O383">
        <f t="shared" ca="1" si="83"/>
        <v>0</v>
      </c>
      <c r="P383">
        <f t="shared" ca="1" si="84"/>
        <v>0</v>
      </c>
      <c r="Q383">
        <f t="shared" ca="1" si="85"/>
        <v>0</v>
      </c>
      <c r="R383">
        <f t="shared" ca="1" si="86"/>
        <v>0</v>
      </c>
      <c r="S383">
        <f t="shared" ca="1" si="87"/>
        <v>0</v>
      </c>
      <c r="T383">
        <f t="shared" ca="1" si="88"/>
        <v>0</v>
      </c>
      <c r="U383">
        <f t="shared" ca="1" si="89"/>
        <v>0</v>
      </c>
      <c r="V383">
        <f t="shared" ca="1" si="90"/>
        <v>0</v>
      </c>
      <c r="W383">
        <f t="shared" ca="1" si="91"/>
        <v>0</v>
      </c>
      <c r="X383">
        <f t="shared" ca="1" si="92"/>
        <v>4.2281974909824704</v>
      </c>
      <c r="Y383">
        <f t="shared" ca="1" si="93"/>
        <v>0</v>
      </c>
      <c r="Z383">
        <f t="shared" ca="1" si="94"/>
        <v>0</v>
      </c>
      <c r="AA383">
        <f t="shared" ca="1" si="95"/>
        <v>0</v>
      </c>
      <c r="AB383">
        <f t="shared" ca="1" si="96"/>
        <v>0</v>
      </c>
      <c r="AC383">
        <f t="shared" ca="1" si="97"/>
        <v>0</v>
      </c>
      <c r="AD383">
        <f t="shared" ca="1" si="98"/>
        <v>0</v>
      </c>
      <c r="AE383">
        <f t="shared" ca="1" si="99"/>
        <v>0</v>
      </c>
      <c r="AF383">
        <f t="shared" ca="1" si="100"/>
        <v>0</v>
      </c>
      <c r="AG383">
        <f t="shared" ca="1" si="101"/>
        <v>0</v>
      </c>
      <c r="AH383">
        <f t="shared" ca="1" si="102"/>
        <v>0</v>
      </c>
      <c r="AI383">
        <f t="shared" ca="1" si="103"/>
        <v>0</v>
      </c>
      <c r="AJ383">
        <f t="shared" ca="1" si="104"/>
        <v>0</v>
      </c>
      <c r="AK383">
        <f t="shared" ca="1" si="105"/>
        <v>0</v>
      </c>
      <c r="AL383">
        <f t="shared" ca="1" si="106"/>
        <v>0</v>
      </c>
      <c r="AM383">
        <f t="shared" ca="1" si="107"/>
        <v>0</v>
      </c>
      <c r="AN383">
        <f t="shared" ca="1" si="108"/>
        <v>0</v>
      </c>
      <c r="AO383">
        <f t="shared" ca="1" si="109"/>
        <v>0</v>
      </c>
      <c r="AP383">
        <f t="shared" ca="1" si="110"/>
        <v>0</v>
      </c>
    </row>
    <row r="384" spans="1:42" x14ac:dyDescent="0.2">
      <c r="A384" s="2" t="s">
        <v>534</v>
      </c>
      <c r="B384" s="2" t="str">
        <f>VLOOKUP(A384,'[14]Calculated coal req (reg.)'!$A$2:$B$599,2,FALSE)</f>
        <v>KOTHAGUDEM TPS</v>
      </c>
      <c r="C384" s="2">
        <v>1.0980221196391</v>
      </c>
      <c r="D384" s="2"/>
      <c r="H384" t="s">
        <v>1021</v>
      </c>
      <c r="I384">
        <f t="shared" ca="1" si="77"/>
        <v>0</v>
      </c>
      <c r="J384">
        <f t="shared" ca="1" si="78"/>
        <v>0</v>
      </c>
      <c r="K384">
        <f t="shared" ca="1" si="79"/>
        <v>0</v>
      </c>
      <c r="L384">
        <f t="shared" ca="1" si="80"/>
        <v>0</v>
      </c>
      <c r="M384">
        <f t="shared" ca="1" si="81"/>
        <v>0</v>
      </c>
      <c r="N384">
        <f t="shared" ca="1" si="82"/>
        <v>0</v>
      </c>
      <c r="O384">
        <f t="shared" ca="1" si="83"/>
        <v>0</v>
      </c>
      <c r="P384">
        <f t="shared" ca="1" si="84"/>
        <v>0</v>
      </c>
      <c r="Q384">
        <f t="shared" ca="1" si="85"/>
        <v>0</v>
      </c>
      <c r="R384">
        <f t="shared" ca="1" si="86"/>
        <v>0</v>
      </c>
      <c r="S384">
        <f t="shared" ca="1" si="87"/>
        <v>0</v>
      </c>
      <c r="T384">
        <f t="shared" ca="1" si="88"/>
        <v>9.2528708486473192</v>
      </c>
      <c r="U384">
        <f t="shared" ca="1" si="89"/>
        <v>0</v>
      </c>
      <c r="V384">
        <f t="shared" ca="1" si="90"/>
        <v>0</v>
      </c>
      <c r="W384">
        <f t="shared" ca="1" si="91"/>
        <v>0</v>
      </c>
      <c r="X384">
        <f t="shared" ca="1" si="92"/>
        <v>0</v>
      </c>
      <c r="Y384">
        <f t="shared" ca="1" si="93"/>
        <v>0</v>
      </c>
      <c r="Z384">
        <f t="shared" ca="1" si="94"/>
        <v>0</v>
      </c>
      <c r="AA384">
        <f t="shared" ca="1" si="95"/>
        <v>0</v>
      </c>
      <c r="AB384">
        <f t="shared" ca="1" si="96"/>
        <v>0</v>
      </c>
      <c r="AC384">
        <f t="shared" ca="1" si="97"/>
        <v>0</v>
      </c>
      <c r="AD384">
        <f t="shared" ca="1" si="98"/>
        <v>0</v>
      </c>
      <c r="AE384">
        <f t="shared" ca="1" si="99"/>
        <v>0</v>
      </c>
      <c r="AF384">
        <f t="shared" ca="1" si="100"/>
        <v>0</v>
      </c>
      <c r="AG384">
        <f t="shared" ca="1" si="101"/>
        <v>0</v>
      </c>
      <c r="AH384">
        <f t="shared" ca="1" si="102"/>
        <v>0</v>
      </c>
      <c r="AI384">
        <f t="shared" ca="1" si="103"/>
        <v>0</v>
      </c>
      <c r="AJ384">
        <f t="shared" ca="1" si="104"/>
        <v>0</v>
      </c>
      <c r="AK384">
        <f t="shared" ca="1" si="105"/>
        <v>0</v>
      </c>
      <c r="AL384">
        <f t="shared" ca="1" si="106"/>
        <v>0</v>
      </c>
      <c r="AM384">
        <f t="shared" ca="1" si="107"/>
        <v>0</v>
      </c>
      <c r="AN384">
        <f t="shared" ca="1" si="108"/>
        <v>0</v>
      </c>
      <c r="AO384">
        <f t="shared" ca="1" si="109"/>
        <v>0</v>
      </c>
      <c r="AP384">
        <f t="shared" ca="1" si="110"/>
        <v>0</v>
      </c>
    </row>
    <row r="385" spans="1:42" x14ac:dyDescent="0.2">
      <c r="A385" s="2" t="s">
        <v>524</v>
      </c>
      <c r="B385" s="2" t="str">
        <f>VLOOKUP(A385,'[14]Calculated coal req (reg.)'!$A$2:$B$599,2,FALSE)</f>
        <v>KOTHAGUDEM TPS</v>
      </c>
      <c r="C385" s="2">
        <v>1.93434099304915</v>
      </c>
      <c r="D385" s="2"/>
      <c r="H385" t="s">
        <v>1000</v>
      </c>
      <c r="I385">
        <f t="shared" ca="1" si="77"/>
        <v>0</v>
      </c>
      <c r="J385">
        <f t="shared" ca="1" si="78"/>
        <v>0</v>
      </c>
      <c r="K385">
        <f t="shared" ca="1" si="79"/>
        <v>0</v>
      </c>
      <c r="L385">
        <f t="shared" ca="1" si="80"/>
        <v>0</v>
      </c>
      <c r="M385">
        <f t="shared" ca="1" si="81"/>
        <v>0</v>
      </c>
      <c r="N385">
        <f t="shared" ca="1" si="82"/>
        <v>0</v>
      </c>
      <c r="O385">
        <f t="shared" ca="1" si="83"/>
        <v>0</v>
      </c>
      <c r="P385">
        <f t="shared" ca="1" si="84"/>
        <v>0</v>
      </c>
      <c r="Q385">
        <f t="shared" ca="1" si="85"/>
        <v>0</v>
      </c>
      <c r="R385">
        <f t="shared" ca="1" si="86"/>
        <v>0</v>
      </c>
      <c r="S385">
        <f t="shared" ca="1" si="87"/>
        <v>0</v>
      </c>
      <c r="T385">
        <f t="shared" ca="1" si="88"/>
        <v>0</v>
      </c>
      <c r="U385">
        <f t="shared" ca="1" si="89"/>
        <v>0</v>
      </c>
      <c r="V385">
        <f t="shared" ca="1" si="90"/>
        <v>0</v>
      </c>
      <c r="W385">
        <f t="shared" ca="1" si="91"/>
        <v>0</v>
      </c>
      <c r="X385">
        <f t="shared" ca="1" si="92"/>
        <v>0</v>
      </c>
      <c r="Y385">
        <f t="shared" ca="1" si="93"/>
        <v>0</v>
      </c>
      <c r="Z385">
        <f t="shared" ca="1" si="94"/>
        <v>0</v>
      </c>
      <c r="AA385">
        <f t="shared" ca="1" si="95"/>
        <v>0</v>
      </c>
      <c r="AB385">
        <f t="shared" ca="1" si="96"/>
        <v>0</v>
      </c>
      <c r="AC385">
        <f t="shared" ca="1" si="97"/>
        <v>0</v>
      </c>
      <c r="AD385">
        <f t="shared" ca="1" si="98"/>
        <v>0</v>
      </c>
      <c r="AE385">
        <f t="shared" ca="1" si="99"/>
        <v>0</v>
      </c>
      <c r="AF385">
        <f t="shared" ca="1" si="100"/>
        <v>0</v>
      </c>
      <c r="AG385">
        <f t="shared" ca="1" si="101"/>
        <v>0</v>
      </c>
      <c r="AH385">
        <f t="shared" ca="1" si="102"/>
        <v>25.1506238320782</v>
      </c>
      <c r="AI385">
        <f t="shared" ca="1" si="103"/>
        <v>0</v>
      </c>
      <c r="AJ385">
        <f t="shared" ca="1" si="104"/>
        <v>0</v>
      </c>
      <c r="AK385">
        <f t="shared" ca="1" si="105"/>
        <v>0</v>
      </c>
      <c r="AL385">
        <f t="shared" ca="1" si="106"/>
        <v>0</v>
      </c>
      <c r="AM385">
        <f t="shared" ca="1" si="107"/>
        <v>0</v>
      </c>
      <c r="AN385">
        <f t="shared" ca="1" si="108"/>
        <v>0</v>
      </c>
      <c r="AO385">
        <f t="shared" ca="1" si="109"/>
        <v>0</v>
      </c>
      <c r="AP385">
        <f t="shared" ca="1" si="110"/>
        <v>0</v>
      </c>
    </row>
    <row r="386" spans="1:42" x14ac:dyDescent="0.2">
      <c r="A386" s="2" t="s">
        <v>523</v>
      </c>
      <c r="B386" s="2" t="str">
        <f>VLOOKUP(A386,'[14]Calculated coal req (reg.)'!$A$2:$B$599,2,FALSE)</f>
        <v>KOTHAGUDEM TPS</v>
      </c>
      <c r="C386" s="2">
        <v>1.45773894138851</v>
      </c>
      <c r="D386" s="2"/>
      <c r="H386" t="s">
        <v>1158</v>
      </c>
      <c r="I386">
        <f t="shared" ca="1" si="77"/>
        <v>0</v>
      </c>
      <c r="J386">
        <f t="shared" ca="1" si="78"/>
        <v>0</v>
      </c>
      <c r="K386">
        <f t="shared" ca="1" si="79"/>
        <v>0</v>
      </c>
      <c r="L386">
        <f t="shared" ca="1" si="80"/>
        <v>0</v>
      </c>
      <c r="M386">
        <f t="shared" ca="1" si="81"/>
        <v>0</v>
      </c>
      <c r="N386">
        <f t="shared" ca="1" si="82"/>
        <v>0</v>
      </c>
      <c r="O386">
        <f t="shared" ca="1" si="83"/>
        <v>0</v>
      </c>
      <c r="P386">
        <f t="shared" ca="1" si="84"/>
        <v>0</v>
      </c>
      <c r="Q386">
        <f t="shared" ca="1" si="85"/>
        <v>0</v>
      </c>
      <c r="R386">
        <f t="shared" ca="1" si="86"/>
        <v>0</v>
      </c>
      <c r="S386">
        <f t="shared" ca="1" si="87"/>
        <v>0</v>
      </c>
      <c r="T386">
        <f t="shared" ca="1" si="88"/>
        <v>0</v>
      </c>
      <c r="U386">
        <f t="shared" ca="1" si="89"/>
        <v>0</v>
      </c>
      <c r="V386">
        <f t="shared" ca="1" si="90"/>
        <v>0</v>
      </c>
      <c r="W386">
        <f t="shared" ca="1" si="91"/>
        <v>0</v>
      </c>
      <c r="X386">
        <f t="shared" ca="1" si="92"/>
        <v>0</v>
      </c>
      <c r="Y386">
        <f t="shared" ca="1" si="93"/>
        <v>0</v>
      </c>
      <c r="Z386">
        <f t="shared" ca="1" si="94"/>
        <v>0</v>
      </c>
      <c r="AA386">
        <f t="shared" ca="1" si="95"/>
        <v>0</v>
      </c>
      <c r="AB386">
        <f t="shared" ca="1" si="96"/>
        <v>0</v>
      </c>
      <c r="AC386">
        <f t="shared" ca="1" si="97"/>
        <v>0</v>
      </c>
      <c r="AD386">
        <f t="shared" ca="1" si="98"/>
        <v>0</v>
      </c>
      <c r="AE386">
        <f t="shared" ca="1" si="99"/>
        <v>0</v>
      </c>
      <c r="AF386">
        <f t="shared" ca="1" si="100"/>
        <v>0</v>
      </c>
      <c r="AG386">
        <f t="shared" ca="1" si="101"/>
        <v>0</v>
      </c>
      <c r="AH386">
        <f t="shared" ca="1" si="102"/>
        <v>0</v>
      </c>
      <c r="AI386">
        <f t="shared" ca="1" si="103"/>
        <v>0</v>
      </c>
      <c r="AJ386">
        <f t="shared" ca="1" si="104"/>
        <v>0</v>
      </c>
      <c r="AK386">
        <f t="shared" ca="1" si="105"/>
        <v>0</v>
      </c>
      <c r="AL386">
        <f t="shared" ca="1" si="106"/>
        <v>1.1568389188869399</v>
      </c>
      <c r="AM386">
        <f t="shared" ca="1" si="107"/>
        <v>0</v>
      </c>
      <c r="AN386">
        <f t="shared" ca="1" si="108"/>
        <v>0</v>
      </c>
      <c r="AO386">
        <f t="shared" ca="1" si="109"/>
        <v>0</v>
      </c>
      <c r="AP386">
        <f t="shared" ca="1" si="110"/>
        <v>0</v>
      </c>
    </row>
    <row r="387" spans="1:42" x14ac:dyDescent="0.2">
      <c r="A387" s="2" t="s">
        <v>521</v>
      </c>
      <c r="B387" s="2" t="str">
        <f>VLOOKUP(A387,'[14]Calculated coal req (reg.)'!$A$2:$B$599,2,FALSE)</f>
        <v>KOTHAGUDEM TPS</v>
      </c>
      <c r="C387" s="2">
        <v>1.7979097337429499</v>
      </c>
      <c r="D387" s="2"/>
      <c r="H387" t="s">
        <v>1083</v>
      </c>
      <c r="I387">
        <f t="shared" ca="1" si="77"/>
        <v>8.4776224041300772</v>
      </c>
      <c r="J387">
        <f t="shared" ca="1" si="78"/>
        <v>0</v>
      </c>
      <c r="K387">
        <f t="shared" ca="1" si="79"/>
        <v>0</v>
      </c>
      <c r="L387">
        <f t="shared" ca="1" si="80"/>
        <v>0</v>
      </c>
      <c r="M387">
        <f t="shared" ca="1" si="81"/>
        <v>0</v>
      </c>
      <c r="N387">
        <f t="shared" ca="1" si="82"/>
        <v>0</v>
      </c>
      <c r="O387">
        <f t="shared" ca="1" si="83"/>
        <v>0</v>
      </c>
      <c r="P387">
        <f t="shared" ca="1" si="84"/>
        <v>0</v>
      </c>
      <c r="Q387">
        <f t="shared" ca="1" si="85"/>
        <v>0</v>
      </c>
      <c r="R387">
        <f t="shared" ca="1" si="86"/>
        <v>2.0922975523574814</v>
      </c>
      <c r="S387">
        <f t="shared" ca="1" si="87"/>
        <v>0</v>
      </c>
      <c r="T387">
        <f t="shared" ca="1" si="88"/>
        <v>0</v>
      </c>
      <c r="U387">
        <f t="shared" ca="1" si="89"/>
        <v>0</v>
      </c>
      <c r="V387">
        <f t="shared" ca="1" si="90"/>
        <v>0</v>
      </c>
      <c r="W387">
        <f t="shared" ca="1" si="91"/>
        <v>0</v>
      </c>
      <c r="X387">
        <f t="shared" ca="1" si="92"/>
        <v>6.7595871444171509</v>
      </c>
      <c r="Y387">
        <f t="shared" ca="1" si="93"/>
        <v>4.9585517107894015</v>
      </c>
      <c r="Z387">
        <f t="shared" ca="1" si="94"/>
        <v>0</v>
      </c>
      <c r="AA387">
        <f t="shared" ca="1" si="95"/>
        <v>0</v>
      </c>
      <c r="AB387">
        <f t="shared" ca="1" si="96"/>
        <v>0</v>
      </c>
      <c r="AC387">
        <f t="shared" ca="1" si="97"/>
        <v>0</v>
      </c>
      <c r="AD387">
        <f t="shared" ca="1" si="98"/>
        <v>0</v>
      </c>
      <c r="AE387">
        <f t="shared" ca="1" si="99"/>
        <v>0</v>
      </c>
      <c r="AF387">
        <f t="shared" ca="1" si="100"/>
        <v>0</v>
      </c>
      <c r="AG387">
        <f t="shared" ca="1" si="101"/>
        <v>1.6327076661888025</v>
      </c>
      <c r="AH387">
        <f t="shared" ca="1" si="102"/>
        <v>0</v>
      </c>
      <c r="AI387">
        <f t="shared" ca="1" si="103"/>
        <v>0</v>
      </c>
      <c r="AJ387">
        <f t="shared" ca="1" si="104"/>
        <v>0</v>
      </c>
      <c r="AK387">
        <f t="shared" ca="1" si="105"/>
        <v>9.4031646741751498</v>
      </c>
      <c r="AL387">
        <f t="shared" ca="1" si="106"/>
        <v>6.5186402865090862</v>
      </c>
      <c r="AM387">
        <f t="shared" ca="1" si="107"/>
        <v>0</v>
      </c>
      <c r="AN387">
        <f t="shared" ca="1" si="108"/>
        <v>0</v>
      </c>
      <c r="AO387">
        <f t="shared" ca="1" si="109"/>
        <v>0</v>
      </c>
      <c r="AP387">
        <f t="shared" ca="1" si="110"/>
        <v>0</v>
      </c>
    </row>
    <row r="388" spans="1:42" x14ac:dyDescent="0.2">
      <c r="A388" s="2" t="s">
        <v>519</v>
      </c>
      <c r="B388" s="2" t="str">
        <f>VLOOKUP(A388,'[14]Calculated coal req (reg.)'!$A$2:$B$599,2,FALSE)</f>
        <v>KOTHAGUDEM TPS</v>
      </c>
      <c r="C388" s="2">
        <v>1.44369283470076</v>
      </c>
      <c r="D388" s="2"/>
      <c r="H388" t="s">
        <v>1063</v>
      </c>
      <c r="I388">
        <f t="shared" ca="1" si="77"/>
        <v>2.007914930610462</v>
      </c>
      <c r="J388">
        <f t="shared" ca="1" si="78"/>
        <v>0</v>
      </c>
      <c r="K388">
        <f t="shared" ca="1" si="79"/>
        <v>0</v>
      </c>
      <c r="L388">
        <f t="shared" ca="1" si="80"/>
        <v>0</v>
      </c>
      <c r="M388">
        <f t="shared" ca="1" si="81"/>
        <v>0</v>
      </c>
      <c r="N388">
        <f t="shared" ca="1" si="82"/>
        <v>0</v>
      </c>
      <c r="O388">
        <f t="shared" ca="1" si="83"/>
        <v>0</v>
      </c>
      <c r="P388">
        <f t="shared" ca="1" si="84"/>
        <v>0</v>
      </c>
      <c r="Q388">
        <f t="shared" ca="1" si="85"/>
        <v>0</v>
      </c>
      <c r="R388">
        <f t="shared" ca="1" si="86"/>
        <v>0</v>
      </c>
      <c r="S388">
        <f t="shared" ca="1" si="87"/>
        <v>0</v>
      </c>
      <c r="T388">
        <f t="shared" ca="1" si="88"/>
        <v>0</v>
      </c>
      <c r="U388">
        <f t="shared" ca="1" si="89"/>
        <v>0</v>
      </c>
      <c r="V388">
        <f t="shared" ca="1" si="90"/>
        <v>0</v>
      </c>
      <c r="W388">
        <f t="shared" ca="1" si="91"/>
        <v>0</v>
      </c>
      <c r="X388">
        <f t="shared" ca="1" si="92"/>
        <v>2.3376301267280009</v>
      </c>
      <c r="Y388">
        <f t="shared" ca="1" si="93"/>
        <v>1.1511719715358784</v>
      </c>
      <c r="Z388">
        <f t="shared" ca="1" si="94"/>
        <v>0</v>
      </c>
      <c r="AA388">
        <f t="shared" ca="1" si="95"/>
        <v>0</v>
      </c>
      <c r="AB388">
        <f t="shared" ca="1" si="96"/>
        <v>0</v>
      </c>
      <c r="AC388">
        <f t="shared" ca="1" si="97"/>
        <v>0</v>
      </c>
      <c r="AD388">
        <f t="shared" ca="1" si="98"/>
        <v>0</v>
      </c>
      <c r="AE388">
        <f t="shared" ca="1" si="99"/>
        <v>0</v>
      </c>
      <c r="AF388">
        <f t="shared" ca="1" si="100"/>
        <v>0</v>
      </c>
      <c r="AG388">
        <f t="shared" ca="1" si="101"/>
        <v>0.80021627645300697</v>
      </c>
      <c r="AH388">
        <f t="shared" ca="1" si="102"/>
        <v>0</v>
      </c>
      <c r="AI388">
        <f t="shared" ca="1" si="103"/>
        <v>0</v>
      </c>
      <c r="AJ388">
        <f t="shared" ca="1" si="104"/>
        <v>0</v>
      </c>
      <c r="AK388">
        <f t="shared" ca="1" si="105"/>
        <v>2.2350560441875071</v>
      </c>
      <c r="AL388">
        <f t="shared" ca="1" si="106"/>
        <v>1.5596485695588427</v>
      </c>
      <c r="AM388">
        <f t="shared" ca="1" si="107"/>
        <v>0</v>
      </c>
      <c r="AN388">
        <f t="shared" ca="1" si="108"/>
        <v>0</v>
      </c>
      <c r="AO388">
        <f t="shared" ca="1" si="109"/>
        <v>0</v>
      </c>
      <c r="AP388">
        <f t="shared" ca="1" si="110"/>
        <v>0</v>
      </c>
    </row>
    <row r="389" spans="1:42" x14ac:dyDescent="0.2">
      <c r="A389" s="2" t="s">
        <v>338</v>
      </c>
      <c r="B389" s="2" t="str">
        <f>VLOOKUP(A389,'[14]Calculated coal req (reg.)'!$A$2:$B$599,2,FALSE)</f>
        <v>KUNDARKI TPS</v>
      </c>
      <c r="C389" s="2">
        <v>0.22812321556579601</v>
      </c>
      <c r="D389" s="2"/>
      <c r="H389" t="s">
        <v>1159</v>
      </c>
      <c r="I389">
        <f t="shared" ca="1" si="77"/>
        <v>0</v>
      </c>
      <c r="J389">
        <f t="shared" ca="1" si="78"/>
        <v>0</v>
      </c>
      <c r="K389">
        <f t="shared" ca="1" si="79"/>
        <v>0</v>
      </c>
      <c r="L389">
        <f t="shared" ca="1" si="80"/>
        <v>0</v>
      </c>
      <c r="M389">
        <f t="shared" ca="1" si="81"/>
        <v>0</v>
      </c>
      <c r="N389">
        <f t="shared" ca="1" si="82"/>
        <v>2.057437925154924</v>
      </c>
      <c r="O389">
        <f t="shared" ca="1" si="83"/>
        <v>0</v>
      </c>
      <c r="P389">
        <f t="shared" ca="1" si="84"/>
        <v>0</v>
      </c>
      <c r="Q389">
        <f t="shared" ca="1" si="85"/>
        <v>0</v>
      </c>
      <c r="R389">
        <f t="shared" ca="1" si="86"/>
        <v>0</v>
      </c>
      <c r="S389">
        <f t="shared" ca="1" si="87"/>
        <v>0</v>
      </c>
      <c r="T389">
        <f t="shared" ca="1" si="88"/>
        <v>0</v>
      </c>
      <c r="U389">
        <f t="shared" ca="1" si="89"/>
        <v>0</v>
      </c>
      <c r="V389">
        <f t="shared" ca="1" si="90"/>
        <v>0</v>
      </c>
      <c r="W389">
        <f t="shared" ca="1" si="91"/>
        <v>0</v>
      </c>
      <c r="X389">
        <f t="shared" ca="1" si="92"/>
        <v>0</v>
      </c>
      <c r="Y389">
        <f t="shared" ca="1" si="93"/>
        <v>0</v>
      </c>
      <c r="Z389">
        <f t="shared" ca="1" si="94"/>
        <v>0</v>
      </c>
      <c r="AA389">
        <f t="shared" ca="1" si="95"/>
        <v>0</v>
      </c>
      <c r="AB389">
        <f t="shared" ca="1" si="96"/>
        <v>0</v>
      </c>
      <c r="AC389">
        <f t="shared" ca="1" si="97"/>
        <v>0</v>
      </c>
      <c r="AD389">
        <f t="shared" ca="1" si="98"/>
        <v>0</v>
      </c>
      <c r="AE389">
        <f t="shared" ca="1" si="99"/>
        <v>0</v>
      </c>
      <c r="AF389">
        <f t="shared" ca="1" si="100"/>
        <v>0</v>
      </c>
      <c r="AG389">
        <f t="shared" ca="1" si="101"/>
        <v>0</v>
      </c>
      <c r="AH389">
        <f t="shared" ca="1" si="102"/>
        <v>0</v>
      </c>
      <c r="AI389">
        <f t="shared" ca="1" si="103"/>
        <v>0</v>
      </c>
      <c r="AJ389">
        <f t="shared" ca="1" si="104"/>
        <v>0</v>
      </c>
      <c r="AK389">
        <f t="shared" ca="1" si="105"/>
        <v>0</v>
      </c>
      <c r="AL389">
        <f t="shared" ca="1" si="106"/>
        <v>0</v>
      </c>
      <c r="AM389">
        <f t="shared" ca="1" si="107"/>
        <v>0</v>
      </c>
      <c r="AN389">
        <f t="shared" ca="1" si="108"/>
        <v>0</v>
      </c>
      <c r="AO389">
        <f t="shared" ca="1" si="109"/>
        <v>0</v>
      </c>
      <c r="AP389">
        <f t="shared" ca="1" si="110"/>
        <v>0</v>
      </c>
    </row>
    <row r="390" spans="1:42" x14ac:dyDescent="0.2">
      <c r="A390" s="2" t="s">
        <v>335</v>
      </c>
      <c r="B390" s="2" t="str">
        <f>VLOOKUP(A390,'[14]Calculated coal req (reg.)'!$A$2:$B$599,2,FALSE)</f>
        <v>KUNDARKI TPS</v>
      </c>
      <c r="C390" s="2">
        <v>0.19832163850486401</v>
      </c>
      <c r="D390" s="2"/>
      <c r="H390" t="s">
        <v>1160</v>
      </c>
      <c r="I390">
        <f t="shared" ca="1" si="77"/>
        <v>14.874962004700359</v>
      </c>
      <c r="J390">
        <f t="shared" ca="1" si="78"/>
        <v>0</v>
      </c>
      <c r="K390">
        <f t="shared" ca="1" si="79"/>
        <v>0</v>
      </c>
      <c r="L390">
        <f t="shared" ca="1" si="80"/>
        <v>0</v>
      </c>
      <c r="M390">
        <f t="shared" ca="1" si="81"/>
        <v>0</v>
      </c>
      <c r="N390">
        <f t="shared" ca="1" si="82"/>
        <v>0</v>
      </c>
      <c r="O390">
        <f t="shared" ca="1" si="83"/>
        <v>0</v>
      </c>
      <c r="P390">
        <f t="shared" ca="1" si="84"/>
        <v>0</v>
      </c>
      <c r="Q390">
        <f t="shared" ca="1" si="85"/>
        <v>0</v>
      </c>
      <c r="R390">
        <f t="shared" ca="1" si="86"/>
        <v>0</v>
      </c>
      <c r="S390">
        <f t="shared" ca="1" si="87"/>
        <v>0</v>
      </c>
      <c r="T390">
        <f t="shared" ca="1" si="88"/>
        <v>0</v>
      </c>
      <c r="U390">
        <f t="shared" ca="1" si="89"/>
        <v>0</v>
      </c>
      <c r="V390">
        <f t="shared" ca="1" si="90"/>
        <v>0</v>
      </c>
      <c r="W390">
        <f t="shared" ca="1" si="91"/>
        <v>0</v>
      </c>
      <c r="X390">
        <f t="shared" ca="1" si="92"/>
        <v>0</v>
      </c>
      <c r="Y390">
        <f t="shared" ca="1" si="93"/>
        <v>0</v>
      </c>
      <c r="Z390">
        <f t="shared" ca="1" si="94"/>
        <v>0</v>
      </c>
      <c r="AA390">
        <f t="shared" ca="1" si="95"/>
        <v>0</v>
      </c>
      <c r="AB390">
        <f t="shared" ca="1" si="96"/>
        <v>0</v>
      </c>
      <c r="AC390">
        <f t="shared" ca="1" si="97"/>
        <v>0</v>
      </c>
      <c r="AD390">
        <f t="shared" ca="1" si="98"/>
        <v>0</v>
      </c>
      <c r="AE390">
        <f t="shared" ca="1" si="99"/>
        <v>0</v>
      </c>
      <c r="AF390">
        <f t="shared" ca="1" si="100"/>
        <v>0</v>
      </c>
      <c r="AG390">
        <f t="shared" ca="1" si="101"/>
        <v>0</v>
      </c>
      <c r="AH390">
        <f t="shared" ca="1" si="102"/>
        <v>0</v>
      </c>
      <c r="AI390">
        <f t="shared" ca="1" si="103"/>
        <v>0</v>
      </c>
      <c r="AJ390">
        <f t="shared" ca="1" si="104"/>
        <v>0</v>
      </c>
      <c r="AK390">
        <f t="shared" ca="1" si="105"/>
        <v>0</v>
      </c>
      <c r="AL390">
        <f t="shared" ca="1" si="106"/>
        <v>0</v>
      </c>
      <c r="AM390">
        <f t="shared" ca="1" si="107"/>
        <v>0</v>
      </c>
      <c r="AN390">
        <f t="shared" ca="1" si="108"/>
        <v>0</v>
      </c>
      <c r="AO390">
        <f t="shared" ca="1" si="109"/>
        <v>0</v>
      </c>
      <c r="AP390">
        <f t="shared" ca="1" si="110"/>
        <v>0</v>
      </c>
    </row>
    <row r="391" spans="1:42" x14ac:dyDescent="0.2">
      <c r="A391" s="2" t="s">
        <v>343</v>
      </c>
      <c r="B391" s="2" t="str">
        <f>VLOOKUP(A391,'[14]Calculated coal req (reg.)'!$A$2:$B$599,2,FALSE)</f>
        <v>MAQSOODPUR TPS</v>
      </c>
      <c r="C391" s="2">
        <v>0.16263442396313299</v>
      </c>
      <c r="D391" s="2"/>
      <c r="H391" t="s">
        <v>1006</v>
      </c>
      <c r="I391">
        <f t="shared" ca="1" si="77"/>
        <v>4.7878847650387497</v>
      </c>
      <c r="J391">
        <f t="shared" ca="1" si="78"/>
        <v>0</v>
      </c>
      <c r="K391">
        <f t="shared" ca="1" si="79"/>
        <v>0</v>
      </c>
      <c r="L391">
        <f t="shared" ca="1" si="80"/>
        <v>0</v>
      </c>
      <c r="M391">
        <f t="shared" ca="1" si="81"/>
        <v>0</v>
      </c>
      <c r="N391">
        <f t="shared" ca="1" si="82"/>
        <v>0</v>
      </c>
      <c r="O391">
        <f t="shared" ca="1" si="83"/>
        <v>0</v>
      </c>
      <c r="P391">
        <f t="shared" ca="1" si="84"/>
        <v>0</v>
      </c>
      <c r="Q391">
        <f t="shared" ca="1" si="85"/>
        <v>0</v>
      </c>
      <c r="R391">
        <f t="shared" ca="1" si="86"/>
        <v>0</v>
      </c>
      <c r="S391">
        <f t="shared" ca="1" si="87"/>
        <v>0</v>
      </c>
      <c r="T391">
        <f t="shared" ca="1" si="88"/>
        <v>0</v>
      </c>
      <c r="U391">
        <f t="shared" ca="1" si="89"/>
        <v>0</v>
      </c>
      <c r="V391">
        <f t="shared" ca="1" si="90"/>
        <v>0</v>
      </c>
      <c r="W391">
        <f t="shared" ca="1" si="91"/>
        <v>0</v>
      </c>
      <c r="X391">
        <f t="shared" ca="1" si="92"/>
        <v>0</v>
      </c>
      <c r="Y391">
        <f t="shared" ca="1" si="93"/>
        <v>0</v>
      </c>
      <c r="Z391">
        <f t="shared" ca="1" si="94"/>
        <v>0</v>
      </c>
      <c r="AA391">
        <f t="shared" ca="1" si="95"/>
        <v>0</v>
      </c>
      <c r="AB391">
        <f t="shared" ca="1" si="96"/>
        <v>0</v>
      </c>
      <c r="AC391">
        <f t="shared" ca="1" si="97"/>
        <v>0</v>
      </c>
      <c r="AD391">
        <f t="shared" ca="1" si="98"/>
        <v>0</v>
      </c>
      <c r="AE391">
        <f t="shared" ca="1" si="99"/>
        <v>0</v>
      </c>
      <c r="AF391">
        <f t="shared" ca="1" si="100"/>
        <v>0</v>
      </c>
      <c r="AG391">
        <f t="shared" ca="1" si="101"/>
        <v>0</v>
      </c>
      <c r="AH391">
        <f t="shared" ca="1" si="102"/>
        <v>0</v>
      </c>
      <c r="AI391">
        <f t="shared" ca="1" si="103"/>
        <v>0</v>
      </c>
      <c r="AJ391">
        <f t="shared" ca="1" si="104"/>
        <v>0</v>
      </c>
      <c r="AK391">
        <f t="shared" ca="1" si="105"/>
        <v>0</v>
      </c>
      <c r="AL391">
        <f t="shared" ca="1" si="106"/>
        <v>0</v>
      </c>
      <c r="AM391">
        <f t="shared" ca="1" si="107"/>
        <v>0</v>
      </c>
      <c r="AN391">
        <f t="shared" ca="1" si="108"/>
        <v>0</v>
      </c>
      <c r="AO391">
        <f t="shared" ca="1" si="109"/>
        <v>0</v>
      </c>
      <c r="AP391">
        <f t="shared" ca="1" si="110"/>
        <v>0</v>
      </c>
    </row>
    <row r="392" spans="1:42" x14ac:dyDescent="0.2">
      <c r="A392" s="2" t="s">
        <v>340</v>
      </c>
      <c r="B392" s="2" t="str">
        <f>VLOOKUP(A392,'[14]Calculated coal req (reg.)'!$A$2:$B$599,2,FALSE)</f>
        <v>MAQSOODPUR TPS</v>
      </c>
      <c r="C392" s="2">
        <v>0.15001169994879601</v>
      </c>
      <c r="D392" s="2"/>
      <c r="H392" t="s">
        <v>1084</v>
      </c>
      <c r="I392">
        <f t="shared" ca="1" si="77"/>
        <v>0</v>
      </c>
      <c r="J392">
        <f t="shared" ca="1" si="78"/>
        <v>0</v>
      </c>
      <c r="K392">
        <f t="shared" ca="1" si="79"/>
        <v>0</v>
      </c>
      <c r="L392">
        <f t="shared" ca="1" si="80"/>
        <v>0</v>
      </c>
      <c r="M392">
        <f t="shared" ca="1" si="81"/>
        <v>9.1483884575776081E-3</v>
      </c>
      <c r="N392">
        <f t="shared" ca="1" si="82"/>
        <v>0</v>
      </c>
      <c r="O392">
        <f t="shared" ca="1" si="83"/>
        <v>0</v>
      </c>
      <c r="P392">
        <f t="shared" ca="1" si="84"/>
        <v>0</v>
      </c>
      <c r="Q392">
        <f t="shared" ca="1" si="85"/>
        <v>2.0438474905394699</v>
      </c>
      <c r="R392">
        <f t="shared" ca="1" si="86"/>
        <v>0</v>
      </c>
      <c r="S392">
        <f t="shared" ca="1" si="87"/>
        <v>0</v>
      </c>
      <c r="T392">
        <f t="shared" ca="1" si="88"/>
        <v>1.4276916232400385</v>
      </c>
      <c r="U392">
        <f t="shared" ca="1" si="89"/>
        <v>1.1355976996135368</v>
      </c>
      <c r="V392">
        <f t="shared" ca="1" si="90"/>
        <v>1.4000176091436169</v>
      </c>
      <c r="W392">
        <f t="shared" ca="1" si="91"/>
        <v>0</v>
      </c>
      <c r="X392">
        <f t="shared" ca="1" si="92"/>
        <v>0</v>
      </c>
      <c r="Y392">
        <f t="shared" ca="1" si="93"/>
        <v>0</v>
      </c>
      <c r="Z392">
        <f t="shared" ca="1" si="94"/>
        <v>0</v>
      </c>
      <c r="AA392">
        <f t="shared" ca="1" si="95"/>
        <v>0</v>
      </c>
      <c r="AB392">
        <f t="shared" ca="1" si="96"/>
        <v>0</v>
      </c>
      <c r="AC392">
        <f t="shared" ca="1" si="97"/>
        <v>0</v>
      </c>
      <c r="AD392">
        <f t="shared" ca="1" si="98"/>
        <v>0</v>
      </c>
      <c r="AE392">
        <f t="shared" ca="1" si="99"/>
        <v>0</v>
      </c>
      <c r="AF392">
        <f t="shared" ca="1" si="100"/>
        <v>0</v>
      </c>
      <c r="AG392">
        <f t="shared" ca="1" si="101"/>
        <v>0</v>
      </c>
      <c r="AH392">
        <f t="shared" ca="1" si="102"/>
        <v>2.4730105852415831</v>
      </c>
      <c r="AI392">
        <f t="shared" ca="1" si="103"/>
        <v>3.5532593508197197</v>
      </c>
      <c r="AJ392">
        <f t="shared" ca="1" si="104"/>
        <v>0</v>
      </c>
      <c r="AK392">
        <f t="shared" ca="1" si="105"/>
        <v>0</v>
      </c>
      <c r="AL392">
        <f t="shared" ca="1" si="106"/>
        <v>0</v>
      </c>
      <c r="AM392">
        <f t="shared" ca="1" si="107"/>
        <v>0</v>
      </c>
      <c r="AN392">
        <f t="shared" ca="1" si="108"/>
        <v>7.7461143120372311</v>
      </c>
      <c r="AO392">
        <f t="shared" ca="1" si="109"/>
        <v>0.68632754412166475</v>
      </c>
      <c r="AP392">
        <f t="shared" ca="1" si="110"/>
        <v>0</v>
      </c>
    </row>
    <row r="393" spans="1:42" x14ac:dyDescent="0.2">
      <c r="A393" s="2" t="s">
        <v>393</v>
      </c>
      <c r="B393" s="2" t="str">
        <f>VLOOKUP(A393,'[14]Calculated coal req (reg.)'!$A$2:$B$599,2,FALSE)</f>
        <v>MEJIA TPS</v>
      </c>
      <c r="C393" s="2">
        <v>3.04854419778589</v>
      </c>
      <c r="D393" s="2"/>
      <c r="H393" t="s">
        <v>1060</v>
      </c>
      <c r="I393">
        <f t="shared" ca="1" si="77"/>
        <v>0</v>
      </c>
      <c r="J393">
        <f t="shared" ca="1" si="78"/>
        <v>0</v>
      </c>
      <c r="K393">
        <f t="shared" ca="1" si="79"/>
        <v>0</v>
      </c>
      <c r="L393">
        <f t="shared" ca="1" si="80"/>
        <v>0</v>
      </c>
      <c r="M393">
        <f t="shared" ca="1" si="81"/>
        <v>7.5017206521988452E-3</v>
      </c>
      <c r="N393">
        <f t="shared" ca="1" si="82"/>
        <v>0</v>
      </c>
      <c r="O393">
        <f t="shared" ca="1" si="83"/>
        <v>0</v>
      </c>
      <c r="P393">
        <f t="shared" ca="1" si="84"/>
        <v>0</v>
      </c>
      <c r="Q393">
        <f t="shared" ca="1" si="85"/>
        <v>2.6676939146247833</v>
      </c>
      <c r="R393">
        <f t="shared" ca="1" si="86"/>
        <v>0</v>
      </c>
      <c r="S393">
        <f t="shared" ca="1" si="87"/>
        <v>0</v>
      </c>
      <c r="T393">
        <f t="shared" ca="1" si="88"/>
        <v>1.260994903352731</v>
      </c>
      <c r="U393">
        <f t="shared" ca="1" si="89"/>
        <v>0.8864160854922688</v>
      </c>
      <c r="V393">
        <f t="shared" ca="1" si="90"/>
        <v>1.8914565036832656</v>
      </c>
      <c r="W393">
        <f t="shared" ca="1" si="91"/>
        <v>0</v>
      </c>
      <c r="X393">
        <f t="shared" ca="1" si="92"/>
        <v>0</v>
      </c>
      <c r="Y393">
        <f t="shared" ca="1" si="93"/>
        <v>0</v>
      </c>
      <c r="Z393">
        <f t="shared" ca="1" si="94"/>
        <v>0</v>
      </c>
      <c r="AA393">
        <f t="shared" ca="1" si="95"/>
        <v>0</v>
      </c>
      <c r="AB393">
        <f t="shared" ca="1" si="96"/>
        <v>0</v>
      </c>
      <c r="AC393">
        <f t="shared" ca="1" si="97"/>
        <v>0</v>
      </c>
      <c r="AD393">
        <f t="shared" ca="1" si="98"/>
        <v>0</v>
      </c>
      <c r="AE393">
        <f t="shared" ca="1" si="99"/>
        <v>0</v>
      </c>
      <c r="AF393">
        <f t="shared" ca="1" si="100"/>
        <v>0</v>
      </c>
      <c r="AG393">
        <f t="shared" ca="1" si="101"/>
        <v>0</v>
      </c>
      <c r="AH393">
        <f t="shared" ca="1" si="102"/>
        <v>2.4026353931910687</v>
      </c>
      <c r="AI393">
        <f t="shared" ca="1" si="103"/>
        <v>3.8594016710636385</v>
      </c>
      <c r="AJ393">
        <f t="shared" ca="1" si="104"/>
        <v>0</v>
      </c>
      <c r="AK393">
        <f t="shared" ca="1" si="105"/>
        <v>0</v>
      </c>
      <c r="AL393">
        <f t="shared" ca="1" si="106"/>
        <v>0</v>
      </c>
      <c r="AM393">
        <f t="shared" ca="1" si="107"/>
        <v>0</v>
      </c>
      <c r="AN393">
        <f t="shared" ca="1" si="108"/>
        <v>7.2550373473012311</v>
      </c>
      <c r="AO393">
        <f t="shared" ca="1" si="109"/>
        <v>0.606516438689092</v>
      </c>
      <c r="AP393">
        <f t="shared" ca="1" si="110"/>
        <v>0</v>
      </c>
    </row>
    <row r="394" spans="1:42" x14ac:dyDescent="0.2">
      <c r="A394" s="2" t="s">
        <v>387</v>
      </c>
      <c r="B394" s="2" t="str">
        <f>VLOOKUP(A394,'[14]Calculated coal req (reg.)'!$A$2:$B$599,2,FALSE)</f>
        <v>MEJIA TPS</v>
      </c>
      <c r="C394" s="2">
        <v>2.5729211444815201</v>
      </c>
      <c r="D394" s="2"/>
      <c r="H394" t="s">
        <v>1036</v>
      </c>
      <c r="I394">
        <f t="shared" ca="1" si="77"/>
        <v>0</v>
      </c>
      <c r="J394">
        <f t="shared" ca="1" si="78"/>
        <v>0</v>
      </c>
      <c r="K394">
        <f t="shared" ca="1" si="79"/>
        <v>0</v>
      </c>
      <c r="L394">
        <f t="shared" ca="1" si="80"/>
        <v>0</v>
      </c>
      <c r="M394">
        <f t="shared" ca="1" si="81"/>
        <v>6.148159385438029E-3</v>
      </c>
      <c r="N394">
        <f t="shared" ca="1" si="82"/>
        <v>0</v>
      </c>
      <c r="O394">
        <f t="shared" ca="1" si="83"/>
        <v>0</v>
      </c>
      <c r="P394">
        <f t="shared" ca="1" si="84"/>
        <v>0</v>
      </c>
      <c r="Q394">
        <f t="shared" ca="1" si="85"/>
        <v>2.7796550387166463</v>
      </c>
      <c r="R394">
        <f t="shared" ca="1" si="86"/>
        <v>0</v>
      </c>
      <c r="S394">
        <f t="shared" ca="1" si="87"/>
        <v>0</v>
      </c>
      <c r="T394">
        <f t="shared" ca="1" si="88"/>
        <v>1.2765821610660022</v>
      </c>
      <c r="U394">
        <f t="shared" ca="1" si="89"/>
        <v>1.5596739100660331</v>
      </c>
      <c r="V394">
        <f t="shared" ca="1" si="90"/>
        <v>1.3700612441910789</v>
      </c>
      <c r="W394">
        <f t="shared" ca="1" si="91"/>
        <v>0</v>
      </c>
      <c r="X394">
        <f t="shared" ca="1" si="92"/>
        <v>0</v>
      </c>
      <c r="Y394">
        <f t="shared" ca="1" si="93"/>
        <v>0</v>
      </c>
      <c r="Z394">
        <f t="shared" ca="1" si="94"/>
        <v>0</v>
      </c>
      <c r="AA394">
        <f t="shared" ca="1" si="95"/>
        <v>0</v>
      </c>
      <c r="AB394">
        <f t="shared" ca="1" si="96"/>
        <v>0</v>
      </c>
      <c r="AC394">
        <f t="shared" ca="1" si="97"/>
        <v>0</v>
      </c>
      <c r="AD394">
        <f t="shared" ca="1" si="98"/>
        <v>0</v>
      </c>
      <c r="AE394">
        <f t="shared" ca="1" si="99"/>
        <v>0</v>
      </c>
      <c r="AF394">
        <f t="shared" ca="1" si="100"/>
        <v>0</v>
      </c>
      <c r="AG394">
        <f t="shared" ca="1" si="101"/>
        <v>0</v>
      </c>
      <c r="AH394">
        <f t="shared" ca="1" si="102"/>
        <v>2.000750801551447</v>
      </c>
      <c r="AI394">
        <f t="shared" ca="1" si="103"/>
        <v>4.4734877664689519</v>
      </c>
      <c r="AJ394">
        <f t="shared" ca="1" si="104"/>
        <v>0</v>
      </c>
      <c r="AK394">
        <f t="shared" ca="1" si="105"/>
        <v>0</v>
      </c>
      <c r="AL394">
        <f t="shared" ca="1" si="106"/>
        <v>0</v>
      </c>
      <c r="AM394">
        <f t="shared" ca="1" si="107"/>
        <v>0</v>
      </c>
      <c r="AN394">
        <f t="shared" ca="1" si="108"/>
        <v>8.0838128246194341</v>
      </c>
      <c r="AO394">
        <f t="shared" ca="1" si="109"/>
        <v>0.72403193329786497</v>
      </c>
      <c r="AP394">
        <f t="shared" ca="1" si="110"/>
        <v>0</v>
      </c>
    </row>
    <row r="395" spans="1:42" x14ac:dyDescent="0.2">
      <c r="A395" s="2" t="s">
        <v>382</v>
      </c>
      <c r="B395" s="2" t="str">
        <f>VLOOKUP(A395,'[14]Calculated coal req (reg.)'!$A$2:$B$599,2,FALSE)</f>
        <v>MEJIA TPS</v>
      </c>
      <c r="C395" s="2">
        <v>2.8040686801913899</v>
      </c>
      <c r="D395" s="2"/>
      <c r="H395" t="s">
        <v>1161</v>
      </c>
      <c r="I395">
        <f t="shared" ca="1" si="77"/>
        <v>0</v>
      </c>
      <c r="J395">
        <f t="shared" ca="1" si="78"/>
        <v>0</v>
      </c>
      <c r="K395">
        <f t="shared" ca="1" si="79"/>
        <v>0</v>
      </c>
      <c r="L395">
        <f t="shared" ca="1" si="80"/>
        <v>0</v>
      </c>
      <c r="M395">
        <f t="shared" ca="1" si="81"/>
        <v>0</v>
      </c>
      <c r="N395">
        <f t="shared" ca="1" si="82"/>
        <v>0</v>
      </c>
      <c r="O395">
        <f t="shared" ca="1" si="83"/>
        <v>0</v>
      </c>
      <c r="P395">
        <f t="shared" ca="1" si="84"/>
        <v>0</v>
      </c>
      <c r="Q395">
        <f t="shared" ca="1" si="85"/>
        <v>0</v>
      </c>
      <c r="R395">
        <f t="shared" ca="1" si="86"/>
        <v>0</v>
      </c>
      <c r="S395">
        <f t="shared" ca="1" si="87"/>
        <v>0</v>
      </c>
      <c r="T395">
        <f t="shared" ca="1" si="88"/>
        <v>0</v>
      </c>
      <c r="U395">
        <f t="shared" ca="1" si="89"/>
        <v>0</v>
      </c>
      <c r="V395">
        <f t="shared" ca="1" si="90"/>
        <v>0</v>
      </c>
      <c r="W395">
        <f t="shared" ca="1" si="91"/>
        <v>0</v>
      </c>
      <c r="X395">
        <f t="shared" ca="1" si="92"/>
        <v>0</v>
      </c>
      <c r="Y395">
        <f t="shared" ca="1" si="93"/>
        <v>0</v>
      </c>
      <c r="Z395">
        <f t="shared" ca="1" si="94"/>
        <v>0</v>
      </c>
      <c r="AA395">
        <f t="shared" ca="1" si="95"/>
        <v>0</v>
      </c>
      <c r="AB395">
        <f t="shared" ca="1" si="96"/>
        <v>0</v>
      </c>
      <c r="AC395">
        <f t="shared" ca="1" si="97"/>
        <v>0</v>
      </c>
      <c r="AD395">
        <f t="shared" ca="1" si="98"/>
        <v>0</v>
      </c>
      <c r="AE395">
        <f t="shared" ca="1" si="99"/>
        <v>0</v>
      </c>
      <c r="AF395">
        <f t="shared" ca="1" si="100"/>
        <v>0</v>
      </c>
      <c r="AG395">
        <f t="shared" ca="1" si="101"/>
        <v>0</v>
      </c>
      <c r="AH395">
        <f t="shared" ca="1" si="102"/>
        <v>4.120697890311062</v>
      </c>
      <c r="AI395">
        <f t="shared" ca="1" si="103"/>
        <v>0</v>
      </c>
      <c r="AJ395">
        <f t="shared" ca="1" si="104"/>
        <v>0</v>
      </c>
      <c r="AK395">
        <f t="shared" ca="1" si="105"/>
        <v>0</v>
      </c>
      <c r="AL395">
        <f t="shared" ca="1" si="106"/>
        <v>0</v>
      </c>
      <c r="AM395">
        <f t="shared" ca="1" si="107"/>
        <v>0</v>
      </c>
      <c r="AN395">
        <f t="shared" ca="1" si="108"/>
        <v>0</v>
      </c>
      <c r="AO395">
        <f t="shared" ca="1" si="109"/>
        <v>0</v>
      </c>
      <c r="AP395">
        <f t="shared" ca="1" si="110"/>
        <v>0</v>
      </c>
    </row>
    <row r="396" spans="1:42" x14ac:dyDescent="0.2">
      <c r="A396" s="2" t="s">
        <v>337</v>
      </c>
      <c r="B396" s="2" t="str">
        <f>VLOOKUP(A396,'[14]Calculated coal req (reg.)'!$A$2:$B$599,2,FALSE)</f>
        <v>MEJIA TPS</v>
      </c>
      <c r="C396" s="2">
        <v>2.9852944150267602</v>
      </c>
      <c r="D396" s="2"/>
      <c r="H396" t="s">
        <v>1094</v>
      </c>
      <c r="I396">
        <f t="shared" ca="1" si="77"/>
        <v>0</v>
      </c>
      <c r="J396">
        <f t="shared" ca="1" si="78"/>
        <v>0</v>
      </c>
      <c r="K396">
        <f t="shared" ca="1" si="79"/>
        <v>0</v>
      </c>
      <c r="L396">
        <f t="shared" ca="1" si="80"/>
        <v>0</v>
      </c>
      <c r="M396">
        <f t="shared" ca="1" si="81"/>
        <v>0</v>
      </c>
      <c r="N396">
        <f t="shared" ca="1" si="82"/>
        <v>0</v>
      </c>
      <c r="O396">
        <f t="shared" ca="1" si="83"/>
        <v>0</v>
      </c>
      <c r="P396">
        <f t="shared" ca="1" si="84"/>
        <v>0</v>
      </c>
      <c r="Q396">
        <f t="shared" ca="1" si="85"/>
        <v>0</v>
      </c>
      <c r="R396">
        <f t="shared" ca="1" si="86"/>
        <v>0</v>
      </c>
      <c r="S396">
        <f t="shared" ca="1" si="87"/>
        <v>0</v>
      </c>
      <c r="T396">
        <f t="shared" ca="1" si="88"/>
        <v>0</v>
      </c>
      <c r="U396">
        <f t="shared" ca="1" si="89"/>
        <v>0</v>
      </c>
      <c r="V396">
        <f t="shared" ca="1" si="90"/>
        <v>0</v>
      </c>
      <c r="W396">
        <f t="shared" ca="1" si="91"/>
        <v>0</v>
      </c>
      <c r="X396">
        <f t="shared" ca="1" si="92"/>
        <v>0</v>
      </c>
      <c r="Y396">
        <f t="shared" ca="1" si="93"/>
        <v>0</v>
      </c>
      <c r="Z396">
        <f t="shared" ca="1" si="94"/>
        <v>0</v>
      </c>
      <c r="AA396">
        <f t="shared" ca="1" si="95"/>
        <v>0</v>
      </c>
      <c r="AB396">
        <f t="shared" ca="1" si="96"/>
        <v>0</v>
      </c>
      <c r="AC396">
        <f t="shared" ca="1" si="97"/>
        <v>0</v>
      </c>
      <c r="AD396">
        <f t="shared" ca="1" si="98"/>
        <v>0</v>
      </c>
      <c r="AE396">
        <f t="shared" ca="1" si="99"/>
        <v>0</v>
      </c>
      <c r="AF396">
        <f t="shared" ca="1" si="100"/>
        <v>0</v>
      </c>
      <c r="AG396">
        <f t="shared" ca="1" si="101"/>
        <v>0</v>
      </c>
      <c r="AH396">
        <f t="shared" ca="1" si="102"/>
        <v>0</v>
      </c>
      <c r="AI396">
        <f t="shared" ca="1" si="103"/>
        <v>0</v>
      </c>
      <c r="AJ396">
        <f t="shared" ca="1" si="104"/>
        <v>0</v>
      </c>
      <c r="AK396">
        <f t="shared" ca="1" si="105"/>
        <v>0</v>
      </c>
      <c r="AL396">
        <f t="shared" ca="1" si="106"/>
        <v>0</v>
      </c>
      <c r="AM396">
        <f t="shared" ca="1" si="107"/>
        <v>0</v>
      </c>
      <c r="AN396">
        <f t="shared" ca="1" si="108"/>
        <v>8.0127827772452296</v>
      </c>
      <c r="AO396">
        <f t="shared" ca="1" si="109"/>
        <v>0</v>
      </c>
      <c r="AP396">
        <f t="shared" ca="1" si="110"/>
        <v>0</v>
      </c>
    </row>
    <row r="397" spans="1:42" x14ac:dyDescent="0.2">
      <c r="A397" s="2" t="s">
        <v>299</v>
      </c>
      <c r="B397" s="2" t="str">
        <f>VLOOKUP(A397,'[14]Calculated coal req (reg.)'!$A$2:$B$599,2,FALSE)</f>
        <v>MEJIA TPS</v>
      </c>
      <c r="C397" s="2">
        <v>3.8637143951833601</v>
      </c>
      <c r="D397" s="2"/>
      <c r="H397" t="s">
        <v>1088</v>
      </c>
      <c r="I397">
        <f t="shared" ca="1" si="77"/>
        <v>0</v>
      </c>
      <c r="J397">
        <f t="shared" ca="1" si="78"/>
        <v>0</v>
      </c>
      <c r="K397">
        <f t="shared" ca="1" si="79"/>
        <v>0</v>
      </c>
      <c r="L397">
        <f t="shared" ca="1" si="80"/>
        <v>0</v>
      </c>
      <c r="M397">
        <f t="shared" ca="1" si="81"/>
        <v>0</v>
      </c>
      <c r="N397">
        <f t="shared" ca="1" si="82"/>
        <v>0</v>
      </c>
      <c r="O397">
        <f t="shared" ca="1" si="83"/>
        <v>0</v>
      </c>
      <c r="P397">
        <f t="shared" ca="1" si="84"/>
        <v>0</v>
      </c>
      <c r="Q397">
        <f t="shared" ca="1" si="85"/>
        <v>0</v>
      </c>
      <c r="R397">
        <f t="shared" ca="1" si="86"/>
        <v>0</v>
      </c>
      <c r="S397">
        <f t="shared" ca="1" si="87"/>
        <v>0</v>
      </c>
      <c r="T397">
        <f t="shared" ca="1" si="88"/>
        <v>0</v>
      </c>
      <c r="U397">
        <f t="shared" ca="1" si="89"/>
        <v>0</v>
      </c>
      <c r="V397">
        <f t="shared" ca="1" si="90"/>
        <v>0</v>
      </c>
      <c r="W397">
        <f t="shared" ca="1" si="91"/>
        <v>0</v>
      </c>
      <c r="X397">
        <f t="shared" ca="1" si="92"/>
        <v>0</v>
      </c>
      <c r="Y397">
        <f t="shared" ca="1" si="93"/>
        <v>0</v>
      </c>
      <c r="Z397">
        <f t="shared" ca="1" si="94"/>
        <v>0</v>
      </c>
      <c r="AA397">
        <f t="shared" ca="1" si="95"/>
        <v>0</v>
      </c>
      <c r="AB397">
        <f t="shared" ca="1" si="96"/>
        <v>0</v>
      </c>
      <c r="AC397">
        <f t="shared" ca="1" si="97"/>
        <v>0</v>
      </c>
      <c r="AD397">
        <f t="shared" ca="1" si="98"/>
        <v>0</v>
      </c>
      <c r="AE397">
        <f t="shared" ca="1" si="99"/>
        <v>0</v>
      </c>
      <c r="AF397">
        <f t="shared" ca="1" si="100"/>
        <v>0</v>
      </c>
      <c r="AG397">
        <f t="shared" ca="1" si="101"/>
        <v>0</v>
      </c>
      <c r="AH397">
        <f t="shared" ca="1" si="102"/>
        <v>0</v>
      </c>
      <c r="AI397">
        <f t="shared" ca="1" si="103"/>
        <v>0</v>
      </c>
      <c r="AJ397">
        <f t="shared" ca="1" si="104"/>
        <v>0</v>
      </c>
      <c r="AK397">
        <f t="shared" ca="1" si="105"/>
        <v>0</v>
      </c>
      <c r="AL397">
        <f t="shared" ca="1" si="106"/>
        <v>0</v>
      </c>
      <c r="AM397">
        <f t="shared" ca="1" si="107"/>
        <v>0</v>
      </c>
      <c r="AN397">
        <f t="shared" ca="1" si="108"/>
        <v>7.7373264540847799</v>
      </c>
      <c r="AO397">
        <f t="shared" ca="1" si="109"/>
        <v>0</v>
      </c>
      <c r="AP397">
        <f t="shared" ca="1" si="110"/>
        <v>0</v>
      </c>
    </row>
    <row r="398" spans="1:42" x14ac:dyDescent="0.2">
      <c r="A398" s="2" t="s">
        <v>307</v>
      </c>
      <c r="B398" s="2" t="str">
        <f>VLOOKUP(A398,'[14]Calculated coal req (reg.)'!$A$2:$B$599,2,FALSE)</f>
        <v>MEJIA TPS</v>
      </c>
      <c r="C398" s="2">
        <v>4.3123122375831997</v>
      </c>
      <c r="D398" s="2"/>
      <c r="H398" t="s">
        <v>1162</v>
      </c>
      <c r="I398">
        <f t="shared" ca="1" si="77"/>
        <v>0</v>
      </c>
      <c r="J398">
        <f t="shared" ca="1" si="78"/>
        <v>0</v>
      </c>
      <c r="K398">
        <f t="shared" ca="1" si="79"/>
        <v>0</v>
      </c>
      <c r="L398">
        <f t="shared" ca="1" si="80"/>
        <v>0</v>
      </c>
      <c r="M398">
        <f t="shared" ca="1" si="81"/>
        <v>0</v>
      </c>
      <c r="N398">
        <f t="shared" ca="1" si="82"/>
        <v>0</v>
      </c>
      <c r="O398">
        <f t="shared" ca="1" si="83"/>
        <v>0</v>
      </c>
      <c r="P398">
        <f t="shared" ca="1" si="84"/>
        <v>0</v>
      </c>
      <c r="Q398">
        <f t="shared" ca="1" si="85"/>
        <v>0</v>
      </c>
      <c r="R398">
        <f t="shared" ca="1" si="86"/>
        <v>0</v>
      </c>
      <c r="S398">
        <f t="shared" ca="1" si="87"/>
        <v>7.06131760811836</v>
      </c>
      <c r="T398">
        <f t="shared" ca="1" si="88"/>
        <v>0</v>
      </c>
      <c r="U398">
        <f t="shared" ca="1" si="89"/>
        <v>0</v>
      </c>
      <c r="V398">
        <f t="shared" ca="1" si="90"/>
        <v>0</v>
      </c>
      <c r="W398">
        <f t="shared" ca="1" si="91"/>
        <v>0</v>
      </c>
      <c r="X398">
        <f t="shared" ca="1" si="92"/>
        <v>0</v>
      </c>
      <c r="Y398">
        <f t="shared" ca="1" si="93"/>
        <v>0</v>
      </c>
      <c r="Z398">
        <f t="shared" ca="1" si="94"/>
        <v>0</v>
      </c>
      <c r="AA398">
        <f t="shared" ca="1" si="95"/>
        <v>0</v>
      </c>
      <c r="AB398">
        <f t="shared" ca="1" si="96"/>
        <v>0</v>
      </c>
      <c r="AC398">
        <f t="shared" ca="1" si="97"/>
        <v>0</v>
      </c>
      <c r="AD398">
        <f t="shared" ca="1" si="98"/>
        <v>0</v>
      </c>
      <c r="AE398">
        <f t="shared" ca="1" si="99"/>
        <v>0</v>
      </c>
      <c r="AF398">
        <f t="shared" ca="1" si="100"/>
        <v>0</v>
      </c>
      <c r="AG398">
        <f t="shared" ca="1" si="101"/>
        <v>0</v>
      </c>
      <c r="AH398">
        <f t="shared" ca="1" si="102"/>
        <v>0</v>
      </c>
      <c r="AI398">
        <f t="shared" ca="1" si="103"/>
        <v>0</v>
      </c>
      <c r="AJ398">
        <f t="shared" ca="1" si="104"/>
        <v>0</v>
      </c>
      <c r="AK398">
        <f t="shared" ca="1" si="105"/>
        <v>0</v>
      </c>
      <c r="AL398">
        <f t="shared" ca="1" si="106"/>
        <v>0</v>
      </c>
      <c r="AM398">
        <f t="shared" ca="1" si="107"/>
        <v>0</v>
      </c>
      <c r="AN398">
        <f t="shared" ca="1" si="108"/>
        <v>0</v>
      </c>
      <c r="AO398">
        <f t="shared" ca="1" si="109"/>
        <v>0</v>
      </c>
      <c r="AP398">
        <f t="shared" ca="1" si="110"/>
        <v>0</v>
      </c>
    </row>
    <row r="399" spans="1:42" x14ac:dyDescent="0.2">
      <c r="A399" s="2" t="s">
        <v>452</v>
      </c>
      <c r="B399" s="2" t="str">
        <f>VLOOKUP(A399,'[14]Calculated coal req (reg.)'!$A$2:$B$599,2,FALSE)</f>
        <v>METTUR TPS</v>
      </c>
      <c r="C399" s="2">
        <v>3.14629416388579</v>
      </c>
      <c r="D399" s="2"/>
      <c r="H399" t="s">
        <v>1098</v>
      </c>
      <c r="I399">
        <f t="shared" ca="1" si="77"/>
        <v>0</v>
      </c>
      <c r="J399">
        <f t="shared" ca="1" si="78"/>
        <v>0</v>
      </c>
      <c r="K399">
        <f t="shared" ca="1" si="79"/>
        <v>0</v>
      </c>
      <c r="L399">
        <f t="shared" ca="1" si="80"/>
        <v>0</v>
      </c>
      <c r="M399">
        <f t="shared" ca="1" si="81"/>
        <v>0</v>
      </c>
      <c r="N399">
        <f t="shared" ca="1" si="82"/>
        <v>0</v>
      </c>
      <c r="O399">
        <f t="shared" ca="1" si="83"/>
        <v>0</v>
      </c>
      <c r="P399">
        <f t="shared" ca="1" si="84"/>
        <v>0</v>
      </c>
      <c r="Q399">
        <f t="shared" ca="1" si="85"/>
        <v>0</v>
      </c>
      <c r="R399">
        <f t="shared" ca="1" si="86"/>
        <v>0</v>
      </c>
      <c r="S399">
        <f t="shared" ca="1" si="87"/>
        <v>0</v>
      </c>
      <c r="T399">
        <f t="shared" ca="1" si="88"/>
        <v>0</v>
      </c>
      <c r="U399">
        <f t="shared" ca="1" si="89"/>
        <v>0</v>
      </c>
      <c r="V399">
        <f t="shared" ca="1" si="90"/>
        <v>0</v>
      </c>
      <c r="W399">
        <f t="shared" ca="1" si="91"/>
        <v>0</v>
      </c>
      <c r="X399">
        <f t="shared" ca="1" si="92"/>
        <v>0</v>
      </c>
      <c r="Y399">
        <f t="shared" ca="1" si="93"/>
        <v>0</v>
      </c>
      <c r="Z399">
        <f t="shared" ca="1" si="94"/>
        <v>0</v>
      </c>
      <c r="AA399">
        <f t="shared" ca="1" si="95"/>
        <v>0</v>
      </c>
      <c r="AB399">
        <f t="shared" ca="1" si="96"/>
        <v>0</v>
      </c>
      <c r="AC399">
        <f t="shared" ca="1" si="97"/>
        <v>0</v>
      </c>
      <c r="AD399">
        <f t="shared" ca="1" si="98"/>
        <v>0</v>
      </c>
      <c r="AE399">
        <f t="shared" ca="1" si="99"/>
        <v>0</v>
      </c>
      <c r="AF399">
        <f t="shared" ca="1" si="100"/>
        <v>0</v>
      </c>
      <c r="AG399">
        <f t="shared" ca="1" si="101"/>
        <v>0</v>
      </c>
      <c r="AH399">
        <f t="shared" ca="1" si="102"/>
        <v>0</v>
      </c>
      <c r="AI399">
        <f t="shared" ca="1" si="103"/>
        <v>0</v>
      </c>
      <c r="AJ399">
        <f t="shared" ca="1" si="104"/>
        <v>0</v>
      </c>
      <c r="AK399">
        <f t="shared" ca="1" si="105"/>
        <v>0</v>
      </c>
      <c r="AL399">
        <f t="shared" ca="1" si="106"/>
        <v>0</v>
      </c>
      <c r="AM399">
        <f t="shared" ca="1" si="107"/>
        <v>0</v>
      </c>
      <c r="AN399">
        <f t="shared" ca="1" si="108"/>
        <v>0</v>
      </c>
      <c r="AO399">
        <f t="shared" ca="1" si="109"/>
        <v>0</v>
      </c>
      <c r="AP399">
        <f t="shared" ca="1" si="110"/>
        <v>7.2295683674982705</v>
      </c>
    </row>
    <row r="400" spans="1:42" x14ac:dyDescent="0.2">
      <c r="A400" s="2" t="s">
        <v>447</v>
      </c>
      <c r="B400" s="2" t="str">
        <f>VLOOKUP(A400,'[14]Calculated coal req (reg.)'!$A$2:$B$599,2,FALSE)</f>
        <v>METTUR TPS</v>
      </c>
      <c r="C400" s="2">
        <v>3.57367686671257</v>
      </c>
      <c r="D400" s="2"/>
      <c r="H400" t="s">
        <v>1028</v>
      </c>
      <c r="I400">
        <f t="shared" ca="1" si="77"/>
        <v>0</v>
      </c>
      <c r="J400">
        <f t="shared" ca="1" si="78"/>
        <v>0</v>
      </c>
      <c r="K400">
        <f t="shared" ca="1" si="79"/>
        <v>0</v>
      </c>
      <c r="L400">
        <f t="shared" ca="1" si="80"/>
        <v>0</v>
      </c>
      <c r="M400">
        <f t="shared" ca="1" si="81"/>
        <v>0</v>
      </c>
      <c r="N400">
        <f t="shared" ca="1" si="82"/>
        <v>0</v>
      </c>
      <c r="O400">
        <f t="shared" ca="1" si="83"/>
        <v>0</v>
      </c>
      <c r="P400">
        <f t="shared" ca="1" si="84"/>
        <v>0</v>
      </c>
      <c r="Q400">
        <f t="shared" ca="1" si="85"/>
        <v>0</v>
      </c>
      <c r="R400">
        <f t="shared" ca="1" si="86"/>
        <v>0</v>
      </c>
      <c r="S400">
        <f t="shared" ca="1" si="87"/>
        <v>0</v>
      </c>
      <c r="T400">
        <f t="shared" ca="1" si="88"/>
        <v>0</v>
      </c>
      <c r="U400">
        <f t="shared" ca="1" si="89"/>
        <v>0</v>
      </c>
      <c r="V400">
        <f t="shared" ca="1" si="90"/>
        <v>0</v>
      </c>
      <c r="W400">
        <f t="shared" ca="1" si="91"/>
        <v>0</v>
      </c>
      <c r="X400">
        <f t="shared" ca="1" si="92"/>
        <v>0</v>
      </c>
      <c r="Y400">
        <f t="shared" ca="1" si="93"/>
        <v>0</v>
      </c>
      <c r="Z400">
        <f t="shared" ca="1" si="94"/>
        <v>0</v>
      </c>
      <c r="AA400">
        <f t="shared" ca="1" si="95"/>
        <v>0</v>
      </c>
      <c r="AB400">
        <f t="shared" ca="1" si="96"/>
        <v>0</v>
      </c>
      <c r="AC400">
        <f t="shared" ca="1" si="97"/>
        <v>0</v>
      </c>
      <c r="AD400">
        <f t="shared" ca="1" si="98"/>
        <v>0</v>
      </c>
      <c r="AE400">
        <f t="shared" ca="1" si="99"/>
        <v>0</v>
      </c>
      <c r="AF400">
        <f t="shared" ca="1" si="100"/>
        <v>0</v>
      </c>
      <c r="AG400">
        <f t="shared" ca="1" si="101"/>
        <v>0</v>
      </c>
      <c r="AH400">
        <f t="shared" ca="1" si="102"/>
        <v>0</v>
      </c>
      <c r="AI400">
        <f t="shared" ca="1" si="103"/>
        <v>0</v>
      </c>
      <c r="AJ400">
        <f t="shared" ca="1" si="104"/>
        <v>0</v>
      </c>
      <c r="AK400">
        <f t="shared" ca="1" si="105"/>
        <v>0</v>
      </c>
      <c r="AL400">
        <f t="shared" ca="1" si="106"/>
        <v>0</v>
      </c>
      <c r="AM400">
        <f t="shared" ca="1" si="107"/>
        <v>0</v>
      </c>
      <c r="AN400">
        <f t="shared" ca="1" si="108"/>
        <v>0</v>
      </c>
      <c r="AO400">
        <f t="shared" ca="1" si="109"/>
        <v>0</v>
      </c>
      <c r="AP400">
        <f t="shared" ca="1" si="110"/>
        <v>10.096137236515279</v>
      </c>
    </row>
    <row r="401" spans="1:42" x14ac:dyDescent="0.2">
      <c r="A401" s="2" t="s">
        <v>436</v>
      </c>
      <c r="B401" s="2" t="str">
        <f>VLOOKUP(A401,'[14]Calculated coal req (reg.)'!$A$2:$B$599,2,FALSE)</f>
        <v>METTUR TPS</v>
      </c>
      <c r="C401" s="2">
        <v>3.68113536563069</v>
      </c>
      <c r="D401" s="2"/>
      <c r="H401" t="s">
        <v>1070</v>
      </c>
      <c r="I401">
        <f t="shared" ca="1" si="77"/>
        <v>0</v>
      </c>
      <c r="J401">
        <f t="shared" ca="1" si="78"/>
        <v>0</v>
      </c>
      <c r="K401">
        <f t="shared" ca="1" si="79"/>
        <v>0</v>
      </c>
      <c r="L401">
        <f t="shared" ca="1" si="80"/>
        <v>0</v>
      </c>
      <c r="M401">
        <f t="shared" ca="1" si="81"/>
        <v>0</v>
      </c>
      <c r="N401">
        <f t="shared" ca="1" si="82"/>
        <v>0</v>
      </c>
      <c r="O401">
        <f t="shared" ca="1" si="83"/>
        <v>0</v>
      </c>
      <c r="P401">
        <f t="shared" ca="1" si="84"/>
        <v>0</v>
      </c>
      <c r="Q401">
        <f t="shared" ca="1" si="85"/>
        <v>0</v>
      </c>
      <c r="R401">
        <f t="shared" ca="1" si="86"/>
        <v>0</v>
      </c>
      <c r="S401">
        <f t="shared" ca="1" si="87"/>
        <v>5.3145169571128301</v>
      </c>
      <c r="T401">
        <f t="shared" ca="1" si="88"/>
        <v>0</v>
      </c>
      <c r="U401">
        <f t="shared" ca="1" si="89"/>
        <v>0</v>
      </c>
      <c r="V401">
        <f t="shared" ca="1" si="90"/>
        <v>0</v>
      </c>
      <c r="W401">
        <f t="shared" ca="1" si="91"/>
        <v>0</v>
      </c>
      <c r="X401">
        <f t="shared" ca="1" si="92"/>
        <v>0</v>
      </c>
      <c r="Y401">
        <f t="shared" ca="1" si="93"/>
        <v>0</v>
      </c>
      <c r="Z401">
        <f t="shared" ca="1" si="94"/>
        <v>0</v>
      </c>
      <c r="AA401">
        <f t="shared" ca="1" si="95"/>
        <v>0</v>
      </c>
      <c r="AB401">
        <f t="shared" ca="1" si="96"/>
        <v>0</v>
      </c>
      <c r="AC401">
        <f t="shared" ca="1" si="97"/>
        <v>0</v>
      </c>
      <c r="AD401">
        <f t="shared" ca="1" si="98"/>
        <v>0</v>
      </c>
      <c r="AE401">
        <f t="shared" ca="1" si="99"/>
        <v>0</v>
      </c>
      <c r="AF401">
        <f t="shared" ca="1" si="100"/>
        <v>0</v>
      </c>
      <c r="AG401">
        <f t="shared" ca="1" si="101"/>
        <v>0</v>
      </c>
      <c r="AH401">
        <f t="shared" ca="1" si="102"/>
        <v>0</v>
      </c>
      <c r="AI401">
        <f t="shared" ca="1" si="103"/>
        <v>0</v>
      </c>
      <c r="AJ401">
        <f t="shared" ca="1" si="104"/>
        <v>0</v>
      </c>
      <c r="AK401">
        <f t="shared" ca="1" si="105"/>
        <v>0</v>
      </c>
      <c r="AL401">
        <f t="shared" ca="1" si="106"/>
        <v>0</v>
      </c>
      <c r="AM401">
        <f t="shared" ca="1" si="107"/>
        <v>0</v>
      </c>
      <c r="AN401">
        <f t="shared" ca="1" si="108"/>
        <v>0</v>
      </c>
      <c r="AO401">
        <f t="shared" ca="1" si="109"/>
        <v>0</v>
      </c>
      <c r="AP401">
        <f t="shared" ca="1" si="110"/>
        <v>0</v>
      </c>
    </row>
    <row r="402" spans="1:42" x14ac:dyDescent="0.2">
      <c r="A402" s="2" t="s">
        <v>429</v>
      </c>
      <c r="B402" s="2" t="str">
        <f>VLOOKUP(A402,'[14]Calculated coal req (reg.)'!$A$2:$B$599,2,FALSE)</f>
        <v>METTUR TPS</v>
      </c>
      <c r="C402" s="2">
        <v>3.7380261505786399</v>
      </c>
      <c r="D402" s="2"/>
      <c r="H402" t="s">
        <v>1105</v>
      </c>
      <c r="I402">
        <f t="shared" ca="1" si="77"/>
        <v>0</v>
      </c>
      <c r="J402">
        <f t="shared" ca="1" si="78"/>
        <v>0</v>
      </c>
      <c r="K402">
        <f t="shared" ca="1" si="79"/>
        <v>0</v>
      </c>
      <c r="L402">
        <f t="shared" ca="1" si="80"/>
        <v>0</v>
      </c>
      <c r="M402">
        <f t="shared" ca="1" si="81"/>
        <v>0</v>
      </c>
      <c r="N402">
        <f t="shared" ca="1" si="82"/>
        <v>0</v>
      </c>
      <c r="O402">
        <f t="shared" ca="1" si="83"/>
        <v>0</v>
      </c>
      <c r="P402">
        <f t="shared" ca="1" si="84"/>
        <v>0</v>
      </c>
      <c r="Q402">
        <f t="shared" ca="1" si="85"/>
        <v>0</v>
      </c>
      <c r="R402">
        <f t="shared" ca="1" si="86"/>
        <v>0</v>
      </c>
      <c r="S402">
        <f t="shared" ca="1" si="87"/>
        <v>0</v>
      </c>
      <c r="T402">
        <f t="shared" ca="1" si="88"/>
        <v>0</v>
      </c>
      <c r="U402">
        <f t="shared" ca="1" si="89"/>
        <v>0</v>
      </c>
      <c r="V402">
        <f t="shared" ca="1" si="90"/>
        <v>0</v>
      </c>
      <c r="W402">
        <f t="shared" ca="1" si="91"/>
        <v>0</v>
      </c>
      <c r="X402">
        <f t="shared" ca="1" si="92"/>
        <v>0</v>
      </c>
      <c r="Y402">
        <f t="shared" ca="1" si="93"/>
        <v>0</v>
      </c>
      <c r="Z402">
        <f t="shared" ca="1" si="94"/>
        <v>0</v>
      </c>
      <c r="AA402">
        <f t="shared" ca="1" si="95"/>
        <v>0</v>
      </c>
      <c r="AB402">
        <f t="shared" ca="1" si="96"/>
        <v>0</v>
      </c>
      <c r="AC402">
        <f t="shared" ca="1" si="97"/>
        <v>0</v>
      </c>
      <c r="AD402">
        <f t="shared" ca="1" si="98"/>
        <v>0</v>
      </c>
      <c r="AE402">
        <f t="shared" ca="1" si="99"/>
        <v>0</v>
      </c>
      <c r="AF402">
        <f t="shared" ca="1" si="100"/>
        <v>0</v>
      </c>
      <c r="AG402">
        <f t="shared" ca="1" si="101"/>
        <v>0</v>
      </c>
      <c r="AH402">
        <f t="shared" ca="1" si="102"/>
        <v>0</v>
      </c>
      <c r="AI402">
        <f t="shared" ca="1" si="103"/>
        <v>0</v>
      </c>
      <c r="AJ402">
        <f t="shared" ca="1" si="104"/>
        <v>0</v>
      </c>
      <c r="AK402">
        <f t="shared" ca="1" si="105"/>
        <v>0</v>
      </c>
      <c r="AL402">
        <f t="shared" ca="1" si="106"/>
        <v>0</v>
      </c>
      <c r="AM402">
        <f t="shared" ca="1" si="107"/>
        <v>0</v>
      </c>
      <c r="AN402">
        <f t="shared" ca="1" si="108"/>
        <v>0</v>
      </c>
      <c r="AO402">
        <f t="shared" ca="1" si="109"/>
        <v>0</v>
      </c>
      <c r="AP402">
        <f t="shared" ca="1" si="110"/>
        <v>9.5158377008646298</v>
      </c>
    </row>
    <row r="403" spans="1:42" x14ac:dyDescent="0.2">
      <c r="A403" s="2" t="s">
        <v>248</v>
      </c>
      <c r="B403" s="2" t="str">
        <f>VLOOKUP(A403,'[14]Calculated coal req (reg.)'!$A$2:$B$599,2,FALSE)</f>
        <v>MUNDRA TPS UNIT 1-4</v>
      </c>
      <c r="C403" s="2">
        <v>5.3440898274067896</v>
      </c>
      <c r="D403" s="2"/>
      <c r="H403" t="s">
        <v>996</v>
      </c>
      <c r="I403">
        <f t="shared" ca="1" si="77"/>
        <v>0</v>
      </c>
      <c r="J403">
        <f t="shared" ca="1" si="78"/>
        <v>0</v>
      </c>
      <c r="K403">
        <f t="shared" ca="1" si="79"/>
        <v>0</v>
      </c>
      <c r="L403">
        <f t="shared" ca="1" si="80"/>
        <v>0</v>
      </c>
      <c r="M403">
        <f t="shared" ca="1" si="81"/>
        <v>0</v>
      </c>
      <c r="N403">
        <f t="shared" ca="1" si="82"/>
        <v>0</v>
      </c>
      <c r="O403">
        <f t="shared" ca="1" si="83"/>
        <v>0</v>
      </c>
      <c r="P403">
        <f t="shared" ca="1" si="84"/>
        <v>0</v>
      </c>
      <c r="Q403">
        <f t="shared" ca="1" si="85"/>
        <v>10.091666205182969</v>
      </c>
      <c r="R403">
        <f t="shared" ca="1" si="86"/>
        <v>0</v>
      </c>
      <c r="S403">
        <f t="shared" ca="1" si="87"/>
        <v>0</v>
      </c>
      <c r="T403">
        <f t="shared" ca="1" si="88"/>
        <v>10.199635210557654</v>
      </c>
      <c r="U403">
        <f t="shared" ca="1" si="89"/>
        <v>0</v>
      </c>
      <c r="V403">
        <f t="shared" ca="1" si="90"/>
        <v>0</v>
      </c>
      <c r="W403">
        <f t="shared" ca="1" si="91"/>
        <v>0</v>
      </c>
      <c r="X403">
        <f t="shared" ca="1" si="92"/>
        <v>0</v>
      </c>
      <c r="Y403">
        <f t="shared" ca="1" si="93"/>
        <v>0</v>
      </c>
      <c r="Z403">
        <f t="shared" ca="1" si="94"/>
        <v>34.664239085712474</v>
      </c>
      <c r="AA403">
        <f t="shared" ca="1" si="95"/>
        <v>0</v>
      </c>
      <c r="AB403">
        <f t="shared" ca="1" si="96"/>
        <v>0</v>
      </c>
      <c r="AC403">
        <f t="shared" ca="1" si="97"/>
        <v>0</v>
      </c>
      <c r="AD403">
        <f t="shared" ca="1" si="98"/>
        <v>0</v>
      </c>
      <c r="AE403">
        <f t="shared" ca="1" si="99"/>
        <v>0</v>
      </c>
      <c r="AF403">
        <f t="shared" ca="1" si="100"/>
        <v>0</v>
      </c>
      <c r="AG403">
        <f t="shared" ca="1" si="101"/>
        <v>0</v>
      </c>
      <c r="AH403">
        <f t="shared" ca="1" si="102"/>
        <v>13.433946355861686</v>
      </c>
      <c r="AI403">
        <f t="shared" ca="1" si="103"/>
        <v>8.6788108472350718</v>
      </c>
      <c r="AJ403">
        <f t="shared" ca="1" si="104"/>
        <v>0</v>
      </c>
      <c r="AK403">
        <f t="shared" ca="1" si="105"/>
        <v>0</v>
      </c>
      <c r="AL403">
        <f t="shared" ca="1" si="106"/>
        <v>0</v>
      </c>
      <c r="AM403">
        <f t="shared" ca="1" si="107"/>
        <v>0</v>
      </c>
      <c r="AN403">
        <f t="shared" ca="1" si="108"/>
        <v>11.388640081431333</v>
      </c>
      <c r="AO403">
        <f t="shared" ca="1" si="109"/>
        <v>2.0908094739382199</v>
      </c>
      <c r="AP403">
        <f t="shared" ca="1" si="110"/>
        <v>0</v>
      </c>
    </row>
    <row r="404" spans="1:42" x14ac:dyDescent="0.2">
      <c r="A404" s="2" t="s">
        <v>239</v>
      </c>
      <c r="B404" s="2" t="str">
        <f>VLOOKUP(A404,'[14]Calculated coal req (reg.)'!$A$2:$B$599,2,FALSE)</f>
        <v>MUNDRA TPS UNIT 1-4</v>
      </c>
      <c r="C404" s="2">
        <v>5.7565654102783599</v>
      </c>
      <c r="D404" s="2"/>
      <c r="H404" t="s">
        <v>1101</v>
      </c>
      <c r="I404">
        <f t="shared" ca="1" si="77"/>
        <v>0</v>
      </c>
      <c r="J404">
        <f t="shared" ca="1" si="78"/>
        <v>0</v>
      </c>
      <c r="K404">
        <f t="shared" ca="1" si="79"/>
        <v>0</v>
      </c>
      <c r="L404">
        <f t="shared" ca="1" si="80"/>
        <v>0</v>
      </c>
      <c r="M404">
        <f t="shared" ca="1" si="81"/>
        <v>0</v>
      </c>
      <c r="N404">
        <f t="shared" ca="1" si="82"/>
        <v>0</v>
      </c>
      <c r="O404">
        <f t="shared" ca="1" si="83"/>
        <v>0</v>
      </c>
      <c r="P404">
        <f t="shared" ca="1" si="84"/>
        <v>0</v>
      </c>
      <c r="Q404">
        <f t="shared" ca="1" si="85"/>
        <v>0</v>
      </c>
      <c r="R404">
        <f t="shared" ca="1" si="86"/>
        <v>0</v>
      </c>
      <c r="S404">
        <f t="shared" ca="1" si="87"/>
        <v>0</v>
      </c>
      <c r="T404">
        <f t="shared" ca="1" si="88"/>
        <v>0</v>
      </c>
      <c r="U404">
        <f t="shared" ca="1" si="89"/>
        <v>0</v>
      </c>
      <c r="V404">
        <f t="shared" ca="1" si="90"/>
        <v>0</v>
      </c>
      <c r="W404">
        <f t="shared" ca="1" si="91"/>
        <v>0</v>
      </c>
      <c r="X404">
        <f t="shared" ca="1" si="92"/>
        <v>0</v>
      </c>
      <c r="Y404">
        <f t="shared" ca="1" si="93"/>
        <v>0</v>
      </c>
      <c r="Z404">
        <f t="shared" ca="1" si="94"/>
        <v>8.805921561614511</v>
      </c>
      <c r="AA404">
        <f t="shared" ca="1" si="95"/>
        <v>0</v>
      </c>
      <c r="AB404">
        <f t="shared" ca="1" si="96"/>
        <v>0</v>
      </c>
      <c r="AC404">
        <f t="shared" ca="1" si="97"/>
        <v>0</v>
      </c>
      <c r="AD404">
        <f t="shared" ca="1" si="98"/>
        <v>0</v>
      </c>
      <c r="AE404">
        <f t="shared" ca="1" si="99"/>
        <v>0</v>
      </c>
      <c r="AF404">
        <f t="shared" ca="1" si="100"/>
        <v>0</v>
      </c>
      <c r="AG404">
        <f t="shared" ca="1" si="101"/>
        <v>0</v>
      </c>
      <c r="AH404">
        <f t="shared" ca="1" si="102"/>
        <v>0</v>
      </c>
      <c r="AI404">
        <f t="shared" ca="1" si="103"/>
        <v>0</v>
      </c>
      <c r="AJ404">
        <f t="shared" ca="1" si="104"/>
        <v>0</v>
      </c>
      <c r="AK404">
        <f t="shared" ca="1" si="105"/>
        <v>0</v>
      </c>
      <c r="AL404">
        <f t="shared" ca="1" si="106"/>
        <v>0</v>
      </c>
      <c r="AM404">
        <f t="shared" ca="1" si="107"/>
        <v>0</v>
      </c>
      <c r="AN404">
        <f t="shared" ca="1" si="108"/>
        <v>0</v>
      </c>
      <c r="AO404">
        <f t="shared" ca="1" si="109"/>
        <v>0</v>
      </c>
      <c r="AP404">
        <f t="shared" ca="1" si="110"/>
        <v>0</v>
      </c>
    </row>
    <row r="405" spans="1:42" x14ac:dyDescent="0.2">
      <c r="A405" s="2" t="s">
        <v>231</v>
      </c>
      <c r="B405" s="2" t="str">
        <f>VLOOKUP(A405,'[14]Calculated coal req (reg.)'!$A$2:$B$599,2,FALSE)</f>
        <v>MUNDRA TPS UNIT 1-4</v>
      </c>
      <c r="C405" s="2">
        <v>5.7373718952104102</v>
      </c>
      <c r="D405" s="2"/>
      <c r="H405" t="s">
        <v>1163</v>
      </c>
      <c r="I405">
        <f t="shared" ca="1" si="77"/>
        <v>0</v>
      </c>
      <c r="J405">
        <f t="shared" ca="1" si="78"/>
        <v>0</v>
      </c>
      <c r="K405">
        <f t="shared" ca="1" si="79"/>
        <v>0</v>
      </c>
      <c r="L405">
        <f t="shared" ca="1" si="80"/>
        <v>0</v>
      </c>
      <c r="M405">
        <f t="shared" ca="1" si="81"/>
        <v>0</v>
      </c>
      <c r="N405">
        <f t="shared" ca="1" si="82"/>
        <v>0</v>
      </c>
      <c r="O405">
        <f t="shared" ca="1" si="83"/>
        <v>0</v>
      </c>
      <c r="P405">
        <f t="shared" ca="1" si="84"/>
        <v>0</v>
      </c>
      <c r="Q405">
        <f t="shared" ca="1" si="85"/>
        <v>0</v>
      </c>
      <c r="R405">
        <f t="shared" ca="1" si="86"/>
        <v>0</v>
      </c>
      <c r="S405">
        <f t="shared" ca="1" si="87"/>
        <v>0</v>
      </c>
      <c r="T405">
        <f t="shared" ca="1" si="88"/>
        <v>0</v>
      </c>
      <c r="U405">
        <f t="shared" ca="1" si="89"/>
        <v>0</v>
      </c>
      <c r="V405">
        <f t="shared" ca="1" si="90"/>
        <v>0</v>
      </c>
      <c r="W405">
        <f t="shared" ca="1" si="91"/>
        <v>0</v>
      </c>
      <c r="X405">
        <f t="shared" ca="1" si="92"/>
        <v>0</v>
      </c>
      <c r="Y405">
        <f t="shared" ca="1" si="93"/>
        <v>0</v>
      </c>
      <c r="Z405">
        <f t="shared" ca="1" si="94"/>
        <v>8.3573808016416713</v>
      </c>
      <c r="AA405">
        <f t="shared" ca="1" si="95"/>
        <v>0</v>
      </c>
      <c r="AB405">
        <f t="shared" ca="1" si="96"/>
        <v>0</v>
      </c>
      <c r="AC405">
        <f t="shared" ca="1" si="97"/>
        <v>0</v>
      </c>
      <c r="AD405">
        <f t="shared" ca="1" si="98"/>
        <v>0</v>
      </c>
      <c r="AE405">
        <f t="shared" ca="1" si="99"/>
        <v>0</v>
      </c>
      <c r="AF405">
        <f t="shared" ca="1" si="100"/>
        <v>0</v>
      </c>
      <c r="AG405">
        <f t="shared" ca="1" si="101"/>
        <v>0</v>
      </c>
      <c r="AH405">
        <f t="shared" ca="1" si="102"/>
        <v>0</v>
      </c>
      <c r="AI405">
        <f t="shared" ca="1" si="103"/>
        <v>0</v>
      </c>
      <c r="AJ405">
        <f t="shared" ca="1" si="104"/>
        <v>0</v>
      </c>
      <c r="AK405">
        <f t="shared" ca="1" si="105"/>
        <v>0</v>
      </c>
      <c r="AL405">
        <f t="shared" ca="1" si="106"/>
        <v>0</v>
      </c>
      <c r="AM405">
        <f t="shared" ca="1" si="107"/>
        <v>0</v>
      </c>
      <c r="AN405">
        <f t="shared" ca="1" si="108"/>
        <v>0</v>
      </c>
      <c r="AO405">
        <f t="shared" ca="1" si="109"/>
        <v>0</v>
      </c>
      <c r="AP405">
        <f t="shared" ca="1" si="110"/>
        <v>0</v>
      </c>
    </row>
    <row r="406" spans="1:42" x14ac:dyDescent="0.2">
      <c r="A406" s="2" t="s">
        <v>226</v>
      </c>
      <c r="B406" s="2" t="str">
        <f>VLOOKUP(A406,'[14]Calculated coal req (reg.)'!$A$2:$B$599,2,FALSE)</f>
        <v>MUNDRA TPS UNIT 1-4</v>
      </c>
      <c r="C406" s="2">
        <v>5.7211063239749196</v>
      </c>
      <c r="D406" s="2"/>
      <c r="H406" t="s">
        <v>1011</v>
      </c>
      <c r="I406">
        <f t="shared" ca="1" si="77"/>
        <v>0</v>
      </c>
      <c r="J406">
        <f t="shared" ca="1" si="78"/>
        <v>0</v>
      </c>
      <c r="K406">
        <f t="shared" ca="1" si="79"/>
        <v>0</v>
      </c>
      <c r="L406">
        <f t="shared" ca="1" si="80"/>
        <v>0</v>
      </c>
      <c r="M406">
        <f t="shared" ca="1" si="81"/>
        <v>0</v>
      </c>
      <c r="N406">
        <f t="shared" ca="1" si="82"/>
        <v>0</v>
      </c>
      <c r="O406">
        <f t="shared" ca="1" si="83"/>
        <v>0</v>
      </c>
      <c r="P406">
        <f t="shared" ca="1" si="84"/>
        <v>0</v>
      </c>
      <c r="Q406">
        <f t="shared" ca="1" si="85"/>
        <v>0</v>
      </c>
      <c r="R406">
        <f t="shared" ca="1" si="86"/>
        <v>0</v>
      </c>
      <c r="S406">
        <f t="shared" ca="1" si="87"/>
        <v>0</v>
      </c>
      <c r="T406">
        <f t="shared" ca="1" si="88"/>
        <v>0</v>
      </c>
      <c r="U406">
        <f t="shared" ca="1" si="89"/>
        <v>0</v>
      </c>
      <c r="V406">
        <f t="shared" ca="1" si="90"/>
        <v>0</v>
      </c>
      <c r="W406">
        <f t="shared" ca="1" si="91"/>
        <v>0</v>
      </c>
      <c r="X406">
        <f t="shared" ca="1" si="92"/>
        <v>0</v>
      </c>
      <c r="Y406">
        <f t="shared" ca="1" si="93"/>
        <v>4.6040656332654999</v>
      </c>
      <c r="Z406">
        <f t="shared" ca="1" si="94"/>
        <v>2.3367943932189501</v>
      </c>
      <c r="AA406">
        <f t="shared" ca="1" si="95"/>
        <v>0</v>
      </c>
      <c r="AB406">
        <f t="shared" ca="1" si="96"/>
        <v>0</v>
      </c>
      <c r="AC406">
        <f t="shared" ca="1" si="97"/>
        <v>0</v>
      </c>
      <c r="AD406">
        <f t="shared" ca="1" si="98"/>
        <v>0</v>
      </c>
      <c r="AE406">
        <f t="shared" ca="1" si="99"/>
        <v>0</v>
      </c>
      <c r="AF406">
        <f t="shared" ca="1" si="100"/>
        <v>0</v>
      </c>
      <c r="AG406">
        <f t="shared" ca="1" si="101"/>
        <v>0</v>
      </c>
      <c r="AH406">
        <f t="shared" ca="1" si="102"/>
        <v>0</v>
      </c>
      <c r="AI406">
        <f t="shared" ca="1" si="103"/>
        <v>0</v>
      </c>
      <c r="AJ406">
        <f t="shared" ca="1" si="104"/>
        <v>0</v>
      </c>
      <c r="AK406">
        <f t="shared" ca="1" si="105"/>
        <v>0</v>
      </c>
      <c r="AL406">
        <f t="shared" ca="1" si="106"/>
        <v>0</v>
      </c>
      <c r="AM406">
        <f t="shared" ca="1" si="107"/>
        <v>0</v>
      </c>
      <c r="AN406">
        <f t="shared" ca="1" si="108"/>
        <v>0</v>
      </c>
      <c r="AO406">
        <f t="shared" ca="1" si="109"/>
        <v>0</v>
      </c>
      <c r="AP406">
        <f t="shared" ca="1" si="110"/>
        <v>0</v>
      </c>
    </row>
    <row r="407" spans="1:42" x14ac:dyDescent="0.2">
      <c r="A407" s="2" t="s">
        <v>300</v>
      </c>
      <c r="B407" s="2" t="str">
        <f>VLOOKUP(A407,'[14]Calculated coal req (reg.)'!$A$2:$B$599,2,FALSE)</f>
        <v>MUZAFFARPUR TPS UNIT 1-2</v>
      </c>
      <c r="C407" s="2">
        <v>1.1600711039232801</v>
      </c>
      <c r="D407" s="2"/>
      <c r="H407" t="s">
        <v>1018</v>
      </c>
      <c r="I407">
        <f t="shared" ca="1" si="77"/>
        <v>4.5119763556734076E-2</v>
      </c>
      <c r="J407">
        <f t="shared" ca="1" si="78"/>
        <v>0</v>
      </c>
      <c r="K407">
        <f t="shared" ca="1" si="79"/>
        <v>0</v>
      </c>
      <c r="L407">
        <f t="shared" ca="1" si="80"/>
        <v>0</v>
      </c>
      <c r="M407">
        <f t="shared" ca="1" si="81"/>
        <v>0</v>
      </c>
      <c r="N407">
        <f t="shared" ca="1" si="82"/>
        <v>0</v>
      </c>
      <c r="O407">
        <f t="shared" ca="1" si="83"/>
        <v>0</v>
      </c>
      <c r="P407">
        <f t="shared" ca="1" si="84"/>
        <v>0</v>
      </c>
      <c r="Q407">
        <f t="shared" ca="1" si="85"/>
        <v>0</v>
      </c>
      <c r="R407">
        <f t="shared" ca="1" si="86"/>
        <v>0</v>
      </c>
      <c r="S407">
        <f t="shared" ca="1" si="87"/>
        <v>0</v>
      </c>
      <c r="T407">
        <f t="shared" ca="1" si="88"/>
        <v>0</v>
      </c>
      <c r="U407">
        <f t="shared" ca="1" si="89"/>
        <v>0</v>
      </c>
      <c r="V407">
        <f t="shared" ca="1" si="90"/>
        <v>0</v>
      </c>
      <c r="W407">
        <f t="shared" ca="1" si="91"/>
        <v>0</v>
      </c>
      <c r="X407">
        <f t="shared" ca="1" si="92"/>
        <v>0</v>
      </c>
      <c r="Y407">
        <f t="shared" ca="1" si="93"/>
        <v>0</v>
      </c>
      <c r="Z407">
        <f t="shared" ca="1" si="94"/>
        <v>14.303630019868777</v>
      </c>
      <c r="AA407">
        <f t="shared" ca="1" si="95"/>
        <v>0</v>
      </c>
      <c r="AB407">
        <f t="shared" ca="1" si="96"/>
        <v>0</v>
      </c>
      <c r="AC407">
        <f t="shared" ca="1" si="97"/>
        <v>0</v>
      </c>
      <c r="AD407">
        <f t="shared" ca="1" si="98"/>
        <v>0</v>
      </c>
      <c r="AE407">
        <f t="shared" ca="1" si="99"/>
        <v>0</v>
      </c>
      <c r="AF407">
        <f t="shared" ca="1" si="100"/>
        <v>0</v>
      </c>
      <c r="AG407">
        <f t="shared" ca="1" si="101"/>
        <v>0</v>
      </c>
      <c r="AH407">
        <f t="shared" ca="1" si="102"/>
        <v>0</v>
      </c>
      <c r="AI407">
        <f t="shared" ca="1" si="103"/>
        <v>0</v>
      </c>
      <c r="AJ407">
        <f t="shared" ca="1" si="104"/>
        <v>0</v>
      </c>
      <c r="AK407">
        <f t="shared" ca="1" si="105"/>
        <v>0</v>
      </c>
      <c r="AL407">
        <f t="shared" ca="1" si="106"/>
        <v>0</v>
      </c>
      <c r="AM407">
        <f t="shared" ca="1" si="107"/>
        <v>0</v>
      </c>
      <c r="AN407">
        <f t="shared" ca="1" si="108"/>
        <v>0</v>
      </c>
      <c r="AO407">
        <f t="shared" ca="1" si="109"/>
        <v>0</v>
      </c>
      <c r="AP407">
        <f t="shared" ca="1" si="110"/>
        <v>0</v>
      </c>
    </row>
    <row r="408" spans="1:42" x14ac:dyDescent="0.2">
      <c r="A408" s="2" t="s">
        <v>287</v>
      </c>
      <c r="B408" s="2" t="str">
        <f>VLOOKUP(A408,'[14]Calculated coal req (reg.)'!$A$2:$B$599,2,FALSE)</f>
        <v>MUZAFFARPUR TPS UNIT 1-2</v>
      </c>
      <c r="C408" s="2">
        <v>0.87331513167899399</v>
      </c>
      <c r="D408" s="2"/>
      <c r="H408" t="s">
        <v>989</v>
      </c>
      <c r="I408">
        <f t="shared" ca="1" si="77"/>
        <v>0</v>
      </c>
      <c r="J408">
        <f t="shared" ca="1" si="78"/>
        <v>0</v>
      </c>
      <c r="K408">
        <f t="shared" ca="1" si="79"/>
        <v>0</v>
      </c>
      <c r="L408">
        <f t="shared" ca="1" si="80"/>
        <v>0</v>
      </c>
      <c r="M408">
        <f t="shared" ca="1" si="81"/>
        <v>0</v>
      </c>
      <c r="N408">
        <f t="shared" ca="1" si="82"/>
        <v>0</v>
      </c>
      <c r="O408">
        <f t="shared" ca="1" si="83"/>
        <v>0</v>
      </c>
      <c r="P408">
        <f t="shared" ca="1" si="84"/>
        <v>0</v>
      </c>
      <c r="Q408">
        <f t="shared" ca="1" si="85"/>
        <v>0</v>
      </c>
      <c r="R408">
        <f t="shared" ca="1" si="86"/>
        <v>0</v>
      </c>
      <c r="S408">
        <f t="shared" ca="1" si="87"/>
        <v>0</v>
      </c>
      <c r="T408">
        <f t="shared" ca="1" si="88"/>
        <v>0</v>
      </c>
      <c r="U408">
        <f t="shared" ca="1" si="89"/>
        <v>0</v>
      </c>
      <c r="V408">
        <f t="shared" ca="1" si="90"/>
        <v>0</v>
      </c>
      <c r="W408">
        <f t="shared" ca="1" si="91"/>
        <v>0</v>
      </c>
      <c r="X408">
        <f t="shared" ca="1" si="92"/>
        <v>0</v>
      </c>
      <c r="Y408">
        <f t="shared" ca="1" si="93"/>
        <v>0</v>
      </c>
      <c r="Z408">
        <f t="shared" ca="1" si="94"/>
        <v>13.537412660441611</v>
      </c>
      <c r="AA408">
        <f t="shared" ca="1" si="95"/>
        <v>0</v>
      </c>
      <c r="AB408">
        <f t="shared" ca="1" si="96"/>
        <v>0</v>
      </c>
      <c r="AC408">
        <f t="shared" ca="1" si="97"/>
        <v>0</v>
      </c>
      <c r="AD408">
        <f t="shared" ca="1" si="98"/>
        <v>0</v>
      </c>
      <c r="AE408">
        <f t="shared" ca="1" si="99"/>
        <v>0</v>
      </c>
      <c r="AF408">
        <f t="shared" ca="1" si="100"/>
        <v>0</v>
      </c>
      <c r="AG408">
        <f t="shared" ca="1" si="101"/>
        <v>0</v>
      </c>
      <c r="AH408">
        <f t="shared" ca="1" si="102"/>
        <v>0</v>
      </c>
      <c r="AI408">
        <f t="shared" ca="1" si="103"/>
        <v>0</v>
      </c>
      <c r="AJ408">
        <f t="shared" ca="1" si="104"/>
        <v>0</v>
      </c>
      <c r="AK408">
        <f t="shared" ca="1" si="105"/>
        <v>0</v>
      </c>
      <c r="AL408">
        <f t="shared" ca="1" si="106"/>
        <v>0</v>
      </c>
      <c r="AM408">
        <f t="shared" ca="1" si="107"/>
        <v>0</v>
      </c>
      <c r="AN408">
        <f t="shared" ca="1" si="108"/>
        <v>0</v>
      </c>
      <c r="AO408">
        <f t="shared" ca="1" si="109"/>
        <v>0</v>
      </c>
      <c r="AP408">
        <f t="shared" ca="1" si="110"/>
        <v>0</v>
      </c>
    </row>
    <row r="409" spans="1:42" x14ac:dyDescent="0.2">
      <c r="A409" s="2" t="s">
        <v>251</v>
      </c>
      <c r="B409" s="2" t="str">
        <f>VLOOKUP(A409,'[14]Calculated coal req (reg.)'!$A$2:$B$599,2,FALSE)</f>
        <v>MUZAFFARPUR TPS UNIT 3-4</v>
      </c>
      <c r="C409" s="2">
        <v>2.81276400728578</v>
      </c>
      <c r="D409" s="2"/>
      <c r="H409" t="s">
        <v>1164</v>
      </c>
      <c r="I409">
        <f t="shared" ca="1" si="77"/>
        <v>0</v>
      </c>
      <c r="J409">
        <f t="shared" ca="1" si="78"/>
        <v>0</v>
      </c>
      <c r="K409">
        <f t="shared" ca="1" si="79"/>
        <v>0</v>
      </c>
      <c r="L409">
        <f t="shared" ca="1" si="80"/>
        <v>0</v>
      </c>
      <c r="M409">
        <f t="shared" ca="1" si="81"/>
        <v>0</v>
      </c>
      <c r="N409">
        <f t="shared" ca="1" si="82"/>
        <v>0</v>
      </c>
      <c r="O409">
        <f t="shared" ca="1" si="83"/>
        <v>0</v>
      </c>
      <c r="P409">
        <f t="shared" ca="1" si="84"/>
        <v>0</v>
      </c>
      <c r="Q409">
        <f t="shared" ca="1" si="85"/>
        <v>0</v>
      </c>
      <c r="R409">
        <f t="shared" ca="1" si="86"/>
        <v>0</v>
      </c>
      <c r="S409">
        <f t="shared" ca="1" si="87"/>
        <v>7.5636440472345798</v>
      </c>
      <c r="T409">
        <f t="shared" ca="1" si="88"/>
        <v>0</v>
      </c>
      <c r="U409">
        <f t="shared" ca="1" si="89"/>
        <v>0</v>
      </c>
      <c r="V409">
        <f t="shared" ca="1" si="90"/>
        <v>0</v>
      </c>
      <c r="W409">
        <f t="shared" ca="1" si="91"/>
        <v>0</v>
      </c>
      <c r="X409">
        <f t="shared" ca="1" si="92"/>
        <v>0</v>
      </c>
      <c r="Y409">
        <f t="shared" ca="1" si="93"/>
        <v>0</v>
      </c>
      <c r="Z409">
        <f t="shared" ca="1" si="94"/>
        <v>0</v>
      </c>
      <c r="AA409">
        <f t="shared" ca="1" si="95"/>
        <v>0</v>
      </c>
      <c r="AB409">
        <f t="shared" ca="1" si="96"/>
        <v>0</v>
      </c>
      <c r="AC409">
        <f t="shared" ca="1" si="97"/>
        <v>0</v>
      </c>
      <c r="AD409">
        <f t="shared" ca="1" si="98"/>
        <v>0</v>
      </c>
      <c r="AE409">
        <f t="shared" ca="1" si="99"/>
        <v>0</v>
      </c>
      <c r="AF409">
        <f t="shared" ca="1" si="100"/>
        <v>0</v>
      </c>
      <c r="AG409">
        <f t="shared" ca="1" si="101"/>
        <v>0</v>
      </c>
      <c r="AH409">
        <f t="shared" ca="1" si="102"/>
        <v>0</v>
      </c>
      <c r="AI409">
        <f t="shared" ca="1" si="103"/>
        <v>0</v>
      </c>
      <c r="AJ409">
        <f t="shared" ca="1" si="104"/>
        <v>0</v>
      </c>
      <c r="AK409">
        <f t="shared" ca="1" si="105"/>
        <v>0</v>
      </c>
      <c r="AL409">
        <f t="shared" ca="1" si="106"/>
        <v>0</v>
      </c>
      <c r="AM409">
        <f t="shared" ca="1" si="107"/>
        <v>0</v>
      </c>
      <c r="AN409">
        <f t="shared" ca="1" si="108"/>
        <v>0</v>
      </c>
      <c r="AO409">
        <f t="shared" ca="1" si="109"/>
        <v>0</v>
      </c>
      <c r="AP409">
        <f t="shared" ca="1" si="110"/>
        <v>0</v>
      </c>
    </row>
    <row r="410" spans="1:42" x14ac:dyDescent="0.2">
      <c r="A410" s="2" t="s">
        <v>509</v>
      </c>
      <c r="B410" s="2" t="str">
        <f>VLOOKUP(A410,'[14]Calculated coal req (reg.)'!$A$2:$B$599,2,FALSE)</f>
        <v>NASIK TPS</v>
      </c>
      <c r="C410" s="2">
        <v>2.1689763206031398</v>
      </c>
      <c r="D410" s="2"/>
      <c r="H410" t="s">
        <v>1069</v>
      </c>
      <c r="I410">
        <f t="shared" ca="1" si="77"/>
        <v>7.5037151583697757</v>
      </c>
      <c r="J410">
        <f t="shared" ca="1" si="78"/>
        <v>0</v>
      </c>
      <c r="K410">
        <f t="shared" ca="1" si="79"/>
        <v>0</v>
      </c>
      <c r="L410">
        <f t="shared" ca="1" si="80"/>
        <v>0</v>
      </c>
      <c r="M410">
        <f t="shared" ca="1" si="81"/>
        <v>0</v>
      </c>
      <c r="N410">
        <f t="shared" ca="1" si="82"/>
        <v>0</v>
      </c>
      <c r="O410">
        <f t="shared" ca="1" si="83"/>
        <v>0</v>
      </c>
      <c r="P410">
        <f t="shared" ca="1" si="84"/>
        <v>0</v>
      </c>
      <c r="Q410">
        <f t="shared" ca="1" si="85"/>
        <v>0</v>
      </c>
      <c r="R410">
        <f t="shared" ca="1" si="86"/>
        <v>0</v>
      </c>
      <c r="S410">
        <f t="shared" ca="1" si="87"/>
        <v>0</v>
      </c>
      <c r="T410">
        <f t="shared" ca="1" si="88"/>
        <v>0</v>
      </c>
      <c r="U410">
        <f t="shared" ca="1" si="89"/>
        <v>0</v>
      </c>
      <c r="V410">
        <f t="shared" ca="1" si="90"/>
        <v>0</v>
      </c>
      <c r="W410">
        <f t="shared" ca="1" si="91"/>
        <v>0</v>
      </c>
      <c r="X410">
        <f t="shared" ca="1" si="92"/>
        <v>0</v>
      </c>
      <c r="Y410">
        <f t="shared" ca="1" si="93"/>
        <v>0</v>
      </c>
      <c r="Z410">
        <f t="shared" ca="1" si="94"/>
        <v>0</v>
      </c>
      <c r="AA410">
        <f t="shared" ca="1" si="95"/>
        <v>0</v>
      </c>
      <c r="AB410">
        <f t="shared" ca="1" si="96"/>
        <v>0</v>
      </c>
      <c r="AC410">
        <f t="shared" ca="1" si="97"/>
        <v>0</v>
      </c>
      <c r="AD410">
        <f t="shared" ca="1" si="98"/>
        <v>0</v>
      </c>
      <c r="AE410">
        <f t="shared" ca="1" si="99"/>
        <v>0</v>
      </c>
      <c r="AF410">
        <f t="shared" ca="1" si="100"/>
        <v>0</v>
      </c>
      <c r="AG410">
        <f t="shared" ca="1" si="101"/>
        <v>0</v>
      </c>
      <c r="AH410">
        <f t="shared" ca="1" si="102"/>
        <v>0</v>
      </c>
      <c r="AI410">
        <f t="shared" ca="1" si="103"/>
        <v>0</v>
      </c>
      <c r="AJ410">
        <f t="shared" ca="1" si="104"/>
        <v>0</v>
      </c>
      <c r="AK410">
        <f t="shared" ca="1" si="105"/>
        <v>0</v>
      </c>
      <c r="AL410">
        <f t="shared" ca="1" si="106"/>
        <v>8.4304273271079033</v>
      </c>
      <c r="AM410">
        <f t="shared" ca="1" si="107"/>
        <v>0</v>
      </c>
      <c r="AN410">
        <f t="shared" ca="1" si="108"/>
        <v>0</v>
      </c>
      <c r="AO410">
        <f t="shared" ca="1" si="109"/>
        <v>0</v>
      </c>
      <c r="AP410">
        <f t="shared" ca="1" si="110"/>
        <v>0</v>
      </c>
    </row>
    <row r="411" spans="1:42" x14ac:dyDescent="0.2">
      <c r="A411" s="2" t="s">
        <v>505</v>
      </c>
      <c r="B411" s="2" t="str">
        <f>VLOOKUP(A411,'[14]Calculated coal req (reg.)'!$A$2:$B$599,2,FALSE)</f>
        <v>NASIK TPS</v>
      </c>
      <c r="C411" s="2">
        <v>2.83990647741388</v>
      </c>
      <c r="D411" s="2"/>
      <c r="H411" t="s">
        <v>1043</v>
      </c>
      <c r="I411">
        <f t="shared" ca="1" si="77"/>
        <v>4.1988782846589521</v>
      </c>
      <c r="J411">
        <f t="shared" ca="1" si="78"/>
        <v>0</v>
      </c>
      <c r="K411">
        <f t="shared" ca="1" si="79"/>
        <v>0</v>
      </c>
      <c r="L411">
        <f t="shared" ca="1" si="80"/>
        <v>0</v>
      </c>
      <c r="M411">
        <f t="shared" ca="1" si="81"/>
        <v>0</v>
      </c>
      <c r="N411">
        <f t="shared" ca="1" si="82"/>
        <v>0</v>
      </c>
      <c r="O411">
        <f t="shared" ca="1" si="83"/>
        <v>0</v>
      </c>
      <c r="P411">
        <f t="shared" ca="1" si="84"/>
        <v>0</v>
      </c>
      <c r="Q411">
        <f t="shared" ca="1" si="85"/>
        <v>0</v>
      </c>
      <c r="R411">
        <f t="shared" ca="1" si="86"/>
        <v>0</v>
      </c>
      <c r="S411">
        <f t="shared" ca="1" si="87"/>
        <v>0</v>
      </c>
      <c r="T411">
        <f t="shared" ca="1" si="88"/>
        <v>0</v>
      </c>
      <c r="U411">
        <f t="shared" ca="1" si="89"/>
        <v>0</v>
      </c>
      <c r="V411">
        <f t="shared" ca="1" si="90"/>
        <v>0</v>
      </c>
      <c r="W411">
        <f t="shared" ca="1" si="91"/>
        <v>0</v>
      </c>
      <c r="X411">
        <f t="shared" ca="1" si="92"/>
        <v>2.9105347375286947</v>
      </c>
      <c r="Y411">
        <f t="shared" ca="1" si="93"/>
        <v>1.5978208676770314</v>
      </c>
      <c r="Z411">
        <f t="shared" ca="1" si="94"/>
        <v>0</v>
      </c>
      <c r="AA411">
        <f t="shared" ca="1" si="95"/>
        <v>0</v>
      </c>
      <c r="AB411">
        <f t="shared" ca="1" si="96"/>
        <v>0</v>
      </c>
      <c r="AC411">
        <f t="shared" ca="1" si="97"/>
        <v>0</v>
      </c>
      <c r="AD411">
        <f t="shared" ca="1" si="98"/>
        <v>0</v>
      </c>
      <c r="AE411">
        <f t="shared" ca="1" si="99"/>
        <v>0</v>
      </c>
      <c r="AF411">
        <f t="shared" ca="1" si="100"/>
        <v>0</v>
      </c>
      <c r="AG411">
        <f t="shared" ca="1" si="101"/>
        <v>0.26644528340919321</v>
      </c>
      <c r="AH411">
        <f t="shared" ca="1" si="102"/>
        <v>0</v>
      </c>
      <c r="AI411">
        <f t="shared" ca="1" si="103"/>
        <v>0</v>
      </c>
      <c r="AJ411">
        <f t="shared" ca="1" si="104"/>
        <v>0</v>
      </c>
      <c r="AK411">
        <f t="shared" ca="1" si="105"/>
        <v>3.4552744532369659</v>
      </c>
      <c r="AL411">
        <f t="shared" ca="1" si="106"/>
        <v>3.4998934831524435</v>
      </c>
      <c r="AM411">
        <f t="shared" ca="1" si="107"/>
        <v>0</v>
      </c>
      <c r="AN411">
        <f t="shared" ca="1" si="108"/>
        <v>0</v>
      </c>
      <c r="AO411">
        <f t="shared" ca="1" si="109"/>
        <v>0</v>
      </c>
      <c r="AP411">
        <f t="shared" ca="1" si="110"/>
        <v>0</v>
      </c>
    </row>
    <row r="412" spans="1:42" x14ac:dyDescent="0.2">
      <c r="A412" s="2" t="s">
        <v>499</v>
      </c>
      <c r="B412" s="2" t="str">
        <f>VLOOKUP(A412,'[14]Calculated coal req (reg.)'!$A$2:$B$599,2,FALSE)</f>
        <v>NASIK TPS</v>
      </c>
      <c r="C412" s="2">
        <v>1.79778670053259</v>
      </c>
      <c r="D412" s="2"/>
      <c r="H412" t="s">
        <v>1007</v>
      </c>
      <c r="I412">
        <f t="shared" ca="1" si="77"/>
        <v>0</v>
      </c>
      <c r="J412">
        <f t="shared" ca="1" si="78"/>
        <v>0</v>
      </c>
      <c r="K412">
        <f t="shared" ca="1" si="79"/>
        <v>0</v>
      </c>
      <c r="L412">
        <f t="shared" ca="1" si="80"/>
        <v>0</v>
      </c>
      <c r="M412">
        <f t="shared" ca="1" si="81"/>
        <v>0</v>
      </c>
      <c r="N412">
        <f t="shared" ca="1" si="82"/>
        <v>0</v>
      </c>
      <c r="O412">
        <f t="shared" ca="1" si="83"/>
        <v>0</v>
      </c>
      <c r="P412">
        <f t="shared" ca="1" si="84"/>
        <v>0</v>
      </c>
      <c r="Q412">
        <f t="shared" ca="1" si="85"/>
        <v>0</v>
      </c>
      <c r="R412">
        <f t="shared" ca="1" si="86"/>
        <v>0</v>
      </c>
      <c r="S412">
        <f t="shared" ca="1" si="87"/>
        <v>0</v>
      </c>
      <c r="T412">
        <f t="shared" ca="1" si="88"/>
        <v>0</v>
      </c>
      <c r="U412">
        <f t="shared" ca="1" si="89"/>
        <v>0</v>
      </c>
      <c r="V412">
        <f t="shared" ca="1" si="90"/>
        <v>0</v>
      </c>
      <c r="W412">
        <f t="shared" ca="1" si="91"/>
        <v>0</v>
      </c>
      <c r="X412">
        <f t="shared" ca="1" si="92"/>
        <v>0</v>
      </c>
      <c r="Y412">
        <f t="shared" ca="1" si="93"/>
        <v>0</v>
      </c>
      <c r="Z412">
        <f t="shared" ca="1" si="94"/>
        <v>0</v>
      </c>
      <c r="AA412">
        <f t="shared" ca="1" si="95"/>
        <v>0</v>
      </c>
      <c r="AB412">
        <f t="shared" ca="1" si="96"/>
        <v>0</v>
      </c>
      <c r="AC412">
        <f t="shared" ca="1" si="97"/>
        <v>0</v>
      </c>
      <c r="AD412">
        <f t="shared" ca="1" si="98"/>
        <v>0</v>
      </c>
      <c r="AE412">
        <f t="shared" ca="1" si="99"/>
        <v>0</v>
      </c>
      <c r="AF412">
        <f t="shared" ca="1" si="100"/>
        <v>0</v>
      </c>
      <c r="AG412">
        <f t="shared" ca="1" si="101"/>
        <v>0</v>
      </c>
      <c r="AH412">
        <f t="shared" ca="1" si="102"/>
        <v>0</v>
      </c>
      <c r="AI412">
        <f t="shared" ca="1" si="103"/>
        <v>0</v>
      </c>
      <c r="AJ412">
        <f t="shared" ca="1" si="104"/>
        <v>0</v>
      </c>
      <c r="AK412">
        <f t="shared" ca="1" si="105"/>
        <v>0</v>
      </c>
      <c r="AL412">
        <f t="shared" ca="1" si="106"/>
        <v>25.004338668185</v>
      </c>
      <c r="AM412">
        <f t="shared" ca="1" si="107"/>
        <v>0</v>
      </c>
      <c r="AN412">
        <f t="shared" ca="1" si="108"/>
        <v>0</v>
      </c>
      <c r="AO412">
        <f t="shared" ca="1" si="109"/>
        <v>0</v>
      </c>
      <c r="AP412">
        <f t="shared" ca="1" si="110"/>
        <v>0</v>
      </c>
    </row>
    <row r="413" spans="1:42" x14ac:dyDescent="0.2">
      <c r="A413" s="2" t="s">
        <v>324</v>
      </c>
      <c r="B413" s="2"/>
      <c r="C413" s="2">
        <v>0.37471153628626402</v>
      </c>
      <c r="D413" s="2"/>
      <c r="H413" t="s">
        <v>1089</v>
      </c>
      <c r="I413">
        <f t="shared" ca="1" si="77"/>
        <v>0</v>
      </c>
      <c r="J413">
        <f t="shared" ca="1" si="78"/>
        <v>0</v>
      </c>
      <c r="K413">
        <f t="shared" ca="1" si="79"/>
        <v>0</v>
      </c>
      <c r="L413">
        <f t="shared" ca="1" si="80"/>
        <v>0</v>
      </c>
      <c r="M413">
        <f t="shared" ca="1" si="81"/>
        <v>1.048877837126E-3</v>
      </c>
      <c r="N413">
        <f t="shared" ca="1" si="82"/>
        <v>0</v>
      </c>
      <c r="O413">
        <f t="shared" ca="1" si="83"/>
        <v>0</v>
      </c>
      <c r="P413">
        <f t="shared" ca="1" si="84"/>
        <v>0</v>
      </c>
      <c r="Q413">
        <f t="shared" ca="1" si="85"/>
        <v>3.0357171255486346</v>
      </c>
      <c r="R413">
        <f t="shared" ca="1" si="86"/>
        <v>0</v>
      </c>
      <c r="S413">
        <f t="shared" ca="1" si="87"/>
        <v>0</v>
      </c>
      <c r="T413">
        <f t="shared" ca="1" si="88"/>
        <v>4.3564067272410734</v>
      </c>
      <c r="U413">
        <f t="shared" ca="1" si="89"/>
        <v>0.22334882179089491</v>
      </c>
      <c r="V413">
        <f t="shared" ca="1" si="90"/>
        <v>9.9469555442543753E-2</v>
      </c>
      <c r="W413">
        <f t="shared" ca="1" si="91"/>
        <v>0</v>
      </c>
      <c r="X413">
        <f t="shared" ca="1" si="92"/>
        <v>0</v>
      </c>
      <c r="Y413">
        <f t="shared" ca="1" si="93"/>
        <v>0</v>
      </c>
      <c r="Z413">
        <f t="shared" ca="1" si="94"/>
        <v>0</v>
      </c>
      <c r="AA413">
        <f t="shared" ca="1" si="95"/>
        <v>0</v>
      </c>
      <c r="AB413">
        <f t="shared" ca="1" si="96"/>
        <v>0</v>
      </c>
      <c r="AC413">
        <f t="shared" ca="1" si="97"/>
        <v>0</v>
      </c>
      <c r="AD413">
        <f t="shared" ca="1" si="98"/>
        <v>0</v>
      </c>
      <c r="AE413">
        <f t="shared" ca="1" si="99"/>
        <v>0</v>
      </c>
      <c r="AF413">
        <f t="shared" ca="1" si="100"/>
        <v>0</v>
      </c>
      <c r="AG413">
        <f t="shared" ca="1" si="101"/>
        <v>0</v>
      </c>
      <c r="AH413">
        <f t="shared" ca="1" si="102"/>
        <v>4.637524423301663</v>
      </c>
      <c r="AI413">
        <f t="shared" ca="1" si="103"/>
        <v>9.1527444305664751</v>
      </c>
      <c r="AJ413">
        <f t="shared" ca="1" si="104"/>
        <v>0</v>
      </c>
      <c r="AK413">
        <f t="shared" ca="1" si="105"/>
        <v>0</v>
      </c>
      <c r="AL413">
        <f t="shared" ca="1" si="106"/>
        <v>0</v>
      </c>
      <c r="AM413">
        <f t="shared" ca="1" si="107"/>
        <v>0</v>
      </c>
      <c r="AN413">
        <f t="shared" ca="1" si="108"/>
        <v>17.590188551825364</v>
      </c>
      <c r="AO413">
        <f t="shared" ca="1" si="109"/>
        <v>1.8584684541527159</v>
      </c>
      <c r="AP413">
        <f t="shared" ca="1" si="110"/>
        <v>0</v>
      </c>
    </row>
    <row r="414" spans="1:42" x14ac:dyDescent="0.2">
      <c r="A414" s="2" t="s">
        <v>266</v>
      </c>
      <c r="B414" s="2"/>
      <c r="C414" s="2">
        <v>7.2983870967741902E-3</v>
      </c>
      <c r="D414" s="2"/>
      <c r="H414" t="s">
        <v>1002</v>
      </c>
      <c r="I414">
        <f t="shared" ca="1" si="77"/>
        <v>0.64952616359090876</v>
      </c>
      <c r="J414">
        <f t="shared" ca="1" si="78"/>
        <v>0</v>
      </c>
      <c r="K414">
        <f t="shared" ca="1" si="79"/>
        <v>0</v>
      </c>
      <c r="L414">
        <f t="shared" ca="1" si="80"/>
        <v>0</v>
      </c>
      <c r="M414">
        <f t="shared" ca="1" si="81"/>
        <v>0</v>
      </c>
      <c r="N414">
        <f t="shared" ca="1" si="82"/>
        <v>7.5643655306263673</v>
      </c>
      <c r="O414">
        <f t="shared" ca="1" si="83"/>
        <v>2.0264273444399068</v>
      </c>
      <c r="P414">
        <f t="shared" ca="1" si="84"/>
        <v>0.57864670442661525</v>
      </c>
      <c r="Q414">
        <f t="shared" ca="1" si="85"/>
        <v>0</v>
      </c>
      <c r="R414">
        <f t="shared" ca="1" si="86"/>
        <v>0.704773087572652</v>
      </c>
      <c r="S414">
        <f t="shared" ca="1" si="87"/>
        <v>13.108854125757199</v>
      </c>
      <c r="T414">
        <f t="shared" ca="1" si="88"/>
        <v>0</v>
      </c>
      <c r="U414">
        <f t="shared" ca="1" si="89"/>
        <v>0</v>
      </c>
      <c r="V414">
        <f t="shared" ca="1" si="90"/>
        <v>0.20294058154933647</v>
      </c>
      <c r="W414">
        <f t="shared" ca="1" si="91"/>
        <v>0</v>
      </c>
      <c r="X414">
        <f t="shared" ca="1" si="92"/>
        <v>0</v>
      </c>
      <c r="Y414">
        <f t="shared" ca="1" si="93"/>
        <v>0</v>
      </c>
      <c r="Z414">
        <f t="shared" ca="1" si="94"/>
        <v>7.823774689456088</v>
      </c>
      <c r="AA414">
        <f t="shared" ca="1" si="95"/>
        <v>8.4673063317718213</v>
      </c>
      <c r="AB414">
        <f t="shared" ca="1" si="96"/>
        <v>0</v>
      </c>
      <c r="AC414">
        <f t="shared" ca="1" si="97"/>
        <v>0</v>
      </c>
      <c r="AD414">
        <f t="shared" ca="1" si="98"/>
        <v>0</v>
      </c>
      <c r="AE414">
        <f t="shared" ca="1" si="99"/>
        <v>0</v>
      </c>
      <c r="AF414">
        <f t="shared" ca="1" si="100"/>
        <v>0</v>
      </c>
      <c r="AG414">
        <f t="shared" ca="1" si="101"/>
        <v>0</v>
      </c>
      <c r="AH414">
        <f t="shared" ca="1" si="102"/>
        <v>0</v>
      </c>
      <c r="AI414">
        <f t="shared" ca="1" si="103"/>
        <v>0</v>
      </c>
      <c r="AJ414">
        <f t="shared" ca="1" si="104"/>
        <v>0</v>
      </c>
      <c r="AK414">
        <f t="shared" ca="1" si="105"/>
        <v>0</v>
      </c>
      <c r="AL414">
        <f t="shared" ca="1" si="106"/>
        <v>0.55972564862360541</v>
      </c>
      <c r="AM414">
        <f t="shared" ca="1" si="107"/>
        <v>0</v>
      </c>
      <c r="AN414">
        <f t="shared" ca="1" si="108"/>
        <v>0</v>
      </c>
      <c r="AO414">
        <f t="shared" ca="1" si="109"/>
        <v>0</v>
      </c>
      <c r="AP414">
        <f t="shared" ca="1" si="110"/>
        <v>0</v>
      </c>
    </row>
    <row r="415" spans="1:42" x14ac:dyDescent="0.2">
      <c r="A415" s="2" t="s">
        <v>346</v>
      </c>
      <c r="B415" s="2" t="str">
        <f>VLOOKUP(A415,'[14]Calculated coal req (reg.)'!$A$2:$B$599,2,FALSE)</f>
        <v>NORTH CHENNAI TPS UNIT 1-3</v>
      </c>
      <c r="C415" s="2">
        <v>3.2111540370556502</v>
      </c>
      <c r="D415" s="2"/>
      <c r="H415" t="s">
        <v>1057</v>
      </c>
      <c r="I415">
        <f t="shared" ca="1" si="77"/>
        <v>0</v>
      </c>
      <c r="J415">
        <f t="shared" ca="1" si="78"/>
        <v>0</v>
      </c>
      <c r="K415">
        <f t="shared" ca="1" si="79"/>
        <v>0</v>
      </c>
      <c r="L415">
        <f t="shared" ca="1" si="80"/>
        <v>0</v>
      </c>
      <c r="M415">
        <f t="shared" ca="1" si="81"/>
        <v>0</v>
      </c>
      <c r="N415">
        <f t="shared" ca="1" si="82"/>
        <v>3.2794352849961315</v>
      </c>
      <c r="O415">
        <f t="shared" ca="1" si="83"/>
        <v>0.64431033898470746</v>
      </c>
      <c r="P415">
        <f t="shared" ca="1" si="84"/>
        <v>0.20308710678982683</v>
      </c>
      <c r="Q415">
        <f t="shared" ca="1" si="85"/>
        <v>0</v>
      </c>
      <c r="R415">
        <f t="shared" ca="1" si="86"/>
        <v>0.28908565356653032</v>
      </c>
      <c r="S415">
        <f t="shared" ca="1" si="87"/>
        <v>5.8018612447705911</v>
      </c>
      <c r="T415">
        <f t="shared" ca="1" si="88"/>
        <v>0</v>
      </c>
      <c r="U415">
        <f t="shared" ca="1" si="89"/>
        <v>0</v>
      </c>
      <c r="V415">
        <f t="shared" ca="1" si="90"/>
        <v>7.5651490105516334E-2</v>
      </c>
      <c r="W415">
        <f t="shared" ca="1" si="91"/>
        <v>0</v>
      </c>
      <c r="X415">
        <f t="shared" ca="1" si="92"/>
        <v>0</v>
      </c>
      <c r="Y415">
        <f t="shared" ca="1" si="93"/>
        <v>0</v>
      </c>
      <c r="Z415">
        <f t="shared" ca="1" si="94"/>
        <v>3.7611001177858028</v>
      </c>
      <c r="AA415">
        <f t="shared" ca="1" si="95"/>
        <v>6.8533972171924766</v>
      </c>
      <c r="AB415">
        <f t="shared" ca="1" si="96"/>
        <v>0</v>
      </c>
      <c r="AC415">
        <f t="shared" ca="1" si="97"/>
        <v>0</v>
      </c>
      <c r="AD415">
        <f t="shared" ca="1" si="98"/>
        <v>0</v>
      </c>
      <c r="AE415">
        <f t="shared" ca="1" si="99"/>
        <v>0</v>
      </c>
      <c r="AF415">
        <f t="shared" ca="1" si="100"/>
        <v>0</v>
      </c>
      <c r="AG415">
        <f t="shared" ca="1" si="101"/>
        <v>0</v>
      </c>
      <c r="AH415">
        <f t="shared" ca="1" si="102"/>
        <v>0</v>
      </c>
      <c r="AI415">
        <f t="shared" ca="1" si="103"/>
        <v>0</v>
      </c>
      <c r="AJ415">
        <f t="shared" ca="1" si="104"/>
        <v>0</v>
      </c>
      <c r="AK415">
        <f t="shared" ca="1" si="105"/>
        <v>0</v>
      </c>
      <c r="AL415">
        <f t="shared" ca="1" si="106"/>
        <v>0.16911994073651795</v>
      </c>
      <c r="AM415">
        <f t="shared" ca="1" si="107"/>
        <v>0</v>
      </c>
      <c r="AN415">
        <f t="shared" ca="1" si="108"/>
        <v>0</v>
      </c>
      <c r="AO415">
        <f t="shared" ca="1" si="109"/>
        <v>0</v>
      </c>
      <c r="AP415">
        <f t="shared" ca="1" si="110"/>
        <v>0</v>
      </c>
    </row>
    <row r="416" spans="1:42" x14ac:dyDescent="0.2">
      <c r="A416" s="2" t="s">
        <v>345</v>
      </c>
      <c r="B416" s="2" t="str">
        <f>VLOOKUP(A416,'[14]Calculated coal req (reg.)'!$A$2:$B$599,2,FALSE)</f>
        <v>NORTH CHENNAI TPS UNIT 1-3</v>
      </c>
      <c r="C416" s="2">
        <v>3.64097022207641</v>
      </c>
      <c r="D416" s="2"/>
      <c r="H416" t="s">
        <v>991</v>
      </c>
      <c r="I416">
        <f t="shared" ca="1" si="77"/>
        <v>0</v>
      </c>
      <c r="J416">
        <f t="shared" ca="1" si="78"/>
        <v>0</v>
      </c>
      <c r="K416">
        <f t="shared" ca="1" si="79"/>
        <v>0</v>
      </c>
      <c r="L416">
        <f t="shared" ca="1" si="80"/>
        <v>0</v>
      </c>
      <c r="M416">
        <f t="shared" ca="1" si="81"/>
        <v>0</v>
      </c>
      <c r="N416">
        <f t="shared" ca="1" si="82"/>
        <v>2.4616604024623356</v>
      </c>
      <c r="O416">
        <f t="shared" ca="1" si="83"/>
        <v>0.7265081487910604</v>
      </c>
      <c r="P416">
        <f t="shared" ca="1" si="84"/>
        <v>0</v>
      </c>
      <c r="Q416">
        <f t="shared" ca="1" si="85"/>
        <v>0</v>
      </c>
      <c r="R416">
        <f t="shared" ca="1" si="86"/>
        <v>0.46837251112816503</v>
      </c>
      <c r="S416">
        <f t="shared" ca="1" si="87"/>
        <v>0.45270386131953505</v>
      </c>
      <c r="T416">
        <f t="shared" ca="1" si="88"/>
        <v>0</v>
      </c>
      <c r="U416">
        <f t="shared" ca="1" si="89"/>
        <v>0</v>
      </c>
      <c r="V416">
        <f t="shared" ca="1" si="90"/>
        <v>1.7225452595350448E-2</v>
      </c>
      <c r="W416">
        <f t="shared" ca="1" si="91"/>
        <v>0</v>
      </c>
      <c r="X416">
        <f t="shared" ca="1" si="92"/>
        <v>0</v>
      </c>
      <c r="Y416">
        <f t="shared" ca="1" si="93"/>
        <v>0</v>
      </c>
      <c r="Z416">
        <f t="shared" ca="1" si="94"/>
        <v>0</v>
      </c>
      <c r="AA416">
        <f t="shared" ca="1" si="95"/>
        <v>0</v>
      </c>
      <c r="AB416">
        <f t="shared" ca="1" si="96"/>
        <v>0</v>
      </c>
      <c r="AC416">
        <f t="shared" ca="1" si="97"/>
        <v>0</v>
      </c>
      <c r="AD416">
        <f t="shared" ca="1" si="98"/>
        <v>0</v>
      </c>
      <c r="AE416">
        <f t="shared" ca="1" si="99"/>
        <v>0</v>
      </c>
      <c r="AF416">
        <f t="shared" ca="1" si="100"/>
        <v>0</v>
      </c>
      <c r="AG416">
        <f t="shared" ca="1" si="101"/>
        <v>0</v>
      </c>
      <c r="AH416">
        <f t="shared" ca="1" si="102"/>
        <v>0</v>
      </c>
      <c r="AI416">
        <f t="shared" ca="1" si="103"/>
        <v>0</v>
      </c>
      <c r="AJ416">
        <f t="shared" ca="1" si="104"/>
        <v>0</v>
      </c>
      <c r="AK416">
        <f t="shared" ca="1" si="105"/>
        <v>0</v>
      </c>
      <c r="AL416">
        <f t="shared" ca="1" si="106"/>
        <v>0.2522660033108366</v>
      </c>
      <c r="AM416">
        <f t="shared" ca="1" si="107"/>
        <v>0</v>
      </c>
      <c r="AN416">
        <f t="shared" ca="1" si="108"/>
        <v>0</v>
      </c>
      <c r="AO416">
        <f t="shared" ca="1" si="109"/>
        <v>0</v>
      </c>
      <c r="AP416">
        <f t="shared" ca="1" si="110"/>
        <v>0</v>
      </c>
    </row>
    <row r="417" spans="1:42" x14ac:dyDescent="0.2">
      <c r="A417" s="2" t="s">
        <v>395</v>
      </c>
      <c r="B417" s="2" t="str">
        <f>VLOOKUP(A417,'[14]Calculated coal req (reg.)'!$A$2:$B$599,2,FALSE)</f>
        <v>NORTH CHENNAI TPS UNIT 1-3</v>
      </c>
      <c r="C417" s="2">
        <v>3.6123119578162401</v>
      </c>
      <c r="D417" s="2"/>
      <c r="H417" t="s">
        <v>1165</v>
      </c>
      <c r="I417">
        <f t="shared" ca="1" si="77"/>
        <v>0</v>
      </c>
      <c r="J417">
        <f t="shared" ca="1" si="78"/>
        <v>0</v>
      </c>
      <c r="K417">
        <f t="shared" ca="1" si="79"/>
        <v>0</v>
      </c>
      <c r="L417">
        <f t="shared" ca="1" si="80"/>
        <v>0</v>
      </c>
      <c r="M417">
        <f t="shared" ca="1" si="81"/>
        <v>0</v>
      </c>
      <c r="N417">
        <f t="shared" ca="1" si="82"/>
        <v>0</v>
      </c>
      <c r="O417">
        <f t="shared" ca="1" si="83"/>
        <v>0</v>
      </c>
      <c r="P417">
        <f t="shared" ca="1" si="84"/>
        <v>0</v>
      </c>
      <c r="Q417">
        <f t="shared" ca="1" si="85"/>
        <v>0</v>
      </c>
      <c r="R417">
        <f t="shared" ca="1" si="86"/>
        <v>0</v>
      </c>
      <c r="S417">
        <f t="shared" ca="1" si="87"/>
        <v>0</v>
      </c>
      <c r="T417">
        <f t="shared" ca="1" si="88"/>
        <v>0</v>
      </c>
      <c r="U417">
        <f t="shared" ca="1" si="89"/>
        <v>0</v>
      </c>
      <c r="V417">
        <f t="shared" ca="1" si="90"/>
        <v>0</v>
      </c>
      <c r="W417">
        <f t="shared" ca="1" si="91"/>
        <v>0</v>
      </c>
      <c r="X417">
        <f t="shared" ca="1" si="92"/>
        <v>0</v>
      </c>
      <c r="Y417">
        <f t="shared" ca="1" si="93"/>
        <v>0</v>
      </c>
      <c r="Z417">
        <f t="shared" ca="1" si="94"/>
        <v>0</v>
      </c>
      <c r="AA417">
        <f t="shared" ca="1" si="95"/>
        <v>0</v>
      </c>
      <c r="AB417">
        <f t="shared" ca="1" si="96"/>
        <v>0</v>
      </c>
      <c r="AC417">
        <f t="shared" ca="1" si="97"/>
        <v>0</v>
      </c>
      <c r="AD417">
        <f t="shared" ca="1" si="98"/>
        <v>0</v>
      </c>
      <c r="AE417">
        <f t="shared" ca="1" si="99"/>
        <v>0</v>
      </c>
      <c r="AF417">
        <f t="shared" ca="1" si="100"/>
        <v>0</v>
      </c>
      <c r="AG417">
        <f t="shared" ca="1" si="101"/>
        <v>0</v>
      </c>
      <c r="AH417">
        <f t="shared" ca="1" si="102"/>
        <v>0</v>
      </c>
      <c r="AI417">
        <f t="shared" ca="1" si="103"/>
        <v>0</v>
      </c>
      <c r="AJ417">
        <f t="shared" ca="1" si="104"/>
        <v>0</v>
      </c>
      <c r="AK417">
        <f t="shared" ca="1" si="105"/>
        <v>0</v>
      </c>
      <c r="AL417">
        <f t="shared" ca="1" si="106"/>
        <v>0</v>
      </c>
      <c r="AM417">
        <f t="shared" ca="1" si="107"/>
        <v>0</v>
      </c>
      <c r="AN417">
        <f t="shared" ca="1" si="108"/>
        <v>0</v>
      </c>
      <c r="AO417">
        <f t="shared" ca="1" si="109"/>
        <v>0</v>
      </c>
      <c r="AP417">
        <f t="shared" ca="1" si="110"/>
        <v>0.85523826263123204</v>
      </c>
    </row>
    <row r="418" spans="1:42" x14ac:dyDescent="0.2">
      <c r="A418" s="2" t="s">
        <v>535</v>
      </c>
      <c r="B418" s="2" t="str">
        <f>VLOOKUP(A418,'[14]Calculated coal req (reg.)'!$A$2:$B$599,2,FALSE)</f>
        <v>OBRA TPS UNIT 1-8</v>
      </c>
      <c r="C418" s="2">
        <v>1.5340792540792501</v>
      </c>
      <c r="D418" s="2"/>
      <c r="H418" t="s">
        <v>1022</v>
      </c>
      <c r="I418">
        <f t="shared" ca="1" si="77"/>
        <v>0</v>
      </c>
      <c r="J418">
        <f t="shared" ca="1" si="78"/>
        <v>0</v>
      </c>
      <c r="K418">
        <f t="shared" ca="1" si="79"/>
        <v>0</v>
      </c>
      <c r="L418">
        <f t="shared" ca="1" si="80"/>
        <v>0</v>
      </c>
      <c r="M418">
        <f t="shared" ca="1" si="81"/>
        <v>0</v>
      </c>
      <c r="N418">
        <f t="shared" ca="1" si="82"/>
        <v>0</v>
      </c>
      <c r="O418">
        <f t="shared" ca="1" si="83"/>
        <v>0</v>
      </c>
      <c r="P418">
        <f t="shared" ca="1" si="84"/>
        <v>0</v>
      </c>
      <c r="Q418">
        <f t="shared" ca="1" si="85"/>
        <v>0</v>
      </c>
      <c r="R418">
        <f t="shared" ca="1" si="86"/>
        <v>0</v>
      </c>
      <c r="S418">
        <f t="shared" ca="1" si="87"/>
        <v>0</v>
      </c>
      <c r="T418">
        <f t="shared" ca="1" si="88"/>
        <v>0</v>
      </c>
      <c r="U418">
        <f t="shared" ca="1" si="89"/>
        <v>0</v>
      </c>
      <c r="V418">
        <f t="shared" ca="1" si="90"/>
        <v>0</v>
      </c>
      <c r="W418">
        <f t="shared" ca="1" si="91"/>
        <v>0</v>
      </c>
      <c r="X418">
        <f t="shared" ca="1" si="92"/>
        <v>0</v>
      </c>
      <c r="Y418">
        <f t="shared" ca="1" si="93"/>
        <v>0</v>
      </c>
      <c r="Z418">
        <f t="shared" ca="1" si="94"/>
        <v>0</v>
      </c>
      <c r="AA418">
        <f t="shared" ca="1" si="95"/>
        <v>0</v>
      </c>
      <c r="AB418">
        <f t="shared" ca="1" si="96"/>
        <v>0</v>
      </c>
      <c r="AC418">
        <f t="shared" ca="1" si="97"/>
        <v>0</v>
      </c>
      <c r="AD418">
        <f t="shared" ca="1" si="98"/>
        <v>0</v>
      </c>
      <c r="AE418">
        <f t="shared" ca="1" si="99"/>
        <v>0</v>
      </c>
      <c r="AF418">
        <f t="shared" ca="1" si="100"/>
        <v>1.4775053609660109</v>
      </c>
      <c r="AG418">
        <f t="shared" ca="1" si="101"/>
        <v>0</v>
      </c>
      <c r="AH418">
        <f t="shared" ca="1" si="102"/>
        <v>0</v>
      </c>
      <c r="AI418">
        <f t="shared" ca="1" si="103"/>
        <v>0</v>
      </c>
      <c r="AJ418">
        <f t="shared" ca="1" si="104"/>
        <v>0</v>
      </c>
      <c r="AK418">
        <f t="shared" ca="1" si="105"/>
        <v>0</v>
      </c>
      <c r="AL418">
        <f t="shared" ca="1" si="106"/>
        <v>0</v>
      </c>
      <c r="AM418">
        <f t="shared" ca="1" si="107"/>
        <v>0</v>
      </c>
      <c r="AN418">
        <f t="shared" ca="1" si="108"/>
        <v>0</v>
      </c>
      <c r="AO418">
        <f t="shared" ca="1" si="109"/>
        <v>0</v>
      </c>
      <c r="AP418">
        <f t="shared" ca="1" si="110"/>
        <v>0</v>
      </c>
    </row>
    <row r="419" spans="1:42" x14ac:dyDescent="0.2">
      <c r="A419" s="2" t="s">
        <v>515</v>
      </c>
      <c r="B419" s="2" t="str">
        <f>VLOOKUP(A419,'[14]Calculated coal req (reg.)'!$A$2:$B$599,2,FALSE)</f>
        <v>OBRA TPS UNIT 9-13</v>
      </c>
      <c r="C419" s="2">
        <v>3.0038180028956298</v>
      </c>
      <c r="D419" s="2"/>
      <c r="H419" t="s">
        <v>1198</v>
      </c>
      <c r="I419">
        <f t="shared" ca="1" si="77"/>
        <v>0</v>
      </c>
      <c r="J419">
        <f t="shared" ca="1" si="78"/>
        <v>0</v>
      </c>
      <c r="K419">
        <f t="shared" ca="1" si="79"/>
        <v>0</v>
      </c>
      <c r="L419">
        <f t="shared" ca="1" si="80"/>
        <v>0</v>
      </c>
      <c r="M419">
        <f t="shared" ca="1" si="81"/>
        <v>0</v>
      </c>
      <c r="N419">
        <f t="shared" ca="1" si="82"/>
        <v>0</v>
      </c>
      <c r="O419">
        <f t="shared" ca="1" si="83"/>
        <v>0</v>
      </c>
      <c r="P419">
        <f t="shared" ca="1" si="84"/>
        <v>0</v>
      </c>
      <c r="Q419">
        <f t="shared" ca="1" si="85"/>
        <v>0</v>
      </c>
      <c r="R419">
        <f t="shared" ca="1" si="86"/>
        <v>0</v>
      </c>
      <c r="S419">
        <f t="shared" ca="1" si="87"/>
        <v>0</v>
      </c>
      <c r="T419">
        <f t="shared" ca="1" si="88"/>
        <v>0</v>
      </c>
      <c r="U419">
        <f t="shared" ca="1" si="89"/>
        <v>0</v>
      </c>
      <c r="V419">
        <f t="shared" ca="1" si="90"/>
        <v>0</v>
      </c>
      <c r="W419">
        <f t="shared" ca="1" si="91"/>
        <v>0</v>
      </c>
      <c r="X419">
        <f t="shared" ca="1" si="92"/>
        <v>0</v>
      </c>
      <c r="Y419">
        <f t="shared" ca="1" si="93"/>
        <v>0</v>
      </c>
      <c r="Z419">
        <f t="shared" ca="1" si="94"/>
        <v>0</v>
      </c>
      <c r="AA419">
        <f t="shared" ca="1" si="95"/>
        <v>0</v>
      </c>
      <c r="AB419">
        <f t="shared" ca="1" si="96"/>
        <v>0</v>
      </c>
      <c r="AC419">
        <f t="shared" ca="1" si="97"/>
        <v>0</v>
      </c>
      <c r="AD419">
        <f t="shared" ca="1" si="98"/>
        <v>0</v>
      </c>
      <c r="AE419">
        <f t="shared" ca="1" si="99"/>
        <v>0</v>
      </c>
      <c r="AF419">
        <f t="shared" ca="1" si="100"/>
        <v>0</v>
      </c>
      <c r="AG419">
        <f t="shared" ca="1" si="101"/>
        <v>0</v>
      </c>
      <c r="AH419">
        <f t="shared" ca="1" si="102"/>
        <v>0</v>
      </c>
      <c r="AI419">
        <f t="shared" ca="1" si="103"/>
        <v>0</v>
      </c>
      <c r="AJ419">
        <f t="shared" ca="1" si="104"/>
        <v>0</v>
      </c>
      <c r="AK419">
        <f t="shared" ca="1" si="105"/>
        <v>0</v>
      </c>
      <c r="AL419">
        <f t="shared" ca="1" si="106"/>
        <v>0</v>
      </c>
      <c r="AM419">
        <f t="shared" ca="1" si="107"/>
        <v>0</v>
      </c>
      <c r="AN419">
        <f t="shared" ca="1" si="108"/>
        <v>0</v>
      </c>
      <c r="AO419">
        <f t="shared" ca="1" si="109"/>
        <v>0</v>
      </c>
      <c r="AP419">
        <f t="shared" ca="1" si="110"/>
        <v>0</v>
      </c>
    </row>
    <row r="420" spans="1:42" x14ac:dyDescent="0.2">
      <c r="A420" s="2" t="s">
        <v>516</v>
      </c>
      <c r="B420" s="2" t="str">
        <f>VLOOKUP(A420,'[14]Calculated coal req (reg.)'!$A$2:$B$599,2,FALSE)</f>
        <v>OBRA TPS UNIT 9-13</v>
      </c>
      <c r="C420" s="2">
        <v>3.4475288629341199</v>
      </c>
      <c r="D420" s="2"/>
      <c r="H420" t="s">
        <v>1199</v>
      </c>
      <c r="I420">
        <f t="shared" ca="1" si="77"/>
        <v>0</v>
      </c>
      <c r="J420">
        <f t="shared" ca="1" si="78"/>
        <v>0</v>
      </c>
      <c r="K420">
        <f t="shared" ca="1" si="79"/>
        <v>0</v>
      </c>
      <c r="L420">
        <f t="shared" ca="1" si="80"/>
        <v>0</v>
      </c>
      <c r="M420">
        <f t="shared" ca="1" si="81"/>
        <v>0</v>
      </c>
      <c r="N420">
        <f t="shared" ca="1" si="82"/>
        <v>0</v>
      </c>
      <c r="O420">
        <f t="shared" ca="1" si="83"/>
        <v>0</v>
      </c>
      <c r="P420">
        <f t="shared" ca="1" si="84"/>
        <v>0</v>
      </c>
      <c r="Q420">
        <f t="shared" ca="1" si="85"/>
        <v>0</v>
      </c>
      <c r="R420">
        <f t="shared" ca="1" si="86"/>
        <v>0</v>
      </c>
      <c r="S420">
        <f t="shared" ca="1" si="87"/>
        <v>0</v>
      </c>
      <c r="T420">
        <f t="shared" ca="1" si="88"/>
        <v>0</v>
      </c>
      <c r="U420">
        <f t="shared" ca="1" si="89"/>
        <v>0</v>
      </c>
      <c r="V420">
        <f t="shared" ca="1" si="90"/>
        <v>0</v>
      </c>
      <c r="W420">
        <f t="shared" ca="1" si="91"/>
        <v>0</v>
      </c>
      <c r="X420">
        <f t="shared" ca="1" si="92"/>
        <v>0</v>
      </c>
      <c r="Y420">
        <f t="shared" ca="1" si="93"/>
        <v>0</v>
      </c>
      <c r="Z420">
        <f t="shared" ca="1" si="94"/>
        <v>0</v>
      </c>
      <c r="AA420">
        <f t="shared" ca="1" si="95"/>
        <v>0</v>
      </c>
      <c r="AB420">
        <f t="shared" ca="1" si="96"/>
        <v>0</v>
      </c>
      <c r="AC420">
        <f t="shared" ca="1" si="97"/>
        <v>0</v>
      </c>
      <c r="AD420">
        <f t="shared" ca="1" si="98"/>
        <v>0</v>
      </c>
      <c r="AE420">
        <f t="shared" ca="1" si="99"/>
        <v>0</v>
      </c>
      <c r="AF420">
        <f t="shared" ca="1" si="100"/>
        <v>0</v>
      </c>
      <c r="AG420">
        <f t="shared" ca="1" si="101"/>
        <v>0</v>
      </c>
      <c r="AH420">
        <f t="shared" ca="1" si="102"/>
        <v>0</v>
      </c>
      <c r="AI420">
        <f t="shared" ca="1" si="103"/>
        <v>0</v>
      </c>
      <c r="AJ420">
        <f t="shared" ca="1" si="104"/>
        <v>0</v>
      </c>
      <c r="AK420">
        <f t="shared" ca="1" si="105"/>
        <v>0</v>
      </c>
      <c r="AL420">
        <f t="shared" ca="1" si="106"/>
        <v>0</v>
      </c>
      <c r="AM420">
        <f t="shared" ca="1" si="107"/>
        <v>0</v>
      </c>
      <c r="AN420">
        <f t="shared" ca="1" si="108"/>
        <v>0</v>
      </c>
      <c r="AO420">
        <f t="shared" ca="1" si="109"/>
        <v>0</v>
      </c>
      <c r="AP420">
        <f t="shared" ca="1" si="110"/>
        <v>0</v>
      </c>
    </row>
    <row r="421" spans="1:42" x14ac:dyDescent="0.2">
      <c r="A421" s="2" t="s">
        <v>502</v>
      </c>
      <c r="B421" s="2" t="str">
        <f>VLOOKUP(A421,'[14]Calculated coal req (reg.)'!$A$2:$B$599,2,FALSE)</f>
        <v>OBRA TPS UNIT 9-13</v>
      </c>
      <c r="C421" s="2">
        <v>4.2275800271906999E-2</v>
      </c>
      <c r="D421" s="2"/>
      <c r="H421" t="s">
        <v>1166</v>
      </c>
      <c r="I421">
        <f t="shared" ca="1" si="77"/>
        <v>0</v>
      </c>
      <c r="J421">
        <f t="shared" ca="1" si="78"/>
        <v>0</v>
      </c>
      <c r="K421">
        <f t="shared" ca="1" si="79"/>
        <v>0</v>
      </c>
      <c r="L421">
        <f t="shared" ca="1" si="80"/>
        <v>0</v>
      </c>
      <c r="M421">
        <f t="shared" ca="1" si="81"/>
        <v>0</v>
      </c>
      <c r="N421">
        <f t="shared" ca="1" si="82"/>
        <v>0</v>
      </c>
      <c r="O421">
        <f t="shared" ca="1" si="83"/>
        <v>0</v>
      </c>
      <c r="P421">
        <f t="shared" ca="1" si="84"/>
        <v>0</v>
      </c>
      <c r="Q421">
        <f t="shared" ca="1" si="85"/>
        <v>0</v>
      </c>
      <c r="R421">
        <f t="shared" ca="1" si="86"/>
        <v>0</v>
      </c>
      <c r="S421">
        <f t="shared" ca="1" si="87"/>
        <v>0</v>
      </c>
      <c r="T421">
        <f t="shared" ca="1" si="88"/>
        <v>0</v>
      </c>
      <c r="U421">
        <f t="shared" ca="1" si="89"/>
        <v>0</v>
      </c>
      <c r="V421">
        <f t="shared" ca="1" si="90"/>
        <v>0</v>
      </c>
      <c r="W421">
        <f t="shared" ca="1" si="91"/>
        <v>0</v>
      </c>
      <c r="X421">
        <f t="shared" ca="1" si="92"/>
        <v>0</v>
      </c>
      <c r="Y421">
        <f t="shared" ca="1" si="93"/>
        <v>0</v>
      </c>
      <c r="Z421">
        <f t="shared" ca="1" si="94"/>
        <v>0</v>
      </c>
      <c r="AA421">
        <f t="shared" ca="1" si="95"/>
        <v>0</v>
      </c>
      <c r="AB421">
        <f t="shared" ca="1" si="96"/>
        <v>0</v>
      </c>
      <c r="AC421">
        <f t="shared" ca="1" si="97"/>
        <v>0</v>
      </c>
      <c r="AD421">
        <f t="shared" ca="1" si="98"/>
        <v>0</v>
      </c>
      <c r="AE421">
        <f t="shared" ca="1" si="99"/>
        <v>0</v>
      </c>
      <c r="AF421">
        <f t="shared" ca="1" si="100"/>
        <v>0</v>
      </c>
      <c r="AG421">
        <f t="shared" ca="1" si="101"/>
        <v>0</v>
      </c>
      <c r="AH421">
        <f t="shared" ca="1" si="102"/>
        <v>0</v>
      </c>
      <c r="AI421">
        <f t="shared" ca="1" si="103"/>
        <v>16.985809644481769</v>
      </c>
      <c r="AJ421">
        <f t="shared" ca="1" si="104"/>
        <v>0</v>
      </c>
      <c r="AK421">
        <f t="shared" ca="1" si="105"/>
        <v>0</v>
      </c>
      <c r="AL421">
        <f t="shared" ca="1" si="106"/>
        <v>0</v>
      </c>
      <c r="AM421">
        <f t="shared" ca="1" si="107"/>
        <v>0</v>
      </c>
      <c r="AN421">
        <f t="shared" ca="1" si="108"/>
        <v>0</v>
      </c>
      <c r="AO421">
        <f t="shared" ca="1" si="109"/>
        <v>0</v>
      </c>
      <c r="AP421">
        <f t="shared" ca="1" si="110"/>
        <v>0</v>
      </c>
    </row>
    <row r="422" spans="1:42" x14ac:dyDescent="0.2">
      <c r="A422" s="2" t="s">
        <v>496</v>
      </c>
      <c r="B422" s="2" t="str">
        <f>VLOOKUP(A422,'[14]Calculated coal req (reg.)'!$A$2:$B$599,2,FALSE)</f>
        <v>OBRA TPS UNIT 9-13</v>
      </c>
      <c r="C422" s="2">
        <v>0.392669921311745</v>
      </c>
      <c r="D422" s="2"/>
      <c r="H422" t="s">
        <v>1167</v>
      </c>
      <c r="I422">
        <f t="shared" ca="1" si="77"/>
        <v>0</v>
      </c>
      <c r="J422">
        <f t="shared" ca="1" si="78"/>
        <v>0</v>
      </c>
      <c r="K422">
        <f t="shared" ca="1" si="79"/>
        <v>0</v>
      </c>
      <c r="L422">
        <f t="shared" ca="1" si="80"/>
        <v>0</v>
      </c>
      <c r="M422">
        <f t="shared" ca="1" si="81"/>
        <v>0</v>
      </c>
      <c r="N422">
        <f t="shared" ca="1" si="82"/>
        <v>0</v>
      </c>
      <c r="O422">
        <f t="shared" ca="1" si="83"/>
        <v>0</v>
      </c>
      <c r="P422">
        <f t="shared" ca="1" si="84"/>
        <v>0</v>
      </c>
      <c r="Q422">
        <f t="shared" ca="1" si="85"/>
        <v>0</v>
      </c>
      <c r="R422">
        <f t="shared" ca="1" si="86"/>
        <v>0</v>
      </c>
      <c r="S422">
        <f t="shared" ca="1" si="87"/>
        <v>0</v>
      </c>
      <c r="T422">
        <f t="shared" ca="1" si="88"/>
        <v>0</v>
      </c>
      <c r="U422">
        <f t="shared" ca="1" si="89"/>
        <v>0</v>
      </c>
      <c r="V422">
        <f t="shared" ca="1" si="90"/>
        <v>0</v>
      </c>
      <c r="W422">
        <f t="shared" ca="1" si="91"/>
        <v>0</v>
      </c>
      <c r="X422">
        <f t="shared" ca="1" si="92"/>
        <v>0</v>
      </c>
      <c r="Y422">
        <f t="shared" ca="1" si="93"/>
        <v>0</v>
      </c>
      <c r="Z422">
        <f t="shared" ca="1" si="94"/>
        <v>0</v>
      </c>
      <c r="AA422">
        <f t="shared" ca="1" si="95"/>
        <v>0</v>
      </c>
      <c r="AB422">
        <f t="shared" ca="1" si="96"/>
        <v>0</v>
      </c>
      <c r="AC422">
        <f t="shared" ca="1" si="97"/>
        <v>0</v>
      </c>
      <c r="AD422">
        <f t="shared" ca="1" si="98"/>
        <v>0</v>
      </c>
      <c r="AE422">
        <f t="shared" ca="1" si="99"/>
        <v>0</v>
      </c>
      <c r="AF422">
        <f t="shared" ca="1" si="100"/>
        <v>9.7262433788865597</v>
      </c>
      <c r="AG422">
        <f t="shared" ca="1" si="101"/>
        <v>0</v>
      </c>
      <c r="AH422">
        <f t="shared" ca="1" si="102"/>
        <v>0</v>
      </c>
      <c r="AI422">
        <f t="shared" ca="1" si="103"/>
        <v>0</v>
      </c>
      <c r="AJ422">
        <f t="shared" ca="1" si="104"/>
        <v>0</v>
      </c>
      <c r="AK422">
        <f t="shared" ca="1" si="105"/>
        <v>0</v>
      </c>
      <c r="AL422">
        <f t="shared" ca="1" si="106"/>
        <v>0</v>
      </c>
      <c r="AM422">
        <f t="shared" ca="1" si="107"/>
        <v>0</v>
      </c>
      <c r="AN422">
        <f t="shared" ca="1" si="108"/>
        <v>0</v>
      </c>
      <c r="AO422">
        <f t="shared" ca="1" si="109"/>
        <v>0</v>
      </c>
      <c r="AP422">
        <f t="shared" ca="1" si="110"/>
        <v>0</v>
      </c>
    </row>
    <row r="423" spans="1:42" x14ac:dyDescent="0.2">
      <c r="A423" s="2" t="s">
        <v>506</v>
      </c>
      <c r="B423" s="2" t="str">
        <f>VLOOKUP(A423,'[14]Calculated coal req (reg.)'!$A$2:$B$599,2,FALSE)</f>
        <v>OBRA TPS UNIT 9-13</v>
      </c>
      <c r="C423" s="2">
        <v>3.1869830530252901</v>
      </c>
      <c r="D423" s="2"/>
      <c r="H423" t="s">
        <v>1079</v>
      </c>
      <c r="I423">
        <f t="shared" ref="I423:I454" ca="1" si="111">$I195*M195</f>
        <v>0</v>
      </c>
      <c r="J423">
        <f t="shared" ref="J423:J454" ca="1" si="112">$I195*N195</f>
        <v>4.7376896331303618E-2</v>
      </c>
      <c r="K423">
        <f t="shared" ref="K423:K454" ca="1" si="113">$I195*O195</f>
        <v>0.4740299639502728</v>
      </c>
      <c r="L423">
        <f t="shared" ref="L423:L454" ca="1" si="114">$I195*P195</f>
        <v>8.706181878315304</v>
      </c>
      <c r="M423">
        <f t="shared" ref="M423:M454" ca="1" si="115">$I195*Q195</f>
        <v>0</v>
      </c>
      <c r="N423">
        <f t="shared" ref="N423:N454" ca="1" si="116">$I195*R195</f>
        <v>0</v>
      </c>
      <c r="O423">
        <f t="shared" ref="O423:O454" ca="1" si="117">$I195*S195</f>
        <v>0</v>
      </c>
      <c r="P423">
        <f t="shared" ref="P423:P454" ca="1" si="118">$I195*T195</f>
        <v>0</v>
      </c>
      <c r="Q423">
        <f t="shared" ref="Q423:Q454" ca="1" si="119">$I195*U195</f>
        <v>0</v>
      </c>
      <c r="R423">
        <f t="shared" ref="R423:R454" ca="1" si="120">$I195*V195</f>
        <v>0</v>
      </c>
      <c r="S423">
        <f t="shared" ref="S423:S454" ca="1" si="121">$I195*W195</f>
        <v>0</v>
      </c>
      <c r="T423">
        <f t="shared" ref="T423:T454" ca="1" si="122">$I195*X195</f>
        <v>0</v>
      </c>
      <c r="U423">
        <f t="shared" ref="U423:U454" ca="1" si="123">$I195*Y195</f>
        <v>0</v>
      </c>
      <c r="V423">
        <f t="shared" ref="V423:V454" ca="1" si="124">$I195*Z195</f>
        <v>0</v>
      </c>
      <c r="W423">
        <f t="shared" ref="W423:W454" ca="1" si="125">$I195*AA195</f>
        <v>1.6537827427164886</v>
      </c>
      <c r="X423">
        <f t="shared" ref="X423:X454" ca="1" si="126">$I195*AB195</f>
        <v>0</v>
      </c>
      <c r="Y423">
        <f t="shared" ref="Y423:Y454" ca="1" si="127">$I195*AC195</f>
        <v>0</v>
      </c>
      <c r="Z423">
        <f t="shared" ref="Z423:Z454" ca="1" si="128">$I195*AD195</f>
        <v>0</v>
      </c>
      <c r="AA423">
        <f t="shared" ref="AA423:AA454" ca="1" si="129">$I195*AE195</f>
        <v>0</v>
      </c>
      <c r="AB423">
        <f t="shared" ref="AB423:AB454" ca="1" si="130">$I195*AF195</f>
        <v>0</v>
      </c>
      <c r="AC423">
        <f t="shared" ref="AC423:AC454" ca="1" si="131">$I195*AG195</f>
        <v>0</v>
      </c>
      <c r="AD423">
        <f t="shared" ref="AD423:AD454" ca="1" si="132">$I195*AH195</f>
        <v>3.1147414877516915E-2</v>
      </c>
      <c r="AE423">
        <f t="shared" ref="AE423:AE454" ca="1" si="133">$I195*AI195</f>
        <v>8.5031182177426848E-2</v>
      </c>
      <c r="AF423">
        <f t="shared" ref="AF423:AF454" ca="1" si="134">$I195*AJ195</f>
        <v>6.7784073147257029</v>
      </c>
      <c r="AG423">
        <f t="shared" ref="AG423:AG454" ca="1" si="135">$I195*AK195</f>
        <v>0</v>
      </c>
      <c r="AH423">
        <f t="shared" ref="AH423:AH454" ca="1" si="136">$I195*AL195</f>
        <v>0</v>
      </c>
      <c r="AI423">
        <f t="shared" ref="AI423:AI454" ca="1" si="137">$I195*AM195</f>
        <v>0</v>
      </c>
      <c r="AJ423">
        <f t="shared" ref="AJ423:AJ454" ca="1" si="138">$I195*AN195</f>
        <v>0.53419991515837395</v>
      </c>
      <c r="AK423">
        <f t="shared" ref="AK423:AK454" ca="1" si="139">$I195*AO195</f>
        <v>0.1839143253686932</v>
      </c>
      <c r="AL423">
        <f t="shared" ref="AL423:AL454" ca="1" si="140">$I195*AP195</f>
        <v>0.14805609190921939</v>
      </c>
      <c r="AM423">
        <f t="shared" ref="AM423:AM454" ca="1" si="141">$I195*AQ195</f>
        <v>0</v>
      </c>
      <c r="AN423">
        <f t="shared" ref="AN423:AN454" ca="1" si="142">$I195*AR195</f>
        <v>0</v>
      </c>
      <c r="AO423">
        <f t="shared" ref="AO423:AO454" ca="1" si="143">$I195*AS195</f>
        <v>0</v>
      </c>
      <c r="AP423">
        <f t="shared" ref="AP423:AP454" ca="1" si="144">$I195*AT195</f>
        <v>0</v>
      </c>
    </row>
    <row r="424" spans="1:42" x14ac:dyDescent="0.2">
      <c r="A424" s="2" t="s">
        <v>301</v>
      </c>
      <c r="B424" s="2" t="str">
        <f>VLOOKUP(A424,'[14]Calculated coal req (reg.)'!$A$2:$B$599,2,FALSE)</f>
        <v>OP JINDAL TPS</v>
      </c>
      <c r="C424" s="2">
        <v>1.2454308806963601</v>
      </c>
      <c r="D424" s="2"/>
      <c r="H424" t="s">
        <v>1064</v>
      </c>
      <c r="I424">
        <f t="shared" ca="1" si="111"/>
        <v>4.5940066479564923</v>
      </c>
      <c r="J424">
        <f t="shared" ca="1" si="112"/>
        <v>0</v>
      </c>
      <c r="K424">
        <f t="shared" ca="1" si="113"/>
        <v>0</v>
      </c>
      <c r="L424">
        <f t="shared" ca="1" si="114"/>
        <v>0</v>
      </c>
      <c r="M424">
        <f t="shared" ca="1" si="115"/>
        <v>0</v>
      </c>
      <c r="N424">
        <f t="shared" ca="1" si="116"/>
        <v>0</v>
      </c>
      <c r="O424">
        <f t="shared" ca="1" si="117"/>
        <v>0</v>
      </c>
      <c r="P424">
        <f t="shared" ca="1" si="118"/>
        <v>0</v>
      </c>
      <c r="Q424">
        <f t="shared" ca="1" si="119"/>
        <v>0</v>
      </c>
      <c r="R424">
        <f t="shared" ca="1" si="120"/>
        <v>0</v>
      </c>
      <c r="S424">
        <f t="shared" ca="1" si="121"/>
        <v>0</v>
      </c>
      <c r="T424">
        <f t="shared" ca="1" si="122"/>
        <v>0</v>
      </c>
      <c r="U424">
        <f t="shared" ca="1" si="123"/>
        <v>0</v>
      </c>
      <c r="V424">
        <f t="shared" ca="1" si="124"/>
        <v>0</v>
      </c>
      <c r="W424">
        <f t="shared" ca="1" si="125"/>
        <v>0</v>
      </c>
      <c r="X424">
        <f t="shared" ca="1" si="126"/>
        <v>6.396146705936494</v>
      </c>
      <c r="Y424">
        <f t="shared" ca="1" si="127"/>
        <v>8.5304189023398944</v>
      </c>
      <c r="Z424">
        <f t="shared" ca="1" si="128"/>
        <v>0</v>
      </c>
      <c r="AA424">
        <f t="shared" ca="1" si="129"/>
        <v>0</v>
      </c>
      <c r="AB424">
        <f t="shared" ca="1" si="130"/>
        <v>0</v>
      </c>
      <c r="AC424">
        <f t="shared" ca="1" si="131"/>
        <v>0</v>
      </c>
      <c r="AD424">
        <f t="shared" ca="1" si="132"/>
        <v>0</v>
      </c>
      <c r="AE424">
        <f t="shared" ca="1" si="133"/>
        <v>0</v>
      </c>
      <c r="AF424">
        <f t="shared" ca="1" si="134"/>
        <v>4.1538902169874232</v>
      </c>
      <c r="AG424">
        <f t="shared" ca="1" si="135"/>
        <v>1.3489592916420898</v>
      </c>
      <c r="AH424">
        <f t="shared" ca="1" si="136"/>
        <v>0</v>
      </c>
      <c r="AI424">
        <f t="shared" ca="1" si="137"/>
        <v>0</v>
      </c>
      <c r="AJ424">
        <f t="shared" ca="1" si="138"/>
        <v>0</v>
      </c>
      <c r="AK424">
        <f t="shared" ca="1" si="139"/>
        <v>9.6355110447786547</v>
      </c>
      <c r="AL424">
        <f t="shared" ca="1" si="140"/>
        <v>4.3316036936725109</v>
      </c>
      <c r="AM424">
        <f t="shared" ca="1" si="141"/>
        <v>0</v>
      </c>
      <c r="AN424">
        <f t="shared" ca="1" si="142"/>
        <v>0</v>
      </c>
      <c r="AO424">
        <f t="shared" ca="1" si="143"/>
        <v>0</v>
      </c>
      <c r="AP424">
        <f t="shared" ca="1" si="144"/>
        <v>0</v>
      </c>
    </row>
    <row r="425" spans="1:42" x14ac:dyDescent="0.2">
      <c r="A425" s="2" t="s">
        <v>294</v>
      </c>
      <c r="B425" s="2" t="str">
        <f>VLOOKUP(A425,'[14]Calculated coal req (reg.)'!$A$2:$B$599,2,FALSE)</f>
        <v>OP JINDAL TPS</v>
      </c>
      <c r="C425" s="2">
        <v>0.73616970266786697</v>
      </c>
      <c r="D425" s="2"/>
      <c r="H425" t="s">
        <v>1005</v>
      </c>
      <c r="I425">
        <f t="shared" ca="1" si="111"/>
        <v>0</v>
      </c>
      <c r="J425">
        <f t="shared" ca="1" si="112"/>
        <v>0</v>
      </c>
      <c r="K425">
        <f t="shared" ca="1" si="113"/>
        <v>0</v>
      </c>
      <c r="L425">
        <f t="shared" ca="1" si="114"/>
        <v>0</v>
      </c>
      <c r="M425">
        <f t="shared" ca="1" si="115"/>
        <v>0</v>
      </c>
      <c r="N425">
        <f t="shared" ca="1" si="116"/>
        <v>0</v>
      </c>
      <c r="O425">
        <f t="shared" ca="1" si="117"/>
        <v>0</v>
      </c>
      <c r="P425">
        <f t="shared" ca="1" si="118"/>
        <v>0</v>
      </c>
      <c r="Q425">
        <f t="shared" ca="1" si="119"/>
        <v>0</v>
      </c>
      <c r="R425">
        <f t="shared" ca="1" si="120"/>
        <v>0</v>
      </c>
      <c r="S425">
        <f t="shared" ca="1" si="121"/>
        <v>0</v>
      </c>
      <c r="T425">
        <f t="shared" ca="1" si="122"/>
        <v>0</v>
      </c>
      <c r="U425">
        <f t="shared" ca="1" si="123"/>
        <v>0</v>
      </c>
      <c r="V425">
        <f t="shared" ca="1" si="124"/>
        <v>0</v>
      </c>
      <c r="W425">
        <f t="shared" ca="1" si="125"/>
        <v>0</v>
      </c>
      <c r="X425">
        <f t="shared" ca="1" si="126"/>
        <v>0</v>
      </c>
      <c r="Y425">
        <f t="shared" ca="1" si="127"/>
        <v>0</v>
      </c>
      <c r="Z425">
        <f t="shared" ca="1" si="128"/>
        <v>0</v>
      </c>
      <c r="AA425">
        <f t="shared" ca="1" si="129"/>
        <v>0</v>
      </c>
      <c r="AB425">
        <f t="shared" ca="1" si="130"/>
        <v>0</v>
      </c>
      <c r="AC425">
        <f t="shared" ca="1" si="131"/>
        <v>0</v>
      </c>
      <c r="AD425">
        <f t="shared" ca="1" si="132"/>
        <v>0</v>
      </c>
      <c r="AE425">
        <f t="shared" ca="1" si="133"/>
        <v>0</v>
      </c>
      <c r="AF425">
        <f t="shared" ca="1" si="134"/>
        <v>0</v>
      </c>
      <c r="AG425">
        <f t="shared" ca="1" si="135"/>
        <v>0</v>
      </c>
      <c r="AH425">
        <f t="shared" ca="1" si="136"/>
        <v>27.648395957321849</v>
      </c>
      <c r="AI425">
        <f t="shared" ca="1" si="137"/>
        <v>0</v>
      </c>
      <c r="AJ425">
        <f t="shared" ca="1" si="138"/>
        <v>0</v>
      </c>
      <c r="AK425">
        <f t="shared" ca="1" si="139"/>
        <v>0</v>
      </c>
      <c r="AL425">
        <f t="shared" ca="1" si="140"/>
        <v>0</v>
      </c>
      <c r="AM425">
        <f t="shared" ca="1" si="141"/>
        <v>0</v>
      </c>
      <c r="AN425">
        <f t="shared" ca="1" si="142"/>
        <v>0</v>
      </c>
      <c r="AO425">
        <f t="shared" ca="1" si="143"/>
        <v>0</v>
      </c>
      <c r="AP425">
        <f t="shared" ca="1" si="144"/>
        <v>0</v>
      </c>
    </row>
    <row r="426" spans="1:42" x14ac:dyDescent="0.2">
      <c r="A426" s="2" t="s">
        <v>291</v>
      </c>
      <c r="B426" s="2" t="str">
        <f>VLOOKUP(A426,'[14]Calculated coal req (reg.)'!$A$2:$B$599,2,FALSE)</f>
        <v>OP JINDAL TPS</v>
      </c>
      <c r="C426" s="2">
        <v>3.0174750292211798</v>
      </c>
      <c r="D426" s="2"/>
      <c r="H426" t="s">
        <v>1168</v>
      </c>
      <c r="I426">
        <f t="shared" ca="1" si="111"/>
        <v>0</v>
      </c>
      <c r="J426">
        <f t="shared" ca="1" si="112"/>
        <v>0</v>
      </c>
      <c r="K426">
        <f t="shared" ca="1" si="113"/>
        <v>0</v>
      </c>
      <c r="L426">
        <f t="shared" ca="1" si="114"/>
        <v>0</v>
      </c>
      <c r="M426">
        <f t="shared" ca="1" si="115"/>
        <v>0</v>
      </c>
      <c r="N426">
        <f t="shared" ca="1" si="116"/>
        <v>0</v>
      </c>
      <c r="O426">
        <f t="shared" ca="1" si="117"/>
        <v>0</v>
      </c>
      <c r="P426">
        <f t="shared" ca="1" si="118"/>
        <v>0</v>
      </c>
      <c r="Q426">
        <f t="shared" ca="1" si="119"/>
        <v>0</v>
      </c>
      <c r="R426">
        <f t="shared" ca="1" si="120"/>
        <v>0</v>
      </c>
      <c r="S426">
        <f t="shared" ca="1" si="121"/>
        <v>0</v>
      </c>
      <c r="T426">
        <f t="shared" ca="1" si="122"/>
        <v>0</v>
      </c>
      <c r="U426">
        <f t="shared" ca="1" si="123"/>
        <v>0</v>
      </c>
      <c r="V426">
        <f t="shared" ca="1" si="124"/>
        <v>0</v>
      </c>
      <c r="W426">
        <f t="shared" ca="1" si="125"/>
        <v>0</v>
      </c>
      <c r="X426">
        <f t="shared" ca="1" si="126"/>
        <v>0</v>
      </c>
      <c r="Y426">
        <f t="shared" ca="1" si="127"/>
        <v>0</v>
      </c>
      <c r="Z426">
        <f t="shared" ca="1" si="128"/>
        <v>0</v>
      </c>
      <c r="AA426">
        <f t="shared" ca="1" si="129"/>
        <v>0</v>
      </c>
      <c r="AB426">
        <f t="shared" ca="1" si="130"/>
        <v>0</v>
      </c>
      <c r="AC426">
        <f t="shared" ca="1" si="131"/>
        <v>0</v>
      </c>
      <c r="AD426">
        <f t="shared" ca="1" si="132"/>
        <v>0</v>
      </c>
      <c r="AE426">
        <f t="shared" ca="1" si="133"/>
        <v>0</v>
      </c>
      <c r="AF426">
        <f t="shared" ca="1" si="134"/>
        <v>0</v>
      </c>
      <c r="AG426">
        <f t="shared" ca="1" si="135"/>
        <v>0</v>
      </c>
      <c r="AH426">
        <f t="shared" ca="1" si="136"/>
        <v>0</v>
      </c>
      <c r="AI426">
        <f t="shared" ca="1" si="137"/>
        <v>0</v>
      </c>
      <c r="AJ426">
        <f t="shared" ca="1" si="138"/>
        <v>0</v>
      </c>
      <c r="AK426">
        <f t="shared" ca="1" si="139"/>
        <v>0</v>
      </c>
      <c r="AL426">
        <f t="shared" ca="1" si="140"/>
        <v>0</v>
      </c>
      <c r="AM426">
        <f t="shared" ca="1" si="141"/>
        <v>0</v>
      </c>
      <c r="AN426">
        <f t="shared" ca="1" si="142"/>
        <v>6.9807769187986404</v>
      </c>
      <c r="AO426">
        <f t="shared" ca="1" si="143"/>
        <v>0</v>
      </c>
      <c r="AP426">
        <f t="shared" ca="1" si="144"/>
        <v>0</v>
      </c>
    </row>
    <row r="427" spans="1:42" x14ac:dyDescent="0.2">
      <c r="A427" s="2" t="s">
        <v>289</v>
      </c>
      <c r="B427" s="2" t="str">
        <f>VLOOKUP(A427,'[14]Calculated coal req (reg.)'!$A$2:$B$599,2,FALSE)</f>
        <v>OP JINDAL TPS</v>
      </c>
      <c r="C427" s="2">
        <v>2.7790745224853</v>
      </c>
      <c r="D427" s="2"/>
      <c r="H427" t="s">
        <v>985</v>
      </c>
      <c r="I427">
        <f t="shared" ca="1" si="111"/>
        <v>0</v>
      </c>
      <c r="J427">
        <f t="shared" ca="1" si="112"/>
        <v>0</v>
      </c>
      <c r="K427">
        <f t="shared" ca="1" si="113"/>
        <v>0</v>
      </c>
      <c r="L427">
        <f t="shared" ca="1" si="114"/>
        <v>0</v>
      </c>
      <c r="M427">
        <f t="shared" ca="1" si="115"/>
        <v>0</v>
      </c>
      <c r="N427">
        <f t="shared" ca="1" si="116"/>
        <v>0</v>
      </c>
      <c r="O427">
        <f t="shared" ca="1" si="117"/>
        <v>0</v>
      </c>
      <c r="P427">
        <f t="shared" ca="1" si="118"/>
        <v>0</v>
      </c>
      <c r="Q427">
        <f t="shared" ca="1" si="119"/>
        <v>0</v>
      </c>
      <c r="R427">
        <f t="shared" ca="1" si="120"/>
        <v>0</v>
      </c>
      <c r="S427">
        <f t="shared" ca="1" si="121"/>
        <v>0</v>
      </c>
      <c r="T427">
        <f t="shared" ca="1" si="122"/>
        <v>0</v>
      </c>
      <c r="U427">
        <f t="shared" ca="1" si="123"/>
        <v>0</v>
      </c>
      <c r="V427">
        <f t="shared" ca="1" si="124"/>
        <v>0</v>
      </c>
      <c r="W427">
        <f t="shared" ca="1" si="125"/>
        <v>0</v>
      </c>
      <c r="X427">
        <f t="shared" ca="1" si="126"/>
        <v>0</v>
      </c>
      <c r="Y427">
        <f t="shared" ca="1" si="127"/>
        <v>0</v>
      </c>
      <c r="Z427">
        <f t="shared" ca="1" si="128"/>
        <v>0</v>
      </c>
      <c r="AA427">
        <f t="shared" ca="1" si="129"/>
        <v>0</v>
      </c>
      <c r="AB427">
        <f t="shared" ca="1" si="130"/>
        <v>0</v>
      </c>
      <c r="AC427">
        <f t="shared" ca="1" si="131"/>
        <v>0</v>
      </c>
      <c r="AD427">
        <f t="shared" ca="1" si="132"/>
        <v>0</v>
      </c>
      <c r="AE427">
        <f t="shared" ca="1" si="133"/>
        <v>0</v>
      </c>
      <c r="AF427">
        <f t="shared" ca="1" si="134"/>
        <v>0</v>
      </c>
      <c r="AG427">
        <f t="shared" ca="1" si="135"/>
        <v>0</v>
      </c>
      <c r="AH427">
        <f t="shared" ca="1" si="136"/>
        <v>0</v>
      </c>
      <c r="AI427">
        <f t="shared" ca="1" si="137"/>
        <v>1.2936130077342152</v>
      </c>
      <c r="AJ427">
        <f t="shared" ca="1" si="138"/>
        <v>0</v>
      </c>
      <c r="AK427">
        <f t="shared" ca="1" si="139"/>
        <v>0</v>
      </c>
      <c r="AL427">
        <f t="shared" ca="1" si="140"/>
        <v>0</v>
      </c>
      <c r="AM427">
        <f t="shared" ca="1" si="141"/>
        <v>0</v>
      </c>
      <c r="AN427">
        <f t="shared" ca="1" si="142"/>
        <v>7.361842158499865</v>
      </c>
      <c r="AO427">
        <f t="shared" ca="1" si="143"/>
        <v>0</v>
      </c>
      <c r="AP427">
        <f t="shared" ca="1" si="144"/>
        <v>0</v>
      </c>
    </row>
    <row r="428" spans="1:42" x14ac:dyDescent="0.2">
      <c r="A428" s="2" t="s">
        <v>438</v>
      </c>
      <c r="B428" s="2" t="str">
        <f>VLOOKUP(A428,'[14]Calculated coal req (reg.)'!$A$2:$B$599,2,FALSE)</f>
        <v>PANIPAT TPS UNIT 5</v>
      </c>
      <c r="C428" s="2">
        <v>0.26302802755750099</v>
      </c>
      <c r="D428" s="2"/>
      <c r="H428" t="s">
        <v>1169</v>
      </c>
      <c r="I428">
        <f t="shared" ca="1" si="111"/>
        <v>0</v>
      </c>
      <c r="J428">
        <f t="shared" ca="1" si="112"/>
        <v>0</v>
      </c>
      <c r="K428">
        <f t="shared" ca="1" si="113"/>
        <v>0</v>
      </c>
      <c r="L428">
        <f t="shared" ca="1" si="114"/>
        <v>0</v>
      </c>
      <c r="M428">
        <f t="shared" ca="1" si="115"/>
        <v>0</v>
      </c>
      <c r="N428">
        <f t="shared" ca="1" si="116"/>
        <v>0</v>
      </c>
      <c r="O428">
        <f t="shared" ca="1" si="117"/>
        <v>0</v>
      </c>
      <c r="P428">
        <f t="shared" ca="1" si="118"/>
        <v>0</v>
      </c>
      <c r="Q428">
        <f t="shared" ca="1" si="119"/>
        <v>0</v>
      </c>
      <c r="R428">
        <f t="shared" ca="1" si="120"/>
        <v>0</v>
      </c>
      <c r="S428">
        <f t="shared" ca="1" si="121"/>
        <v>0</v>
      </c>
      <c r="T428">
        <f t="shared" ca="1" si="122"/>
        <v>0</v>
      </c>
      <c r="U428">
        <f t="shared" ca="1" si="123"/>
        <v>0</v>
      </c>
      <c r="V428">
        <f t="shared" ca="1" si="124"/>
        <v>0</v>
      </c>
      <c r="W428">
        <f t="shared" ca="1" si="125"/>
        <v>5.7034940427635599</v>
      </c>
      <c r="X428">
        <f t="shared" ca="1" si="126"/>
        <v>0</v>
      </c>
      <c r="Y428">
        <f t="shared" ca="1" si="127"/>
        <v>0</v>
      </c>
      <c r="Z428">
        <f t="shared" ca="1" si="128"/>
        <v>0</v>
      </c>
      <c r="AA428">
        <f t="shared" ca="1" si="129"/>
        <v>0</v>
      </c>
      <c r="AB428">
        <f t="shared" ca="1" si="130"/>
        <v>0</v>
      </c>
      <c r="AC428">
        <f t="shared" ca="1" si="131"/>
        <v>0</v>
      </c>
      <c r="AD428">
        <f t="shared" ca="1" si="132"/>
        <v>0</v>
      </c>
      <c r="AE428">
        <f t="shared" ca="1" si="133"/>
        <v>0</v>
      </c>
      <c r="AF428">
        <f t="shared" ca="1" si="134"/>
        <v>0</v>
      </c>
      <c r="AG428">
        <f t="shared" ca="1" si="135"/>
        <v>0</v>
      </c>
      <c r="AH428">
        <f t="shared" ca="1" si="136"/>
        <v>0</v>
      </c>
      <c r="AI428">
        <f t="shared" ca="1" si="137"/>
        <v>0</v>
      </c>
      <c r="AJ428">
        <f t="shared" ca="1" si="138"/>
        <v>0</v>
      </c>
      <c r="AK428">
        <f t="shared" ca="1" si="139"/>
        <v>0</v>
      </c>
      <c r="AL428">
        <f t="shared" ca="1" si="140"/>
        <v>0</v>
      </c>
      <c r="AM428">
        <f t="shared" ca="1" si="141"/>
        <v>0</v>
      </c>
      <c r="AN428">
        <f t="shared" ca="1" si="142"/>
        <v>0</v>
      </c>
      <c r="AO428">
        <f t="shared" ca="1" si="143"/>
        <v>0</v>
      </c>
      <c r="AP428">
        <f t="shared" ca="1" si="144"/>
        <v>0</v>
      </c>
    </row>
    <row r="429" spans="1:42" x14ac:dyDescent="0.2">
      <c r="A429" s="2" t="s">
        <v>359</v>
      </c>
      <c r="B429" s="2" t="str">
        <f>VLOOKUP(A429,'[14]Calculated coal req (reg.)'!$A$2:$B$599,2,FALSE)</f>
        <v>PANIPAT TPS UNIT 6</v>
      </c>
      <c r="C429" s="2">
        <v>0.61630677790137101</v>
      </c>
      <c r="D429" s="2"/>
      <c r="H429" t="s">
        <v>1001</v>
      </c>
      <c r="I429">
        <f t="shared" ca="1" si="111"/>
        <v>0</v>
      </c>
      <c r="J429">
        <f t="shared" ca="1" si="112"/>
        <v>0</v>
      </c>
      <c r="K429">
        <f t="shared" ca="1" si="113"/>
        <v>0</v>
      </c>
      <c r="L429">
        <f t="shared" ca="1" si="114"/>
        <v>0</v>
      </c>
      <c r="M429">
        <f t="shared" ca="1" si="115"/>
        <v>0</v>
      </c>
      <c r="N429">
        <f t="shared" ca="1" si="116"/>
        <v>0</v>
      </c>
      <c r="O429">
        <f t="shared" ca="1" si="117"/>
        <v>0</v>
      </c>
      <c r="P429">
        <f t="shared" ca="1" si="118"/>
        <v>0</v>
      </c>
      <c r="Q429">
        <f t="shared" ca="1" si="119"/>
        <v>0</v>
      </c>
      <c r="R429">
        <f t="shared" ca="1" si="120"/>
        <v>0</v>
      </c>
      <c r="S429">
        <f t="shared" ca="1" si="121"/>
        <v>0</v>
      </c>
      <c r="T429">
        <f t="shared" ca="1" si="122"/>
        <v>0</v>
      </c>
      <c r="U429">
        <f t="shared" ca="1" si="123"/>
        <v>0</v>
      </c>
      <c r="V429">
        <f t="shared" ca="1" si="124"/>
        <v>0</v>
      </c>
      <c r="W429">
        <f t="shared" ca="1" si="125"/>
        <v>0</v>
      </c>
      <c r="X429">
        <f t="shared" ca="1" si="126"/>
        <v>0</v>
      </c>
      <c r="Y429">
        <f t="shared" ca="1" si="127"/>
        <v>0</v>
      </c>
      <c r="Z429">
        <f t="shared" ca="1" si="128"/>
        <v>0</v>
      </c>
      <c r="AA429">
        <f t="shared" ca="1" si="129"/>
        <v>34.6561854694895</v>
      </c>
      <c r="AB429">
        <f t="shared" ca="1" si="130"/>
        <v>0</v>
      </c>
      <c r="AC429">
        <f t="shared" ca="1" si="131"/>
        <v>0</v>
      </c>
      <c r="AD429">
        <f t="shared" ca="1" si="132"/>
        <v>0</v>
      </c>
      <c r="AE429">
        <f t="shared" ca="1" si="133"/>
        <v>0</v>
      </c>
      <c r="AF429">
        <f t="shared" ca="1" si="134"/>
        <v>0</v>
      </c>
      <c r="AG429">
        <f t="shared" ca="1" si="135"/>
        <v>0</v>
      </c>
      <c r="AH429">
        <f t="shared" ca="1" si="136"/>
        <v>0</v>
      </c>
      <c r="AI429">
        <f t="shared" ca="1" si="137"/>
        <v>0</v>
      </c>
      <c r="AJ429">
        <f t="shared" ca="1" si="138"/>
        <v>0</v>
      </c>
      <c r="AK429">
        <f t="shared" ca="1" si="139"/>
        <v>0</v>
      </c>
      <c r="AL429">
        <f t="shared" ca="1" si="140"/>
        <v>0</v>
      </c>
      <c r="AM429">
        <f t="shared" ca="1" si="141"/>
        <v>0</v>
      </c>
      <c r="AN429">
        <f t="shared" ca="1" si="142"/>
        <v>0</v>
      </c>
      <c r="AO429">
        <f t="shared" ca="1" si="143"/>
        <v>0</v>
      </c>
      <c r="AP429">
        <f t="shared" ca="1" si="144"/>
        <v>0</v>
      </c>
    </row>
    <row r="430" spans="1:42" x14ac:dyDescent="0.2">
      <c r="A430" s="2" t="s">
        <v>325</v>
      </c>
      <c r="B430" s="2" t="str">
        <f>VLOOKUP(A430,'[14]Calculated coal req (reg.)'!$A$2:$B$599,2,FALSE)</f>
        <v>PANIPAT TPS UNIT 7</v>
      </c>
      <c r="C430" s="2">
        <v>3.21206361189852</v>
      </c>
      <c r="D430" s="2"/>
      <c r="H430" t="s">
        <v>1004</v>
      </c>
      <c r="I430">
        <f t="shared" ca="1" si="111"/>
        <v>0</v>
      </c>
      <c r="J430">
        <f t="shared" ca="1" si="112"/>
        <v>0</v>
      </c>
      <c r="K430">
        <f t="shared" ca="1" si="113"/>
        <v>0</v>
      </c>
      <c r="L430">
        <f t="shared" ca="1" si="114"/>
        <v>0</v>
      </c>
      <c r="M430">
        <f t="shared" ca="1" si="115"/>
        <v>0</v>
      </c>
      <c r="N430">
        <f t="shared" ca="1" si="116"/>
        <v>0</v>
      </c>
      <c r="O430">
        <f t="shared" ca="1" si="117"/>
        <v>0</v>
      </c>
      <c r="P430">
        <f t="shared" ca="1" si="118"/>
        <v>0</v>
      </c>
      <c r="Q430">
        <f t="shared" ca="1" si="119"/>
        <v>0</v>
      </c>
      <c r="R430">
        <f t="shared" ca="1" si="120"/>
        <v>0</v>
      </c>
      <c r="S430">
        <f t="shared" ca="1" si="121"/>
        <v>0</v>
      </c>
      <c r="T430">
        <f t="shared" ca="1" si="122"/>
        <v>0</v>
      </c>
      <c r="U430">
        <f t="shared" ca="1" si="123"/>
        <v>0</v>
      </c>
      <c r="V430">
        <f t="shared" ca="1" si="124"/>
        <v>0</v>
      </c>
      <c r="W430">
        <f t="shared" ca="1" si="125"/>
        <v>0</v>
      </c>
      <c r="X430">
        <f t="shared" ca="1" si="126"/>
        <v>0</v>
      </c>
      <c r="Y430">
        <f t="shared" ca="1" si="127"/>
        <v>0</v>
      </c>
      <c r="Z430">
        <f t="shared" ca="1" si="128"/>
        <v>0</v>
      </c>
      <c r="AA430">
        <f t="shared" ca="1" si="129"/>
        <v>22.971287683846199</v>
      </c>
      <c r="AB430">
        <f t="shared" ca="1" si="130"/>
        <v>0</v>
      </c>
      <c r="AC430">
        <f t="shared" ca="1" si="131"/>
        <v>0</v>
      </c>
      <c r="AD430">
        <f t="shared" ca="1" si="132"/>
        <v>0</v>
      </c>
      <c r="AE430">
        <f t="shared" ca="1" si="133"/>
        <v>0</v>
      </c>
      <c r="AF430">
        <f t="shared" ca="1" si="134"/>
        <v>0</v>
      </c>
      <c r="AG430">
        <f t="shared" ca="1" si="135"/>
        <v>0</v>
      </c>
      <c r="AH430">
        <f t="shared" ca="1" si="136"/>
        <v>0</v>
      </c>
      <c r="AI430">
        <f t="shared" ca="1" si="137"/>
        <v>0</v>
      </c>
      <c r="AJ430">
        <f t="shared" ca="1" si="138"/>
        <v>0</v>
      </c>
      <c r="AK430">
        <f t="shared" ca="1" si="139"/>
        <v>0</v>
      </c>
      <c r="AL430">
        <f t="shared" ca="1" si="140"/>
        <v>0</v>
      </c>
      <c r="AM430">
        <f t="shared" ca="1" si="141"/>
        <v>0</v>
      </c>
      <c r="AN430">
        <f t="shared" ca="1" si="142"/>
        <v>0</v>
      </c>
      <c r="AO430">
        <f t="shared" ca="1" si="143"/>
        <v>0</v>
      </c>
      <c r="AP430">
        <f t="shared" ca="1" si="144"/>
        <v>0</v>
      </c>
    </row>
    <row r="431" spans="1:42" x14ac:dyDescent="0.2">
      <c r="A431" s="2" t="s">
        <v>322</v>
      </c>
      <c r="B431" s="2" t="str">
        <f>VLOOKUP(A431,'[14]Calculated coal req (reg.)'!$A$2:$B$599,2,FALSE)</f>
        <v>PANIPAT TPS UNIT 8</v>
      </c>
      <c r="C431" s="2">
        <v>3.4156200073814702</v>
      </c>
      <c r="D431" s="2"/>
      <c r="H431" t="s">
        <v>1170</v>
      </c>
      <c r="I431">
        <f t="shared" ca="1" si="111"/>
        <v>0</v>
      </c>
      <c r="J431">
        <f t="shared" ca="1" si="112"/>
        <v>0</v>
      </c>
      <c r="K431">
        <f t="shared" ca="1" si="113"/>
        <v>0</v>
      </c>
      <c r="L431">
        <f t="shared" ca="1" si="114"/>
        <v>0</v>
      </c>
      <c r="M431">
        <f t="shared" ca="1" si="115"/>
        <v>0</v>
      </c>
      <c r="N431">
        <f t="shared" ca="1" si="116"/>
        <v>0</v>
      </c>
      <c r="O431">
        <f t="shared" ca="1" si="117"/>
        <v>0</v>
      </c>
      <c r="P431">
        <f t="shared" ca="1" si="118"/>
        <v>0</v>
      </c>
      <c r="Q431">
        <f t="shared" ca="1" si="119"/>
        <v>0</v>
      </c>
      <c r="R431">
        <f t="shared" ca="1" si="120"/>
        <v>0</v>
      </c>
      <c r="S431">
        <f t="shared" ca="1" si="121"/>
        <v>0</v>
      </c>
      <c r="T431">
        <f t="shared" ca="1" si="122"/>
        <v>0</v>
      </c>
      <c r="U431">
        <f t="shared" ca="1" si="123"/>
        <v>0</v>
      </c>
      <c r="V431">
        <f t="shared" ca="1" si="124"/>
        <v>0</v>
      </c>
      <c r="W431">
        <f t="shared" ca="1" si="125"/>
        <v>0</v>
      </c>
      <c r="X431">
        <f t="shared" ca="1" si="126"/>
        <v>0</v>
      </c>
      <c r="Y431">
        <f t="shared" ca="1" si="127"/>
        <v>0</v>
      </c>
      <c r="Z431">
        <f t="shared" ca="1" si="128"/>
        <v>0</v>
      </c>
      <c r="AA431">
        <f t="shared" ca="1" si="129"/>
        <v>8.5812670701131708</v>
      </c>
      <c r="AB431">
        <f t="shared" ca="1" si="130"/>
        <v>0</v>
      </c>
      <c r="AC431">
        <f t="shared" ca="1" si="131"/>
        <v>0</v>
      </c>
      <c r="AD431">
        <f t="shared" ca="1" si="132"/>
        <v>0</v>
      </c>
      <c r="AE431">
        <f t="shared" ca="1" si="133"/>
        <v>0</v>
      </c>
      <c r="AF431">
        <f t="shared" ca="1" si="134"/>
        <v>0</v>
      </c>
      <c r="AG431">
        <f t="shared" ca="1" si="135"/>
        <v>0</v>
      </c>
      <c r="AH431">
        <f t="shared" ca="1" si="136"/>
        <v>0</v>
      </c>
      <c r="AI431">
        <f t="shared" ca="1" si="137"/>
        <v>0</v>
      </c>
      <c r="AJ431">
        <f t="shared" ca="1" si="138"/>
        <v>0</v>
      </c>
      <c r="AK431">
        <f t="shared" ca="1" si="139"/>
        <v>0</v>
      </c>
      <c r="AL431">
        <f t="shared" ca="1" si="140"/>
        <v>0</v>
      </c>
      <c r="AM431">
        <f t="shared" ca="1" si="141"/>
        <v>0</v>
      </c>
      <c r="AN431">
        <f t="shared" ca="1" si="142"/>
        <v>0</v>
      </c>
      <c r="AO431">
        <f t="shared" ca="1" si="143"/>
        <v>0</v>
      </c>
      <c r="AP431">
        <f t="shared" ca="1" si="144"/>
        <v>0</v>
      </c>
    </row>
    <row r="432" spans="1:42" x14ac:dyDescent="0.2">
      <c r="A432" s="2" t="s">
        <v>304</v>
      </c>
      <c r="B432" s="2" t="str">
        <f>VLOOKUP(A432,'[14]Calculated coal req (reg.)'!$A$2:$B$599,2,FALSE)</f>
        <v>PARAS TPS</v>
      </c>
      <c r="C432" s="2">
        <v>3.1893327460847098</v>
      </c>
      <c r="D432" s="2"/>
      <c r="H432" t="s">
        <v>1171</v>
      </c>
      <c r="I432">
        <f t="shared" ca="1" si="111"/>
        <v>0</v>
      </c>
      <c r="J432">
        <f t="shared" ca="1" si="112"/>
        <v>0</v>
      </c>
      <c r="K432">
        <f t="shared" ca="1" si="113"/>
        <v>0</v>
      </c>
      <c r="L432">
        <f t="shared" ca="1" si="114"/>
        <v>0</v>
      </c>
      <c r="M432">
        <f t="shared" ca="1" si="115"/>
        <v>0</v>
      </c>
      <c r="N432">
        <f t="shared" ca="1" si="116"/>
        <v>0</v>
      </c>
      <c r="O432">
        <f t="shared" ca="1" si="117"/>
        <v>0</v>
      </c>
      <c r="P432">
        <f t="shared" ca="1" si="118"/>
        <v>0</v>
      </c>
      <c r="Q432">
        <f t="shared" ca="1" si="119"/>
        <v>0</v>
      </c>
      <c r="R432">
        <f t="shared" ca="1" si="120"/>
        <v>0</v>
      </c>
      <c r="S432">
        <f t="shared" ca="1" si="121"/>
        <v>0</v>
      </c>
      <c r="T432">
        <f t="shared" ca="1" si="122"/>
        <v>0</v>
      </c>
      <c r="U432">
        <f t="shared" ca="1" si="123"/>
        <v>0</v>
      </c>
      <c r="V432">
        <f t="shared" ca="1" si="124"/>
        <v>0</v>
      </c>
      <c r="W432">
        <f t="shared" ca="1" si="125"/>
        <v>0</v>
      </c>
      <c r="X432">
        <f t="shared" ca="1" si="126"/>
        <v>0</v>
      </c>
      <c r="Y432">
        <f t="shared" ca="1" si="127"/>
        <v>0</v>
      </c>
      <c r="Z432">
        <f t="shared" ca="1" si="128"/>
        <v>0</v>
      </c>
      <c r="AA432">
        <f t="shared" ca="1" si="129"/>
        <v>4.7549666036165803</v>
      </c>
      <c r="AB432">
        <f t="shared" ca="1" si="130"/>
        <v>0</v>
      </c>
      <c r="AC432">
        <f t="shared" ca="1" si="131"/>
        <v>0</v>
      </c>
      <c r="AD432">
        <f t="shared" ca="1" si="132"/>
        <v>0</v>
      </c>
      <c r="AE432">
        <f t="shared" ca="1" si="133"/>
        <v>0</v>
      </c>
      <c r="AF432">
        <f t="shared" ca="1" si="134"/>
        <v>0</v>
      </c>
      <c r="AG432">
        <f t="shared" ca="1" si="135"/>
        <v>0</v>
      </c>
      <c r="AH432">
        <f t="shared" ca="1" si="136"/>
        <v>0</v>
      </c>
      <c r="AI432">
        <f t="shared" ca="1" si="137"/>
        <v>0</v>
      </c>
      <c r="AJ432">
        <f t="shared" ca="1" si="138"/>
        <v>0</v>
      </c>
      <c r="AK432">
        <f t="shared" ca="1" si="139"/>
        <v>0</v>
      </c>
      <c r="AL432">
        <f t="shared" ca="1" si="140"/>
        <v>0</v>
      </c>
      <c r="AM432">
        <f t="shared" ca="1" si="141"/>
        <v>0</v>
      </c>
      <c r="AN432">
        <f t="shared" ca="1" si="142"/>
        <v>0</v>
      </c>
      <c r="AO432">
        <f t="shared" ca="1" si="143"/>
        <v>0</v>
      </c>
      <c r="AP432">
        <f t="shared" ca="1" si="144"/>
        <v>0</v>
      </c>
    </row>
    <row r="433" spans="1:42" x14ac:dyDescent="0.2">
      <c r="A433" s="2" t="s">
        <v>271</v>
      </c>
      <c r="B433" s="2" t="str">
        <f>VLOOKUP(A433,'[14]Calculated coal req (reg.)'!$A$2:$B$599,2,FALSE)</f>
        <v>PARAS TPS</v>
      </c>
      <c r="C433" s="2">
        <v>4.3568097115928399</v>
      </c>
      <c r="D433" s="2"/>
      <c r="H433" t="s">
        <v>1172</v>
      </c>
      <c r="I433">
        <f t="shared" ca="1" si="111"/>
        <v>0</v>
      </c>
      <c r="J433">
        <f t="shared" ca="1" si="112"/>
        <v>0</v>
      </c>
      <c r="K433">
        <f t="shared" ca="1" si="113"/>
        <v>0</v>
      </c>
      <c r="L433">
        <f t="shared" ca="1" si="114"/>
        <v>0</v>
      </c>
      <c r="M433">
        <f t="shared" ca="1" si="115"/>
        <v>0</v>
      </c>
      <c r="N433">
        <f t="shared" ca="1" si="116"/>
        <v>0</v>
      </c>
      <c r="O433">
        <f t="shared" ca="1" si="117"/>
        <v>0</v>
      </c>
      <c r="P433">
        <f t="shared" ca="1" si="118"/>
        <v>0</v>
      </c>
      <c r="Q433">
        <f t="shared" ca="1" si="119"/>
        <v>0</v>
      </c>
      <c r="R433">
        <f t="shared" ca="1" si="120"/>
        <v>0</v>
      </c>
      <c r="S433">
        <f t="shared" ca="1" si="121"/>
        <v>0</v>
      </c>
      <c r="T433">
        <f t="shared" ca="1" si="122"/>
        <v>0</v>
      </c>
      <c r="U433">
        <f t="shared" ca="1" si="123"/>
        <v>0</v>
      </c>
      <c r="V433">
        <f t="shared" ca="1" si="124"/>
        <v>0</v>
      </c>
      <c r="W433">
        <f t="shared" ca="1" si="125"/>
        <v>0</v>
      </c>
      <c r="X433">
        <f t="shared" ca="1" si="126"/>
        <v>0</v>
      </c>
      <c r="Y433">
        <f t="shared" ca="1" si="127"/>
        <v>0</v>
      </c>
      <c r="Z433">
        <f t="shared" ca="1" si="128"/>
        <v>0</v>
      </c>
      <c r="AA433">
        <f t="shared" ca="1" si="129"/>
        <v>0</v>
      </c>
      <c r="AB433">
        <f t="shared" ca="1" si="130"/>
        <v>0</v>
      </c>
      <c r="AC433">
        <f t="shared" ca="1" si="131"/>
        <v>0</v>
      </c>
      <c r="AD433">
        <f t="shared" ca="1" si="132"/>
        <v>0</v>
      </c>
      <c r="AE433">
        <f t="shared" ca="1" si="133"/>
        <v>0</v>
      </c>
      <c r="AF433">
        <f t="shared" ca="1" si="134"/>
        <v>0</v>
      </c>
      <c r="AG433">
        <f t="shared" ca="1" si="135"/>
        <v>0</v>
      </c>
      <c r="AH433">
        <f t="shared" ca="1" si="136"/>
        <v>0</v>
      </c>
      <c r="AI433">
        <f t="shared" ca="1" si="137"/>
        <v>0</v>
      </c>
      <c r="AJ433">
        <f t="shared" ca="1" si="138"/>
        <v>0</v>
      </c>
      <c r="AK433">
        <f t="shared" ca="1" si="139"/>
        <v>15.24430408894826</v>
      </c>
      <c r="AL433">
        <f t="shared" ca="1" si="140"/>
        <v>0</v>
      </c>
      <c r="AM433">
        <f t="shared" ca="1" si="141"/>
        <v>0</v>
      </c>
      <c r="AN433">
        <f t="shared" ca="1" si="142"/>
        <v>0</v>
      </c>
      <c r="AO433">
        <f t="shared" ca="1" si="143"/>
        <v>0</v>
      </c>
      <c r="AP433">
        <f t="shared" ca="1" si="144"/>
        <v>0</v>
      </c>
    </row>
    <row r="434" spans="1:42" x14ac:dyDescent="0.2">
      <c r="A434" s="2" t="s">
        <v>503</v>
      </c>
      <c r="B434" s="2" t="str">
        <f>VLOOKUP(A434,'[14]Calculated coal req (reg.)'!$A$2:$B$599,2,FALSE)</f>
        <v>PARICHHA TPS UNIT 1-2</v>
      </c>
      <c r="C434" s="2">
        <v>0.56961224094359797</v>
      </c>
      <c r="D434" s="2"/>
      <c r="H434" t="s">
        <v>1066</v>
      </c>
      <c r="I434">
        <f t="shared" ca="1" si="111"/>
        <v>0</v>
      </c>
      <c r="J434">
        <f t="shared" ca="1" si="112"/>
        <v>0</v>
      </c>
      <c r="K434">
        <f t="shared" ca="1" si="113"/>
        <v>0</v>
      </c>
      <c r="L434">
        <f t="shared" ca="1" si="114"/>
        <v>0</v>
      </c>
      <c r="M434">
        <f t="shared" ca="1" si="115"/>
        <v>0</v>
      </c>
      <c r="N434">
        <f t="shared" ca="1" si="116"/>
        <v>0</v>
      </c>
      <c r="O434">
        <f t="shared" ca="1" si="117"/>
        <v>0</v>
      </c>
      <c r="P434">
        <f t="shared" ca="1" si="118"/>
        <v>0</v>
      </c>
      <c r="Q434">
        <f t="shared" ca="1" si="119"/>
        <v>0</v>
      </c>
      <c r="R434">
        <f t="shared" ca="1" si="120"/>
        <v>0</v>
      </c>
      <c r="S434">
        <f t="shared" ca="1" si="121"/>
        <v>0</v>
      </c>
      <c r="T434">
        <f t="shared" ca="1" si="122"/>
        <v>0</v>
      </c>
      <c r="U434">
        <f t="shared" ca="1" si="123"/>
        <v>0</v>
      </c>
      <c r="V434">
        <f t="shared" ca="1" si="124"/>
        <v>0</v>
      </c>
      <c r="W434">
        <f t="shared" ca="1" si="125"/>
        <v>0</v>
      </c>
      <c r="X434">
        <f t="shared" ca="1" si="126"/>
        <v>0</v>
      </c>
      <c r="Y434">
        <f t="shared" ca="1" si="127"/>
        <v>0</v>
      </c>
      <c r="Z434">
        <f t="shared" ca="1" si="128"/>
        <v>0</v>
      </c>
      <c r="AA434">
        <f t="shared" ca="1" si="129"/>
        <v>0</v>
      </c>
      <c r="AB434">
        <f t="shared" ca="1" si="130"/>
        <v>0</v>
      </c>
      <c r="AC434">
        <f t="shared" ca="1" si="131"/>
        <v>0</v>
      </c>
      <c r="AD434">
        <f t="shared" ca="1" si="132"/>
        <v>0</v>
      </c>
      <c r="AE434">
        <f t="shared" ca="1" si="133"/>
        <v>0</v>
      </c>
      <c r="AF434">
        <f t="shared" ca="1" si="134"/>
        <v>0</v>
      </c>
      <c r="AG434">
        <f t="shared" ca="1" si="135"/>
        <v>0</v>
      </c>
      <c r="AH434">
        <f t="shared" ca="1" si="136"/>
        <v>0</v>
      </c>
      <c r="AI434">
        <f t="shared" ca="1" si="137"/>
        <v>0</v>
      </c>
      <c r="AJ434">
        <f t="shared" ca="1" si="138"/>
        <v>0</v>
      </c>
      <c r="AK434">
        <f t="shared" ca="1" si="139"/>
        <v>0</v>
      </c>
      <c r="AL434">
        <f t="shared" ca="1" si="140"/>
        <v>0</v>
      </c>
      <c r="AM434">
        <f t="shared" ca="1" si="141"/>
        <v>0</v>
      </c>
      <c r="AN434">
        <f t="shared" ca="1" si="142"/>
        <v>4.3803549069006298</v>
      </c>
      <c r="AO434">
        <f t="shared" ca="1" si="143"/>
        <v>0</v>
      </c>
      <c r="AP434">
        <f t="shared" ca="1" si="144"/>
        <v>0</v>
      </c>
    </row>
    <row r="435" spans="1:42" x14ac:dyDescent="0.2">
      <c r="A435" s="2" t="s">
        <v>328</v>
      </c>
      <c r="B435" s="2" t="str">
        <f>VLOOKUP(A435,'[14]Calculated coal req (reg.)'!$A$2:$B$599,2,FALSE)</f>
        <v>PARICHHA TPS UNIT 3-4</v>
      </c>
      <c r="C435" s="2">
        <v>3.1025981805180298</v>
      </c>
      <c r="D435" s="2"/>
      <c r="H435" t="s">
        <v>1071</v>
      </c>
      <c r="I435">
        <f t="shared" ca="1" si="111"/>
        <v>0</v>
      </c>
      <c r="J435">
        <f t="shared" ca="1" si="112"/>
        <v>0</v>
      </c>
      <c r="K435">
        <f t="shared" ca="1" si="113"/>
        <v>0</v>
      </c>
      <c r="L435">
        <f t="shared" ca="1" si="114"/>
        <v>0</v>
      </c>
      <c r="M435">
        <f t="shared" ca="1" si="115"/>
        <v>0</v>
      </c>
      <c r="N435">
        <f t="shared" ca="1" si="116"/>
        <v>0</v>
      </c>
      <c r="O435">
        <f t="shared" ca="1" si="117"/>
        <v>0</v>
      </c>
      <c r="P435">
        <f t="shared" ca="1" si="118"/>
        <v>0</v>
      </c>
      <c r="Q435">
        <f t="shared" ca="1" si="119"/>
        <v>0</v>
      </c>
      <c r="R435">
        <f t="shared" ca="1" si="120"/>
        <v>0</v>
      </c>
      <c r="S435">
        <f t="shared" ca="1" si="121"/>
        <v>0</v>
      </c>
      <c r="T435">
        <f t="shared" ca="1" si="122"/>
        <v>0</v>
      </c>
      <c r="U435">
        <f t="shared" ca="1" si="123"/>
        <v>0</v>
      </c>
      <c r="V435">
        <f t="shared" ca="1" si="124"/>
        <v>0</v>
      </c>
      <c r="W435">
        <f t="shared" ca="1" si="125"/>
        <v>0</v>
      </c>
      <c r="X435">
        <f t="shared" ca="1" si="126"/>
        <v>12.645206674258858</v>
      </c>
      <c r="Y435">
        <f t="shared" ca="1" si="127"/>
        <v>0</v>
      </c>
      <c r="Z435">
        <f t="shared" ca="1" si="128"/>
        <v>0</v>
      </c>
      <c r="AA435">
        <f t="shared" ca="1" si="129"/>
        <v>0</v>
      </c>
      <c r="AB435">
        <f t="shared" ca="1" si="130"/>
        <v>0</v>
      </c>
      <c r="AC435">
        <f t="shared" ca="1" si="131"/>
        <v>0</v>
      </c>
      <c r="AD435">
        <f t="shared" ca="1" si="132"/>
        <v>0</v>
      </c>
      <c r="AE435">
        <f t="shared" ca="1" si="133"/>
        <v>0</v>
      </c>
      <c r="AF435">
        <f t="shared" ca="1" si="134"/>
        <v>0</v>
      </c>
      <c r="AG435">
        <f t="shared" ca="1" si="135"/>
        <v>0</v>
      </c>
      <c r="AH435">
        <f t="shared" ca="1" si="136"/>
        <v>0</v>
      </c>
      <c r="AI435">
        <f t="shared" ca="1" si="137"/>
        <v>0</v>
      </c>
      <c r="AJ435">
        <f t="shared" ca="1" si="138"/>
        <v>0</v>
      </c>
      <c r="AK435">
        <f t="shared" ca="1" si="139"/>
        <v>0</v>
      </c>
      <c r="AL435">
        <f t="shared" ca="1" si="140"/>
        <v>0</v>
      </c>
      <c r="AM435">
        <f t="shared" ca="1" si="141"/>
        <v>0</v>
      </c>
      <c r="AN435">
        <f t="shared" ca="1" si="142"/>
        <v>0</v>
      </c>
      <c r="AO435">
        <f t="shared" ca="1" si="143"/>
        <v>0</v>
      </c>
      <c r="AP435">
        <f t="shared" ca="1" si="144"/>
        <v>0</v>
      </c>
    </row>
    <row r="436" spans="1:42" x14ac:dyDescent="0.2">
      <c r="A436" s="2" t="s">
        <v>320</v>
      </c>
      <c r="B436" s="2" t="str">
        <f>VLOOKUP(A436,'[14]Calculated coal req (reg.)'!$A$2:$B$599,2,FALSE)</f>
        <v>PARICHHA TPS UNIT 3-4</v>
      </c>
      <c r="C436" s="2">
        <v>3.2355399447357698</v>
      </c>
      <c r="D436" s="2"/>
      <c r="H436" t="s">
        <v>1173</v>
      </c>
      <c r="I436">
        <f t="shared" ca="1" si="111"/>
        <v>0</v>
      </c>
      <c r="J436">
        <f t="shared" ca="1" si="112"/>
        <v>0</v>
      </c>
      <c r="K436">
        <f t="shared" ca="1" si="113"/>
        <v>0</v>
      </c>
      <c r="L436">
        <f t="shared" ca="1" si="114"/>
        <v>0</v>
      </c>
      <c r="M436">
        <f t="shared" ca="1" si="115"/>
        <v>0</v>
      </c>
      <c r="N436">
        <f t="shared" ca="1" si="116"/>
        <v>0</v>
      </c>
      <c r="O436">
        <f t="shared" ca="1" si="117"/>
        <v>0</v>
      </c>
      <c r="P436">
        <f t="shared" ca="1" si="118"/>
        <v>0</v>
      </c>
      <c r="Q436">
        <f t="shared" ca="1" si="119"/>
        <v>0</v>
      </c>
      <c r="R436">
        <f t="shared" ca="1" si="120"/>
        <v>0</v>
      </c>
      <c r="S436">
        <f t="shared" ca="1" si="121"/>
        <v>10.09431562591875</v>
      </c>
      <c r="T436">
        <f t="shared" ca="1" si="122"/>
        <v>0</v>
      </c>
      <c r="U436">
        <f t="shared" ca="1" si="123"/>
        <v>0</v>
      </c>
      <c r="V436">
        <f t="shared" ca="1" si="124"/>
        <v>0</v>
      </c>
      <c r="W436">
        <f t="shared" ca="1" si="125"/>
        <v>0</v>
      </c>
      <c r="X436">
        <f t="shared" ca="1" si="126"/>
        <v>0</v>
      </c>
      <c r="Y436">
        <f t="shared" ca="1" si="127"/>
        <v>0</v>
      </c>
      <c r="Z436">
        <f t="shared" ca="1" si="128"/>
        <v>0</v>
      </c>
      <c r="AA436">
        <f t="shared" ca="1" si="129"/>
        <v>0</v>
      </c>
      <c r="AB436">
        <f t="shared" ca="1" si="130"/>
        <v>0</v>
      </c>
      <c r="AC436">
        <f t="shared" ca="1" si="131"/>
        <v>0</v>
      </c>
      <c r="AD436">
        <f t="shared" ca="1" si="132"/>
        <v>0</v>
      </c>
      <c r="AE436">
        <f t="shared" ca="1" si="133"/>
        <v>0</v>
      </c>
      <c r="AF436">
        <f t="shared" ca="1" si="134"/>
        <v>0</v>
      </c>
      <c r="AG436">
        <f t="shared" ca="1" si="135"/>
        <v>0</v>
      </c>
      <c r="AH436">
        <f t="shared" ca="1" si="136"/>
        <v>0</v>
      </c>
      <c r="AI436">
        <f t="shared" ca="1" si="137"/>
        <v>0</v>
      </c>
      <c r="AJ436">
        <f t="shared" ca="1" si="138"/>
        <v>0</v>
      </c>
      <c r="AK436">
        <f t="shared" ca="1" si="139"/>
        <v>0</v>
      </c>
      <c r="AL436">
        <f t="shared" ca="1" si="140"/>
        <v>0</v>
      </c>
      <c r="AM436">
        <f t="shared" ca="1" si="141"/>
        <v>0</v>
      </c>
      <c r="AN436">
        <f t="shared" ca="1" si="142"/>
        <v>0</v>
      </c>
      <c r="AO436">
        <f t="shared" ca="1" si="143"/>
        <v>0</v>
      </c>
      <c r="AP436">
        <f t="shared" ca="1" si="144"/>
        <v>0</v>
      </c>
    </row>
    <row r="437" spans="1:42" x14ac:dyDescent="0.2">
      <c r="A437" s="2" t="s">
        <v>309</v>
      </c>
      <c r="B437" s="2" t="str">
        <f>VLOOKUP(A437,'[14]Calculated coal req (reg.)'!$A$2:$B$599,2,FALSE)</f>
        <v>PARLI TPS UNIT 6-7</v>
      </c>
      <c r="C437" s="2">
        <v>2.4483679697017799</v>
      </c>
      <c r="D437" s="2"/>
      <c r="H437" t="s">
        <v>1053</v>
      </c>
      <c r="I437">
        <f t="shared" ca="1" si="111"/>
        <v>0</v>
      </c>
      <c r="J437">
        <f t="shared" ca="1" si="112"/>
        <v>0</v>
      </c>
      <c r="K437">
        <f t="shared" ca="1" si="113"/>
        <v>0</v>
      </c>
      <c r="L437">
        <f t="shared" ca="1" si="114"/>
        <v>0</v>
      </c>
      <c r="M437">
        <f t="shared" ca="1" si="115"/>
        <v>0</v>
      </c>
      <c r="N437">
        <f t="shared" ca="1" si="116"/>
        <v>0</v>
      </c>
      <c r="O437">
        <f t="shared" ca="1" si="117"/>
        <v>0</v>
      </c>
      <c r="P437">
        <f t="shared" ca="1" si="118"/>
        <v>0</v>
      </c>
      <c r="Q437">
        <f t="shared" ca="1" si="119"/>
        <v>0</v>
      </c>
      <c r="R437">
        <f t="shared" ca="1" si="120"/>
        <v>0</v>
      </c>
      <c r="S437">
        <f t="shared" ca="1" si="121"/>
        <v>8.5571901336581995</v>
      </c>
      <c r="T437">
        <f t="shared" ca="1" si="122"/>
        <v>0</v>
      </c>
      <c r="U437">
        <f t="shared" ca="1" si="123"/>
        <v>0</v>
      </c>
      <c r="V437">
        <f t="shared" ca="1" si="124"/>
        <v>0</v>
      </c>
      <c r="W437">
        <f t="shared" ca="1" si="125"/>
        <v>0</v>
      </c>
      <c r="X437">
        <f t="shared" ca="1" si="126"/>
        <v>0</v>
      </c>
      <c r="Y437">
        <f t="shared" ca="1" si="127"/>
        <v>0</v>
      </c>
      <c r="Z437">
        <f t="shared" ca="1" si="128"/>
        <v>0</v>
      </c>
      <c r="AA437">
        <f t="shared" ca="1" si="129"/>
        <v>0</v>
      </c>
      <c r="AB437">
        <f t="shared" ca="1" si="130"/>
        <v>0</v>
      </c>
      <c r="AC437">
        <f t="shared" ca="1" si="131"/>
        <v>0</v>
      </c>
      <c r="AD437">
        <f t="shared" ca="1" si="132"/>
        <v>0</v>
      </c>
      <c r="AE437">
        <f t="shared" ca="1" si="133"/>
        <v>0</v>
      </c>
      <c r="AF437">
        <f t="shared" ca="1" si="134"/>
        <v>0</v>
      </c>
      <c r="AG437">
        <f t="shared" ca="1" si="135"/>
        <v>0</v>
      </c>
      <c r="AH437">
        <f t="shared" ca="1" si="136"/>
        <v>0</v>
      </c>
      <c r="AI437">
        <f t="shared" ca="1" si="137"/>
        <v>0</v>
      </c>
      <c r="AJ437">
        <f t="shared" ca="1" si="138"/>
        <v>0</v>
      </c>
      <c r="AK437">
        <f t="shared" ca="1" si="139"/>
        <v>0</v>
      </c>
      <c r="AL437">
        <f t="shared" ca="1" si="140"/>
        <v>0</v>
      </c>
      <c r="AM437">
        <f t="shared" ca="1" si="141"/>
        <v>0</v>
      </c>
      <c r="AN437">
        <f t="shared" ca="1" si="142"/>
        <v>0</v>
      </c>
      <c r="AO437">
        <f t="shared" ca="1" si="143"/>
        <v>0</v>
      </c>
      <c r="AP437">
        <f t="shared" ca="1" si="144"/>
        <v>0</v>
      </c>
    </row>
    <row r="438" spans="1:42" x14ac:dyDescent="0.2">
      <c r="A438" s="2" t="s">
        <v>275</v>
      </c>
      <c r="B438" s="2" t="str">
        <f>VLOOKUP(A438,'[14]Calculated coal req (reg.)'!$A$2:$B$599,2,FALSE)</f>
        <v>PARLI TPS UNIT 6-7</v>
      </c>
      <c r="C438" s="2">
        <v>2.0910672243779902</v>
      </c>
      <c r="D438" s="2"/>
      <c r="H438" t="s">
        <v>1174</v>
      </c>
      <c r="I438">
        <f t="shared" ca="1" si="111"/>
        <v>0</v>
      </c>
      <c r="J438">
        <f t="shared" ca="1" si="112"/>
        <v>0</v>
      </c>
      <c r="K438">
        <f t="shared" ca="1" si="113"/>
        <v>0</v>
      </c>
      <c r="L438">
        <f t="shared" ca="1" si="114"/>
        <v>0</v>
      </c>
      <c r="M438">
        <f t="shared" ca="1" si="115"/>
        <v>4.1121215029073111E-3</v>
      </c>
      <c r="N438">
        <f t="shared" ca="1" si="116"/>
        <v>0</v>
      </c>
      <c r="O438">
        <f t="shared" ca="1" si="117"/>
        <v>0</v>
      </c>
      <c r="P438">
        <f t="shared" ca="1" si="118"/>
        <v>0</v>
      </c>
      <c r="Q438">
        <f t="shared" ca="1" si="119"/>
        <v>0.43778683751596392</v>
      </c>
      <c r="R438">
        <f t="shared" ca="1" si="120"/>
        <v>0</v>
      </c>
      <c r="S438">
        <f t="shared" ca="1" si="121"/>
        <v>0</v>
      </c>
      <c r="T438">
        <f t="shared" ca="1" si="122"/>
        <v>0.20408937911272701</v>
      </c>
      <c r="U438">
        <f t="shared" ca="1" si="123"/>
        <v>0.38002741476374874</v>
      </c>
      <c r="V438">
        <f t="shared" ca="1" si="124"/>
        <v>0.40180852593972405</v>
      </c>
      <c r="W438">
        <f t="shared" ca="1" si="125"/>
        <v>0</v>
      </c>
      <c r="X438">
        <f t="shared" ca="1" si="126"/>
        <v>0</v>
      </c>
      <c r="Y438">
        <f t="shared" ca="1" si="127"/>
        <v>0</v>
      </c>
      <c r="Z438">
        <f t="shared" ca="1" si="128"/>
        <v>0</v>
      </c>
      <c r="AA438">
        <f t="shared" ca="1" si="129"/>
        <v>0</v>
      </c>
      <c r="AB438">
        <f t="shared" ca="1" si="130"/>
        <v>0</v>
      </c>
      <c r="AC438">
        <f t="shared" ca="1" si="131"/>
        <v>0</v>
      </c>
      <c r="AD438">
        <f t="shared" ca="1" si="132"/>
        <v>0</v>
      </c>
      <c r="AE438">
        <f t="shared" ca="1" si="133"/>
        <v>0</v>
      </c>
      <c r="AF438">
        <f t="shared" ca="1" si="134"/>
        <v>0</v>
      </c>
      <c r="AG438">
        <f t="shared" ca="1" si="135"/>
        <v>0</v>
      </c>
      <c r="AH438">
        <f t="shared" ca="1" si="136"/>
        <v>0.59252221218290824</v>
      </c>
      <c r="AI438">
        <f t="shared" ca="1" si="137"/>
        <v>0.45180171465590463</v>
      </c>
      <c r="AJ438">
        <f t="shared" ca="1" si="138"/>
        <v>0</v>
      </c>
      <c r="AK438">
        <f t="shared" ca="1" si="139"/>
        <v>0</v>
      </c>
      <c r="AL438">
        <f t="shared" ca="1" si="140"/>
        <v>0</v>
      </c>
      <c r="AM438">
        <f t="shared" ca="1" si="141"/>
        <v>0</v>
      </c>
      <c r="AN438">
        <f t="shared" ca="1" si="142"/>
        <v>3.7390466810673626</v>
      </c>
      <c r="AO438">
        <f t="shared" ca="1" si="143"/>
        <v>0.56334036662953435</v>
      </c>
      <c r="AP438">
        <f t="shared" ca="1" si="144"/>
        <v>0</v>
      </c>
    </row>
    <row r="439" spans="1:42" x14ac:dyDescent="0.2">
      <c r="A439" s="2" t="s">
        <v>464</v>
      </c>
      <c r="B439" s="2" t="str">
        <f>VLOOKUP(A439,'[14]Calculated coal req (reg.)'!$A$2:$B$599,2,FALSE)</f>
        <v>RAICHUR TPS UNIT 1-7</v>
      </c>
      <c r="C439" s="2">
        <v>2.2336675263007701</v>
      </c>
      <c r="D439" s="2"/>
      <c r="H439" t="s">
        <v>1175</v>
      </c>
      <c r="I439">
        <f t="shared" ca="1" si="111"/>
        <v>0</v>
      </c>
      <c r="J439">
        <f t="shared" ca="1" si="112"/>
        <v>0</v>
      </c>
      <c r="K439">
        <f t="shared" ca="1" si="113"/>
        <v>0</v>
      </c>
      <c r="L439">
        <f t="shared" ca="1" si="114"/>
        <v>0</v>
      </c>
      <c r="M439">
        <f t="shared" ca="1" si="115"/>
        <v>4.9811426409560062E-3</v>
      </c>
      <c r="N439">
        <f t="shared" ca="1" si="116"/>
        <v>0</v>
      </c>
      <c r="O439">
        <f t="shared" ca="1" si="117"/>
        <v>0</v>
      </c>
      <c r="P439">
        <f t="shared" ca="1" si="118"/>
        <v>0</v>
      </c>
      <c r="Q439">
        <f t="shared" ca="1" si="119"/>
        <v>0.91440579828392277</v>
      </c>
      <c r="R439">
        <f t="shared" ca="1" si="120"/>
        <v>0</v>
      </c>
      <c r="S439">
        <f t="shared" ca="1" si="121"/>
        <v>0</v>
      </c>
      <c r="T439">
        <f t="shared" ca="1" si="122"/>
        <v>0.41994769164327883</v>
      </c>
      <c r="U439">
        <f t="shared" ca="1" si="123"/>
        <v>0.53916435597398482</v>
      </c>
      <c r="V439">
        <f t="shared" ca="1" si="124"/>
        <v>0.57725099208781916</v>
      </c>
      <c r="W439">
        <f t="shared" ca="1" si="125"/>
        <v>0</v>
      </c>
      <c r="X439">
        <f t="shared" ca="1" si="126"/>
        <v>0</v>
      </c>
      <c r="Y439">
        <f t="shared" ca="1" si="127"/>
        <v>0</v>
      </c>
      <c r="Z439">
        <f t="shared" ca="1" si="128"/>
        <v>0</v>
      </c>
      <c r="AA439">
        <f t="shared" ca="1" si="129"/>
        <v>0</v>
      </c>
      <c r="AB439">
        <f t="shared" ca="1" si="130"/>
        <v>0</v>
      </c>
      <c r="AC439">
        <f t="shared" ca="1" si="131"/>
        <v>0</v>
      </c>
      <c r="AD439">
        <f t="shared" ca="1" si="132"/>
        <v>0</v>
      </c>
      <c r="AE439">
        <f t="shared" ca="1" si="133"/>
        <v>0</v>
      </c>
      <c r="AF439">
        <f t="shared" ca="1" si="134"/>
        <v>0</v>
      </c>
      <c r="AG439">
        <f t="shared" ca="1" si="135"/>
        <v>0</v>
      </c>
      <c r="AH439">
        <f t="shared" ca="1" si="136"/>
        <v>1.0361976199705982</v>
      </c>
      <c r="AI439">
        <f t="shared" ca="1" si="137"/>
        <v>1.0449110086301154</v>
      </c>
      <c r="AJ439">
        <f t="shared" ca="1" si="138"/>
        <v>0</v>
      </c>
      <c r="AK439">
        <f t="shared" ca="1" si="139"/>
        <v>0</v>
      </c>
      <c r="AL439">
        <f t="shared" ca="1" si="140"/>
        <v>0</v>
      </c>
      <c r="AM439">
        <f t="shared" ca="1" si="141"/>
        <v>0</v>
      </c>
      <c r="AN439">
        <f t="shared" ca="1" si="142"/>
        <v>2.1672876040918965</v>
      </c>
      <c r="AO439">
        <f t="shared" ca="1" si="143"/>
        <v>0.30241197213921756</v>
      </c>
      <c r="AP439">
        <f t="shared" ca="1" si="144"/>
        <v>0</v>
      </c>
    </row>
    <row r="440" spans="1:42" x14ac:dyDescent="0.2">
      <c r="A440" s="2" t="s">
        <v>457</v>
      </c>
      <c r="B440" s="2" t="str">
        <f>VLOOKUP(A440,'[14]Calculated coal req (reg.)'!$A$2:$B$599,2,FALSE)</f>
        <v>RAICHUR TPS UNIT 1-7</v>
      </c>
      <c r="C440" s="2">
        <v>2.3410211183501901</v>
      </c>
      <c r="D440" s="2"/>
      <c r="H440" t="s">
        <v>1176</v>
      </c>
      <c r="I440">
        <f t="shared" ca="1" si="111"/>
        <v>0</v>
      </c>
      <c r="J440">
        <f t="shared" ca="1" si="112"/>
        <v>0</v>
      </c>
      <c r="K440">
        <f t="shared" ca="1" si="113"/>
        <v>0</v>
      </c>
      <c r="L440">
        <f t="shared" ca="1" si="114"/>
        <v>0</v>
      </c>
      <c r="M440">
        <f t="shared" ca="1" si="115"/>
        <v>2.4233905423290971E-3</v>
      </c>
      <c r="N440">
        <f t="shared" ca="1" si="116"/>
        <v>0</v>
      </c>
      <c r="O440">
        <f t="shared" ca="1" si="117"/>
        <v>0</v>
      </c>
      <c r="P440">
        <f t="shared" ca="1" si="118"/>
        <v>0</v>
      </c>
      <c r="Q440">
        <f t="shared" ca="1" si="119"/>
        <v>0.53452383795755165</v>
      </c>
      <c r="R440">
        <f t="shared" ca="1" si="120"/>
        <v>0</v>
      </c>
      <c r="S440">
        <f t="shared" ca="1" si="121"/>
        <v>0</v>
      </c>
      <c r="T440">
        <f t="shared" ca="1" si="122"/>
        <v>0.19888027703405065</v>
      </c>
      <c r="U440">
        <f t="shared" ca="1" si="123"/>
        <v>0.26422024250713672</v>
      </c>
      <c r="V440">
        <f t="shared" ca="1" si="124"/>
        <v>0.32608229498134911</v>
      </c>
      <c r="W440">
        <f t="shared" ca="1" si="125"/>
        <v>0</v>
      </c>
      <c r="X440">
        <f t="shared" ca="1" si="126"/>
        <v>0</v>
      </c>
      <c r="Y440">
        <f t="shared" ca="1" si="127"/>
        <v>0</v>
      </c>
      <c r="Z440">
        <f t="shared" ca="1" si="128"/>
        <v>0</v>
      </c>
      <c r="AA440">
        <f t="shared" ca="1" si="129"/>
        <v>0</v>
      </c>
      <c r="AB440">
        <f t="shared" ca="1" si="130"/>
        <v>0</v>
      </c>
      <c r="AC440">
        <f t="shared" ca="1" si="131"/>
        <v>0</v>
      </c>
      <c r="AD440">
        <f t="shared" ca="1" si="132"/>
        <v>0</v>
      </c>
      <c r="AE440">
        <f t="shared" ca="1" si="133"/>
        <v>0</v>
      </c>
      <c r="AF440">
        <f t="shared" ca="1" si="134"/>
        <v>0</v>
      </c>
      <c r="AG440">
        <f t="shared" ca="1" si="135"/>
        <v>0</v>
      </c>
      <c r="AH440">
        <f t="shared" ca="1" si="136"/>
        <v>0.38720644169425389</v>
      </c>
      <c r="AI440">
        <f t="shared" ca="1" si="137"/>
        <v>0.56125107950273456</v>
      </c>
      <c r="AJ440">
        <f t="shared" ca="1" si="138"/>
        <v>0</v>
      </c>
      <c r="AK440">
        <f t="shared" ca="1" si="139"/>
        <v>0</v>
      </c>
      <c r="AL440">
        <f t="shared" ca="1" si="140"/>
        <v>0</v>
      </c>
      <c r="AM440">
        <f t="shared" ca="1" si="141"/>
        <v>0</v>
      </c>
      <c r="AN440">
        <f t="shared" ca="1" si="142"/>
        <v>1.0241594752013625</v>
      </c>
      <c r="AO440">
        <f t="shared" ca="1" si="143"/>
        <v>0.19599256543118179</v>
      </c>
      <c r="AP440">
        <f t="shared" ca="1" si="144"/>
        <v>0</v>
      </c>
    </row>
    <row r="441" spans="1:42" x14ac:dyDescent="0.2">
      <c r="A441" s="2" t="s">
        <v>424</v>
      </c>
      <c r="B441" s="2" t="str">
        <f>VLOOKUP(A441,'[14]Calculated coal req (reg.)'!$A$2:$B$599,2,FALSE)</f>
        <v>RAICHUR TPS UNIT 1-7</v>
      </c>
      <c r="C441" s="2">
        <v>2.93248327259565</v>
      </c>
      <c r="D441" s="2"/>
      <c r="H441" t="s">
        <v>1029</v>
      </c>
      <c r="I441">
        <f t="shared" ca="1" si="111"/>
        <v>0</v>
      </c>
      <c r="J441">
        <f t="shared" ca="1" si="112"/>
        <v>0</v>
      </c>
      <c r="K441">
        <f t="shared" ca="1" si="113"/>
        <v>0</v>
      </c>
      <c r="L441">
        <f t="shared" ca="1" si="114"/>
        <v>0</v>
      </c>
      <c r="M441">
        <f t="shared" ca="1" si="115"/>
        <v>0</v>
      </c>
      <c r="N441">
        <f t="shared" ca="1" si="116"/>
        <v>0</v>
      </c>
      <c r="O441">
        <f t="shared" ca="1" si="117"/>
        <v>0</v>
      </c>
      <c r="P441">
        <f t="shared" ca="1" si="118"/>
        <v>0</v>
      </c>
      <c r="Q441">
        <f t="shared" ca="1" si="119"/>
        <v>0</v>
      </c>
      <c r="R441">
        <f t="shared" ca="1" si="120"/>
        <v>0</v>
      </c>
      <c r="S441">
        <f t="shared" ca="1" si="121"/>
        <v>0</v>
      </c>
      <c r="T441">
        <f t="shared" ca="1" si="122"/>
        <v>0.29219351079031569</v>
      </c>
      <c r="U441">
        <f t="shared" ca="1" si="123"/>
        <v>0</v>
      </c>
      <c r="V441">
        <f t="shared" ca="1" si="124"/>
        <v>1.0594829404265056</v>
      </c>
      <c r="W441">
        <f t="shared" ca="1" si="125"/>
        <v>0</v>
      </c>
      <c r="X441">
        <f t="shared" ca="1" si="126"/>
        <v>0</v>
      </c>
      <c r="Y441">
        <f t="shared" ca="1" si="127"/>
        <v>0</v>
      </c>
      <c r="Z441">
        <f t="shared" ca="1" si="128"/>
        <v>0</v>
      </c>
      <c r="AA441">
        <f t="shared" ca="1" si="129"/>
        <v>0</v>
      </c>
      <c r="AB441">
        <f t="shared" ca="1" si="130"/>
        <v>0</v>
      </c>
      <c r="AC441">
        <f t="shared" ca="1" si="131"/>
        <v>0</v>
      </c>
      <c r="AD441">
        <f t="shared" ca="1" si="132"/>
        <v>0</v>
      </c>
      <c r="AE441">
        <f t="shared" ca="1" si="133"/>
        <v>0</v>
      </c>
      <c r="AF441">
        <f t="shared" ca="1" si="134"/>
        <v>0</v>
      </c>
      <c r="AG441">
        <f t="shared" ca="1" si="135"/>
        <v>0</v>
      </c>
      <c r="AH441">
        <f t="shared" ca="1" si="136"/>
        <v>0</v>
      </c>
      <c r="AI441">
        <f t="shared" ca="1" si="137"/>
        <v>0.78640343362123966</v>
      </c>
      <c r="AJ441">
        <f t="shared" ca="1" si="138"/>
        <v>0</v>
      </c>
      <c r="AK441">
        <f t="shared" ca="1" si="139"/>
        <v>0</v>
      </c>
      <c r="AL441">
        <f t="shared" ca="1" si="140"/>
        <v>0</v>
      </c>
      <c r="AM441">
        <f t="shared" ca="1" si="141"/>
        <v>0</v>
      </c>
      <c r="AN441">
        <f t="shared" ca="1" si="142"/>
        <v>1.7597763187037891</v>
      </c>
      <c r="AO441">
        <f t="shared" ca="1" si="143"/>
        <v>0</v>
      </c>
      <c r="AP441">
        <f t="shared" ca="1" si="144"/>
        <v>0</v>
      </c>
    </row>
    <row r="442" spans="1:42" x14ac:dyDescent="0.2">
      <c r="A442" s="2" t="s">
        <v>402</v>
      </c>
      <c r="B442" s="2" t="str">
        <f>VLOOKUP(A442,'[14]Calculated coal req (reg.)'!$A$2:$B$599,2,FALSE)</f>
        <v>RAICHUR TPS UNIT 1-7</v>
      </c>
      <c r="C442" s="2">
        <v>3.9103689619290201</v>
      </c>
      <c r="D442" s="2"/>
      <c r="H442" t="s">
        <v>1177</v>
      </c>
      <c r="I442">
        <f t="shared" ca="1" si="111"/>
        <v>0</v>
      </c>
      <c r="J442">
        <f t="shared" ca="1" si="112"/>
        <v>0</v>
      </c>
      <c r="K442">
        <f t="shared" ca="1" si="113"/>
        <v>0</v>
      </c>
      <c r="L442">
        <f t="shared" ca="1" si="114"/>
        <v>0</v>
      </c>
      <c r="M442">
        <f t="shared" ca="1" si="115"/>
        <v>0</v>
      </c>
      <c r="N442">
        <f t="shared" ca="1" si="116"/>
        <v>0</v>
      </c>
      <c r="O442">
        <f t="shared" ca="1" si="117"/>
        <v>0</v>
      </c>
      <c r="P442">
        <f t="shared" ca="1" si="118"/>
        <v>0</v>
      </c>
      <c r="Q442">
        <f t="shared" ca="1" si="119"/>
        <v>0</v>
      </c>
      <c r="R442">
        <f t="shared" ca="1" si="120"/>
        <v>0</v>
      </c>
      <c r="S442">
        <f t="shared" ca="1" si="121"/>
        <v>0</v>
      </c>
      <c r="T442">
        <f t="shared" ca="1" si="122"/>
        <v>0</v>
      </c>
      <c r="U442">
        <f t="shared" ca="1" si="123"/>
        <v>0</v>
      </c>
      <c r="V442">
        <f t="shared" ca="1" si="124"/>
        <v>0</v>
      </c>
      <c r="W442">
        <f t="shared" ca="1" si="125"/>
        <v>0</v>
      </c>
      <c r="X442">
        <f t="shared" ca="1" si="126"/>
        <v>0</v>
      </c>
      <c r="Y442">
        <f t="shared" ca="1" si="127"/>
        <v>0</v>
      </c>
      <c r="Z442">
        <f t="shared" ca="1" si="128"/>
        <v>0</v>
      </c>
      <c r="AA442">
        <f t="shared" ca="1" si="129"/>
        <v>0</v>
      </c>
      <c r="AB442">
        <f t="shared" ca="1" si="130"/>
        <v>0</v>
      </c>
      <c r="AC442">
        <f t="shared" ca="1" si="131"/>
        <v>0</v>
      </c>
      <c r="AD442">
        <f t="shared" ca="1" si="132"/>
        <v>0</v>
      </c>
      <c r="AE442">
        <f t="shared" ca="1" si="133"/>
        <v>0</v>
      </c>
      <c r="AF442">
        <f t="shared" ca="1" si="134"/>
        <v>0</v>
      </c>
      <c r="AG442">
        <f t="shared" ca="1" si="135"/>
        <v>0</v>
      </c>
      <c r="AH442">
        <f t="shared" ca="1" si="136"/>
        <v>0</v>
      </c>
      <c r="AI442">
        <f t="shared" ca="1" si="137"/>
        <v>0</v>
      </c>
      <c r="AJ442">
        <f t="shared" ca="1" si="138"/>
        <v>0</v>
      </c>
      <c r="AK442">
        <f t="shared" ca="1" si="139"/>
        <v>0</v>
      </c>
      <c r="AL442">
        <f t="shared" ca="1" si="140"/>
        <v>0</v>
      </c>
      <c r="AM442">
        <f t="shared" ca="1" si="141"/>
        <v>0</v>
      </c>
      <c r="AN442">
        <f t="shared" ca="1" si="142"/>
        <v>0.40170602662570298</v>
      </c>
      <c r="AO442">
        <f t="shared" ca="1" si="143"/>
        <v>0</v>
      </c>
      <c r="AP442">
        <f t="shared" ca="1" si="144"/>
        <v>0</v>
      </c>
    </row>
    <row r="443" spans="1:42" x14ac:dyDescent="0.2">
      <c r="A443" s="2" t="s">
        <v>378</v>
      </c>
      <c r="B443" s="2" t="str">
        <f>VLOOKUP(A443,'[14]Calculated coal req (reg.)'!$A$2:$B$599,2,FALSE)</f>
        <v>RAICHUR TPS UNIT 1-7</v>
      </c>
      <c r="C443" s="2">
        <v>3.6372643722301601</v>
      </c>
      <c r="D443" s="2"/>
      <c r="H443" t="s">
        <v>1035</v>
      </c>
      <c r="I443">
        <f t="shared" ca="1" si="111"/>
        <v>0.8534870356464811</v>
      </c>
      <c r="J443">
        <f t="shared" ca="1" si="112"/>
        <v>0</v>
      </c>
      <c r="K443">
        <f t="shared" ca="1" si="113"/>
        <v>0</v>
      </c>
      <c r="L443">
        <f t="shared" ca="1" si="114"/>
        <v>0</v>
      </c>
      <c r="M443">
        <f t="shared" ca="1" si="115"/>
        <v>0</v>
      </c>
      <c r="N443">
        <f t="shared" ca="1" si="116"/>
        <v>0</v>
      </c>
      <c r="O443">
        <f t="shared" ca="1" si="117"/>
        <v>0</v>
      </c>
      <c r="P443">
        <f t="shared" ca="1" si="118"/>
        <v>0</v>
      </c>
      <c r="Q443">
        <f t="shared" ca="1" si="119"/>
        <v>0</v>
      </c>
      <c r="R443">
        <f t="shared" ca="1" si="120"/>
        <v>0</v>
      </c>
      <c r="S443">
        <f t="shared" ca="1" si="121"/>
        <v>0</v>
      </c>
      <c r="T443">
        <f t="shared" ca="1" si="122"/>
        <v>0</v>
      </c>
      <c r="U443">
        <f t="shared" ca="1" si="123"/>
        <v>0</v>
      </c>
      <c r="V443">
        <f t="shared" ca="1" si="124"/>
        <v>0</v>
      </c>
      <c r="W443">
        <f t="shared" ca="1" si="125"/>
        <v>0</v>
      </c>
      <c r="X443">
        <f t="shared" ca="1" si="126"/>
        <v>2.5056795209343785</v>
      </c>
      <c r="Y443">
        <f t="shared" ca="1" si="127"/>
        <v>0.69365381951684313</v>
      </c>
      <c r="Z443">
        <f t="shared" ca="1" si="128"/>
        <v>0</v>
      </c>
      <c r="AA443">
        <f t="shared" ca="1" si="129"/>
        <v>0</v>
      </c>
      <c r="AB443">
        <f t="shared" ca="1" si="130"/>
        <v>0</v>
      </c>
      <c r="AC443">
        <f t="shared" ca="1" si="131"/>
        <v>0</v>
      </c>
      <c r="AD443">
        <f t="shared" ca="1" si="132"/>
        <v>0</v>
      </c>
      <c r="AE443">
        <f t="shared" ca="1" si="133"/>
        <v>0</v>
      </c>
      <c r="AF443">
        <f t="shared" ca="1" si="134"/>
        <v>0</v>
      </c>
      <c r="AG443">
        <f t="shared" ca="1" si="135"/>
        <v>0.28520656681103235</v>
      </c>
      <c r="AH443">
        <f t="shared" ca="1" si="136"/>
        <v>0</v>
      </c>
      <c r="AI443">
        <f t="shared" ca="1" si="137"/>
        <v>0</v>
      </c>
      <c r="AJ443">
        <f t="shared" ca="1" si="138"/>
        <v>0</v>
      </c>
      <c r="AK443">
        <f t="shared" ca="1" si="139"/>
        <v>12.254761026886777</v>
      </c>
      <c r="AL443">
        <f t="shared" ca="1" si="140"/>
        <v>1.0301043768618687</v>
      </c>
      <c r="AM443">
        <f t="shared" ca="1" si="141"/>
        <v>0</v>
      </c>
      <c r="AN443">
        <f t="shared" ca="1" si="142"/>
        <v>0</v>
      </c>
      <c r="AO443">
        <f t="shared" ca="1" si="143"/>
        <v>0</v>
      </c>
      <c r="AP443">
        <f t="shared" ca="1" si="144"/>
        <v>0</v>
      </c>
    </row>
    <row r="444" spans="1:42" x14ac:dyDescent="0.2">
      <c r="A444" s="2" t="s">
        <v>374</v>
      </c>
      <c r="B444" s="2" t="str">
        <f>VLOOKUP(A444,'[14]Calculated coal req (reg.)'!$A$2:$B$599,2,FALSE)</f>
        <v>RAICHUR TPS UNIT 1-7</v>
      </c>
      <c r="C444" s="2">
        <v>3.0574627390221898</v>
      </c>
      <c r="D444" s="2"/>
      <c r="H444" t="s">
        <v>1038</v>
      </c>
      <c r="I444">
        <f t="shared" ca="1" si="111"/>
        <v>0</v>
      </c>
      <c r="J444">
        <f t="shared" ca="1" si="112"/>
        <v>0</v>
      </c>
      <c r="K444">
        <f t="shared" ca="1" si="113"/>
        <v>0</v>
      </c>
      <c r="L444">
        <f t="shared" ca="1" si="114"/>
        <v>0</v>
      </c>
      <c r="M444">
        <f t="shared" ca="1" si="115"/>
        <v>0</v>
      </c>
      <c r="N444">
        <f t="shared" ca="1" si="116"/>
        <v>1.3138204275419474</v>
      </c>
      <c r="O444">
        <f t="shared" ca="1" si="117"/>
        <v>1.0364752028963564</v>
      </c>
      <c r="P444">
        <f t="shared" ca="1" si="118"/>
        <v>0.28544264815506154</v>
      </c>
      <c r="Q444">
        <f t="shared" ca="1" si="119"/>
        <v>0</v>
      </c>
      <c r="R444">
        <f t="shared" ca="1" si="120"/>
        <v>0.37711215505888834</v>
      </c>
      <c r="S444">
        <f t="shared" ca="1" si="121"/>
        <v>5.7754763175745314</v>
      </c>
      <c r="T444">
        <f t="shared" ca="1" si="122"/>
        <v>0</v>
      </c>
      <c r="U444">
        <f t="shared" ca="1" si="123"/>
        <v>0</v>
      </c>
      <c r="V444">
        <f t="shared" ca="1" si="124"/>
        <v>9.4362514278997611E-2</v>
      </c>
      <c r="W444">
        <f t="shared" ca="1" si="125"/>
        <v>0</v>
      </c>
      <c r="X444">
        <f t="shared" ca="1" si="126"/>
        <v>0</v>
      </c>
      <c r="Y444">
        <f t="shared" ca="1" si="127"/>
        <v>0</v>
      </c>
      <c r="Z444">
        <f t="shared" ca="1" si="128"/>
        <v>6.3248554617992792</v>
      </c>
      <c r="AA444">
        <f t="shared" ca="1" si="129"/>
        <v>6.7757259582368823</v>
      </c>
      <c r="AB444">
        <f t="shared" ca="1" si="130"/>
        <v>0</v>
      </c>
      <c r="AC444">
        <f t="shared" ca="1" si="131"/>
        <v>0</v>
      </c>
      <c r="AD444">
        <f t="shared" ca="1" si="132"/>
        <v>0</v>
      </c>
      <c r="AE444">
        <f t="shared" ca="1" si="133"/>
        <v>0</v>
      </c>
      <c r="AF444">
        <f t="shared" ca="1" si="134"/>
        <v>0</v>
      </c>
      <c r="AG444">
        <f t="shared" ca="1" si="135"/>
        <v>0</v>
      </c>
      <c r="AH444">
        <f t="shared" ca="1" si="136"/>
        <v>0</v>
      </c>
      <c r="AI444">
        <f t="shared" ca="1" si="137"/>
        <v>0</v>
      </c>
      <c r="AJ444">
        <f t="shared" ca="1" si="138"/>
        <v>0</v>
      </c>
      <c r="AK444">
        <f t="shared" ca="1" si="139"/>
        <v>0</v>
      </c>
      <c r="AL444">
        <f t="shared" ca="1" si="140"/>
        <v>0.27412800347756294</v>
      </c>
      <c r="AM444">
        <f t="shared" ca="1" si="141"/>
        <v>0</v>
      </c>
      <c r="AN444">
        <f t="shared" ca="1" si="142"/>
        <v>0</v>
      </c>
      <c r="AO444">
        <f t="shared" ca="1" si="143"/>
        <v>0</v>
      </c>
      <c r="AP444">
        <f t="shared" ca="1" si="144"/>
        <v>0</v>
      </c>
    </row>
    <row r="445" spans="1:42" x14ac:dyDescent="0.2">
      <c r="A445" s="2" t="s">
        <v>350</v>
      </c>
      <c r="B445" s="2" t="str">
        <f>VLOOKUP(A445,'[14]Calculated coal req (reg.)'!$A$2:$B$599,2,FALSE)</f>
        <v>RAICHUR TPS UNIT 1-7</v>
      </c>
      <c r="C445" s="2">
        <v>2.4431077899606199</v>
      </c>
      <c r="D445" s="2"/>
      <c r="H445" t="s">
        <v>1032</v>
      </c>
      <c r="I445">
        <f t="shared" ca="1" si="111"/>
        <v>0</v>
      </c>
      <c r="J445">
        <f t="shared" ca="1" si="112"/>
        <v>0</v>
      </c>
      <c r="K445">
        <f t="shared" ca="1" si="113"/>
        <v>0</v>
      </c>
      <c r="L445">
        <f t="shared" ca="1" si="114"/>
        <v>0</v>
      </c>
      <c r="M445">
        <f t="shared" ca="1" si="115"/>
        <v>0</v>
      </c>
      <c r="N445">
        <f t="shared" ca="1" si="116"/>
        <v>0.73229533294486182</v>
      </c>
      <c r="O445">
        <f t="shared" ca="1" si="117"/>
        <v>0.52771922680303363</v>
      </c>
      <c r="P445">
        <f t="shared" ca="1" si="118"/>
        <v>0.16811548404523374</v>
      </c>
      <c r="Q445">
        <f t="shared" ca="1" si="119"/>
        <v>0</v>
      </c>
      <c r="R445">
        <f t="shared" ca="1" si="120"/>
        <v>0.16386303730221127</v>
      </c>
      <c r="S445">
        <f t="shared" ca="1" si="121"/>
        <v>2.0399632896712041</v>
      </c>
      <c r="T445">
        <f t="shared" ca="1" si="122"/>
        <v>0</v>
      </c>
      <c r="U445">
        <f t="shared" ca="1" si="123"/>
        <v>0</v>
      </c>
      <c r="V445">
        <f t="shared" ca="1" si="124"/>
        <v>6.1809108978353192E-2</v>
      </c>
      <c r="W445">
        <f t="shared" ca="1" si="125"/>
        <v>0</v>
      </c>
      <c r="X445">
        <f t="shared" ca="1" si="126"/>
        <v>0</v>
      </c>
      <c r="Y445">
        <f t="shared" ca="1" si="127"/>
        <v>0</v>
      </c>
      <c r="Z445">
        <f t="shared" ca="1" si="128"/>
        <v>2.6619788988229276</v>
      </c>
      <c r="AA445">
        <f t="shared" ca="1" si="129"/>
        <v>4.5065869392526423</v>
      </c>
      <c r="AB445">
        <f t="shared" ca="1" si="130"/>
        <v>0</v>
      </c>
      <c r="AC445">
        <f t="shared" ca="1" si="131"/>
        <v>0</v>
      </c>
      <c r="AD445">
        <f t="shared" ca="1" si="132"/>
        <v>0</v>
      </c>
      <c r="AE445">
        <f t="shared" ca="1" si="133"/>
        <v>0</v>
      </c>
      <c r="AF445">
        <f t="shared" ca="1" si="134"/>
        <v>0</v>
      </c>
      <c r="AG445">
        <f t="shared" ca="1" si="135"/>
        <v>0</v>
      </c>
      <c r="AH445">
        <f t="shared" ca="1" si="136"/>
        <v>0</v>
      </c>
      <c r="AI445">
        <f t="shared" ca="1" si="137"/>
        <v>0</v>
      </c>
      <c r="AJ445">
        <f t="shared" ca="1" si="138"/>
        <v>0</v>
      </c>
      <c r="AK445">
        <f t="shared" ca="1" si="139"/>
        <v>0</v>
      </c>
      <c r="AL445">
        <f t="shared" ca="1" si="140"/>
        <v>0.12178604708983334</v>
      </c>
      <c r="AM445">
        <f t="shared" ca="1" si="141"/>
        <v>0</v>
      </c>
      <c r="AN445">
        <f t="shared" ca="1" si="142"/>
        <v>0</v>
      </c>
      <c r="AO445">
        <f t="shared" ca="1" si="143"/>
        <v>0</v>
      </c>
      <c r="AP445">
        <f t="shared" ca="1" si="144"/>
        <v>0</v>
      </c>
    </row>
    <row r="446" spans="1:42" x14ac:dyDescent="0.2">
      <c r="A446" s="2" t="s">
        <v>529</v>
      </c>
      <c r="B446" s="2" t="str">
        <f>VLOOKUP(A446,'[14]Calculated coal req (reg.)'!$A$2:$B$599,2,FALSE)</f>
        <v>RAMAGUNDEM - B TPS</v>
      </c>
      <c r="C446" s="2">
        <v>1.1568389188869399</v>
      </c>
      <c r="D446" s="2"/>
      <c r="H446" t="s">
        <v>1178</v>
      </c>
      <c r="I446">
        <f t="shared" ca="1" si="111"/>
        <v>0.8147849636290887</v>
      </c>
      <c r="J446">
        <f t="shared" ca="1" si="112"/>
        <v>0</v>
      </c>
      <c r="K446">
        <f t="shared" ca="1" si="113"/>
        <v>0</v>
      </c>
      <c r="L446">
        <f t="shared" ca="1" si="114"/>
        <v>0</v>
      </c>
      <c r="M446">
        <f t="shared" ca="1" si="115"/>
        <v>0</v>
      </c>
      <c r="N446">
        <f t="shared" ca="1" si="116"/>
        <v>0</v>
      </c>
      <c r="O446">
        <f t="shared" ca="1" si="117"/>
        <v>0.88694988508343897</v>
      </c>
      <c r="P446">
        <f t="shared" ca="1" si="118"/>
        <v>0.2776394141249805</v>
      </c>
      <c r="Q446">
        <f t="shared" ca="1" si="119"/>
        <v>0</v>
      </c>
      <c r="R446">
        <f t="shared" ca="1" si="120"/>
        <v>0.794289372548452</v>
      </c>
      <c r="S446">
        <f t="shared" ca="1" si="121"/>
        <v>4.9562554018560858</v>
      </c>
      <c r="T446">
        <f t="shared" ca="1" si="122"/>
        <v>0</v>
      </c>
      <c r="U446">
        <f t="shared" ca="1" si="123"/>
        <v>0</v>
      </c>
      <c r="V446">
        <f t="shared" ca="1" si="124"/>
        <v>0.22191627133648612</v>
      </c>
      <c r="W446">
        <f t="shared" ca="1" si="125"/>
        <v>0</v>
      </c>
      <c r="X446">
        <f t="shared" ca="1" si="126"/>
        <v>0</v>
      </c>
      <c r="Y446">
        <f t="shared" ca="1" si="127"/>
        <v>0</v>
      </c>
      <c r="Z446">
        <f t="shared" ca="1" si="128"/>
        <v>8.1499866875285853</v>
      </c>
      <c r="AA446">
        <f t="shared" ca="1" si="129"/>
        <v>10.36880225320858</v>
      </c>
      <c r="AB446">
        <f t="shared" ca="1" si="130"/>
        <v>0</v>
      </c>
      <c r="AC446">
        <f t="shared" ca="1" si="131"/>
        <v>0</v>
      </c>
      <c r="AD446">
        <f t="shared" ca="1" si="132"/>
        <v>0</v>
      </c>
      <c r="AE446">
        <f t="shared" ca="1" si="133"/>
        <v>0</v>
      </c>
      <c r="AF446">
        <f t="shared" ca="1" si="134"/>
        <v>0</v>
      </c>
      <c r="AG446">
        <f t="shared" ca="1" si="135"/>
        <v>0</v>
      </c>
      <c r="AH446">
        <f t="shared" ca="1" si="136"/>
        <v>0</v>
      </c>
      <c r="AI446">
        <f t="shared" ca="1" si="137"/>
        <v>0</v>
      </c>
      <c r="AJ446">
        <f t="shared" ca="1" si="138"/>
        <v>0</v>
      </c>
      <c r="AK446">
        <f t="shared" ca="1" si="139"/>
        <v>0</v>
      </c>
      <c r="AL446">
        <f t="shared" ca="1" si="140"/>
        <v>0.24052591281848312</v>
      </c>
      <c r="AM446">
        <f t="shared" ca="1" si="141"/>
        <v>0</v>
      </c>
      <c r="AN446">
        <f t="shared" ca="1" si="142"/>
        <v>0</v>
      </c>
      <c r="AO446">
        <f t="shared" ca="1" si="143"/>
        <v>0</v>
      </c>
      <c r="AP446">
        <f t="shared" ca="1" si="144"/>
        <v>0</v>
      </c>
    </row>
    <row r="447" spans="1:42" x14ac:dyDescent="0.2">
      <c r="A447" s="2" t="s">
        <v>482</v>
      </c>
      <c r="B447" s="2" t="str">
        <f>VLOOKUP(A447,'[14]Calculated coal req (reg.)'!$A$2:$B$599,2,FALSE)</f>
        <v>RAMAGUNDEM STPS UNIT 1-6</v>
      </c>
      <c r="C447" s="2">
        <v>3.6967970046082899</v>
      </c>
      <c r="D447" s="2"/>
      <c r="H447" t="s">
        <v>1073</v>
      </c>
      <c r="I447">
        <f t="shared" ca="1" si="111"/>
        <v>0</v>
      </c>
      <c r="J447">
        <f t="shared" ca="1" si="112"/>
        <v>0</v>
      </c>
      <c r="K447">
        <f t="shared" ca="1" si="113"/>
        <v>0</v>
      </c>
      <c r="L447">
        <f t="shared" ca="1" si="114"/>
        <v>0</v>
      </c>
      <c r="M447">
        <f t="shared" ca="1" si="115"/>
        <v>0</v>
      </c>
      <c r="N447">
        <f t="shared" ca="1" si="116"/>
        <v>0</v>
      </c>
      <c r="O447">
        <f t="shared" ca="1" si="117"/>
        <v>0.68961311628072119</v>
      </c>
      <c r="P447">
        <f t="shared" ca="1" si="118"/>
        <v>0.19122772626537196</v>
      </c>
      <c r="Q447">
        <f t="shared" ca="1" si="119"/>
        <v>0</v>
      </c>
      <c r="R447">
        <f t="shared" ca="1" si="120"/>
        <v>0.32641443135652864</v>
      </c>
      <c r="S447">
        <f t="shared" ca="1" si="121"/>
        <v>5.1248700979078627</v>
      </c>
      <c r="T447">
        <f t="shared" ca="1" si="122"/>
        <v>0</v>
      </c>
      <c r="U447">
        <f t="shared" ca="1" si="123"/>
        <v>0</v>
      </c>
      <c r="V447">
        <f t="shared" ca="1" si="124"/>
        <v>0.19311328554804205</v>
      </c>
      <c r="W447">
        <f t="shared" ca="1" si="125"/>
        <v>0</v>
      </c>
      <c r="X447">
        <f t="shared" ca="1" si="126"/>
        <v>0</v>
      </c>
      <c r="Y447">
        <f t="shared" ca="1" si="127"/>
        <v>0</v>
      </c>
      <c r="Z447">
        <f t="shared" ca="1" si="128"/>
        <v>6.2552562180890003</v>
      </c>
      <c r="AA447">
        <f t="shared" ca="1" si="129"/>
        <v>7.8646845860180772</v>
      </c>
      <c r="AB447">
        <f t="shared" ca="1" si="130"/>
        <v>0</v>
      </c>
      <c r="AC447">
        <f t="shared" ca="1" si="131"/>
        <v>0</v>
      </c>
      <c r="AD447">
        <f t="shared" ca="1" si="132"/>
        <v>0</v>
      </c>
      <c r="AE447">
        <f t="shared" ca="1" si="133"/>
        <v>0</v>
      </c>
      <c r="AF447">
        <f t="shared" ca="1" si="134"/>
        <v>0</v>
      </c>
      <c r="AG447">
        <f t="shared" ca="1" si="135"/>
        <v>0</v>
      </c>
      <c r="AH447">
        <f t="shared" ca="1" si="136"/>
        <v>0</v>
      </c>
      <c r="AI447">
        <f t="shared" ca="1" si="137"/>
        <v>0</v>
      </c>
      <c r="AJ447">
        <f t="shared" ca="1" si="138"/>
        <v>0</v>
      </c>
      <c r="AK447">
        <f t="shared" ca="1" si="139"/>
        <v>0</v>
      </c>
      <c r="AL447">
        <f t="shared" ca="1" si="140"/>
        <v>0.17890053482649423</v>
      </c>
      <c r="AM447">
        <f t="shared" ca="1" si="141"/>
        <v>0</v>
      </c>
      <c r="AN447">
        <f t="shared" ca="1" si="142"/>
        <v>0</v>
      </c>
      <c r="AO447">
        <f t="shared" ca="1" si="143"/>
        <v>0</v>
      </c>
      <c r="AP447">
        <f t="shared" ca="1" si="144"/>
        <v>0</v>
      </c>
    </row>
    <row r="448" spans="1:42" x14ac:dyDescent="0.2">
      <c r="A448" s="2" t="s">
        <v>476</v>
      </c>
      <c r="B448" s="2" t="str">
        <f>VLOOKUP(A448,'[14]Calculated coal req (reg.)'!$A$2:$B$599,2,FALSE)</f>
        <v>RAMAGUNDEM STPS UNIT 1-6</v>
      </c>
      <c r="C448" s="2">
        <v>3.9101286725820898</v>
      </c>
      <c r="D448" s="2"/>
      <c r="H448" t="s">
        <v>1059</v>
      </c>
      <c r="I448">
        <f t="shared" ca="1" si="111"/>
        <v>0</v>
      </c>
      <c r="J448">
        <f t="shared" ca="1" si="112"/>
        <v>0</v>
      </c>
      <c r="K448">
        <f t="shared" ca="1" si="113"/>
        <v>0</v>
      </c>
      <c r="L448">
        <f t="shared" ca="1" si="114"/>
        <v>0</v>
      </c>
      <c r="M448">
        <f t="shared" ca="1" si="115"/>
        <v>0</v>
      </c>
      <c r="N448">
        <f t="shared" ca="1" si="116"/>
        <v>2.2083169214609453</v>
      </c>
      <c r="O448">
        <f t="shared" ca="1" si="117"/>
        <v>0.7741598730589121</v>
      </c>
      <c r="P448">
        <f t="shared" ca="1" si="118"/>
        <v>0.25409609551341034</v>
      </c>
      <c r="Q448">
        <f t="shared" ca="1" si="119"/>
        <v>0</v>
      </c>
      <c r="R448">
        <f t="shared" ca="1" si="120"/>
        <v>0.30954521883732095</v>
      </c>
      <c r="S448">
        <f t="shared" ca="1" si="121"/>
        <v>6.2138393685891007</v>
      </c>
      <c r="T448">
        <f t="shared" ca="1" si="122"/>
        <v>0</v>
      </c>
      <c r="U448">
        <f t="shared" ca="1" si="123"/>
        <v>0</v>
      </c>
      <c r="V448">
        <f t="shared" ca="1" si="124"/>
        <v>0.12317995480746378</v>
      </c>
      <c r="W448">
        <f t="shared" ca="1" si="125"/>
        <v>0</v>
      </c>
      <c r="X448">
        <f t="shared" ca="1" si="126"/>
        <v>0</v>
      </c>
      <c r="Y448">
        <f t="shared" ca="1" si="127"/>
        <v>0</v>
      </c>
      <c r="Z448">
        <f t="shared" ca="1" si="128"/>
        <v>5.1250474865795743</v>
      </c>
      <c r="AA448">
        <f t="shared" ca="1" si="129"/>
        <v>6.4153824293628992</v>
      </c>
      <c r="AB448">
        <f t="shared" ca="1" si="130"/>
        <v>0</v>
      </c>
      <c r="AC448">
        <f t="shared" ca="1" si="131"/>
        <v>0</v>
      </c>
      <c r="AD448">
        <f t="shared" ca="1" si="132"/>
        <v>0</v>
      </c>
      <c r="AE448">
        <f t="shared" ca="1" si="133"/>
        <v>0</v>
      </c>
      <c r="AF448">
        <f t="shared" ca="1" si="134"/>
        <v>0</v>
      </c>
      <c r="AG448">
        <f t="shared" ca="1" si="135"/>
        <v>0</v>
      </c>
      <c r="AH448">
        <f t="shared" ca="1" si="136"/>
        <v>0</v>
      </c>
      <c r="AI448">
        <f t="shared" ca="1" si="137"/>
        <v>0</v>
      </c>
      <c r="AJ448">
        <f t="shared" ca="1" si="138"/>
        <v>0</v>
      </c>
      <c r="AK448">
        <f t="shared" ca="1" si="139"/>
        <v>0</v>
      </c>
      <c r="AL448">
        <f t="shared" ca="1" si="140"/>
        <v>0.20002541182346639</v>
      </c>
      <c r="AM448">
        <f t="shared" ca="1" si="141"/>
        <v>0</v>
      </c>
      <c r="AN448">
        <f t="shared" ca="1" si="142"/>
        <v>0</v>
      </c>
      <c r="AO448">
        <f t="shared" ca="1" si="143"/>
        <v>0</v>
      </c>
      <c r="AP448">
        <f t="shared" ca="1" si="144"/>
        <v>0</v>
      </c>
    </row>
    <row r="449" spans="1:42" x14ac:dyDescent="0.2">
      <c r="A449" s="2" t="s">
        <v>470</v>
      </c>
      <c r="B449" s="2" t="str">
        <f>VLOOKUP(A449,'[14]Calculated coal req (reg.)'!$A$2:$B$599,2,FALSE)</f>
        <v>RAMAGUNDEM STPS UNIT 1-6</v>
      </c>
      <c r="C449" s="2">
        <v>4.0725975550577598</v>
      </c>
      <c r="D449" s="2"/>
      <c r="H449" t="s">
        <v>1027</v>
      </c>
      <c r="I449">
        <f t="shared" ca="1" si="111"/>
        <v>6.4977650786132504</v>
      </c>
      <c r="J449">
        <f t="shared" ca="1" si="112"/>
        <v>0</v>
      </c>
      <c r="K449">
        <f t="shared" ca="1" si="113"/>
        <v>0</v>
      </c>
      <c r="L449">
        <f t="shared" ca="1" si="114"/>
        <v>0</v>
      </c>
      <c r="M449">
        <f t="shared" ca="1" si="115"/>
        <v>0</v>
      </c>
      <c r="N449">
        <f t="shared" ca="1" si="116"/>
        <v>0</v>
      </c>
      <c r="O449">
        <f t="shared" ca="1" si="117"/>
        <v>0</v>
      </c>
      <c r="P449">
        <f t="shared" ca="1" si="118"/>
        <v>0</v>
      </c>
      <c r="Q449">
        <f t="shared" ca="1" si="119"/>
        <v>0</v>
      </c>
      <c r="R449">
        <f t="shared" ca="1" si="120"/>
        <v>0</v>
      </c>
      <c r="S449">
        <f t="shared" ca="1" si="121"/>
        <v>0</v>
      </c>
      <c r="T449">
        <f t="shared" ca="1" si="122"/>
        <v>0</v>
      </c>
      <c r="U449">
        <f t="shared" ca="1" si="123"/>
        <v>0</v>
      </c>
      <c r="V449">
        <f t="shared" ca="1" si="124"/>
        <v>0</v>
      </c>
      <c r="W449">
        <f t="shared" ca="1" si="125"/>
        <v>0</v>
      </c>
      <c r="X449">
        <f t="shared" ca="1" si="126"/>
        <v>0</v>
      </c>
      <c r="Y449">
        <f t="shared" ca="1" si="127"/>
        <v>0</v>
      </c>
      <c r="Z449">
        <f t="shared" ca="1" si="128"/>
        <v>0</v>
      </c>
      <c r="AA449">
        <f t="shared" ca="1" si="129"/>
        <v>0</v>
      </c>
      <c r="AB449">
        <f t="shared" ca="1" si="130"/>
        <v>0</v>
      </c>
      <c r="AC449">
        <f t="shared" ca="1" si="131"/>
        <v>0</v>
      </c>
      <c r="AD449">
        <f t="shared" ca="1" si="132"/>
        <v>0</v>
      </c>
      <c r="AE449">
        <f t="shared" ca="1" si="133"/>
        <v>0</v>
      </c>
      <c r="AF449">
        <f t="shared" ca="1" si="134"/>
        <v>0</v>
      </c>
      <c r="AG449">
        <f t="shared" ca="1" si="135"/>
        <v>0</v>
      </c>
      <c r="AH449">
        <f t="shared" ca="1" si="136"/>
        <v>0</v>
      </c>
      <c r="AI449">
        <f t="shared" ca="1" si="137"/>
        <v>0</v>
      </c>
      <c r="AJ449">
        <f t="shared" ca="1" si="138"/>
        <v>0</v>
      </c>
      <c r="AK449">
        <f t="shared" ca="1" si="139"/>
        <v>0</v>
      </c>
      <c r="AL449">
        <f t="shared" ca="1" si="140"/>
        <v>0</v>
      </c>
      <c r="AM449">
        <f t="shared" ca="1" si="141"/>
        <v>0</v>
      </c>
      <c r="AN449">
        <f t="shared" ca="1" si="142"/>
        <v>0</v>
      </c>
      <c r="AO449">
        <f t="shared" ca="1" si="143"/>
        <v>0</v>
      </c>
      <c r="AP449">
        <f t="shared" ca="1" si="144"/>
        <v>0</v>
      </c>
    </row>
    <row r="450" spans="1:42" x14ac:dyDescent="0.2">
      <c r="A450" s="2" t="s">
        <v>329</v>
      </c>
      <c r="B450" s="2" t="str">
        <f>VLOOKUP(A450,'[14]Calculated coal req (reg.)'!$A$2:$B$599,2,FALSE)</f>
        <v>RATIJA TPS</v>
      </c>
      <c r="C450" s="2">
        <v>0.95507221351766403</v>
      </c>
      <c r="D450" s="2"/>
      <c r="H450" t="s">
        <v>1179</v>
      </c>
      <c r="I450">
        <f t="shared" ca="1" si="111"/>
        <v>0</v>
      </c>
      <c r="J450">
        <f t="shared" ca="1" si="112"/>
        <v>0</v>
      </c>
      <c r="K450">
        <f t="shared" ca="1" si="113"/>
        <v>0</v>
      </c>
      <c r="L450">
        <f t="shared" ca="1" si="114"/>
        <v>0</v>
      </c>
      <c r="M450">
        <f t="shared" ca="1" si="115"/>
        <v>0</v>
      </c>
      <c r="N450">
        <f t="shared" ca="1" si="116"/>
        <v>0</v>
      </c>
      <c r="O450">
        <f t="shared" ca="1" si="117"/>
        <v>0</v>
      </c>
      <c r="P450">
        <f t="shared" ca="1" si="118"/>
        <v>0</v>
      </c>
      <c r="Q450">
        <f t="shared" ca="1" si="119"/>
        <v>0</v>
      </c>
      <c r="R450">
        <f t="shared" ca="1" si="120"/>
        <v>0</v>
      </c>
      <c r="S450">
        <f t="shared" ca="1" si="121"/>
        <v>16.634472302142598</v>
      </c>
      <c r="T450">
        <f t="shared" ca="1" si="122"/>
        <v>0</v>
      </c>
      <c r="U450">
        <f t="shared" ca="1" si="123"/>
        <v>0</v>
      </c>
      <c r="V450">
        <f t="shared" ca="1" si="124"/>
        <v>0</v>
      </c>
      <c r="W450">
        <f t="shared" ca="1" si="125"/>
        <v>0</v>
      </c>
      <c r="X450">
        <f t="shared" ca="1" si="126"/>
        <v>0</v>
      </c>
      <c r="Y450">
        <f t="shared" ca="1" si="127"/>
        <v>0</v>
      </c>
      <c r="Z450">
        <f t="shared" ca="1" si="128"/>
        <v>0</v>
      </c>
      <c r="AA450">
        <f t="shared" ca="1" si="129"/>
        <v>0</v>
      </c>
      <c r="AB450">
        <f t="shared" ca="1" si="130"/>
        <v>0</v>
      </c>
      <c r="AC450">
        <f t="shared" ca="1" si="131"/>
        <v>0</v>
      </c>
      <c r="AD450">
        <f t="shared" ca="1" si="132"/>
        <v>0</v>
      </c>
      <c r="AE450">
        <f t="shared" ca="1" si="133"/>
        <v>0</v>
      </c>
      <c r="AF450">
        <f t="shared" ca="1" si="134"/>
        <v>0</v>
      </c>
      <c r="AG450">
        <f t="shared" ca="1" si="135"/>
        <v>0</v>
      </c>
      <c r="AH450">
        <f t="shared" ca="1" si="136"/>
        <v>0</v>
      </c>
      <c r="AI450">
        <f t="shared" ca="1" si="137"/>
        <v>0</v>
      </c>
      <c r="AJ450">
        <f t="shared" ca="1" si="138"/>
        <v>0</v>
      </c>
      <c r="AK450">
        <f t="shared" ca="1" si="139"/>
        <v>0</v>
      </c>
      <c r="AL450">
        <f t="shared" ca="1" si="140"/>
        <v>0</v>
      </c>
      <c r="AM450">
        <f t="shared" ca="1" si="141"/>
        <v>0</v>
      </c>
      <c r="AN450">
        <f t="shared" ca="1" si="142"/>
        <v>0</v>
      </c>
      <c r="AO450">
        <f t="shared" ca="1" si="143"/>
        <v>0</v>
      </c>
      <c r="AP450">
        <f t="shared" ca="1" si="144"/>
        <v>0</v>
      </c>
    </row>
    <row r="451" spans="1:42" x14ac:dyDescent="0.2">
      <c r="A451" s="2" t="s">
        <v>295</v>
      </c>
      <c r="B451" s="2" t="str">
        <f>VLOOKUP(A451,'[14]Calculated coal req (reg.)'!$A$2:$B$599,2,FALSE)</f>
        <v>RATIJA TPS</v>
      </c>
      <c r="C451" s="2">
        <v>1.10236571163726</v>
      </c>
      <c r="D451" s="2"/>
      <c r="H451" t="s">
        <v>1180</v>
      </c>
      <c r="I451">
        <f t="shared" ca="1" si="111"/>
        <v>0</v>
      </c>
      <c r="J451">
        <f t="shared" ca="1" si="112"/>
        <v>0</v>
      </c>
      <c r="K451">
        <f t="shared" ca="1" si="113"/>
        <v>0</v>
      </c>
      <c r="L451">
        <f t="shared" ca="1" si="114"/>
        <v>0</v>
      </c>
      <c r="M451">
        <f t="shared" ca="1" si="115"/>
        <v>0</v>
      </c>
      <c r="N451">
        <f t="shared" ca="1" si="116"/>
        <v>0</v>
      </c>
      <c r="O451">
        <f t="shared" ca="1" si="117"/>
        <v>0</v>
      </c>
      <c r="P451">
        <f t="shared" ca="1" si="118"/>
        <v>0</v>
      </c>
      <c r="Q451">
        <f t="shared" ca="1" si="119"/>
        <v>0</v>
      </c>
      <c r="R451">
        <f t="shared" ca="1" si="120"/>
        <v>0</v>
      </c>
      <c r="S451">
        <f t="shared" ca="1" si="121"/>
        <v>3.8713607908257801</v>
      </c>
      <c r="T451">
        <f t="shared" ca="1" si="122"/>
        <v>0</v>
      </c>
      <c r="U451">
        <f t="shared" ca="1" si="123"/>
        <v>0</v>
      </c>
      <c r="V451">
        <f t="shared" ca="1" si="124"/>
        <v>0</v>
      </c>
      <c r="W451">
        <f t="shared" ca="1" si="125"/>
        <v>0</v>
      </c>
      <c r="X451">
        <f t="shared" ca="1" si="126"/>
        <v>0</v>
      </c>
      <c r="Y451">
        <f t="shared" ca="1" si="127"/>
        <v>0</v>
      </c>
      <c r="Z451">
        <f t="shared" ca="1" si="128"/>
        <v>0</v>
      </c>
      <c r="AA451">
        <f t="shared" ca="1" si="129"/>
        <v>0</v>
      </c>
      <c r="AB451">
        <f t="shared" ca="1" si="130"/>
        <v>0</v>
      </c>
      <c r="AC451">
        <f t="shared" ca="1" si="131"/>
        <v>0</v>
      </c>
      <c r="AD451">
        <f t="shared" ca="1" si="132"/>
        <v>0</v>
      </c>
      <c r="AE451">
        <f t="shared" ca="1" si="133"/>
        <v>0</v>
      </c>
      <c r="AF451">
        <f t="shared" ca="1" si="134"/>
        <v>0</v>
      </c>
      <c r="AG451">
        <f t="shared" ca="1" si="135"/>
        <v>0</v>
      </c>
      <c r="AH451">
        <f t="shared" ca="1" si="136"/>
        <v>0</v>
      </c>
      <c r="AI451">
        <f t="shared" ca="1" si="137"/>
        <v>0</v>
      </c>
      <c r="AJ451">
        <f t="shared" ca="1" si="138"/>
        <v>0</v>
      </c>
      <c r="AK451">
        <f t="shared" ca="1" si="139"/>
        <v>0</v>
      </c>
      <c r="AL451">
        <f t="shared" ca="1" si="140"/>
        <v>0</v>
      </c>
      <c r="AM451">
        <f t="shared" ca="1" si="141"/>
        <v>0</v>
      </c>
      <c r="AN451">
        <f t="shared" ca="1" si="142"/>
        <v>0</v>
      </c>
      <c r="AO451">
        <f t="shared" ca="1" si="143"/>
        <v>0</v>
      </c>
      <c r="AP451">
        <f t="shared" ca="1" si="144"/>
        <v>0</v>
      </c>
    </row>
    <row r="452" spans="1:42" x14ac:dyDescent="0.2">
      <c r="A452" s="2" t="s">
        <v>407</v>
      </c>
      <c r="B452" s="2" t="str">
        <f>VLOOKUP(A452,'[14]Calculated coal req (reg.)'!$A$2:$B$599,2,FALSE)</f>
        <v>RAYALSEEMA TPS UNIT 1-5</v>
      </c>
      <c r="C452" s="2">
        <v>3.1684552216236099</v>
      </c>
      <c r="D452" s="2"/>
      <c r="H452" t="s">
        <v>981</v>
      </c>
      <c r="I452">
        <f t="shared" ca="1" si="111"/>
        <v>0</v>
      </c>
      <c r="J452">
        <f t="shared" ca="1" si="112"/>
        <v>0</v>
      </c>
      <c r="K452">
        <f t="shared" ca="1" si="113"/>
        <v>0</v>
      </c>
      <c r="L452">
        <f t="shared" ca="1" si="114"/>
        <v>0</v>
      </c>
      <c r="M452">
        <f t="shared" ca="1" si="115"/>
        <v>0</v>
      </c>
      <c r="N452">
        <f t="shared" ca="1" si="116"/>
        <v>0</v>
      </c>
      <c r="O452">
        <f t="shared" ca="1" si="117"/>
        <v>0</v>
      </c>
      <c r="P452">
        <f t="shared" ca="1" si="118"/>
        <v>0</v>
      </c>
      <c r="Q452">
        <f t="shared" ca="1" si="119"/>
        <v>0</v>
      </c>
      <c r="R452">
        <f t="shared" ca="1" si="120"/>
        <v>0</v>
      </c>
      <c r="S452">
        <f t="shared" ca="1" si="121"/>
        <v>0</v>
      </c>
      <c r="T452">
        <f t="shared" ca="1" si="122"/>
        <v>0</v>
      </c>
      <c r="U452">
        <f t="shared" ca="1" si="123"/>
        <v>0</v>
      </c>
      <c r="V452">
        <f t="shared" ca="1" si="124"/>
        <v>0</v>
      </c>
      <c r="W452">
        <f t="shared" ca="1" si="125"/>
        <v>0</v>
      </c>
      <c r="X452">
        <f t="shared" ca="1" si="126"/>
        <v>0</v>
      </c>
      <c r="Y452">
        <f t="shared" ca="1" si="127"/>
        <v>0</v>
      </c>
      <c r="Z452">
        <f t="shared" ca="1" si="128"/>
        <v>0</v>
      </c>
      <c r="AA452">
        <f t="shared" ca="1" si="129"/>
        <v>0</v>
      </c>
      <c r="AB452">
        <f t="shared" ca="1" si="130"/>
        <v>0</v>
      </c>
      <c r="AC452">
        <f t="shared" ca="1" si="131"/>
        <v>0</v>
      </c>
      <c r="AD452">
        <f t="shared" ca="1" si="132"/>
        <v>0</v>
      </c>
      <c r="AE452">
        <f t="shared" ca="1" si="133"/>
        <v>0</v>
      </c>
      <c r="AF452">
        <f t="shared" ca="1" si="134"/>
        <v>0</v>
      </c>
      <c r="AG452">
        <f t="shared" ca="1" si="135"/>
        <v>0</v>
      </c>
      <c r="AH452">
        <f t="shared" ca="1" si="136"/>
        <v>0</v>
      </c>
      <c r="AI452">
        <f t="shared" ca="1" si="137"/>
        <v>0</v>
      </c>
      <c r="AJ452">
        <f t="shared" ca="1" si="138"/>
        <v>0</v>
      </c>
      <c r="AK452">
        <f t="shared" ca="1" si="139"/>
        <v>0</v>
      </c>
      <c r="AL452">
        <f t="shared" ca="1" si="140"/>
        <v>0</v>
      </c>
      <c r="AM452">
        <f t="shared" ca="1" si="141"/>
        <v>0</v>
      </c>
      <c r="AN452">
        <f t="shared" ca="1" si="142"/>
        <v>0</v>
      </c>
      <c r="AO452">
        <f t="shared" ca="1" si="143"/>
        <v>0</v>
      </c>
      <c r="AP452">
        <f t="shared" ca="1" si="144"/>
        <v>0</v>
      </c>
    </row>
    <row r="453" spans="1:42" x14ac:dyDescent="0.2">
      <c r="A453" s="2" t="s">
        <v>401</v>
      </c>
      <c r="B453" s="2" t="str">
        <f>VLOOKUP(A453,'[14]Calculated coal req (reg.)'!$A$2:$B$599,2,FALSE)</f>
        <v>RAYALSEEMA TPS UNIT 1-5</v>
      </c>
      <c r="C453" s="2">
        <v>2.7294220703020802</v>
      </c>
      <c r="D453" s="2"/>
      <c r="H453" t="s">
        <v>1100</v>
      </c>
      <c r="I453">
        <f t="shared" ca="1" si="111"/>
        <v>0</v>
      </c>
      <c r="J453">
        <f t="shared" ca="1" si="112"/>
        <v>0</v>
      </c>
      <c r="K453">
        <f t="shared" ca="1" si="113"/>
        <v>0</v>
      </c>
      <c r="L453">
        <f t="shared" ca="1" si="114"/>
        <v>0</v>
      </c>
      <c r="M453">
        <f t="shared" ca="1" si="115"/>
        <v>0</v>
      </c>
      <c r="N453">
        <f t="shared" ca="1" si="116"/>
        <v>0</v>
      </c>
      <c r="O453">
        <f t="shared" ca="1" si="117"/>
        <v>0</v>
      </c>
      <c r="P453">
        <f t="shared" ca="1" si="118"/>
        <v>0</v>
      </c>
      <c r="Q453">
        <f t="shared" ca="1" si="119"/>
        <v>0</v>
      </c>
      <c r="R453">
        <f t="shared" ca="1" si="120"/>
        <v>0</v>
      </c>
      <c r="S453">
        <f t="shared" ca="1" si="121"/>
        <v>0</v>
      </c>
      <c r="T453">
        <f t="shared" ca="1" si="122"/>
        <v>8.7427718057100403</v>
      </c>
      <c r="U453">
        <f t="shared" ca="1" si="123"/>
        <v>0</v>
      </c>
      <c r="V453">
        <f t="shared" ca="1" si="124"/>
        <v>0</v>
      </c>
      <c r="W453">
        <f t="shared" ca="1" si="125"/>
        <v>0</v>
      </c>
      <c r="X453">
        <f t="shared" ca="1" si="126"/>
        <v>0</v>
      </c>
      <c r="Y453">
        <f t="shared" ca="1" si="127"/>
        <v>0</v>
      </c>
      <c r="Z453">
        <f t="shared" ca="1" si="128"/>
        <v>0</v>
      </c>
      <c r="AA453">
        <f t="shared" ca="1" si="129"/>
        <v>0</v>
      </c>
      <c r="AB453">
        <f t="shared" ca="1" si="130"/>
        <v>0</v>
      </c>
      <c r="AC453">
        <f t="shared" ca="1" si="131"/>
        <v>0</v>
      </c>
      <c r="AD453">
        <f t="shared" ca="1" si="132"/>
        <v>0</v>
      </c>
      <c r="AE453">
        <f t="shared" ca="1" si="133"/>
        <v>0</v>
      </c>
      <c r="AF453">
        <f t="shared" ca="1" si="134"/>
        <v>0</v>
      </c>
      <c r="AG453">
        <f t="shared" ca="1" si="135"/>
        <v>0</v>
      </c>
      <c r="AH453">
        <f t="shared" ca="1" si="136"/>
        <v>0</v>
      </c>
      <c r="AI453">
        <f t="shared" ca="1" si="137"/>
        <v>0</v>
      </c>
      <c r="AJ453">
        <f t="shared" ca="1" si="138"/>
        <v>0</v>
      </c>
      <c r="AK453">
        <f t="shared" ca="1" si="139"/>
        <v>0</v>
      </c>
      <c r="AL453">
        <f t="shared" ca="1" si="140"/>
        <v>0</v>
      </c>
      <c r="AM453">
        <f t="shared" ca="1" si="141"/>
        <v>0</v>
      </c>
      <c r="AN453">
        <f t="shared" ca="1" si="142"/>
        <v>0</v>
      </c>
      <c r="AO453">
        <f t="shared" ca="1" si="143"/>
        <v>0</v>
      </c>
      <c r="AP453">
        <f t="shared" ca="1" si="144"/>
        <v>0</v>
      </c>
    </row>
    <row r="454" spans="1:42" x14ac:dyDescent="0.2">
      <c r="A454" s="2" t="s">
        <v>319</v>
      </c>
      <c r="B454" s="2" t="str">
        <f>VLOOKUP(A454,'[14]Calculated coal req (reg.)'!$A$2:$B$599,2,FALSE)</f>
        <v>RAYALSEEMA TPS UNIT 1-5</v>
      </c>
      <c r="C454" s="2">
        <v>2.9474730185214599</v>
      </c>
      <c r="D454" s="2"/>
      <c r="H454" t="s">
        <v>979</v>
      </c>
      <c r="I454">
        <f t="shared" ca="1" si="111"/>
        <v>0</v>
      </c>
      <c r="J454">
        <f t="shared" ca="1" si="112"/>
        <v>0</v>
      </c>
      <c r="K454">
        <f t="shared" ca="1" si="113"/>
        <v>0</v>
      </c>
      <c r="L454">
        <f t="shared" ca="1" si="114"/>
        <v>0</v>
      </c>
      <c r="M454">
        <f t="shared" ca="1" si="115"/>
        <v>0</v>
      </c>
      <c r="N454">
        <f t="shared" ca="1" si="116"/>
        <v>0</v>
      </c>
      <c r="O454">
        <f t="shared" ca="1" si="117"/>
        <v>0</v>
      </c>
      <c r="P454">
        <f t="shared" ca="1" si="118"/>
        <v>0</v>
      </c>
      <c r="Q454">
        <f t="shared" ca="1" si="119"/>
        <v>0</v>
      </c>
      <c r="R454">
        <f t="shared" ca="1" si="120"/>
        <v>0</v>
      </c>
      <c r="S454">
        <f t="shared" ca="1" si="121"/>
        <v>0</v>
      </c>
      <c r="T454">
        <f t="shared" ca="1" si="122"/>
        <v>0</v>
      </c>
      <c r="U454">
        <f t="shared" ca="1" si="123"/>
        <v>0</v>
      </c>
      <c r="V454">
        <f t="shared" ca="1" si="124"/>
        <v>0</v>
      </c>
      <c r="W454">
        <f t="shared" ca="1" si="125"/>
        <v>0</v>
      </c>
      <c r="X454">
        <f t="shared" ca="1" si="126"/>
        <v>1.8019285740770119</v>
      </c>
      <c r="Y454">
        <f t="shared" ca="1" si="127"/>
        <v>0</v>
      </c>
      <c r="Z454">
        <f t="shared" ca="1" si="128"/>
        <v>0</v>
      </c>
      <c r="AA454">
        <f t="shared" ca="1" si="129"/>
        <v>0</v>
      </c>
      <c r="AB454">
        <f t="shared" ca="1" si="130"/>
        <v>0</v>
      </c>
      <c r="AC454">
        <f t="shared" ca="1" si="131"/>
        <v>0</v>
      </c>
      <c r="AD454">
        <f t="shared" ca="1" si="132"/>
        <v>0</v>
      </c>
      <c r="AE454">
        <f t="shared" ca="1" si="133"/>
        <v>0</v>
      </c>
      <c r="AF454">
        <f t="shared" ca="1" si="134"/>
        <v>0</v>
      </c>
      <c r="AG454">
        <f t="shared" ca="1" si="135"/>
        <v>0</v>
      </c>
      <c r="AH454">
        <f t="shared" ca="1" si="136"/>
        <v>0</v>
      </c>
      <c r="AI454">
        <f t="shared" ca="1" si="137"/>
        <v>0</v>
      </c>
      <c r="AJ454">
        <f t="shared" ca="1" si="138"/>
        <v>0</v>
      </c>
      <c r="AK454">
        <f t="shared" ca="1" si="139"/>
        <v>0</v>
      </c>
      <c r="AL454">
        <f t="shared" ca="1" si="140"/>
        <v>0</v>
      </c>
      <c r="AM454">
        <f t="shared" ca="1" si="141"/>
        <v>0</v>
      </c>
      <c r="AN454">
        <f t="shared" ca="1" si="142"/>
        <v>0</v>
      </c>
      <c r="AO454">
        <f t="shared" ca="1" si="143"/>
        <v>0</v>
      </c>
      <c r="AP454">
        <f t="shared" ca="1" si="144"/>
        <v>0</v>
      </c>
    </row>
    <row r="455" spans="1:42" x14ac:dyDescent="0.2">
      <c r="A455" s="2" t="s">
        <v>315</v>
      </c>
      <c r="B455" s="2" t="str">
        <f>VLOOKUP(A455,'[14]Calculated coal req (reg.)'!$A$2:$B$599,2,FALSE)</f>
        <v>RAYALSEEMA TPS UNIT 1-5</v>
      </c>
      <c r="C455" s="2">
        <v>3.3443217569786499</v>
      </c>
      <c r="D455" s="2"/>
      <c r="H455" t="s">
        <v>1214</v>
      </c>
      <c r="I455">
        <f ca="1">SUM(I230:I454)</f>
        <v>124.30725693880674</v>
      </c>
      <c r="J455">
        <f t="shared" ref="J455:AP455" ca="1" si="145">SUM(J230:J454)</f>
        <v>0.86144606556359793</v>
      </c>
      <c r="K455">
        <f t="shared" ca="1" si="145"/>
        <v>10.678766147506357</v>
      </c>
      <c r="L455">
        <f t="shared" ca="1" si="145"/>
        <v>80.871513718232393</v>
      </c>
      <c r="M455">
        <f t="shared" ca="1" si="145"/>
        <v>5.4333666234941264E-2</v>
      </c>
      <c r="N455">
        <f t="shared" ca="1" si="145"/>
        <v>85.367972068193211</v>
      </c>
      <c r="O455">
        <f t="shared" ca="1" si="145"/>
        <v>15.196448326927865</v>
      </c>
      <c r="P455">
        <f t="shared" ca="1" si="145"/>
        <v>7.3644315704959604</v>
      </c>
      <c r="Q455">
        <f t="shared" ca="1" si="145"/>
        <v>83.412629333144011</v>
      </c>
      <c r="R455">
        <f t="shared" ca="1" si="145"/>
        <v>11.487816275241375</v>
      </c>
      <c r="S455">
        <f t="shared" ca="1" si="145"/>
        <v>213.63940288229344</v>
      </c>
      <c r="T455">
        <f t="shared" ca="1" si="145"/>
        <v>139.48289519449096</v>
      </c>
      <c r="U455">
        <f t="shared" ca="1" si="145"/>
        <v>5.8921010096341568</v>
      </c>
      <c r="V455">
        <f t="shared" ca="1" si="145"/>
        <v>12.395753595632478</v>
      </c>
      <c r="W455">
        <f t="shared" ca="1" si="145"/>
        <v>21.81289199259848</v>
      </c>
      <c r="X455">
        <f t="shared" ca="1" si="145"/>
        <v>105.99401253575655</v>
      </c>
      <c r="Y455">
        <f t="shared" ca="1" si="145"/>
        <v>71.788693256691658</v>
      </c>
      <c r="Z455">
        <f t="shared" ca="1" si="145"/>
        <v>186.72551930235048</v>
      </c>
      <c r="AA455">
        <f t="shared" ca="1" si="145"/>
        <v>325.20174450505806</v>
      </c>
      <c r="AB455">
        <f t="shared" ca="1" si="145"/>
        <v>0.48057884483502922</v>
      </c>
      <c r="AC455">
        <f t="shared" ca="1" si="145"/>
        <v>0</v>
      </c>
      <c r="AD455">
        <f t="shared" ca="1" si="145"/>
        <v>0.81973285457155087</v>
      </c>
      <c r="AE455">
        <f t="shared" ca="1" si="145"/>
        <v>1.0039919631395686</v>
      </c>
      <c r="AF455">
        <f t="shared" ca="1" si="145"/>
        <v>67.861771056419443</v>
      </c>
      <c r="AG455">
        <f t="shared" ca="1" si="145"/>
        <v>4.6672050564956775</v>
      </c>
      <c r="AH455">
        <f t="shared" ca="1" si="145"/>
        <v>132.09389898600946</v>
      </c>
      <c r="AI455">
        <f t="shared" ca="1" si="145"/>
        <v>168.90622976764561</v>
      </c>
      <c r="AJ455">
        <f t="shared" ca="1" si="145"/>
        <v>1.9251497473274903</v>
      </c>
      <c r="AK455">
        <f t="shared" ca="1" si="145"/>
        <v>170.09439148245835</v>
      </c>
      <c r="AL455">
        <f t="shared" ca="1" si="145"/>
        <v>147.44765223940831</v>
      </c>
      <c r="AM455">
        <f t="shared" ca="1" si="145"/>
        <v>0.88738745085891502</v>
      </c>
      <c r="AN455">
        <f t="shared" ca="1" si="145"/>
        <v>288.49770984565151</v>
      </c>
      <c r="AO455">
        <f t="shared" ca="1" si="145"/>
        <v>7.6310968554115144</v>
      </c>
      <c r="AP455">
        <f t="shared" ca="1" si="145"/>
        <v>92.375143724213174</v>
      </c>
    </row>
    <row r="456" spans="1:42" x14ac:dyDescent="0.2">
      <c r="A456" s="2" t="s">
        <v>285</v>
      </c>
      <c r="B456" s="2" t="str">
        <f>VLOOKUP(A456,'[14]Calculated coal req (reg.)'!$A$2:$B$599,2,FALSE)</f>
        <v>RAYALSEEMA TPS UNIT 1-5</v>
      </c>
      <c r="C456" s="2">
        <v>2.6852899372745598</v>
      </c>
      <c r="D456" s="2"/>
    </row>
    <row r="457" spans="1:42" x14ac:dyDescent="0.2">
      <c r="A457" s="2" t="s">
        <v>446</v>
      </c>
      <c r="B457" s="2" t="str">
        <f>VLOOKUP(A457,'[14]Calculated coal req (reg.)'!$A$2:$B$599,2,FALSE)</f>
        <v>ROPAR TPS</v>
      </c>
      <c r="C457" s="2">
        <v>0.90289528241255701</v>
      </c>
      <c r="D457" s="2"/>
    </row>
    <row r="458" spans="1:42" x14ac:dyDescent="0.2">
      <c r="A458" s="2" t="s">
        <v>441</v>
      </c>
      <c r="B458" s="2" t="str">
        <f>VLOOKUP(A458,'[14]Calculated coal req (reg.)'!$A$2:$B$599,2,FALSE)</f>
        <v>ROPAR TPS</v>
      </c>
      <c r="C458" s="2">
        <v>0.89856491681318496</v>
      </c>
      <c r="D458" s="2"/>
      <c r="H458" t="s">
        <v>974</v>
      </c>
      <c r="I458" s="69" t="s">
        <v>614</v>
      </c>
      <c r="J458" s="69" t="s">
        <v>1200</v>
      </c>
      <c r="K458" s="69" t="s">
        <v>624</v>
      </c>
      <c r="L458" s="69" t="s">
        <v>615</v>
      </c>
      <c r="M458" s="69" t="s">
        <v>1201</v>
      </c>
      <c r="N458" s="69" t="s">
        <v>1202</v>
      </c>
      <c r="O458" s="69" t="s">
        <v>1203</v>
      </c>
      <c r="P458" s="69" t="s">
        <v>1204</v>
      </c>
      <c r="Q458" s="69" t="s">
        <v>678</v>
      </c>
      <c r="R458" s="69" t="s">
        <v>681</v>
      </c>
      <c r="S458" s="69" t="s">
        <v>613</v>
      </c>
      <c r="T458" s="69" t="s">
        <v>619</v>
      </c>
      <c r="U458" s="69" t="s">
        <v>684</v>
      </c>
      <c r="V458" s="69" t="s">
        <v>1205</v>
      </c>
      <c r="W458" s="69" t="s">
        <v>623</v>
      </c>
      <c r="X458" s="69" t="s">
        <v>612</v>
      </c>
      <c r="Y458" s="69" t="s">
        <v>1206</v>
      </c>
      <c r="Z458" s="69" t="s">
        <v>609</v>
      </c>
      <c r="AA458" s="69" t="s">
        <v>617</v>
      </c>
      <c r="AB458" s="69" t="s">
        <v>1207</v>
      </c>
      <c r="AC458" s="69" t="s">
        <v>1208</v>
      </c>
      <c r="AD458" s="69" t="s">
        <v>1209</v>
      </c>
      <c r="AE458" s="69" t="s">
        <v>1210</v>
      </c>
      <c r="AF458" s="69" t="s">
        <v>608</v>
      </c>
      <c r="AG458" s="69" t="s">
        <v>1211</v>
      </c>
      <c r="AH458" s="69" t="s">
        <v>618</v>
      </c>
      <c r="AI458" s="69" t="s">
        <v>616</v>
      </c>
      <c r="AJ458" s="69" t="s">
        <v>687</v>
      </c>
      <c r="AK458" s="69" t="s">
        <v>622</v>
      </c>
      <c r="AL458" s="69" t="s">
        <v>610</v>
      </c>
      <c r="AM458" s="69" t="s">
        <v>1212</v>
      </c>
      <c r="AN458" s="69" t="s">
        <v>634</v>
      </c>
      <c r="AO458" s="69" t="s">
        <v>1213</v>
      </c>
      <c r="AP458" s="69" t="s">
        <v>621</v>
      </c>
    </row>
    <row r="459" spans="1:42" x14ac:dyDescent="0.2">
      <c r="A459" s="2" t="s">
        <v>418</v>
      </c>
      <c r="B459" s="2" t="str">
        <f>VLOOKUP(A459,'[14]Calculated coal req (reg.)'!$A$2:$B$599,2,FALSE)</f>
        <v>ROPAR TPS</v>
      </c>
      <c r="C459" s="2">
        <v>1.1335272668043801</v>
      </c>
      <c r="D459" s="2"/>
      <c r="H459" t="s">
        <v>1009</v>
      </c>
      <c r="I459">
        <f ca="1">$J2*M2</f>
        <v>9.6755415266767919</v>
      </c>
      <c r="J459">
        <f t="shared" ref="J459:AP459" ca="1" si="146">$J2*N2</f>
        <v>0</v>
      </c>
      <c r="K459">
        <f t="shared" ca="1" si="146"/>
        <v>0</v>
      </c>
      <c r="L459">
        <f t="shared" ca="1" si="146"/>
        <v>0</v>
      </c>
      <c r="M459">
        <f t="shared" ca="1" si="146"/>
        <v>0</v>
      </c>
      <c r="N459">
        <f t="shared" ca="1" si="146"/>
        <v>1.0915041073801408</v>
      </c>
      <c r="O459">
        <f t="shared" ca="1" si="146"/>
        <v>0</v>
      </c>
      <c r="P459">
        <f t="shared" ca="1" si="146"/>
        <v>0</v>
      </c>
      <c r="Q459">
        <f t="shared" ca="1" si="146"/>
        <v>0</v>
      </c>
      <c r="R459">
        <f t="shared" ca="1" si="146"/>
        <v>0</v>
      </c>
      <c r="S459">
        <f t="shared" ca="1" si="146"/>
        <v>0</v>
      </c>
      <c r="T459">
        <f t="shared" ca="1" si="146"/>
        <v>0</v>
      </c>
      <c r="U459">
        <f t="shared" ca="1" si="146"/>
        <v>0</v>
      </c>
      <c r="V459">
        <f t="shared" ca="1" si="146"/>
        <v>0</v>
      </c>
      <c r="W459">
        <f t="shared" ca="1" si="146"/>
        <v>0</v>
      </c>
      <c r="X459">
        <f t="shared" ca="1" si="146"/>
        <v>0</v>
      </c>
      <c r="Y459">
        <f t="shared" ca="1" si="146"/>
        <v>0</v>
      </c>
      <c r="Z459">
        <f t="shared" ca="1" si="146"/>
        <v>0</v>
      </c>
      <c r="AA459">
        <f t="shared" ca="1" si="146"/>
        <v>0</v>
      </c>
      <c r="AB459">
        <f t="shared" ca="1" si="146"/>
        <v>0</v>
      </c>
      <c r="AC459">
        <f t="shared" ca="1" si="146"/>
        <v>0</v>
      </c>
      <c r="AD459">
        <f t="shared" ca="1" si="146"/>
        <v>0</v>
      </c>
      <c r="AE459">
        <f t="shared" ca="1" si="146"/>
        <v>0</v>
      </c>
      <c r="AF459">
        <f t="shared" ca="1" si="146"/>
        <v>0</v>
      </c>
      <c r="AG459">
        <f t="shared" ca="1" si="146"/>
        <v>0</v>
      </c>
      <c r="AH459">
        <f t="shared" ca="1" si="146"/>
        <v>0</v>
      </c>
      <c r="AI459">
        <f t="shared" ca="1" si="146"/>
        <v>0</v>
      </c>
      <c r="AJ459">
        <f t="shared" ca="1" si="146"/>
        <v>0</v>
      </c>
      <c r="AK459">
        <f t="shared" ca="1" si="146"/>
        <v>8.190840060529645</v>
      </c>
      <c r="AL459">
        <f t="shared" ca="1" si="146"/>
        <v>0</v>
      </c>
      <c r="AM459">
        <f t="shared" ca="1" si="146"/>
        <v>0</v>
      </c>
      <c r="AN459">
        <f t="shared" ca="1" si="146"/>
        <v>17.762114305413427</v>
      </c>
      <c r="AO459">
        <f t="shared" ca="1" si="146"/>
        <v>0</v>
      </c>
      <c r="AP459">
        <f t="shared" ca="1" si="146"/>
        <v>0</v>
      </c>
    </row>
    <row r="460" spans="1:42" x14ac:dyDescent="0.2">
      <c r="A460" s="2" t="s">
        <v>415</v>
      </c>
      <c r="B460" s="2" t="str">
        <f>VLOOKUP(A460,'[14]Calculated coal req (reg.)'!$A$2:$B$599,2,FALSE)</f>
        <v>ROPAR TPS</v>
      </c>
      <c r="C460" s="2">
        <v>1.18571042428094</v>
      </c>
      <c r="D460" s="2"/>
      <c r="H460" t="s">
        <v>1183</v>
      </c>
      <c r="I460">
        <f t="shared" ref="I460:I523" ca="1" si="147">$J3*M3</f>
        <v>0</v>
      </c>
      <c r="J460">
        <f t="shared" ref="J460:J523" ca="1" si="148">$J3*N3</f>
        <v>0</v>
      </c>
      <c r="K460">
        <f t="shared" ref="K460:K523" ca="1" si="149">$J3*O3</f>
        <v>0</v>
      </c>
      <c r="L460">
        <f t="shared" ref="L460:L523" ca="1" si="150">$J3*P3</f>
        <v>0</v>
      </c>
      <c r="M460">
        <f t="shared" ref="M460:M523" ca="1" si="151">$J3*Q3</f>
        <v>0</v>
      </c>
      <c r="N460">
        <f t="shared" ref="N460:N523" ca="1" si="152">$J3*R3</f>
        <v>0</v>
      </c>
      <c r="O460">
        <f t="shared" ref="O460:O523" ca="1" si="153">$J3*S3</f>
        <v>0</v>
      </c>
      <c r="P460">
        <f t="shared" ref="P460:P523" ca="1" si="154">$J3*T3</f>
        <v>0</v>
      </c>
      <c r="Q460">
        <f t="shared" ref="Q460:Q523" ca="1" si="155">$J3*U3</f>
        <v>0</v>
      </c>
      <c r="R460">
        <f t="shared" ref="R460:R523" ca="1" si="156">$J3*V3</f>
        <v>0</v>
      </c>
      <c r="S460">
        <f t="shared" ref="S460:S523" ca="1" si="157">$J3*W3</f>
        <v>0</v>
      </c>
      <c r="T460">
        <f t="shared" ref="T460:T523" ca="1" si="158">$J3*X3</f>
        <v>0</v>
      </c>
      <c r="U460">
        <f t="shared" ref="U460:U523" ca="1" si="159">$J3*Y3</f>
        <v>0</v>
      </c>
      <c r="V460">
        <f t="shared" ref="V460:V523" ca="1" si="160">$J3*Z3</f>
        <v>0</v>
      </c>
      <c r="W460">
        <f t="shared" ref="W460:W523" ca="1" si="161">$J3*AA3</f>
        <v>0</v>
      </c>
      <c r="X460">
        <f t="shared" ref="X460:X523" ca="1" si="162">$J3*AB3</f>
        <v>0</v>
      </c>
      <c r="Y460">
        <f t="shared" ref="Y460:Y523" ca="1" si="163">$J3*AC3</f>
        <v>0</v>
      </c>
      <c r="Z460">
        <f t="shared" ref="Z460:Z523" ca="1" si="164">$J3*AD3</f>
        <v>0</v>
      </c>
      <c r="AA460">
        <f t="shared" ref="AA460:AA523" ca="1" si="165">$J3*AE3</f>
        <v>0</v>
      </c>
      <c r="AB460">
        <f t="shared" ref="AB460:AB523" ca="1" si="166">$J3*AF3</f>
        <v>0</v>
      </c>
      <c r="AC460">
        <f t="shared" ref="AC460:AC523" ca="1" si="167">$J3*AG3</f>
        <v>0</v>
      </c>
      <c r="AD460">
        <f t="shared" ref="AD460:AD523" ca="1" si="168">$J3*AH3</f>
        <v>0</v>
      </c>
      <c r="AE460">
        <f t="shared" ref="AE460:AE523" ca="1" si="169">$J3*AI3</f>
        <v>0</v>
      </c>
      <c r="AF460">
        <f t="shared" ref="AF460:AF523" ca="1" si="170">$J3*AJ3</f>
        <v>0</v>
      </c>
      <c r="AG460">
        <f t="shared" ref="AG460:AG523" ca="1" si="171">$J3*AK3</f>
        <v>0</v>
      </c>
      <c r="AH460">
        <f t="shared" ref="AH460:AH523" ca="1" si="172">$J3*AL3</f>
        <v>0</v>
      </c>
      <c r="AI460">
        <f t="shared" ref="AI460:AI523" ca="1" si="173">$J3*AM3</f>
        <v>0</v>
      </c>
      <c r="AJ460">
        <f t="shared" ref="AJ460:AJ523" ca="1" si="174">$J3*AN3</f>
        <v>0</v>
      </c>
      <c r="AK460">
        <f t="shared" ref="AK460:AK523" ca="1" si="175">$J3*AO3</f>
        <v>0</v>
      </c>
      <c r="AL460">
        <f t="shared" ref="AL460:AL523" ca="1" si="176">$J3*AP3</f>
        <v>0</v>
      </c>
      <c r="AM460">
        <f t="shared" ref="AM460:AM523" ca="1" si="177">$J3*AQ3</f>
        <v>0</v>
      </c>
      <c r="AN460">
        <f t="shared" ref="AN460:AN523" ca="1" si="178">$J3*AR3</f>
        <v>0</v>
      </c>
      <c r="AO460">
        <f t="shared" ref="AO460:AO523" ca="1" si="179">$J3*AS3</f>
        <v>0</v>
      </c>
      <c r="AP460">
        <f t="shared" ref="AP460:AP523" ca="1" si="180">$J3*AT3</f>
        <v>0</v>
      </c>
    </row>
    <row r="461" spans="1:42" x14ac:dyDescent="0.2">
      <c r="A461" s="2" t="s">
        <v>518</v>
      </c>
      <c r="B461" s="2" t="str">
        <f>VLOOKUP(A461,'[14]Calculated coal req (reg.)'!$A$2:$B$599,2,FALSE)</f>
        <v>SABARMATI (D-F STATIONS) TPP</v>
      </c>
      <c r="C461" s="2">
        <v>2.32375633209739</v>
      </c>
      <c r="D461" s="2"/>
      <c r="H461" t="s">
        <v>1108</v>
      </c>
      <c r="I461">
        <f t="shared" ca="1" si="147"/>
        <v>0</v>
      </c>
      <c r="J461">
        <f t="shared" ca="1" si="148"/>
        <v>0</v>
      </c>
      <c r="K461">
        <f t="shared" ca="1" si="149"/>
        <v>0</v>
      </c>
      <c r="L461">
        <f t="shared" ca="1" si="150"/>
        <v>0</v>
      </c>
      <c r="M461">
        <f t="shared" ca="1" si="151"/>
        <v>0</v>
      </c>
      <c r="N461">
        <f t="shared" ca="1" si="152"/>
        <v>0</v>
      </c>
      <c r="O461">
        <f t="shared" ca="1" si="153"/>
        <v>0</v>
      </c>
      <c r="P461">
        <f t="shared" ca="1" si="154"/>
        <v>0</v>
      </c>
      <c r="Q461">
        <f t="shared" ca="1" si="155"/>
        <v>0</v>
      </c>
      <c r="R461">
        <f t="shared" ca="1" si="156"/>
        <v>0</v>
      </c>
      <c r="S461">
        <f t="shared" ca="1" si="157"/>
        <v>0</v>
      </c>
      <c r="T461">
        <f t="shared" ca="1" si="158"/>
        <v>0</v>
      </c>
      <c r="U461">
        <f t="shared" ca="1" si="159"/>
        <v>0</v>
      </c>
      <c r="V461">
        <f t="shared" ca="1" si="160"/>
        <v>0</v>
      </c>
      <c r="W461">
        <f t="shared" ca="1" si="161"/>
        <v>0</v>
      </c>
      <c r="X461">
        <f t="shared" ca="1" si="162"/>
        <v>0</v>
      </c>
      <c r="Y461">
        <f t="shared" ca="1" si="163"/>
        <v>0</v>
      </c>
      <c r="Z461">
        <f t="shared" ca="1" si="164"/>
        <v>0</v>
      </c>
      <c r="AA461">
        <f t="shared" ca="1" si="165"/>
        <v>0</v>
      </c>
      <c r="AB461">
        <f t="shared" ca="1" si="166"/>
        <v>0</v>
      </c>
      <c r="AC461">
        <f t="shared" ca="1" si="167"/>
        <v>0</v>
      </c>
      <c r="AD461">
        <f t="shared" ca="1" si="168"/>
        <v>0</v>
      </c>
      <c r="AE461">
        <f t="shared" ca="1" si="169"/>
        <v>0</v>
      </c>
      <c r="AF461">
        <f t="shared" ca="1" si="170"/>
        <v>0</v>
      </c>
      <c r="AG461">
        <f t="shared" ca="1" si="171"/>
        <v>0</v>
      </c>
      <c r="AH461">
        <f t="shared" ca="1" si="172"/>
        <v>0</v>
      </c>
      <c r="AI461">
        <f t="shared" ca="1" si="173"/>
        <v>0</v>
      </c>
      <c r="AJ461">
        <f t="shared" ca="1" si="174"/>
        <v>0</v>
      </c>
      <c r="AK461">
        <f t="shared" ca="1" si="175"/>
        <v>0</v>
      </c>
      <c r="AL461">
        <f t="shared" ca="1" si="176"/>
        <v>0</v>
      </c>
      <c r="AM461">
        <f t="shared" ca="1" si="177"/>
        <v>0</v>
      </c>
      <c r="AN461">
        <f t="shared" ca="1" si="178"/>
        <v>0</v>
      </c>
      <c r="AO461">
        <f t="shared" ca="1" si="179"/>
        <v>0</v>
      </c>
      <c r="AP461">
        <f t="shared" ca="1" si="180"/>
        <v>0</v>
      </c>
    </row>
    <row r="462" spans="1:42" x14ac:dyDescent="0.2">
      <c r="A462" s="2" t="s">
        <v>498</v>
      </c>
      <c r="B462" s="2" t="str">
        <f>VLOOKUP(A462,'[14]Calculated coal req (reg.)'!$A$2:$B$599,2,FALSE)</f>
        <v>SABARMATI (D-F STATIONS) TPP</v>
      </c>
      <c r="C462" s="2">
        <v>2.3670398749250299</v>
      </c>
      <c r="D462" s="2"/>
      <c r="H462" t="s">
        <v>1093</v>
      </c>
      <c r="I462">
        <f t="shared" ca="1" si="147"/>
        <v>0</v>
      </c>
      <c r="J462">
        <f t="shared" ca="1" si="148"/>
        <v>0</v>
      </c>
      <c r="K462">
        <f t="shared" ca="1" si="149"/>
        <v>0</v>
      </c>
      <c r="L462">
        <f t="shared" ca="1" si="150"/>
        <v>0</v>
      </c>
      <c r="M462">
        <f t="shared" ca="1" si="151"/>
        <v>0</v>
      </c>
      <c r="N462">
        <f t="shared" ca="1" si="152"/>
        <v>0</v>
      </c>
      <c r="O462">
        <f t="shared" ca="1" si="153"/>
        <v>0</v>
      </c>
      <c r="P462">
        <f t="shared" ca="1" si="154"/>
        <v>0</v>
      </c>
      <c r="Q462">
        <f t="shared" ca="1" si="155"/>
        <v>0</v>
      </c>
      <c r="R462">
        <f t="shared" ca="1" si="156"/>
        <v>0</v>
      </c>
      <c r="S462">
        <f t="shared" ca="1" si="157"/>
        <v>0</v>
      </c>
      <c r="T462">
        <f t="shared" ca="1" si="158"/>
        <v>0</v>
      </c>
      <c r="U462">
        <f t="shared" ca="1" si="159"/>
        <v>0</v>
      </c>
      <c r="V462">
        <f t="shared" ca="1" si="160"/>
        <v>0</v>
      </c>
      <c r="W462">
        <f t="shared" ca="1" si="161"/>
        <v>0</v>
      </c>
      <c r="X462">
        <f t="shared" ca="1" si="162"/>
        <v>0</v>
      </c>
      <c r="Y462">
        <f t="shared" ca="1" si="163"/>
        <v>0</v>
      </c>
      <c r="Z462">
        <f t="shared" ca="1" si="164"/>
        <v>0</v>
      </c>
      <c r="AA462">
        <f t="shared" ca="1" si="165"/>
        <v>15.957000000000001</v>
      </c>
      <c r="AB462">
        <f t="shared" ca="1" si="166"/>
        <v>0</v>
      </c>
      <c r="AC462">
        <f t="shared" ca="1" si="167"/>
        <v>0</v>
      </c>
      <c r="AD462">
        <f t="shared" ca="1" si="168"/>
        <v>0</v>
      </c>
      <c r="AE462">
        <f t="shared" ca="1" si="169"/>
        <v>0</v>
      </c>
      <c r="AF462">
        <f t="shared" ca="1" si="170"/>
        <v>0</v>
      </c>
      <c r="AG462">
        <f t="shared" ca="1" si="171"/>
        <v>0</v>
      </c>
      <c r="AH462">
        <f t="shared" ca="1" si="172"/>
        <v>0</v>
      </c>
      <c r="AI462">
        <f t="shared" ca="1" si="173"/>
        <v>0</v>
      </c>
      <c r="AJ462">
        <f t="shared" ca="1" si="174"/>
        <v>0</v>
      </c>
      <c r="AK462">
        <f t="shared" ca="1" si="175"/>
        <v>0</v>
      </c>
      <c r="AL462">
        <f t="shared" ca="1" si="176"/>
        <v>0</v>
      </c>
      <c r="AM462">
        <f t="shared" ca="1" si="177"/>
        <v>0</v>
      </c>
      <c r="AN462">
        <f t="shared" ca="1" si="178"/>
        <v>0</v>
      </c>
      <c r="AO462">
        <f t="shared" ca="1" si="179"/>
        <v>0</v>
      </c>
      <c r="AP462">
        <f t="shared" ca="1" si="180"/>
        <v>0</v>
      </c>
    </row>
    <row r="463" spans="1:42" x14ac:dyDescent="0.2">
      <c r="A463" s="2" t="s">
        <v>469</v>
      </c>
      <c r="B463" s="2" t="str">
        <f>VLOOKUP(A463,'[14]Calculated coal req (reg.)'!$A$2:$B$599,2,FALSE)</f>
        <v>SABARMATI (D-F STATIONS) TPP</v>
      </c>
      <c r="C463" s="2">
        <v>2.3705214010959401</v>
      </c>
      <c r="D463" s="2"/>
      <c r="H463" t="s">
        <v>1109</v>
      </c>
      <c r="I463">
        <f t="shared" ca="1" si="147"/>
        <v>0</v>
      </c>
      <c r="J463">
        <f t="shared" ca="1" si="148"/>
        <v>0</v>
      </c>
      <c r="K463">
        <f t="shared" ca="1" si="149"/>
        <v>0</v>
      </c>
      <c r="L463">
        <f t="shared" ca="1" si="150"/>
        <v>0</v>
      </c>
      <c r="M463">
        <f t="shared" ca="1" si="151"/>
        <v>0</v>
      </c>
      <c r="N463">
        <f t="shared" ca="1" si="152"/>
        <v>0</v>
      </c>
      <c r="O463">
        <f t="shared" ca="1" si="153"/>
        <v>0</v>
      </c>
      <c r="P463">
        <f t="shared" ca="1" si="154"/>
        <v>0</v>
      </c>
      <c r="Q463">
        <f t="shared" ca="1" si="155"/>
        <v>0</v>
      </c>
      <c r="R463">
        <f t="shared" ca="1" si="156"/>
        <v>0</v>
      </c>
      <c r="S463">
        <f t="shared" ca="1" si="157"/>
        <v>0</v>
      </c>
      <c r="T463">
        <f t="shared" ca="1" si="158"/>
        <v>0</v>
      </c>
      <c r="U463">
        <f t="shared" ca="1" si="159"/>
        <v>0</v>
      </c>
      <c r="V463">
        <f t="shared" ca="1" si="160"/>
        <v>0</v>
      </c>
      <c r="W463">
        <f t="shared" ca="1" si="161"/>
        <v>0</v>
      </c>
      <c r="X463">
        <f t="shared" ca="1" si="162"/>
        <v>0</v>
      </c>
      <c r="Y463">
        <f t="shared" ca="1" si="163"/>
        <v>0</v>
      </c>
      <c r="Z463">
        <f t="shared" ca="1" si="164"/>
        <v>0</v>
      </c>
      <c r="AA463">
        <f t="shared" ca="1" si="165"/>
        <v>0</v>
      </c>
      <c r="AB463">
        <f t="shared" ca="1" si="166"/>
        <v>0</v>
      </c>
      <c r="AC463">
        <f t="shared" ca="1" si="167"/>
        <v>0</v>
      </c>
      <c r="AD463">
        <f t="shared" ca="1" si="168"/>
        <v>0</v>
      </c>
      <c r="AE463">
        <f t="shared" ca="1" si="169"/>
        <v>0</v>
      </c>
      <c r="AF463">
        <f t="shared" ca="1" si="170"/>
        <v>0</v>
      </c>
      <c r="AG463">
        <f t="shared" ca="1" si="171"/>
        <v>0</v>
      </c>
      <c r="AH463">
        <f t="shared" ca="1" si="172"/>
        <v>0</v>
      </c>
      <c r="AI463">
        <f t="shared" ca="1" si="173"/>
        <v>0</v>
      </c>
      <c r="AJ463">
        <f t="shared" ca="1" si="174"/>
        <v>0</v>
      </c>
      <c r="AK463">
        <f t="shared" ca="1" si="175"/>
        <v>0</v>
      </c>
      <c r="AL463">
        <f t="shared" ca="1" si="176"/>
        <v>0</v>
      </c>
      <c r="AM463">
        <f t="shared" ca="1" si="177"/>
        <v>0</v>
      </c>
      <c r="AN463">
        <f t="shared" ca="1" si="178"/>
        <v>0</v>
      </c>
      <c r="AO463">
        <f t="shared" ca="1" si="179"/>
        <v>0</v>
      </c>
      <c r="AP463">
        <f t="shared" ca="1" si="180"/>
        <v>0</v>
      </c>
    </row>
    <row r="464" spans="1:42" x14ac:dyDescent="0.2">
      <c r="A464" s="2" t="s">
        <v>413</v>
      </c>
      <c r="B464" s="2"/>
      <c r="C464" s="2">
        <v>3.1343699274325898</v>
      </c>
      <c r="D464" s="2"/>
      <c r="H464" t="s">
        <v>1081</v>
      </c>
      <c r="I464">
        <f t="shared" ca="1" si="147"/>
        <v>0</v>
      </c>
      <c r="J464">
        <f t="shared" ca="1" si="148"/>
        <v>0</v>
      </c>
      <c r="K464">
        <f t="shared" ca="1" si="149"/>
        <v>0</v>
      </c>
      <c r="L464">
        <f t="shared" ca="1" si="150"/>
        <v>0</v>
      </c>
      <c r="M464">
        <f t="shared" ca="1" si="151"/>
        <v>0</v>
      </c>
      <c r="N464">
        <f t="shared" ca="1" si="152"/>
        <v>0</v>
      </c>
      <c r="O464">
        <f t="shared" ca="1" si="153"/>
        <v>0</v>
      </c>
      <c r="P464">
        <f t="shared" ca="1" si="154"/>
        <v>0</v>
      </c>
      <c r="Q464">
        <f t="shared" ca="1" si="155"/>
        <v>0</v>
      </c>
      <c r="R464">
        <f t="shared" ca="1" si="156"/>
        <v>0</v>
      </c>
      <c r="S464">
        <f t="shared" ca="1" si="157"/>
        <v>0</v>
      </c>
      <c r="T464">
        <f t="shared" ca="1" si="158"/>
        <v>0</v>
      </c>
      <c r="U464">
        <f t="shared" ca="1" si="159"/>
        <v>0</v>
      </c>
      <c r="V464">
        <f t="shared" ca="1" si="160"/>
        <v>0</v>
      </c>
      <c r="W464">
        <f t="shared" ca="1" si="161"/>
        <v>0</v>
      </c>
      <c r="X464">
        <f t="shared" ca="1" si="162"/>
        <v>0</v>
      </c>
      <c r="Y464">
        <f t="shared" ca="1" si="163"/>
        <v>0</v>
      </c>
      <c r="Z464">
        <f t="shared" ca="1" si="164"/>
        <v>0</v>
      </c>
      <c r="AA464">
        <f t="shared" ca="1" si="165"/>
        <v>0</v>
      </c>
      <c r="AB464">
        <f t="shared" ca="1" si="166"/>
        <v>0</v>
      </c>
      <c r="AC464">
        <f t="shared" ca="1" si="167"/>
        <v>0</v>
      </c>
      <c r="AD464">
        <f t="shared" ca="1" si="168"/>
        <v>0</v>
      </c>
      <c r="AE464">
        <f t="shared" ca="1" si="169"/>
        <v>0</v>
      </c>
      <c r="AF464">
        <f t="shared" ca="1" si="170"/>
        <v>0</v>
      </c>
      <c r="AG464">
        <f t="shared" ca="1" si="171"/>
        <v>0</v>
      </c>
      <c r="AH464">
        <f t="shared" ca="1" si="172"/>
        <v>0</v>
      </c>
      <c r="AI464">
        <f t="shared" ca="1" si="173"/>
        <v>0</v>
      </c>
      <c r="AJ464">
        <f t="shared" ca="1" si="174"/>
        <v>0</v>
      </c>
      <c r="AK464">
        <f t="shared" ca="1" si="175"/>
        <v>0</v>
      </c>
      <c r="AL464">
        <f t="shared" ca="1" si="176"/>
        <v>0</v>
      </c>
      <c r="AM464">
        <f t="shared" ca="1" si="177"/>
        <v>0</v>
      </c>
      <c r="AN464">
        <f t="shared" ca="1" si="178"/>
        <v>11.82</v>
      </c>
      <c r="AO464">
        <f t="shared" ca="1" si="179"/>
        <v>0</v>
      </c>
      <c r="AP464">
        <f t="shared" ca="1" si="180"/>
        <v>0</v>
      </c>
    </row>
    <row r="465" spans="1:42" x14ac:dyDescent="0.2">
      <c r="A465" s="2" t="s">
        <v>414</v>
      </c>
      <c r="B465" s="2"/>
      <c r="C465" s="2">
        <v>2.80704383971608</v>
      </c>
      <c r="D465" s="2"/>
      <c r="H465" t="s">
        <v>1010</v>
      </c>
      <c r="I465">
        <f t="shared" ca="1" si="147"/>
        <v>0</v>
      </c>
      <c r="J465">
        <f t="shared" ca="1" si="148"/>
        <v>0</v>
      </c>
      <c r="K465">
        <f t="shared" ca="1" si="149"/>
        <v>0</v>
      </c>
      <c r="L465">
        <f t="shared" ca="1" si="150"/>
        <v>0</v>
      </c>
      <c r="M465">
        <f t="shared" ca="1" si="151"/>
        <v>0</v>
      </c>
      <c r="N465">
        <f t="shared" ca="1" si="152"/>
        <v>0</v>
      </c>
      <c r="O465">
        <f t="shared" ca="1" si="153"/>
        <v>0</v>
      </c>
      <c r="P465">
        <f t="shared" ca="1" si="154"/>
        <v>0</v>
      </c>
      <c r="Q465">
        <f t="shared" ca="1" si="155"/>
        <v>0</v>
      </c>
      <c r="R465">
        <f t="shared" ca="1" si="156"/>
        <v>0</v>
      </c>
      <c r="S465">
        <f t="shared" ca="1" si="157"/>
        <v>0</v>
      </c>
      <c r="T465">
        <f t="shared" ca="1" si="158"/>
        <v>0</v>
      </c>
      <c r="U465">
        <f t="shared" ca="1" si="159"/>
        <v>0</v>
      </c>
      <c r="V465">
        <f t="shared" ca="1" si="160"/>
        <v>0</v>
      </c>
      <c r="W465">
        <f t="shared" ca="1" si="161"/>
        <v>0</v>
      </c>
      <c r="X465">
        <f t="shared" ca="1" si="162"/>
        <v>0</v>
      </c>
      <c r="Y465">
        <f t="shared" ca="1" si="163"/>
        <v>0</v>
      </c>
      <c r="Z465">
        <f t="shared" ca="1" si="164"/>
        <v>0</v>
      </c>
      <c r="AA465">
        <f t="shared" ca="1" si="165"/>
        <v>0</v>
      </c>
      <c r="AB465">
        <f t="shared" ca="1" si="166"/>
        <v>0</v>
      </c>
      <c r="AC465">
        <f t="shared" ca="1" si="167"/>
        <v>0</v>
      </c>
      <c r="AD465">
        <f t="shared" ca="1" si="168"/>
        <v>0</v>
      </c>
      <c r="AE465">
        <f t="shared" ca="1" si="169"/>
        <v>0</v>
      </c>
      <c r="AF465">
        <f t="shared" ca="1" si="170"/>
        <v>0</v>
      </c>
      <c r="AG465">
        <f t="shared" ca="1" si="171"/>
        <v>0</v>
      </c>
      <c r="AH465">
        <f t="shared" ca="1" si="172"/>
        <v>0</v>
      </c>
      <c r="AI465">
        <f t="shared" ca="1" si="173"/>
        <v>0</v>
      </c>
      <c r="AJ465">
        <f t="shared" ca="1" si="174"/>
        <v>0</v>
      </c>
      <c r="AK465">
        <f t="shared" ca="1" si="175"/>
        <v>0</v>
      </c>
      <c r="AL465">
        <f t="shared" ca="1" si="176"/>
        <v>0</v>
      </c>
      <c r="AM465">
        <f t="shared" ca="1" si="177"/>
        <v>0</v>
      </c>
      <c r="AN465">
        <f t="shared" ca="1" si="178"/>
        <v>24.48</v>
      </c>
      <c r="AO465">
        <f t="shared" ca="1" si="179"/>
        <v>0</v>
      </c>
      <c r="AP465">
        <f t="shared" ca="1" si="180"/>
        <v>0</v>
      </c>
    </row>
    <row r="466" spans="1:42" x14ac:dyDescent="0.2">
      <c r="A466" s="2" t="s">
        <v>376</v>
      </c>
      <c r="B466" s="2"/>
      <c r="C466" s="2">
        <v>2.6192402041068501</v>
      </c>
      <c r="D466" s="2"/>
      <c r="H466" t="s">
        <v>1020</v>
      </c>
      <c r="I466">
        <f t="shared" ca="1" si="147"/>
        <v>0</v>
      </c>
      <c r="J466">
        <f t="shared" ca="1" si="148"/>
        <v>0</v>
      </c>
      <c r="K466">
        <f t="shared" ca="1" si="149"/>
        <v>0</v>
      </c>
      <c r="L466">
        <f t="shared" ca="1" si="150"/>
        <v>0</v>
      </c>
      <c r="M466">
        <f t="shared" ca="1" si="151"/>
        <v>0</v>
      </c>
      <c r="N466">
        <f t="shared" ca="1" si="152"/>
        <v>0</v>
      </c>
      <c r="O466">
        <f t="shared" ca="1" si="153"/>
        <v>0</v>
      </c>
      <c r="P466">
        <f t="shared" ca="1" si="154"/>
        <v>0</v>
      </c>
      <c r="Q466">
        <f t="shared" ca="1" si="155"/>
        <v>0</v>
      </c>
      <c r="R466">
        <f t="shared" ca="1" si="156"/>
        <v>0</v>
      </c>
      <c r="S466">
        <f t="shared" ca="1" si="157"/>
        <v>0</v>
      </c>
      <c r="T466">
        <f t="shared" ca="1" si="158"/>
        <v>0</v>
      </c>
      <c r="U466">
        <f t="shared" ca="1" si="159"/>
        <v>0</v>
      </c>
      <c r="V466">
        <f t="shared" ca="1" si="160"/>
        <v>0</v>
      </c>
      <c r="W466">
        <f t="shared" ca="1" si="161"/>
        <v>0</v>
      </c>
      <c r="X466">
        <f t="shared" ca="1" si="162"/>
        <v>0</v>
      </c>
      <c r="Y466">
        <f t="shared" ca="1" si="163"/>
        <v>0</v>
      </c>
      <c r="Z466">
        <f t="shared" ca="1" si="164"/>
        <v>0</v>
      </c>
      <c r="AA466">
        <f t="shared" ca="1" si="165"/>
        <v>0</v>
      </c>
      <c r="AB466">
        <f t="shared" ca="1" si="166"/>
        <v>0</v>
      </c>
      <c r="AC466">
        <f t="shared" ca="1" si="167"/>
        <v>0</v>
      </c>
      <c r="AD466">
        <f t="shared" ca="1" si="168"/>
        <v>0</v>
      </c>
      <c r="AE466">
        <f t="shared" ca="1" si="169"/>
        <v>0</v>
      </c>
      <c r="AF466">
        <f t="shared" ca="1" si="170"/>
        <v>0</v>
      </c>
      <c r="AG466">
        <f t="shared" ca="1" si="171"/>
        <v>0</v>
      </c>
      <c r="AH466">
        <f t="shared" ca="1" si="172"/>
        <v>0</v>
      </c>
      <c r="AI466">
        <f t="shared" ca="1" si="173"/>
        <v>0</v>
      </c>
      <c r="AJ466">
        <f t="shared" ca="1" si="174"/>
        <v>0</v>
      </c>
      <c r="AK466">
        <f t="shared" ca="1" si="175"/>
        <v>0</v>
      </c>
      <c r="AL466">
        <f t="shared" ca="1" si="176"/>
        <v>0</v>
      </c>
      <c r="AM466">
        <f t="shared" ca="1" si="177"/>
        <v>0</v>
      </c>
      <c r="AN466">
        <f t="shared" ca="1" si="178"/>
        <v>24.48</v>
      </c>
      <c r="AO466">
        <f t="shared" ca="1" si="179"/>
        <v>0</v>
      </c>
      <c r="AP466">
        <f t="shared" ca="1" si="180"/>
        <v>0</v>
      </c>
    </row>
    <row r="467" spans="1:42" x14ac:dyDescent="0.2">
      <c r="A467" s="2" t="s">
        <v>370</v>
      </c>
      <c r="B467" s="2"/>
      <c r="C467" s="2">
        <v>3.3513290654519099</v>
      </c>
      <c r="D467" s="2"/>
      <c r="H467" t="s">
        <v>1012</v>
      </c>
      <c r="I467">
        <f t="shared" ca="1" si="147"/>
        <v>0</v>
      </c>
      <c r="J467">
        <f t="shared" ca="1" si="148"/>
        <v>0</v>
      </c>
      <c r="K467">
        <f t="shared" ca="1" si="149"/>
        <v>0</v>
      </c>
      <c r="L467">
        <f t="shared" ca="1" si="150"/>
        <v>0</v>
      </c>
      <c r="M467">
        <f t="shared" ca="1" si="151"/>
        <v>0</v>
      </c>
      <c r="N467">
        <f t="shared" ca="1" si="152"/>
        <v>0</v>
      </c>
      <c r="O467">
        <f t="shared" ca="1" si="153"/>
        <v>0</v>
      </c>
      <c r="P467">
        <f t="shared" ca="1" si="154"/>
        <v>0</v>
      </c>
      <c r="Q467">
        <f t="shared" ca="1" si="155"/>
        <v>0</v>
      </c>
      <c r="R467">
        <f t="shared" ca="1" si="156"/>
        <v>0</v>
      </c>
      <c r="S467">
        <f t="shared" ca="1" si="157"/>
        <v>0</v>
      </c>
      <c r="T467">
        <f t="shared" ca="1" si="158"/>
        <v>0</v>
      </c>
      <c r="U467">
        <f t="shared" ca="1" si="159"/>
        <v>0</v>
      </c>
      <c r="V467">
        <f t="shared" ca="1" si="160"/>
        <v>0</v>
      </c>
      <c r="W467">
        <f t="shared" ca="1" si="161"/>
        <v>0</v>
      </c>
      <c r="X467">
        <f t="shared" ca="1" si="162"/>
        <v>0</v>
      </c>
      <c r="Y467">
        <f t="shared" ca="1" si="163"/>
        <v>0</v>
      </c>
      <c r="Z467">
        <f t="shared" ca="1" si="164"/>
        <v>11.018866521844991</v>
      </c>
      <c r="AA467">
        <f t="shared" ca="1" si="165"/>
        <v>0</v>
      </c>
      <c r="AB467">
        <f t="shared" ca="1" si="166"/>
        <v>0</v>
      </c>
      <c r="AC467">
        <f t="shared" ca="1" si="167"/>
        <v>0</v>
      </c>
      <c r="AD467">
        <f t="shared" ca="1" si="168"/>
        <v>0</v>
      </c>
      <c r="AE467">
        <f t="shared" ca="1" si="169"/>
        <v>0</v>
      </c>
      <c r="AF467">
        <f t="shared" ca="1" si="170"/>
        <v>0</v>
      </c>
      <c r="AG467">
        <f t="shared" ca="1" si="171"/>
        <v>0</v>
      </c>
      <c r="AH467">
        <f t="shared" ca="1" si="172"/>
        <v>0</v>
      </c>
      <c r="AI467">
        <f t="shared" ca="1" si="173"/>
        <v>0</v>
      </c>
      <c r="AJ467">
        <f t="shared" ca="1" si="174"/>
        <v>0</v>
      </c>
      <c r="AK467">
        <f t="shared" ca="1" si="175"/>
        <v>0</v>
      </c>
      <c r="AL467">
        <f t="shared" ca="1" si="176"/>
        <v>0</v>
      </c>
      <c r="AM467">
        <f t="shared" ca="1" si="177"/>
        <v>0</v>
      </c>
      <c r="AN467">
        <f t="shared" ca="1" si="178"/>
        <v>13.461133478155011</v>
      </c>
      <c r="AO467">
        <f t="shared" ca="1" si="179"/>
        <v>0</v>
      </c>
      <c r="AP467">
        <f t="shared" ca="1" si="180"/>
        <v>0</v>
      </c>
    </row>
    <row r="468" spans="1:42" x14ac:dyDescent="0.2">
      <c r="A468" s="2" t="s">
        <v>283</v>
      </c>
      <c r="B468" s="2" t="str">
        <f>VLOOKUP(A468,'[14]Calculated coal req (reg.)'!$A$2:$B$599,2,FALSE)</f>
        <v>SANTALDIH TPS</v>
      </c>
      <c r="C468" s="2">
        <v>4.4703518492128902</v>
      </c>
      <c r="D468" s="2"/>
      <c r="H468" t="s">
        <v>1026</v>
      </c>
      <c r="I468">
        <f t="shared" ca="1" si="147"/>
        <v>0</v>
      </c>
      <c r="J468">
        <f t="shared" ca="1" si="148"/>
        <v>0</v>
      </c>
      <c r="K468">
        <f t="shared" ca="1" si="149"/>
        <v>0</v>
      </c>
      <c r="L468">
        <f t="shared" ca="1" si="150"/>
        <v>0</v>
      </c>
      <c r="M468">
        <f t="shared" ca="1" si="151"/>
        <v>0</v>
      </c>
      <c r="N468">
        <f t="shared" ca="1" si="152"/>
        <v>12.24</v>
      </c>
      <c r="O468">
        <f t="shared" ca="1" si="153"/>
        <v>0</v>
      </c>
      <c r="P468">
        <f t="shared" ca="1" si="154"/>
        <v>0</v>
      </c>
      <c r="Q468">
        <f t="shared" ca="1" si="155"/>
        <v>0</v>
      </c>
      <c r="R468">
        <f t="shared" ca="1" si="156"/>
        <v>0</v>
      </c>
      <c r="S468">
        <f t="shared" ca="1" si="157"/>
        <v>0</v>
      </c>
      <c r="T468">
        <f t="shared" ca="1" si="158"/>
        <v>0</v>
      </c>
      <c r="U468">
        <f t="shared" ca="1" si="159"/>
        <v>0</v>
      </c>
      <c r="V468">
        <f t="shared" ca="1" si="160"/>
        <v>0</v>
      </c>
      <c r="W468">
        <f t="shared" ca="1" si="161"/>
        <v>0</v>
      </c>
      <c r="X468">
        <f t="shared" ca="1" si="162"/>
        <v>0</v>
      </c>
      <c r="Y468">
        <f t="shared" ca="1" si="163"/>
        <v>0</v>
      </c>
      <c r="Z468">
        <f t="shared" ca="1" si="164"/>
        <v>0</v>
      </c>
      <c r="AA468">
        <f t="shared" ca="1" si="165"/>
        <v>0</v>
      </c>
      <c r="AB468">
        <f t="shared" ca="1" si="166"/>
        <v>0</v>
      </c>
      <c r="AC468">
        <f t="shared" ca="1" si="167"/>
        <v>0</v>
      </c>
      <c r="AD468">
        <f t="shared" ca="1" si="168"/>
        <v>0</v>
      </c>
      <c r="AE468">
        <f t="shared" ca="1" si="169"/>
        <v>0</v>
      </c>
      <c r="AF468">
        <f t="shared" ca="1" si="170"/>
        <v>0</v>
      </c>
      <c r="AG468">
        <f t="shared" ca="1" si="171"/>
        <v>0</v>
      </c>
      <c r="AH468">
        <f t="shared" ca="1" si="172"/>
        <v>0</v>
      </c>
      <c r="AI468">
        <f t="shared" ca="1" si="173"/>
        <v>0</v>
      </c>
      <c r="AJ468">
        <f t="shared" ca="1" si="174"/>
        <v>0</v>
      </c>
      <c r="AK468">
        <f t="shared" ca="1" si="175"/>
        <v>0</v>
      </c>
      <c r="AL468">
        <f t="shared" ca="1" si="176"/>
        <v>0</v>
      </c>
      <c r="AM468">
        <f t="shared" ca="1" si="177"/>
        <v>0</v>
      </c>
      <c r="AN468">
        <f t="shared" ca="1" si="178"/>
        <v>0</v>
      </c>
      <c r="AO468">
        <f t="shared" ca="1" si="179"/>
        <v>0</v>
      </c>
      <c r="AP468">
        <f t="shared" ca="1" si="180"/>
        <v>0</v>
      </c>
    </row>
    <row r="469" spans="1:42" x14ac:dyDescent="0.2">
      <c r="A469" s="2" t="s">
        <v>511</v>
      </c>
      <c r="B469" s="2" t="str">
        <f>VLOOKUP(A469,'[14]Calculated coal req (reg.)'!$A$2:$B$599,2,FALSE)</f>
        <v>SATPURA TPS UNIT 6-9</v>
      </c>
      <c r="C469" s="2">
        <v>2.3057497607571</v>
      </c>
      <c r="D469" s="2"/>
      <c r="H469" t="s">
        <v>1184</v>
      </c>
      <c r="I469">
        <f t="shared" ca="1" si="147"/>
        <v>0</v>
      </c>
      <c r="J469">
        <f t="shared" ca="1" si="148"/>
        <v>0</v>
      </c>
      <c r="K469">
        <f t="shared" ca="1" si="149"/>
        <v>0</v>
      </c>
      <c r="L469">
        <f t="shared" ca="1" si="150"/>
        <v>0</v>
      </c>
      <c r="M469">
        <f t="shared" ca="1" si="151"/>
        <v>0</v>
      </c>
      <c r="N469">
        <f t="shared" ca="1" si="152"/>
        <v>0</v>
      </c>
      <c r="O469">
        <f t="shared" ca="1" si="153"/>
        <v>0</v>
      </c>
      <c r="P469">
        <f t="shared" ca="1" si="154"/>
        <v>0</v>
      </c>
      <c r="Q469">
        <f t="shared" ca="1" si="155"/>
        <v>0</v>
      </c>
      <c r="R469">
        <f t="shared" ca="1" si="156"/>
        <v>0</v>
      </c>
      <c r="S469">
        <f t="shared" ca="1" si="157"/>
        <v>0</v>
      </c>
      <c r="T469">
        <f t="shared" ca="1" si="158"/>
        <v>0</v>
      </c>
      <c r="U469">
        <f t="shared" ca="1" si="159"/>
        <v>0</v>
      </c>
      <c r="V469">
        <f t="shared" ca="1" si="160"/>
        <v>0</v>
      </c>
      <c r="W469">
        <f t="shared" ca="1" si="161"/>
        <v>0</v>
      </c>
      <c r="X469">
        <f t="shared" ca="1" si="162"/>
        <v>0</v>
      </c>
      <c r="Y469">
        <f t="shared" ca="1" si="163"/>
        <v>0</v>
      </c>
      <c r="Z469">
        <f t="shared" ca="1" si="164"/>
        <v>0</v>
      </c>
      <c r="AA469">
        <f t="shared" ca="1" si="165"/>
        <v>0</v>
      </c>
      <c r="AB469">
        <f t="shared" ca="1" si="166"/>
        <v>0</v>
      </c>
      <c r="AC469">
        <f t="shared" ca="1" si="167"/>
        <v>0</v>
      </c>
      <c r="AD469">
        <f t="shared" ca="1" si="168"/>
        <v>0</v>
      </c>
      <c r="AE469">
        <f t="shared" ca="1" si="169"/>
        <v>0</v>
      </c>
      <c r="AF469">
        <f t="shared" ca="1" si="170"/>
        <v>0</v>
      </c>
      <c r="AG469">
        <f t="shared" ca="1" si="171"/>
        <v>0</v>
      </c>
      <c r="AH469">
        <f t="shared" ca="1" si="172"/>
        <v>0</v>
      </c>
      <c r="AI469">
        <f t="shared" ca="1" si="173"/>
        <v>0</v>
      </c>
      <c r="AJ469">
        <f t="shared" ca="1" si="174"/>
        <v>0</v>
      </c>
      <c r="AK469">
        <f t="shared" ca="1" si="175"/>
        <v>0</v>
      </c>
      <c r="AL469">
        <f t="shared" ca="1" si="176"/>
        <v>0</v>
      </c>
      <c r="AM469">
        <f t="shared" ca="1" si="177"/>
        <v>0</v>
      </c>
      <c r="AN469">
        <f t="shared" ca="1" si="178"/>
        <v>0</v>
      </c>
      <c r="AO469">
        <f t="shared" ca="1" si="179"/>
        <v>0</v>
      </c>
      <c r="AP469">
        <f t="shared" ca="1" si="180"/>
        <v>0</v>
      </c>
    </row>
    <row r="470" spans="1:42" x14ac:dyDescent="0.2">
      <c r="A470" s="2" t="s">
        <v>504</v>
      </c>
      <c r="B470" s="2" t="str">
        <f>VLOOKUP(A470,'[14]Calculated coal req (reg.)'!$A$2:$B$599,2,FALSE)</f>
        <v>SATPURA TPS UNIT 6-9</v>
      </c>
      <c r="C470" s="2">
        <v>2.0012590854490901</v>
      </c>
      <c r="D470" s="2"/>
      <c r="H470" t="s">
        <v>1110</v>
      </c>
      <c r="I470">
        <f t="shared" ca="1" si="147"/>
        <v>0</v>
      </c>
      <c r="J470">
        <f t="shared" ca="1" si="148"/>
        <v>0</v>
      </c>
      <c r="K470">
        <f t="shared" ca="1" si="149"/>
        <v>0</v>
      </c>
      <c r="L470">
        <f t="shared" ca="1" si="150"/>
        <v>0</v>
      </c>
      <c r="M470">
        <f t="shared" ca="1" si="151"/>
        <v>0</v>
      </c>
      <c r="N470">
        <f t="shared" ca="1" si="152"/>
        <v>0</v>
      </c>
      <c r="O470">
        <f t="shared" ca="1" si="153"/>
        <v>0</v>
      </c>
      <c r="P470">
        <f t="shared" ca="1" si="154"/>
        <v>0</v>
      </c>
      <c r="Q470">
        <f t="shared" ca="1" si="155"/>
        <v>0</v>
      </c>
      <c r="R470">
        <f t="shared" ca="1" si="156"/>
        <v>0</v>
      </c>
      <c r="S470">
        <f t="shared" ca="1" si="157"/>
        <v>0</v>
      </c>
      <c r="T470">
        <f t="shared" ca="1" si="158"/>
        <v>0</v>
      </c>
      <c r="U470">
        <f t="shared" ca="1" si="159"/>
        <v>0</v>
      </c>
      <c r="V470">
        <f t="shared" ca="1" si="160"/>
        <v>0</v>
      </c>
      <c r="W470">
        <f t="shared" ca="1" si="161"/>
        <v>0</v>
      </c>
      <c r="X470">
        <f t="shared" ca="1" si="162"/>
        <v>0</v>
      </c>
      <c r="Y470">
        <f t="shared" ca="1" si="163"/>
        <v>0</v>
      </c>
      <c r="Z470">
        <f t="shared" ca="1" si="164"/>
        <v>0</v>
      </c>
      <c r="AA470">
        <f t="shared" ca="1" si="165"/>
        <v>0</v>
      </c>
      <c r="AB470">
        <f t="shared" ca="1" si="166"/>
        <v>0</v>
      </c>
      <c r="AC470">
        <f t="shared" ca="1" si="167"/>
        <v>0</v>
      </c>
      <c r="AD470">
        <f t="shared" ca="1" si="168"/>
        <v>0</v>
      </c>
      <c r="AE470">
        <f t="shared" ca="1" si="169"/>
        <v>0</v>
      </c>
      <c r="AF470">
        <f t="shared" ca="1" si="170"/>
        <v>0</v>
      </c>
      <c r="AG470">
        <f t="shared" ca="1" si="171"/>
        <v>0</v>
      </c>
      <c r="AH470">
        <f t="shared" ca="1" si="172"/>
        <v>0</v>
      </c>
      <c r="AI470">
        <f t="shared" ca="1" si="173"/>
        <v>0</v>
      </c>
      <c r="AJ470">
        <f t="shared" ca="1" si="174"/>
        <v>0</v>
      </c>
      <c r="AK470">
        <f t="shared" ca="1" si="175"/>
        <v>0</v>
      </c>
      <c r="AL470">
        <f t="shared" ca="1" si="176"/>
        <v>0</v>
      </c>
      <c r="AM470">
        <f t="shared" ca="1" si="177"/>
        <v>0</v>
      </c>
      <c r="AN470">
        <f t="shared" ca="1" si="178"/>
        <v>0</v>
      </c>
      <c r="AO470">
        <f t="shared" ca="1" si="179"/>
        <v>0</v>
      </c>
      <c r="AP470">
        <f t="shared" ca="1" si="180"/>
        <v>0</v>
      </c>
    </row>
    <row r="471" spans="1:42" x14ac:dyDescent="0.2">
      <c r="A471" s="2" t="s">
        <v>486</v>
      </c>
      <c r="B471" s="2" t="str">
        <f>VLOOKUP(A471,'[14]Calculated coal req (reg.)'!$A$2:$B$599,2,FALSE)</f>
        <v>SATPURA TPS UNIT 6-9</v>
      </c>
      <c r="C471" s="2">
        <v>2.5029032745378399</v>
      </c>
      <c r="D471" s="2"/>
      <c r="H471" t="s">
        <v>1111</v>
      </c>
      <c r="I471">
        <f t="shared" ca="1" si="147"/>
        <v>0</v>
      </c>
      <c r="J471">
        <f t="shared" ca="1" si="148"/>
        <v>0</v>
      </c>
      <c r="K471">
        <f t="shared" ca="1" si="149"/>
        <v>0</v>
      </c>
      <c r="L471">
        <f t="shared" ca="1" si="150"/>
        <v>0</v>
      </c>
      <c r="M471">
        <f t="shared" ca="1" si="151"/>
        <v>0</v>
      </c>
      <c r="N471">
        <f t="shared" ca="1" si="152"/>
        <v>0</v>
      </c>
      <c r="O471">
        <f t="shared" ca="1" si="153"/>
        <v>0</v>
      </c>
      <c r="P471">
        <f t="shared" ca="1" si="154"/>
        <v>0</v>
      </c>
      <c r="Q471">
        <f t="shared" ca="1" si="155"/>
        <v>0</v>
      </c>
      <c r="R471">
        <f t="shared" ca="1" si="156"/>
        <v>0</v>
      </c>
      <c r="S471">
        <f t="shared" ca="1" si="157"/>
        <v>0</v>
      </c>
      <c r="T471">
        <f t="shared" ca="1" si="158"/>
        <v>0</v>
      </c>
      <c r="U471">
        <f t="shared" ca="1" si="159"/>
        <v>0</v>
      </c>
      <c r="V471">
        <f t="shared" ca="1" si="160"/>
        <v>0</v>
      </c>
      <c r="W471">
        <f t="shared" ca="1" si="161"/>
        <v>0</v>
      </c>
      <c r="X471">
        <f t="shared" ca="1" si="162"/>
        <v>0</v>
      </c>
      <c r="Y471">
        <f t="shared" ca="1" si="163"/>
        <v>0</v>
      </c>
      <c r="Z471">
        <f t="shared" ca="1" si="164"/>
        <v>0</v>
      </c>
      <c r="AA471">
        <f t="shared" ca="1" si="165"/>
        <v>0</v>
      </c>
      <c r="AB471">
        <f t="shared" ca="1" si="166"/>
        <v>0</v>
      </c>
      <c r="AC471">
        <f t="shared" ca="1" si="167"/>
        <v>0</v>
      </c>
      <c r="AD471">
        <f t="shared" ca="1" si="168"/>
        <v>0</v>
      </c>
      <c r="AE471">
        <f t="shared" ca="1" si="169"/>
        <v>0</v>
      </c>
      <c r="AF471">
        <f t="shared" ca="1" si="170"/>
        <v>0</v>
      </c>
      <c r="AG471">
        <f t="shared" ca="1" si="171"/>
        <v>0</v>
      </c>
      <c r="AH471">
        <f t="shared" ca="1" si="172"/>
        <v>0</v>
      </c>
      <c r="AI471">
        <f t="shared" ca="1" si="173"/>
        <v>0</v>
      </c>
      <c r="AJ471">
        <f t="shared" ca="1" si="174"/>
        <v>0</v>
      </c>
      <c r="AK471">
        <f t="shared" ca="1" si="175"/>
        <v>0</v>
      </c>
      <c r="AL471">
        <f t="shared" ca="1" si="176"/>
        <v>0</v>
      </c>
      <c r="AM471">
        <f t="shared" ca="1" si="177"/>
        <v>0</v>
      </c>
      <c r="AN471">
        <f t="shared" ca="1" si="178"/>
        <v>0</v>
      </c>
      <c r="AO471">
        <f t="shared" ca="1" si="179"/>
        <v>0</v>
      </c>
      <c r="AP471">
        <f t="shared" ca="1" si="180"/>
        <v>0</v>
      </c>
    </row>
    <row r="472" spans="1:42" x14ac:dyDescent="0.2">
      <c r="A472" s="2" t="s">
        <v>474</v>
      </c>
      <c r="B472" s="2" t="str">
        <f>VLOOKUP(A472,'[14]Calculated coal req (reg.)'!$A$2:$B$599,2,FALSE)</f>
        <v>SATPURA TPS UNIT 6-9</v>
      </c>
      <c r="C472" s="2">
        <v>1.5474686808976399</v>
      </c>
      <c r="D472" s="2"/>
      <c r="H472" t="s">
        <v>1092</v>
      </c>
      <c r="I472">
        <f t="shared" ca="1" si="147"/>
        <v>0</v>
      </c>
      <c r="J472">
        <f t="shared" ca="1" si="148"/>
        <v>0</v>
      </c>
      <c r="K472">
        <f t="shared" ca="1" si="149"/>
        <v>0</v>
      </c>
      <c r="L472">
        <f t="shared" ca="1" si="150"/>
        <v>0</v>
      </c>
      <c r="M472">
        <f t="shared" ca="1" si="151"/>
        <v>0</v>
      </c>
      <c r="N472">
        <f t="shared" ca="1" si="152"/>
        <v>1.0063311192998596</v>
      </c>
      <c r="O472">
        <f t="shared" ca="1" si="153"/>
        <v>0</v>
      </c>
      <c r="P472">
        <f t="shared" ca="1" si="154"/>
        <v>0</v>
      </c>
      <c r="Q472">
        <f t="shared" ca="1" si="155"/>
        <v>0</v>
      </c>
      <c r="R472">
        <f t="shared" ca="1" si="156"/>
        <v>0</v>
      </c>
      <c r="S472">
        <f t="shared" ca="1" si="157"/>
        <v>0</v>
      </c>
      <c r="T472">
        <f t="shared" ca="1" si="158"/>
        <v>0</v>
      </c>
      <c r="U472">
        <f t="shared" ca="1" si="159"/>
        <v>0</v>
      </c>
      <c r="V472">
        <f t="shared" ca="1" si="160"/>
        <v>0</v>
      </c>
      <c r="W472">
        <f t="shared" ca="1" si="161"/>
        <v>0</v>
      </c>
      <c r="X472">
        <f t="shared" ca="1" si="162"/>
        <v>0</v>
      </c>
      <c r="Y472">
        <f t="shared" ca="1" si="163"/>
        <v>2.0950217193906346</v>
      </c>
      <c r="Z472">
        <f t="shared" ca="1" si="164"/>
        <v>0</v>
      </c>
      <c r="AA472">
        <f t="shared" ca="1" si="165"/>
        <v>0</v>
      </c>
      <c r="AB472">
        <f t="shared" ca="1" si="166"/>
        <v>0</v>
      </c>
      <c r="AC472">
        <f t="shared" ca="1" si="167"/>
        <v>0</v>
      </c>
      <c r="AD472">
        <f t="shared" ca="1" si="168"/>
        <v>0</v>
      </c>
      <c r="AE472">
        <f t="shared" ca="1" si="169"/>
        <v>0</v>
      </c>
      <c r="AF472">
        <f t="shared" ca="1" si="170"/>
        <v>0</v>
      </c>
      <c r="AG472">
        <f t="shared" ca="1" si="171"/>
        <v>0</v>
      </c>
      <c r="AH472">
        <f t="shared" ca="1" si="172"/>
        <v>0</v>
      </c>
      <c r="AI472">
        <f t="shared" ca="1" si="173"/>
        <v>0</v>
      </c>
      <c r="AJ472">
        <f t="shared" ca="1" si="174"/>
        <v>0</v>
      </c>
      <c r="AK472">
        <f t="shared" ca="1" si="175"/>
        <v>3.9906471613095054</v>
      </c>
      <c r="AL472">
        <f t="shared" ca="1" si="176"/>
        <v>0</v>
      </c>
      <c r="AM472">
        <f t="shared" ca="1" si="177"/>
        <v>0</v>
      </c>
      <c r="AN472">
        <f t="shared" ca="1" si="178"/>
        <v>0</v>
      </c>
      <c r="AO472">
        <f t="shared" ca="1" si="179"/>
        <v>0</v>
      </c>
      <c r="AP472">
        <f t="shared" ca="1" si="180"/>
        <v>0</v>
      </c>
    </row>
    <row r="473" spans="1:42" x14ac:dyDescent="0.2">
      <c r="A473" s="2" t="s">
        <v>243</v>
      </c>
      <c r="B473" s="2"/>
      <c r="C473" s="2">
        <v>9.0666666666666604E-3</v>
      </c>
      <c r="D473" s="2"/>
      <c r="H473" t="s">
        <v>1075</v>
      </c>
      <c r="I473">
        <f t="shared" ca="1" si="147"/>
        <v>0</v>
      </c>
      <c r="J473">
        <f t="shared" ca="1" si="148"/>
        <v>0</v>
      </c>
      <c r="K473">
        <f t="shared" ca="1" si="149"/>
        <v>0</v>
      </c>
      <c r="L473">
        <f t="shared" ca="1" si="150"/>
        <v>0</v>
      </c>
      <c r="M473">
        <f t="shared" ca="1" si="151"/>
        <v>0</v>
      </c>
      <c r="N473">
        <f t="shared" ca="1" si="152"/>
        <v>0.32337070786638022</v>
      </c>
      <c r="O473">
        <f t="shared" ca="1" si="153"/>
        <v>0</v>
      </c>
      <c r="P473">
        <f t="shared" ca="1" si="154"/>
        <v>0</v>
      </c>
      <c r="Q473">
        <f t="shared" ca="1" si="155"/>
        <v>0</v>
      </c>
      <c r="R473">
        <f t="shared" ca="1" si="156"/>
        <v>0</v>
      </c>
      <c r="S473">
        <f t="shared" ca="1" si="157"/>
        <v>0</v>
      </c>
      <c r="T473">
        <f t="shared" ca="1" si="158"/>
        <v>0</v>
      </c>
      <c r="U473">
        <f t="shared" ca="1" si="159"/>
        <v>0</v>
      </c>
      <c r="V473">
        <f t="shared" ca="1" si="160"/>
        <v>0</v>
      </c>
      <c r="W473">
        <f t="shared" ca="1" si="161"/>
        <v>0</v>
      </c>
      <c r="X473">
        <f t="shared" ca="1" si="162"/>
        <v>0</v>
      </c>
      <c r="Y473">
        <f t="shared" ca="1" si="163"/>
        <v>0</v>
      </c>
      <c r="Z473">
        <f t="shared" ca="1" si="164"/>
        <v>0</v>
      </c>
      <c r="AA473">
        <f t="shared" ca="1" si="165"/>
        <v>0</v>
      </c>
      <c r="AB473">
        <f t="shared" ca="1" si="166"/>
        <v>0</v>
      </c>
      <c r="AC473">
        <f t="shared" ca="1" si="167"/>
        <v>0</v>
      </c>
      <c r="AD473">
        <f t="shared" ca="1" si="168"/>
        <v>0</v>
      </c>
      <c r="AE473">
        <f t="shared" ca="1" si="169"/>
        <v>0</v>
      </c>
      <c r="AF473">
        <f t="shared" ca="1" si="170"/>
        <v>0</v>
      </c>
      <c r="AG473">
        <f t="shared" ca="1" si="171"/>
        <v>0</v>
      </c>
      <c r="AH473">
        <f t="shared" ca="1" si="172"/>
        <v>0</v>
      </c>
      <c r="AI473">
        <f t="shared" ca="1" si="173"/>
        <v>5.7966292921336198</v>
      </c>
      <c r="AJ473">
        <f t="shared" ca="1" si="174"/>
        <v>0</v>
      </c>
      <c r="AK473">
        <f t="shared" ca="1" si="175"/>
        <v>0</v>
      </c>
      <c r="AL473">
        <f t="shared" ca="1" si="176"/>
        <v>0</v>
      </c>
      <c r="AM473">
        <f t="shared" ca="1" si="177"/>
        <v>0</v>
      </c>
      <c r="AN473">
        <f t="shared" ca="1" si="178"/>
        <v>0</v>
      </c>
      <c r="AO473">
        <f t="shared" ca="1" si="179"/>
        <v>0</v>
      </c>
      <c r="AP473">
        <f t="shared" ca="1" si="180"/>
        <v>0</v>
      </c>
    </row>
    <row r="474" spans="1:42" x14ac:dyDescent="0.2">
      <c r="A474" s="2" t="s">
        <v>221</v>
      </c>
      <c r="B474" s="2" t="str">
        <f>VLOOKUP(A474,'[14]Calculated coal req (reg.)'!$A$2:$B$599,2,FALSE)</f>
        <v>SIKKA REP. TPS UNIT 3-4</v>
      </c>
      <c r="C474" s="2">
        <v>3.90736302676296</v>
      </c>
      <c r="D474" s="2"/>
      <c r="H474" t="s">
        <v>1112</v>
      </c>
      <c r="I474">
        <f t="shared" ca="1" si="147"/>
        <v>0</v>
      </c>
      <c r="J474">
        <f t="shared" ca="1" si="148"/>
        <v>0</v>
      </c>
      <c r="K474">
        <f t="shared" ca="1" si="149"/>
        <v>0</v>
      </c>
      <c r="L474">
        <f t="shared" ca="1" si="150"/>
        <v>0</v>
      </c>
      <c r="M474">
        <f t="shared" ca="1" si="151"/>
        <v>0</v>
      </c>
      <c r="N474">
        <f t="shared" ca="1" si="152"/>
        <v>0</v>
      </c>
      <c r="O474">
        <f t="shared" ca="1" si="153"/>
        <v>0</v>
      </c>
      <c r="P474">
        <f t="shared" ca="1" si="154"/>
        <v>0</v>
      </c>
      <c r="Q474">
        <f t="shared" ca="1" si="155"/>
        <v>0</v>
      </c>
      <c r="R474">
        <f t="shared" ca="1" si="156"/>
        <v>0</v>
      </c>
      <c r="S474">
        <f t="shared" ca="1" si="157"/>
        <v>0</v>
      </c>
      <c r="T474">
        <f t="shared" ca="1" si="158"/>
        <v>0</v>
      </c>
      <c r="U474">
        <f t="shared" ca="1" si="159"/>
        <v>0</v>
      </c>
      <c r="V474">
        <f t="shared" ca="1" si="160"/>
        <v>0</v>
      </c>
      <c r="W474">
        <f t="shared" ca="1" si="161"/>
        <v>0</v>
      </c>
      <c r="X474">
        <f t="shared" ca="1" si="162"/>
        <v>0</v>
      </c>
      <c r="Y474">
        <f t="shared" ca="1" si="163"/>
        <v>0</v>
      </c>
      <c r="Z474">
        <f t="shared" ca="1" si="164"/>
        <v>0</v>
      </c>
      <c r="AA474">
        <f t="shared" ca="1" si="165"/>
        <v>0</v>
      </c>
      <c r="AB474">
        <f t="shared" ca="1" si="166"/>
        <v>0</v>
      </c>
      <c r="AC474">
        <f t="shared" ca="1" si="167"/>
        <v>0</v>
      </c>
      <c r="AD474">
        <f t="shared" ca="1" si="168"/>
        <v>0</v>
      </c>
      <c r="AE474">
        <f t="shared" ca="1" si="169"/>
        <v>0</v>
      </c>
      <c r="AF474">
        <f t="shared" ca="1" si="170"/>
        <v>0</v>
      </c>
      <c r="AG474">
        <f t="shared" ca="1" si="171"/>
        <v>0</v>
      </c>
      <c r="AH474">
        <f t="shared" ca="1" si="172"/>
        <v>0</v>
      </c>
      <c r="AI474">
        <f t="shared" ca="1" si="173"/>
        <v>0</v>
      </c>
      <c r="AJ474">
        <f t="shared" ca="1" si="174"/>
        <v>0</v>
      </c>
      <c r="AK474">
        <f t="shared" ca="1" si="175"/>
        <v>0</v>
      </c>
      <c r="AL474">
        <f t="shared" ca="1" si="176"/>
        <v>0</v>
      </c>
      <c r="AM474">
        <f t="shared" ca="1" si="177"/>
        <v>0</v>
      </c>
      <c r="AN474">
        <f t="shared" ca="1" si="178"/>
        <v>0</v>
      </c>
      <c r="AO474">
        <f t="shared" ca="1" si="179"/>
        <v>0</v>
      </c>
      <c r="AP474">
        <f t="shared" ca="1" si="180"/>
        <v>0</v>
      </c>
    </row>
    <row r="475" spans="1:42" x14ac:dyDescent="0.2">
      <c r="A475" s="2" t="s">
        <v>215</v>
      </c>
      <c r="B475" s="2" t="str">
        <f>VLOOKUP(A475,'[14]Calculated coal req (reg.)'!$A$2:$B$599,2,FALSE)</f>
        <v>SIKKA REP. TPS UNIT 3-4</v>
      </c>
      <c r="C475" s="2">
        <v>3.6562810204716198</v>
      </c>
      <c r="D475" s="2"/>
      <c r="H475" t="s">
        <v>992</v>
      </c>
      <c r="I475">
        <f t="shared" ca="1" si="147"/>
        <v>0</v>
      </c>
      <c r="J475">
        <f t="shared" ca="1" si="148"/>
        <v>0</v>
      </c>
      <c r="K475">
        <f t="shared" ca="1" si="149"/>
        <v>0</v>
      </c>
      <c r="L475">
        <f t="shared" ca="1" si="150"/>
        <v>0</v>
      </c>
      <c r="M475">
        <f t="shared" ca="1" si="151"/>
        <v>0</v>
      </c>
      <c r="N475">
        <f t="shared" ca="1" si="152"/>
        <v>0</v>
      </c>
      <c r="O475">
        <f t="shared" ca="1" si="153"/>
        <v>0</v>
      </c>
      <c r="P475">
        <f t="shared" ca="1" si="154"/>
        <v>0</v>
      </c>
      <c r="Q475">
        <f t="shared" ca="1" si="155"/>
        <v>0</v>
      </c>
      <c r="R475">
        <f t="shared" ca="1" si="156"/>
        <v>0</v>
      </c>
      <c r="S475">
        <f t="shared" ca="1" si="157"/>
        <v>0</v>
      </c>
      <c r="T475">
        <f t="shared" ca="1" si="158"/>
        <v>0</v>
      </c>
      <c r="U475">
        <f t="shared" ca="1" si="159"/>
        <v>0</v>
      </c>
      <c r="V475">
        <f t="shared" ca="1" si="160"/>
        <v>0</v>
      </c>
      <c r="W475">
        <f t="shared" ca="1" si="161"/>
        <v>0</v>
      </c>
      <c r="X475">
        <f t="shared" ca="1" si="162"/>
        <v>0</v>
      </c>
      <c r="Y475">
        <f t="shared" ca="1" si="163"/>
        <v>0</v>
      </c>
      <c r="Z475">
        <f t="shared" ca="1" si="164"/>
        <v>0</v>
      </c>
      <c r="AA475">
        <f t="shared" ca="1" si="165"/>
        <v>0</v>
      </c>
      <c r="AB475">
        <f t="shared" ca="1" si="166"/>
        <v>0</v>
      </c>
      <c r="AC475">
        <f t="shared" ca="1" si="167"/>
        <v>0</v>
      </c>
      <c r="AD475">
        <f t="shared" ca="1" si="168"/>
        <v>0</v>
      </c>
      <c r="AE475">
        <f t="shared" ca="1" si="169"/>
        <v>0</v>
      </c>
      <c r="AF475">
        <f t="shared" ca="1" si="170"/>
        <v>0</v>
      </c>
      <c r="AG475">
        <f t="shared" ca="1" si="171"/>
        <v>0</v>
      </c>
      <c r="AH475">
        <f t="shared" ca="1" si="172"/>
        <v>0</v>
      </c>
      <c r="AI475">
        <f t="shared" ca="1" si="173"/>
        <v>0</v>
      </c>
      <c r="AJ475">
        <f t="shared" ca="1" si="174"/>
        <v>0</v>
      </c>
      <c r="AK475">
        <f t="shared" ca="1" si="175"/>
        <v>0</v>
      </c>
      <c r="AL475">
        <f t="shared" ca="1" si="176"/>
        <v>0</v>
      </c>
      <c r="AM475">
        <f t="shared" ca="1" si="177"/>
        <v>0</v>
      </c>
      <c r="AN475">
        <f t="shared" ca="1" si="178"/>
        <v>40.392000000000003</v>
      </c>
      <c r="AO475">
        <f t="shared" ca="1" si="179"/>
        <v>0</v>
      </c>
      <c r="AP475">
        <f t="shared" ca="1" si="180"/>
        <v>0</v>
      </c>
    </row>
    <row r="476" spans="1:42" x14ac:dyDescent="0.2">
      <c r="A476" s="2" t="s">
        <v>292</v>
      </c>
      <c r="B476" s="2"/>
      <c r="C476" s="2">
        <v>2.1387096774193499E-2</v>
      </c>
      <c r="D476" s="2"/>
      <c r="H476" t="s">
        <v>1016</v>
      </c>
      <c r="I476">
        <f t="shared" ca="1" si="147"/>
        <v>0</v>
      </c>
      <c r="J476">
        <f t="shared" ca="1" si="148"/>
        <v>0</v>
      </c>
      <c r="K476">
        <f t="shared" ca="1" si="149"/>
        <v>0</v>
      </c>
      <c r="L476">
        <f t="shared" ca="1" si="150"/>
        <v>0</v>
      </c>
      <c r="M476">
        <f t="shared" ca="1" si="151"/>
        <v>0</v>
      </c>
      <c r="N476">
        <f t="shared" ca="1" si="152"/>
        <v>0</v>
      </c>
      <c r="O476">
        <f t="shared" ca="1" si="153"/>
        <v>0</v>
      </c>
      <c r="P476">
        <f t="shared" ca="1" si="154"/>
        <v>0</v>
      </c>
      <c r="Q476">
        <f t="shared" ca="1" si="155"/>
        <v>0</v>
      </c>
      <c r="R476">
        <f t="shared" ca="1" si="156"/>
        <v>0</v>
      </c>
      <c r="S476">
        <f t="shared" ca="1" si="157"/>
        <v>0</v>
      </c>
      <c r="T476">
        <f t="shared" ca="1" si="158"/>
        <v>0</v>
      </c>
      <c r="U476">
        <f t="shared" ca="1" si="159"/>
        <v>0</v>
      </c>
      <c r="V476">
        <f t="shared" ca="1" si="160"/>
        <v>0</v>
      </c>
      <c r="W476">
        <f t="shared" ca="1" si="161"/>
        <v>0</v>
      </c>
      <c r="X476">
        <f t="shared" ca="1" si="162"/>
        <v>0</v>
      </c>
      <c r="Y476">
        <f t="shared" ca="1" si="163"/>
        <v>0</v>
      </c>
      <c r="Z476">
        <f t="shared" ca="1" si="164"/>
        <v>0</v>
      </c>
      <c r="AA476">
        <f t="shared" ca="1" si="165"/>
        <v>0</v>
      </c>
      <c r="AB476">
        <f t="shared" ca="1" si="166"/>
        <v>0</v>
      </c>
      <c r="AC476">
        <f t="shared" ca="1" si="167"/>
        <v>0</v>
      </c>
      <c r="AD476">
        <f t="shared" ca="1" si="168"/>
        <v>0</v>
      </c>
      <c r="AE476">
        <f t="shared" ca="1" si="169"/>
        <v>0</v>
      </c>
      <c r="AF476">
        <f t="shared" ca="1" si="170"/>
        <v>0</v>
      </c>
      <c r="AG476">
        <f t="shared" ca="1" si="171"/>
        <v>0</v>
      </c>
      <c r="AH476">
        <f t="shared" ca="1" si="172"/>
        <v>0</v>
      </c>
      <c r="AI476">
        <f t="shared" ca="1" si="173"/>
        <v>14.213133318737695</v>
      </c>
      <c r="AJ476">
        <f t="shared" ca="1" si="174"/>
        <v>0</v>
      </c>
      <c r="AK476">
        <f t="shared" ca="1" si="175"/>
        <v>10.266866681262307</v>
      </c>
      <c r="AL476">
        <f t="shared" ca="1" si="176"/>
        <v>0</v>
      </c>
      <c r="AM476">
        <f t="shared" ca="1" si="177"/>
        <v>0</v>
      </c>
      <c r="AN476">
        <f t="shared" ca="1" si="178"/>
        <v>0</v>
      </c>
      <c r="AO476">
        <f t="shared" ca="1" si="179"/>
        <v>0</v>
      </c>
      <c r="AP476">
        <f t="shared" ca="1" si="180"/>
        <v>0</v>
      </c>
    </row>
    <row r="477" spans="1:42" x14ac:dyDescent="0.2">
      <c r="A477" s="2" t="s">
        <v>279</v>
      </c>
      <c r="B477" s="2"/>
      <c r="C477" s="2">
        <v>7.6618106139437994E-2</v>
      </c>
      <c r="D477" s="2"/>
      <c r="H477" t="s">
        <v>1090</v>
      </c>
      <c r="I477">
        <f t="shared" ca="1" si="147"/>
        <v>0</v>
      </c>
      <c r="J477">
        <f t="shared" ca="1" si="148"/>
        <v>0</v>
      </c>
      <c r="K477">
        <f t="shared" ca="1" si="149"/>
        <v>0</v>
      </c>
      <c r="L477">
        <f t="shared" ca="1" si="150"/>
        <v>2.9550000000000001</v>
      </c>
      <c r="M477">
        <f t="shared" ca="1" si="151"/>
        <v>0</v>
      </c>
      <c r="N477">
        <f t="shared" ca="1" si="152"/>
        <v>0</v>
      </c>
      <c r="O477">
        <f t="shared" ca="1" si="153"/>
        <v>0</v>
      </c>
      <c r="P477">
        <f t="shared" ca="1" si="154"/>
        <v>0</v>
      </c>
      <c r="Q477">
        <f t="shared" ca="1" si="155"/>
        <v>0</v>
      </c>
      <c r="R477">
        <f t="shared" ca="1" si="156"/>
        <v>0</v>
      </c>
      <c r="S477">
        <f t="shared" ca="1" si="157"/>
        <v>0</v>
      </c>
      <c r="T477">
        <f t="shared" ca="1" si="158"/>
        <v>0</v>
      </c>
      <c r="U477">
        <f t="shared" ca="1" si="159"/>
        <v>0</v>
      </c>
      <c r="V477">
        <f t="shared" ca="1" si="160"/>
        <v>0</v>
      </c>
      <c r="W477">
        <f t="shared" ca="1" si="161"/>
        <v>0</v>
      </c>
      <c r="X477">
        <f t="shared" ca="1" si="162"/>
        <v>0</v>
      </c>
      <c r="Y477">
        <f t="shared" ca="1" si="163"/>
        <v>0</v>
      </c>
      <c r="Z477">
        <f t="shared" ca="1" si="164"/>
        <v>0</v>
      </c>
      <c r="AA477">
        <f t="shared" ca="1" si="165"/>
        <v>0</v>
      </c>
      <c r="AB477">
        <f t="shared" ca="1" si="166"/>
        <v>0</v>
      </c>
      <c r="AC477">
        <f t="shared" ca="1" si="167"/>
        <v>0</v>
      </c>
      <c r="AD477">
        <f t="shared" ca="1" si="168"/>
        <v>0</v>
      </c>
      <c r="AE477">
        <f t="shared" ca="1" si="169"/>
        <v>0</v>
      </c>
      <c r="AF477">
        <f t="shared" ca="1" si="170"/>
        <v>0</v>
      </c>
      <c r="AG477">
        <f t="shared" ca="1" si="171"/>
        <v>0</v>
      </c>
      <c r="AH477">
        <f t="shared" ca="1" si="172"/>
        <v>0</v>
      </c>
      <c r="AI477">
        <f t="shared" ca="1" si="173"/>
        <v>0</v>
      </c>
      <c r="AJ477">
        <f t="shared" ca="1" si="174"/>
        <v>0</v>
      </c>
      <c r="AK477">
        <f t="shared" ca="1" si="175"/>
        <v>0</v>
      </c>
      <c r="AL477">
        <f t="shared" ca="1" si="176"/>
        <v>0</v>
      </c>
      <c r="AM477">
        <f t="shared" ca="1" si="177"/>
        <v>0</v>
      </c>
      <c r="AN477">
        <f t="shared" ca="1" si="178"/>
        <v>0</v>
      </c>
      <c r="AO477">
        <f t="shared" ca="1" si="179"/>
        <v>0</v>
      </c>
      <c r="AP477">
        <f t="shared" ca="1" si="180"/>
        <v>0</v>
      </c>
    </row>
    <row r="478" spans="1:42" x14ac:dyDescent="0.2">
      <c r="A478" s="39" t="s">
        <v>497</v>
      </c>
      <c r="B478" s="2" t="str">
        <f>VLOOKUP(A478,'[14]Calculated coal req (reg.)'!$A$2:$B$599,2,FALSE)</f>
        <v>SINGRAULI STPS</v>
      </c>
      <c r="C478" s="2">
        <v>3.9212044944117799</v>
      </c>
      <c r="D478" s="2"/>
      <c r="H478" t="s">
        <v>998</v>
      </c>
      <c r="I478">
        <f t="shared" ca="1" si="147"/>
        <v>0</v>
      </c>
      <c r="J478">
        <f t="shared" ca="1" si="148"/>
        <v>0</v>
      </c>
      <c r="K478">
        <f t="shared" ca="1" si="149"/>
        <v>0</v>
      </c>
      <c r="L478">
        <f t="shared" ca="1" si="150"/>
        <v>21.927963566021607</v>
      </c>
      <c r="M478">
        <f t="shared" ca="1" si="151"/>
        <v>0</v>
      </c>
      <c r="N478">
        <f t="shared" ca="1" si="152"/>
        <v>0</v>
      </c>
      <c r="O478">
        <f t="shared" ca="1" si="153"/>
        <v>0</v>
      </c>
      <c r="P478">
        <f t="shared" ca="1" si="154"/>
        <v>0</v>
      </c>
      <c r="Q478">
        <f t="shared" ca="1" si="155"/>
        <v>0</v>
      </c>
      <c r="R478">
        <f t="shared" ca="1" si="156"/>
        <v>0</v>
      </c>
      <c r="S478">
        <f t="shared" ca="1" si="157"/>
        <v>0</v>
      </c>
      <c r="T478">
        <f t="shared" ca="1" si="158"/>
        <v>0</v>
      </c>
      <c r="U478">
        <f t="shared" ca="1" si="159"/>
        <v>0</v>
      </c>
      <c r="V478">
        <f t="shared" ca="1" si="160"/>
        <v>0</v>
      </c>
      <c r="W478">
        <f t="shared" ca="1" si="161"/>
        <v>1.8126529728800276</v>
      </c>
      <c r="X478">
        <f t="shared" ca="1" si="162"/>
        <v>0</v>
      </c>
      <c r="Y478">
        <f t="shared" ca="1" si="163"/>
        <v>0</v>
      </c>
      <c r="Z478">
        <f t="shared" ca="1" si="164"/>
        <v>0</v>
      </c>
      <c r="AA478">
        <f t="shared" ca="1" si="165"/>
        <v>0</v>
      </c>
      <c r="AB478">
        <f t="shared" ca="1" si="166"/>
        <v>0</v>
      </c>
      <c r="AC478">
        <f t="shared" ca="1" si="167"/>
        <v>0</v>
      </c>
      <c r="AD478">
        <f t="shared" ca="1" si="168"/>
        <v>0</v>
      </c>
      <c r="AE478">
        <f t="shared" ca="1" si="169"/>
        <v>0</v>
      </c>
      <c r="AF478">
        <f t="shared" ca="1" si="170"/>
        <v>2.6667214170788323</v>
      </c>
      <c r="AG478">
        <f t="shared" ca="1" si="171"/>
        <v>0</v>
      </c>
      <c r="AH478">
        <f t="shared" ca="1" si="172"/>
        <v>0</v>
      </c>
      <c r="AI478">
        <f t="shared" ca="1" si="173"/>
        <v>0</v>
      </c>
      <c r="AJ478">
        <f t="shared" ca="1" si="174"/>
        <v>0.33508973062152336</v>
      </c>
      <c r="AK478">
        <f t="shared" ca="1" si="175"/>
        <v>0</v>
      </c>
      <c r="AL478">
        <f t="shared" ca="1" si="176"/>
        <v>0.18557231339800748</v>
      </c>
      <c r="AM478">
        <f t="shared" ca="1" si="177"/>
        <v>0</v>
      </c>
      <c r="AN478">
        <f t="shared" ca="1" si="178"/>
        <v>0</v>
      </c>
      <c r="AO478">
        <f t="shared" ca="1" si="179"/>
        <v>0</v>
      </c>
      <c r="AP478">
        <f t="shared" ca="1" si="180"/>
        <v>0</v>
      </c>
    </row>
    <row r="479" spans="1:42" x14ac:dyDescent="0.2">
      <c r="A479" s="39" t="s">
        <v>492</v>
      </c>
      <c r="B479" s="2" t="str">
        <f>VLOOKUP(A479,'[14]Calculated coal req (reg.)'!$A$2:$B$599,2,FALSE)</f>
        <v>SINGRAULI STPS</v>
      </c>
      <c r="C479" s="2">
        <v>4.1503491542631101</v>
      </c>
      <c r="D479" s="2"/>
      <c r="H479" t="s">
        <v>1113</v>
      </c>
      <c r="I479">
        <f t="shared" ca="1" si="147"/>
        <v>0</v>
      </c>
      <c r="J479">
        <f t="shared" ca="1" si="148"/>
        <v>0</v>
      </c>
      <c r="K479">
        <f t="shared" ca="1" si="149"/>
        <v>0</v>
      </c>
      <c r="L479">
        <f t="shared" ca="1" si="150"/>
        <v>0</v>
      </c>
      <c r="M479">
        <f t="shared" ca="1" si="151"/>
        <v>0</v>
      </c>
      <c r="N479">
        <f t="shared" ca="1" si="152"/>
        <v>0</v>
      </c>
      <c r="O479">
        <f t="shared" ca="1" si="153"/>
        <v>0</v>
      </c>
      <c r="P479">
        <f t="shared" ca="1" si="154"/>
        <v>0</v>
      </c>
      <c r="Q479">
        <f t="shared" ca="1" si="155"/>
        <v>0</v>
      </c>
      <c r="R479">
        <f t="shared" ca="1" si="156"/>
        <v>0</v>
      </c>
      <c r="S479">
        <f t="shared" ca="1" si="157"/>
        <v>0</v>
      </c>
      <c r="T479">
        <f t="shared" ca="1" si="158"/>
        <v>0</v>
      </c>
      <c r="U479">
        <f t="shared" ca="1" si="159"/>
        <v>0</v>
      </c>
      <c r="V479">
        <f t="shared" ca="1" si="160"/>
        <v>0</v>
      </c>
      <c r="W479">
        <f t="shared" ca="1" si="161"/>
        <v>0</v>
      </c>
      <c r="X479">
        <f t="shared" ca="1" si="162"/>
        <v>0</v>
      </c>
      <c r="Y479">
        <f t="shared" ca="1" si="163"/>
        <v>0</v>
      </c>
      <c r="Z479">
        <f t="shared" ca="1" si="164"/>
        <v>0</v>
      </c>
      <c r="AA479">
        <f t="shared" ca="1" si="165"/>
        <v>0</v>
      </c>
      <c r="AB479">
        <f t="shared" ca="1" si="166"/>
        <v>0</v>
      </c>
      <c r="AC479">
        <f t="shared" ca="1" si="167"/>
        <v>0</v>
      </c>
      <c r="AD479">
        <f t="shared" ca="1" si="168"/>
        <v>0</v>
      </c>
      <c r="AE479">
        <f t="shared" ca="1" si="169"/>
        <v>0</v>
      </c>
      <c r="AF479">
        <f t="shared" ca="1" si="170"/>
        <v>0</v>
      </c>
      <c r="AG479">
        <f t="shared" ca="1" si="171"/>
        <v>0</v>
      </c>
      <c r="AH479">
        <f t="shared" ca="1" si="172"/>
        <v>0</v>
      </c>
      <c r="AI479">
        <f t="shared" ca="1" si="173"/>
        <v>0</v>
      </c>
      <c r="AJ479">
        <f t="shared" ca="1" si="174"/>
        <v>0</v>
      </c>
      <c r="AK479">
        <f t="shared" ca="1" si="175"/>
        <v>0</v>
      </c>
      <c r="AL479">
        <f t="shared" ca="1" si="176"/>
        <v>0</v>
      </c>
      <c r="AM479">
        <f t="shared" ca="1" si="177"/>
        <v>0</v>
      </c>
      <c r="AN479">
        <f t="shared" ca="1" si="178"/>
        <v>0</v>
      </c>
      <c r="AO479">
        <f t="shared" ca="1" si="179"/>
        <v>0</v>
      </c>
      <c r="AP479">
        <f t="shared" ca="1" si="180"/>
        <v>0</v>
      </c>
    </row>
    <row r="480" spans="1:42" x14ac:dyDescent="0.2">
      <c r="A480" s="39" t="s">
        <v>489</v>
      </c>
      <c r="B480" s="2" t="str">
        <f>VLOOKUP(A480,'[14]Calculated coal req (reg.)'!$A$2:$B$599,2,FALSE)</f>
        <v>SINGRAULI STPS</v>
      </c>
      <c r="C480" s="2">
        <v>3.95443519519042</v>
      </c>
      <c r="D480" s="2"/>
      <c r="H480" t="s">
        <v>1185</v>
      </c>
      <c r="I480">
        <f t="shared" ca="1" si="147"/>
        <v>0</v>
      </c>
      <c r="J480">
        <f t="shared" ca="1" si="148"/>
        <v>0</v>
      </c>
      <c r="K480">
        <f t="shared" ca="1" si="149"/>
        <v>0</v>
      </c>
      <c r="L480">
        <f t="shared" ca="1" si="150"/>
        <v>0</v>
      </c>
      <c r="M480">
        <f t="shared" ca="1" si="151"/>
        <v>0</v>
      </c>
      <c r="N480">
        <f t="shared" ca="1" si="152"/>
        <v>0</v>
      </c>
      <c r="O480">
        <f t="shared" ca="1" si="153"/>
        <v>0</v>
      </c>
      <c r="P480">
        <f t="shared" ca="1" si="154"/>
        <v>0</v>
      </c>
      <c r="Q480">
        <f t="shared" ca="1" si="155"/>
        <v>0</v>
      </c>
      <c r="R480">
        <f t="shared" ca="1" si="156"/>
        <v>0</v>
      </c>
      <c r="S480">
        <f t="shared" ca="1" si="157"/>
        <v>0</v>
      </c>
      <c r="T480">
        <f t="shared" ca="1" si="158"/>
        <v>0</v>
      </c>
      <c r="U480">
        <f t="shared" ca="1" si="159"/>
        <v>0</v>
      </c>
      <c r="V480">
        <f t="shared" ca="1" si="160"/>
        <v>0</v>
      </c>
      <c r="W480">
        <f t="shared" ca="1" si="161"/>
        <v>0</v>
      </c>
      <c r="X480">
        <f t="shared" ca="1" si="162"/>
        <v>0</v>
      </c>
      <c r="Y480">
        <f t="shared" ca="1" si="163"/>
        <v>0</v>
      </c>
      <c r="Z480">
        <f t="shared" ca="1" si="164"/>
        <v>0</v>
      </c>
      <c r="AA480">
        <f t="shared" ca="1" si="165"/>
        <v>0</v>
      </c>
      <c r="AB480">
        <f t="shared" ca="1" si="166"/>
        <v>0</v>
      </c>
      <c r="AC480">
        <f t="shared" ca="1" si="167"/>
        <v>0</v>
      </c>
      <c r="AD480">
        <f t="shared" ca="1" si="168"/>
        <v>0</v>
      </c>
      <c r="AE480">
        <f t="shared" ca="1" si="169"/>
        <v>0</v>
      </c>
      <c r="AF480">
        <f t="shared" ca="1" si="170"/>
        <v>0</v>
      </c>
      <c r="AG480">
        <f t="shared" ca="1" si="171"/>
        <v>0</v>
      </c>
      <c r="AH480">
        <f t="shared" ca="1" si="172"/>
        <v>0</v>
      </c>
      <c r="AI480">
        <f t="shared" ca="1" si="173"/>
        <v>0</v>
      </c>
      <c r="AJ480">
        <f t="shared" ca="1" si="174"/>
        <v>0</v>
      </c>
      <c r="AK480">
        <f t="shared" ca="1" si="175"/>
        <v>0</v>
      </c>
      <c r="AL480">
        <f t="shared" ca="1" si="176"/>
        <v>0</v>
      </c>
      <c r="AM480">
        <f t="shared" ca="1" si="177"/>
        <v>0</v>
      </c>
      <c r="AN480">
        <f t="shared" ca="1" si="178"/>
        <v>0</v>
      </c>
      <c r="AO480">
        <f t="shared" ca="1" si="179"/>
        <v>0</v>
      </c>
      <c r="AP480">
        <f t="shared" ca="1" si="180"/>
        <v>0</v>
      </c>
    </row>
    <row r="481" spans="1:42" x14ac:dyDescent="0.2">
      <c r="A481" s="39" t="s">
        <v>481</v>
      </c>
      <c r="B481" s="2" t="str">
        <f>VLOOKUP(A481,'[14]Calculated coal req (reg.)'!$A$2:$B$599,2,FALSE)</f>
        <v>SINGRAULI STPS</v>
      </c>
      <c r="C481" s="2">
        <v>4.1299499028903304</v>
      </c>
      <c r="D481" s="2"/>
      <c r="H481" t="s">
        <v>1058</v>
      </c>
      <c r="I481">
        <f t="shared" ca="1" si="147"/>
        <v>0</v>
      </c>
      <c r="J481">
        <f t="shared" ca="1" si="148"/>
        <v>0</v>
      </c>
      <c r="K481">
        <f t="shared" ca="1" si="149"/>
        <v>0</v>
      </c>
      <c r="L481">
        <f t="shared" ca="1" si="150"/>
        <v>0</v>
      </c>
      <c r="M481">
        <f t="shared" ca="1" si="151"/>
        <v>0</v>
      </c>
      <c r="N481">
        <f t="shared" ca="1" si="152"/>
        <v>0</v>
      </c>
      <c r="O481">
        <f t="shared" ca="1" si="153"/>
        <v>0</v>
      </c>
      <c r="P481">
        <f t="shared" ca="1" si="154"/>
        <v>0</v>
      </c>
      <c r="Q481">
        <f t="shared" ca="1" si="155"/>
        <v>0</v>
      </c>
      <c r="R481">
        <f t="shared" ca="1" si="156"/>
        <v>0</v>
      </c>
      <c r="S481">
        <f t="shared" ca="1" si="157"/>
        <v>0</v>
      </c>
      <c r="T481">
        <f t="shared" ca="1" si="158"/>
        <v>0</v>
      </c>
      <c r="U481">
        <f t="shared" ca="1" si="159"/>
        <v>0</v>
      </c>
      <c r="V481">
        <f t="shared" ca="1" si="160"/>
        <v>0</v>
      </c>
      <c r="W481">
        <f t="shared" ca="1" si="161"/>
        <v>0</v>
      </c>
      <c r="X481">
        <f t="shared" ca="1" si="162"/>
        <v>9.6</v>
      </c>
      <c r="Y481">
        <f t="shared" ca="1" si="163"/>
        <v>0</v>
      </c>
      <c r="Z481">
        <f t="shared" ca="1" si="164"/>
        <v>0</v>
      </c>
      <c r="AA481">
        <f t="shared" ca="1" si="165"/>
        <v>0</v>
      </c>
      <c r="AB481">
        <f t="shared" ca="1" si="166"/>
        <v>0</v>
      </c>
      <c r="AC481">
        <f t="shared" ca="1" si="167"/>
        <v>0</v>
      </c>
      <c r="AD481">
        <f t="shared" ca="1" si="168"/>
        <v>0</v>
      </c>
      <c r="AE481">
        <f t="shared" ca="1" si="169"/>
        <v>0</v>
      </c>
      <c r="AF481">
        <f t="shared" ca="1" si="170"/>
        <v>0</v>
      </c>
      <c r="AG481">
        <f t="shared" ca="1" si="171"/>
        <v>0</v>
      </c>
      <c r="AH481">
        <f t="shared" ca="1" si="172"/>
        <v>0</v>
      </c>
      <c r="AI481">
        <f t="shared" ca="1" si="173"/>
        <v>0</v>
      </c>
      <c r="AJ481">
        <f t="shared" ca="1" si="174"/>
        <v>0</v>
      </c>
      <c r="AK481">
        <f t="shared" ca="1" si="175"/>
        <v>0</v>
      </c>
      <c r="AL481">
        <f t="shared" ca="1" si="176"/>
        <v>0</v>
      </c>
      <c r="AM481">
        <f t="shared" ca="1" si="177"/>
        <v>0</v>
      </c>
      <c r="AN481">
        <f t="shared" ca="1" si="178"/>
        <v>0</v>
      </c>
      <c r="AO481">
        <f t="shared" ca="1" si="179"/>
        <v>0</v>
      </c>
      <c r="AP481">
        <f t="shared" ca="1" si="180"/>
        <v>0</v>
      </c>
    </row>
    <row r="482" spans="1:42" x14ac:dyDescent="0.2">
      <c r="A482" s="39" t="s">
        <v>480</v>
      </c>
      <c r="B482" s="2" t="str">
        <f>VLOOKUP(A482,'[14]Calculated coal req (reg.)'!$A$2:$B$599,2,FALSE)</f>
        <v>SINGRAULI STPS</v>
      </c>
      <c r="C482" s="2">
        <v>3.8061421915002498</v>
      </c>
      <c r="D482" s="2"/>
      <c r="H482" t="s">
        <v>1041</v>
      </c>
      <c r="I482">
        <f t="shared" ca="1" si="147"/>
        <v>0</v>
      </c>
      <c r="J482">
        <f t="shared" ca="1" si="148"/>
        <v>0</v>
      </c>
      <c r="K482">
        <f t="shared" ca="1" si="149"/>
        <v>0</v>
      </c>
      <c r="L482">
        <f t="shared" ca="1" si="150"/>
        <v>0</v>
      </c>
      <c r="M482">
        <f t="shared" ca="1" si="151"/>
        <v>0</v>
      </c>
      <c r="N482">
        <f t="shared" ca="1" si="152"/>
        <v>0</v>
      </c>
      <c r="O482">
        <f t="shared" ca="1" si="153"/>
        <v>0</v>
      </c>
      <c r="P482">
        <f t="shared" ca="1" si="154"/>
        <v>0</v>
      </c>
      <c r="Q482">
        <f t="shared" ca="1" si="155"/>
        <v>0</v>
      </c>
      <c r="R482">
        <f t="shared" ca="1" si="156"/>
        <v>0</v>
      </c>
      <c r="S482">
        <f t="shared" ca="1" si="157"/>
        <v>0</v>
      </c>
      <c r="T482">
        <f t="shared" ca="1" si="158"/>
        <v>0</v>
      </c>
      <c r="U482">
        <f t="shared" ca="1" si="159"/>
        <v>0</v>
      </c>
      <c r="V482">
        <f t="shared" ca="1" si="160"/>
        <v>0</v>
      </c>
      <c r="W482">
        <f t="shared" ca="1" si="161"/>
        <v>0</v>
      </c>
      <c r="X482">
        <f t="shared" ca="1" si="162"/>
        <v>10.199999999999999</v>
      </c>
      <c r="Y482">
        <f t="shared" ca="1" si="163"/>
        <v>0</v>
      </c>
      <c r="Z482">
        <f t="shared" ca="1" si="164"/>
        <v>0</v>
      </c>
      <c r="AA482">
        <f t="shared" ca="1" si="165"/>
        <v>0</v>
      </c>
      <c r="AB482">
        <f t="shared" ca="1" si="166"/>
        <v>0</v>
      </c>
      <c r="AC482">
        <f t="shared" ca="1" si="167"/>
        <v>0</v>
      </c>
      <c r="AD482">
        <f t="shared" ca="1" si="168"/>
        <v>0</v>
      </c>
      <c r="AE482">
        <f t="shared" ca="1" si="169"/>
        <v>0</v>
      </c>
      <c r="AF482">
        <f t="shared" ca="1" si="170"/>
        <v>0</v>
      </c>
      <c r="AG482">
        <f t="shared" ca="1" si="171"/>
        <v>0</v>
      </c>
      <c r="AH482">
        <f t="shared" ca="1" si="172"/>
        <v>0</v>
      </c>
      <c r="AI482">
        <f t="shared" ca="1" si="173"/>
        <v>0</v>
      </c>
      <c r="AJ482">
        <f t="shared" ca="1" si="174"/>
        <v>0</v>
      </c>
      <c r="AK482">
        <f t="shared" ca="1" si="175"/>
        <v>0</v>
      </c>
      <c r="AL482">
        <f t="shared" ca="1" si="176"/>
        <v>0</v>
      </c>
      <c r="AM482">
        <f t="shared" ca="1" si="177"/>
        <v>0</v>
      </c>
      <c r="AN482">
        <f t="shared" ca="1" si="178"/>
        <v>0</v>
      </c>
      <c r="AO482">
        <f t="shared" ca="1" si="179"/>
        <v>0</v>
      </c>
      <c r="AP482">
        <f t="shared" ca="1" si="180"/>
        <v>0</v>
      </c>
    </row>
    <row r="483" spans="1:42" x14ac:dyDescent="0.2">
      <c r="A483" s="2" t="s">
        <v>467</v>
      </c>
      <c r="B483" s="2" t="str">
        <f>VLOOKUP(A483,'[14]Calculated coal req (reg.)'!$A$2:$B$599,2,FALSE)</f>
        <v>SOUTHERN REPL. TPS</v>
      </c>
      <c r="C483" s="2">
        <v>0.35777168423468703</v>
      </c>
      <c r="D483" s="2"/>
      <c r="H483" t="s">
        <v>983</v>
      </c>
      <c r="I483">
        <f t="shared" ca="1" si="147"/>
        <v>0</v>
      </c>
      <c r="J483">
        <f t="shared" ca="1" si="148"/>
        <v>0</v>
      </c>
      <c r="K483">
        <f t="shared" ca="1" si="149"/>
        <v>0</v>
      </c>
      <c r="L483">
        <f t="shared" ca="1" si="150"/>
        <v>0</v>
      </c>
      <c r="M483">
        <f t="shared" ca="1" si="151"/>
        <v>0</v>
      </c>
      <c r="N483">
        <f t="shared" ca="1" si="152"/>
        <v>0</v>
      </c>
      <c r="O483">
        <f t="shared" ca="1" si="153"/>
        <v>0</v>
      </c>
      <c r="P483">
        <f t="shared" ca="1" si="154"/>
        <v>0</v>
      </c>
      <c r="Q483">
        <f t="shared" ca="1" si="155"/>
        <v>0</v>
      </c>
      <c r="R483">
        <f t="shared" ca="1" si="156"/>
        <v>0</v>
      </c>
      <c r="S483">
        <f t="shared" ca="1" si="157"/>
        <v>0</v>
      </c>
      <c r="T483">
        <f t="shared" ca="1" si="158"/>
        <v>0</v>
      </c>
      <c r="U483">
        <f t="shared" ca="1" si="159"/>
        <v>0</v>
      </c>
      <c r="V483">
        <f t="shared" ca="1" si="160"/>
        <v>0</v>
      </c>
      <c r="W483">
        <f t="shared" ca="1" si="161"/>
        <v>0</v>
      </c>
      <c r="X483">
        <f t="shared" ca="1" si="162"/>
        <v>14.28</v>
      </c>
      <c r="Y483">
        <f t="shared" ca="1" si="163"/>
        <v>0</v>
      </c>
      <c r="Z483">
        <f t="shared" ca="1" si="164"/>
        <v>0</v>
      </c>
      <c r="AA483">
        <f t="shared" ca="1" si="165"/>
        <v>0</v>
      </c>
      <c r="AB483">
        <f t="shared" ca="1" si="166"/>
        <v>0</v>
      </c>
      <c r="AC483">
        <f t="shared" ca="1" si="167"/>
        <v>0</v>
      </c>
      <c r="AD483">
        <f t="shared" ca="1" si="168"/>
        <v>0</v>
      </c>
      <c r="AE483">
        <f t="shared" ca="1" si="169"/>
        <v>0</v>
      </c>
      <c r="AF483">
        <f t="shared" ca="1" si="170"/>
        <v>0</v>
      </c>
      <c r="AG483">
        <f t="shared" ca="1" si="171"/>
        <v>0</v>
      </c>
      <c r="AH483">
        <f t="shared" ca="1" si="172"/>
        <v>0</v>
      </c>
      <c r="AI483">
        <f t="shared" ca="1" si="173"/>
        <v>0</v>
      </c>
      <c r="AJ483">
        <f t="shared" ca="1" si="174"/>
        <v>0</v>
      </c>
      <c r="AK483">
        <f t="shared" ca="1" si="175"/>
        <v>0</v>
      </c>
      <c r="AL483">
        <f t="shared" ca="1" si="176"/>
        <v>0</v>
      </c>
      <c r="AM483">
        <f t="shared" ca="1" si="177"/>
        <v>0</v>
      </c>
      <c r="AN483">
        <f t="shared" ca="1" si="178"/>
        <v>0</v>
      </c>
      <c r="AO483">
        <f t="shared" ca="1" si="179"/>
        <v>0</v>
      </c>
      <c r="AP483">
        <f t="shared" ca="1" si="180"/>
        <v>0</v>
      </c>
    </row>
    <row r="484" spans="1:42" x14ac:dyDescent="0.2">
      <c r="A484" s="2" t="s">
        <v>471</v>
      </c>
      <c r="B484" s="2" t="str">
        <f>VLOOKUP(A484,'[14]Calculated coal req (reg.)'!$A$2:$B$599,2,FALSE)</f>
        <v>SOUTHERN REPL. TPS</v>
      </c>
      <c r="C484" s="2">
        <v>0.49746657839654501</v>
      </c>
      <c r="D484" s="2"/>
      <c r="H484" t="s">
        <v>1186</v>
      </c>
      <c r="I484">
        <f t="shared" ca="1" si="147"/>
        <v>0</v>
      </c>
      <c r="J484">
        <f t="shared" ca="1" si="148"/>
        <v>0</v>
      </c>
      <c r="K484">
        <f t="shared" ca="1" si="149"/>
        <v>0</v>
      </c>
      <c r="L484">
        <f t="shared" ca="1" si="150"/>
        <v>0</v>
      </c>
      <c r="M484">
        <f t="shared" ca="1" si="151"/>
        <v>0</v>
      </c>
      <c r="N484">
        <f t="shared" ca="1" si="152"/>
        <v>0</v>
      </c>
      <c r="O484">
        <f t="shared" ca="1" si="153"/>
        <v>0</v>
      </c>
      <c r="P484">
        <f t="shared" ca="1" si="154"/>
        <v>0</v>
      </c>
      <c r="Q484">
        <f t="shared" ca="1" si="155"/>
        <v>0</v>
      </c>
      <c r="R484">
        <f t="shared" ca="1" si="156"/>
        <v>0</v>
      </c>
      <c r="S484">
        <f t="shared" ca="1" si="157"/>
        <v>0</v>
      </c>
      <c r="T484">
        <f t="shared" ca="1" si="158"/>
        <v>0</v>
      </c>
      <c r="U484">
        <f t="shared" ca="1" si="159"/>
        <v>0</v>
      </c>
      <c r="V484">
        <f t="shared" ca="1" si="160"/>
        <v>0</v>
      </c>
      <c r="W484">
        <f t="shared" ca="1" si="161"/>
        <v>0</v>
      </c>
      <c r="X484">
        <f t="shared" ca="1" si="162"/>
        <v>0</v>
      </c>
      <c r="Y484">
        <f t="shared" ca="1" si="163"/>
        <v>0</v>
      </c>
      <c r="Z484">
        <f t="shared" ca="1" si="164"/>
        <v>0</v>
      </c>
      <c r="AA484">
        <f t="shared" ca="1" si="165"/>
        <v>0</v>
      </c>
      <c r="AB484">
        <f t="shared" ca="1" si="166"/>
        <v>0</v>
      </c>
      <c r="AC484">
        <f t="shared" ca="1" si="167"/>
        <v>0</v>
      </c>
      <c r="AD484">
        <f t="shared" ca="1" si="168"/>
        <v>0</v>
      </c>
      <c r="AE484">
        <f t="shared" ca="1" si="169"/>
        <v>0</v>
      </c>
      <c r="AF484">
        <f t="shared" ca="1" si="170"/>
        <v>0</v>
      </c>
      <c r="AG484">
        <f t="shared" ca="1" si="171"/>
        <v>0</v>
      </c>
      <c r="AH484">
        <f t="shared" ca="1" si="172"/>
        <v>0</v>
      </c>
      <c r="AI484">
        <f t="shared" ca="1" si="173"/>
        <v>0</v>
      </c>
      <c r="AJ484">
        <f t="shared" ca="1" si="174"/>
        <v>0</v>
      </c>
      <c r="AK484">
        <f t="shared" ca="1" si="175"/>
        <v>0</v>
      </c>
      <c r="AL484">
        <f t="shared" ca="1" si="176"/>
        <v>0</v>
      </c>
      <c r="AM484">
        <f t="shared" ca="1" si="177"/>
        <v>0</v>
      </c>
      <c r="AN484">
        <f t="shared" ca="1" si="178"/>
        <v>0</v>
      </c>
      <c r="AO484">
        <f t="shared" ca="1" si="179"/>
        <v>0</v>
      </c>
      <c r="AP484">
        <f t="shared" ca="1" si="180"/>
        <v>0</v>
      </c>
    </row>
    <row r="485" spans="1:42" x14ac:dyDescent="0.2">
      <c r="A485" s="2" t="s">
        <v>367</v>
      </c>
      <c r="B485" s="2" t="str">
        <f>VLOOKUP(A485,'[14]Calculated coal req (reg.)'!$A$2:$B$599,2,FALSE)</f>
        <v>SURATGARH TPS</v>
      </c>
      <c r="C485" s="2">
        <v>3.5111649163974001</v>
      </c>
      <c r="D485" s="2"/>
      <c r="H485" t="s">
        <v>1114</v>
      </c>
      <c r="I485">
        <f t="shared" ca="1" si="147"/>
        <v>0</v>
      </c>
      <c r="J485">
        <f t="shared" ca="1" si="148"/>
        <v>0</v>
      </c>
      <c r="K485">
        <f t="shared" ca="1" si="149"/>
        <v>0</v>
      </c>
      <c r="L485">
        <f t="shared" ca="1" si="150"/>
        <v>0</v>
      </c>
      <c r="M485">
        <f t="shared" ca="1" si="151"/>
        <v>0</v>
      </c>
      <c r="N485">
        <f t="shared" ca="1" si="152"/>
        <v>0</v>
      </c>
      <c r="O485">
        <f t="shared" ca="1" si="153"/>
        <v>0</v>
      </c>
      <c r="P485">
        <f t="shared" ca="1" si="154"/>
        <v>0</v>
      </c>
      <c r="Q485">
        <f t="shared" ca="1" si="155"/>
        <v>0</v>
      </c>
      <c r="R485">
        <f t="shared" ca="1" si="156"/>
        <v>0</v>
      </c>
      <c r="S485">
        <f t="shared" ca="1" si="157"/>
        <v>0</v>
      </c>
      <c r="T485">
        <f t="shared" ca="1" si="158"/>
        <v>0</v>
      </c>
      <c r="U485">
        <f t="shared" ca="1" si="159"/>
        <v>0</v>
      </c>
      <c r="V485">
        <f t="shared" ca="1" si="160"/>
        <v>0</v>
      </c>
      <c r="W485">
        <f t="shared" ca="1" si="161"/>
        <v>0</v>
      </c>
      <c r="X485">
        <f t="shared" ca="1" si="162"/>
        <v>0</v>
      </c>
      <c r="Y485">
        <f t="shared" ca="1" si="163"/>
        <v>0</v>
      </c>
      <c r="Z485">
        <f t="shared" ca="1" si="164"/>
        <v>0</v>
      </c>
      <c r="AA485">
        <f t="shared" ca="1" si="165"/>
        <v>0</v>
      </c>
      <c r="AB485">
        <f t="shared" ca="1" si="166"/>
        <v>0</v>
      </c>
      <c r="AC485">
        <f t="shared" ca="1" si="167"/>
        <v>0</v>
      </c>
      <c r="AD485">
        <f t="shared" ca="1" si="168"/>
        <v>0</v>
      </c>
      <c r="AE485">
        <f t="shared" ca="1" si="169"/>
        <v>0</v>
      </c>
      <c r="AF485">
        <f t="shared" ca="1" si="170"/>
        <v>0</v>
      </c>
      <c r="AG485">
        <f t="shared" ca="1" si="171"/>
        <v>0</v>
      </c>
      <c r="AH485">
        <f t="shared" ca="1" si="172"/>
        <v>0</v>
      </c>
      <c r="AI485">
        <f t="shared" ca="1" si="173"/>
        <v>0</v>
      </c>
      <c r="AJ485">
        <f t="shared" ca="1" si="174"/>
        <v>0</v>
      </c>
      <c r="AK485">
        <f t="shared" ca="1" si="175"/>
        <v>0</v>
      </c>
      <c r="AL485">
        <f t="shared" ca="1" si="176"/>
        <v>0</v>
      </c>
      <c r="AM485">
        <f t="shared" ca="1" si="177"/>
        <v>0</v>
      </c>
      <c r="AN485">
        <f t="shared" ca="1" si="178"/>
        <v>0</v>
      </c>
      <c r="AO485">
        <f t="shared" ca="1" si="179"/>
        <v>0</v>
      </c>
      <c r="AP485">
        <f t="shared" ca="1" si="180"/>
        <v>0</v>
      </c>
    </row>
    <row r="486" spans="1:42" x14ac:dyDescent="0.2">
      <c r="A486" s="2" t="s">
        <v>354</v>
      </c>
      <c r="B486" s="2" t="str">
        <f>VLOOKUP(A486,'[14]Calculated coal req (reg.)'!$A$2:$B$599,2,FALSE)</f>
        <v>SURATGARH TPS</v>
      </c>
      <c r="C486" s="2">
        <v>2.5446786116678499</v>
      </c>
      <c r="D486" s="2"/>
      <c r="H486" t="s">
        <v>1115</v>
      </c>
      <c r="I486">
        <f t="shared" ca="1" si="147"/>
        <v>0</v>
      </c>
      <c r="J486">
        <f t="shared" ca="1" si="148"/>
        <v>0</v>
      </c>
      <c r="K486">
        <f t="shared" ca="1" si="149"/>
        <v>0</v>
      </c>
      <c r="L486">
        <f t="shared" ca="1" si="150"/>
        <v>0</v>
      </c>
      <c r="M486">
        <f t="shared" ca="1" si="151"/>
        <v>0</v>
      </c>
      <c r="N486">
        <f t="shared" ca="1" si="152"/>
        <v>0</v>
      </c>
      <c r="O486">
        <f t="shared" ca="1" si="153"/>
        <v>0</v>
      </c>
      <c r="P486">
        <f t="shared" ca="1" si="154"/>
        <v>0</v>
      </c>
      <c r="Q486">
        <f t="shared" ca="1" si="155"/>
        <v>0</v>
      </c>
      <c r="R486">
        <f t="shared" ca="1" si="156"/>
        <v>0</v>
      </c>
      <c r="S486">
        <f t="shared" ca="1" si="157"/>
        <v>0</v>
      </c>
      <c r="T486">
        <f t="shared" ca="1" si="158"/>
        <v>0</v>
      </c>
      <c r="U486">
        <f t="shared" ca="1" si="159"/>
        <v>0</v>
      </c>
      <c r="V486">
        <f t="shared" ca="1" si="160"/>
        <v>0</v>
      </c>
      <c r="W486">
        <f t="shared" ca="1" si="161"/>
        <v>0</v>
      </c>
      <c r="X486">
        <f t="shared" ca="1" si="162"/>
        <v>0</v>
      </c>
      <c r="Y486">
        <f t="shared" ca="1" si="163"/>
        <v>0</v>
      </c>
      <c r="Z486">
        <f t="shared" ca="1" si="164"/>
        <v>0</v>
      </c>
      <c r="AA486">
        <f t="shared" ca="1" si="165"/>
        <v>0</v>
      </c>
      <c r="AB486">
        <f t="shared" ca="1" si="166"/>
        <v>0</v>
      </c>
      <c r="AC486">
        <f t="shared" ca="1" si="167"/>
        <v>0</v>
      </c>
      <c r="AD486">
        <f t="shared" ca="1" si="168"/>
        <v>0</v>
      </c>
      <c r="AE486">
        <f t="shared" ca="1" si="169"/>
        <v>0</v>
      </c>
      <c r="AF486">
        <f t="shared" ca="1" si="170"/>
        <v>0</v>
      </c>
      <c r="AG486">
        <f t="shared" ca="1" si="171"/>
        <v>0</v>
      </c>
      <c r="AH486">
        <f t="shared" ca="1" si="172"/>
        <v>0</v>
      </c>
      <c r="AI486">
        <f t="shared" ca="1" si="173"/>
        <v>0</v>
      </c>
      <c r="AJ486">
        <f t="shared" ca="1" si="174"/>
        <v>0</v>
      </c>
      <c r="AK486">
        <f t="shared" ca="1" si="175"/>
        <v>0</v>
      </c>
      <c r="AL486">
        <f t="shared" ca="1" si="176"/>
        <v>0</v>
      </c>
      <c r="AM486">
        <f t="shared" ca="1" si="177"/>
        <v>0</v>
      </c>
      <c r="AN486">
        <f t="shared" ca="1" si="178"/>
        <v>0</v>
      </c>
      <c r="AO486">
        <f t="shared" ca="1" si="179"/>
        <v>0</v>
      </c>
      <c r="AP486">
        <f t="shared" ca="1" si="180"/>
        <v>0</v>
      </c>
    </row>
    <row r="487" spans="1:42" x14ac:dyDescent="0.2">
      <c r="A487" s="2" t="s">
        <v>349</v>
      </c>
      <c r="B487" s="2" t="str">
        <f>VLOOKUP(A487,'[14]Calculated coal req (reg.)'!$A$2:$B$599,2,FALSE)</f>
        <v>SURATGARH TPS</v>
      </c>
      <c r="C487" s="2">
        <v>2.6861969447534202</v>
      </c>
      <c r="D487" s="2"/>
      <c r="H487" t="s">
        <v>1047</v>
      </c>
      <c r="I487">
        <f t="shared" ca="1" si="147"/>
        <v>0</v>
      </c>
      <c r="J487">
        <f t="shared" ca="1" si="148"/>
        <v>0</v>
      </c>
      <c r="K487">
        <f t="shared" ca="1" si="149"/>
        <v>0</v>
      </c>
      <c r="L487">
        <f t="shared" ca="1" si="150"/>
        <v>0</v>
      </c>
      <c r="M487">
        <f t="shared" ca="1" si="151"/>
        <v>0</v>
      </c>
      <c r="N487">
        <f t="shared" ca="1" si="152"/>
        <v>0</v>
      </c>
      <c r="O487">
        <f t="shared" ca="1" si="153"/>
        <v>0</v>
      </c>
      <c r="P487">
        <f t="shared" ca="1" si="154"/>
        <v>0</v>
      </c>
      <c r="Q487">
        <f t="shared" ca="1" si="155"/>
        <v>0</v>
      </c>
      <c r="R487">
        <f t="shared" ca="1" si="156"/>
        <v>0</v>
      </c>
      <c r="S487">
        <f t="shared" ca="1" si="157"/>
        <v>0</v>
      </c>
      <c r="T487">
        <f t="shared" ca="1" si="158"/>
        <v>0</v>
      </c>
      <c r="U487">
        <f t="shared" ca="1" si="159"/>
        <v>0</v>
      </c>
      <c r="V487">
        <f t="shared" ca="1" si="160"/>
        <v>0</v>
      </c>
      <c r="W487">
        <f t="shared" ca="1" si="161"/>
        <v>0</v>
      </c>
      <c r="X487">
        <f t="shared" ca="1" si="162"/>
        <v>0</v>
      </c>
      <c r="Y487">
        <f t="shared" ca="1" si="163"/>
        <v>0</v>
      </c>
      <c r="Z487">
        <f t="shared" ca="1" si="164"/>
        <v>0</v>
      </c>
      <c r="AA487">
        <f t="shared" ca="1" si="165"/>
        <v>20.399999999999999</v>
      </c>
      <c r="AB487">
        <f t="shared" ca="1" si="166"/>
        <v>0</v>
      </c>
      <c r="AC487">
        <f t="shared" ca="1" si="167"/>
        <v>0</v>
      </c>
      <c r="AD487">
        <f t="shared" ca="1" si="168"/>
        <v>0</v>
      </c>
      <c r="AE487">
        <f t="shared" ca="1" si="169"/>
        <v>0</v>
      </c>
      <c r="AF487">
        <f t="shared" ca="1" si="170"/>
        <v>0</v>
      </c>
      <c r="AG487">
        <f t="shared" ca="1" si="171"/>
        <v>0</v>
      </c>
      <c r="AH487">
        <f t="shared" ca="1" si="172"/>
        <v>0</v>
      </c>
      <c r="AI487">
        <f t="shared" ca="1" si="173"/>
        <v>0</v>
      </c>
      <c r="AJ487">
        <f t="shared" ca="1" si="174"/>
        <v>0</v>
      </c>
      <c r="AK487">
        <f t="shared" ca="1" si="175"/>
        <v>0</v>
      </c>
      <c r="AL487">
        <f t="shared" ca="1" si="176"/>
        <v>0</v>
      </c>
      <c r="AM487">
        <f t="shared" ca="1" si="177"/>
        <v>0</v>
      </c>
      <c r="AN487">
        <f t="shared" ca="1" si="178"/>
        <v>0</v>
      </c>
      <c r="AO487">
        <f t="shared" ca="1" si="179"/>
        <v>0</v>
      </c>
      <c r="AP487">
        <f t="shared" ca="1" si="180"/>
        <v>0</v>
      </c>
    </row>
    <row r="488" spans="1:42" x14ac:dyDescent="0.2">
      <c r="A488" s="2" t="s">
        <v>347</v>
      </c>
      <c r="B488" s="2" t="str">
        <f>VLOOKUP(A488,'[14]Calculated coal req (reg.)'!$A$2:$B$599,2,FALSE)</f>
        <v>SURATGARH TPS</v>
      </c>
      <c r="C488" s="2">
        <v>3.0317122229284701</v>
      </c>
      <c r="D488" s="2"/>
      <c r="H488" t="s">
        <v>1102</v>
      </c>
      <c r="I488">
        <f t="shared" ca="1" si="147"/>
        <v>0</v>
      </c>
      <c r="J488">
        <f t="shared" ca="1" si="148"/>
        <v>0</v>
      </c>
      <c r="K488">
        <f t="shared" ca="1" si="149"/>
        <v>0</v>
      </c>
      <c r="L488">
        <f t="shared" ca="1" si="150"/>
        <v>0</v>
      </c>
      <c r="M488">
        <f t="shared" ca="1" si="151"/>
        <v>0</v>
      </c>
      <c r="N488">
        <f t="shared" ca="1" si="152"/>
        <v>0</v>
      </c>
      <c r="O488">
        <f t="shared" ca="1" si="153"/>
        <v>0</v>
      </c>
      <c r="P488">
        <f t="shared" ca="1" si="154"/>
        <v>0</v>
      </c>
      <c r="Q488">
        <f t="shared" ca="1" si="155"/>
        <v>0</v>
      </c>
      <c r="R488">
        <f t="shared" ca="1" si="156"/>
        <v>0</v>
      </c>
      <c r="S488">
        <f t="shared" ca="1" si="157"/>
        <v>0</v>
      </c>
      <c r="T488">
        <f t="shared" ca="1" si="158"/>
        <v>0</v>
      </c>
      <c r="U488">
        <f t="shared" ca="1" si="159"/>
        <v>0</v>
      </c>
      <c r="V488">
        <f t="shared" ca="1" si="160"/>
        <v>0</v>
      </c>
      <c r="W488">
        <f t="shared" ca="1" si="161"/>
        <v>0</v>
      </c>
      <c r="X488">
        <f t="shared" ca="1" si="162"/>
        <v>0</v>
      </c>
      <c r="Y488">
        <f t="shared" ca="1" si="163"/>
        <v>0</v>
      </c>
      <c r="Z488">
        <f t="shared" ca="1" si="164"/>
        <v>5.91</v>
      </c>
      <c r="AA488">
        <f t="shared" ca="1" si="165"/>
        <v>0</v>
      </c>
      <c r="AB488">
        <f t="shared" ca="1" si="166"/>
        <v>0</v>
      </c>
      <c r="AC488">
        <f t="shared" ca="1" si="167"/>
        <v>0</v>
      </c>
      <c r="AD488">
        <f t="shared" ca="1" si="168"/>
        <v>0</v>
      </c>
      <c r="AE488">
        <f t="shared" ca="1" si="169"/>
        <v>0</v>
      </c>
      <c r="AF488">
        <f t="shared" ca="1" si="170"/>
        <v>0</v>
      </c>
      <c r="AG488">
        <f t="shared" ca="1" si="171"/>
        <v>0</v>
      </c>
      <c r="AH488">
        <f t="shared" ca="1" si="172"/>
        <v>0</v>
      </c>
      <c r="AI488">
        <f t="shared" ca="1" si="173"/>
        <v>0</v>
      </c>
      <c r="AJ488">
        <f t="shared" ca="1" si="174"/>
        <v>0</v>
      </c>
      <c r="AK488">
        <f t="shared" ca="1" si="175"/>
        <v>0</v>
      </c>
      <c r="AL488">
        <f t="shared" ca="1" si="176"/>
        <v>0</v>
      </c>
      <c r="AM488">
        <f t="shared" ca="1" si="177"/>
        <v>0</v>
      </c>
      <c r="AN488">
        <f t="shared" ca="1" si="178"/>
        <v>0</v>
      </c>
      <c r="AO488">
        <f t="shared" ca="1" si="179"/>
        <v>0</v>
      </c>
      <c r="AP488">
        <f t="shared" ca="1" si="180"/>
        <v>0</v>
      </c>
    </row>
    <row r="489" spans="1:42" x14ac:dyDescent="0.2">
      <c r="A489" s="2" t="s">
        <v>332</v>
      </c>
      <c r="B489" s="2" t="str">
        <f>VLOOKUP(A489,'[14]Calculated coal req (reg.)'!$A$2:$B$599,2,FALSE)</f>
        <v>SURATGARH TPS</v>
      </c>
      <c r="C489" s="2">
        <v>2.83154932941363</v>
      </c>
      <c r="D489" s="2"/>
      <c r="H489" t="s">
        <v>1086</v>
      </c>
      <c r="I489">
        <f t="shared" ca="1" si="147"/>
        <v>0</v>
      </c>
      <c r="J489">
        <f t="shared" ca="1" si="148"/>
        <v>0.57587072652522364</v>
      </c>
      <c r="K489">
        <f t="shared" ca="1" si="149"/>
        <v>6.0521780403419347</v>
      </c>
      <c r="L489">
        <f t="shared" ca="1" si="150"/>
        <v>0</v>
      </c>
      <c r="M489">
        <f t="shared" ca="1" si="151"/>
        <v>0</v>
      </c>
      <c r="N489">
        <f t="shared" ca="1" si="152"/>
        <v>0</v>
      </c>
      <c r="O489">
        <f t="shared" ca="1" si="153"/>
        <v>0</v>
      </c>
      <c r="P489">
        <f t="shared" ca="1" si="154"/>
        <v>0</v>
      </c>
      <c r="Q489">
        <f t="shared" ca="1" si="155"/>
        <v>0</v>
      </c>
      <c r="R489">
        <f t="shared" ca="1" si="156"/>
        <v>0</v>
      </c>
      <c r="S489">
        <f t="shared" ca="1" si="157"/>
        <v>0</v>
      </c>
      <c r="T489">
        <f t="shared" ca="1" si="158"/>
        <v>0</v>
      </c>
      <c r="U489">
        <f t="shared" ca="1" si="159"/>
        <v>0</v>
      </c>
      <c r="V489">
        <f t="shared" ca="1" si="160"/>
        <v>0</v>
      </c>
      <c r="W489">
        <f t="shared" ca="1" si="161"/>
        <v>0</v>
      </c>
      <c r="X489">
        <f t="shared" ca="1" si="162"/>
        <v>0</v>
      </c>
      <c r="Y489">
        <f t="shared" ca="1" si="163"/>
        <v>0</v>
      </c>
      <c r="Z489">
        <f t="shared" ca="1" si="164"/>
        <v>0</v>
      </c>
      <c r="AA489">
        <f t="shared" ca="1" si="165"/>
        <v>0</v>
      </c>
      <c r="AB489">
        <f t="shared" ca="1" si="166"/>
        <v>0.40460379565340621</v>
      </c>
      <c r="AC489">
        <f t="shared" ca="1" si="167"/>
        <v>0</v>
      </c>
      <c r="AD489">
        <f t="shared" ca="1" si="168"/>
        <v>0.57811200398554086</v>
      </c>
      <c r="AE489">
        <f t="shared" ca="1" si="169"/>
        <v>0.50713569181473983</v>
      </c>
      <c r="AF489">
        <f t="shared" ca="1" si="170"/>
        <v>0</v>
      </c>
      <c r="AG489">
        <f t="shared" ca="1" si="171"/>
        <v>0</v>
      </c>
      <c r="AH489">
        <f t="shared" ca="1" si="172"/>
        <v>0</v>
      </c>
      <c r="AI489">
        <f t="shared" ca="1" si="173"/>
        <v>0</v>
      </c>
      <c r="AJ489">
        <f t="shared" ca="1" si="174"/>
        <v>0</v>
      </c>
      <c r="AK489">
        <f t="shared" ca="1" si="175"/>
        <v>0</v>
      </c>
      <c r="AL489">
        <f t="shared" ca="1" si="176"/>
        <v>0</v>
      </c>
      <c r="AM489">
        <f t="shared" ca="1" si="177"/>
        <v>0.74709974167915605</v>
      </c>
      <c r="AN489">
        <f t="shared" ca="1" si="178"/>
        <v>0</v>
      </c>
      <c r="AO489">
        <f t="shared" ca="1" si="179"/>
        <v>0</v>
      </c>
      <c r="AP489">
        <f t="shared" ca="1" si="180"/>
        <v>0</v>
      </c>
    </row>
    <row r="490" spans="1:42" x14ac:dyDescent="0.2">
      <c r="A490" s="2" t="s">
        <v>281</v>
      </c>
      <c r="B490" s="2" t="str">
        <f>VLOOKUP(A490,'[14]Calculated coal req (reg.)'!$A$2:$B$599,2,FALSE)</f>
        <v>SURATGARH TPS</v>
      </c>
      <c r="C490" s="2">
        <v>2.380507619321</v>
      </c>
      <c r="D490" s="2"/>
      <c r="H490" t="s">
        <v>1116</v>
      </c>
      <c r="I490">
        <f t="shared" ca="1" si="147"/>
        <v>0</v>
      </c>
      <c r="J490">
        <f t="shared" ca="1" si="148"/>
        <v>0</v>
      </c>
      <c r="K490">
        <f t="shared" ca="1" si="149"/>
        <v>0</v>
      </c>
      <c r="L490">
        <f t="shared" ca="1" si="150"/>
        <v>0</v>
      </c>
      <c r="M490">
        <f t="shared" ca="1" si="151"/>
        <v>0</v>
      </c>
      <c r="N490">
        <f t="shared" ca="1" si="152"/>
        <v>0</v>
      </c>
      <c r="O490">
        <f t="shared" ca="1" si="153"/>
        <v>0</v>
      </c>
      <c r="P490">
        <f t="shared" ca="1" si="154"/>
        <v>0</v>
      </c>
      <c r="Q490">
        <f t="shared" ca="1" si="155"/>
        <v>0</v>
      </c>
      <c r="R490">
        <f t="shared" ca="1" si="156"/>
        <v>0</v>
      </c>
      <c r="S490">
        <f t="shared" ca="1" si="157"/>
        <v>0</v>
      </c>
      <c r="T490">
        <f t="shared" ca="1" si="158"/>
        <v>0</v>
      </c>
      <c r="U490">
        <f t="shared" ca="1" si="159"/>
        <v>0</v>
      </c>
      <c r="V490">
        <f t="shared" ca="1" si="160"/>
        <v>0</v>
      </c>
      <c r="W490">
        <f t="shared" ca="1" si="161"/>
        <v>0</v>
      </c>
      <c r="X490">
        <f t="shared" ca="1" si="162"/>
        <v>0</v>
      </c>
      <c r="Y490">
        <f t="shared" ca="1" si="163"/>
        <v>0</v>
      </c>
      <c r="Z490">
        <f t="shared" ca="1" si="164"/>
        <v>0</v>
      </c>
      <c r="AA490">
        <f t="shared" ca="1" si="165"/>
        <v>0</v>
      </c>
      <c r="AB490">
        <f t="shared" ca="1" si="166"/>
        <v>0</v>
      </c>
      <c r="AC490">
        <f t="shared" ca="1" si="167"/>
        <v>0</v>
      </c>
      <c r="AD490">
        <f t="shared" ca="1" si="168"/>
        <v>0</v>
      </c>
      <c r="AE490">
        <f t="shared" ca="1" si="169"/>
        <v>0</v>
      </c>
      <c r="AF490">
        <f t="shared" ca="1" si="170"/>
        <v>0</v>
      </c>
      <c r="AG490">
        <f t="shared" ca="1" si="171"/>
        <v>0</v>
      </c>
      <c r="AH490">
        <f t="shared" ca="1" si="172"/>
        <v>0</v>
      </c>
      <c r="AI490">
        <f t="shared" ca="1" si="173"/>
        <v>0</v>
      </c>
      <c r="AJ490">
        <f t="shared" ca="1" si="174"/>
        <v>0</v>
      </c>
      <c r="AK490">
        <f t="shared" ca="1" si="175"/>
        <v>0</v>
      </c>
      <c r="AL490">
        <f t="shared" ca="1" si="176"/>
        <v>0</v>
      </c>
      <c r="AM490">
        <f t="shared" ca="1" si="177"/>
        <v>0</v>
      </c>
      <c r="AN490">
        <f t="shared" ca="1" si="178"/>
        <v>0</v>
      </c>
      <c r="AO490">
        <f t="shared" ca="1" si="179"/>
        <v>0</v>
      </c>
      <c r="AP490">
        <f t="shared" ca="1" si="180"/>
        <v>0</v>
      </c>
    </row>
    <row r="491" spans="1:42" x14ac:dyDescent="0.2">
      <c r="A491" s="2" t="s">
        <v>330</v>
      </c>
      <c r="B491" s="2"/>
      <c r="C491" s="2">
        <v>0.307181819305401</v>
      </c>
      <c r="D491" s="2"/>
      <c r="H491" t="s">
        <v>1087</v>
      </c>
      <c r="I491">
        <f t="shared" ca="1" si="147"/>
        <v>0</v>
      </c>
      <c r="J491">
        <f t="shared" ca="1" si="148"/>
        <v>0</v>
      </c>
      <c r="K491">
        <f t="shared" ca="1" si="149"/>
        <v>0</v>
      </c>
      <c r="L491">
        <f t="shared" ca="1" si="150"/>
        <v>0</v>
      </c>
      <c r="M491">
        <f t="shared" ca="1" si="151"/>
        <v>0</v>
      </c>
      <c r="N491">
        <f t="shared" ca="1" si="152"/>
        <v>0</v>
      </c>
      <c r="O491">
        <f t="shared" ca="1" si="153"/>
        <v>0</v>
      </c>
      <c r="P491">
        <f t="shared" ca="1" si="154"/>
        <v>0</v>
      </c>
      <c r="Q491">
        <f t="shared" ca="1" si="155"/>
        <v>0</v>
      </c>
      <c r="R491">
        <f t="shared" ca="1" si="156"/>
        <v>0</v>
      </c>
      <c r="S491">
        <f t="shared" ca="1" si="157"/>
        <v>0</v>
      </c>
      <c r="T491">
        <f t="shared" ca="1" si="158"/>
        <v>0</v>
      </c>
      <c r="U491">
        <f t="shared" ca="1" si="159"/>
        <v>0</v>
      </c>
      <c r="V491">
        <f t="shared" ca="1" si="160"/>
        <v>0</v>
      </c>
      <c r="W491">
        <f t="shared" ca="1" si="161"/>
        <v>0</v>
      </c>
      <c r="X491">
        <f t="shared" ca="1" si="162"/>
        <v>0</v>
      </c>
      <c r="Y491">
        <f t="shared" ca="1" si="163"/>
        <v>0</v>
      </c>
      <c r="Z491">
        <f t="shared" ca="1" si="164"/>
        <v>0</v>
      </c>
      <c r="AA491">
        <f t="shared" ca="1" si="165"/>
        <v>7.0919999999999996</v>
      </c>
      <c r="AB491">
        <f t="shared" ca="1" si="166"/>
        <v>0</v>
      </c>
      <c r="AC491">
        <f t="shared" ca="1" si="167"/>
        <v>0</v>
      </c>
      <c r="AD491">
        <f t="shared" ca="1" si="168"/>
        <v>0</v>
      </c>
      <c r="AE491">
        <f t="shared" ca="1" si="169"/>
        <v>0</v>
      </c>
      <c r="AF491">
        <f t="shared" ca="1" si="170"/>
        <v>0</v>
      </c>
      <c r="AG491">
        <f t="shared" ca="1" si="171"/>
        <v>0</v>
      </c>
      <c r="AH491">
        <f t="shared" ca="1" si="172"/>
        <v>0</v>
      </c>
      <c r="AI491">
        <f t="shared" ca="1" si="173"/>
        <v>0</v>
      </c>
      <c r="AJ491">
        <f t="shared" ca="1" si="174"/>
        <v>0</v>
      </c>
      <c r="AK491">
        <f t="shared" ca="1" si="175"/>
        <v>0</v>
      </c>
      <c r="AL491">
        <f t="shared" ca="1" si="176"/>
        <v>0</v>
      </c>
      <c r="AM491">
        <f t="shared" ca="1" si="177"/>
        <v>0</v>
      </c>
      <c r="AN491">
        <f t="shared" ca="1" si="178"/>
        <v>0</v>
      </c>
      <c r="AO491">
        <f t="shared" ca="1" si="179"/>
        <v>0</v>
      </c>
      <c r="AP491">
        <f t="shared" ca="1" si="180"/>
        <v>0</v>
      </c>
    </row>
    <row r="492" spans="1:42" x14ac:dyDescent="0.2">
      <c r="A492" s="2" t="s">
        <v>531</v>
      </c>
      <c r="B492" s="2" t="str">
        <f>VLOOKUP(A492,'[14]Calculated coal req (reg.)'!$A$2:$B$599,2,FALSE)</f>
        <v>TALCHER (OLD) TPS</v>
      </c>
      <c r="C492" s="2">
        <v>1.3303005279234399</v>
      </c>
      <c r="D492" s="2"/>
      <c r="H492" t="s">
        <v>1076</v>
      </c>
      <c r="I492">
        <f t="shared" ca="1" si="147"/>
        <v>0</v>
      </c>
      <c r="J492">
        <f t="shared" ca="1" si="148"/>
        <v>0</v>
      </c>
      <c r="K492">
        <f t="shared" ca="1" si="149"/>
        <v>0</v>
      </c>
      <c r="L492">
        <f t="shared" ca="1" si="150"/>
        <v>0</v>
      </c>
      <c r="M492">
        <f t="shared" ca="1" si="151"/>
        <v>0</v>
      </c>
      <c r="N492">
        <f t="shared" ca="1" si="152"/>
        <v>0</v>
      </c>
      <c r="O492">
        <f t="shared" ca="1" si="153"/>
        <v>0</v>
      </c>
      <c r="P492">
        <f t="shared" ca="1" si="154"/>
        <v>0</v>
      </c>
      <c r="Q492">
        <f t="shared" ca="1" si="155"/>
        <v>0</v>
      </c>
      <c r="R492">
        <f t="shared" ca="1" si="156"/>
        <v>0</v>
      </c>
      <c r="S492">
        <f t="shared" ca="1" si="157"/>
        <v>0</v>
      </c>
      <c r="T492">
        <f t="shared" ca="1" si="158"/>
        <v>0</v>
      </c>
      <c r="U492">
        <f t="shared" ca="1" si="159"/>
        <v>0</v>
      </c>
      <c r="V492">
        <f t="shared" ca="1" si="160"/>
        <v>0</v>
      </c>
      <c r="W492">
        <f t="shared" ca="1" si="161"/>
        <v>0</v>
      </c>
      <c r="X492">
        <f t="shared" ca="1" si="162"/>
        <v>0</v>
      </c>
      <c r="Y492">
        <f t="shared" ca="1" si="163"/>
        <v>0</v>
      </c>
      <c r="Z492">
        <f t="shared" ca="1" si="164"/>
        <v>0</v>
      </c>
      <c r="AA492">
        <f t="shared" ca="1" si="165"/>
        <v>20.22</v>
      </c>
      <c r="AB492">
        <f t="shared" ca="1" si="166"/>
        <v>0</v>
      </c>
      <c r="AC492">
        <f t="shared" ca="1" si="167"/>
        <v>0</v>
      </c>
      <c r="AD492">
        <f t="shared" ca="1" si="168"/>
        <v>0</v>
      </c>
      <c r="AE492">
        <f t="shared" ca="1" si="169"/>
        <v>0</v>
      </c>
      <c r="AF492">
        <f t="shared" ca="1" si="170"/>
        <v>0</v>
      </c>
      <c r="AG492">
        <f t="shared" ca="1" si="171"/>
        <v>0</v>
      </c>
      <c r="AH492">
        <f t="shared" ca="1" si="172"/>
        <v>0</v>
      </c>
      <c r="AI492">
        <f t="shared" ca="1" si="173"/>
        <v>0</v>
      </c>
      <c r="AJ492">
        <f t="shared" ca="1" si="174"/>
        <v>0</v>
      </c>
      <c r="AK492">
        <f t="shared" ca="1" si="175"/>
        <v>0</v>
      </c>
      <c r="AL492">
        <f t="shared" ca="1" si="176"/>
        <v>0</v>
      </c>
      <c r="AM492">
        <f t="shared" ca="1" si="177"/>
        <v>0</v>
      </c>
      <c r="AN492">
        <f t="shared" ca="1" si="178"/>
        <v>0</v>
      </c>
      <c r="AO492">
        <f t="shared" ca="1" si="179"/>
        <v>0</v>
      </c>
      <c r="AP492">
        <f t="shared" ca="1" si="180"/>
        <v>0</v>
      </c>
    </row>
    <row r="493" spans="1:42" x14ac:dyDescent="0.2">
      <c r="A493" s="2" t="s">
        <v>530</v>
      </c>
      <c r="B493" s="2" t="str">
        <f>VLOOKUP(A493,'[14]Calculated coal req (reg.)'!$A$2:$B$599,2,FALSE)</f>
        <v>TALCHER (OLD) TPS</v>
      </c>
      <c r="C493" s="2">
        <v>1.38071961262072</v>
      </c>
      <c r="D493" s="2"/>
      <c r="H493" t="s">
        <v>1033</v>
      </c>
      <c r="I493">
        <f t="shared" ca="1" si="147"/>
        <v>0</v>
      </c>
      <c r="J493">
        <f t="shared" ca="1" si="148"/>
        <v>0</v>
      </c>
      <c r="K493">
        <f t="shared" ca="1" si="149"/>
        <v>0</v>
      </c>
      <c r="L493">
        <f t="shared" ca="1" si="150"/>
        <v>0</v>
      </c>
      <c r="M493">
        <f t="shared" ca="1" si="151"/>
        <v>0</v>
      </c>
      <c r="N493">
        <f t="shared" ca="1" si="152"/>
        <v>0</v>
      </c>
      <c r="O493">
        <f t="shared" ca="1" si="153"/>
        <v>0</v>
      </c>
      <c r="P493">
        <f t="shared" ca="1" si="154"/>
        <v>0</v>
      </c>
      <c r="Q493">
        <f t="shared" ca="1" si="155"/>
        <v>0</v>
      </c>
      <c r="R493">
        <f t="shared" ca="1" si="156"/>
        <v>0</v>
      </c>
      <c r="S493">
        <f t="shared" ca="1" si="157"/>
        <v>0</v>
      </c>
      <c r="T493">
        <f t="shared" ca="1" si="158"/>
        <v>0</v>
      </c>
      <c r="U493">
        <f t="shared" ca="1" si="159"/>
        <v>0</v>
      </c>
      <c r="V493">
        <f t="shared" ca="1" si="160"/>
        <v>0</v>
      </c>
      <c r="W493">
        <f t="shared" ca="1" si="161"/>
        <v>0</v>
      </c>
      <c r="X493">
        <f t="shared" ca="1" si="162"/>
        <v>0</v>
      </c>
      <c r="Y493">
        <f t="shared" ca="1" si="163"/>
        <v>0</v>
      </c>
      <c r="Z493">
        <f t="shared" ca="1" si="164"/>
        <v>0</v>
      </c>
      <c r="AA493">
        <f t="shared" ca="1" si="165"/>
        <v>20.399999999999999</v>
      </c>
      <c r="AB493">
        <f t="shared" ca="1" si="166"/>
        <v>0</v>
      </c>
      <c r="AC493">
        <f t="shared" ca="1" si="167"/>
        <v>0</v>
      </c>
      <c r="AD493">
        <f t="shared" ca="1" si="168"/>
        <v>0</v>
      </c>
      <c r="AE493">
        <f t="shared" ca="1" si="169"/>
        <v>0</v>
      </c>
      <c r="AF493">
        <f t="shared" ca="1" si="170"/>
        <v>0</v>
      </c>
      <c r="AG493">
        <f t="shared" ca="1" si="171"/>
        <v>0</v>
      </c>
      <c r="AH493">
        <f t="shared" ca="1" si="172"/>
        <v>0</v>
      </c>
      <c r="AI493">
        <f t="shared" ca="1" si="173"/>
        <v>0</v>
      </c>
      <c r="AJ493">
        <f t="shared" ca="1" si="174"/>
        <v>0</v>
      </c>
      <c r="AK493">
        <f t="shared" ca="1" si="175"/>
        <v>0</v>
      </c>
      <c r="AL493">
        <f t="shared" ca="1" si="176"/>
        <v>0</v>
      </c>
      <c r="AM493">
        <f t="shared" ca="1" si="177"/>
        <v>0</v>
      </c>
      <c r="AN493">
        <f t="shared" ca="1" si="178"/>
        <v>0</v>
      </c>
      <c r="AO493">
        <f t="shared" ca="1" si="179"/>
        <v>0</v>
      </c>
      <c r="AP493">
        <f t="shared" ca="1" si="180"/>
        <v>0</v>
      </c>
    </row>
    <row r="494" spans="1:42" x14ac:dyDescent="0.2">
      <c r="A494" s="2" t="s">
        <v>528</v>
      </c>
      <c r="B494" s="2" t="str">
        <f>VLOOKUP(A494,'[14]Calculated coal req (reg.)'!$A$2:$B$599,2,FALSE)</f>
        <v>TALCHER (OLD) TPS</v>
      </c>
      <c r="C494" s="2">
        <v>1.3068052492186999</v>
      </c>
      <c r="D494" s="2"/>
      <c r="H494" t="s">
        <v>905</v>
      </c>
      <c r="I494">
        <f t="shared" ca="1" si="147"/>
        <v>0</v>
      </c>
      <c r="J494">
        <f t="shared" ca="1" si="148"/>
        <v>0</v>
      </c>
      <c r="K494">
        <f t="shared" ca="1" si="149"/>
        <v>0</v>
      </c>
      <c r="L494">
        <f t="shared" ca="1" si="150"/>
        <v>0</v>
      </c>
      <c r="M494">
        <f t="shared" ca="1" si="151"/>
        <v>0</v>
      </c>
      <c r="N494">
        <f t="shared" ca="1" si="152"/>
        <v>0</v>
      </c>
      <c r="O494">
        <f t="shared" ca="1" si="153"/>
        <v>0</v>
      </c>
      <c r="P494">
        <f t="shared" ca="1" si="154"/>
        <v>0</v>
      </c>
      <c r="Q494">
        <f t="shared" ca="1" si="155"/>
        <v>0</v>
      </c>
      <c r="R494">
        <f t="shared" ca="1" si="156"/>
        <v>0</v>
      </c>
      <c r="S494">
        <f t="shared" ca="1" si="157"/>
        <v>0</v>
      </c>
      <c r="T494">
        <f t="shared" ca="1" si="158"/>
        <v>0</v>
      </c>
      <c r="U494">
        <f t="shared" ca="1" si="159"/>
        <v>0</v>
      </c>
      <c r="V494">
        <f t="shared" ca="1" si="160"/>
        <v>0</v>
      </c>
      <c r="W494">
        <f t="shared" ca="1" si="161"/>
        <v>0</v>
      </c>
      <c r="X494">
        <f t="shared" ca="1" si="162"/>
        <v>0</v>
      </c>
      <c r="Y494">
        <f t="shared" ca="1" si="163"/>
        <v>0</v>
      </c>
      <c r="Z494">
        <f t="shared" ca="1" si="164"/>
        <v>0</v>
      </c>
      <c r="AA494">
        <f t="shared" ca="1" si="165"/>
        <v>0</v>
      </c>
      <c r="AB494">
        <f t="shared" ca="1" si="166"/>
        <v>0</v>
      </c>
      <c r="AC494">
        <f t="shared" ca="1" si="167"/>
        <v>0</v>
      </c>
      <c r="AD494">
        <f t="shared" ca="1" si="168"/>
        <v>0</v>
      </c>
      <c r="AE494">
        <f t="shared" ca="1" si="169"/>
        <v>0</v>
      </c>
      <c r="AF494">
        <f t="shared" ca="1" si="170"/>
        <v>0</v>
      </c>
      <c r="AG494">
        <f t="shared" ca="1" si="171"/>
        <v>0</v>
      </c>
      <c r="AH494">
        <f t="shared" ca="1" si="172"/>
        <v>0</v>
      </c>
      <c r="AI494">
        <f t="shared" ca="1" si="173"/>
        <v>0</v>
      </c>
      <c r="AJ494">
        <f t="shared" ca="1" si="174"/>
        <v>0</v>
      </c>
      <c r="AK494">
        <f t="shared" ca="1" si="175"/>
        <v>0</v>
      </c>
      <c r="AL494">
        <f t="shared" ca="1" si="176"/>
        <v>0</v>
      </c>
      <c r="AM494">
        <f t="shared" ca="1" si="177"/>
        <v>0</v>
      </c>
      <c r="AN494">
        <f t="shared" ca="1" si="178"/>
        <v>0</v>
      </c>
      <c r="AO494">
        <f t="shared" ca="1" si="179"/>
        <v>0</v>
      </c>
      <c r="AP494">
        <f t="shared" ca="1" si="180"/>
        <v>0</v>
      </c>
    </row>
    <row r="495" spans="1:42" x14ac:dyDescent="0.2">
      <c r="A495" s="2" t="s">
        <v>527</v>
      </c>
      <c r="B495" s="2" t="str">
        <f>VLOOKUP(A495,'[14]Calculated coal req (reg.)'!$A$2:$B$599,2,FALSE)</f>
        <v>TALCHER (OLD) TPS</v>
      </c>
      <c r="C495" s="2">
        <v>1.26247883362466</v>
      </c>
      <c r="D495" s="2"/>
      <c r="H495" t="s">
        <v>1099</v>
      </c>
      <c r="I495">
        <f t="shared" ca="1" si="147"/>
        <v>0</v>
      </c>
      <c r="J495">
        <f t="shared" ca="1" si="148"/>
        <v>0</v>
      </c>
      <c r="K495">
        <f t="shared" ca="1" si="149"/>
        <v>0</v>
      </c>
      <c r="L495">
        <f t="shared" ca="1" si="150"/>
        <v>0</v>
      </c>
      <c r="M495">
        <f t="shared" ca="1" si="151"/>
        <v>0</v>
      </c>
      <c r="N495">
        <f t="shared" ca="1" si="152"/>
        <v>0</v>
      </c>
      <c r="O495">
        <f t="shared" ca="1" si="153"/>
        <v>0</v>
      </c>
      <c r="P495">
        <f t="shared" ca="1" si="154"/>
        <v>0</v>
      </c>
      <c r="Q495">
        <f t="shared" ca="1" si="155"/>
        <v>0</v>
      </c>
      <c r="R495">
        <f t="shared" ca="1" si="156"/>
        <v>0</v>
      </c>
      <c r="S495">
        <f t="shared" ca="1" si="157"/>
        <v>0</v>
      </c>
      <c r="T495">
        <f t="shared" ca="1" si="158"/>
        <v>0</v>
      </c>
      <c r="U495">
        <f t="shared" ca="1" si="159"/>
        <v>0</v>
      </c>
      <c r="V495">
        <f t="shared" ca="1" si="160"/>
        <v>0</v>
      </c>
      <c r="W495">
        <f t="shared" ca="1" si="161"/>
        <v>0</v>
      </c>
      <c r="X495">
        <f t="shared" ca="1" si="162"/>
        <v>0</v>
      </c>
      <c r="Y495">
        <f t="shared" ca="1" si="163"/>
        <v>0</v>
      </c>
      <c r="Z495">
        <f t="shared" ca="1" si="164"/>
        <v>0</v>
      </c>
      <c r="AA495">
        <f t="shared" ca="1" si="165"/>
        <v>0</v>
      </c>
      <c r="AB495">
        <f t="shared" ca="1" si="166"/>
        <v>0</v>
      </c>
      <c r="AC495">
        <f t="shared" ca="1" si="167"/>
        <v>0</v>
      </c>
      <c r="AD495">
        <f t="shared" ca="1" si="168"/>
        <v>0</v>
      </c>
      <c r="AE495">
        <f t="shared" ca="1" si="169"/>
        <v>0</v>
      </c>
      <c r="AF495">
        <f t="shared" ca="1" si="170"/>
        <v>0</v>
      </c>
      <c r="AG495">
        <f t="shared" ca="1" si="171"/>
        <v>0</v>
      </c>
      <c r="AH495">
        <f t="shared" ca="1" si="172"/>
        <v>0</v>
      </c>
      <c r="AI495">
        <f t="shared" ca="1" si="173"/>
        <v>5.91</v>
      </c>
      <c r="AJ495">
        <f t="shared" ca="1" si="174"/>
        <v>0</v>
      </c>
      <c r="AK495">
        <f t="shared" ca="1" si="175"/>
        <v>0</v>
      </c>
      <c r="AL495">
        <f t="shared" ca="1" si="176"/>
        <v>0</v>
      </c>
      <c r="AM495">
        <f t="shared" ca="1" si="177"/>
        <v>0</v>
      </c>
      <c r="AN495">
        <f t="shared" ca="1" si="178"/>
        <v>0</v>
      </c>
      <c r="AO495">
        <f t="shared" ca="1" si="179"/>
        <v>0</v>
      </c>
      <c r="AP495">
        <f t="shared" ca="1" si="180"/>
        <v>0</v>
      </c>
    </row>
    <row r="496" spans="1:42" x14ac:dyDescent="0.2">
      <c r="A496" s="2" t="s">
        <v>526</v>
      </c>
      <c r="B496" s="2" t="str">
        <f>VLOOKUP(A496,'[14]Calculated coal req (reg.)'!$A$2:$B$599,2,FALSE)</f>
        <v>TALCHER (OLD) TPS</v>
      </c>
      <c r="C496" s="2">
        <v>2.11222231315217</v>
      </c>
      <c r="D496" s="2"/>
      <c r="H496" t="s">
        <v>993</v>
      </c>
      <c r="I496">
        <f t="shared" ca="1" si="147"/>
        <v>0</v>
      </c>
      <c r="J496">
        <f t="shared" ca="1" si="148"/>
        <v>0</v>
      </c>
      <c r="K496">
        <f t="shared" ca="1" si="149"/>
        <v>0</v>
      </c>
      <c r="L496">
        <f t="shared" ca="1" si="150"/>
        <v>0</v>
      </c>
      <c r="M496">
        <f t="shared" ca="1" si="151"/>
        <v>0</v>
      </c>
      <c r="N496">
        <f t="shared" ca="1" si="152"/>
        <v>0</v>
      </c>
      <c r="O496">
        <f t="shared" ca="1" si="153"/>
        <v>0</v>
      </c>
      <c r="P496">
        <f t="shared" ca="1" si="154"/>
        <v>0</v>
      </c>
      <c r="Q496">
        <f t="shared" ca="1" si="155"/>
        <v>0</v>
      </c>
      <c r="R496">
        <f t="shared" ca="1" si="156"/>
        <v>0</v>
      </c>
      <c r="S496">
        <f t="shared" ca="1" si="157"/>
        <v>0</v>
      </c>
      <c r="T496">
        <f t="shared" ca="1" si="158"/>
        <v>0</v>
      </c>
      <c r="U496">
        <f t="shared" ca="1" si="159"/>
        <v>0</v>
      </c>
      <c r="V496">
        <f t="shared" ca="1" si="160"/>
        <v>0</v>
      </c>
      <c r="W496">
        <f t="shared" ca="1" si="161"/>
        <v>0</v>
      </c>
      <c r="X496">
        <f t="shared" ca="1" si="162"/>
        <v>0</v>
      </c>
      <c r="Y496">
        <f t="shared" ca="1" si="163"/>
        <v>0</v>
      </c>
      <c r="Z496">
        <f t="shared" ca="1" si="164"/>
        <v>0</v>
      </c>
      <c r="AA496">
        <f t="shared" ca="1" si="165"/>
        <v>0</v>
      </c>
      <c r="AB496">
        <f t="shared" ca="1" si="166"/>
        <v>0</v>
      </c>
      <c r="AC496">
        <f t="shared" ca="1" si="167"/>
        <v>0</v>
      </c>
      <c r="AD496">
        <f t="shared" ca="1" si="168"/>
        <v>0</v>
      </c>
      <c r="AE496">
        <f t="shared" ca="1" si="169"/>
        <v>0</v>
      </c>
      <c r="AF496">
        <f t="shared" ca="1" si="170"/>
        <v>0</v>
      </c>
      <c r="AG496">
        <f t="shared" ca="1" si="171"/>
        <v>0</v>
      </c>
      <c r="AH496">
        <f t="shared" ca="1" si="172"/>
        <v>0</v>
      </c>
      <c r="AI496">
        <f t="shared" ca="1" si="173"/>
        <v>13.464</v>
      </c>
      <c r="AJ496">
        <f t="shared" ca="1" si="174"/>
        <v>0</v>
      </c>
      <c r="AK496">
        <f t="shared" ca="1" si="175"/>
        <v>0</v>
      </c>
      <c r="AL496">
        <f t="shared" ca="1" si="176"/>
        <v>0</v>
      </c>
      <c r="AM496">
        <f t="shared" ca="1" si="177"/>
        <v>0</v>
      </c>
      <c r="AN496">
        <f t="shared" ca="1" si="178"/>
        <v>0</v>
      </c>
      <c r="AO496">
        <f t="shared" ca="1" si="179"/>
        <v>0</v>
      </c>
      <c r="AP496">
        <f t="shared" ca="1" si="180"/>
        <v>0</v>
      </c>
    </row>
    <row r="497" spans="1:42" x14ac:dyDescent="0.2">
      <c r="A497" s="2" t="s">
        <v>525</v>
      </c>
      <c r="B497" s="2" t="str">
        <f>VLOOKUP(A497,'[14]Calculated coal req (reg.)'!$A$2:$B$599,2,FALSE)</f>
        <v>TALCHER (OLD) TPS</v>
      </c>
      <c r="C497" s="2">
        <v>2.3337168423468699</v>
      </c>
      <c r="D497" s="2"/>
      <c r="H497" t="s">
        <v>988</v>
      </c>
      <c r="I497">
        <f t="shared" ca="1" si="147"/>
        <v>0</v>
      </c>
      <c r="J497">
        <f t="shared" ca="1" si="148"/>
        <v>0</v>
      </c>
      <c r="K497">
        <f t="shared" ca="1" si="149"/>
        <v>0</v>
      </c>
      <c r="L497">
        <f t="shared" ca="1" si="150"/>
        <v>0</v>
      </c>
      <c r="M497">
        <f t="shared" ca="1" si="151"/>
        <v>0</v>
      </c>
      <c r="N497">
        <f t="shared" ca="1" si="152"/>
        <v>0</v>
      </c>
      <c r="O497">
        <f t="shared" ca="1" si="153"/>
        <v>0</v>
      </c>
      <c r="P497">
        <f t="shared" ca="1" si="154"/>
        <v>0</v>
      </c>
      <c r="Q497">
        <f t="shared" ca="1" si="155"/>
        <v>0</v>
      </c>
      <c r="R497">
        <f t="shared" ca="1" si="156"/>
        <v>0</v>
      </c>
      <c r="S497">
        <f t="shared" ca="1" si="157"/>
        <v>0</v>
      </c>
      <c r="T497">
        <f t="shared" ca="1" si="158"/>
        <v>0</v>
      </c>
      <c r="U497">
        <f t="shared" ca="1" si="159"/>
        <v>0</v>
      </c>
      <c r="V497">
        <f t="shared" ca="1" si="160"/>
        <v>0</v>
      </c>
      <c r="W497">
        <f t="shared" ca="1" si="161"/>
        <v>0</v>
      </c>
      <c r="X497">
        <f t="shared" ca="1" si="162"/>
        <v>0</v>
      </c>
      <c r="Y497">
        <f t="shared" ca="1" si="163"/>
        <v>0</v>
      </c>
      <c r="Z497">
        <f t="shared" ca="1" si="164"/>
        <v>0</v>
      </c>
      <c r="AA497">
        <f t="shared" ca="1" si="165"/>
        <v>0</v>
      </c>
      <c r="AB497">
        <f t="shared" ca="1" si="166"/>
        <v>0</v>
      </c>
      <c r="AC497">
        <f t="shared" ca="1" si="167"/>
        <v>0</v>
      </c>
      <c r="AD497">
        <f t="shared" ca="1" si="168"/>
        <v>0</v>
      </c>
      <c r="AE497">
        <f t="shared" ca="1" si="169"/>
        <v>0</v>
      </c>
      <c r="AF497">
        <f t="shared" ca="1" si="170"/>
        <v>0</v>
      </c>
      <c r="AG497">
        <f t="shared" ca="1" si="171"/>
        <v>0</v>
      </c>
      <c r="AH497">
        <f t="shared" ca="1" si="172"/>
        <v>0</v>
      </c>
      <c r="AI497">
        <f t="shared" ca="1" si="173"/>
        <v>13.464</v>
      </c>
      <c r="AJ497">
        <f t="shared" ca="1" si="174"/>
        <v>0</v>
      </c>
      <c r="AK497">
        <f t="shared" ca="1" si="175"/>
        <v>0</v>
      </c>
      <c r="AL497">
        <f t="shared" ca="1" si="176"/>
        <v>0</v>
      </c>
      <c r="AM497">
        <f t="shared" ca="1" si="177"/>
        <v>0</v>
      </c>
      <c r="AN497">
        <f t="shared" ca="1" si="178"/>
        <v>0</v>
      </c>
      <c r="AO497">
        <f t="shared" ca="1" si="179"/>
        <v>0</v>
      </c>
      <c r="AP497">
        <f t="shared" ca="1" si="180"/>
        <v>0</v>
      </c>
    </row>
    <row r="498" spans="1:42" x14ac:dyDescent="0.2">
      <c r="A498" s="2" t="s">
        <v>478</v>
      </c>
      <c r="B498" s="2" t="str">
        <f>VLOOKUP(A498,'[14]Calculated coal req (reg.)'!$A$2:$B$599,2,FALSE)</f>
        <v>TANDA STPS UNIT 1-4</v>
      </c>
      <c r="C498" s="2">
        <v>1.7730571357946201</v>
      </c>
      <c r="D498" s="2"/>
      <c r="H498" t="s">
        <v>1117</v>
      </c>
      <c r="I498">
        <f t="shared" ca="1" si="147"/>
        <v>0</v>
      </c>
      <c r="J498">
        <f t="shared" ca="1" si="148"/>
        <v>0</v>
      </c>
      <c r="K498">
        <f t="shared" ca="1" si="149"/>
        <v>0</v>
      </c>
      <c r="L498">
        <f t="shared" ca="1" si="150"/>
        <v>0</v>
      </c>
      <c r="M498">
        <f t="shared" ca="1" si="151"/>
        <v>0</v>
      </c>
      <c r="N498">
        <f t="shared" ca="1" si="152"/>
        <v>0</v>
      </c>
      <c r="O498">
        <f t="shared" ca="1" si="153"/>
        <v>0</v>
      </c>
      <c r="P498">
        <f t="shared" ca="1" si="154"/>
        <v>0</v>
      </c>
      <c r="Q498">
        <f t="shared" ca="1" si="155"/>
        <v>0</v>
      </c>
      <c r="R498">
        <f t="shared" ca="1" si="156"/>
        <v>0</v>
      </c>
      <c r="S498">
        <f t="shared" ca="1" si="157"/>
        <v>0</v>
      </c>
      <c r="T498">
        <f t="shared" ca="1" si="158"/>
        <v>0</v>
      </c>
      <c r="U498">
        <f t="shared" ca="1" si="159"/>
        <v>0</v>
      </c>
      <c r="V498">
        <f t="shared" ca="1" si="160"/>
        <v>0</v>
      </c>
      <c r="W498">
        <f t="shared" ca="1" si="161"/>
        <v>0</v>
      </c>
      <c r="X498">
        <f t="shared" ca="1" si="162"/>
        <v>0</v>
      </c>
      <c r="Y498">
        <f t="shared" ca="1" si="163"/>
        <v>0</v>
      </c>
      <c r="Z498">
        <f t="shared" ca="1" si="164"/>
        <v>0</v>
      </c>
      <c r="AA498">
        <f t="shared" ca="1" si="165"/>
        <v>0</v>
      </c>
      <c r="AB498">
        <f t="shared" ca="1" si="166"/>
        <v>0</v>
      </c>
      <c r="AC498">
        <f t="shared" ca="1" si="167"/>
        <v>0</v>
      </c>
      <c r="AD498">
        <f t="shared" ca="1" si="168"/>
        <v>0</v>
      </c>
      <c r="AE498">
        <f t="shared" ca="1" si="169"/>
        <v>0</v>
      </c>
      <c r="AF498">
        <f t="shared" ca="1" si="170"/>
        <v>0</v>
      </c>
      <c r="AG498">
        <f t="shared" ca="1" si="171"/>
        <v>0</v>
      </c>
      <c r="AH498">
        <f t="shared" ca="1" si="172"/>
        <v>0</v>
      </c>
      <c r="AI498">
        <f t="shared" ca="1" si="173"/>
        <v>0</v>
      </c>
      <c r="AJ498">
        <f t="shared" ca="1" si="174"/>
        <v>0</v>
      </c>
      <c r="AK498">
        <f t="shared" ca="1" si="175"/>
        <v>0</v>
      </c>
      <c r="AL498">
        <f t="shared" ca="1" si="176"/>
        <v>0</v>
      </c>
      <c r="AM498">
        <f t="shared" ca="1" si="177"/>
        <v>0</v>
      </c>
      <c r="AN498">
        <f t="shared" ca="1" si="178"/>
        <v>0</v>
      </c>
      <c r="AO498">
        <f t="shared" ca="1" si="179"/>
        <v>0</v>
      </c>
      <c r="AP498">
        <f t="shared" ca="1" si="180"/>
        <v>0</v>
      </c>
    </row>
    <row r="499" spans="1:42" x14ac:dyDescent="0.2">
      <c r="A499" s="2" t="s">
        <v>468</v>
      </c>
      <c r="B499" s="2" t="str">
        <f>VLOOKUP(A499,'[14]Calculated coal req (reg.)'!$A$2:$B$599,2,FALSE)</f>
        <v>TANDA STPS UNIT 1-4</v>
      </c>
      <c r="C499" s="2">
        <v>1.74970229850883</v>
      </c>
      <c r="D499" s="2"/>
      <c r="H499" t="s">
        <v>1054</v>
      </c>
      <c r="I499">
        <f t="shared" ca="1" si="147"/>
        <v>0</v>
      </c>
      <c r="J499">
        <f t="shared" ca="1" si="148"/>
        <v>0</v>
      </c>
      <c r="K499">
        <f t="shared" ca="1" si="149"/>
        <v>0</v>
      </c>
      <c r="L499">
        <f t="shared" ca="1" si="150"/>
        <v>0</v>
      </c>
      <c r="M499">
        <f t="shared" ca="1" si="151"/>
        <v>3.6508464645833389E-3</v>
      </c>
      <c r="N499">
        <f t="shared" ca="1" si="152"/>
        <v>0</v>
      </c>
      <c r="O499">
        <f t="shared" ca="1" si="153"/>
        <v>0</v>
      </c>
      <c r="P499">
        <f t="shared" ca="1" si="154"/>
        <v>0</v>
      </c>
      <c r="Q499">
        <f t="shared" ca="1" si="155"/>
        <v>15.808032827474964</v>
      </c>
      <c r="R499">
        <f t="shared" ca="1" si="156"/>
        <v>0</v>
      </c>
      <c r="S499">
        <f t="shared" ca="1" si="157"/>
        <v>0</v>
      </c>
      <c r="T499">
        <f t="shared" ca="1" si="158"/>
        <v>0</v>
      </c>
      <c r="U499">
        <f t="shared" ca="1" si="159"/>
        <v>0.41833320281181741</v>
      </c>
      <c r="V499">
        <f t="shared" ca="1" si="160"/>
        <v>6.1681748776474532E-2</v>
      </c>
      <c r="W499">
        <f t="shared" ca="1" si="161"/>
        <v>0</v>
      </c>
      <c r="X499">
        <f t="shared" ca="1" si="162"/>
        <v>0</v>
      </c>
      <c r="Y499">
        <f t="shared" ca="1" si="163"/>
        <v>0</v>
      </c>
      <c r="Z499">
        <f t="shared" ca="1" si="164"/>
        <v>0</v>
      </c>
      <c r="AA499">
        <f t="shared" ca="1" si="165"/>
        <v>0</v>
      </c>
      <c r="AB499">
        <f t="shared" ca="1" si="166"/>
        <v>0</v>
      </c>
      <c r="AC499">
        <f t="shared" ca="1" si="167"/>
        <v>0</v>
      </c>
      <c r="AD499">
        <f t="shared" ca="1" si="168"/>
        <v>0</v>
      </c>
      <c r="AE499">
        <f t="shared" ca="1" si="169"/>
        <v>0</v>
      </c>
      <c r="AF499">
        <f t="shared" ca="1" si="170"/>
        <v>0</v>
      </c>
      <c r="AG499">
        <f t="shared" ca="1" si="171"/>
        <v>0</v>
      </c>
      <c r="AH499">
        <f t="shared" ca="1" si="172"/>
        <v>0.14760541007050568</v>
      </c>
      <c r="AI499">
        <f t="shared" ca="1" si="173"/>
        <v>1.1206546342883037</v>
      </c>
      <c r="AJ499">
        <f t="shared" ca="1" si="174"/>
        <v>0</v>
      </c>
      <c r="AK499">
        <f t="shared" ca="1" si="175"/>
        <v>0</v>
      </c>
      <c r="AL499">
        <f t="shared" ca="1" si="176"/>
        <v>0</v>
      </c>
      <c r="AM499">
        <f t="shared" ca="1" si="177"/>
        <v>0</v>
      </c>
      <c r="AN499">
        <f t="shared" ca="1" si="178"/>
        <v>1.7654292712970938</v>
      </c>
      <c r="AO499">
        <f t="shared" ca="1" si="179"/>
        <v>7.8612058816260072E-2</v>
      </c>
      <c r="AP499">
        <f t="shared" ca="1" si="180"/>
        <v>0</v>
      </c>
    </row>
    <row r="500" spans="1:42" x14ac:dyDescent="0.2">
      <c r="A500" s="2" t="s">
        <v>461</v>
      </c>
      <c r="B500" s="2" t="str">
        <f>VLOOKUP(A500,'[14]Calculated coal req (reg.)'!$A$2:$B$599,2,FALSE)</f>
        <v>TANDA STPS UNIT 1-4</v>
      </c>
      <c r="C500" s="2">
        <v>1.70559766441292</v>
      </c>
      <c r="D500" s="2"/>
      <c r="H500" t="s">
        <v>1118</v>
      </c>
      <c r="I500">
        <f t="shared" ca="1" si="147"/>
        <v>0</v>
      </c>
      <c r="J500">
        <f t="shared" ca="1" si="148"/>
        <v>0</v>
      </c>
      <c r="K500">
        <f t="shared" ca="1" si="149"/>
        <v>0</v>
      </c>
      <c r="L500">
        <f t="shared" ca="1" si="150"/>
        <v>0</v>
      </c>
      <c r="M500">
        <f t="shared" ca="1" si="151"/>
        <v>0</v>
      </c>
      <c r="N500">
        <f t="shared" ca="1" si="152"/>
        <v>0</v>
      </c>
      <c r="O500">
        <f t="shared" ca="1" si="153"/>
        <v>0</v>
      </c>
      <c r="P500">
        <f t="shared" ca="1" si="154"/>
        <v>0</v>
      </c>
      <c r="Q500">
        <f t="shared" ca="1" si="155"/>
        <v>0</v>
      </c>
      <c r="R500">
        <f t="shared" ca="1" si="156"/>
        <v>0</v>
      </c>
      <c r="S500">
        <f t="shared" ca="1" si="157"/>
        <v>0</v>
      </c>
      <c r="T500">
        <f t="shared" ca="1" si="158"/>
        <v>0</v>
      </c>
      <c r="U500">
        <f t="shared" ca="1" si="159"/>
        <v>0</v>
      </c>
      <c r="V500">
        <f t="shared" ca="1" si="160"/>
        <v>0</v>
      </c>
      <c r="W500">
        <f t="shared" ca="1" si="161"/>
        <v>0</v>
      </c>
      <c r="X500">
        <f t="shared" ca="1" si="162"/>
        <v>0</v>
      </c>
      <c r="Y500">
        <f t="shared" ca="1" si="163"/>
        <v>0</v>
      </c>
      <c r="Z500">
        <f t="shared" ca="1" si="164"/>
        <v>0</v>
      </c>
      <c r="AA500">
        <f t="shared" ca="1" si="165"/>
        <v>0</v>
      </c>
      <c r="AB500">
        <f t="shared" ca="1" si="166"/>
        <v>0</v>
      </c>
      <c r="AC500">
        <f t="shared" ca="1" si="167"/>
        <v>0</v>
      </c>
      <c r="AD500">
        <f t="shared" ca="1" si="168"/>
        <v>0</v>
      </c>
      <c r="AE500">
        <f t="shared" ca="1" si="169"/>
        <v>0</v>
      </c>
      <c r="AF500">
        <f t="shared" ca="1" si="170"/>
        <v>0</v>
      </c>
      <c r="AG500">
        <f t="shared" ca="1" si="171"/>
        <v>0</v>
      </c>
      <c r="AH500">
        <f t="shared" ca="1" si="172"/>
        <v>0</v>
      </c>
      <c r="AI500">
        <f t="shared" ca="1" si="173"/>
        <v>0</v>
      </c>
      <c r="AJ500">
        <f t="shared" ca="1" si="174"/>
        <v>0</v>
      </c>
      <c r="AK500">
        <f t="shared" ca="1" si="175"/>
        <v>0</v>
      </c>
      <c r="AL500">
        <f t="shared" ca="1" si="176"/>
        <v>0</v>
      </c>
      <c r="AM500">
        <f t="shared" ca="1" si="177"/>
        <v>0</v>
      </c>
      <c r="AN500">
        <f t="shared" ca="1" si="178"/>
        <v>0</v>
      </c>
      <c r="AO500">
        <f t="shared" ca="1" si="179"/>
        <v>0</v>
      </c>
      <c r="AP500">
        <f t="shared" ca="1" si="180"/>
        <v>0</v>
      </c>
    </row>
    <row r="501" spans="1:42" x14ac:dyDescent="0.2">
      <c r="A501" s="2" t="s">
        <v>410</v>
      </c>
      <c r="B501" s="2" t="str">
        <f>VLOOKUP(A501,'[14]Calculated coal req (reg.)'!$A$2:$B$599,2,FALSE)</f>
        <v>TANDA STPS UNIT 1-4</v>
      </c>
      <c r="C501" s="2">
        <v>1.75241982008227</v>
      </c>
      <c r="D501" s="2"/>
      <c r="H501" t="s">
        <v>982</v>
      </c>
      <c r="I501">
        <f t="shared" ca="1" si="147"/>
        <v>32.64</v>
      </c>
      <c r="J501">
        <f t="shared" ca="1" si="148"/>
        <v>0</v>
      </c>
      <c r="K501">
        <f t="shared" ca="1" si="149"/>
        <v>0</v>
      </c>
      <c r="L501">
        <f t="shared" ca="1" si="150"/>
        <v>0</v>
      </c>
      <c r="M501">
        <f t="shared" ca="1" si="151"/>
        <v>0</v>
      </c>
      <c r="N501">
        <f t="shared" ca="1" si="152"/>
        <v>0</v>
      </c>
      <c r="O501">
        <f t="shared" ca="1" si="153"/>
        <v>0</v>
      </c>
      <c r="P501">
        <f t="shared" ca="1" si="154"/>
        <v>0</v>
      </c>
      <c r="Q501">
        <f t="shared" ca="1" si="155"/>
        <v>0</v>
      </c>
      <c r="R501">
        <f t="shared" ca="1" si="156"/>
        <v>0</v>
      </c>
      <c r="S501">
        <f t="shared" ca="1" si="157"/>
        <v>0</v>
      </c>
      <c r="T501">
        <f t="shared" ca="1" si="158"/>
        <v>0</v>
      </c>
      <c r="U501">
        <f t="shared" ca="1" si="159"/>
        <v>0</v>
      </c>
      <c r="V501">
        <f t="shared" ca="1" si="160"/>
        <v>0</v>
      </c>
      <c r="W501">
        <f t="shared" ca="1" si="161"/>
        <v>0</v>
      </c>
      <c r="X501">
        <f t="shared" ca="1" si="162"/>
        <v>0</v>
      </c>
      <c r="Y501">
        <f t="shared" ca="1" si="163"/>
        <v>0</v>
      </c>
      <c r="Z501">
        <f t="shared" ca="1" si="164"/>
        <v>0</v>
      </c>
      <c r="AA501">
        <f t="shared" ca="1" si="165"/>
        <v>0</v>
      </c>
      <c r="AB501">
        <f t="shared" ca="1" si="166"/>
        <v>0</v>
      </c>
      <c r="AC501">
        <f t="shared" ca="1" si="167"/>
        <v>0</v>
      </c>
      <c r="AD501">
        <f t="shared" ca="1" si="168"/>
        <v>0</v>
      </c>
      <c r="AE501">
        <f t="shared" ca="1" si="169"/>
        <v>0</v>
      </c>
      <c r="AF501">
        <f t="shared" ca="1" si="170"/>
        <v>0</v>
      </c>
      <c r="AG501">
        <f t="shared" ca="1" si="171"/>
        <v>0</v>
      </c>
      <c r="AH501">
        <f t="shared" ca="1" si="172"/>
        <v>0</v>
      </c>
      <c r="AI501">
        <f t="shared" ca="1" si="173"/>
        <v>0</v>
      </c>
      <c r="AJ501">
        <f t="shared" ca="1" si="174"/>
        <v>0</v>
      </c>
      <c r="AK501">
        <f t="shared" ca="1" si="175"/>
        <v>0</v>
      </c>
      <c r="AL501">
        <f t="shared" ca="1" si="176"/>
        <v>0</v>
      </c>
      <c r="AM501">
        <f t="shared" ca="1" si="177"/>
        <v>0</v>
      </c>
      <c r="AN501">
        <f t="shared" ca="1" si="178"/>
        <v>0</v>
      </c>
      <c r="AO501">
        <f t="shared" ca="1" si="179"/>
        <v>0</v>
      </c>
      <c r="AP501">
        <f t="shared" ca="1" si="180"/>
        <v>0</v>
      </c>
    </row>
    <row r="502" spans="1:42" x14ac:dyDescent="0.2">
      <c r="A502" s="2" t="s">
        <v>392</v>
      </c>
      <c r="B502" s="2" t="str">
        <f>VLOOKUP(A502,'[14]Calculated coal req (reg.)'!$A$2:$B$599,2,FALSE)</f>
        <v>TENUGHAT TPS</v>
      </c>
      <c r="C502" s="2">
        <v>2.60289346451966</v>
      </c>
      <c r="D502" s="2"/>
      <c r="H502" t="s">
        <v>975</v>
      </c>
      <c r="I502">
        <f t="shared" ca="1" si="147"/>
        <v>0</v>
      </c>
      <c r="J502">
        <f t="shared" ca="1" si="148"/>
        <v>0</v>
      </c>
      <c r="K502">
        <f t="shared" ca="1" si="149"/>
        <v>0</v>
      </c>
      <c r="L502">
        <f t="shared" ca="1" si="150"/>
        <v>0</v>
      </c>
      <c r="M502">
        <f t="shared" ca="1" si="151"/>
        <v>0</v>
      </c>
      <c r="N502">
        <f t="shared" ca="1" si="152"/>
        <v>0</v>
      </c>
      <c r="O502">
        <f t="shared" ca="1" si="153"/>
        <v>0</v>
      </c>
      <c r="P502">
        <f t="shared" ca="1" si="154"/>
        <v>0</v>
      </c>
      <c r="Q502">
        <f t="shared" ca="1" si="155"/>
        <v>0</v>
      </c>
      <c r="R502">
        <f t="shared" ca="1" si="156"/>
        <v>0</v>
      </c>
      <c r="S502">
        <f t="shared" ca="1" si="157"/>
        <v>0</v>
      </c>
      <c r="T502">
        <f t="shared" ca="1" si="158"/>
        <v>0</v>
      </c>
      <c r="U502">
        <f t="shared" ca="1" si="159"/>
        <v>0</v>
      </c>
      <c r="V502">
        <f t="shared" ca="1" si="160"/>
        <v>0</v>
      </c>
      <c r="W502">
        <f t="shared" ca="1" si="161"/>
        <v>0</v>
      </c>
      <c r="X502">
        <f t="shared" ca="1" si="162"/>
        <v>0</v>
      </c>
      <c r="Y502">
        <f t="shared" ca="1" si="163"/>
        <v>0</v>
      </c>
      <c r="Z502">
        <f t="shared" ca="1" si="164"/>
        <v>0</v>
      </c>
      <c r="AA502">
        <f t="shared" ca="1" si="165"/>
        <v>0</v>
      </c>
      <c r="AB502">
        <f t="shared" ca="1" si="166"/>
        <v>0</v>
      </c>
      <c r="AC502">
        <f t="shared" ca="1" si="167"/>
        <v>0</v>
      </c>
      <c r="AD502">
        <f t="shared" ca="1" si="168"/>
        <v>0</v>
      </c>
      <c r="AE502">
        <f t="shared" ca="1" si="169"/>
        <v>0</v>
      </c>
      <c r="AF502">
        <f t="shared" ca="1" si="170"/>
        <v>0</v>
      </c>
      <c r="AG502">
        <f t="shared" ca="1" si="171"/>
        <v>0</v>
      </c>
      <c r="AH502">
        <f t="shared" ca="1" si="172"/>
        <v>0</v>
      </c>
      <c r="AI502">
        <f t="shared" ca="1" si="173"/>
        <v>0</v>
      </c>
      <c r="AJ502">
        <f t="shared" ca="1" si="174"/>
        <v>0</v>
      </c>
      <c r="AK502">
        <f t="shared" ca="1" si="175"/>
        <v>0</v>
      </c>
      <c r="AL502">
        <f t="shared" ca="1" si="176"/>
        <v>0</v>
      </c>
      <c r="AM502">
        <f t="shared" ca="1" si="177"/>
        <v>0</v>
      </c>
      <c r="AN502">
        <f t="shared" ca="1" si="178"/>
        <v>0</v>
      </c>
      <c r="AO502">
        <f t="shared" ca="1" si="179"/>
        <v>0</v>
      </c>
      <c r="AP502">
        <f t="shared" ca="1" si="180"/>
        <v>0</v>
      </c>
    </row>
    <row r="503" spans="1:42" x14ac:dyDescent="0.2">
      <c r="A503" s="2" t="s">
        <v>386</v>
      </c>
      <c r="B503" s="2" t="str">
        <f>VLOOKUP(A503,'[14]Calculated coal req (reg.)'!$A$2:$B$599,2,FALSE)</f>
        <v>TENUGHAT TPS</v>
      </c>
      <c r="C503" s="2">
        <v>3.1006005782438999</v>
      </c>
      <c r="D503" s="2"/>
      <c r="H503" t="s">
        <v>1017</v>
      </c>
      <c r="I503">
        <f t="shared" ca="1" si="147"/>
        <v>0</v>
      </c>
      <c r="J503">
        <f t="shared" ca="1" si="148"/>
        <v>0</v>
      </c>
      <c r="K503">
        <f t="shared" ca="1" si="149"/>
        <v>0</v>
      </c>
      <c r="L503">
        <f t="shared" ca="1" si="150"/>
        <v>0</v>
      </c>
      <c r="M503">
        <f t="shared" ca="1" si="151"/>
        <v>0</v>
      </c>
      <c r="N503">
        <f t="shared" ca="1" si="152"/>
        <v>0</v>
      </c>
      <c r="O503">
        <f t="shared" ca="1" si="153"/>
        <v>0</v>
      </c>
      <c r="P503">
        <f t="shared" ca="1" si="154"/>
        <v>0</v>
      </c>
      <c r="Q503">
        <f t="shared" ca="1" si="155"/>
        <v>0</v>
      </c>
      <c r="R503">
        <f t="shared" ca="1" si="156"/>
        <v>0</v>
      </c>
      <c r="S503">
        <f t="shared" ca="1" si="157"/>
        <v>0</v>
      </c>
      <c r="T503">
        <f t="shared" ca="1" si="158"/>
        <v>0</v>
      </c>
      <c r="U503">
        <f t="shared" ca="1" si="159"/>
        <v>0</v>
      </c>
      <c r="V503">
        <f t="shared" ca="1" si="160"/>
        <v>0</v>
      </c>
      <c r="W503">
        <f t="shared" ca="1" si="161"/>
        <v>0</v>
      </c>
      <c r="X503">
        <f t="shared" ca="1" si="162"/>
        <v>0</v>
      </c>
      <c r="Y503">
        <f t="shared" ca="1" si="163"/>
        <v>24.48</v>
      </c>
      <c r="Z503">
        <f t="shared" ca="1" si="164"/>
        <v>0</v>
      </c>
      <c r="AA503">
        <f t="shared" ca="1" si="165"/>
        <v>0</v>
      </c>
      <c r="AB503">
        <f t="shared" ca="1" si="166"/>
        <v>0</v>
      </c>
      <c r="AC503">
        <f t="shared" ca="1" si="167"/>
        <v>0</v>
      </c>
      <c r="AD503">
        <f t="shared" ca="1" si="168"/>
        <v>0</v>
      </c>
      <c r="AE503">
        <f t="shared" ca="1" si="169"/>
        <v>0</v>
      </c>
      <c r="AF503">
        <f t="shared" ca="1" si="170"/>
        <v>0</v>
      </c>
      <c r="AG503">
        <f t="shared" ca="1" si="171"/>
        <v>0</v>
      </c>
      <c r="AH503">
        <f t="shared" ca="1" si="172"/>
        <v>0</v>
      </c>
      <c r="AI503">
        <f t="shared" ca="1" si="173"/>
        <v>0</v>
      </c>
      <c r="AJ503">
        <f t="shared" ca="1" si="174"/>
        <v>0</v>
      </c>
      <c r="AK503">
        <f t="shared" ca="1" si="175"/>
        <v>0</v>
      </c>
      <c r="AL503">
        <f t="shared" ca="1" si="176"/>
        <v>0</v>
      </c>
      <c r="AM503">
        <f t="shared" ca="1" si="177"/>
        <v>0</v>
      </c>
      <c r="AN503">
        <f t="shared" ca="1" si="178"/>
        <v>0</v>
      </c>
      <c r="AO503">
        <f t="shared" ca="1" si="179"/>
        <v>0</v>
      </c>
      <c r="AP503">
        <f t="shared" ca="1" si="180"/>
        <v>0</v>
      </c>
    </row>
    <row r="504" spans="1:42" x14ac:dyDescent="0.2">
      <c r="A504" s="2" t="s">
        <v>298</v>
      </c>
      <c r="B504" s="2"/>
      <c r="C504" s="2">
        <v>0.118846038808552</v>
      </c>
      <c r="D504" s="2"/>
      <c r="H504" t="s">
        <v>1078</v>
      </c>
      <c r="I504">
        <f t="shared" ca="1" si="147"/>
        <v>0</v>
      </c>
      <c r="J504">
        <f t="shared" ca="1" si="148"/>
        <v>0</v>
      </c>
      <c r="K504">
        <f t="shared" ca="1" si="149"/>
        <v>0</v>
      </c>
      <c r="L504">
        <f t="shared" ca="1" si="150"/>
        <v>0</v>
      </c>
      <c r="M504">
        <f t="shared" ca="1" si="151"/>
        <v>0</v>
      </c>
      <c r="N504">
        <f t="shared" ca="1" si="152"/>
        <v>0</v>
      </c>
      <c r="O504">
        <f t="shared" ca="1" si="153"/>
        <v>0</v>
      </c>
      <c r="P504">
        <f t="shared" ca="1" si="154"/>
        <v>0</v>
      </c>
      <c r="Q504">
        <f t="shared" ca="1" si="155"/>
        <v>0</v>
      </c>
      <c r="R504">
        <f t="shared" ca="1" si="156"/>
        <v>0</v>
      </c>
      <c r="S504">
        <f t="shared" ca="1" si="157"/>
        <v>0</v>
      </c>
      <c r="T504">
        <f t="shared" ca="1" si="158"/>
        <v>0</v>
      </c>
      <c r="U504">
        <f t="shared" ca="1" si="159"/>
        <v>0</v>
      </c>
      <c r="V504">
        <f t="shared" ca="1" si="160"/>
        <v>0</v>
      </c>
      <c r="W504">
        <f t="shared" ca="1" si="161"/>
        <v>0</v>
      </c>
      <c r="X504">
        <f t="shared" ca="1" si="162"/>
        <v>0</v>
      </c>
      <c r="Y504">
        <f t="shared" ca="1" si="163"/>
        <v>0</v>
      </c>
      <c r="Z504">
        <f t="shared" ca="1" si="164"/>
        <v>0</v>
      </c>
      <c r="AA504">
        <f t="shared" ca="1" si="165"/>
        <v>0</v>
      </c>
      <c r="AB504">
        <f t="shared" ca="1" si="166"/>
        <v>0</v>
      </c>
      <c r="AC504">
        <f t="shared" ca="1" si="167"/>
        <v>0</v>
      </c>
      <c r="AD504">
        <f t="shared" ca="1" si="168"/>
        <v>0</v>
      </c>
      <c r="AE504">
        <f t="shared" ca="1" si="169"/>
        <v>0</v>
      </c>
      <c r="AF504">
        <f t="shared" ca="1" si="170"/>
        <v>0</v>
      </c>
      <c r="AG504">
        <f t="shared" ca="1" si="171"/>
        <v>0</v>
      </c>
      <c r="AH504">
        <f t="shared" ca="1" si="172"/>
        <v>0</v>
      </c>
      <c r="AI504">
        <f t="shared" ca="1" si="173"/>
        <v>0</v>
      </c>
      <c r="AJ504">
        <f t="shared" ca="1" si="174"/>
        <v>0</v>
      </c>
      <c r="AK504">
        <f t="shared" ca="1" si="175"/>
        <v>3.4893305812291184</v>
      </c>
      <c r="AL504">
        <f t="shared" ca="1" si="176"/>
        <v>0</v>
      </c>
      <c r="AM504">
        <f t="shared" ca="1" si="177"/>
        <v>0</v>
      </c>
      <c r="AN504">
        <f t="shared" ca="1" si="178"/>
        <v>6.1766694187708824</v>
      </c>
      <c r="AO504">
        <f t="shared" ca="1" si="179"/>
        <v>0</v>
      </c>
      <c r="AP504">
        <f t="shared" ca="1" si="180"/>
        <v>0</v>
      </c>
    </row>
    <row r="505" spans="1:42" x14ac:dyDescent="0.2">
      <c r="A505" s="2" t="s">
        <v>293</v>
      </c>
      <c r="B505" s="2"/>
      <c r="C505" s="2">
        <v>0.19324291187739401</v>
      </c>
      <c r="D505" s="2"/>
      <c r="H505" t="s">
        <v>1119</v>
      </c>
      <c r="I505">
        <f t="shared" ca="1" si="147"/>
        <v>0</v>
      </c>
      <c r="J505">
        <f t="shared" ca="1" si="148"/>
        <v>0</v>
      </c>
      <c r="K505">
        <f t="shared" ca="1" si="149"/>
        <v>0</v>
      </c>
      <c r="L505">
        <f t="shared" ca="1" si="150"/>
        <v>0</v>
      </c>
      <c r="M505">
        <f t="shared" ca="1" si="151"/>
        <v>0</v>
      </c>
      <c r="N505">
        <f t="shared" ca="1" si="152"/>
        <v>0</v>
      </c>
      <c r="O505">
        <f t="shared" ca="1" si="153"/>
        <v>0</v>
      </c>
      <c r="P505">
        <f t="shared" ca="1" si="154"/>
        <v>0</v>
      </c>
      <c r="Q505">
        <f t="shared" ca="1" si="155"/>
        <v>0</v>
      </c>
      <c r="R505">
        <f t="shared" ca="1" si="156"/>
        <v>0</v>
      </c>
      <c r="S505">
        <f t="shared" ca="1" si="157"/>
        <v>0</v>
      </c>
      <c r="T505">
        <f t="shared" ca="1" si="158"/>
        <v>0</v>
      </c>
      <c r="U505">
        <f t="shared" ca="1" si="159"/>
        <v>0</v>
      </c>
      <c r="V505">
        <f t="shared" ca="1" si="160"/>
        <v>0</v>
      </c>
      <c r="W505">
        <f t="shared" ca="1" si="161"/>
        <v>0</v>
      </c>
      <c r="X505">
        <f t="shared" ca="1" si="162"/>
        <v>0</v>
      </c>
      <c r="Y505">
        <f t="shared" ca="1" si="163"/>
        <v>0</v>
      </c>
      <c r="Z505">
        <f t="shared" ca="1" si="164"/>
        <v>0</v>
      </c>
      <c r="AA505">
        <f t="shared" ca="1" si="165"/>
        <v>0</v>
      </c>
      <c r="AB505">
        <f t="shared" ca="1" si="166"/>
        <v>0</v>
      </c>
      <c r="AC505">
        <f t="shared" ca="1" si="167"/>
        <v>0</v>
      </c>
      <c r="AD505">
        <f t="shared" ca="1" si="168"/>
        <v>0</v>
      </c>
      <c r="AE505">
        <f t="shared" ca="1" si="169"/>
        <v>0</v>
      </c>
      <c r="AF505">
        <f t="shared" ca="1" si="170"/>
        <v>0</v>
      </c>
      <c r="AG505">
        <f t="shared" ca="1" si="171"/>
        <v>0</v>
      </c>
      <c r="AH505">
        <f t="shared" ca="1" si="172"/>
        <v>0</v>
      </c>
      <c r="AI505">
        <f t="shared" ca="1" si="173"/>
        <v>0</v>
      </c>
      <c r="AJ505">
        <f t="shared" ca="1" si="174"/>
        <v>0</v>
      </c>
      <c r="AK505">
        <f t="shared" ca="1" si="175"/>
        <v>0</v>
      </c>
      <c r="AL505">
        <f t="shared" ca="1" si="176"/>
        <v>0</v>
      </c>
      <c r="AM505">
        <f t="shared" ca="1" si="177"/>
        <v>0</v>
      </c>
      <c r="AN505">
        <f t="shared" ca="1" si="178"/>
        <v>0</v>
      </c>
      <c r="AO505">
        <f t="shared" ca="1" si="179"/>
        <v>0</v>
      </c>
      <c r="AP505">
        <f t="shared" ca="1" si="180"/>
        <v>0</v>
      </c>
    </row>
    <row r="506" spans="1:42" x14ac:dyDescent="0.2">
      <c r="A506" s="2" t="s">
        <v>398</v>
      </c>
      <c r="B506" s="2"/>
      <c r="C506" s="2">
        <v>2.4337650391087098</v>
      </c>
      <c r="D506" s="2"/>
      <c r="H506" t="s">
        <v>1055</v>
      </c>
      <c r="I506">
        <f t="shared" ca="1" si="147"/>
        <v>9.6</v>
      </c>
      <c r="J506">
        <f t="shared" ca="1" si="148"/>
        <v>0</v>
      </c>
      <c r="K506">
        <f t="shared" ca="1" si="149"/>
        <v>0</v>
      </c>
      <c r="L506">
        <f t="shared" ca="1" si="150"/>
        <v>0</v>
      </c>
      <c r="M506">
        <f t="shared" ca="1" si="151"/>
        <v>0</v>
      </c>
      <c r="N506">
        <f t="shared" ca="1" si="152"/>
        <v>0</v>
      </c>
      <c r="O506">
        <f t="shared" ca="1" si="153"/>
        <v>0</v>
      </c>
      <c r="P506">
        <f t="shared" ca="1" si="154"/>
        <v>0</v>
      </c>
      <c r="Q506">
        <f t="shared" ca="1" si="155"/>
        <v>0</v>
      </c>
      <c r="R506">
        <f t="shared" ca="1" si="156"/>
        <v>0</v>
      </c>
      <c r="S506">
        <f t="shared" ca="1" si="157"/>
        <v>0</v>
      </c>
      <c r="T506">
        <f t="shared" ca="1" si="158"/>
        <v>0</v>
      </c>
      <c r="U506">
        <f t="shared" ca="1" si="159"/>
        <v>0</v>
      </c>
      <c r="V506">
        <f t="shared" ca="1" si="160"/>
        <v>0</v>
      </c>
      <c r="W506">
        <f t="shared" ca="1" si="161"/>
        <v>0</v>
      </c>
      <c r="X506">
        <f t="shared" ca="1" si="162"/>
        <v>0</v>
      </c>
      <c r="Y506">
        <f t="shared" ca="1" si="163"/>
        <v>0</v>
      </c>
      <c r="Z506">
        <f t="shared" ca="1" si="164"/>
        <v>0</v>
      </c>
      <c r="AA506">
        <f t="shared" ca="1" si="165"/>
        <v>0</v>
      </c>
      <c r="AB506">
        <f t="shared" ca="1" si="166"/>
        <v>0</v>
      </c>
      <c r="AC506">
        <f t="shared" ca="1" si="167"/>
        <v>0</v>
      </c>
      <c r="AD506">
        <f t="shared" ca="1" si="168"/>
        <v>0</v>
      </c>
      <c r="AE506">
        <f t="shared" ca="1" si="169"/>
        <v>0</v>
      </c>
      <c r="AF506">
        <f t="shared" ca="1" si="170"/>
        <v>0</v>
      </c>
      <c r="AG506">
        <f t="shared" ca="1" si="171"/>
        <v>0</v>
      </c>
      <c r="AH506">
        <f t="shared" ca="1" si="172"/>
        <v>0</v>
      </c>
      <c r="AI506">
        <f t="shared" ca="1" si="173"/>
        <v>0</v>
      </c>
      <c r="AJ506">
        <f t="shared" ca="1" si="174"/>
        <v>0</v>
      </c>
      <c r="AK506">
        <f t="shared" ca="1" si="175"/>
        <v>0</v>
      </c>
      <c r="AL506">
        <f t="shared" ca="1" si="176"/>
        <v>0</v>
      </c>
      <c r="AM506">
        <f t="shared" ca="1" si="177"/>
        <v>0</v>
      </c>
      <c r="AN506">
        <f t="shared" ca="1" si="178"/>
        <v>0</v>
      </c>
      <c r="AO506">
        <f t="shared" ca="1" si="179"/>
        <v>0</v>
      </c>
      <c r="AP506">
        <f t="shared" ca="1" si="180"/>
        <v>0</v>
      </c>
    </row>
    <row r="507" spans="1:42" x14ac:dyDescent="0.2">
      <c r="A507" s="2" t="s">
        <v>396</v>
      </c>
      <c r="B507" s="2"/>
      <c r="C507" s="2">
        <v>1.1475347250030801</v>
      </c>
      <c r="D507" s="2"/>
      <c r="H507" t="s">
        <v>1120</v>
      </c>
      <c r="I507">
        <f t="shared" ca="1" si="147"/>
        <v>0</v>
      </c>
      <c r="J507">
        <f t="shared" ca="1" si="148"/>
        <v>0</v>
      </c>
      <c r="K507">
        <f t="shared" ca="1" si="149"/>
        <v>0</v>
      </c>
      <c r="L507">
        <f t="shared" ca="1" si="150"/>
        <v>0</v>
      </c>
      <c r="M507">
        <f t="shared" ca="1" si="151"/>
        <v>0</v>
      </c>
      <c r="N507">
        <f t="shared" ca="1" si="152"/>
        <v>0</v>
      </c>
      <c r="O507">
        <f t="shared" ca="1" si="153"/>
        <v>0</v>
      </c>
      <c r="P507">
        <f t="shared" ca="1" si="154"/>
        <v>0</v>
      </c>
      <c r="Q507">
        <f t="shared" ca="1" si="155"/>
        <v>0</v>
      </c>
      <c r="R507">
        <f t="shared" ca="1" si="156"/>
        <v>0</v>
      </c>
      <c r="S507">
        <f t="shared" ca="1" si="157"/>
        <v>0</v>
      </c>
      <c r="T507">
        <f t="shared" ca="1" si="158"/>
        <v>0</v>
      </c>
      <c r="U507">
        <f t="shared" ca="1" si="159"/>
        <v>0</v>
      </c>
      <c r="V507">
        <f t="shared" ca="1" si="160"/>
        <v>0</v>
      </c>
      <c r="W507">
        <f t="shared" ca="1" si="161"/>
        <v>0</v>
      </c>
      <c r="X507">
        <f t="shared" ca="1" si="162"/>
        <v>0</v>
      </c>
      <c r="Y507">
        <f t="shared" ca="1" si="163"/>
        <v>0</v>
      </c>
      <c r="Z507">
        <f t="shared" ca="1" si="164"/>
        <v>0</v>
      </c>
      <c r="AA507">
        <f t="shared" ca="1" si="165"/>
        <v>0</v>
      </c>
      <c r="AB507">
        <f t="shared" ca="1" si="166"/>
        <v>0</v>
      </c>
      <c r="AC507">
        <f t="shared" ca="1" si="167"/>
        <v>0</v>
      </c>
      <c r="AD507">
        <f t="shared" ca="1" si="168"/>
        <v>0</v>
      </c>
      <c r="AE507">
        <f t="shared" ca="1" si="169"/>
        <v>0</v>
      </c>
      <c r="AF507">
        <f t="shared" ca="1" si="170"/>
        <v>0</v>
      </c>
      <c r="AG507">
        <f t="shared" ca="1" si="171"/>
        <v>0</v>
      </c>
      <c r="AH507">
        <f t="shared" ca="1" si="172"/>
        <v>0</v>
      </c>
      <c r="AI507">
        <f t="shared" ca="1" si="173"/>
        <v>0</v>
      </c>
      <c r="AJ507">
        <f t="shared" ca="1" si="174"/>
        <v>0</v>
      </c>
      <c r="AK507">
        <f t="shared" ca="1" si="175"/>
        <v>0</v>
      </c>
      <c r="AL507">
        <f t="shared" ca="1" si="176"/>
        <v>0</v>
      </c>
      <c r="AM507">
        <f t="shared" ca="1" si="177"/>
        <v>0</v>
      </c>
      <c r="AN507">
        <f t="shared" ca="1" si="178"/>
        <v>0</v>
      </c>
      <c r="AO507">
        <f t="shared" ca="1" si="179"/>
        <v>0</v>
      </c>
      <c r="AP507">
        <f t="shared" ca="1" si="180"/>
        <v>0</v>
      </c>
    </row>
    <row r="508" spans="1:42" x14ac:dyDescent="0.2">
      <c r="A508" s="2" t="s">
        <v>262</v>
      </c>
      <c r="B508" s="2"/>
      <c r="C508" s="2">
        <v>4.2868327019781303</v>
      </c>
      <c r="D508" s="2"/>
      <c r="H508" t="s">
        <v>1042</v>
      </c>
      <c r="I508">
        <f t="shared" ca="1" si="147"/>
        <v>0</v>
      </c>
      <c r="J508">
        <f t="shared" ca="1" si="148"/>
        <v>0</v>
      </c>
      <c r="K508">
        <f t="shared" ca="1" si="149"/>
        <v>0</v>
      </c>
      <c r="L508">
        <f t="shared" ca="1" si="150"/>
        <v>0</v>
      </c>
      <c r="M508">
        <f t="shared" ca="1" si="151"/>
        <v>0</v>
      </c>
      <c r="N508">
        <f t="shared" ca="1" si="152"/>
        <v>0</v>
      </c>
      <c r="O508">
        <f t="shared" ca="1" si="153"/>
        <v>0</v>
      </c>
      <c r="P508">
        <f t="shared" ca="1" si="154"/>
        <v>0</v>
      </c>
      <c r="Q508">
        <f t="shared" ca="1" si="155"/>
        <v>0</v>
      </c>
      <c r="R508">
        <f t="shared" ca="1" si="156"/>
        <v>0</v>
      </c>
      <c r="S508">
        <f t="shared" ca="1" si="157"/>
        <v>0</v>
      </c>
      <c r="T508">
        <f t="shared" ca="1" si="158"/>
        <v>0</v>
      </c>
      <c r="U508">
        <f t="shared" ca="1" si="159"/>
        <v>0</v>
      </c>
      <c r="V508">
        <f t="shared" ca="1" si="160"/>
        <v>0</v>
      </c>
      <c r="W508">
        <f t="shared" ca="1" si="161"/>
        <v>0</v>
      </c>
      <c r="X508">
        <f t="shared" ca="1" si="162"/>
        <v>0</v>
      </c>
      <c r="Y508">
        <f t="shared" ca="1" si="163"/>
        <v>0</v>
      </c>
      <c r="Z508">
        <f t="shared" ca="1" si="164"/>
        <v>0</v>
      </c>
      <c r="AA508">
        <f t="shared" ca="1" si="165"/>
        <v>0</v>
      </c>
      <c r="AB508">
        <f t="shared" ca="1" si="166"/>
        <v>0</v>
      </c>
      <c r="AC508">
        <f t="shared" ca="1" si="167"/>
        <v>0</v>
      </c>
      <c r="AD508">
        <f t="shared" ca="1" si="168"/>
        <v>0</v>
      </c>
      <c r="AE508">
        <f t="shared" ca="1" si="169"/>
        <v>0</v>
      </c>
      <c r="AF508">
        <f t="shared" ca="1" si="170"/>
        <v>0</v>
      </c>
      <c r="AG508">
        <f t="shared" ca="1" si="171"/>
        <v>0</v>
      </c>
      <c r="AH508">
        <f t="shared" ca="1" si="172"/>
        <v>20.399999999999999</v>
      </c>
      <c r="AI508">
        <f t="shared" ca="1" si="173"/>
        <v>0</v>
      </c>
      <c r="AJ508">
        <f t="shared" ca="1" si="174"/>
        <v>0</v>
      </c>
      <c r="AK508">
        <f t="shared" ca="1" si="175"/>
        <v>0</v>
      </c>
      <c r="AL508">
        <f t="shared" ca="1" si="176"/>
        <v>0</v>
      </c>
      <c r="AM508">
        <f t="shared" ca="1" si="177"/>
        <v>0</v>
      </c>
      <c r="AN508">
        <f t="shared" ca="1" si="178"/>
        <v>0</v>
      </c>
      <c r="AO508">
        <f t="shared" ca="1" si="179"/>
        <v>0</v>
      </c>
      <c r="AP508">
        <f t="shared" ca="1" si="180"/>
        <v>0</v>
      </c>
    </row>
    <row r="509" spans="1:42" x14ac:dyDescent="0.2">
      <c r="A509" s="2" t="s">
        <v>258</v>
      </c>
      <c r="B509" s="2"/>
      <c r="C509" s="2">
        <v>1.7045257980791</v>
      </c>
      <c r="D509" s="2"/>
      <c r="H509" t="s">
        <v>1121</v>
      </c>
      <c r="I509">
        <f t="shared" ca="1" si="147"/>
        <v>0</v>
      </c>
      <c r="J509">
        <f t="shared" ca="1" si="148"/>
        <v>0</v>
      </c>
      <c r="K509">
        <f t="shared" ca="1" si="149"/>
        <v>0</v>
      </c>
      <c r="L509">
        <f t="shared" ca="1" si="150"/>
        <v>0</v>
      </c>
      <c r="M509">
        <f t="shared" ca="1" si="151"/>
        <v>0</v>
      </c>
      <c r="N509">
        <f t="shared" ca="1" si="152"/>
        <v>0</v>
      </c>
      <c r="O509">
        <f t="shared" ca="1" si="153"/>
        <v>0</v>
      </c>
      <c r="P509">
        <f t="shared" ca="1" si="154"/>
        <v>0</v>
      </c>
      <c r="Q509">
        <f t="shared" ca="1" si="155"/>
        <v>0</v>
      </c>
      <c r="R509">
        <f t="shared" ca="1" si="156"/>
        <v>0</v>
      </c>
      <c r="S509">
        <f t="shared" ca="1" si="157"/>
        <v>0</v>
      </c>
      <c r="T509">
        <f t="shared" ca="1" si="158"/>
        <v>0</v>
      </c>
      <c r="U509">
        <f t="shared" ca="1" si="159"/>
        <v>0</v>
      </c>
      <c r="V509">
        <f t="shared" ca="1" si="160"/>
        <v>0</v>
      </c>
      <c r="W509">
        <f t="shared" ca="1" si="161"/>
        <v>0</v>
      </c>
      <c r="X509">
        <f t="shared" ca="1" si="162"/>
        <v>0</v>
      </c>
      <c r="Y509">
        <f t="shared" ca="1" si="163"/>
        <v>0</v>
      </c>
      <c r="Z509">
        <f t="shared" ca="1" si="164"/>
        <v>0</v>
      </c>
      <c r="AA509">
        <f t="shared" ca="1" si="165"/>
        <v>0</v>
      </c>
      <c r="AB509">
        <f t="shared" ca="1" si="166"/>
        <v>0</v>
      </c>
      <c r="AC509">
        <f t="shared" ca="1" si="167"/>
        <v>0</v>
      </c>
      <c r="AD509">
        <f t="shared" ca="1" si="168"/>
        <v>0</v>
      </c>
      <c r="AE509">
        <f t="shared" ca="1" si="169"/>
        <v>0</v>
      </c>
      <c r="AF509">
        <f t="shared" ca="1" si="170"/>
        <v>0</v>
      </c>
      <c r="AG509">
        <f t="shared" ca="1" si="171"/>
        <v>0</v>
      </c>
      <c r="AH509">
        <f t="shared" ca="1" si="172"/>
        <v>0</v>
      </c>
      <c r="AI509">
        <f t="shared" ca="1" si="173"/>
        <v>0</v>
      </c>
      <c r="AJ509">
        <f t="shared" ca="1" si="174"/>
        <v>0</v>
      </c>
      <c r="AK509">
        <f t="shared" ca="1" si="175"/>
        <v>0</v>
      </c>
      <c r="AL509">
        <f t="shared" ca="1" si="176"/>
        <v>0</v>
      </c>
      <c r="AM509">
        <f t="shared" ca="1" si="177"/>
        <v>0</v>
      </c>
      <c r="AN509">
        <f t="shared" ca="1" si="178"/>
        <v>0</v>
      </c>
      <c r="AO509">
        <f t="shared" ca="1" si="179"/>
        <v>0</v>
      </c>
      <c r="AP509">
        <f t="shared" ca="1" si="180"/>
        <v>0</v>
      </c>
    </row>
    <row r="510" spans="1:42" x14ac:dyDescent="0.2">
      <c r="A510" s="2" t="s">
        <v>391</v>
      </c>
      <c r="B510" s="2" t="str">
        <f>VLOOKUP(A510,'[14]Calculated coal req (reg.)'!$A$2:$B$599,2,FALSE)</f>
        <v>TROMBAY TPS UNIT 5</v>
      </c>
      <c r="C510" s="2">
        <v>8.5812670701131708</v>
      </c>
      <c r="D510" s="2"/>
      <c r="H510" t="s">
        <v>1082</v>
      </c>
      <c r="I510">
        <f t="shared" ca="1" si="147"/>
        <v>0</v>
      </c>
      <c r="J510">
        <f t="shared" ca="1" si="148"/>
        <v>3.6928813116376871E-2</v>
      </c>
      <c r="K510">
        <f t="shared" ca="1" si="149"/>
        <v>0.39599978645594375</v>
      </c>
      <c r="L510">
        <f t="shared" ca="1" si="150"/>
        <v>5.3923085646092286</v>
      </c>
      <c r="M510">
        <f t="shared" ca="1" si="151"/>
        <v>0</v>
      </c>
      <c r="N510">
        <f t="shared" ca="1" si="152"/>
        <v>0</v>
      </c>
      <c r="O510">
        <f t="shared" ca="1" si="153"/>
        <v>0</v>
      </c>
      <c r="P510">
        <f t="shared" ca="1" si="154"/>
        <v>0</v>
      </c>
      <c r="Q510">
        <f t="shared" ca="1" si="155"/>
        <v>0.21831622998611411</v>
      </c>
      <c r="R510">
        <f t="shared" ca="1" si="156"/>
        <v>0</v>
      </c>
      <c r="S510">
        <f t="shared" ca="1" si="157"/>
        <v>0</v>
      </c>
      <c r="T510">
        <f t="shared" ca="1" si="158"/>
        <v>0.10769571426025397</v>
      </c>
      <c r="U510">
        <f t="shared" ca="1" si="159"/>
        <v>0</v>
      </c>
      <c r="V510">
        <f t="shared" ca="1" si="160"/>
        <v>0.163838148550635</v>
      </c>
      <c r="W510">
        <f t="shared" ca="1" si="161"/>
        <v>1.5862883589772592</v>
      </c>
      <c r="X510">
        <f t="shared" ca="1" si="162"/>
        <v>0</v>
      </c>
      <c r="Y510">
        <f t="shared" ca="1" si="163"/>
        <v>0</v>
      </c>
      <c r="Z510">
        <f t="shared" ca="1" si="164"/>
        <v>0</v>
      </c>
      <c r="AA510">
        <f t="shared" ca="1" si="165"/>
        <v>0</v>
      </c>
      <c r="AB510">
        <f t="shared" ca="1" si="166"/>
        <v>0</v>
      </c>
      <c r="AC510">
        <f t="shared" ca="1" si="167"/>
        <v>0</v>
      </c>
      <c r="AD510">
        <f t="shared" ca="1" si="168"/>
        <v>2.9296825085312405E-2</v>
      </c>
      <c r="AE510">
        <f t="shared" ca="1" si="169"/>
        <v>9.1151625045603535E-2</v>
      </c>
      <c r="AF510">
        <f t="shared" ca="1" si="170"/>
        <v>2.5784957383158855</v>
      </c>
      <c r="AG510">
        <f t="shared" ca="1" si="171"/>
        <v>0</v>
      </c>
      <c r="AH510">
        <f t="shared" ca="1" si="172"/>
        <v>0.11636671019373859</v>
      </c>
      <c r="AI510">
        <f t="shared" ca="1" si="173"/>
        <v>9.5322189685360839E-2</v>
      </c>
      <c r="AJ510">
        <f t="shared" ca="1" si="174"/>
        <v>0.27699125608478176</v>
      </c>
      <c r="AK510">
        <f t="shared" ca="1" si="175"/>
        <v>0.29932781927684948</v>
      </c>
      <c r="AL510">
        <f t="shared" ca="1" si="176"/>
        <v>0.14234389868501818</v>
      </c>
      <c r="AM510">
        <f t="shared" ca="1" si="177"/>
        <v>0</v>
      </c>
      <c r="AN510">
        <f t="shared" ca="1" si="178"/>
        <v>0.28932832167164035</v>
      </c>
      <c r="AO510">
        <f t="shared" ca="1" si="179"/>
        <v>0</v>
      </c>
      <c r="AP510">
        <f t="shared" ca="1" si="180"/>
        <v>0</v>
      </c>
    </row>
    <row r="511" spans="1:42" x14ac:dyDescent="0.2">
      <c r="A511" s="2" t="s">
        <v>284</v>
      </c>
      <c r="B511" s="2" t="str">
        <f>VLOOKUP(A511,'[14]Calculated coal req (reg.)'!$A$2:$B$599,2,FALSE)</f>
        <v>TROMBAY TPS UNIT 8</v>
      </c>
      <c r="C511" s="2">
        <v>4.7549666036165803</v>
      </c>
      <c r="D511" s="2"/>
      <c r="H511" t="s">
        <v>1049</v>
      </c>
      <c r="I511">
        <f t="shared" ca="1" si="147"/>
        <v>0</v>
      </c>
      <c r="J511">
        <f t="shared" ca="1" si="148"/>
        <v>0</v>
      </c>
      <c r="K511">
        <f t="shared" ca="1" si="149"/>
        <v>5.3844796991152938E-2</v>
      </c>
      <c r="L511">
        <f t="shared" ca="1" si="150"/>
        <v>4.7377961265020616</v>
      </c>
      <c r="M511">
        <f t="shared" ca="1" si="151"/>
        <v>0</v>
      </c>
      <c r="N511">
        <f t="shared" ca="1" si="152"/>
        <v>0</v>
      </c>
      <c r="O511">
        <f t="shared" ca="1" si="153"/>
        <v>0</v>
      </c>
      <c r="P511">
        <f t="shared" ca="1" si="154"/>
        <v>0</v>
      </c>
      <c r="Q511">
        <f t="shared" ca="1" si="155"/>
        <v>0</v>
      </c>
      <c r="R511">
        <f t="shared" ca="1" si="156"/>
        <v>0</v>
      </c>
      <c r="S511">
        <f t="shared" ca="1" si="157"/>
        <v>0</v>
      </c>
      <c r="T511">
        <f t="shared" ca="1" si="158"/>
        <v>0</v>
      </c>
      <c r="U511">
        <f t="shared" ca="1" si="159"/>
        <v>0</v>
      </c>
      <c r="V511">
        <f t="shared" ca="1" si="160"/>
        <v>0</v>
      </c>
      <c r="W511">
        <f t="shared" ca="1" si="161"/>
        <v>2.6462055412309593</v>
      </c>
      <c r="X511">
        <f t="shared" ca="1" si="162"/>
        <v>0</v>
      </c>
      <c r="Y511">
        <f t="shared" ca="1" si="163"/>
        <v>0</v>
      </c>
      <c r="Z511">
        <f t="shared" ca="1" si="164"/>
        <v>0</v>
      </c>
      <c r="AA511">
        <f t="shared" ca="1" si="165"/>
        <v>0</v>
      </c>
      <c r="AB511">
        <f t="shared" ca="1" si="166"/>
        <v>0</v>
      </c>
      <c r="AC511">
        <f t="shared" ca="1" si="167"/>
        <v>0</v>
      </c>
      <c r="AD511">
        <f t="shared" ca="1" si="168"/>
        <v>0</v>
      </c>
      <c r="AE511">
        <f t="shared" ca="1" si="169"/>
        <v>0</v>
      </c>
      <c r="AF511">
        <f t="shared" ca="1" si="170"/>
        <v>2.6410104834143917</v>
      </c>
      <c r="AG511">
        <f t="shared" ca="1" si="171"/>
        <v>0</v>
      </c>
      <c r="AH511">
        <f t="shared" ca="1" si="172"/>
        <v>0</v>
      </c>
      <c r="AI511">
        <f t="shared" ca="1" si="173"/>
        <v>0</v>
      </c>
      <c r="AJ511">
        <f t="shared" ca="1" si="174"/>
        <v>0</v>
      </c>
      <c r="AK511">
        <f t="shared" ca="1" si="175"/>
        <v>0</v>
      </c>
      <c r="AL511">
        <f t="shared" ca="1" si="176"/>
        <v>0.12114305186143183</v>
      </c>
      <c r="AM511">
        <f t="shared" ca="1" si="177"/>
        <v>0</v>
      </c>
      <c r="AN511">
        <f t="shared" ca="1" si="178"/>
        <v>0</v>
      </c>
      <c r="AO511">
        <f t="shared" ca="1" si="179"/>
        <v>0</v>
      </c>
      <c r="AP511">
        <f t="shared" ca="1" si="180"/>
        <v>0</v>
      </c>
    </row>
    <row r="512" spans="1:42" x14ac:dyDescent="0.2">
      <c r="A512" s="2" t="s">
        <v>508</v>
      </c>
      <c r="B512" s="2" t="str">
        <f>VLOOKUP(A512,'[14]Calculated coal req (reg.)'!$A$2:$B$599,2,FALSE)</f>
        <v>TUTICORIN TPS</v>
      </c>
      <c r="C512" s="2">
        <v>2.4330479037461998</v>
      </c>
      <c r="D512" s="2"/>
      <c r="H512" t="s">
        <v>976</v>
      </c>
      <c r="I512">
        <f t="shared" ca="1" si="147"/>
        <v>1.2062929948825871</v>
      </c>
      <c r="J512">
        <f t="shared" ca="1" si="148"/>
        <v>0</v>
      </c>
      <c r="K512">
        <f t="shared" ca="1" si="149"/>
        <v>0</v>
      </c>
      <c r="L512">
        <f t="shared" ca="1" si="150"/>
        <v>0</v>
      </c>
      <c r="M512">
        <f t="shared" ca="1" si="151"/>
        <v>0</v>
      </c>
      <c r="N512">
        <f t="shared" ca="1" si="152"/>
        <v>2.6581656265743949</v>
      </c>
      <c r="O512">
        <f t="shared" ca="1" si="153"/>
        <v>2.0645256824391587</v>
      </c>
      <c r="P512">
        <f t="shared" ca="1" si="154"/>
        <v>0.70766195389994169</v>
      </c>
      <c r="Q512">
        <f t="shared" ca="1" si="155"/>
        <v>0</v>
      </c>
      <c r="R512">
        <f t="shared" ca="1" si="156"/>
        <v>0.41519376473909658</v>
      </c>
      <c r="S512">
        <f t="shared" ca="1" si="157"/>
        <v>7.7900367951833864</v>
      </c>
      <c r="T512">
        <f t="shared" ca="1" si="158"/>
        <v>0</v>
      </c>
      <c r="U512">
        <f t="shared" ca="1" si="159"/>
        <v>0</v>
      </c>
      <c r="V512">
        <f t="shared" ca="1" si="160"/>
        <v>0</v>
      </c>
      <c r="W512">
        <f t="shared" ca="1" si="161"/>
        <v>0</v>
      </c>
      <c r="X512">
        <f t="shared" ca="1" si="162"/>
        <v>0</v>
      </c>
      <c r="Y512">
        <f t="shared" ca="1" si="163"/>
        <v>0</v>
      </c>
      <c r="Z512">
        <f t="shared" ca="1" si="164"/>
        <v>0</v>
      </c>
      <c r="AA512">
        <f t="shared" ca="1" si="165"/>
        <v>1.1743934827633467</v>
      </c>
      <c r="AB512">
        <f t="shared" ca="1" si="166"/>
        <v>0</v>
      </c>
      <c r="AC512">
        <f t="shared" ca="1" si="167"/>
        <v>0</v>
      </c>
      <c r="AD512">
        <f t="shared" ca="1" si="168"/>
        <v>0</v>
      </c>
      <c r="AE512">
        <f t="shared" ca="1" si="169"/>
        <v>0</v>
      </c>
      <c r="AF512">
        <f t="shared" ca="1" si="170"/>
        <v>0</v>
      </c>
      <c r="AG512">
        <f t="shared" ca="1" si="171"/>
        <v>0</v>
      </c>
      <c r="AH512">
        <f t="shared" ca="1" si="172"/>
        <v>0</v>
      </c>
      <c r="AI512">
        <f t="shared" ca="1" si="173"/>
        <v>0</v>
      </c>
      <c r="AJ512">
        <f t="shared" ca="1" si="174"/>
        <v>0</v>
      </c>
      <c r="AK512">
        <f t="shared" ca="1" si="175"/>
        <v>0</v>
      </c>
      <c r="AL512">
        <f t="shared" ca="1" si="176"/>
        <v>0.30372969951808798</v>
      </c>
      <c r="AM512">
        <f t="shared" ca="1" si="177"/>
        <v>0</v>
      </c>
      <c r="AN512">
        <f t="shared" ca="1" si="178"/>
        <v>0</v>
      </c>
      <c r="AO512">
        <f t="shared" ca="1" si="179"/>
        <v>0</v>
      </c>
      <c r="AP512">
        <f t="shared" ca="1" si="180"/>
        <v>0</v>
      </c>
    </row>
    <row r="513" spans="1:42" x14ac:dyDescent="0.2">
      <c r="A513" s="2" t="s">
        <v>500</v>
      </c>
      <c r="B513" s="2" t="str">
        <f>VLOOKUP(A513,'[14]Calculated coal req (reg.)'!$A$2:$B$599,2,FALSE)</f>
        <v>TUTICORIN TPS</v>
      </c>
      <c r="C513" s="2">
        <v>3.23088844150096</v>
      </c>
      <c r="D513" s="2"/>
      <c r="H513" t="s">
        <v>1122</v>
      </c>
      <c r="I513">
        <f t="shared" ca="1" si="147"/>
        <v>0</v>
      </c>
      <c r="J513">
        <f t="shared" ca="1" si="148"/>
        <v>0</v>
      </c>
      <c r="K513">
        <f t="shared" ca="1" si="149"/>
        <v>0</v>
      </c>
      <c r="L513">
        <f t="shared" ca="1" si="150"/>
        <v>0</v>
      </c>
      <c r="M513">
        <f t="shared" ca="1" si="151"/>
        <v>0</v>
      </c>
      <c r="N513">
        <f t="shared" ca="1" si="152"/>
        <v>0</v>
      </c>
      <c r="O513">
        <f t="shared" ca="1" si="153"/>
        <v>0</v>
      </c>
      <c r="P513">
        <f t="shared" ca="1" si="154"/>
        <v>0</v>
      </c>
      <c r="Q513">
        <f t="shared" ca="1" si="155"/>
        <v>0</v>
      </c>
      <c r="R513">
        <f t="shared" ca="1" si="156"/>
        <v>0</v>
      </c>
      <c r="S513">
        <f t="shared" ca="1" si="157"/>
        <v>0</v>
      </c>
      <c r="T513">
        <f t="shared" ca="1" si="158"/>
        <v>0</v>
      </c>
      <c r="U513">
        <f t="shared" ca="1" si="159"/>
        <v>0</v>
      </c>
      <c r="V513">
        <f t="shared" ca="1" si="160"/>
        <v>0</v>
      </c>
      <c r="W513">
        <f t="shared" ca="1" si="161"/>
        <v>0</v>
      </c>
      <c r="X513">
        <f t="shared" ca="1" si="162"/>
        <v>0</v>
      </c>
      <c r="Y513">
        <f t="shared" ca="1" si="163"/>
        <v>0</v>
      </c>
      <c r="Z513">
        <f t="shared" ca="1" si="164"/>
        <v>0</v>
      </c>
      <c r="AA513">
        <f t="shared" ca="1" si="165"/>
        <v>0</v>
      </c>
      <c r="AB513">
        <f t="shared" ca="1" si="166"/>
        <v>0</v>
      </c>
      <c r="AC513">
        <f t="shared" ca="1" si="167"/>
        <v>0</v>
      </c>
      <c r="AD513">
        <f t="shared" ca="1" si="168"/>
        <v>0</v>
      </c>
      <c r="AE513">
        <f t="shared" ca="1" si="169"/>
        <v>0</v>
      </c>
      <c r="AF513">
        <f t="shared" ca="1" si="170"/>
        <v>0</v>
      </c>
      <c r="AG513">
        <f t="shared" ca="1" si="171"/>
        <v>0</v>
      </c>
      <c r="AH513">
        <f t="shared" ca="1" si="172"/>
        <v>0</v>
      </c>
      <c r="AI513">
        <f t="shared" ca="1" si="173"/>
        <v>0</v>
      </c>
      <c r="AJ513">
        <f t="shared" ca="1" si="174"/>
        <v>0</v>
      </c>
      <c r="AK513">
        <f t="shared" ca="1" si="175"/>
        <v>0</v>
      </c>
      <c r="AL513">
        <f t="shared" ca="1" si="176"/>
        <v>0</v>
      </c>
      <c r="AM513">
        <f t="shared" ca="1" si="177"/>
        <v>0</v>
      </c>
      <c r="AN513">
        <f t="shared" ca="1" si="178"/>
        <v>0</v>
      </c>
      <c r="AO513">
        <f t="shared" ca="1" si="179"/>
        <v>0</v>
      </c>
      <c r="AP513">
        <f t="shared" ca="1" si="180"/>
        <v>0</v>
      </c>
    </row>
    <row r="514" spans="1:42" x14ac:dyDescent="0.2">
      <c r="A514" s="2" t="s">
        <v>493</v>
      </c>
      <c r="B514" s="2" t="str">
        <f>VLOOKUP(A514,'[14]Calculated coal req (reg.)'!$A$2:$B$599,2,FALSE)</f>
        <v>TUTICORIN TPS</v>
      </c>
      <c r="C514" s="2">
        <v>3.2269546453731599</v>
      </c>
      <c r="D514" s="2"/>
      <c r="H514" t="s">
        <v>1123</v>
      </c>
      <c r="I514">
        <f t="shared" ca="1" si="147"/>
        <v>0</v>
      </c>
      <c r="J514">
        <f t="shared" ca="1" si="148"/>
        <v>0</v>
      </c>
      <c r="K514">
        <f t="shared" ca="1" si="149"/>
        <v>0</v>
      </c>
      <c r="L514">
        <f t="shared" ca="1" si="150"/>
        <v>0</v>
      </c>
      <c r="M514">
        <f t="shared" ca="1" si="151"/>
        <v>0</v>
      </c>
      <c r="N514">
        <f t="shared" ca="1" si="152"/>
        <v>0</v>
      </c>
      <c r="O514">
        <f t="shared" ca="1" si="153"/>
        <v>0</v>
      </c>
      <c r="P514">
        <f t="shared" ca="1" si="154"/>
        <v>0</v>
      </c>
      <c r="Q514">
        <f t="shared" ca="1" si="155"/>
        <v>0</v>
      </c>
      <c r="R514">
        <f t="shared" ca="1" si="156"/>
        <v>0</v>
      </c>
      <c r="S514">
        <f t="shared" ca="1" si="157"/>
        <v>0</v>
      </c>
      <c r="T514">
        <f t="shared" ca="1" si="158"/>
        <v>0</v>
      </c>
      <c r="U514">
        <f t="shared" ca="1" si="159"/>
        <v>0</v>
      </c>
      <c r="V514">
        <f t="shared" ca="1" si="160"/>
        <v>0</v>
      </c>
      <c r="W514">
        <f t="shared" ca="1" si="161"/>
        <v>0</v>
      </c>
      <c r="X514">
        <f t="shared" ca="1" si="162"/>
        <v>0</v>
      </c>
      <c r="Y514">
        <f t="shared" ca="1" si="163"/>
        <v>0</v>
      </c>
      <c r="Z514">
        <f t="shared" ca="1" si="164"/>
        <v>0</v>
      </c>
      <c r="AA514">
        <f t="shared" ca="1" si="165"/>
        <v>0</v>
      </c>
      <c r="AB514">
        <f t="shared" ca="1" si="166"/>
        <v>0</v>
      </c>
      <c r="AC514">
        <f t="shared" ca="1" si="167"/>
        <v>0</v>
      </c>
      <c r="AD514">
        <f t="shared" ca="1" si="168"/>
        <v>0</v>
      </c>
      <c r="AE514">
        <f t="shared" ca="1" si="169"/>
        <v>0</v>
      </c>
      <c r="AF514">
        <f t="shared" ca="1" si="170"/>
        <v>0</v>
      </c>
      <c r="AG514">
        <f t="shared" ca="1" si="171"/>
        <v>0</v>
      </c>
      <c r="AH514">
        <f t="shared" ca="1" si="172"/>
        <v>0</v>
      </c>
      <c r="AI514">
        <f t="shared" ca="1" si="173"/>
        <v>0</v>
      </c>
      <c r="AJ514">
        <f t="shared" ca="1" si="174"/>
        <v>0</v>
      </c>
      <c r="AK514">
        <f t="shared" ca="1" si="175"/>
        <v>0</v>
      </c>
      <c r="AL514">
        <f t="shared" ca="1" si="176"/>
        <v>0</v>
      </c>
      <c r="AM514">
        <f t="shared" ca="1" si="177"/>
        <v>0</v>
      </c>
      <c r="AN514">
        <f t="shared" ca="1" si="178"/>
        <v>0</v>
      </c>
      <c r="AO514">
        <f t="shared" ca="1" si="179"/>
        <v>0</v>
      </c>
      <c r="AP514">
        <f t="shared" ca="1" si="180"/>
        <v>0</v>
      </c>
    </row>
    <row r="515" spans="1:42" x14ac:dyDescent="0.2">
      <c r="A515" s="2" t="s">
        <v>420</v>
      </c>
      <c r="B515" s="2" t="str">
        <f>VLOOKUP(A515,'[14]Calculated coal req (reg.)'!$A$2:$B$599,2,FALSE)</f>
        <v>TUTICORIN TPS</v>
      </c>
      <c r="C515" s="2">
        <v>3.2067210913360502</v>
      </c>
      <c r="D515" s="2"/>
      <c r="H515" t="s">
        <v>1124</v>
      </c>
      <c r="I515">
        <f t="shared" ca="1" si="147"/>
        <v>0</v>
      </c>
      <c r="J515">
        <f t="shared" ca="1" si="148"/>
        <v>0</v>
      </c>
      <c r="K515">
        <f t="shared" ca="1" si="149"/>
        <v>0</v>
      </c>
      <c r="L515">
        <f t="shared" ca="1" si="150"/>
        <v>0</v>
      </c>
      <c r="M515">
        <f t="shared" ca="1" si="151"/>
        <v>0</v>
      </c>
      <c r="N515">
        <f t="shared" ca="1" si="152"/>
        <v>0</v>
      </c>
      <c r="O515">
        <f t="shared" ca="1" si="153"/>
        <v>0</v>
      </c>
      <c r="P515">
        <f t="shared" ca="1" si="154"/>
        <v>0</v>
      </c>
      <c r="Q515">
        <f t="shared" ca="1" si="155"/>
        <v>0</v>
      </c>
      <c r="R515">
        <f t="shared" ca="1" si="156"/>
        <v>0</v>
      </c>
      <c r="S515">
        <f t="shared" ca="1" si="157"/>
        <v>0</v>
      </c>
      <c r="T515">
        <f t="shared" ca="1" si="158"/>
        <v>0</v>
      </c>
      <c r="U515">
        <f t="shared" ca="1" si="159"/>
        <v>0</v>
      </c>
      <c r="V515">
        <f t="shared" ca="1" si="160"/>
        <v>0</v>
      </c>
      <c r="W515">
        <f t="shared" ca="1" si="161"/>
        <v>0</v>
      </c>
      <c r="X515">
        <f t="shared" ca="1" si="162"/>
        <v>0</v>
      </c>
      <c r="Y515">
        <f t="shared" ca="1" si="163"/>
        <v>0</v>
      </c>
      <c r="Z515">
        <f t="shared" ca="1" si="164"/>
        <v>0</v>
      </c>
      <c r="AA515">
        <f t="shared" ca="1" si="165"/>
        <v>0</v>
      </c>
      <c r="AB515">
        <f t="shared" ca="1" si="166"/>
        <v>0</v>
      </c>
      <c r="AC515">
        <f t="shared" ca="1" si="167"/>
        <v>0</v>
      </c>
      <c r="AD515">
        <f t="shared" ca="1" si="168"/>
        <v>0</v>
      </c>
      <c r="AE515">
        <f t="shared" ca="1" si="169"/>
        <v>0</v>
      </c>
      <c r="AF515">
        <f t="shared" ca="1" si="170"/>
        <v>0</v>
      </c>
      <c r="AG515">
        <f t="shared" ca="1" si="171"/>
        <v>0</v>
      </c>
      <c r="AH515">
        <f t="shared" ca="1" si="172"/>
        <v>0</v>
      </c>
      <c r="AI515">
        <f t="shared" ca="1" si="173"/>
        <v>0</v>
      </c>
      <c r="AJ515">
        <f t="shared" ca="1" si="174"/>
        <v>0</v>
      </c>
      <c r="AK515">
        <f t="shared" ca="1" si="175"/>
        <v>0</v>
      </c>
      <c r="AL515">
        <f t="shared" ca="1" si="176"/>
        <v>0</v>
      </c>
      <c r="AM515">
        <f t="shared" ca="1" si="177"/>
        <v>0</v>
      </c>
      <c r="AN515">
        <f t="shared" ca="1" si="178"/>
        <v>0</v>
      </c>
      <c r="AO515">
        <f t="shared" ca="1" si="179"/>
        <v>0</v>
      </c>
      <c r="AP515">
        <f t="shared" ca="1" si="180"/>
        <v>0</v>
      </c>
    </row>
    <row r="516" spans="1:42" x14ac:dyDescent="0.2">
      <c r="A516" s="2" t="s">
        <v>423</v>
      </c>
      <c r="B516" s="2" t="str">
        <f>VLOOKUP(A516,'[14]Calculated coal req (reg.)'!$A$2:$B$599,2,FALSE)</f>
        <v>TUTICORIN TPS</v>
      </c>
      <c r="C516" s="2">
        <v>3.14669200699189</v>
      </c>
      <c r="D516" s="2"/>
      <c r="H516" t="s">
        <v>1187</v>
      </c>
      <c r="I516">
        <f t="shared" ca="1" si="147"/>
        <v>0</v>
      </c>
      <c r="J516">
        <f t="shared" ca="1" si="148"/>
        <v>0</v>
      </c>
      <c r="K516">
        <f t="shared" ca="1" si="149"/>
        <v>0</v>
      </c>
      <c r="L516">
        <f t="shared" ca="1" si="150"/>
        <v>0</v>
      </c>
      <c r="M516">
        <f t="shared" ca="1" si="151"/>
        <v>0</v>
      </c>
      <c r="N516">
        <f t="shared" ca="1" si="152"/>
        <v>0</v>
      </c>
      <c r="O516">
        <f t="shared" ca="1" si="153"/>
        <v>0</v>
      </c>
      <c r="P516">
        <f t="shared" ca="1" si="154"/>
        <v>0</v>
      </c>
      <c r="Q516">
        <f t="shared" ca="1" si="155"/>
        <v>0</v>
      </c>
      <c r="R516">
        <f t="shared" ca="1" si="156"/>
        <v>0</v>
      </c>
      <c r="S516">
        <f t="shared" ca="1" si="157"/>
        <v>0</v>
      </c>
      <c r="T516">
        <f t="shared" ca="1" si="158"/>
        <v>0</v>
      </c>
      <c r="U516">
        <f t="shared" ca="1" si="159"/>
        <v>0</v>
      </c>
      <c r="V516">
        <f t="shared" ca="1" si="160"/>
        <v>0</v>
      </c>
      <c r="W516">
        <f t="shared" ca="1" si="161"/>
        <v>0</v>
      </c>
      <c r="X516">
        <f t="shared" ca="1" si="162"/>
        <v>0</v>
      </c>
      <c r="Y516">
        <f t="shared" ca="1" si="163"/>
        <v>0</v>
      </c>
      <c r="Z516">
        <f t="shared" ca="1" si="164"/>
        <v>0</v>
      </c>
      <c r="AA516">
        <f t="shared" ca="1" si="165"/>
        <v>0</v>
      </c>
      <c r="AB516">
        <f t="shared" ca="1" si="166"/>
        <v>0</v>
      </c>
      <c r="AC516">
        <f t="shared" ca="1" si="167"/>
        <v>0</v>
      </c>
      <c r="AD516">
        <f t="shared" ca="1" si="168"/>
        <v>0</v>
      </c>
      <c r="AE516">
        <f t="shared" ca="1" si="169"/>
        <v>0</v>
      </c>
      <c r="AF516">
        <f t="shared" ca="1" si="170"/>
        <v>0</v>
      </c>
      <c r="AG516">
        <f t="shared" ca="1" si="171"/>
        <v>0</v>
      </c>
      <c r="AH516">
        <f t="shared" ca="1" si="172"/>
        <v>0</v>
      </c>
      <c r="AI516">
        <f t="shared" ca="1" si="173"/>
        <v>0</v>
      </c>
      <c r="AJ516">
        <f t="shared" ca="1" si="174"/>
        <v>0</v>
      </c>
      <c r="AK516">
        <f t="shared" ca="1" si="175"/>
        <v>0</v>
      </c>
      <c r="AL516">
        <f t="shared" ca="1" si="176"/>
        <v>0</v>
      </c>
      <c r="AM516">
        <f t="shared" ca="1" si="177"/>
        <v>0</v>
      </c>
      <c r="AN516">
        <f t="shared" ca="1" si="178"/>
        <v>0</v>
      </c>
      <c r="AO516">
        <f t="shared" ca="1" si="179"/>
        <v>0</v>
      </c>
      <c r="AP516">
        <f t="shared" ca="1" si="180"/>
        <v>0</v>
      </c>
    </row>
    <row r="517" spans="1:42" x14ac:dyDescent="0.2">
      <c r="A517" s="2" t="s">
        <v>514</v>
      </c>
      <c r="B517" s="2" t="str">
        <f>VLOOKUP(A517,'[14]Calculated coal req (reg.)'!$A$2:$B$599,2,FALSE)</f>
        <v>UKAI TPS UNIT 1-5</v>
      </c>
      <c r="C517" s="2">
        <v>3.1695494741953101</v>
      </c>
      <c r="D517" s="2"/>
      <c r="H517" t="s">
        <v>1091</v>
      </c>
      <c r="I517">
        <f t="shared" ca="1" si="147"/>
        <v>0</v>
      </c>
      <c r="J517">
        <f t="shared" ca="1" si="148"/>
        <v>0</v>
      </c>
      <c r="K517">
        <f t="shared" ca="1" si="149"/>
        <v>0</v>
      </c>
      <c r="L517">
        <f t="shared" ca="1" si="150"/>
        <v>0</v>
      </c>
      <c r="M517">
        <f t="shared" ca="1" si="151"/>
        <v>0</v>
      </c>
      <c r="N517">
        <f t="shared" ca="1" si="152"/>
        <v>0</v>
      </c>
      <c r="O517">
        <f t="shared" ca="1" si="153"/>
        <v>0</v>
      </c>
      <c r="P517">
        <f t="shared" ca="1" si="154"/>
        <v>0</v>
      </c>
      <c r="Q517">
        <f t="shared" ca="1" si="155"/>
        <v>0</v>
      </c>
      <c r="R517">
        <f t="shared" ca="1" si="156"/>
        <v>0</v>
      </c>
      <c r="S517">
        <f t="shared" ca="1" si="157"/>
        <v>0</v>
      </c>
      <c r="T517">
        <f t="shared" ca="1" si="158"/>
        <v>0</v>
      </c>
      <c r="U517">
        <f t="shared" ca="1" si="159"/>
        <v>0</v>
      </c>
      <c r="V517">
        <f t="shared" ca="1" si="160"/>
        <v>0</v>
      </c>
      <c r="W517">
        <f t="shared" ca="1" si="161"/>
        <v>0</v>
      </c>
      <c r="X517">
        <f t="shared" ca="1" si="162"/>
        <v>0</v>
      </c>
      <c r="Y517">
        <f t="shared" ca="1" si="163"/>
        <v>0</v>
      </c>
      <c r="Z517">
        <f t="shared" ca="1" si="164"/>
        <v>0</v>
      </c>
      <c r="AA517">
        <f t="shared" ca="1" si="165"/>
        <v>0</v>
      </c>
      <c r="AB517">
        <f t="shared" ca="1" si="166"/>
        <v>0</v>
      </c>
      <c r="AC517">
        <f t="shared" ca="1" si="167"/>
        <v>0</v>
      </c>
      <c r="AD517">
        <f t="shared" ca="1" si="168"/>
        <v>0</v>
      </c>
      <c r="AE517">
        <f t="shared" ca="1" si="169"/>
        <v>0</v>
      </c>
      <c r="AF517">
        <f t="shared" ca="1" si="170"/>
        <v>0</v>
      </c>
      <c r="AG517">
        <f t="shared" ca="1" si="171"/>
        <v>0</v>
      </c>
      <c r="AH517">
        <f t="shared" ca="1" si="172"/>
        <v>6.3828000000000005</v>
      </c>
      <c r="AI517">
        <f t="shared" ca="1" si="173"/>
        <v>0</v>
      </c>
      <c r="AJ517">
        <f t="shared" ca="1" si="174"/>
        <v>0</v>
      </c>
      <c r="AK517">
        <f t="shared" ca="1" si="175"/>
        <v>0</v>
      </c>
      <c r="AL517">
        <f t="shared" ca="1" si="176"/>
        <v>0</v>
      </c>
      <c r="AM517">
        <f t="shared" ca="1" si="177"/>
        <v>0</v>
      </c>
      <c r="AN517">
        <f t="shared" ca="1" si="178"/>
        <v>0</v>
      </c>
      <c r="AO517">
        <f t="shared" ca="1" si="179"/>
        <v>0</v>
      </c>
      <c r="AP517">
        <f t="shared" ca="1" si="180"/>
        <v>0</v>
      </c>
    </row>
    <row r="518" spans="1:42" x14ac:dyDescent="0.2">
      <c r="A518" s="2" t="s">
        <v>512</v>
      </c>
      <c r="B518" s="2" t="str">
        <f>VLOOKUP(A518,'[14]Calculated coal req (reg.)'!$A$2:$B$599,2,FALSE)</f>
        <v>UKAI TPS UNIT 1-5</v>
      </c>
      <c r="C518" s="2">
        <v>3.5253572662746899</v>
      </c>
      <c r="D518" s="2"/>
      <c r="H518" t="s">
        <v>1077</v>
      </c>
      <c r="I518">
        <f t="shared" ca="1" si="147"/>
        <v>0</v>
      </c>
      <c r="J518">
        <f t="shared" ca="1" si="148"/>
        <v>0</v>
      </c>
      <c r="K518">
        <f t="shared" ca="1" si="149"/>
        <v>0</v>
      </c>
      <c r="L518">
        <f t="shared" ca="1" si="150"/>
        <v>0</v>
      </c>
      <c r="M518">
        <f t="shared" ca="1" si="151"/>
        <v>0</v>
      </c>
      <c r="N518">
        <f t="shared" ca="1" si="152"/>
        <v>0</v>
      </c>
      <c r="O518">
        <f t="shared" ca="1" si="153"/>
        <v>0</v>
      </c>
      <c r="P518">
        <f t="shared" ca="1" si="154"/>
        <v>0</v>
      </c>
      <c r="Q518">
        <f t="shared" ca="1" si="155"/>
        <v>0</v>
      </c>
      <c r="R518">
        <f t="shared" ca="1" si="156"/>
        <v>0</v>
      </c>
      <c r="S518">
        <f t="shared" ca="1" si="157"/>
        <v>0</v>
      </c>
      <c r="T518">
        <f t="shared" ca="1" si="158"/>
        <v>0</v>
      </c>
      <c r="U518">
        <f t="shared" ca="1" si="159"/>
        <v>0</v>
      </c>
      <c r="V518">
        <f t="shared" ca="1" si="160"/>
        <v>0</v>
      </c>
      <c r="W518">
        <f t="shared" ca="1" si="161"/>
        <v>0</v>
      </c>
      <c r="X518">
        <f t="shared" ca="1" si="162"/>
        <v>0</v>
      </c>
      <c r="Y518">
        <f t="shared" ca="1" si="163"/>
        <v>0</v>
      </c>
      <c r="Z518">
        <f t="shared" ca="1" si="164"/>
        <v>0</v>
      </c>
      <c r="AA518">
        <f t="shared" ca="1" si="165"/>
        <v>0</v>
      </c>
      <c r="AB518">
        <f t="shared" ca="1" si="166"/>
        <v>0</v>
      </c>
      <c r="AC518">
        <f t="shared" ca="1" si="167"/>
        <v>0</v>
      </c>
      <c r="AD518">
        <f t="shared" ca="1" si="168"/>
        <v>0</v>
      </c>
      <c r="AE518">
        <f t="shared" ca="1" si="169"/>
        <v>0</v>
      </c>
      <c r="AF518">
        <f t="shared" ca="1" si="170"/>
        <v>0</v>
      </c>
      <c r="AG518">
        <f t="shared" ca="1" si="171"/>
        <v>0</v>
      </c>
      <c r="AH518">
        <f t="shared" ca="1" si="172"/>
        <v>0</v>
      </c>
      <c r="AI518">
        <f t="shared" ca="1" si="173"/>
        <v>0</v>
      </c>
      <c r="AJ518">
        <f t="shared" ca="1" si="174"/>
        <v>0</v>
      </c>
      <c r="AK518">
        <f t="shared" ca="1" si="175"/>
        <v>0</v>
      </c>
      <c r="AL518">
        <f t="shared" ca="1" si="176"/>
        <v>0</v>
      </c>
      <c r="AM518">
        <f t="shared" ca="1" si="177"/>
        <v>0</v>
      </c>
      <c r="AN518">
        <f t="shared" ca="1" si="178"/>
        <v>0</v>
      </c>
      <c r="AO518">
        <f t="shared" ca="1" si="179"/>
        <v>0</v>
      </c>
      <c r="AP518">
        <f t="shared" ca="1" si="180"/>
        <v>12.24</v>
      </c>
    </row>
    <row r="519" spans="1:42" x14ac:dyDescent="0.2">
      <c r="A519" s="2" t="s">
        <v>466</v>
      </c>
      <c r="B519" s="2" t="str">
        <f>VLOOKUP(A519,'[14]Calculated coal req (reg.)'!$A$2:$B$599,2,FALSE)</f>
        <v>UKAI TPS UNIT 1-5</v>
      </c>
      <c r="C519" s="2">
        <v>3.3994088854487501</v>
      </c>
      <c r="D519" s="2"/>
      <c r="H519" t="s">
        <v>1125</v>
      </c>
      <c r="I519">
        <f t="shared" ca="1" si="147"/>
        <v>0</v>
      </c>
      <c r="J519">
        <f t="shared" ca="1" si="148"/>
        <v>0</v>
      </c>
      <c r="K519">
        <f t="shared" ca="1" si="149"/>
        <v>0</v>
      </c>
      <c r="L519">
        <f t="shared" ca="1" si="150"/>
        <v>0</v>
      </c>
      <c r="M519">
        <f t="shared" ca="1" si="151"/>
        <v>0</v>
      </c>
      <c r="N519">
        <f t="shared" ca="1" si="152"/>
        <v>0</v>
      </c>
      <c r="O519">
        <f t="shared" ca="1" si="153"/>
        <v>0</v>
      </c>
      <c r="P519">
        <f t="shared" ca="1" si="154"/>
        <v>0</v>
      </c>
      <c r="Q519">
        <f t="shared" ca="1" si="155"/>
        <v>0</v>
      </c>
      <c r="R519">
        <f t="shared" ca="1" si="156"/>
        <v>0</v>
      </c>
      <c r="S519">
        <f t="shared" ca="1" si="157"/>
        <v>0</v>
      </c>
      <c r="T519">
        <f t="shared" ca="1" si="158"/>
        <v>0</v>
      </c>
      <c r="U519">
        <f t="shared" ca="1" si="159"/>
        <v>0</v>
      </c>
      <c r="V519">
        <f t="shared" ca="1" si="160"/>
        <v>0</v>
      </c>
      <c r="W519">
        <f t="shared" ca="1" si="161"/>
        <v>0</v>
      </c>
      <c r="X519">
        <f t="shared" ca="1" si="162"/>
        <v>0</v>
      </c>
      <c r="Y519">
        <f t="shared" ca="1" si="163"/>
        <v>0</v>
      </c>
      <c r="Z519">
        <f t="shared" ca="1" si="164"/>
        <v>0</v>
      </c>
      <c r="AA519">
        <f t="shared" ca="1" si="165"/>
        <v>0</v>
      </c>
      <c r="AB519">
        <f t="shared" ca="1" si="166"/>
        <v>0</v>
      </c>
      <c r="AC519">
        <f t="shared" ca="1" si="167"/>
        <v>0</v>
      </c>
      <c r="AD519">
        <f t="shared" ca="1" si="168"/>
        <v>0</v>
      </c>
      <c r="AE519">
        <f t="shared" ca="1" si="169"/>
        <v>0</v>
      </c>
      <c r="AF519">
        <f t="shared" ca="1" si="170"/>
        <v>0</v>
      </c>
      <c r="AG519">
        <f t="shared" ca="1" si="171"/>
        <v>0</v>
      </c>
      <c r="AH519">
        <f t="shared" ca="1" si="172"/>
        <v>0</v>
      </c>
      <c r="AI519">
        <f t="shared" ca="1" si="173"/>
        <v>0</v>
      </c>
      <c r="AJ519">
        <f t="shared" ca="1" si="174"/>
        <v>0</v>
      </c>
      <c r="AK519">
        <f t="shared" ca="1" si="175"/>
        <v>0</v>
      </c>
      <c r="AL519">
        <f t="shared" ca="1" si="176"/>
        <v>0</v>
      </c>
      <c r="AM519">
        <f t="shared" ca="1" si="177"/>
        <v>0</v>
      </c>
      <c r="AN519">
        <f t="shared" ca="1" si="178"/>
        <v>0</v>
      </c>
      <c r="AO519">
        <f t="shared" ca="1" si="179"/>
        <v>0</v>
      </c>
      <c r="AP519">
        <f t="shared" ca="1" si="180"/>
        <v>0</v>
      </c>
    </row>
    <row r="520" spans="1:42" x14ac:dyDescent="0.2">
      <c r="A520" s="2" t="s">
        <v>442</v>
      </c>
      <c r="B520" s="2" t="str">
        <f>VLOOKUP(A520,'[14]Calculated coal req (reg.)'!$A$2:$B$599,2,FALSE)</f>
        <v>UNCHAHAR STPS UNIT 1-2</v>
      </c>
      <c r="C520" s="2">
        <v>3.3069778940245902</v>
      </c>
      <c r="D520" s="2"/>
      <c r="H520" t="s">
        <v>1104</v>
      </c>
      <c r="I520">
        <f t="shared" ca="1" si="147"/>
        <v>0</v>
      </c>
      <c r="J520">
        <f t="shared" ca="1" si="148"/>
        <v>0</v>
      </c>
      <c r="K520">
        <f t="shared" ca="1" si="149"/>
        <v>0</v>
      </c>
      <c r="L520">
        <f t="shared" ca="1" si="150"/>
        <v>0</v>
      </c>
      <c r="M520">
        <f t="shared" ca="1" si="151"/>
        <v>0</v>
      </c>
      <c r="N520">
        <f t="shared" ca="1" si="152"/>
        <v>0</v>
      </c>
      <c r="O520">
        <f t="shared" ca="1" si="153"/>
        <v>0</v>
      </c>
      <c r="P520">
        <f t="shared" ca="1" si="154"/>
        <v>0</v>
      </c>
      <c r="Q520">
        <f t="shared" ca="1" si="155"/>
        <v>0</v>
      </c>
      <c r="R520">
        <f t="shared" ca="1" si="156"/>
        <v>0</v>
      </c>
      <c r="S520">
        <f t="shared" ca="1" si="157"/>
        <v>0</v>
      </c>
      <c r="T520">
        <f t="shared" ca="1" si="158"/>
        <v>0</v>
      </c>
      <c r="U520">
        <f t="shared" ca="1" si="159"/>
        <v>0</v>
      </c>
      <c r="V520">
        <f t="shared" ca="1" si="160"/>
        <v>0</v>
      </c>
      <c r="W520">
        <f t="shared" ca="1" si="161"/>
        <v>0</v>
      </c>
      <c r="X520">
        <f t="shared" ca="1" si="162"/>
        <v>0</v>
      </c>
      <c r="Y520">
        <f t="shared" ca="1" si="163"/>
        <v>0</v>
      </c>
      <c r="Z520">
        <f t="shared" ca="1" si="164"/>
        <v>0</v>
      </c>
      <c r="AA520">
        <f t="shared" ca="1" si="165"/>
        <v>0</v>
      </c>
      <c r="AB520">
        <f t="shared" ca="1" si="166"/>
        <v>0</v>
      </c>
      <c r="AC520">
        <f t="shared" ca="1" si="167"/>
        <v>0</v>
      </c>
      <c r="AD520">
        <f t="shared" ca="1" si="168"/>
        <v>0</v>
      </c>
      <c r="AE520">
        <f t="shared" ca="1" si="169"/>
        <v>0</v>
      </c>
      <c r="AF520">
        <f t="shared" ca="1" si="170"/>
        <v>0</v>
      </c>
      <c r="AG520">
        <f t="shared" ca="1" si="171"/>
        <v>0</v>
      </c>
      <c r="AH520">
        <f t="shared" ca="1" si="172"/>
        <v>0</v>
      </c>
      <c r="AI520">
        <f t="shared" ca="1" si="173"/>
        <v>0</v>
      </c>
      <c r="AJ520">
        <f t="shared" ca="1" si="174"/>
        <v>0</v>
      </c>
      <c r="AK520">
        <f t="shared" ca="1" si="175"/>
        <v>0</v>
      </c>
      <c r="AL520">
        <f t="shared" ca="1" si="176"/>
        <v>0</v>
      </c>
      <c r="AM520">
        <f t="shared" ca="1" si="177"/>
        <v>0</v>
      </c>
      <c r="AN520">
        <f t="shared" ca="1" si="178"/>
        <v>5.91</v>
      </c>
      <c r="AO520">
        <f t="shared" ca="1" si="179"/>
        <v>0</v>
      </c>
      <c r="AP520">
        <f t="shared" ca="1" si="180"/>
        <v>0</v>
      </c>
    </row>
    <row r="521" spans="1:42" x14ac:dyDescent="0.2">
      <c r="A521" s="2" t="s">
        <v>437</v>
      </c>
      <c r="B521" s="2" t="str">
        <f>VLOOKUP(A521,'[14]Calculated coal req (reg.)'!$A$2:$B$599,2,FALSE)</f>
        <v>UNCHAHAR STPS UNIT 1-2</v>
      </c>
      <c r="C521" s="2">
        <v>3.4675573593461899</v>
      </c>
      <c r="D521" s="2"/>
      <c r="H521" t="s">
        <v>1126</v>
      </c>
      <c r="I521">
        <f t="shared" ca="1" si="147"/>
        <v>0</v>
      </c>
      <c r="J521">
        <f t="shared" ca="1" si="148"/>
        <v>0</v>
      </c>
      <c r="K521">
        <f t="shared" ca="1" si="149"/>
        <v>0</v>
      </c>
      <c r="L521">
        <f t="shared" ca="1" si="150"/>
        <v>0</v>
      </c>
      <c r="M521">
        <f t="shared" ca="1" si="151"/>
        <v>0</v>
      </c>
      <c r="N521">
        <f t="shared" ca="1" si="152"/>
        <v>0</v>
      </c>
      <c r="O521">
        <f t="shared" ca="1" si="153"/>
        <v>0</v>
      </c>
      <c r="P521">
        <f t="shared" ca="1" si="154"/>
        <v>0</v>
      </c>
      <c r="Q521">
        <f t="shared" ca="1" si="155"/>
        <v>0</v>
      </c>
      <c r="R521">
        <f t="shared" ca="1" si="156"/>
        <v>0</v>
      </c>
      <c r="S521">
        <f t="shared" ca="1" si="157"/>
        <v>0</v>
      </c>
      <c r="T521">
        <f t="shared" ca="1" si="158"/>
        <v>0</v>
      </c>
      <c r="U521">
        <f t="shared" ca="1" si="159"/>
        <v>0</v>
      </c>
      <c r="V521">
        <f t="shared" ca="1" si="160"/>
        <v>0</v>
      </c>
      <c r="W521">
        <f t="shared" ca="1" si="161"/>
        <v>0</v>
      </c>
      <c r="X521">
        <f t="shared" ca="1" si="162"/>
        <v>0</v>
      </c>
      <c r="Y521">
        <f t="shared" ca="1" si="163"/>
        <v>0</v>
      </c>
      <c r="Z521">
        <f t="shared" ca="1" si="164"/>
        <v>0</v>
      </c>
      <c r="AA521">
        <f t="shared" ca="1" si="165"/>
        <v>0</v>
      </c>
      <c r="AB521">
        <f t="shared" ca="1" si="166"/>
        <v>0</v>
      </c>
      <c r="AC521">
        <f t="shared" ca="1" si="167"/>
        <v>0</v>
      </c>
      <c r="AD521">
        <f t="shared" ca="1" si="168"/>
        <v>0</v>
      </c>
      <c r="AE521">
        <f t="shared" ca="1" si="169"/>
        <v>0</v>
      </c>
      <c r="AF521">
        <f t="shared" ca="1" si="170"/>
        <v>0</v>
      </c>
      <c r="AG521">
        <f t="shared" ca="1" si="171"/>
        <v>0</v>
      </c>
      <c r="AH521">
        <f t="shared" ca="1" si="172"/>
        <v>0</v>
      </c>
      <c r="AI521">
        <f t="shared" ca="1" si="173"/>
        <v>0</v>
      </c>
      <c r="AJ521">
        <f t="shared" ca="1" si="174"/>
        <v>0</v>
      </c>
      <c r="AK521">
        <f t="shared" ca="1" si="175"/>
        <v>0</v>
      </c>
      <c r="AL521">
        <f t="shared" ca="1" si="176"/>
        <v>0</v>
      </c>
      <c r="AM521">
        <f t="shared" ca="1" si="177"/>
        <v>0</v>
      </c>
      <c r="AN521">
        <f t="shared" ca="1" si="178"/>
        <v>0</v>
      </c>
      <c r="AO521">
        <f t="shared" ca="1" si="179"/>
        <v>0</v>
      </c>
      <c r="AP521">
        <f t="shared" ca="1" si="180"/>
        <v>0</v>
      </c>
    </row>
    <row r="522" spans="1:42" x14ac:dyDescent="0.2">
      <c r="A522" s="2" t="s">
        <v>377</v>
      </c>
      <c r="B522" s="2" t="str">
        <f>VLOOKUP(A522,'[14]Calculated coal req (reg.)'!$A$2:$B$599,2,FALSE)</f>
        <v>UNCHAHAR STPS UNIT 3-4</v>
      </c>
      <c r="C522" s="2">
        <v>3.4447171504493501</v>
      </c>
      <c r="D522" s="2"/>
      <c r="H522" t="s">
        <v>986</v>
      </c>
      <c r="I522">
        <f t="shared" ca="1" si="147"/>
        <v>0</v>
      </c>
      <c r="J522">
        <f t="shared" ca="1" si="148"/>
        <v>0</v>
      </c>
      <c r="K522">
        <f t="shared" ca="1" si="149"/>
        <v>0</v>
      </c>
      <c r="L522">
        <f t="shared" ca="1" si="150"/>
        <v>0</v>
      </c>
      <c r="M522">
        <f t="shared" ca="1" si="151"/>
        <v>0</v>
      </c>
      <c r="N522">
        <f t="shared" ca="1" si="152"/>
        <v>0</v>
      </c>
      <c r="O522">
        <f t="shared" ca="1" si="153"/>
        <v>0</v>
      </c>
      <c r="P522">
        <f t="shared" ca="1" si="154"/>
        <v>0</v>
      </c>
      <c r="Q522">
        <f t="shared" ca="1" si="155"/>
        <v>0</v>
      </c>
      <c r="R522">
        <f t="shared" ca="1" si="156"/>
        <v>0</v>
      </c>
      <c r="S522">
        <f t="shared" ca="1" si="157"/>
        <v>0</v>
      </c>
      <c r="T522">
        <f t="shared" ca="1" si="158"/>
        <v>0</v>
      </c>
      <c r="U522">
        <f t="shared" ca="1" si="159"/>
        <v>0</v>
      </c>
      <c r="V522">
        <f t="shared" ca="1" si="160"/>
        <v>0</v>
      </c>
      <c r="W522">
        <f t="shared" ca="1" si="161"/>
        <v>0</v>
      </c>
      <c r="X522">
        <f t="shared" ca="1" si="162"/>
        <v>0</v>
      </c>
      <c r="Y522">
        <f t="shared" ca="1" si="163"/>
        <v>0</v>
      </c>
      <c r="Z522">
        <f t="shared" ca="1" si="164"/>
        <v>0</v>
      </c>
      <c r="AA522">
        <f t="shared" ca="1" si="165"/>
        <v>0</v>
      </c>
      <c r="AB522">
        <f t="shared" ca="1" si="166"/>
        <v>0</v>
      </c>
      <c r="AC522">
        <f t="shared" ca="1" si="167"/>
        <v>0</v>
      </c>
      <c r="AD522">
        <f t="shared" ca="1" si="168"/>
        <v>0</v>
      </c>
      <c r="AE522">
        <f t="shared" ca="1" si="169"/>
        <v>0</v>
      </c>
      <c r="AF522">
        <f t="shared" ca="1" si="170"/>
        <v>26.928000000000001</v>
      </c>
      <c r="AG522">
        <f t="shared" ca="1" si="171"/>
        <v>0</v>
      </c>
      <c r="AH522">
        <f t="shared" ca="1" si="172"/>
        <v>0</v>
      </c>
      <c r="AI522">
        <f t="shared" ca="1" si="173"/>
        <v>0</v>
      </c>
      <c r="AJ522">
        <f t="shared" ca="1" si="174"/>
        <v>0</v>
      </c>
      <c r="AK522">
        <f t="shared" ca="1" si="175"/>
        <v>0</v>
      </c>
      <c r="AL522">
        <f t="shared" ca="1" si="176"/>
        <v>0</v>
      </c>
      <c r="AM522">
        <f t="shared" ca="1" si="177"/>
        <v>0</v>
      </c>
      <c r="AN522">
        <f t="shared" ca="1" si="178"/>
        <v>0</v>
      </c>
      <c r="AO522">
        <f t="shared" ca="1" si="179"/>
        <v>0</v>
      </c>
      <c r="AP522">
        <f t="shared" ca="1" si="180"/>
        <v>0</v>
      </c>
    </row>
    <row r="523" spans="1:42" x14ac:dyDescent="0.2">
      <c r="A523" s="2" t="s">
        <v>371</v>
      </c>
      <c r="B523" s="2" t="str">
        <f>VLOOKUP(A523,'[14]Calculated coal req (reg.)'!$A$2:$B$599,2,FALSE)</f>
        <v>UNCHAHAR STPS UNIT 3-4</v>
      </c>
      <c r="C523" s="2">
        <v>3.5618410350124399</v>
      </c>
      <c r="D523" s="2"/>
      <c r="H523" t="s">
        <v>1044</v>
      </c>
      <c r="I523">
        <f t="shared" ca="1" si="147"/>
        <v>0</v>
      </c>
      <c r="J523">
        <f t="shared" ca="1" si="148"/>
        <v>0</v>
      </c>
      <c r="K523">
        <f t="shared" ca="1" si="149"/>
        <v>0</v>
      </c>
      <c r="L523">
        <f t="shared" ca="1" si="150"/>
        <v>0</v>
      </c>
      <c r="M523">
        <f t="shared" ca="1" si="151"/>
        <v>2.3844548210420643E-2</v>
      </c>
      <c r="N523">
        <f t="shared" ca="1" si="152"/>
        <v>0</v>
      </c>
      <c r="O523">
        <f t="shared" ca="1" si="153"/>
        <v>0</v>
      </c>
      <c r="P523">
        <f t="shared" ca="1" si="154"/>
        <v>0</v>
      </c>
      <c r="Q523">
        <f t="shared" ca="1" si="155"/>
        <v>12.036914382367636</v>
      </c>
      <c r="R523">
        <f t="shared" ca="1" si="156"/>
        <v>0</v>
      </c>
      <c r="S523">
        <f t="shared" ca="1" si="157"/>
        <v>0</v>
      </c>
      <c r="T523">
        <f t="shared" ca="1" si="158"/>
        <v>16.298827711855317</v>
      </c>
      <c r="U523">
        <f t="shared" ca="1" si="159"/>
        <v>0</v>
      </c>
      <c r="V523">
        <f t="shared" ca="1" si="160"/>
        <v>1.2092461159404482</v>
      </c>
      <c r="W523">
        <f t="shared" ca="1" si="161"/>
        <v>0</v>
      </c>
      <c r="X523">
        <f t="shared" ca="1" si="162"/>
        <v>0</v>
      </c>
      <c r="Y523">
        <f t="shared" ca="1" si="163"/>
        <v>0</v>
      </c>
      <c r="Z523">
        <f t="shared" ca="1" si="164"/>
        <v>0</v>
      </c>
      <c r="AA523">
        <f t="shared" ca="1" si="165"/>
        <v>0</v>
      </c>
      <c r="AB523">
        <f t="shared" ca="1" si="166"/>
        <v>0</v>
      </c>
      <c r="AC523">
        <f t="shared" ca="1" si="167"/>
        <v>0</v>
      </c>
      <c r="AD523">
        <f t="shared" ca="1" si="168"/>
        <v>0</v>
      </c>
      <c r="AE523">
        <f t="shared" ca="1" si="169"/>
        <v>0</v>
      </c>
      <c r="AF523">
        <f t="shared" ca="1" si="170"/>
        <v>0</v>
      </c>
      <c r="AG523">
        <f t="shared" ca="1" si="171"/>
        <v>0</v>
      </c>
      <c r="AH523">
        <f t="shared" ca="1" si="172"/>
        <v>0.18219575689980738</v>
      </c>
      <c r="AI523">
        <f t="shared" ca="1" si="173"/>
        <v>0</v>
      </c>
      <c r="AJ523">
        <f t="shared" ca="1" si="174"/>
        <v>0</v>
      </c>
      <c r="AK523">
        <f t="shared" ca="1" si="175"/>
        <v>0</v>
      </c>
      <c r="AL523">
        <f t="shared" ca="1" si="176"/>
        <v>0</v>
      </c>
      <c r="AM523">
        <f t="shared" ca="1" si="177"/>
        <v>0</v>
      </c>
      <c r="AN523">
        <f t="shared" ca="1" si="178"/>
        <v>0.65045154782925574</v>
      </c>
      <c r="AO523">
        <f t="shared" ca="1" si="179"/>
        <v>0.19851993689711825</v>
      </c>
      <c r="AP523">
        <f t="shared" ca="1" si="180"/>
        <v>0</v>
      </c>
    </row>
    <row r="524" spans="1:42" x14ac:dyDescent="0.2">
      <c r="A524" s="2" t="s">
        <v>323</v>
      </c>
      <c r="B524" s="2" t="str">
        <f>VLOOKUP(A524,'[14]Calculated coal req (reg.)'!$A$2:$B$599,2,FALSE)</f>
        <v>UNCHAHAR STPS UNIT 5</v>
      </c>
      <c r="C524" s="2">
        <v>3.4947396048519499</v>
      </c>
      <c r="D524" s="2"/>
      <c r="H524" t="s">
        <v>1068</v>
      </c>
      <c r="I524">
        <f t="shared" ref="I524:I587" ca="1" si="181">$J67*M67</f>
        <v>0</v>
      </c>
      <c r="J524">
        <f t="shared" ref="J524:J587" ca="1" si="182">$J67*N67</f>
        <v>0</v>
      </c>
      <c r="K524">
        <f t="shared" ref="K524:K587" ca="1" si="183">$J67*O67</f>
        <v>0</v>
      </c>
      <c r="L524">
        <f t="shared" ref="L524:L587" ca="1" si="184">$J67*P67</f>
        <v>0</v>
      </c>
      <c r="M524">
        <f t="shared" ref="M524:M587" ca="1" si="185">$J67*Q67</f>
        <v>0</v>
      </c>
      <c r="N524">
        <f t="shared" ref="N524:N587" ca="1" si="186">$J67*R67</f>
        <v>0</v>
      </c>
      <c r="O524">
        <f t="shared" ref="O524:O587" ca="1" si="187">$J67*S67</f>
        <v>0</v>
      </c>
      <c r="P524">
        <f t="shared" ref="P524:P587" ca="1" si="188">$J67*T67</f>
        <v>0</v>
      </c>
      <c r="Q524">
        <f t="shared" ref="Q524:Q587" ca="1" si="189">$J67*U67</f>
        <v>0</v>
      </c>
      <c r="R524">
        <f t="shared" ref="R524:R587" ca="1" si="190">$J67*V67</f>
        <v>0</v>
      </c>
      <c r="S524">
        <f t="shared" ref="S524:S587" ca="1" si="191">$J67*W67</f>
        <v>0</v>
      </c>
      <c r="T524">
        <f t="shared" ref="T524:T587" ca="1" si="192">$J67*X67</f>
        <v>0</v>
      </c>
      <c r="U524">
        <f t="shared" ref="U524:U587" ca="1" si="193">$J67*Y67</f>
        <v>0</v>
      </c>
      <c r="V524">
        <f t="shared" ref="V524:V587" ca="1" si="194">$J67*Z67</f>
        <v>0</v>
      </c>
      <c r="W524">
        <f t="shared" ref="W524:W587" ca="1" si="195">$J67*AA67</f>
        <v>0</v>
      </c>
      <c r="X524">
        <f t="shared" ref="X524:X587" ca="1" si="196">$J67*AB67</f>
        <v>0</v>
      </c>
      <c r="Y524">
        <f t="shared" ref="Y524:Y587" ca="1" si="197">$J67*AC67</f>
        <v>0</v>
      </c>
      <c r="Z524">
        <f t="shared" ref="Z524:Z587" ca="1" si="198">$J67*AD67</f>
        <v>0</v>
      </c>
      <c r="AA524">
        <f t="shared" ref="AA524:AA587" ca="1" si="199">$J67*AE67</f>
        <v>0</v>
      </c>
      <c r="AB524">
        <f t="shared" ref="AB524:AB587" ca="1" si="200">$J67*AF67</f>
        <v>0</v>
      </c>
      <c r="AC524">
        <f t="shared" ref="AC524:AC587" ca="1" si="201">$J67*AG67</f>
        <v>0</v>
      </c>
      <c r="AD524">
        <f t="shared" ref="AD524:AD587" ca="1" si="202">$J67*AH67</f>
        <v>0</v>
      </c>
      <c r="AE524">
        <f t="shared" ref="AE524:AE587" ca="1" si="203">$J67*AI67</f>
        <v>0</v>
      </c>
      <c r="AF524">
        <f t="shared" ref="AF524:AF587" ca="1" si="204">$J67*AJ67</f>
        <v>0</v>
      </c>
      <c r="AG524">
        <f t="shared" ref="AG524:AG587" ca="1" si="205">$J67*AK67</f>
        <v>0</v>
      </c>
      <c r="AH524">
        <f t="shared" ref="AH524:AH587" ca="1" si="206">$J67*AL67</f>
        <v>0</v>
      </c>
      <c r="AI524">
        <f t="shared" ref="AI524:AI587" ca="1" si="207">$J67*AM67</f>
        <v>0</v>
      </c>
      <c r="AJ524">
        <f t="shared" ref="AJ524:AJ587" ca="1" si="208">$J67*AN67</f>
        <v>0</v>
      </c>
      <c r="AK524">
        <f t="shared" ref="AK524:AK587" ca="1" si="209">$J67*AO67</f>
        <v>12.24</v>
      </c>
      <c r="AL524">
        <f t="shared" ref="AL524:AL587" ca="1" si="210">$J67*AP67</f>
        <v>0</v>
      </c>
      <c r="AM524">
        <f t="shared" ref="AM524:AM587" ca="1" si="211">$J67*AQ67</f>
        <v>0</v>
      </c>
      <c r="AN524">
        <f t="shared" ref="AN524:AN587" ca="1" si="212">$J67*AR67</f>
        <v>0</v>
      </c>
      <c r="AO524">
        <f t="shared" ref="AO524:AO587" ca="1" si="213">$J67*AS67</f>
        <v>0</v>
      </c>
      <c r="AP524">
        <f t="shared" ref="AP524:AP587" ca="1" si="214">$J67*AT67</f>
        <v>0</v>
      </c>
    </row>
    <row r="525" spans="1:42" x14ac:dyDescent="0.2">
      <c r="A525" s="2" t="s">
        <v>336</v>
      </c>
      <c r="B525" s="2" t="str">
        <f>VLOOKUP(A525,'[14]Calculated coal req (reg.)'!$A$2:$B$599,2,FALSE)</f>
        <v>UTRAULA TPS</v>
      </c>
      <c r="C525" s="2">
        <v>0.20608894521249299</v>
      </c>
      <c r="D525" s="2"/>
      <c r="H525" t="s">
        <v>1065</v>
      </c>
      <c r="I525">
        <f t="shared" ca="1" si="181"/>
        <v>0</v>
      </c>
      <c r="J525">
        <f t="shared" ca="1" si="182"/>
        <v>0</v>
      </c>
      <c r="K525">
        <f t="shared" ca="1" si="183"/>
        <v>0</v>
      </c>
      <c r="L525">
        <f t="shared" ca="1" si="184"/>
        <v>0</v>
      </c>
      <c r="M525">
        <f t="shared" ca="1" si="185"/>
        <v>0</v>
      </c>
      <c r="N525">
        <f t="shared" ca="1" si="186"/>
        <v>0</v>
      </c>
      <c r="O525">
        <f t="shared" ca="1" si="187"/>
        <v>0</v>
      </c>
      <c r="P525">
        <f t="shared" ca="1" si="188"/>
        <v>0</v>
      </c>
      <c r="Q525">
        <f t="shared" ca="1" si="189"/>
        <v>0</v>
      </c>
      <c r="R525">
        <f t="shared" ca="1" si="190"/>
        <v>0</v>
      </c>
      <c r="S525">
        <f t="shared" ca="1" si="191"/>
        <v>0</v>
      </c>
      <c r="T525">
        <f t="shared" ca="1" si="192"/>
        <v>0</v>
      </c>
      <c r="U525">
        <f t="shared" ca="1" si="193"/>
        <v>0</v>
      </c>
      <c r="V525">
        <f t="shared" ca="1" si="194"/>
        <v>0</v>
      </c>
      <c r="W525">
        <f t="shared" ca="1" si="195"/>
        <v>0</v>
      </c>
      <c r="X525">
        <f t="shared" ca="1" si="196"/>
        <v>0</v>
      </c>
      <c r="Y525">
        <f t="shared" ca="1" si="197"/>
        <v>0</v>
      </c>
      <c r="Z525">
        <f t="shared" ca="1" si="198"/>
        <v>0</v>
      </c>
      <c r="AA525">
        <f t="shared" ca="1" si="199"/>
        <v>0</v>
      </c>
      <c r="AB525">
        <f t="shared" ca="1" si="200"/>
        <v>0</v>
      </c>
      <c r="AC525">
        <f t="shared" ca="1" si="201"/>
        <v>0</v>
      </c>
      <c r="AD525">
        <f t="shared" ca="1" si="202"/>
        <v>0</v>
      </c>
      <c r="AE525">
        <f t="shared" ca="1" si="203"/>
        <v>0</v>
      </c>
      <c r="AF525">
        <f t="shared" ca="1" si="204"/>
        <v>0</v>
      </c>
      <c r="AG525">
        <f t="shared" ca="1" si="205"/>
        <v>0</v>
      </c>
      <c r="AH525">
        <f t="shared" ca="1" si="206"/>
        <v>0</v>
      </c>
      <c r="AI525">
        <f t="shared" ca="1" si="207"/>
        <v>0</v>
      </c>
      <c r="AJ525">
        <f t="shared" ca="1" si="208"/>
        <v>0</v>
      </c>
      <c r="AK525">
        <f t="shared" ca="1" si="209"/>
        <v>12.24</v>
      </c>
      <c r="AL525">
        <f t="shared" ca="1" si="210"/>
        <v>0</v>
      </c>
      <c r="AM525">
        <f t="shared" ca="1" si="211"/>
        <v>0</v>
      </c>
      <c r="AN525">
        <f t="shared" ca="1" si="212"/>
        <v>0</v>
      </c>
      <c r="AO525">
        <f t="shared" ca="1" si="213"/>
        <v>0</v>
      </c>
      <c r="AP525">
        <f t="shared" ca="1" si="214"/>
        <v>0</v>
      </c>
    </row>
    <row r="526" spans="1:42" x14ac:dyDescent="0.2">
      <c r="A526" s="2" t="s">
        <v>334</v>
      </c>
      <c r="B526" s="2" t="str">
        <f>VLOOKUP(A526,'[14]Calculated coal req (reg.)'!$A$2:$B$599,2,FALSE)</f>
        <v>UTRAULA TPS</v>
      </c>
      <c r="C526" s="2">
        <v>0.19561708141320999</v>
      </c>
      <c r="D526" s="2"/>
      <c r="H526" t="s">
        <v>1188</v>
      </c>
      <c r="I526">
        <f t="shared" ca="1" si="181"/>
        <v>0</v>
      </c>
      <c r="J526">
        <f t="shared" ca="1" si="182"/>
        <v>0</v>
      </c>
      <c r="K526">
        <f t="shared" ca="1" si="183"/>
        <v>0</v>
      </c>
      <c r="L526">
        <f t="shared" ca="1" si="184"/>
        <v>0</v>
      </c>
      <c r="M526">
        <f t="shared" ca="1" si="185"/>
        <v>0</v>
      </c>
      <c r="N526">
        <f t="shared" ca="1" si="186"/>
        <v>0</v>
      </c>
      <c r="O526">
        <f t="shared" ca="1" si="187"/>
        <v>0</v>
      </c>
      <c r="P526">
        <f t="shared" ca="1" si="188"/>
        <v>0</v>
      </c>
      <c r="Q526">
        <f t="shared" ca="1" si="189"/>
        <v>0</v>
      </c>
      <c r="R526">
        <f t="shared" ca="1" si="190"/>
        <v>0</v>
      </c>
      <c r="S526">
        <f t="shared" ca="1" si="191"/>
        <v>0</v>
      </c>
      <c r="T526">
        <f t="shared" ca="1" si="192"/>
        <v>0</v>
      </c>
      <c r="U526">
        <f t="shared" ca="1" si="193"/>
        <v>0</v>
      </c>
      <c r="V526">
        <f t="shared" ca="1" si="194"/>
        <v>0</v>
      </c>
      <c r="W526">
        <f t="shared" ca="1" si="195"/>
        <v>0</v>
      </c>
      <c r="X526">
        <f t="shared" ca="1" si="196"/>
        <v>0</v>
      </c>
      <c r="Y526">
        <f t="shared" ca="1" si="197"/>
        <v>0</v>
      </c>
      <c r="Z526">
        <f t="shared" ca="1" si="198"/>
        <v>0</v>
      </c>
      <c r="AA526">
        <f t="shared" ca="1" si="199"/>
        <v>0</v>
      </c>
      <c r="AB526">
        <f t="shared" ca="1" si="200"/>
        <v>0</v>
      </c>
      <c r="AC526">
        <f t="shared" ca="1" si="201"/>
        <v>0</v>
      </c>
      <c r="AD526">
        <f t="shared" ca="1" si="202"/>
        <v>0</v>
      </c>
      <c r="AE526">
        <f t="shared" ca="1" si="203"/>
        <v>0</v>
      </c>
      <c r="AF526">
        <f t="shared" ca="1" si="204"/>
        <v>0</v>
      </c>
      <c r="AG526">
        <f t="shared" ca="1" si="205"/>
        <v>0</v>
      </c>
      <c r="AH526">
        <f t="shared" ca="1" si="206"/>
        <v>0</v>
      </c>
      <c r="AI526">
        <f t="shared" ca="1" si="207"/>
        <v>0</v>
      </c>
      <c r="AJ526">
        <f t="shared" ca="1" si="208"/>
        <v>0</v>
      </c>
      <c r="AK526">
        <f t="shared" ca="1" si="209"/>
        <v>0</v>
      </c>
      <c r="AL526">
        <f t="shared" ca="1" si="210"/>
        <v>0</v>
      </c>
      <c r="AM526">
        <f t="shared" ca="1" si="211"/>
        <v>0</v>
      </c>
      <c r="AN526">
        <f t="shared" ca="1" si="212"/>
        <v>0</v>
      </c>
      <c r="AO526">
        <f t="shared" ca="1" si="213"/>
        <v>0</v>
      </c>
      <c r="AP526">
        <f t="shared" ca="1" si="214"/>
        <v>0</v>
      </c>
    </row>
    <row r="527" spans="1:42" x14ac:dyDescent="0.2">
      <c r="A527" s="2" t="s">
        <v>449</v>
      </c>
      <c r="B527" s="2" t="str">
        <f>VLOOKUP(A527,'[14]Calculated coal req (reg.)'!$A$2:$B$599,2,FALSE)</f>
        <v>VINDHYACHAL STPS UNIT 1-6</v>
      </c>
      <c r="C527" s="2">
        <v>4.80556729169977</v>
      </c>
      <c r="D527" s="2"/>
      <c r="H527" t="s">
        <v>1127</v>
      </c>
      <c r="I527">
        <f t="shared" ca="1" si="181"/>
        <v>0</v>
      </c>
      <c r="J527">
        <f t="shared" ca="1" si="182"/>
        <v>0</v>
      </c>
      <c r="K527">
        <f t="shared" ca="1" si="183"/>
        <v>0</v>
      </c>
      <c r="L527">
        <f t="shared" ca="1" si="184"/>
        <v>0</v>
      </c>
      <c r="M527">
        <f t="shared" ca="1" si="185"/>
        <v>0</v>
      </c>
      <c r="N527">
        <f t="shared" ca="1" si="186"/>
        <v>0</v>
      </c>
      <c r="O527">
        <f t="shared" ca="1" si="187"/>
        <v>0</v>
      </c>
      <c r="P527">
        <f t="shared" ca="1" si="188"/>
        <v>0</v>
      </c>
      <c r="Q527">
        <f t="shared" ca="1" si="189"/>
        <v>0</v>
      </c>
      <c r="R527">
        <f t="shared" ca="1" si="190"/>
        <v>0</v>
      </c>
      <c r="S527">
        <f t="shared" ca="1" si="191"/>
        <v>0</v>
      </c>
      <c r="T527">
        <f t="shared" ca="1" si="192"/>
        <v>0</v>
      </c>
      <c r="U527">
        <f t="shared" ca="1" si="193"/>
        <v>0</v>
      </c>
      <c r="V527">
        <f t="shared" ca="1" si="194"/>
        <v>0</v>
      </c>
      <c r="W527">
        <f t="shared" ca="1" si="195"/>
        <v>0</v>
      </c>
      <c r="X527">
        <f t="shared" ca="1" si="196"/>
        <v>0</v>
      </c>
      <c r="Y527">
        <f t="shared" ca="1" si="197"/>
        <v>0</v>
      </c>
      <c r="Z527">
        <f t="shared" ca="1" si="198"/>
        <v>0</v>
      </c>
      <c r="AA527">
        <f t="shared" ca="1" si="199"/>
        <v>0</v>
      </c>
      <c r="AB527">
        <f t="shared" ca="1" si="200"/>
        <v>0</v>
      </c>
      <c r="AC527">
        <f t="shared" ca="1" si="201"/>
        <v>0</v>
      </c>
      <c r="AD527">
        <f t="shared" ca="1" si="202"/>
        <v>0</v>
      </c>
      <c r="AE527">
        <f t="shared" ca="1" si="203"/>
        <v>0</v>
      </c>
      <c r="AF527">
        <f t="shared" ca="1" si="204"/>
        <v>0</v>
      </c>
      <c r="AG527">
        <f t="shared" ca="1" si="205"/>
        <v>0</v>
      </c>
      <c r="AH527">
        <f t="shared" ca="1" si="206"/>
        <v>0</v>
      </c>
      <c r="AI527">
        <f t="shared" ca="1" si="207"/>
        <v>0</v>
      </c>
      <c r="AJ527">
        <f t="shared" ca="1" si="208"/>
        <v>0</v>
      </c>
      <c r="AK527">
        <f t="shared" ca="1" si="209"/>
        <v>0</v>
      </c>
      <c r="AL527">
        <f t="shared" ca="1" si="210"/>
        <v>0</v>
      </c>
      <c r="AM527">
        <f t="shared" ca="1" si="211"/>
        <v>0</v>
      </c>
      <c r="AN527">
        <f t="shared" ca="1" si="212"/>
        <v>0</v>
      </c>
      <c r="AO527">
        <f t="shared" ca="1" si="213"/>
        <v>0</v>
      </c>
      <c r="AP527">
        <f t="shared" ca="1" si="214"/>
        <v>0</v>
      </c>
    </row>
    <row r="528" spans="1:42" x14ac:dyDescent="0.2">
      <c r="A528" s="2" t="s">
        <v>444</v>
      </c>
      <c r="B528" s="2" t="str">
        <f>VLOOKUP(A528,'[14]Calculated coal req (reg.)'!$A$2:$B$599,2,FALSE)</f>
        <v>VINDHYACHAL STPS UNIT 1-6</v>
      </c>
      <c r="C528" s="2">
        <v>4.4781807360912396</v>
      </c>
      <c r="D528" s="2"/>
      <c r="H528" t="s">
        <v>1128</v>
      </c>
      <c r="I528">
        <f t="shared" ca="1" si="181"/>
        <v>0</v>
      </c>
      <c r="J528">
        <f t="shared" ca="1" si="182"/>
        <v>0</v>
      </c>
      <c r="K528">
        <f t="shared" ca="1" si="183"/>
        <v>0</v>
      </c>
      <c r="L528">
        <f t="shared" ca="1" si="184"/>
        <v>0</v>
      </c>
      <c r="M528">
        <f t="shared" ca="1" si="185"/>
        <v>0</v>
      </c>
      <c r="N528">
        <f t="shared" ca="1" si="186"/>
        <v>0</v>
      </c>
      <c r="O528">
        <f t="shared" ca="1" si="187"/>
        <v>0</v>
      </c>
      <c r="P528">
        <f t="shared" ca="1" si="188"/>
        <v>0</v>
      </c>
      <c r="Q528">
        <f t="shared" ca="1" si="189"/>
        <v>0</v>
      </c>
      <c r="R528">
        <f t="shared" ca="1" si="190"/>
        <v>0</v>
      </c>
      <c r="S528">
        <f t="shared" ca="1" si="191"/>
        <v>0</v>
      </c>
      <c r="T528">
        <f t="shared" ca="1" si="192"/>
        <v>0</v>
      </c>
      <c r="U528">
        <f t="shared" ca="1" si="193"/>
        <v>0</v>
      </c>
      <c r="V528">
        <f t="shared" ca="1" si="194"/>
        <v>0</v>
      </c>
      <c r="W528">
        <f t="shared" ca="1" si="195"/>
        <v>0</v>
      </c>
      <c r="X528">
        <f t="shared" ca="1" si="196"/>
        <v>0</v>
      </c>
      <c r="Y528">
        <f t="shared" ca="1" si="197"/>
        <v>0</v>
      </c>
      <c r="Z528">
        <f t="shared" ca="1" si="198"/>
        <v>0</v>
      </c>
      <c r="AA528">
        <f t="shared" ca="1" si="199"/>
        <v>0</v>
      </c>
      <c r="AB528">
        <f t="shared" ca="1" si="200"/>
        <v>0</v>
      </c>
      <c r="AC528">
        <f t="shared" ca="1" si="201"/>
        <v>0</v>
      </c>
      <c r="AD528">
        <f t="shared" ca="1" si="202"/>
        <v>0</v>
      </c>
      <c r="AE528">
        <f t="shared" ca="1" si="203"/>
        <v>0</v>
      </c>
      <c r="AF528">
        <f t="shared" ca="1" si="204"/>
        <v>0</v>
      </c>
      <c r="AG528">
        <f t="shared" ca="1" si="205"/>
        <v>0</v>
      </c>
      <c r="AH528">
        <f t="shared" ca="1" si="206"/>
        <v>0</v>
      </c>
      <c r="AI528">
        <f t="shared" ca="1" si="207"/>
        <v>0</v>
      </c>
      <c r="AJ528">
        <f t="shared" ca="1" si="208"/>
        <v>0</v>
      </c>
      <c r="AK528">
        <f t="shared" ca="1" si="209"/>
        <v>0</v>
      </c>
      <c r="AL528">
        <f t="shared" ca="1" si="210"/>
        <v>0</v>
      </c>
      <c r="AM528">
        <f t="shared" ca="1" si="211"/>
        <v>0</v>
      </c>
      <c r="AN528">
        <f t="shared" ca="1" si="212"/>
        <v>0</v>
      </c>
      <c r="AO528">
        <f t="shared" ca="1" si="213"/>
        <v>0</v>
      </c>
      <c r="AP528">
        <f t="shared" ca="1" si="214"/>
        <v>0</v>
      </c>
    </row>
    <row r="529" spans="1:42" x14ac:dyDescent="0.2">
      <c r="A529" s="2" t="s">
        <v>440</v>
      </c>
      <c r="B529" s="2" t="str">
        <f>VLOOKUP(A529,'[14]Calculated coal req (reg.)'!$A$2:$B$599,2,FALSE)</f>
        <v>VINDHYACHAL STPS UNIT 1-6</v>
      </c>
      <c r="C529" s="2">
        <v>4.53215233383093</v>
      </c>
      <c r="D529" s="2"/>
      <c r="H529" t="s">
        <v>1056</v>
      </c>
      <c r="I529">
        <f t="shared" ca="1" si="181"/>
        <v>0</v>
      </c>
      <c r="J529">
        <f t="shared" ca="1" si="182"/>
        <v>0</v>
      </c>
      <c r="K529">
        <f t="shared" ca="1" si="183"/>
        <v>1.6092138354769647</v>
      </c>
      <c r="L529">
        <f t="shared" ca="1" si="184"/>
        <v>2.1172219850073253</v>
      </c>
      <c r="M529">
        <f t="shared" ca="1" si="185"/>
        <v>3.0959290204788238E-3</v>
      </c>
      <c r="N529">
        <f t="shared" ca="1" si="186"/>
        <v>0.46551230721045495</v>
      </c>
      <c r="O529">
        <f t="shared" ca="1" si="187"/>
        <v>9.5271697231226762E-2</v>
      </c>
      <c r="P529">
        <f t="shared" ca="1" si="188"/>
        <v>4.4736059229159693E-2</v>
      </c>
      <c r="Q529">
        <f t="shared" ca="1" si="189"/>
        <v>3.0444520847068981</v>
      </c>
      <c r="R529">
        <f t="shared" ca="1" si="190"/>
        <v>0</v>
      </c>
      <c r="S529">
        <f t="shared" ca="1" si="191"/>
        <v>2.8701766368400325</v>
      </c>
      <c r="T529">
        <f t="shared" ca="1" si="192"/>
        <v>1.3768860726271446</v>
      </c>
      <c r="U529">
        <f t="shared" ca="1" si="193"/>
        <v>0.58744508898991044</v>
      </c>
      <c r="V529">
        <f t="shared" ca="1" si="194"/>
        <v>1.788399172945021</v>
      </c>
      <c r="W529">
        <f t="shared" ca="1" si="195"/>
        <v>0.78015556545932918</v>
      </c>
      <c r="X529">
        <f t="shared" ca="1" si="196"/>
        <v>0</v>
      </c>
      <c r="Y529">
        <f t="shared" ca="1" si="197"/>
        <v>0</v>
      </c>
      <c r="Z529">
        <f t="shared" ca="1" si="198"/>
        <v>1.3196303926721646</v>
      </c>
      <c r="AA529">
        <f t="shared" ca="1" si="199"/>
        <v>2.8623285826418194</v>
      </c>
      <c r="AB529">
        <f t="shared" ca="1" si="200"/>
        <v>0</v>
      </c>
      <c r="AC529">
        <f t="shared" ca="1" si="201"/>
        <v>0</v>
      </c>
      <c r="AD529">
        <f t="shared" ca="1" si="202"/>
        <v>0</v>
      </c>
      <c r="AE529">
        <f t="shared" ca="1" si="203"/>
        <v>0</v>
      </c>
      <c r="AF529">
        <f t="shared" ca="1" si="204"/>
        <v>0.73189410936147448</v>
      </c>
      <c r="AG529">
        <f t="shared" ca="1" si="205"/>
        <v>0</v>
      </c>
      <c r="AH529">
        <f t="shared" ca="1" si="206"/>
        <v>2.4208483287306399</v>
      </c>
      <c r="AI529">
        <f t="shared" ca="1" si="207"/>
        <v>1.6687317700773359</v>
      </c>
      <c r="AJ529">
        <f t="shared" ca="1" si="208"/>
        <v>0.10513177260225645</v>
      </c>
      <c r="AK529">
        <f t="shared" ca="1" si="209"/>
        <v>0</v>
      </c>
      <c r="AL529">
        <f t="shared" ca="1" si="210"/>
        <v>0.2439148203648194</v>
      </c>
      <c r="AM529">
        <f t="shared" ca="1" si="211"/>
        <v>0</v>
      </c>
      <c r="AN529">
        <f t="shared" ca="1" si="212"/>
        <v>4.2312646316025635</v>
      </c>
      <c r="AO529">
        <f t="shared" ca="1" si="213"/>
        <v>0.43368915720297913</v>
      </c>
      <c r="AP529">
        <f t="shared" ca="1" si="214"/>
        <v>0</v>
      </c>
    </row>
    <row r="530" spans="1:42" x14ac:dyDescent="0.2">
      <c r="A530" s="2" t="s">
        <v>433</v>
      </c>
      <c r="B530" s="2" t="str">
        <f>VLOOKUP(A530,'[14]Calculated coal req (reg.)'!$A$2:$B$599,2,FALSE)</f>
        <v>VINDHYACHAL STPS UNIT 1-6</v>
      </c>
      <c r="C530" s="2">
        <v>4.3462526710852902</v>
      </c>
      <c r="D530" s="2"/>
      <c r="H530" t="s">
        <v>1051</v>
      </c>
      <c r="I530">
        <f t="shared" ca="1" si="181"/>
        <v>0</v>
      </c>
      <c r="J530">
        <f t="shared" ca="1" si="182"/>
        <v>0</v>
      </c>
      <c r="K530">
        <f t="shared" ca="1" si="183"/>
        <v>0</v>
      </c>
      <c r="L530">
        <f t="shared" ca="1" si="184"/>
        <v>0</v>
      </c>
      <c r="M530">
        <f t="shared" ca="1" si="185"/>
        <v>0</v>
      </c>
      <c r="N530">
        <f t="shared" ca="1" si="186"/>
        <v>0</v>
      </c>
      <c r="O530">
        <f t="shared" ca="1" si="187"/>
        <v>0</v>
      </c>
      <c r="P530">
        <f t="shared" ca="1" si="188"/>
        <v>0</v>
      </c>
      <c r="Q530">
        <f t="shared" ca="1" si="189"/>
        <v>0</v>
      </c>
      <c r="R530">
        <f t="shared" ca="1" si="190"/>
        <v>0</v>
      </c>
      <c r="S530">
        <f t="shared" ca="1" si="191"/>
        <v>0</v>
      </c>
      <c r="T530">
        <f t="shared" ca="1" si="192"/>
        <v>0</v>
      </c>
      <c r="U530">
        <f t="shared" ca="1" si="193"/>
        <v>0</v>
      </c>
      <c r="V530">
        <f t="shared" ca="1" si="194"/>
        <v>0</v>
      </c>
      <c r="W530">
        <f t="shared" ca="1" si="195"/>
        <v>0</v>
      </c>
      <c r="X530">
        <f t="shared" ca="1" si="196"/>
        <v>0</v>
      </c>
      <c r="Y530">
        <f t="shared" ca="1" si="197"/>
        <v>0</v>
      </c>
      <c r="Z530">
        <f t="shared" ca="1" si="198"/>
        <v>0</v>
      </c>
      <c r="AA530">
        <f t="shared" ca="1" si="199"/>
        <v>0</v>
      </c>
      <c r="AB530">
        <f t="shared" ca="1" si="200"/>
        <v>0</v>
      </c>
      <c r="AC530">
        <f t="shared" ca="1" si="201"/>
        <v>0</v>
      </c>
      <c r="AD530">
        <f t="shared" ca="1" si="202"/>
        <v>0</v>
      </c>
      <c r="AE530">
        <f t="shared" ca="1" si="203"/>
        <v>0</v>
      </c>
      <c r="AF530">
        <f t="shared" ca="1" si="204"/>
        <v>0</v>
      </c>
      <c r="AG530">
        <f t="shared" ca="1" si="205"/>
        <v>0</v>
      </c>
      <c r="AH530">
        <f t="shared" ca="1" si="206"/>
        <v>0</v>
      </c>
      <c r="AI530">
        <f t="shared" ca="1" si="207"/>
        <v>0</v>
      </c>
      <c r="AJ530">
        <f t="shared" ca="1" si="208"/>
        <v>0</v>
      </c>
      <c r="AK530">
        <f t="shared" ca="1" si="209"/>
        <v>0</v>
      </c>
      <c r="AL530">
        <f t="shared" ca="1" si="210"/>
        <v>10.199999999999999</v>
      </c>
      <c r="AM530">
        <f t="shared" ca="1" si="211"/>
        <v>0</v>
      </c>
      <c r="AN530">
        <f t="shared" ca="1" si="212"/>
        <v>0</v>
      </c>
      <c r="AO530">
        <f t="shared" ca="1" si="213"/>
        <v>0</v>
      </c>
      <c r="AP530">
        <f t="shared" ca="1" si="214"/>
        <v>0</v>
      </c>
    </row>
    <row r="531" spans="1:42" x14ac:dyDescent="0.2">
      <c r="A531" s="2" t="s">
        <v>431</v>
      </c>
      <c r="B531" s="2" t="str">
        <f>VLOOKUP(A531,'[14]Calculated coal req (reg.)'!$A$2:$B$599,2,FALSE)</f>
        <v>VINDHYACHAL STPS UNIT 1-6</v>
      </c>
      <c r="C531" s="2">
        <v>4.2731865505109701</v>
      </c>
      <c r="D531" s="2"/>
      <c r="H531" t="s">
        <v>1014</v>
      </c>
      <c r="I531">
        <f t="shared" ca="1" si="181"/>
        <v>0</v>
      </c>
      <c r="J531">
        <f t="shared" ca="1" si="182"/>
        <v>0</v>
      </c>
      <c r="K531">
        <f t="shared" ca="1" si="183"/>
        <v>0</v>
      </c>
      <c r="L531">
        <f t="shared" ca="1" si="184"/>
        <v>0</v>
      </c>
      <c r="M531">
        <f t="shared" ca="1" si="185"/>
        <v>0</v>
      </c>
      <c r="N531">
        <f t="shared" ca="1" si="186"/>
        <v>0</v>
      </c>
      <c r="O531">
        <f t="shared" ca="1" si="187"/>
        <v>0</v>
      </c>
      <c r="P531">
        <f t="shared" ca="1" si="188"/>
        <v>0</v>
      </c>
      <c r="Q531">
        <f t="shared" ca="1" si="189"/>
        <v>0</v>
      </c>
      <c r="R531">
        <f t="shared" ca="1" si="190"/>
        <v>0</v>
      </c>
      <c r="S531">
        <f t="shared" ca="1" si="191"/>
        <v>0</v>
      </c>
      <c r="T531">
        <f t="shared" ca="1" si="192"/>
        <v>0</v>
      </c>
      <c r="U531">
        <f t="shared" ca="1" si="193"/>
        <v>0</v>
      </c>
      <c r="V531">
        <f t="shared" ca="1" si="194"/>
        <v>0</v>
      </c>
      <c r="W531">
        <f t="shared" ca="1" si="195"/>
        <v>0</v>
      </c>
      <c r="X531">
        <f t="shared" ca="1" si="196"/>
        <v>0</v>
      </c>
      <c r="Y531">
        <f t="shared" ca="1" si="197"/>
        <v>0</v>
      </c>
      <c r="Z531">
        <f t="shared" ca="1" si="198"/>
        <v>0</v>
      </c>
      <c r="AA531">
        <f t="shared" ca="1" si="199"/>
        <v>0</v>
      </c>
      <c r="AB531">
        <f t="shared" ca="1" si="200"/>
        <v>0</v>
      </c>
      <c r="AC531">
        <f t="shared" ca="1" si="201"/>
        <v>0</v>
      </c>
      <c r="AD531">
        <f t="shared" ca="1" si="202"/>
        <v>0</v>
      </c>
      <c r="AE531">
        <f t="shared" ca="1" si="203"/>
        <v>0</v>
      </c>
      <c r="AF531">
        <f t="shared" ca="1" si="204"/>
        <v>0</v>
      </c>
      <c r="AG531">
        <f t="shared" ca="1" si="205"/>
        <v>0</v>
      </c>
      <c r="AH531">
        <f t="shared" ca="1" si="206"/>
        <v>0</v>
      </c>
      <c r="AI531">
        <f t="shared" ca="1" si="207"/>
        <v>0</v>
      </c>
      <c r="AJ531">
        <f t="shared" ca="1" si="208"/>
        <v>0</v>
      </c>
      <c r="AK531">
        <f t="shared" ca="1" si="209"/>
        <v>0</v>
      </c>
      <c r="AL531">
        <f t="shared" ca="1" si="210"/>
        <v>12.24</v>
      </c>
      <c r="AM531">
        <f t="shared" ca="1" si="211"/>
        <v>0</v>
      </c>
      <c r="AN531">
        <f t="shared" ca="1" si="212"/>
        <v>0</v>
      </c>
      <c r="AO531">
        <f t="shared" ca="1" si="213"/>
        <v>0</v>
      </c>
      <c r="AP531">
        <f t="shared" ca="1" si="214"/>
        <v>0</v>
      </c>
    </row>
    <row r="532" spans="1:42" x14ac:dyDescent="0.2">
      <c r="A532" s="2" t="s">
        <v>426</v>
      </c>
      <c r="B532" s="2" t="str">
        <f>VLOOKUP(A532,'[14]Calculated coal req (reg.)'!$A$2:$B$599,2,FALSE)</f>
        <v>VINDHYACHAL STPS UNIT 1-6</v>
      </c>
      <c r="C532" s="2">
        <v>4.2758105789159799</v>
      </c>
      <c r="D532" s="2"/>
      <c r="H532" t="s">
        <v>1019</v>
      </c>
      <c r="I532">
        <f t="shared" ca="1" si="181"/>
        <v>0</v>
      </c>
      <c r="J532">
        <f t="shared" ca="1" si="182"/>
        <v>0</v>
      </c>
      <c r="K532">
        <f t="shared" ca="1" si="183"/>
        <v>0</v>
      </c>
      <c r="L532">
        <f t="shared" ca="1" si="184"/>
        <v>0</v>
      </c>
      <c r="M532">
        <f t="shared" ca="1" si="185"/>
        <v>0</v>
      </c>
      <c r="N532">
        <f t="shared" ca="1" si="186"/>
        <v>0</v>
      </c>
      <c r="O532">
        <f t="shared" ca="1" si="187"/>
        <v>0</v>
      </c>
      <c r="P532">
        <f t="shared" ca="1" si="188"/>
        <v>0</v>
      </c>
      <c r="Q532">
        <f t="shared" ca="1" si="189"/>
        <v>0</v>
      </c>
      <c r="R532">
        <f t="shared" ca="1" si="190"/>
        <v>0</v>
      </c>
      <c r="S532">
        <f t="shared" ca="1" si="191"/>
        <v>0</v>
      </c>
      <c r="T532">
        <f t="shared" ca="1" si="192"/>
        <v>0</v>
      </c>
      <c r="U532">
        <f t="shared" ca="1" si="193"/>
        <v>0</v>
      </c>
      <c r="V532">
        <f t="shared" ca="1" si="194"/>
        <v>0</v>
      </c>
      <c r="W532">
        <f t="shared" ca="1" si="195"/>
        <v>0</v>
      </c>
      <c r="X532">
        <f t="shared" ca="1" si="196"/>
        <v>0</v>
      </c>
      <c r="Y532">
        <f t="shared" ca="1" si="197"/>
        <v>0</v>
      </c>
      <c r="Z532">
        <f t="shared" ca="1" si="198"/>
        <v>0</v>
      </c>
      <c r="AA532">
        <f t="shared" ca="1" si="199"/>
        <v>0</v>
      </c>
      <c r="AB532">
        <f t="shared" ca="1" si="200"/>
        <v>0</v>
      </c>
      <c r="AC532">
        <f t="shared" ca="1" si="201"/>
        <v>0</v>
      </c>
      <c r="AD532">
        <f t="shared" ca="1" si="202"/>
        <v>0</v>
      </c>
      <c r="AE532">
        <f t="shared" ca="1" si="203"/>
        <v>0</v>
      </c>
      <c r="AF532">
        <f t="shared" ca="1" si="204"/>
        <v>0</v>
      </c>
      <c r="AG532">
        <f t="shared" ca="1" si="205"/>
        <v>0</v>
      </c>
      <c r="AH532">
        <f t="shared" ca="1" si="206"/>
        <v>0</v>
      </c>
      <c r="AI532">
        <f t="shared" ca="1" si="207"/>
        <v>12.24</v>
      </c>
      <c r="AJ532">
        <f t="shared" ca="1" si="208"/>
        <v>0</v>
      </c>
      <c r="AK532">
        <f t="shared" ca="1" si="209"/>
        <v>0</v>
      </c>
      <c r="AL532">
        <f t="shared" ca="1" si="210"/>
        <v>0</v>
      </c>
      <c r="AM532">
        <f t="shared" ca="1" si="211"/>
        <v>0</v>
      </c>
      <c r="AN532">
        <f t="shared" ca="1" si="212"/>
        <v>0</v>
      </c>
      <c r="AO532">
        <f t="shared" ca="1" si="213"/>
        <v>0</v>
      </c>
      <c r="AP532">
        <f t="shared" ca="1" si="214"/>
        <v>0</v>
      </c>
    </row>
    <row r="533" spans="1:42" x14ac:dyDescent="0.2">
      <c r="A533" s="2" t="s">
        <v>494</v>
      </c>
      <c r="B533" s="2" t="str">
        <f>VLOOKUP(A533,'[14]Calculated coal req (reg.)'!$A$2:$B$599,2,FALSE)</f>
        <v>WANAKBORI TPS UNIT 1-6</v>
      </c>
      <c r="C533" s="2">
        <v>2.11898922983208</v>
      </c>
      <c r="D533" s="2"/>
      <c r="H533" t="s">
        <v>1015</v>
      </c>
      <c r="I533">
        <f t="shared" ca="1" si="181"/>
        <v>0</v>
      </c>
      <c r="J533">
        <f t="shared" ca="1" si="182"/>
        <v>0</v>
      </c>
      <c r="K533">
        <f t="shared" ca="1" si="183"/>
        <v>0</v>
      </c>
      <c r="L533">
        <f t="shared" ca="1" si="184"/>
        <v>0</v>
      </c>
      <c r="M533">
        <f t="shared" ca="1" si="185"/>
        <v>0</v>
      </c>
      <c r="N533">
        <f t="shared" ca="1" si="186"/>
        <v>0</v>
      </c>
      <c r="O533">
        <f t="shared" ca="1" si="187"/>
        <v>0</v>
      </c>
      <c r="P533">
        <f t="shared" ca="1" si="188"/>
        <v>0</v>
      </c>
      <c r="Q533">
        <f t="shared" ca="1" si="189"/>
        <v>0</v>
      </c>
      <c r="R533">
        <f t="shared" ca="1" si="190"/>
        <v>0</v>
      </c>
      <c r="S533">
        <f t="shared" ca="1" si="191"/>
        <v>0</v>
      </c>
      <c r="T533">
        <f t="shared" ca="1" si="192"/>
        <v>0</v>
      </c>
      <c r="U533">
        <f t="shared" ca="1" si="193"/>
        <v>0</v>
      </c>
      <c r="V533">
        <f t="shared" ca="1" si="194"/>
        <v>0</v>
      </c>
      <c r="W533">
        <f t="shared" ca="1" si="195"/>
        <v>0</v>
      </c>
      <c r="X533">
        <f t="shared" ca="1" si="196"/>
        <v>0</v>
      </c>
      <c r="Y533">
        <f t="shared" ca="1" si="197"/>
        <v>0</v>
      </c>
      <c r="Z533">
        <f t="shared" ca="1" si="198"/>
        <v>0</v>
      </c>
      <c r="AA533">
        <f t="shared" ca="1" si="199"/>
        <v>0</v>
      </c>
      <c r="AB533">
        <f t="shared" ca="1" si="200"/>
        <v>0</v>
      </c>
      <c r="AC533">
        <f t="shared" ca="1" si="201"/>
        <v>0</v>
      </c>
      <c r="AD533">
        <f t="shared" ca="1" si="202"/>
        <v>0</v>
      </c>
      <c r="AE533">
        <f t="shared" ca="1" si="203"/>
        <v>0</v>
      </c>
      <c r="AF533">
        <f t="shared" ca="1" si="204"/>
        <v>0</v>
      </c>
      <c r="AG533">
        <f t="shared" ca="1" si="205"/>
        <v>0</v>
      </c>
      <c r="AH533">
        <f t="shared" ca="1" si="206"/>
        <v>0</v>
      </c>
      <c r="AI533">
        <f t="shared" ca="1" si="207"/>
        <v>12.24</v>
      </c>
      <c r="AJ533">
        <f t="shared" ca="1" si="208"/>
        <v>0</v>
      </c>
      <c r="AK533">
        <f t="shared" ca="1" si="209"/>
        <v>0</v>
      </c>
      <c r="AL533">
        <f t="shared" ca="1" si="210"/>
        <v>0</v>
      </c>
      <c r="AM533">
        <f t="shared" ca="1" si="211"/>
        <v>0</v>
      </c>
      <c r="AN533">
        <f t="shared" ca="1" si="212"/>
        <v>0</v>
      </c>
      <c r="AO533">
        <f t="shared" ca="1" si="213"/>
        <v>0</v>
      </c>
      <c r="AP533">
        <f t="shared" ca="1" si="214"/>
        <v>0</v>
      </c>
    </row>
    <row r="534" spans="1:42" x14ac:dyDescent="0.2">
      <c r="A534" s="2" t="s">
        <v>485</v>
      </c>
      <c r="B534" s="2" t="str">
        <f>VLOOKUP(A534,'[14]Calculated coal req (reg.)'!$A$2:$B$599,2,FALSE)</f>
        <v>WANAKBORI TPS UNIT 1-6</v>
      </c>
      <c r="C534" s="2">
        <v>2.2261808045976998</v>
      </c>
      <c r="D534" s="2"/>
      <c r="H534" t="s">
        <v>1072</v>
      </c>
      <c r="I534">
        <f t="shared" ca="1" si="181"/>
        <v>0</v>
      </c>
      <c r="J534">
        <f t="shared" ca="1" si="182"/>
        <v>0</v>
      </c>
      <c r="K534">
        <f t="shared" ca="1" si="183"/>
        <v>0</v>
      </c>
      <c r="L534">
        <f t="shared" ca="1" si="184"/>
        <v>0</v>
      </c>
      <c r="M534">
        <f t="shared" ca="1" si="185"/>
        <v>0</v>
      </c>
      <c r="N534">
        <f t="shared" ca="1" si="186"/>
        <v>0</v>
      </c>
      <c r="O534">
        <f t="shared" ca="1" si="187"/>
        <v>0</v>
      </c>
      <c r="P534">
        <f t="shared" ca="1" si="188"/>
        <v>0</v>
      </c>
      <c r="Q534">
        <f t="shared" ca="1" si="189"/>
        <v>0</v>
      </c>
      <c r="R534">
        <f t="shared" ca="1" si="190"/>
        <v>0</v>
      </c>
      <c r="S534">
        <f t="shared" ca="1" si="191"/>
        <v>0</v>
      </c>
      <c r="T534">
        <f t="shared" ca="1" si="192"/>
        <v>10.866854473781371</v>
      </c>
      <c r="U534">
        <f t="shared" ca="1" si="193"/>
        <v>0</v>
      </c>
      <c r="V534">
        <f t="shared" ca="1" si="194"/>
        <v>0</v>
      </c>
      <c r="W534">
        <f t="shared" ca="1" si="195"/>
        <v>0</v>
      </c>
      <c r="X534">
        <f t="shared" ca="1" si="196"/>
        <v>0</v>
      </c>
      <c r="Y534">
        <f t="shared" ca="1" si="197"/>
        <v>0</v>
      </c>
      <c r="Z534">
        <f t="shared" ca="1" si="198"/>
        <v>0</v>
      </c>
      <c r="AA534">
        <f t="shared" ca="1" si="199"/>
        <v>0</v>
      </c>
      <c r="AB534">
        <f t="shared" ca="1" si="200"/>
        <v>0</v>
      </c>
      <c r="AC534">
        <f t="shared" ca="1" si="201"/>
        <v>0</v>
      </c>
      <c r="AD534">
        <f t="shared" ca="1" si="202"/>
        <v>0</v>
      </c>
      <c r="AE534">
        <f t="shared" ca="1" si="203"/>
        <v>0</v>
      </c>
      <c r="AF534">
        <f t="shared" ca="1" si="204"/>
        <v>10.553145526218628</v>
      </c>
      <c r="AG534">
        <f t="shared" ca="1" si="205"/>
        <v>0</v>
      </c>
      <c r="AH534">
        <f t="shared" ca="1" si="206"/>
        <v>0</v>
      </c>
      <c r="AI534">
        <f t="shared" ca="1" si="207"/>
        <v>0</v>
      </c>
      <c r="AJ534">
        <f t="shared" ca="1" si="208"/>
        <v>0</v>
      </c>
      <c r="AK534">
        <f t="shared" ca="1" si="209"/>
        <v>0</v>
      </c>
      <c r="AL534">
        <f t="shared" ca="1" si="210"/>
        <v>0</v>
      </c>
      <c r="AM534">
        <f t="shared" ca="1" si="211"/>
        <v>0</v>
      </c>
      <c r="AN534">
        <f t="shared" ca="1" si="212"/>
        <v>0</v>
      </c>
      <c r="AO534">
        <f t="shared" ca="1" si="213"/>
        <v>0</v>
      </c>
      <c r="AP534">
        <f t="shared" ca="1" si="214"/>
        <v>0</v>
      </c>
    </row>
    <row r="535" spans="1:42" x14ac:dyDescent="0.2">
      <c r="A535" s="2" t="s">
        <v>472</v>
      </c>
      <c r="B535" s="2" t="str">
        <f>VLOOKUP(A535,'[14]Calculated coal req (reg.)'!$A$2:$B$599,2,FALSE)</f>
        <v>WANAKBORI TPS UNIT 1-6</v>
      </c>
      <c r="C535" s="2">
        <v>3.4454878190308702</v>
      </c>
      <c r="D535" s="2"/>
      <c r="H535" t="s">
        <v>1129</v>
      </c>
      <c r="I535">
        <f t="shared" ca="1" si="181"/>
        <v>0</v>
      </c>
      <c r="J535">
        <f t="shared" ca="1" si="182"/>
        <v>0</v>
      </c>
      <c r="K535">
        <f t="shared" ca="1" si="183"/>
        <v>0</v>
      </c>
      <c r="L535">
        <f t="shared" ca="1" si="184"/>
        <v>0</v>
      </c>
      <c r="M535">
        <f t="shared" ca="1" si="185"/>
        <v>0</v>
      </c>
      <c r="N535">
        <f t="shared" ca="1" si="186"/>
        <v>0</v>
      </c>
      <c r="O535">
        <f t="shared" ca="1" si="187"/>
        <v>0</v>
      </c>
      <c r="P535">
        <f t="shared" ca="1" si="188"/>
        <v>0</v>
      </c>
      <c r="Q535">
        <f t="shared" ca="1" si="189"/>
        <v>0</v>
      </c>
      <c r="R535">
        <f t="shared" ca="1" si="190"/>
        <v>0</v>
      </c>
      <c r="S535">
        <f t="shared" ca="1" si="191"/>
        <v>0</v>
      </c>
      <c r="T535">
        <f t="shared" ca="1" si="192"/>
        <v>0</v>
      </c>
      <c r="U535">
        <f t="shared" ca="1" si="193"/>
        <v>0</v>
      </c>
      <c r="V535">
        <f t="shared" ca="1" si="194"/>
        <v>0</v>
      </c>
      <c r="W535">
        <f t="shared" ca="1" si="195"/>
        <v>0</v>
      </c>
      <c r="X535">
        <f t="shared" ca="1" si="196"/>
        <v>0</v>
      </c>
      <c r="Y535">
        <f t="shared" ca="1" si="197"/>
        <v>0</v>
      </c>
      <c r="Z535">
        <f t="shared" ca="1" si="198"/>
        <v>0</v>
      </c>
      <c r="AA535">
        <f t="shared" ca="1" si="199"/>
        <v>0</v>
      </c>
      <c r="AB535">
        <f t="shared" ca="1" si="200"/>
        <v>0</v>
      </c>
      <c r="AC535">
        <f t="shared" ca="1" si="201"/>
        <v>0</v>
      </c>
      <c r="AD535">
        <f t="shared" ca="1" si="202"/>
        <v>0</v>
      </c>
      <c r="AE535">
        <f t="shared" ca="1" si="203"/>
        <v>0</v>
      </c>
      <c r="AF535">
        <f t="shared" ca="1" si="204"/>
        <v>0</v>
      </c>
      <c r="AG535">
        <f t="shared" ca="1" si="205"/>
        <v>0</v>
      </c>
      <c r="AH535">
        <f t="shared" ca="1" si="206"/>
        <v>0</v>
      </c>
      <c r="AI535">
        <f t="shared" ca="1" si="207"/>
        <v>0</v>
      </c>
      <c r="AJ535">
        <f t="shared" ca="1" si="208"/>
        <v>0</v>
      </c>
      <c r="AK535">
        <f t="shared" ca="1" si="209"/>
        <v>0</v>
      </c>
      <c r="AL535">
        <f t="shared" ca="1" si="210"/>
        <v>0</v>
      </c>
      <c r="AM535">
        <f t="shared" ca="1" si="211"/>
        <v>0</v>
      </c>
      <c r="AN535">
        <f t="shared" ca="1" si="212"/>
        <v>0</v>
      </c>
      <c r="AO535">
        <f t="shared" ca="1" si="213"/>
        <v>0</v>
      </c>
      <c r="AP535">
        <f t="shared" ca="1" si="214"/>
        <v>0</v>
      </c>
    </row>
    <row r="536" spans="1:42" x14ac:dyDescent="0.2">
      <c r="A536" s="2" t="s">
        <v>455</v>
      </c>
      <c r="B536" s="2" t="str">
        <f>VLOOKUP(A536,'[14]Calculated coal req (reg.)'!$A$2:$B$599,2,FALSE)</f>
        <v>WANAKBORI TPS UNIT 1-6</v>
      </c>
      <c r="C536" s="2">
        <v>3.0217055915744102</v>
      </c>
      <c r="D536" s="2"/>
      <c r="H536" t="s">
        <v>1008</v>
      </c>
      <c r="I536">
        <f t="shared" ca="1" si="181"/>
        <v>0</v>
      </c>
      <c r="J536">
        <f t="shared" ca="1" si="182"/>
        <v>0</v>
      </c>
      <c r="K536">
        <f t="shared" ca="1" si="183"/>
        <v>0</v>
      </c>
      <c r="L536">
        <f t="shared" ca="1" si="184"/>
        <v>0</v>
      </c>
      <c r="M536">
        <f t="shared" ca="1" si="185"/>
        <v>0</v>
      </c>
      <c r="N536">
        <f t="shared" ca="1" si="186"/>
        <v>0</v>
      </c>
      <c r="O536">
        <f t="shared" ca="1" si="187"/>
        <v>0</v>
      </c>
      <c r="P536">
        <f t="shared" ca="1" si="188"/>
        <v>0</v>
      </c>
      <c r="Q536">
        <f t="shared" ca="1" si="189"/>
        <v>0</v>
      </c>
      <c r="R536">
        <f t="shared" ca="1" si="190"/>
        <v>0</v>
      </c>
      <c r="S536">
        <f t="shared" ca="1" si="191"/>
        <v>0</v>
      </c>
      <c r="T536">
        <f t="shared" ca="1" si="192"/>
        <v>0</v>
      </c>
      <c r="U536">
        <f t="shared" ca="1" si="193"/>
        <v>0</v>
      </c>
      <c r="V536">
        <f t="shared" ca="1" si="194"/>
        <v>0</v>
      </c>
      <c r="W536">
        <f t="shared" ca="1" si="195"/>
        <v>0</v>
      </c>
      <c r="X536">
        <f t="shared" ca="1" si="196"/>
        <v>0</v>
      </c>
      <c r="Y536">
        <f t="shared" ca="1" si="197"/>
        <v>0</v>
      </c>
      <c r="Z536">
        <f t="shared" ca="1" si="198"/>
        <v>0</v>
      </c>
      <c r="AA536">
        <f t="shared" ca="1" si="199"/>
        <v>0</v>
      </c>
      <c r="AB536">
        <f t="shared" ca="1" si="200"/>
        <v>0</v>
      </c>
      <c r="AC536">
        <f t="shared" ca="1" si="201"/>
        <v>0</v>
      </c>
      <c r="AD536">
        <f t="shared" ca="1" si="202"/>
        <v>0</v>
      </c>
      <c r="AE536">
        <f t="shared" ca="1" si="203"/>
        <v>0</v>
      </c>
      <c r="AF536">
        <f t="shared" ca="1" si="204"/>
        <v>0</v>
      </c>
      <c r="AG536">
        <f t="shared" ca="1" si="205"/>
        <v>0</v>
      </c>
      <c r="AH536">
        <f t="shared" ca="1" si="206"/>
        <v>0</v>
      </c>
      <c r="AI536">
        <f t="shared" ca="1" si="207"/>
        <v>26.928000000000001</v>
      </c>
      <c r="AJ536">
        <f t="shared" ca="1" si="208"/>
        <v>0</v>
      </c>
      <c r="AK536">
        <f t="shared" ca="1" si="209"/>
        <v>0</v>
      </c>
      <c r="AL536">
        <f t="shared" ca="1" si="210"/>
        <v>0</v>
      </c>
      <c r="AM536">
        <f t="shared" ca="1" si="211"/>
        <v>0</v>
      </c>
      <c r="AN536">
        <f t="shared" ca="1" si="212"/>
        <v>0</v>
      </c>
      <c r="AO536">
        <f t="shared" ca="1" si="213"/>
        <v>0</v>
      </c>
      <c r="AP536">
        <f t="shared" ca="1" si="214"/>
        <v>0</v>
      </c>
    </row>
    <row r="537" spans="1:42" x14ac:dyDescent="0.2">
      <c r="A537" s="2" t="s">
        <v>453</v>
      </c>
      <c r="B537" s="2" t="str">
        <f>VLOOKUP(A537,'[14]Calculated coal req (reg.)'!$A$2:$B$599,2,FALSE)</f>
        <v>WANAKBORI TPS UNIT 1-6</v>
      </c>
      <c r="C537" s="2">
        <v>2.8977259441707699</v>
      </c>
      <c r="D537" s="2"/>
      <c r="H537" t="s">
        <v>1130</v>
      </c>
      <c r="I537">
        <f t="shared" ca="1" si="181"/>
        <v>0</v>
      </c>
      <c r="J537">
        <f t="shared" ca="1" si="182"/>
        <v>0</v>
      </c>
      <c r="K537">
        <f t="shared" ca="1" si="183"/>
        <v>0</v>
      </c>
      <c r="L537">
        <f t="shared" ca="1" si="184"/>
        <v>0</v>
      </c>
      <c r="M537">
        <f t="shared" ca="1" si="185"/>
        <v>0</v>
      </c>
      <c r="N537">
        <f t="shared" ca="1" si="186"/>
        <v>0</v>
      </c>
      <c r="O537">
        <f t="shared" ca="1" si="187"/>
        <v>0</v>
      </c>
      <c r="P537">
        <f t="shared" ca="1" si="188"/>
        <v>0</v>
      </c>
      <c r="Q537">
        <f t="shared" ca="1" si="189"/>
        <v>0</v>
      </c>
      <c r="R537">
        <f t="shared" ca="1" si="190"/>
        <v>0</v>
      </c>
      <c r="S537">
        <f t="shared" ca="1" si="191"/>
        <v>0</v>
      </c>
      <c r="T537">
        <f t="shared" ca="1" si="192"/>
        <v>0</v>
      </c>
      <c r="U537">
        <f t="shared" ca="1" si="193"/>
        <v>0</v>
      </c>
      <c r="V537">
        <f t="shared" ca="1" si="194"/>
        <v>0</v>
      </c>
      <c r="W537">
        <f t="shared" ca="1" si="195"/>
        <v>0</v>
      </c>
      <c r="X537">
        <f t="shared" ca="1" si="196"/>
        <v>0</v>
      </c>
      <c r="Y537">
        <f t="shared" ca="1" si="197"/>
        <v>0</v>
      </c>
      <c r="Z537">
        <f t="shared" ca="1" si="198"/>
        <v>0</v>
      </c>
      <c r="AA537">
        <f t="shared" ca="1" si="199"/>
        <v>0</v>
      </c>
      <c r="AB537">
        <f t="shared" ca="1" si="200"/>
        <v>0</v>
      </c>
      <c r="AC537">
        <f t="shared" ca="1" si="201"/>
        <v>0</v>
      </c>
      <c r="AD537">
        <f t="shared" ca="1" si="202"/>
        <v>0</v>
      </c>
      <c r="AE537">
        <f t="shared" ca="1" si="203"/>
        <v>0</v>
      </c>
      <c r="AF537">
        <f t="shared" ca="1" si="204"/>
        <v>0</v>
      </c>
      <c r="AG537">
        <f t="shared" ca="1" si="205"/>
        <v>0</v>
      </c>
      <c r="AH537">
        <f t="shared" ca="1" si="206"/>
        <v>0</v>
      </c>
      <c r="AI537">
        <f t="shared" ca="1" si="207"/>
        <v>0</v>
      </c>
      <c r="AJ537">
        <f t="shared" ca="1" si="208"/>
        <v>0</v>
      </c>
      <c r="AK537">
        <f t="shared" ca="1" si="209"/>
        <v>0</v>
      </c>
      <c r="AL537">
        <f t="shared" ca="1" si="210"/>
        <v>0</v>
      </c>
      <c r="AM537">
        <f t="shared" ca="1" si="211"/>
        <v>0</v>
      </c>
      <c r="AN537">
        <f t="shared" ca="1" si="212"/>
        <v>0</v>
      </c>
      <c r="AO537">
        <f t="shared" ca="1" si="213"/>
        <v>0</v>
      </c>
      <c r="AP537">
        <f t="shared" ca="1" si="214"/>
        <v>0</v>
      </c>
    </row>
    <row r="538" spans="1:42" x14ac:dyDescent="0.2">
      <c r="A538" s="2" t="s">
        <v>448</v>
      </c>
      <c r="B538" s="2" t="str">
        <f>VLOOKUP(A538,'[14]Calculated coal req (reg.)'!$A$2:$B$599,2,FALSE)</f>
        <v>WANAKBORI TPS UNIT 1-6</v>
      </c>
      <c r="C538" s="2">
        <v>2.9243829129367702</v>
      </c>
      <c r="D538" s="2"/>
      <c r="H538" t="s">
        <v>1131</v>
      </c>
      <c r="I538">
        <f t="shared" ca="1" si="181"/>
        <v>0</v>
      </c>
      <c r="J538">
        <f t="shared" ca="1" si="182"/>
        <v>0</v>
      </c>
      <c r="K538">
        <f t="shared" ca="1" si="183"/>
        <v>0</v>
      </c>
      <c r="L538">
        <f t="shared" ca="1" si="184"/>
        <v>0</v>
      </c>
      <c r="M538">
        <f t="shared" ca="1" si="185"/>
        <v>0</v>
      </c>
      <c r="N538">
        <f t="shared" ca="1" si="186"/>
        <v>0</v>
      </c>
      <c r="O538">
        <f t="shared" ca="1" si="187"/>
        <v>0</v>
      </c>
      <c r="P538">
        <f t="shared" ca="1" si="188"/>
        <v>0</v>
      </c>
      <c r="Q538">
        <f t="shared" ca="1" si="189"/>
        <v>0</v>
      </c>
      <c r="R538">
        <f t="shared" ca="1" si="190"/>
        <v>0</v>
      </c>
      <c r="S538">
        <f t="shared" ca="1" si="191"/>
        <v>0</v>
      </c>
      <c r="T538">
        <f t="shared" ca="1" si="192"/>
        <v>0</v>
      </c>
      <c r="U538">
        <f t="shared" ca="1" si="193"/>
        <v>0</v>
      </c>
      <c r="V538">
        <f t="shared" ca="1" si="194"/>
        <v>0</v>
      </c>
      <c r="W538">
        <f t="shared" ca="1" si="195"/>
        <v>0</v>
      </c>
      <c r="X538">
        <f t="shared" ca="1" si="196"/>
        <v>0</v>
      </c>
      <c r="Y538">
        <f t="shared" ca="1" si="197"/>
        <v>0</v>
      </c>
      <c r="Z538">
        <f t="shared" ca="1" si="198"/>
        <v>0</v>
      </c>
      <c r="AA538">
        <f t="shared" ca="1" si="199"/>
        <v>0</v>
      </c>
      <c r="AB538">
        <f t="shared" ca="1" si="200"/>
        <v>0</v>
      </c>
      <c r="AC538">
        <f t="shared" ca="1" si="201"/>
        <v>0</v>
      </c>
      <c r="AD538">
        <f t="shared" ca="1" si="202"/>
        <v>0</v>
      </c>
      <c r="AE538">
        <f t="shared" ca="1" si="203"/>
        <v>0</v>
      </c>
      <c r="AF538">
        <f t="shared" ca="1" si="204"/>
        <v>0</v>
      </c>
      <c r="AG538">
        <f t="shared" ca="1" si="205"/>
        <v>0</v>
      </c>
      <c r="AH538">
        <f t="shared" ca="1" si="206"/>
        <v>0</v>
      </c>
      <c r="AI538">
        <f t="shared" ca="1" si="207"/>
        <v>0</v>
      </c>
      <c r="AJ538">
        <f t="shared" ca="1" si="208"/>
        <v>0</v>
      </c>
      <c r="AK538">
        <f t="shared" ca="1" si="209"/>
        <v>0</v>
      </c>
      <c r="AL538">
        <f t="shared" ca="1" si="210"/>
        <v>0</v>
      </c>
      <c r="AM538">
        <f t="shared" ca="1" si="211"/>
        <v>0</v>
      </c>
      <c r="AN538">
        <f t="shared" ca="1" si="212"/>
        <v>0</v>
      </c>
      <c r="AO538">
        <f t="shared" ca="1" si="213"/>
        <v>0</v>
      </c>
      <c r="AP538">
        <f t="shared" ca="1" si="214"/>
        <v>0</v>
      </c>
    </row>
    <row r="539" spans="1:42" x14ac:dyDescent="0.2">
      <c r="A539" s="2" t="s">
        <v>380</v>
      </c>
      <c r="B539" s="2" t="str">
        <f>VLOOKUP(A539,'[14]Calculated coal req (reg.)'!$A$2:$B$599,2,FALSE)</f>
        <v>WANAKBORI TPS UNIT 7</v>
      </c>
      <c r="C539" s="2">
        <v>3.8713607908257801</v>
      </c>
      <c r="D539" s="2"/>
      <c r="H539" t="s">
        <v>1048</v>
      </c>
      <c r="I539">
        <f t="shared" ca="1" si="181"/>
        <v>0</v>
      </c>
      <c r="J539">
        <f t="shared" ca="1" si="182"/>
        <v>0</v>
      </c>
      <c r="K539">
        <f t="shared" ca="1" si="183"/>
        <v>0</v>
      </c>
      <c r="L539">
        <f t="shared" ca="1" si="184"/>
        <v>0</v>
      </c>
      <c r="M539">
        <f t="shared" ca="1" si="185"/>
        <v>0</v>
      </c>
      <c r="N539">
        <f t="shared" ca="1" si="186"/>
        <v>0</v>
      </c>
      <c r="O539">
        <f t="shared" ca="1" si="187"/>
        <v>0</v>
      </c>
      <c r="P539">
        <f t="shared" ca="1" si="188"/>
        <v>0</v>
      </c>
      <c r="Q539">
        <f t="shared" ca="1" si="189"/>
        <v>0</v>
      </c>
      <c r="R539">
        <f t="shared" ca="1" si="190"/>
        <v>0</v>
      </c>
      <c r="S539">
        <f t="shared" ca="1" si="191"/>
        <v>0</v>
      </c>
      <c r="T539">
        <f t="shared" ca="1" si="192"/>
        <v>0</v>
      </c>
      <c r="U539">
        <f t="shared" ca="1" si="193"/>
        <v>0</v>
      </c>
      <c r="V539">
        <f t="shared" ca="1" si="194"/>
        <v>0</v>
      </c>
      <c r="W539">
        <f t="shared" ca="1" si="195"/>
        <v>0</v>
      </c>
      <c r="X539">
        <f t="shared" ca="1" si="196"/>
        <v>0</v>
      </c>
      <c r="Y539">
        <f t="shared" ca="1" si="197"/>
        <v>0</v>
      </c>
      <c r="Z539">
        <f t="shared" ca="1" si="198"/>
        <v>0</v>
      </c>
      <c r="AA539">
        <f t="shared" ca="1" si="199"/>
        <v>10.199999999999999</v>
      </c>
      <c r="AB539">
        <f t="shared" ca="1" si="200"/>
        <v>0</v>
      </c>
      <c r="AC539">
        <f t="shared" ca="1" si="201"/>
        <v>0</v>
      </c>
      <c r="AD539">
        <f t="shared" ca="1" si="202"/>
        <v>0</v>
      </c>
      <c r="AE539">
        <f t="shared" ca="1" si="203"/>
        <v>0</v>
      </c>
      <c r="AF539">
        <f t="shared" ca="1" si="204"/>
        <v>0</v>
      </c>
      <c r="AG539">
        <f t="shared" ca="1" si="205"/>
        <v>0</v>
      </c>
      <c r="AH539">
        <f t="shared" ca="1" si="206"/>
        <v>0</v>
      </c>
      <c r="AI539">
        <f t="shared" ca="1" si="207"/>
        <v>0</v>
      </c>
      <c r="AJ539">
        <f t="shared" ca="1" si="208"/>
        <v>0</v>
      </c>
      <c r="AK539">
        <f t="shared" ca="1" si="209"/>
        <v>0</v>
      </c>
      <c r="AL539">
        <f t="shared" ca="1" si="210"/>
        <v>0</v>
      </c>
      <c r="AM539">
        <f t="shared" ca="1" si="211"/>
        <v>0</v>
      </c>
      <c r="AN539">
        <f t="shared" ca="1" si="212"/>
        <v>0</v>
      </c>
      <c r="AO539">
        <f t="shared" ca="1" si="213"/>
        <v>0</v>
      </c>
      <c r="AP539">
        <f t="shared" ca="1" si="214"/>
        <v>0</v>
      </c>
    </row>
    <row r="540" spans="1:42" x14ac:dyDescent="0.2">
      <c r="A540" s="2" t="s">
        <v>317</v>
      </c>
      <c r="B540" s="2"/>
      <c r="C540" s="2">
        <v>0.11651170356549</v>
      </c>
      <c r="D540" s="2"/>
      <c r="H540" t="s">
        <v>984</v>
      </c>
      <c r="I540">
        <f t="shared" ca="1" si="181"/>
        <v>1.339308164001614</v>
      </c>
      <c r="J540">
        <f t="shared" ca="1" si="182"/>
        <v>0</v>
      </c>
      <c r="K540">
        <f t="shared" ca="1" si="183"/>
        <v>0</v>
      </c>
      <c r="L540">
        <f t="shared" ca="1" si="184"/>
        <v>0</v>
      </c>
      <c r="M540">
        <f t="shared" ca="1" si="185"/>
        <v>0</v>
      </c>
      <c r="N540">
        <f t="shared" ca="1" si="186"/>
        <v>8.1833036927510854</v>
      </c>
      <c r="O540">
        <f t="shared" ca="1" si="187"/>
        <v>0</v>
      </c>
      <c r="P540">
        <f t="shared" ca="1" si="188"/>
        <v>0</v>
      </c>
      <c r="Q540">
        <f t="shared" ca="1" si="189"/>
        <v>0</v>
      </c>
      <c r="R540">
        <f t="shared" ca="1" si="190"/>
        <v>1.735150507764794</v>
      </c>
      <c r="S540">
        <f t="shared" ca="1" si="191"/>
        <v>0</v>
      </c>
      <c r="T540">
        <f t="shared" ca="1" si="192"/>
        <v>0</v>
      </c>
      <c r="U540">
        <f t="shared" ca="1" si="193"/>
        <v>0</v>
      </c>
      <c r="V540">
        <f t="shared" ca="1" si="194"/>
        <v>0.85510497302577115</v>
      </c>
      <c r="W540">
        <f t="shared" ca="1" si="195"/>
        <v>0</v>
      </c>
      <c r="X540">
        <f t="shared" ca="1" si="196"/>
        <v>0</v>
      </c>
      <c r="Y540">
        <f t="shared" ca="1" si="197"/>
        <v>0</v>
      </c>
      <c r="Z540">
        <f t="shared" ca="1" si="198"/>
        <v>0</v>
      </c>
      <c r="AA540">
        <f t="shared" ca="1" si="199"/>
        <v>0</v>
      </c>
      <c r="AB540">
        <f t="shared" ca="1" si="200"/>
        <v>0</v>
      </c>
      <c r="AC540">
        <f t="shared" ca="1" si="201"/>
        <v>0</v>
      </c>
      <c r="AD540">
        <f t="shared" ca="1" si="202"/>
        <v>0</v>
      </c>
      <c r="AE540">
        <f t="shared" ca="1" si="203"/>
        <v>0</v>
      </c>
      <c r="AF540">
        <f t="shared" ca="1" si="204"/>
        <v>0</v>
      </c>
      <c r="AG540">
        <f t="shared" ca="1" si="205"/>
        <v>0</v>
      </c>
      <c r="AH540">
        <f t="shared" ca="1" si="206"/>
        <v>0</v>
      </c>
      <c r="AI540">
        <f t="shared" ca="1" si="207"/>
        <v>0</v>
      </c>
      <c r="AJ540">
        <f t="shared" ca="1" si="208"/>
        <v>0</v>
      </c>
      <c r="AK540">
        <f t="shared" ca="1" si="209"/>
        <v>0</v>
      </c>
      <c r="AL540">
        <f t="shared" ca="1" si="210"/>
        <v>1.3511326624567359</v>
      </c>
      <c r="AM540">
        <f t="shared" ca="1" si="211"/>
        <v>0</v>
      </c>
      <c r="AN540">
        <f t="shared" ca="1" si="212"/>
        <v>0</v>
      </c>
      <c r="AO540">
        <f t="shared" ca="1" si="213"/>
        <v>0</v>
      </c>
      <c r="AP540">
        <f t="shared" ca="1" si="214"/>
        <v>0</v>
      </c>
    </row>
    <row r="541" spans="1:42" x14ac:dyDescent="0.2">
      <c r="A541" s="2" t="s">
        <v>316</v>
      </c>
      <c r="B541" s="2"/>
      <c r="C541" s="2">
        <v>0.89608584569986405</v>
      </c>
      <c r="D541" s="2"/>
      <c r="H541" t="s">
        <v>1039</v>
      </c>
      <c r="I541">
        <f t="shared" ca="1" si="181"/>
        <v>0</v>
      </c>
      <c r="J541">
        <f t="shared" ca="1" si="182"/>
        <v>0</v>
      </c>
      <c r="K541">
        <f t="shared" ca="1" si="183"/>
        <v>0</v>
      </c>
      <c r="L541">
        <f t="shared" ca="1" si="184"/>
        <v>0</v>
      </c>
      <c r="M541">
        <f t="shared" ca="1" si="185"/>
        <v>0</v>
      </c>
      <c r="N541">
        <f t="shared" ca="1" si="186"/>
        <v>0</v>
      </c>
      <c r="O541">
        <f t="shared" ca="1" si="187"/>
        <v>0</v>
      </c>
      <c r="P541">
        <f t="shared" ca="1" si="188"/>
        <v>0</v>
      </c>
      <c r="Q541">
        <f t="shared" ca="1" si="189"/>
        <v>0</v>
      </c>
      <c r="R541">
        <f t="shared" ca="1" si="190"/>
        <v>0</v>
      </c>
      <c r="S541">
        <f t="shared" ca="1" si="191"/>
        <v>0</v>
      </c>
      <c r="T541">
        <f t="shared" ca="1" si="192"/>
        <v>5.6661099583632479</v>
      </c>
      <c r="U541">
        <f t="shared" ca="1" si="193"/>
        <v>0</v>
      </c>
      <c r="V541">
        <f t="shared" ca="1" si="194"/>
        <v>0</v>
      </c>
      <c r="W541">
        <f t="shared" ca="1" si="195"/>
        <v>0</v>
      </c>
      <c r="X541">
        <f t="shared" ca="1" si="196"/>
        <v>14.73389004163675</v>
      </c>
      <c r="Y541">
        <f t="shared" ca="1" si="197"/>
        <v>0</v>
      </c>
      <c r="Z541">
        <f t="shared" ca="1" si="198"/>
        <v>0</v>
      </c>
      <c r="AA541">
        <f t="shared" ca="1" si="199"/>
        <v>0</v>
      </c>
      <c r="AB541">
        <f t="shared" ca="1" si="200"/>
        <v>0</v>
      </c>
      <c r="AC541">
        <f t="shared" ca="1" si="201"/>
        <v>0</v>
      </c>
      <c r="AD541">
        <f t="shared" ca="1" si="202"/>
        <v>0</v>
      </c>
      <c r="AE541">
        <f t="shared" ca="1" si="203"/>
        <v>0</v>
      </c>
      <c r="AF541">
        <f t="shared" ca="1" si="204"/>
        <v>0</v>
      </c>
      <c r="AG541">
        <f t="shared" ca="1" si="205"/>
        <v>0</v>
      </c>
      <c r="AH541">
        <f t="shared" ca="1" si="206"/>
        <v>0</v>
      </c>
      <c r="AI541">
        <f t="shared" ca="1" si="207"/>
        <v>0</v>
      </c>
      <c r="AJ541">
        <f t="shared" ca="1" si="208"/>
        <v>0</v>
      </c>
      <c r="AK541">
        <f t="shared" ca="1" si="209"/>
        <v>0</v>
      </c>
      <c r="AL541">
        <f t="shared" ca="1" si="210"/>
        <v>0</v>
      </c>
      <c r="AM541">
        <f t="shared" ca="1" si="211"/>
        <v>0</v>
      </c>
      <c r="AN541">
        <f t="shared" ca="1" si="212"/>
        <v>0</v>
      </c>
      <c r="AO541">
        <f t="shared" ca="1" si="213"/>
        <v>0</v>
      </c>
      <c r="AP541">
        <f t="shared" ca="1" si="214"/>
        <v>0</v>
      </c>
    </row>
    <row r="542" spans="1:42" x14ac:dyDescent="0.2">
      <c r="A542" s="2" t="s">
        <v>312</v>
      </c>
      <c r="B542" s="2"/>
      <c r="C542" s="2">
        <v>0.95140451136183002</v>
      </c>
      <c r="D542" s="2"/>
      <c r="H542" t="s">
        <v>1132</v>
      </c>
      <c r="I542">
        <f t="shared" ca="1" si="181"/>
        <v>0</v>
      </c>
      <c r="J542">
        <f t="shared" ca="1" si="182"/>
        <v>0</v>
      </c>
      <c r="K542">
        <f t="shared" ca="1" si="183"/>
        <v>0</v>
      </c>
      <c r="L542">
        <f t="shared" ca="1" si="184"/>
        <v>0</v>
      </c>
      <c r="M542">
        <f t="shared" ca="1" si="185"/>
        <v>0</v>
      </c>
      <c r="N542">
        <f t="shared" ca="1" si="186"/>
        <v>0</v>
      </c>
      <c r="O542">
        <f t="shared" ca="1" si="187"/>
        <v>0</v>
      </c>
      <c r="P542">
        <f t="shared" ca="1" si="188"/>
        <v>0</v>
      </c>
      <c r="Q542">
        <f t="shared" ca="1" si="189"/>
        <v>0</v>
      </c>
      <c r="R542">
        <f t="shared" ca="1" si="190"/>
        <v>0</v>
      </c>
      <c r="S542">
        <f t="shared" ca="1" si="191"/>
        <v>0</v>
      </c>
      <c r="T542">
        <f t="shared" ca="1" si="192"/>
        <v>0</v>
      </c>
      <c r="U542">
        <f t="shared" ca="1" si="193"/>
        <v>0</v>
      </c>
      <c r="V542">
        <f t="shared" ca="1" si="194"/>
        <v>0</v>
      </c>
      <c r="W542">
        <f t="shared" ca="1" si="195"/>
        <v>0</v>
      </c>
      <c r="X542">
        <f t="shared" ca="1" si="196"/>
        <v>0</v>
      </c>
      <c r="Y542">
        <f t="shared" ca="1" si="197"/>
        <v>0</v>
      </c>
      <c r="Z542">
        <f t="shared" ca="1" si="198"/>
        <v>0</v>
      </c>
      <c r="AA542">
        <f t="shared" ca="1" si="199"/>
        <v>0</v>
      </c>
      <c r="AB542">
        <f t="shared" ca="1" si="200"/>
        <v>0</v>
      </c>
      <c r="AC542">
        <f t="shared" ca="1" si="201"/>
        <v>0</v>
      </c>
      <c r="AD542">
        <f t="shared" ca="1" si="202"/>
        <v>0</v>
      </c>
      <c r="AE542">
        <f t="shared" ca="1" si="203"/>
        <v>0</v>
      </c>
      <c r="AF542">
        <f t="shared" ca="1" si="204"/>
        <v>0</v>
      </c>
      <c r="AG542">
        <f t="shared" ca="1" si="205"/>
        <v>0</v>
      </c>
      <c r="AH542">
        <f t="shared" ca="1" si="206"/>
        <v>0</v>
      </c>
      <c r="AI542">
        <f t="shared" ca="1" si="207"/>
        <v>0</v>
      </c>
      <c r="AJ542">
        <f t="shared" ca="1" si="208"/>
        <v>0</v>
      </c>
      <c r="AK542">
        <f t="shared" ca="1" si="209"/>
        <v>0</v>
      </c>
      <c r="AL542">
        <f t="shared" ca="1" si="210"/>
        <v>0</v>
      </c>
      <c r="AM542">
        <f t="shared" ca="1" si="211"/>
        <v>0</v>
      </c>
      <c r="AN542">
        <f t="shared" ca="1" si="212"/>
        <v>0</v>
      </c>
      <c r="AO542">
        <f t="shared" ca="1" si="213"/>
        <v>0</v>
      </c>
      <c r="AP542">
        <f t="shared" ca="1" si="214"/>
        <v>0</v>
      </c>
    </row>
    <row r="543" spans="1:42" x14ac:dyDescent="0.2">
      <c r="H543" t="s">
        <v>1133</v>
      </c>
      <c r="I543">
        <f t="shared" ca="1" si="181"/>
        <v>0</v>
      </c>
      <c r="J543">
        <f t="shared" ca="1" si="182"/>
        <v>0</v>
      </c>
      <c r="K543">
        <f t="shared" ca="1" si="183"/>
        <v>0</v>
      </c>
      <c r="L543">
        <f t="shared" ca="1" si="184"/>
        <v>0</v>
      </c>
      <c r="M543">
        <f t="shared" ca="1" si="185"/>
        <v>0</v>
      </c>
      <c r="N543">
        <f t="shared" ca="1" si="186"/>
        <v>0</v>
      </c>
      <c r="O543">
        <f t="shared" ca="1" si="187"/>
        <v>0</v>
      </c>
      <c r="P543">
        <f t="shared" ca="1" si="188"/>
        <v>0</v>
      </c>
      <c r="Q543">
        <f t="shared" ca="1" si="189"/>
        <v>0</v>
      </c>
      <c r="R543">
        <f t="shared" ca="1" si="190"/>
        <v>0</v>
      </c>
      <c r="S543">
        <f t="shared" ca="1" si="191"/>
        <v>0</v>
      </c>
      <c r="T543">
        <f t="shared" ca="1" si="192"/>
        <v>0</v>
      </c>
      <c r="U543">
        <f t="shared" ca="1" si="193"/>
        <v>0</v>
      </c>
      <c r="V543">
        <f t="shared" ca="1" si="194"/>
        <v>0</v>
      </c>
      <c r="W543">
        <f t="shared" ca="1" si="195"/>
        <v>0</v>
      </c>
      <c r="X543">
        <f t="shared" ca="1" si="196"/>
        <v>0</v>
      </c>
      <c r="Y543">
        <f t="shared" ca="1" si="197"/>
        <v>0</v>
      </c>
      <c r="Z543">
        <f t="shared" ca="1" si="198"/>
        <v>0</v>
      </c>
      <c r="AA543">
        <f t="shared" ca="1" si="199"/>
        <v>0</v>
      </c>
      <c r="AB543">
        <f t="shared" ca="1" si="200"/>
        <v>0</v>
      </c>
      <c r="AC543">
        <f t="shared" ca="1" si="201"/>
        <v>0</v>
      </c>
      <c r="AD543">
        <f t="shared" ca="1" si="202"/>
        <v>0</v>
      </c>
      <c r="AE543">
        <f t="shared" ca="1" si="203"/>
        <v>0</v>
      </c>
      <c r="AF543">
        <f t="shared" ca="1" si="204"/>
        <v>0</v>
      </c>
      <c r="AG543">
        <f t="shared" ca="1" si="205"/>
        <v>0</v>
      </c>
      <c r="AH543">
        <f t="shared" ca="1" si="206"/>
        <v>0</v>
      </c>
      <c r="AI543">
        <f t="shared" ca="1" si="207"/>
        <v>0</v>
      </c>
      <c r="AJ543">
        <f t="shared" ca="1" si="208"/>
        <v>0</v>
      </c>
      <c r="AK543">
        <f t="shared" ca="1" si="209"/>
        <v>0</v>
      </c>
      <c r="AL543">
        <f t="shared" ca="1" si="210"/>
        <v>0</v>
      </c>
      <c r="AM543">
        <f t="shared" ca="1" si="211"/>
        <v>0</v>
      </c>
      <c r="AN543">
        <f t="shared" ca="1" si="212"/>
        <v>0</v>
      </c>
      <c r="AO543">
        <f t="shared" ca="1" si="213"/>
        <v>0</v>
      </c>
      <c r="AP543">
        <f t="shared" ca="1" si="214"/>
        <v>0</v>
      </c>
    </row>
    <row r="544" spans="1:42" x14ac:dyDescent="0.2">
      <c r="H544" t="s">
        <v>999</v>
      </c>
      <c r="I544">
        <f t="shared" ca="1" si="181"/>
        <v>0</v>
      </c>
      <c r="J544">
        <f t="shared" ca="1" si="182"/>
        <v>0</v>
      </c>
      <c r="K544">
        <f t="shared" ca="1" si="183"/>
        <v>0</v>
      </c>
      <c r="L544">
        <f t="shared" ca="1" si="184"/>
        <v>0</v>
      </c>
      <c r="M544">
        <f t="shared" ca="1" si="185"/>
        <v>0</v>
      </c>
      <c r="N544">
        <f t="shared" ca="1" si="186"/>
        <v>0</v>
      </c>
      <c r="O544">
        <f t="shared" ca="1" si="187"/>
        <v>0</v>
      </c>
      <c r="P544">
        <f t="shared" ca="1" si="188"/>
        <v>0</v>
      </c>
      <c r="Q544">
        <f t="shared" ca="1" si="189"/>
        <v>0</v>
      </c>
      <c r="R544">
        <f t="shared" ca="1" si="190"/>
        <v>0</v>
      </c>
      <c r="S544">
        <f t="shared" ca="1" si="191"/>
        <v>0</v>
      </c>
      <c r="T544">
        <f t="shared" ca="1" si="192"/>
        <v>0</v>
      </c>
      <c r="U544">
        <f t="shared" ca="1" si="193"/>
        <v>0</v>
      </c>
      <c r="V544">
        <f t="shared" ca="1" si="194"/>
        <v>0</v>
      </c>
      <c r="W544">
        <f t="shared" ca="1" si="195"/>
        <v>0</v>
      </c>
      <c r="X544">
        <f t="shared" ca="1" si="196"/>
        <v>0</v>
      </c>
      <c r="Y544">
        <f t="shared" ca="1" si="197"/>
        <v>0</v>
      </c>
      <c r="Z544">
        <f t="shared" ca="1" si="198"/>
        <v>0</v>
      </c>
      <c r="AA544">
        <f t="shared" ca="1" si="199"/>
        <v>40.392000000000003</v>
      </c>
      <c r="AB544">
        <f t="shared" ca="1" si="200"/>
        <v>0</v>
      </c>
      <c r="AC544">
        <f t="shared" ca="1" si="201"/>
        <v>0</v>
      </c>
      <c r="AD544">
        <f t="shared" ca="1" si="202"/>
        <v>0</v>
      </c>
      <c r="AE544">
        <f t="shared" ca="1" si="203"/>
        <v>0</v>
      </c>
      <c r="AF544">
        <f t="shared" ca="1" si="204"/>
        <v>0</v>
      </c>
      <c r="AG544">
        <f t="shared" ca="1" si="205"/>
        <v>0</v>
      </c>
      <c r="AH544">
        <f t="shared" ca="1" si="206"/>
        <v>0</v>
      </c>
      <c r="AI544">
        <f t="shared" ca="1" si="207"/>
        <v>0</v>
      </c>
      <c r="AJ544">
        <f t="shared" ca="1" si="208"/>
        <v>0</v>
      </c>
      <c r="AK544">
        <f t="shared" ca="1" si="209"/>
        <v>0</v>
      </c>
      <c r="AL544">
        <f t="shared" ca="1" si="210"/>
        <v>0</v>
      </c>
      <c r="AM544">
        <f t="shared" ca="1" si="211"/>
        <v>0</v>
      </c>
      <c r="AN544">
        <f t="shared" ca="1" si="212"/>
        <v>0</v>
      </c>
      <c r="AO544">
        <f t="shared" ca="1" si="213"/>
        <v>0</v>
      </c>
      <c r="AP544">
        <f t="shared" ca="1" si="214"/>
        <v>0</v>
      </c>
    </row>
    <row r="545" spans="8:42" x14ac:dyDescent="0.2">
      <c r="H545" t="s">
        <v>1134</v>
      </c>
      <c r="I545">
        <f t="shared" ca="1" si="181"/>
        <v>0</v>
      </c>
      <c r="J545">
        <f t="shared" ca="1" si="182"/>
        <v>0</v>
      </c>
      <c r="K545">
        <f t="shared" ca="1" si="183"/>
        <v>0</v>
      </c>
      <c r="L545">
        <f t="shared" ca="1" si="184"/>
        <v>0</v>
      </c>
      <c r="M545">
        <f t="shared" ca="1" si="185"/>
        <v>0</v>
      </c>
      <c r="N545">
        <f t="shared" ca="1" si="186"/>
        <v>0</v>
      </c>
      <c r="O545">
        <f t="shared" ca="1" si="187"/>
        <v>0</v>
      </c>
      <c r="P545">
        <f t="shared" ca="1" si="188"/>
        <v>0</v>
      </c>
      <c r="Q545">
        <f t="shared" ca="1" si="189"/>
        <v>0</v>
      </c>
      <c r="R545">
        <f t="shared" ca="1" si="190"/>
        <v>0</v>
      </c>
      <c r="S545">
        <f t="shared" ca="1" si="191"/>
        <v>0</v>
      </c>
      <c r="T545">
        <f t="shared" ca="1" si="192"/>
        <v>0</v>
      </c>
      <c r="U545">
        <f t="shared" ca="1" si="193"/>
        <v>0</v>
      </c>
      <c r="V545">
        <f t="shared" ca="1" si="194"/>
        <v>0</v>
      </c>
      <c r="W545">
        <f t="shared" ca="1" si="195"/>
        <v>0</v>
      </c>
      <c r="X545">
        <f t="shared" ca="1" si="196"/>
        <v>0</v>
      </c>
      <c r="Y545">
        <f t="shared" ca="1" si="197"/>
        <v>0</v>
      </c>
      <c r="Z545">
        <f t="shared" ca="1" si="198"/>
        <v>0</v>
      </c>
      <c r="AA545">
        <f t="shared" ca="1" si="199"/>
        <v>0</v>
      </c>
      <c r="AB545">
        <f t="shared" ca="1" si="200"/>
        <v>0</v>
      </c>
      <c r="AC545">
        <f t="shared" ca="1" si="201"/>
        <v>0</v>
      </c>
      <c r="AD545">
        <f t="shared" ca="1" si="202"/>
        <v>0</v>
      </c>
      <c r="AE545">
        <f t="shared" ca="1" si="203"/>
        <v>0</v>
      </c>
      <c r="AF545">
        <f t="shared" ca="1" si="204"/>
        <v>0</v>
      </c>
      <c r="AG545">
        <f t="shared" ca="1" si="205"/>
        <v>0</v>
      </c>
      <c r="AH545">
        <f t="shared" ca="1" si="206"/>
        <v>0</v>
      </c>
      <c r="AI545">
        <f t="shared" ca="1" si="207"/>
        <v>0</v>
      </c>
      <c r="AJ545">
        <f t="shared" ca="1" si="208"/>
        <v>0</v>
      </c>
      <c r="AK545">
        <f t="shared" ca="1" si="209"/>
        <v>0</v>
      </c>
      <c r="AL545">
        <f t="shared" ca="1" si="210"/>
        <v>0</v>
      </c>
      <c r="AM545">
        <f t="shared" ca="1" si="211"/>
        <v>0</v>
      </c>
      <c r="AN545">
        <f t="shared" ca="1" si="212"/>
        <v>0</v>
      </c>
      <c r="AO545">
        <f t="shared" ca="1" si="213"/>
        <v>0</v>
      </c>
      <c r="AP545">
        <f t="shared" ca="1" si="214"/>
        <v>0</v>
      </c>
    </row>
    <row r="546" spans="8:42" x14ac:dyDescent="0.2">
      <c r="H546" t="s">
        <v>1085</v>
      </c>
      <c r="I546">
        <f t="shared" ca="1" si="181"/>
        <v>0.16701235444097859</v>
      </c>
      <c r="J546">
        <f t="shared" ca="1" si="182"/>
        <v>0</v>
      </c>
      <c r="K546">
        <f t="shared" ca="1" si="183"/>
        <v>0</v>
      </c>
      <c r="L546">
        <f t="shared" ca="1" si="184"/>
        <v>0</v>
      </c>
      <c r="M546">
        <f t="shared" ca="1" si="185"/>
        <v>0</v>
      </c>
      <c r="N546">
        <f t="shared" ca="1" si="186"/>
        <v>1.8330446583878033</v>
      </c>
      <c r="O546">
        <f t="shared" ca="1" si="187"/>
        <v>0.44773941541447643</v>
      </c>
      <c r="P546">
        <f t="shared" ca="1" si="188"/>
        <v>0.43566192598369335</v>
      </c>
      <c r="Q546">
        <f t="shared" ca="1" si="189"/>
        <v>0</v>
      </c>
      <c r="R546">
        <f t="shared" ca="1" si="190"/>
        <v>1.8462059084202724</v>
      </c>
      <c r="S546">
        <f t="shared" ca="1" si="191"/>
        <v>3.2245916436299318</v>
      </c>
      <c r="T546">
        <f t="shared" ca="1" si="192"/>
        <v>0</v>
      </c>
      <c r="U546">
        <f t="shared" ca="1" si="193"/>
        <v>0</v>
      </c>
      <c r="V546">
        <f t="shared" ca="1" si="194"/>
        <v>3.077140387231022E-2</v>
      </c>
      <c r="W546">
        <f t="shared" ca="1" si="195"/>
        <v>0</v>
      </c>
      <c r="X546">
        <f t="shared" ca="1" si="196"/>
        <v>0</v>
      </c>
      <c r="Y546">
        <f t="shared" ca="1" si="197"/>
        <v>0</v>
      </c>
      <c r="Z546">
        <f t="shared" ca="1" si="198"/>
        <v>4.1662810405825539</v>
      </c>
      <c r="AA546">
        <f t="shared" ca="1" si="199"/>
        <v>5.467382640563657</v>
      </c>
      <c r="AB546">
        <f t="shared" ca="1" si="200"/>
        <v>0</v>
      </c>
      <c r="AC546">
        <f t="shared" ca="1" si="201"/>
        <v>0</v>
      </c>
      <c r="AD546">
        <f t="shared" ca="1" si="202"/>
        <v>0</v>
      </c>
      <c r="AE546">
        <f t="shared" ca="1" si="203"/>
        <v>0</v>
      </c>
      <c r="AF546">
        <f t="shared" ca="1" si="204"/>
        <v>0</v>
      </c>
      <c r="AG546">
        <f t="shared" ca="1" si="205"/>
        <v>0</v>
      </c>
      <c r="AH546">
        <f t="shared" ca="1" si="206"/>
        <v>0</v>
      </c>
      <c r="AI546">
        <f t="shared" ca="1" si="207"/>
        <v>0</v>
      </c>
      <c r="AJ546">
        <f t="shared" ca="1" si="208"/>
        <v>0</v>
      </c>
      <c r="AK546">
        <f t="shared" ca="1" si="209"/>
        <v>0</v>
      </c>
      <c r="AL546">
        <f t="shared" ca="1" si="210"/>
        <v>0.11130900870432543</v>
      </c>
      <c r="AM546">
        <f t="shared" ca="1" si="211"/>
        <v>0</v>
      </c>
      <c r="AN546">
        <f t="shared" ca="1" si="212"/>
        <v>0</v>
      </c>
      <c r="AO546">
        <f t="shared" ca="1" si="213"/>
        <v>0</v>
      </c>
      <c r="AP546">
        <f t="shared" ca="1" si="214"/>
        <v>0</v>
      </c>
    </row>
    <row r="547" spans="8:42" x14ac:dyDescent="0.2">
      <c r="H547" t="s">
        <v>1050</v>
      </c>
      <c r="I547">
        <f t="shared" ca="1" si="181"/>
        <v>0</v>
      </c>
      <c r="J547">
        <f t="shared" ca="1" si="182"/>
        <v>0</v>
      </c>
      <c r="K547">
        <f t="shared" ca="1" si="183"/>
        <v>0</v>
      </c>
      <c r="L547">
        <f t="shared" ca="1" si="184"/>
        <v>0</v>
      </c>
      <c r="M547">
        <f t="shared" ca="1" si="185"/>
        <v>0</v>
      </c>
      <c r="N547">
        <f t="shared" ca="1" si="186"/>
        <v>1.8730726442220693</v>
      </c>
      <c r="O547">
        <f t="shared" ca="1" si="187"/>
        <v>0.55082491041956438</v>
      </c>
      <c r="P547">
        <f t="shared" ca="1" si="188"/>
        <v>0.13937563651551069</v>
      </c>
      <c r="Q547">
        <f t="shared" ca="1" si="189"/>
        <v>0</v>
      </c>
      <c r="R547">
        <f t="shared" ca="1" si="190"/>
        <v>0.17648186949309844</v>
      </c>
      <c r="S547">
        <f t="shared" ca="1" si="191"/>
        <v>2.3902615495796855</v>
      </c>
      <c r="T547">
        <f t="shared" ca="1" si="192"/>
        <v>0</v>
      </c>
      <c r="U547">
        <f t="shared" ca="1" si="193"/>
        <v>0</v>
      </c>
      <c r="V547">
        <f t="shared" ca="1" si="194"/>
        <v>9.8487355866132595E-2</v>
      </c>
      <c r="W547">
        <f t="shared" ca="1" si="195"/>
        <v>0</v>
      </c>
      <c r="X547">
        <f t="shared" ca="1" si="196"/>
        <v>0</v>
      </c>
      <c r="Y547">
        <f t="shared" ca="1" si="197"/>
        <v>0</v>
      </c>
      <c r="Z547">
        <f t="shared" ca="1" si="198"/>
        <v>1.8091044853698481</v>
      </c>
      <c r="AA547">
        <f t="shared" ca="1" si="199"/>
        <v>3.0212159305970041</v>
      </c>
      <c r="AB547">
        <f t="shared" ca="1" si="200"/>
        <v>0</v>
      </c>
      <c r="AC547">
        <f t="shared" ca="1" si="201"/>
        <v>0</v>
      </c>
      <c r="AD547">
        <f t="shared" ca="1" si="202"/>
        <v>0</v>
      </c>
      <c r="AE547">
        <f t="shared" ca="1" si="203"/>
        <v>0</v>
      </c>
      <c r="AF547">
        <f t="shared" ca="1" si="204"/>
        <v>0</v>
      </c>
      <c r="AG547">
        <f t="shared" ca="1" si="205"/>
        <v>0</v>
      </c>
      <c r="AH547">
        <f t="shared" ca="1" si="206"/>
        <v>0</v>
      </c>
      <c r="AI547">
        <f t="shared" ca="1" si="207"/>
        <v>0</v>
      </c>
      <c r="AJ547">
        <f t="shared" ca="1" si="208"/>
        <v>0</v>
      </c>
      <c r="AK547">
        <f t="shared" ca="1" si="209"/>
        <v>0</v>
      </c>
      <c r="AL547">
        <f t="shared" ca="1" si="210"/>
        <v>0.1411756179370855</v>
      </c>
      <c r="AM547">
        <f t="shared" ca="1" si="211"/>
        <v>0</v>
      </c>
      <c r="AN547">
        <f t="shared" ca="1" si="212"/>
        <v>0</v>
      </c>
      <c r="AO547">
        <f t="shared" ca="1" si="213"/>
        <v>0</v>
      </c>
      <c r="AP547">
        <f t="shared" ca="1" si="214"/>
        <v>0</v>
      </c>
    </row>
    <row r="548" spans="8:42" x14ac:dyDescent="0.2">
      <c r="H548" t="s">
        <v>1135</v>
      </c>
      <c r="I548">
        <f t="shared" ca="1" si="181"/>
        <v>0</v>
      </c>
      <c r="J548">
        <f t="shared" ca="1" si="182"/>
        <v>0</v>
      </c>
      <c r="K548">
        <f t="shared" ca="1" si="183"/>
        <v>0</v>
      </c>
      <c r="L548">
        <f t="shared" ca="1" si="184"/>
        <v>0</v>
      </c>
      <c r="M548">
        <f t="shared" ca="1" si="185"/>
        <v>0</v>
      </c>
      <c r="N548">
        <f t="shared" ca="1" si="186"/>
        <v>0</v>
      </c>
      <c r="O548">
        <f t="shared" ca="1" si="187"/>
        <v>0</v>
      </c>
      <c r="P548">
        <f t="shared" ca="1" si="188"/>
        <v>0</v>
      </c>
      <c r="Q548">
        <f t="shared" ca="1" si="189"/>
        <v>0</v>
      </c>
      <c r="R548">
        <f t="shared" ca="1" si="190"/>
        <v>0</v>
      </c>
      <c r="S548">
        <f t="shared" ca="1" si="191"/>
        <v>0</v>
      </c>
      <c r="T548">
        <f t="shared" ca="1" si="192"/>
        <v>0</v>
      </c>
      <c r="U548">
        <f t="shared" ca="1" si="193"/>
        <v>0</v>
      </c>
      <c r="V548">
        <f t="shared" ca="1" si="194"/>
        <v>0</v>
      </c>
      <c r="W548">
        <f t="shared" ca="1" si="195"/>
        <v>0</v>
      </c>
      <c r="X548">
        <f t="shared" ca="1" si="196"/>
        <v>0</v>
      </c>
      <c r="Y548">
        <f t="shared" ca="1" si="197"/>
        <v>0</v>
      </c>
      <c r="Z548">
        <f t="shared" ca="1" si="198"/>
        <v>0</v>
      </c>
      <c r="AA548">
        <f t="shared" ca="1" si="199"/>
        <v>0</v>
      </c>
      <c r="AB548">
        <f t="shared" ca="1" si="200"/>
        <v>0</v>
      </c>
      <c r="AC548">
        <f t="shared" ca="1" si="201"/>
        <v>0</v>
      </c>
      <c r="AD548">
        <f t="shared" ca="1" si="202"/>
        <v>0</v>
      </c>
      <c r="AE548">
        <f t="shared" ca="1" si="203"/>
        <v>0</v>
      </c>
      <c r="AF548">
        <f t="shared" ca="1" si="204"/>
        <v>0</v>
      </c>
      <c r="AG548">
        <f t="shared" ca="1" si="205"/>
        <v>0</v>
      </c>
      <c r="AH548">
        <f t="shared" ca="1" si="206"/>
        <v>0</v>
      </c>
      <c r="AI548">
        <f t="shared" ca="1" si="207"/>
        <v>0</v>
      </c>
      <c r="AJ548">
        <f t="shared" ca="1" si="208"/>
        <v>0</v>
      </c>
      <c r="AK548">
        <f t="shared" ca="1" si="209"/>
        <v>0</v>
      </c>
      <c r="AL548">
        <f t="shared" ca="1" si="210"/>
        <v>0</v>
      </c>
      <c r="AM548">
        <f t="shared" ca="1" si="211"/>
        <v>0</v>
      </c>
      <c r="AN548">
        <f t="shared" ca="1" si="212"/>
        <v>0</v>
      </c>
      <c r="AO548">
        <f t="shared" ca="1" si="213"/>
        <v>0</v>
      </c>
      <c r="AP548">
        <f t="shared" ca="1" si="214"/>
        <v>0</v>
      </c>
    </row>
    <row r="549" spans="8:42" x14ac:dyDescent="0.2">
      <c r="H549" t="s">
        <v>1037</v>
      </c>
      <c r="I549">
        <f t="shared" ca="1" si="181"/>
        <v>0</v>
      </c>
      <c r="J549">
        <f t="shared" ca="1" si="182"/>
        <v>0</v>
      </c>
      <c r="K549">
        <f t="shared" ca="1" si="183"/>
        <v>0</v>
      </c>
      <c r="L549">
        <f t="shared" ca="1" si="184"/>
        <v>0</v>
      </c>
      <c r="M549">
        <f t="shared" ca="1" si="185"/>
        <v>0</v>
      </c>
      <c r="N549">
        <f t="shared" ca="1" si="186"/>
        <v>10.199999999999999</v>
      </c>
      <c r="O549">
        <f t="shared" ca="1" si="187"/>
        <v>0</v>
      </c>
      <c r="P549">
        <f t="shared" ca="1" si="188"/>
        <v>0</v>
      </c>
      <c r="Q549">
        <f t="shared" ca="1" si="189"/>
        <v>0</v>
      </c>
      <c r="R549">
        <f t="shared" ca="1" si="190"/>
        <v>0</v>
      </c>
      <c r="S549">
        <f t="shared" ca="1" si="191"/>
        <v>0</v>
      </c>
      <c r="T549">
        <f t="shared" ca="1" si="192"/>
        <v>0</v>
      </c>
      <c r="U549">
        <f t="shared" ca="1" si="193"/>
        <v>0</v>
      </c>
      <c r="V549">
        <f t="shared" ca="1" si="194"/>
        <v>0</v>
      </c>
      <c r="W549">
        <f t="shared" ca="1" si="195"/>
        <v>0</v>
      </c>
      <c r="X549">
        <f t="shared" ca="1" si="196"/>
        <v>0</v>
      </c>
      <c r="Y549">
        <f t="shared" ca="1" si="197"/>
        <v>0</v>
      </c>
      <c r="Z549">
        <f t="shared" ca="1" si="198"/>
        <v>0</v>
      </c>
      <c r="AA549">
        <f t="shared" ca="1" si="199"/>
        <v>0</v>
      </c>
      <c r="AB549">
        <f t="shared" ca="1" si="200"/>
        <v>0</v>
      </c>
      <c r="AC549">
        <f t="shared" ca="1" si="201"/>
        <v>0</v>
      </c>
      <c r="AD549">
        <f t="shared" ca="1" si="202"/>
        <v>0</v>
      </c>
      <c r="AE549">
        <f t="shared" ca="1" si="203"/>
        <v>0</v>
      </c>
      <c r="AF549">
        <f t="shared" ca="1" si="204"/>
        <v>0</v>
      </c>
      <c r="AG549">
        <f t="shared" ca="1" si="205"/>
        <v>0</v>
      </c>
      <c r="AH549">
        <f t="shared" ca="1" si="206"/>
        <v>0</v>
      </c>
      <c r="AI549">
        <f t="shared" ca="1" si="207"/>
        <v>0</v>
      </c>
      <c r="AJ549">
        <f t="shared" ca="1" si="208"/>
        <v>0</v>
      </c>
      <c r="AK549">
        <f t="shared" ca="1" si="209"/>
        <v>0</v>
      </c>
      <c r="AL549">
        <f t="shared" ca="1" si="210"/>
        <v>0</v>
      </c>
      <c r="AM549">
        <f t="shared" ca="1" si="211"/>
        <v>0</v>
      </c>
      <c r="AN549">
        <f t="shared" ca="1" si="212"/>
        <v>0</v>
      </c>
      <c r="AO549">
        <f t="shared" ca="1" si="213"/>
        <v>0</v>
      </c>
      <c r="AP549">
        <f t="shared" ca="1" si="214"/>
        <v>0</v>
      </c>
    </row>
    <row r="550" spans="8:42" x14ac:dyDescent="0.2">
      <c r="H550" t="s">
        <v>1136</v>
      </c>
      <c r="I550">
        <f t="shared" ca="1" si="181"/>
        <v>0</v>
      </c>
      <c r="J550">
        <f t="shared" ca="1" si="182"/>
        <v>0</v>
      </c>
      <c r="K550">
        <f t="shared" ca="1" si="183"/>
        <v>0</v>
      </c>
      <c r="L550">
        <f t="shared" ca="1" si="184"/>
        <v>0</v>
      </c>
      <c r="M550">
        <f t="shared" ca="1" si="185"/>
        <v>0</v>
      </c>
      <c r="N550">
        <f t="shared" ca="1" si="186"/>
        <v>0</v>
      </c>
      <c r="O550">
        <f t="shared" ca="1" si="187"/>
        <v>0</v>
      </c>
      <c r="P550">
        <f t="shared" ca="1" si="188"/>
        <v>0</v>
      </c>
      <c r="Q550">
        <f t="shared" ca="1" si="189"/>
        <v>0</v>
      </c>
      <c r="R550">
        <f t="shared" ca="1" si="190"/>
        <v>0</v>
      </c>
      <c r="S550">
        <f t="shared" ca="1" si="191"/>
        <v>0</v>
      </c>
      <c r="T550">
        <f t="shared" ca="1" si="192"/>
        <v>0</v>
      </c>
      <c r="U550">
        <f t="shared" ca="1" si="193"/>
        <v>0</v>
      </c>
      <c r="V550">
        <f t="shared" ca="1" si="194"/>
        <v>0</v>
      </c>
      <c r="W550">
        <f t="shared" ca="1" si="195"/>
        <v>0</v>
      </c>
      <c r="X550">
        <f t="shared" ca="1" si="196"/>
        <v>0</v>
      </c>
      <c r="Y550">
        <f t="shared" ca="1" si="197"/>
        <v>0</v>
      </c>
      <c r="Z550">
        <f t="shared" ca="1" si="198"/>
        <v>0</v>
      </c>
      <c r="AA550">
        <f t="shared" ca="1" si="199"/>
        <v>0</v>
      </c>
      <c r="AB550">
        <f t="shared" ca="1" si="200"/>
        <v>0</v>
      </c>
      <c r="AC550">
        <f t="shared" ca="1" si="201"/>
        <v>0</v>
      </c>
      <c r="AD550">
        <f t="shared" ca="1" si="202"/>
        <v>0</v>
      </c>
      <c r="AE550">
        <f t="shared" ca="1" si="203"/>
        <v>0</v>
      </c>
      <c r="AF550">
        <f t="shared" ca="1" si="204"/>
        <v>0</v>
      </c>
      <c r="AG550">
        <f t="shared" ca="1" si="205"/>
        <v>0</v>
      </c>
      <c r="AH550">
        <f t="shared" ca="1" si="206"/>
        <v>0</v>
      </c>
      <c r="AI550">
        <f t="shared" ca="1" si="207"/>
        <v>0</v>
      </c>
      <c r="AJ550">
        <f t="shared" ca="1" si="208"/>
        <v>0</v>
      </c>
      <c r="AK550">
        <f t="shared" ca="1" si="209"/>
        <v>0</v>
      </c>
      <c r="AL550">
        <f t="shared" ca="1" si="210"/>
        <v>0</v>
      </c>
      <c r="AM550">
        <f t="shared" ca="1" si="211"/>
        <v>0</v>
      </c>
      <c r="AN550">
        <f t="shared" ca="1" si="212"/>
        <v>0</v>
      </c>
      <c r="AO550">
        <f t="shared" ca="1" si="213"/>
        <v>0</v>
      </c>
      <c r="AP550">
        <f t="shared" ca="1" si="214"/>
        <v>0</v>
      </c>
    </row>
    <row r="551" spans="8:42" x14ac:dyDescent="0.2">
      <c r="H551" t="s">
        <v>1045</v>
      </c>
      <c r="I551">
        <f t="shared" ca="1" si="181"/>
        <v>0</v>
      </c>
      <c r="J551">
        <f t="shared" ca="1" si="182"/>
        <v>0</v>
      </c>
      <c r="K551">
        <f t="shared" ca="1" si="183"/>
        <v>0</v>
      </c>
      <c r="L551">
        <f t="shared" ca="1" si="184"/>
        <v>0</v>
      </c>
      <c r="M551">
        <f t="shared" ca="1" si="185"/>
        <v>0</v>
      </c>
      <c r="N551">
        <f t="shared" ca="1" si="186"/>
        <v>0</v>
      </c>
      <c r="O551">
        <f t="shared" ca="1" si="187"/>
        <v>0</v>
      </c>
      <c r="P551">
        <f t="shared" ca="1" si="188"/>
        <v>0</v>
      </c>
      <c r="Q551">
        <f t="shared" ca="1" si="189"/>
        <v>0</v>
      </c>
      <c r="R551">
        <f t="shared" ca="1" si="190"/>
        <v>0</v>
      </c>
      <c r="S551">
        <f t="shared" ca="1" si="191"/>
        <v>0</v>
      </c>
      <c r="T551">
        <f t="shared" ca="1" si="192"/>
        <v>0</v>
      </c>
      <c r="U551">
        <f t="shared" ca="1" si="193"/>
        <v>0</v>
      </c>
      <c r="V551">
        <f t="shared" ca="1" si="194"/>
        <v>0</v>
      </c>
      <c r="W551">
        <f t="shared" ca="1" si="195"/>
        <v>0</v>
      </c>
      <c r="X551">
        <f t="shared" ca="1" si="196"/>
        <v>0</v>
      </c>
      <c r="Y551">
        <f t="shared" ca="1" si="197"/>
        <v>0</v>
      </c>
      <c r="Z551">
        <f t="shared" ca="1" si="198"/>
        <v>0</v>
      </c>
      <c r="AA551">
        <f t="shared" ca="1" si="199"/>
        <v>0</v>
      </c>
      <c r="AB551">
        <f t="shared" ca="1" si="200"/>
        <v>0</v>
      </c>
      <c r="AC551">
        <f t="shared" ca="1" si="201"/>
        <v>0</v>
      </c>
      <c r="AD551">
        <f t="shared" ca="1" si="202"/>
        <v>0</v>
      </c>
      <c r="AE551">
        <f t="shared" ca="1" si="203"/>
        <v>0</v>
      </c>
      <c r="AF551">
        <f t="shared" ca="1" si="204"/>
        <v>0</v>
      </c>
      <c r="AG551">
        <f t="shared" ca="1" si="205"/>
        <v>0</v>
      </c>
      <c r="AH551">
        <f t="shared" ca="1" si="206"/>
        <v>0</v>
      </c>
      <c r="AI551">
        <f t="shared" ca="1" si="207"/>
        <v>0</v>
      </c>
      <c r="AJ551">
        <f t="shared" ca="1" si="208"/>
        <v>0</v>
      </c>
      <c r="AK551">
        <f t="shared" ca="1" si="209"/>
        <v>0</v>
      </c>
      <c r="AL551">
        <f t="shared" ca="1" si="210"/>
        <v>10.199999999999999</v>
      </c>
      <c r="AM551">
        <f t="shared" ca="1" si="211"/>
        <v>0</v>
      </c>
      <c r="AN551">
        <f t="shared" ca="1" si="212"/>
        <v>0</v>
      </c>
      <c r="AO551">
        <f t="shared" ca="1" si="213"/>
        <v>0</v>
      </c>
      <c r="AP551">
        <f t="shared" ca="1" si="214"/>
        <v>0</v>
      </c>
    </row>
    <row r="552" spans="8:42" x14ac:dyDescent="0.2">
      <c r="H552" t="s">
        <v>1137</v>
      </c>
      <c r="I552">
        <f t="shared" ca="1" si="181"/>
        <v>0</v>
      </c>
      <c r="J552">
        <f t="shared" ca="1" si="182"/>
        <v>0</v>
      </c>
      <c r="K552">
        <f t="shared" ca="1" si="183"/>
        <v>0</v>
      </c>
      <c r="L552">
        <f t="shared" ca="1" si="184"/>
        <v>0</v>
      </c>
      <c r="M552">
        <f t="shared" ca="1" si="185"/>
        <v>0</v>
      </c>
      <c r="N552">
        <f t="shared" ca="1" si="186"/>
        <v>0</v>
      </c>
      <c r="O552">
        <f t="shared" ca="1" si="187"/>
        <v>0</v>
      </c>
      <c r="P552">
        <f t="shared" ca="1" si="188"/>
        <v>0</v>
      </c>
      <c r="Q552">
        <f t="shared" ca="1" si="189"/>
        <v>0</v>
      </c>
      <c r="R552">
        <f t="shared" ca="1" si="190"/>
        <v>0</v>
      </c>
      <c r="S552">
        <f t="shared" ca="1" si="191"/>
        <v>0</v>
      </c>
      <c r="T552">
        <f t="shared" ca="1" si="192"/>
        <v>0</v>
      </c>
      <c r="U552">
        <f t="shared" ca="1" si="193"/>
        <v>0</v>
      </c>
      <c r="V552">
        <f t="shared" ca="1" si="194"/>
        <v>0</v>
      </c>
      <c r="W552">
        <f t="shared" ca="1" si="195"/>
        <v>0</v>
      </c>
      <c r="X552">
        <f t="shared" ca="1" si="196"/>
        <v>0</v>
      </c>
      <c r="Y552">
        <f t="shared" ca="1" si="197"/>
        <v>0</v>
      </c>
      <c r="Z552">
        <f t="shared" ca="1" si="198"/>
        <v>0</v>
      </c>
      <c r="AA552">
        <f t="shared" ca="1" si="199"/>
        <v>0</v>
      </c>
      <c r="AB552">
        <f t="shared" ca="1" si="200"/>
        <v>0</v>
      </c>
      <c r="AC552">
        <f t="shared" ca="1" si="201"/>
        <v>0</v>
      </c>
      <c r="AD552">
        <f t="shared" ca="1" si="202"/>
        <v>0</v>
      </c>
      <c r="AE552">
        <f t="shared" ca="1" si="203"/>
        <v>0</v>
      </c>
      <c r="AF552">
        <f t="shared" ca="1" si="204"/>
        <v>0</v>
      </c>
      <c r="AG552">
        <f t="shared" ca="1" si="205"/>
        <v>0</v>
      </c>
      <c r="AH552">
        <f t="shared" ca="1" si="206"/>
        <v>0</v>
      </c>
      <c r="AI552">
        <f t="shared" ca="1" si="207"/>
        <v>0</v>
      </c>
      <c r="AJ552">
        <f t="shared" ca="1" si="208"/>
        <v>0</v>
      </c>
      <c r="AK552">
        <f t="shared" ca="1" si="209"/>
        <v>0</v>
      </c>
      <c r="AL552">
        <f t="shared" ca="1" si="210"/>
        <v>0</v>
      </c>
      <c r="AM552">
        <f t="shared" ca="1" si="211"/>
        <v>0</v>
      </c>
      <c r="AN552">
        <f t="shared" ca="1" si="212"/>
        <v>0</v>
      </c>
      <c r="AO552">
        <f t="shared" ca="1" si="213"/>
        <v>0</v>
      </c>
      <c r="AP552">
        <f t="shared" ca="1" si="214"/>
        <v>0</v>
      </c>
    </row>
    <row r="553" spans="8:42" x14ac:dyDescent="0.2">
      <c r="H553" t="s">
        <v>977</v>
      </c>
      <c r="I553">
        <f t="shared" ca="1" si="181"/>
        <v>0</v>
      </c>
      <c r="J553">
        <f t="shared" ca="1" si="182"/>
        <v>0</v>
      </c>
      <c r="K553">
        <f t="shared" ca="1" si="183"/>
        <v>0</v>
      </c>
      <c r="L553">
        <f t="shared" ca="1" si="184"/>
        <v>0</v>
      </c>
      <c r="M553">
        <f t="shared" ca="1" si="185"/>
        <v>0</v>
      </c>
      <c r="N553">
        <f t="shared" ca="1" si="186"/>
        <v>0</v>
      </c>
      <c r="O553">
        <f t="shared" ca="1" si="187"/>
        <v>0</v>
      </c>
      <c r="P553">
        <f t="shared" ca="1" si="188"/>
        <v>0</v>
      </c>
      <c r="Q553">
        <f t="shared" ca="1" si="189"/>
        <v>0</v>
      </c>
      <c r="R553">
        <f t="shared" ca="1" si="190"/>
        <v>0</v>
      </c>
      <c r="S553">
        <f t="shared" ca="1" si="191"/>
        <v>0</v>
      </c>
      <c r="T553">
        <f t="shared" ca="1" si="192"/>
        <v>0</v>
      </c>
      <c r="U553">
        <f t="shared" ca="1" si="193"/>
        <v>0</v>
      </c>
      <c r="V553">
        <f t="shared" ca="1" si="194"/>
        <v>0</v>
      </c>
      <c r="W553">
        <f t="shared" ca="1" si="195"/>
        <v>0</v>
      </c>
      <c r="X553">
        <f t="shared" ca="1" si="196"/>
        <v>0</v>
      </c>
      <c r="Y553">
        <f t="shared" ca="1" si="197"/>
        <v>0</v>
      </c>
      <c r="Z553">
        <f t="shared" ca="1" si="198"/>
        <v>0</v>
      </c>
      <c r="AA553">
        <f t="shared" ca="1" si="199"/>
        <v>0</v>
      </c>
      <c r="AB553">
        <f t="shared" ca="1" si="200"/>
        <v>0</v>
      </c>
      <c r="AC553">
        <f t="shared" ca="1" si="201"/>
        <v>0</v>
      </c>
      <c r="AD553">
        <f t="shared" ca="1" si="202"/>
        <v>0</v>
      </c>
      <c r="AE553">
        <f t="shared" ca="1" si="203"/>
        <v>0</v>
      </c>
      <c r="AF553">
        <f t="shared" ca="1" si="204"/>
        <v>0</v>
      </c>
      <c r="AG553">
        <f t="shared" ca="1" si="205"/>
        <v>0</v>
      </c>
      <c r="AH553">
        <f t="shared" ca="1" si="206"/>
        <v>0</v>
      </c>
      <c r="AI553">
        <f t="shared" ca="1" si="207"/>
        <v>0</v>
      </c>
      <c r="AJ553">
        <f t="shared" ca="1" si="208"/>
        <v>0</v>
      </c>
      <c r="AK553">
        <f t="shared" ca="1" si="209"/>
        <v>0</v>
      </c>
      <c r="AL553">
        <f t="shared" ca="1" si="210"/>
        <v>16.32</v>
      </c>
      <c r="AM553">
        <f t="shared" ca="1" si="211"/>
        <v>0</v>
      </c>
      <c r="AN553">
        <f t="shared" ca="1" si="212"/>
        <v>0</v>
      </c>
      <c r="AO553">
        <f t="shared" ca="1" si="213"/>
        <v>0</v>
      </c>
      <c r="AP553">
        <f t="shared" ca="1" si="214"/>
        <v>0</v>
      </c>
    </row>
    <row r="554" spans="8:42" x14ac:dyDescent="0.2">
      <c r="H554" t="s">
        <v>1138</v>
      </c>
      <c r="I554">
        <f t="shared" ca="1" si="181"/>
        <v>0</v>
      </c>
      <c r="J554">
        <f t="shared" ca="1" si="182"/>
        <v>0</v>
      </c>
      <c r="K554">
        <f t="shared" ca="1" si="183"/>
        <v>0</v>
      </c>
      <c r="L554">
        <f t="shared" ca="1" si="184"/>
        <v>0</v>
      </c>
      <c r="M554">
        <f t="shared" ca="1" si="185"/>
        <v>0</v>
      </c>
      <c r="N554">
        <f t="shared" ca="1" si="186"/>
        <v>0</v>
      </c>
      <c r="O554">
        <f t="shared" ca="1" si="187"/>
        <v>0</v>
      </c>
      <c r="P554">
        <f t="shared" ca="1" si="188"/>
        <v>0</v>
      </c>
      <c r="Q554">
        <f t="shared" ca="1" si="189"/>
        <v>0</v>
      </c>
      <c r="R554">
        <f t="shared" ca="1" si="190"/>
        <v>0</v>
      </c>
      <c r="S554">
        <f t="shared" ca="1" si="191"/>
        <v>0</v>
      </c>
      <c r="T554">
        <f t="shared" ca="1" si="192"/>
        <v>0</v>
      </c>
      <c r="U554">
        <f t="shared" ca="1" si="193"/>
        <v>0</v>
      </c>
      <c r="V554">
        <f t="shared" ca="1" si="194"/>
        <v>0</v>
      </c>
      <c r="W554">
        <f t="shared" ca="1" si="195"/>
        <v>0</v>
      </c>
      <c r="X554">
        <f t="shared" ca="1" si="196"/>
        <v>0</v>
      </c>
      <c r="Y554">
        <f t="shared" ca="1" si="197"/>
        <v>0</v>
      </c>
      <c r="Z554">
        <f t="shared" ca="1" si="198"/>
        <v>0</v>
      </c>
      <c r="AA554">
        <f t="shared" ca="1" si="199"/>
        <v>0</v>
      </c>
      <c r="AB554">
        <f t="shared" ca="1" si="200"/>
        <v>0</v>
      </c>
      <c r="AC554">
        <f t="shared" ca="1" si="201"/>
        <v>0</v>
      </c>
      <c r="AD554">
        <f t="shared" ca="1" si="202"/>
        <v>0</v>
      </c>
      <c r="AE554">
        <f t="shared" ca="1" si="203"/>
        <v>0</v>
      </c>
      <c r="AF554">
        <f t="shared" ca="1" si="204"/>
        <v>0</v>
      </c>
      <c r="AG554">
        <f t="shared" ca="1" si="205"/>
        <v>0</v>
      </c>
      <c r="AH554">
        <f t="shared" ca="1" si="206"/>
        <v>0</v>
      </c>
      <c r="AI554">
        <f t="shared" ca="1" si="207"/>
        <v>0</v>
      </c>
      <c r="AJ554">
        <f t="shared" ca="1" si="208"/>
        <v>0</v>
      </c>
      <c r="AK554">
        <f t="shared" ca="1" si="209"/>
        <v>0</v>
      </c>
      <c r="AL554">
        <f t="shared" ca="1" si="210"/>
        <v>0</v>
      </c>
      <c r="AM554">
        <f t="shared" ca="1" si="211"/>
        <v>0</v>
      </c>
      <c r="AN554">
        <f t="shared" ca="1" si="212"/>
        <v>0</v>
      </c>
      <c r="AO554">
        <f t="shared" ca="1" si="213"/>
        <v>0</v>
      </c>
      <c r="AP554">
        <f t="shared" ca="1" si="214"/>
        <v>0</v>
      </c>
    </row>
    <row r="555" spans="8:42" x14ac:dyDescent="0.2">
      <c r="H555" t="s">
        <v>980</v>
      </c>
      <c r="I555">
        <f t="shared" ca="1" si="181"/>
        <v>8.8240157525466358</v>
      </c>
      <c r="J555">
        <f t="shared" ca="1" si="182"/>
        <v>0</v>
      </c>
      <c r="K555">
        <f t="shared" ca="1" si="183"/>
        <v>0</v>
      </c>
      <c r="L555">
        <f t="shared" ca="1" si="184"/>
        <v>0</v>
      </c>
      <c r="M555">
        <f t="shared" ca="1" si="185"/>
        <v>0</v>
      </c>
      <c r="N555">
        <f t="shared" ca="1" si="186"/>
        <v>0</v>
      </c>
      <c r="O555">
        <f t="shared" ca="1" si="187"/>
        <v>0</v>
      </c>
      <c r="P555">
        <f t="shared" ca="1" si="188"/>
        <v>0</v>
      </c>
      <c r="Q555">
        <f t="shared" ca="1" si="189"/>
        <v>0</v>
      </c>
      <c r="R555">
        <f t="shared" ca="1" si="190"/>
        <v>0</v>
      </c>
      <c r="S555">
        <f t="shared" ca="1" si="191"/>
        <v>0</v>
      </c>
      <c r="T555">
        <f t="shared" ca="1" si="192"/>
        <v>0</v>
      </c>
      <c r="U555">
        <f t="shared" ca="1" si="193"/>
        <v>0</v>
      </c>
      <c r="V555">
        <f t="shared" ca="1" si="194"/>
        <v>0</v>
      </c>
      <c r="W555">
        <f t="shared" ca="1" si="195"/>
        <v>0</v>
      </c>
      <c r="X555">
        <f t="shared" ca="1" si="196"/>
        <v>23.605948206933729</v>
      </c>
      <c r="Y555">
        <f t="shared" ca="1" si="197"/>
        <v>3.2772146524570145</v>
      </c>
      <c r="Z555">
        <f t="shared" ca="1" si="198"/>
        <v>0</v>
      </c>
      <c r="AA555">
        <f t="shared" ca="1" si="199"/>
        <v>0</v>
      </c>
      <c r="AB555">
        <f t="shared" ca="1" si="200"/>
        <v>0</v>
      </c>
      <c r="AC555">
        <f t="shared" ca="1" si="201"/>
        <v>0</v>
      </c>
      <c r="AD555">
        <f t="shared" ca="1" si="202"/>
        <v>0</v>
      </c>
      <c r="AE555">
        <f t="shared" ca="1" si="203"/>
        <v>0</v>
      </c>
      <c r="AF555">
        <f t="shared" ca="1" si="204"/>
        <v>0</v>
      </c>
      <c r="AG555">
        <f t="shared" ca="1" si="205"/>
        <v>0</v>
      </c>
      <c r="AH555">
        <f t="shared" ca="1" si="206"/>
        <v>0</v>
      </c>
      <c r="AI555">
        <f t="shared" ca="1" si="207"/>
        <v>0</v>
      </c>
      <c r="AJ555">
        <f t="shared" ca="1" si="208"/>
        <v>0</v>
      </c>
      <c r="AK555">
        <f t="shared" ca="1" si="209"/>
        <v>7.1525777509868078</v>
      </c>
      <c r="AL555">
        <f t="shared" ca="1" si="210"/>
        <v>6.100243637075816</v>
      </c>
      <c r="AM555">
        <f t="shared" ca="1" si="211"/>
        <v>0</v>
      </c>
      <c r="AN555">
        <f t="shared" ca="1" si="212"/>
        <v>0</v>
      </c>
      <c r="AO555">
        <f t="shared" ca="1" si="213"/>
        <v>0</v>
      </c>
      <c r="AP555">
        <f t="shared" ca="1" si="214"/>
        <v>0</v>
      </c>
    </row>
    <row r="556" spans="8:42" x14ac:dyDescent="0.2">
      <c r="H556" t="s">
        <v>1139</v>
      </c>
      <c r="I556">
        <f t="shared" ca="1" si="181"/>
        <v>0</v>
      </c>
      <c r="J556">
        <f t="shared" ca="1" si="182"/>
        <v>0</v>
      </c>
      <c r="K556">
        <f t="shared" ca="1" si="183"/>
        <v>0</v>
      </c>
      <c r="L556">
        <f t="shared" ca="1" si="184"/>
        <v>0</v>
      </c>
      <c r="M556">
        <f t="shared" ca="1" si="185"/>
        <v>0</v>
      </c>
      <c r="N556">
        <f t="shared" ca="1" si="186"/>
        <v>0</v>
      </c>
      <c r="O556">
        <f t="shared" ca="1" si="187"/>
        <v>0</v>
      </c>
      <c r="P556">
        <f t="shared" ca="1" si="188"/>
        <v>0</v>
      </c>
      <c r="Q556">
        <f t="shared" ca="1" si="189"/>
        <v>0</v>
      </c>
      <c r="R556">
        <f t="shared" ca="1" si="190"/>
        <v>0</v>
      </c>
      <c r="S556">
        <f t="shared" ca="1" si="191"/>
        <v>0</v>
      </c>
      <c r="T556">
        <f t="shared" ca="1" si="192"/>
        <v>0</v>
      </c>
      <c r="U556">
        <f t="shared" ca="1" si="193"/>
        <v>0</v>
      </c>
      <c r="V556">
        <f t="shared" ca="1" si="194"/>
        <v>0</v>
      </c>
      <c r="W556">
        <f t="shared" ca="1" si="195"/>
        <v>0</v>
      </c>
      <c r="X556">
        <f t="shared" ca="1" si="196"/>
        <v>0</v>
      </c>
      <c r="Y556">
        <f t="shared" ca="1" si="197"/>
        <v>0</v>
      </c>
      <c r="Z556">
        <f t="shared" ca="1" si="198"/>
        <v>0</v>
      </c>
      <c r="AA556">
        <f t="shared" ca="1" si="199"/>
        <v>0</v>
      </c>
      <c r="AB556">
        <f t="shared" ca="1" si="200"/>
        <v>0</v>
      </c>
      <c r="AC556">
        <f t="shared" ca="1" si="201"/>
        <v>0</v>
      </c>
      <c r="AD556">
        <f t="shared" ca="1" si="202"/>
        <v>0</v>
      </c>
      <c r="AE556">
        <f t="shared" ca="1" si="203"/>
        <v>0</v>
      </c>
      <c r="AF556">
        <f t="shared" ca="1" si="204"/>
        <v>0</v>
      </c>
      <c r="AG556">
        <f t="shared" ca="1" si="205"/>
        <v>0</v>
      </c>
      <c r="AH556">
        <f t="shared" ca="1" si="206"/>
        <v>0</v>
      </c>
      <c r="AI556">
        <f t="shared" ca="1" si="207"/>
        <v>0</v>
      </c>
      <c r="AJ556">
        <f t="shared" ca="1" si="208"/>
        <v>0</v>
      </c>
      <c r="AK556">
        <f t="shared" ca="1" si="209"/>
        <v>0</v>
      </c>
      <c r="AL556">
        <f t="shared" ca="1" si="210"/>
        <v>0</v>
      </c>
      <c r="AM556">
        <f t="shared" ca="1" si="211"/>
        <v>0</v>
      </c>
      <c r="AN556">
        <f t="shared" ca="1" si="212"/>
        <v>0</v>
      </c>
      <c r="AO556">
        <f t="shared" ca="1" si="213"/>
        <v>0</v>
      </c>
      <c r="AP556">
        <f t="shared" ca="1" si="214"/>
        <v>0</v>
      </c>
    </row>
    <row r="557" spans="8:42" x14ac:dyDescent="0.2">
      <c r="H557" t="s">
        <v>1189</v>
      </c>
      <c r="I557">
        <f t="shared" ca="1" si="181"/>
        <v>0</v>
      </c>
      <c r="J557">
        <f t="shared" ca="1" si="182"/>
        <v>0</v>
      </c>
      <c r="K557">
        <f t="shared" ca="1" si="183"/>
        <v>0</v>
      </c>
      <c r="L557">
        <f t="shared" ca="1" si="184"/>
        <v>0</v>
      </c>
      <c r="M557">
        <f t="shared" ca="1" si="185"/>
        <v>0</v>
      </c>
      <c r="N557">
        <f t="shared" ca="1" si="186"/>
        <v>0</v>
      </c>
      <c r="O557">
        <f t="shared" ca="1" si="187"/>
        <v>0</v>
      </c>
      <c r="P557">
        <f t="shared" ca="1" si="188"/>
        <v>0</v>
      </c>
      <c r="Q557">
        <f t="shared" ca="1" si="189"/>
        <v>0</v>
      </c>
      <c r="R557">
        <f t="shared" ca="1" si="190"/>
        <v>0</v>
      </c>
      <c r="S557">
        <f t="shared" ca="1" si="191"/>
        <v>0</v>
      </c>
      <c r="T557">
        <f t="shared" ca="1" si="192"/>
        <v>0</v>
      </c>
      <c r="U557">
        <f t="shared" ca="1" si="193"/>
        <v>0</v>
      </c>
      <c r="V557">
        <f t="shared" ca="1" si="194"/>
        <v>0</v>
      </c>
      <c r="W557">
        <f t="shared" ca="1" si="195"/>
        <v>0</v>
      </c>
      <c r="X557">
        <f t="shared" ca="1" si="196"/>
        <v>0</v>
      </c>
      <c r="Y557">
        <f t="shared" ca="1" si="197"/>
        <v>0</v>
      </c>
      <c r="Z557">
        <f t="shared" ca="1" si="198"/>
        <v>0</v>
      </c>
      <c r="AA557">
        <f t="shared" ca="1" si="199"/>
        <v>0</v>
      </c>
      <c r="AB557">
        <f t="shared" ca="1" si="200"/>
        <v>0</v>
      </c>
      <c r="AC557">
        <f t="shared" ca="1" si="201"/>
        <v>0</v>
      </c>
      <c r="AD557">
        <f t="shared" ca="1" si="202"/>
        <v>0</v>
      </c>
      <c r="AE557">
        <f t="shared" ca="1" si="203"/>
        <v>0</v>
      </c>
      <c r="AF557">
        <f t="shared" ca="1" si="204"/>
        <v>0</v>
      </c>
      <c r="AG557">
        <f t="shared" ca="1" si="205"/>
        <v>0</v>
      </c>
      <c r="AH557">
        <f t="shared" ca="1" si="206"/>
        <v>0</v>
      </c>
      <c r="AI557">
        <f t="shared" ca="1" si="207"/>
        <v>0</v>
      </c>
      <c r="AJ557">
        <f t="shared" ca="1" si="208"/>
        <v>0</v>
      </c>
      <c r="AK557">
        <f t="shared" ca="1" si="209"/>
        <v>0</v>
      </c>
      <c r="AL557">
        <f t="shared" ca="1" si="210"/>
        <v>0</v>
      </c>
      <c r="AM557">
        <f t="shared" ca="1" si="211"/>
        <v>0</v>
      </c>
      <c r="AN557">
        <f t="shared" ca="1" si="212"/>
        <v>0</v>
      </c>
      <c r="AO557">
        <f t="shared" ca="1" si="213"/>
        <v>0</v>
      </c>
      <c r="AP557">
        <f t="shared" ca="1" si="214"/>
        <v>0</v>
      </c>
    </row>
    <row r="558" spans="8:42" x14ac:dyDescent="0.2">
      <c r="H558" t="s">
        <v>1190</v>
      </c>
      <c r="I558">
        <f t="shared" ca="1" si="181"/>
        <v>0</v>
      </c>
      <c r="J558">
        <f t="shared" ca="1" si="182"/>
        <v>0</v>
      </c>
      <c r="K558">
        <f t="shared" ca="1" si="183"/>
        <v>0</v>
      </c>
      <c r="L558">
        <f t="shared" ca="1" si="184"/>
        <v>0</v>
      </c>
      <c r="M558">
        <f t="shared" ca="1" si="185"/>
        <v>0</v>
      </c>
      <c r="N558">
        <f t="shared" ca="1" si="186"/>
        <v>0</v>
      </c>
      <c r="O558">
        <f t="shared" ca="1" si="187"/>
        <v>0</v>
      </c>
      <c r="P558">
        <f t="shared" ca="1" si="188"/>
        <v>0</v>
      </c>
      <c r="Q558">
        <f t="shared" ca="1" si="189"/>
        <v>0</v>
      </c>
      <c r="R558">
        <f t="shared" ca="1" si="190"/>
        <v>0</v>
      </c>
      <c r="S558">
        <f t="shared" ca="1" si="191"/>
        <v>0</v>
      </c>
      <c r="T558">
        <f t="shared" ca="1" si="192"/>
        <v>0</v>
      </c>
      <c r="U558">
        <f t="shared" ca="1" si="193"/>
        <v>0</v>
      </c>
      <c r="V558">
        <f t="shared" ca="1" si="194"/>
        <v>0</v>
      </c>
      <c r="W558">
        <f t="shared" ca="1" si="195"/>
        <v>0</v>
      </c>
      <c r="X558">
        <f t="shared" ca="1" si="196"/>
        <v>0</v>
      </c>
      <c r="Y558">
        <f t="shared" ca="1" si="197"/>
        <v>0</v>
      </c>
      <c r="Z558">
        <f t="shared" ca="1" si="198"/>
        <v>0</v>
      </c>
      <c r="AA558">
        <f t="shared" ca="1" si="199"/>
        <v>0</v>
      </c>
      <c r="AB558">
        <f t="shared" ca="1" si="200"/>
        <v>0</v>
      </c>
      <c r="AC558">
        <f t="shared" ca="1" si="201"/>
        <v>0</v>
      </c>
      <c r="AD558">
        <f t="shared" ca="1" si="202"/>
        <v>0</v>
      </c>
      <c r="AE558">
        <f t="shared" ca="1" si="203"/>
        <v>0</v>
      </c>
      <c r="AF558">
        <f t="shared" ca="1" si="204"/>
        <v>0</v>
      </c>
      <c r="AG558">
        <f t="shared" ca="1" si="205"/>
        <v>0</v>
      </c>
      <c r="AH558">
        <f t="shared" ca="1" si="206"/>
        <v>0</v>
      </c>
      <c r="AI558">
        <f t="shared" ca="1" si="207"/>
        <v>0</v>
      </c>
      <c r="AJ558">
        <f t="shared" ca="1" si="208"/>
        <v>0</v>
      </c>
      <c r="AK558">
        <f t="shared" ca="1" si="209"/>
        <v>0</v>
      </c>
      <c r="AL558">
        <f t="shared" ca="1" si="210"/>
        <v>0</v>
      </c>
      <c r="AM558">
        <f t="shared" ca="1" si="211"/>
        <v>0</v>
      </c>
      <c r="AN558">
        <f t="shared" ca="1" si="212"/>
        <v>0</v>
      </c>
      <c r="AO558">
        <f t="shared" ca="1" si="213"/>
        <v>0</v>
      </c>
      <c r="AP558">
        <f t="shared" ca="1" si="214"/>
        <v>0</v>
      </c>
    </row>
    <row r="559" spans="8:42" x14ac:dyDescent="0.2">
      <c r="H559" t="s">
        <v>995</v>
      </c>
      <c r="I559">
        <f t="shared" ca="1" si="181"/>
        <v>0</v>
      </c>
      <c r="J559">
        <f t="shared" ca="1" si="182"/>
        <v>0</v>
      </c>
      <c r="K559">
        <f t="shared" ca="1" si="183"/>
        <v>0</v>
      </c>
      <c r="L559">
        <f t="shared" ca="1" si="184"/>
        <v>0</v>
      </c>
      <c r="M559">
        <f t="shared" ca="1" si="185"/>
        <v>0</v>
      </c>
      <c r="N559">
        <f t="shared" ca="1" si="186"/>
        <v>0</v>
      </c>
      <c r="O559">
        <f t="shared" ca="1" si="187"/>
        <v>0</v>
      </c>
      <c r="P559">
        <f t="shared" ca="1" si="188"/>
        <v>0</v>
      </c>
      <c r="Q559">
        <f t="shared" ca="1" si="189"/>
        <v>0</v>
      </c>
      <c r="R559">
        <f t="shared" ca="1" si="190"/>
        <v>0</v>
      </c>
      <c r="S559">
        <f t="shared" ca="1" si="191"/>
        <v>0</v>
      </c>
      <c r="T559">
        <f t="shared" ca="1" si="192"/>
        <v>0</v>
      </c>
      <c r="U559">
        <f t="shared" ca="1" si="193"/>
        <v>0</v>
      </c>
      <c r="V559">
        <f t="shared" ca="1" si="194"/>
        <v>0</v>
      </c>
      <c r="W559">
        <f t="shared" ca="1" si="195"/>
        <v>0</v>
      </c>
      <c r="X559">
        <f t="shared" ca="1" si="196"/>
        <v>0</v>
      </c>
      <c r="Y559">
        <f t="shared" ca="1" si="197"/>
        <v>0</v>
      </c>
      <c r="Z559">
        <f t="shared" ca="1" si="198"/>
        <v>0</v>
      </c>
      <c r="AA559">
        <f t="shared" ca="1" si="199"/>
        <v>0</v>
      </c>
      <c r="AB559">
        <f t="shared" ca="1" si="200"/>
        <v>0</v>
      </c>
      <c r="AC559">
        <f t="shared" ca="1" si="201"/>
        <v>0</v>
      </c>
      <c r="AD559">
        <f t="shared" ca="1" si="202"/>
        <v>0</v>
      </c>
      <c r="AE559">
        <f t="shared" ca="1" si="203"/>
        <v>0</v>
      </c>
      <c r="AF559">
        <f t="shared" ca="1" si="204"/>
        <v>0</v>
      </c>
      <c r="AG559">
        <f t="shared" ca="1" si="205"/>
        <v>0</v>
      </c>
      <c r="AH559">
        <f t="shared" ca="1" si="206"/>
        <v>0</v>
      </c>
      <c r="AI559">
        <f t="shared" ca="1" si="207"/>
        <v>0</v>
      </c>
      <c r="AJ559">
        <f t="shared" ca="1" si="208"/>
        <v>0</v>
      </c>
      <c r="AK559">
        <f t="shared" ca="1" si="209"/>
        <v>0</v>
      </c>
      <c r="AL559">
        <f t="shared" ca="1" si="210"/>
        <v>0</v>
      </c>
      <c r="AM559">
        <f t="shared" ca="1" si="211"/>
        <v>0</v>
      </c>
      <c r="AN559">
        <f t="shared" ca="1" si="212"/>
        <v>40.392000000000003</v>
      </c>
      <c r="AO559">
        <f t="shared" ca="1" si="213"/>
        <v>0</v>
      </c>
      <c r="AP559">
        <f t="shared" ca="1" si="214"/>
        <v>0</v>
      </c>
    </row>
    <row r="560" spans="8:42" x14ac:dyDescent="0.2">
      <c r="H560" t="s">
        <v>978</v>
      </c>
      <c r="I560">
        <f t="shared" ca="1" si="181"/>
        <v>0.31554179472286714</v>
      </c>
      <c r="J560">
        <f t="shared" ca="1" si="182"/>
        <v>0</v>
      </c>
      <c r="K560">
        <f t="shared" ca="1" si="183"/>
        <v>0</v>
      </c>
      <c r="L560">
        <f t="shared" ca="1" si="184"/>
        <v>0</v>
      </c>
      <c r="M560">
        <f t="shared" ca="1" si="185"/>
        <v>0</v>
      </c>
      <c r="N560">
        <f t="shared" ca="1" si="186"/>
        <v>7.9351655677607305</v>
      </c>
      <c r="O560">
        <f t="shared" ca="1" si="187"/>
        <v>1.0542387470782077</v>
      </c>
      <c r="P560">
        <f t="shared" ca="1" si="188"/>
        <v>0.31580089127689448</v>
      </c>
      <c r="Q560">
        <f t="shared" ca="1" si="189"/>
        <v>0</v>
      </c>
      <c r="R560">
        <f t="shared" ca="1" si="190"/>
        <v>0.18934064486700974</v>
      </c>
      <c r="S560">
        <f t="shared" ca="1" si="191"/>
        <v>2.0221732039343081</v>
      </c>
      <c r="T560">
        <f t="shared" ca="1" si="192"/>
        <v>0</v>
      </c>
      <c r="U560">
        <f t="shared" ca="1" si="193"/>
        <v>0</v>
      </c>
      <c r="V560">
        <f t="shared" ca="1" si="194"/>
        <v>0.19099752840992346</v>
      </c>
      <c r="W560">
        <f t="shared" ca="1" si="195"/>
        <v>0</v>
      </c>
      <c r="X560">
        <f t="shared" ca="1" si="196"/>
        <v>0</v>
      </c>
      <c r="Y560">
        <f t="shared" ca="1" si="197"/>
        <v>0</v>
      </c>
      <c r="Z560">
        <f t="shared" ca="1" si="198"/>
        <v>0</v>
      </c>
      <c r="AA560">
        <f t="shared" ca="1" si="199"/>
        <v>4.0394920856439906</v>
      </c>
      <c r="AB560">
        <f t="shared" ca="1" si="200"/>
        <v>0</v>
      </c>
      <c r="AC560">
        <f t="shared" ca="1" si="201"/>
        <v>0</v>
      </c>
      <c r="AD560">
        <f t="shared" ca="1" si="202"/>
        <v>0</v>
      </c>
      <c r="AE560">
        <f t="shared" ca="1" si="203"/>
        <v>0</v>
      </c>
      <c r="AF560">
        <f t="shared" ca="1" si="204"/>
        <v>0</v>
      </c>
      <c r="AG560">
        <f t="shared" ca="1" si="205"/>
        <v>0</v>
      </c>
      <c r="AH560">
        <f t="shared" ca="1" si="206"/>
        <v>0</v>
      </c>
      <c r="AI560">
        <f t="shared" ca="1" si="207"/>
        <v>0</v>
      </c>
      <c r="AJ560">
        <f t="shared" ca="1" si="208"/>
        <v>0</v>
      </c>
      <c r="AK560">
        <f t="shared" ca="1" si="209"/>
        <v>0</v>
      </c>
      <c r="AL560">
        <f t="shared" ca="1" si="210"/>
        <v>0.25724953630606773</v>
      </c>
      <c r="AM560">
        <f t="shared" ca="1" si="211"/>
        <v>0</v>
      </c>
      <c r="AN560">
        <f t="shared" ca="1" si="212"/>
        <v>0</v>
      </c>
      <c r="AO560">
        <f t="shared" ca="1" si="213"/>
        <v>0</v>
      </c>
      <c r="AP560">
        <f t="shared" ca="1" si="214"/>
        <v>0</v>
      </c>
    </row>
    <row r="561" spans="8:42" x14ac:dyDescent="0.2">
      <c r="H561" t="s">
        <v>1097</v>
      </c>
      <c r="I561">
        <f t="shared" ca="1" si="181"/>
        <v>0</v>
      </c>
      <c r="J561">
        <f t="shared" ca="1" si="182"/>
        <v>0</v>
      </c>
      <c r="K561">
        <f t="shared" ca="1" si="183"/>
        <v>0</v>
      </c>
      <c r="L561">
        <f t="shared" ca="1" si="184"/>
        <v>0</v>
      </c>
      <c r="M561">
        <f t="shared" ca="1" si="185"/>
        <v>0</v>
      </c>
      <c r="N561">
        <f t="shared" ca="1" si="186"/>
        <v>0</v>
      </c>
      <c r="O561">
        <f t="shared" ca="1" si="187"/>
        <v>0</v>
      </c>
      <c r="P561">
        <f t="shared" ca="1" si="188"/>
        <v>0</v>
      </c>
      <c r="Q561">
        <f t="shared" ca="1" si="189"/>
        <v>0</v>
      </c>
      <c r="R561">
        <f t="shared" ca="1" si="190"/>
        <v>0</v>
      </c>
      <c r="S561">
        <f t="shared" ca="1" si="191"/>
        <v>0</v>
      </c>
      <c r="T561">
        <f t="shared" ca="1" si="192"/>
        <v>0</v>
      </c>
      <c r="U561">
        <f t="shared" ca="1" si="193"/>
        <v>0</v>
      </c>
      <c r="V561">
        <f t="shared" ca="1" si="194"/>
        <v>0</v>
      </c>
      <c r="W561">
        <f t="shared" ca="1" si="195"/>
        <v>4.2785711243584812</v>
      </c>
      <c r="X561">
        <f t="shared" ca="1" si="196"/>
        <v>0</v>
      </c>
      <c r="Y561">
        <f t="shared" ca="1" si="197"/>
        <v>0</v>
      </c>
      <c r="Z561">
        <f t="shared" ca="1" si="198"/>
        <v>0</v>
      </c>
      <c r="AA561">
        <f t="shared" ca="1" si="199"/>
        <v>0</v>
      </c>
      <c r="AB561">
        <f t="shared" ca="1" si="200"/>
        <v>0</v>
      </c>
      <c r="AC561">
        <f t="shared" ca="1" si="201"/>
        <v>0</v>
      </c>
      <c r="AD561">
        <f t="shared" ca="1" si="202"/>
        <v>0</v>
      </c>
      <c r="AE561">
        <f t="shared" ca="1" si="203"/>
        <v>0</v>
      </c>
      <c r="AF561">
        <f t="shared" ca="1" si="204"/>
        <v>0</v>
      </c>
      <c r="AG561">
        <f t="shared" ca="1" si="205"/>
        <v>0</v>
      </c>
      <c r="AH561">
        <f t="shared" ca="1" si="206"/>
        <v>0</v>
      </c>
      <c r="AI561">
        <f t="shared" ca="1" si="207"/>
        <v>0</v>
      </c>
      <c r="AJ561">
        <f t="shared" ca="1" si="208"/>
        <v>0</v>
      </c>
      <c r="AK561">
        <f t="shared" ca="1" si="209"/>
        <v>2.0807157365232518</v>
      </c>
      <c r="AL561">
        <f t="shared" ca="1" si="210"/>
        <v>0</v>
      </c>
      <c r="AM561">
        <f t="shared" ca="1" si="211"/>
        <v>0</v>
      </c>
      <c r="AN561">
        <f t="shared" ca="1" si="212"/>
        <v>0</v>
      </c>
      <c r="AO561">
        <f t="shared" ca="1" si="213"/>
        <v>0</v>
      </c>
      <c r="AP561">
        <f t="shared" ca="1" si="214"/>
        <v>2.3513139118268203E-2</v>
      </c>
    </row>
    <row r="562" spans="8:42" x14ac:dyDescent="0.2">
      <c r="H562" t="s">
        <v>1003</v>
      </c>
      <c r="I562">
        <f t="shared" ca="1" si="181"/>
        <v>0</v>
      </c>
      <c r="J562">
        <f t="shared" ca="1" si="182"/>
        <v>0</v>
      </c>
      <c r="K562">
        <f t="shared" ca="1" si="183"/>
        <v>0</v>
      </c>
      <c r="L562">
        <f t="shared" ca="1" si="184"/>
        <v>0</v>
      </c>
      <c r="M562">
        <f t="shared" ca="1" si="185"/>
        <v>0</v>
      </c>
      <c r="N562">
        <f t="shared" ca="1" si="186"/>
        <v>0</v>
      </c>
      <c r="O562">
        <f t="shared" ca="1" si="187"/>
        <v>0</v>
      </c>
      <c r="P562">
        <f t="shared" ca="1" si="188"/>
        <v>0</v>
      </c>
      <c r="Q562">
        <f t="shared" ca="1" si="189"/>
        <v>0</v>
      </c>
      <c r="R562">
        <f t="shared" ca="1" si="190"/>
        <v>0</v>
      </c>
      <c r="S562">
        <f t="shared" ca="1" si="191"/>
        <v>0</v>
      </c>
      <c r="T562">
        <f t="shared" ca="1" si="192"/>
        <v>26.928000000000001</v>
      </c>
      <c r="U562">
        <f t="shared" ca="1" si="193"/>
        <v>0</v>
      </c>
      <c r="V562">
        <f t="shared" ca="1" si="194"/>
        <v>0</v>
      </c>
      <c r="W562">
        <f t="shared" ca="1" si="195"/>
        <v>0</v>
      </c>
      <c r="X562">
        <f t="shared" ca="1" si="196"/>
        <v>0</v>
      </c>
      <c r="Y562">
        <f t="shared" ca="1" si="197"/>
        <v>0</v>
      </c>
      <c r="Z562">
        <f t="shared" ca="1" si="198"/>
        <v>0</v>
      </c>
      <c r="AA562">
        <f t="shared" ca="1" si="199"/>
        <v>0</v>
      </c>
      <c r="AB562">
        <f t="shared" ca="1" si="200"/>
        <v>0</v>
      </c>
      <c r="AC562">
        <f t="shared" ca="1" si="201"/>
        <v>0</v>
      </c>
      <c r="AD562">
        <f t="shared" ca="1" si="202"/>
        <v>0</v>
      </c>
      <c r="AE562">
        <f t="shared" ca="1" si="203"/>
        <v>0</v>
      </c>
      <c r="AF562">
        <f t="shared" ca="1" si="204"/>
        <v>0</v>
      </c>
      <c r="AG562">
        <f t="shared" ca="1" si="205"/>
        <v>0</v>
      </c>
      <c r="AH562">
        <f t="shared" ca="1" si="206"/>
        <v>0</v>
      </c>
      <c r="AI562">
        <f t="shared" ca="1" si="207"/>
        <v>0</v>
      </c>
      <c r="AJ562">
        <f t="shared" ca="1" si="208"/>
        <v>0</v>
      </c>
      <c r="AK562">
        <f t="shared" ca="1" si="209"/>
        <v>0</v>
      </c>
      <c r="AL562">
        <f t="shared" ca="1" si="210"/>
        <v>0</v>
      </c>
      <c r="AM562">
        <f t="shared" ca="1" si="211"/>
        <v>0</v>
      </c>
      <c r="AN562">
        <f t="shared" ca="1" si="212"/>
        <v>0</v>
      </c>
      <c r="AO562">
        <f t="shared" ca="1" si="213"/>
        <v>0</v>
      </c>
      <c r="AP562">
        <f t="shared" ca="1" si="214"/>
        <v>0</v>
      </c>
    </row>
    <row r="563" spans="8:42" x14ac:dyDescent="0.2">
      <c r="H563" t="s">
        <v>1034</v>
      </c>
      <c r="I563">
        <f t="shared" ca="1" si="181"/>
        <v>0</v>
      </c>
      <c r="J563">
        <f t="shared" ca="1" si="182"/>
        <v>0</v>
      </c>
      <c r="K563">
        <f t="shared" ca="1" si="183"/>
        <v>0</v>
      </c>
      <c r="L563">
        <f t="shared" ca="1" si="184"/>
        <v>0</v>
      </c>
      <c r="M563">
        <f t="shared" ca="1" si="185"/>
        <v>0</v>
      </c>
      <c r="N563">
        <f t="shared" ca="1" si="186"/>
        <v>0</v>
      </c>
      <c r="O563">
        <f t="shared" ca="1" si="187"/>
        <v>0</v>
      </c>
      <c r="P563">
        <f t="shared" ca="1" si="188"/>
        <v>0</v>
      </c>
      <c r="Q563">
        <f t="shared" ca="1" si="189"/>
        <v>9.8438761739907346</v>
      </c>
      <c r="R563">
        <f t="shared" ca="1" si="190"/>
        <v>0</v>
      </c>
      <c r="S563">
        <f t="shared" ca="1" si="191"/>
        <v>0</v>
      </c>
      <c r="T563">
        <f t="shared" ca="1" si="192"/>
        <v>0</v>
      </c>
      <c r="U563">
        <f t="shared" ca="1" si="193"/>
        <v>0</v>
      </c>
      <c r="V563">
        <f t="shared" ca="1" si="194"/>
        <v>0</v>
      </c>
      <c r="W563">
        <f t="shared" ca="1" si="195"/>
        <v>0</v>
      </c>
      <c r="X563">
        <f t="shared" ca="1" si="196"/>
        <v>0</v>
      </c>
      <c r="Y563">
        <f t="shared" ca="1" si="197"/>
        <v>11.576123826009265</v>
      </c>
      <c r="Z563">
        <f t="shared" ca="1" si="198"/>
        <v>0</v>
      </c>
      <c r="AA563">
        <f t="shared" ca="1" si="199"/>
        <v>0</v>
      </c>
      <c r="AB563">
        <f t="shared" ca="1" si="200"/>
        <v>0</v>
      </c>
      <c r="AC563">
        <f t="shared" ca="1" si="201"/>
        <v>0</v>
      </c>
      <c r="AD563">
        <f t="shared" ca="1" si="202"/>
        <v>0</v>
      </c>
      <c r="AE563">
        <f t="shared" ca="1" si="203"/>
        <v>0</v>
      </c>
      <c r="AF563">
        <f t="shared" ca="1" si="204"/>
        <v>0</v>
      </c>
      <c r="AG563">
        <f t="shared" ca="1" si="205"/>
        <v>0</v>
      </c>
      <c r="AH563">
        <f t="shared" ca="1" si="206"/>
        <v>0</v>
      </c>
      <c r="AI563">
        <f t="shared" ca="1" si="207"/>
        <v>0</v>
      </c>
      <c r="AJ563">
        <f t="shared" ca="1" si="208"/>
        <v>0</v>
      </c>
      <c r="AK563">
        <f t="shared" ca="1" si="209"/>
        <v>0</v>
      </c>
      <c r="AL563">
        <f t="shared" ca="1" si="210"/>
        <v>0</v>
      </c>
      <c r="AM563">
        <f t="shared" ca="1" si="211"/>
        <v>0</v>
      </c>
      <c r="AN563">
        <f t="shared" ca="1" si="212"/>
        <v>0</v>
      </c>
      <c r="AO563">
        <f t="shared" ca="1" si="213"/>
        <v>0</v>
      </c>
      <c r="AP563">
        <f t="shared" ca="1" si="214"/>
        <v>0</v>
      </c>
    </row>
    <row r="564" spans="8:42" x14ac:dyDescent="0.2">
      <c r="H564" t="s">
        <v>1140</v>
      </c>
      <c r="I564">
        <f t="shared" ca="1" si="181"/>
        <v>0</v>
      </c>
      <c r="J564">
        <f t="shared" ca="1" si="182"/>
        <v>0</v>
      </c>
      <c r="K564">
        <f t="shared" ca="1" si="183"/>
        <v>0</v>
      </c>
      <c r="L564">
        <f t="shared" ca="1" si="184"/>
        <v>0</v>
      </c>
      <c r="M564">
        <f t="shared" ca="1" si="185"/>
        <v>0</v>
      </c>
      <c r="N564">
        <f t="shared" ca="1" si="186"/>
        <v>0</v>
      </c>
      <c r="O564">
        <f t="shared" ca="1" si="187"/>
        <v>0</v>
      </c>
      <c r="P564">
        <f t="shared" ca="1" si="188"/>
        <v>0</v>
      </c>
      <c r="Q564">
        <f t="shared" ca="1" si="189"/>
        <v>0</v>
      </c>
      <c r="R564">
        <f t="shared" ca="1" si="190"/>
        <v>0</v>
      </c>
      <c r="S564">
        <f t="shared" ca="1" si="191"/>
        <v>0</v>
      </c>
      <c r="T564">
        <f t="shared" ca="1" si="192"/>
        <v>0</v>
      </c>
      <c r="U564">
        <f t="shared" ca="1" si="193"/>
        <v>0</v>
      </c>
      <c r="V564">
        <f t="shared" ca="1" si="194"/>
        <v>0</v>
      </c>
      <c r="W564">
        <f t="shared" ca="1" si="195"/>
        <v>0</v>
      </c>
      <c r="X564">
        <f t="shared" ca="1" si="196"/>
        <v>0</v>
      </c>
      <c r="Y564">
        <f t="shared" ca="1" si="197"/>
        <v>0</v>
      </c>
      <c r="Z564">
        <f t="shared" ca="1" si="198"/>
        <v>0</v>
      </c>
      <c r="AA564">
        <f t="shared" ca="1" si="199"/>
        <v>0</v>
      </c>
      <c r="AB564">
        <f t="shared" ca="1" si="200"/>
        <v>0</v>
      </c>
      <c r="AC564">
        <f t="shared" ca="1" si="201"/>
        <v>0</v>
      </c>
      <c r="AD564">
        <f t="shared" ca="1" si="202"/>
        <v>0</v>
      </c>
      <c r="AE564">
        <f t="shared" ca="1" si="203"/>
        <v>0</v>
      </c>
      <c r="AF564">
        <f t="shared" ca="1" si="204"/>
        <v>0</v>
      </c>
      <c r="AG564">
        <f t="shared" ca="1" si="205"/>
        <v>0</v>
      </c>
      <c r="AH564">
        <f t="shared" ca="1" si="206"/>
        <v>0</v>
      </c>
      <c r="AI564">
        <f t="shared" ca="1" si="207"/>
        <v>0</v>
      </c>
      <c r="AJ564">
        <f t="shared" ca="1" si="208"/>
        <v>0</v>
      </c>
      <c r="AK564">
        <f t="shared" ca="1" si="209"/>
        <v>0</v>
      </c>
      <c r="AL564">
        <f t="shared" ca="1" si="210"/>
        <v>0</v>
      </c>
      <c r="AM564">
        <f t="shared" ca="1" si="211"/>
        <v>0</v>
      </c>
      <c r="AN564">
        <f t="shared" ca="1" si="212"/>
        <v>0</v>
      </c>
      <c r="AO564">
        <f t="shared" ca="1" si="213"/>
        <v>0</v>
      </c>
      <c r="AP564">
        <f t="shared" ca="1" si="214"/>
        <v>0</v>
      </c>
    </row>
    <row r="565" spans="8:42" x14ac:dyDescent="0.2">
      <c r="H565" t="s">
        <v>1030</v>
      </c>
      <c r="I565">
        <f t="shared" ca="1" si="181"/>
        <v>0</v>
      </c>
      <c r="J565">
        <f t="shared" ca="1" si="182"/>
        <v>0</v>
      </c>
      <c r="K565">
        <f t="shared" ca="1" si="183"/>
        <v>0</v>
      </c>
      <c r="L565">
        <f t="shared" ca="1" si="184"/>
        <v>0</v>
      </c>
      <c r="M565">
        <f t="shared" ca="1" si="185"/>
        <v>0</v>
      </c>
      <c r="N565">
        <f t="shared" ca="1" si="186"/>
        <v>9.67993436027289</v>
      </c>
      <c r="O565">
        <f t="shared" ca="1" si="187"/>
        <v>0</v>
      </c>
      <c r="P565">
        <f t="shared" ca="1" si="188"/>
        <v>0</v>
      </c>
      <c r="Q565">
        <f t="shared" ca="1" si="189"/>
        <v>0</v>
      </c>
      <c r="R565">
        <f t="shared" ca="1" si="190"/>
        <v>0</v>
      </c>
      <c r="S565">
        <f t="shared" ca="1" si="191"/>
        <v>0</v>
      </c>
      <c r="T565">
        <f t="shared" ca="1" si="192"/>
        <v>0</v>
      </c>
      <c r="U565">
        <f t="shared" ca="1" si="193"/>
        <v>0</v>
      </c>
      <c r="V565">
        <f t="shared" ca="1" si="194"/>
        <v>0</v>
      </c>
      <c r="W565">
        <f t="shared" ca="1" si="195"/>
        <v>0</v>
      </c>
      <c r="X565">
        <f t="shared" ca="1" si="196"/>
        <v>0</v>
      </c>
      <c r="Y565">
        <f t="shared" ca="1" si="197"/>
        <v>0</v>
      </c>
      <c r="Z565">
        <f t="shared" ca="1" si="198"/>
        <v>0</v>
      </c>
      <c r="AA565">
        <f t="shared" ca="1" si="199"/>
        <v>0</v>
      </c>
      <c r="AB565">
        <f t="shared" ca="1" si="200"/>
        <v>0</v>
      </c>
      <c r="AC565">
        <f t="shared" ca="1" si="201"/>
        <v>0</v>
      </c>
      <c r="AD565">
        <f t="shared" ca="1" si="202"/>
        <v>0</v>
      </c>
      <c r="AE565">
        <f t="shared" ca="1" si="203"/>
        <v>0</v>
      </c>
      <c r="AF565">
        <f t="shared" ca="1" si="204"/>
        <v>0</v>
      </c>
      <c r="AG565">
        <f t="shared" ca="1" si="205"/>
        <v>0</v>
      </c>
      <c r="AH565">
        <f t="shared" ca="1" si="206"/>
        <v>0</v>
      </c>
      <c r="AI565">
        <f t="shared" ca="1" si="207"/>
        <v>0</v>
      </c>
      <c r="AJ565">
        <f t="shared" ca="1" si="208"/>
        <v>0</v>
      </c>
      <c r="AK565">
        <f t="shared" ca="1" si="209"/>
        <v>0</v>
      </c>
      <c r="AL565">
        <f t="shared" ca="1" si="210"/>
        <v>10.720065639727109</v>
      </c>
      <c r="AM565">
        <f t="shared" ca="1" si="211"/>
        <v>0</v>
      </c>
      <c r="AN565">
        <f t="shared" ca="1" si="212"/>
        <v>0</v>
      </c>
      <c r="AO565">
        <f t="shared" ca="1" si="213"/>
        <v>0</v>
      </c>
      <c r="AP565">
        <f t="shared" ca="1" si="214"/>
        <v>0</v>
      </c>
    </row>
    <row r="566" spans="8:42" x14ac:dyDescent="0.2">
      <c r="H566" t="s">
        <v>1040</v>
      </c>
      <c r="I566">
        <f t="shared" ca="1" si="181"/>
        <v>0.79453142896729434</v>
      </c>
      <c r="J566">
        <f t="shared" ca="1" si="182"/>
        <v>0</v>
      </c>
      <c r="K566">
        <f t="shared" ca="1" si="183"/>
        <v>0</v>
      </c>
      <c r="L566">
        <f t="shared" ca="1" si="184"/>
        <v>0</v>
      </c>
      <c r="M566">
        <f t="shared" ca="1" si="185"/>
        <v>0</v>
      </c>
      <c r="N566">
        <f t="shared" ca="1" si="186"/>
        <v>1.0535006067989583</v>
      </c>
      <c r="O566">
        <f t="shared" ca="1" si="187"/>
        <v>0.91002444154219875</v>
      </c>
      <c r="P566">
        <f t="shared" ca="1" si="188"/>
        <v>0.32871014547395777</v>
      </c>
      <c r="Q566">
        <f t="shared" ca="1" si="189"/>
        <v>0</v>
      </c>
      <c r="R566">
        <f t="shared" ca="1" si="190"/>
        <v>0.34558406336630793</v>
      </c>
      <c r="S566">
        <f t="shared" ca="1" si="191"/>
        <v>6.3751080345521274</v>
      </c>
      <c r="T566">
        <f t="shared" ca="1" si="192"/>
        <v>0</v>
      </c>
      <c r="U566">
        <f t="shared" ca="1" si="193"/>
        <v>0</v>
      </c>
      <c r="V566">
        <f t="shared" ca="1" si="194"/>
        <v>0.12139687909131969</v>
      </c>
      <c r="W566">
        <f t="shared" ca="1" si="195"/>
        <v>0</v>
      </c>
      <c r="X566">
        <f t="shared" ca="1" si="196"/>
        <v>0</v>
      </c>
      <c r="Y566">
        <f t="shared" ca="1" si="197"/>
        <v>0</v>
      </c>
      <c r="Z566">
        <f t="shared" ca="1" si="198"/>
        <v>2.2605382833501726</v>
      </c>
      <c r="AA566">
        <f t="shared" ca="1" si="199"/>
        <v>7.9639392445913657</v>
      </c>
      <c r="AB566">
        <f t="shared" ca="1" si="200"/>
        <v>0</v>
      </c>
      <c r="AC566">
        <f t="shared" ca="1" si="201"/>
        <v>0</v>
      </c>
      <c r="AD566">
        <f t="shared" ca="1" si="202"/>
        <v>0</v>
      </c>
      <c r="AE566">
        <f t="shared" ca="1" si="203"/>
        <v>0</v>
      </c>
      <c r="AF566">
        <f t="shared" ca="1" si="204"/>
        <v>0</v>
      </c>
      <c r="AG566">
        <f t="shared" ca="1" si="205"/>
        <v>0</v>
      </c>
      <c r="AH566">
        <f t="shared" ca="1" si="206"/>
        <v>0</v>
      </c>
      <c r="AI566">
        <f t="shared" ca="1" si="207"/>
        <v>0</v>
      </c>
      <c r="AJ566">
        <f t="shared" ca="1" si="208"/>
        <v>0</v>
      </c>
      <c r="AK566">
        <f t="shared" ca="1" si="209"/>
        <v>0</v>
      </c>
      <c r="AL566">
        <f t="shared" ca="1" si="210"/>
        <v>0.24666687226629547</v>
      </c>
      <c r="AM566">
        <f t="shared" ca="1" si="211"/>
        <v>0</v>
      </c>
      <c r="AN566">
        <f t="shared" ca="1" si="212"/>
        <v>0</v>
      </c>
      <c r="AO566">
        <f t="shared" ca="1" si="213"/>
        <v>0</v>
      </c>
      <c r="AP566">
        <f t="shared" ca="1" si="214"/>
        <v>0</v>
      </c>
    </row>
    <row r="567" spans="8:42" x14ac:dyDescent="0.2">
      <c r="H567" t="s">
        <v>994</v>
      </c>
      <c r="I567">
        <f t="shared" ca="1" si="181"/>
        <v>0</v>
      </c>
      <c r="J567">
        <f t="shared" ca="1" si="182"/>
        <v>0</v>
      </c>
      <c r="K567">
        <f t="shared" ca="1" si="183"/>
        <v>0</v>
      </c>
      <c r="L567">
        <f t="shared" ca="1" si="184"/>
        <v>0</v>
      </c>
      <c r="M567">
        <f t="shared" ca="1" si="185"/>
        <v>0</v>
      </c>
      <c r="N567">
        <f t="shared" ca="1" si="186"/>
        <v>1.5334912242639123</v>
      </c>
      <c r="O567">
        <f t="shared" ca="1" si="187"/>
        <v>1.2843801375926385</v>
      </c>
      <c r="P567">
        <f t="shared" ca="1" si="188"/>
        <v>0.45979005593174804</v>
      </c>
      <c r="Q567">
        <f t="shared" ca="1" si="189"/>
        <v>0</v>
      </c>
      <c r="R567">
        <f t="shared" ca="1" si="190"/>
        <v>0.47926260704521151</v>
      </c>
      <c r="S567">
        <f t="shared" ca="1" si="191"/>
        <v>7.986784652567045</v>
      </c>
      <c r="T567">
        <f t="shared" ca="1" si="192"/>
        <v>0</v>
      </c>
      <c r="U567">
        <f t="shared" ca="1" si="193"/>
        <v>0</v>
      </c>
      <c r="V567">
        <f t="shared" ca="1" si="194"/>
        <v>0.14525222669152288</v>
      </c>
      <c r="W567">
        <f t="shared" ca="1" si="195"/>
        <v>0</v>
      </c>
      <c r="X567">
        <f t="shared" ca="1" si="196"/>
        <v>0</v>
      </c>
      <c r="Y567">
        <f t="shared" ca="1" si="197"/>
        <v>0</v>
      </c>
      <c r="Z567">
        <f t="shared" ca="1" si="198"/>
        <v>3.3243303236755795</v>
      </c>
      <c r="AA567">
        <f t="shared" ca="1" si="199"/>
        <v>11.364864073488141</v>
      </c>
      <c r="AB567">
        <f t="shared" ca="1" si="200"/>
        <v>0</v>
      </c>
      <c r="AC567">
        <f t="shared" ca="1" si="201"/>
        <v>0</v>
      </c>
      <c r="AD567">
        <f t="shared" ca="1" si="202"/>
        <v>0</v>
      </c>
      <c r="AE567">
        <f t="shared" ca="1" si="203"/>
        <v>0</v>
      </c>
      <c r="AF567">
        <f t="shared" ca="1" si="204"/>
        <v>0</v>
      </c>
      <c r="AG567">
        <f t="shared" ca="1" si="205"/>
        <v>0</v>
      </c>
      <c r="AH567">
        <f t="shared" ca="1" si="206"/>
        <v>0</v>
      </c>
      <c r="AI567">
        <f t="shared" ca="1" si="207"/>
        <v>0</v>
      </c>
      <c r="AJ567">
        <f t="shared" ca="1" si="208"/>
        <v>0</v>
      </c>
      <c r="AK567">
        <f t="shared" ca="1" si="209"/>
        <v>0</v>
      </c>
      <c r="AL567">
        <f t="shared" ca="1" si="210"/>
        <v>0.3498446987442051</v>
      </c>
      <c r="AM567">
        <f t="shared" ca="1" si="211"/>
        <v>0</v>
      </c>
      <c r="AN567">
        <f t="shared" ca="1" si="212"/>
        <v>0</v>
      </c>
      <c r="AO567">
        <f t="shared" ca="1" si="213"/>
        <v>0</v>
      </c>
      <c r="AP567">
        <f t="shared" ca="1" si="214"/>
        <v>0</v>
      </c>
    </row>
    <row r="568" spans="8:42" x14ac:dyDescent="0.2">
      <c r="H568" t="s">
        <v>990</v>
      </c>
      <c r="I568">
        <f t="shared" ca="1" si="181"/>
        <v>0</v>
      </c>
      <c r="J568">
        <f t="shared" ca="1" si="182"/>
        <v>0</v>
      </c>
      <c r="K568">
        <f t="shared" ca="1" si="183"/>
        <v>0</v>
      </c>
      <c r="L568">
        <f t="shared" ca="1" si="184"/>
        <v>0</v>
      </c>
      <c r="M568">
        <f t="shared" ca="1" si="185"/>
        <v>0</v>
      </c>
      <c r="N568">
        <f t="shared" ca="1" si="186"/>
        <v>0</v>
      </c>
      <c r="O568">
        <f t="shared" ca="1" si="187"/>
        <v>0</v>
      </c>
      <c r="P568">
        <f t="shared" ca="1" si="188"/>
        <v>0</v>
      </c>
      <c r="Q568">
        <f t="shared" ca="1" si="189"/>
        <v>0</v>
      </c>
      <c r="R568">
        <f t="shared" ca="1" si="190"/>
        <v>0</v>
      </c>
      <c r="S568">
        <f t="shared" ca="1" si="191"/>
        <v>0</v>
      </c>
      <c r="T568">
        <f t="shared" ca="1" si="192"/>
        <v>0</v>
      </c>
      <c r="U568">
        <f t="shared" ca="1" si="193"/>
        <v>0</v>
      </c>
      <c r="V568">
        <f t="shared" ca="1" si="194"/>
        <v>0</v>
      </c>
      <c r="W568">
        <f t="shared" ca="1" si="195"/>
        <v>0</v>
      </c>
      <c r="X568">
        <f t="shared" ca="1" si="196"/>
        <v>0</v>
      </c>
      <c r="Y568">
        <f t="shared" ca="1" si="197"/>
        <v>0</v>
      </c>
      <c r="Z568">
        <f t="shared" ca="1" si="198"/>
        <v>0</v>
      </c>
      <c r="AA568">
        <f t="shared" ca="1" si="199"/>
        <v>0</v>
      </c>
      <c r="AB568">
        <f t="shared" ca="1" si="200"/>
        <v>0</v>
      </c>
      <c r="AC568">
        <f t="shared" ca="1" si="201"/>
        <v>0</v>
      </c>
      <c r="AD568">
        <f t="shared" ca="1" si="202"/>
        <v>0</v>
      </c>
      <c r="AE568">
        <f t="shared" ca="1" si="203"/>
        <v>0</v>
      </c>
      <c r="AF568">
        <f t="shared" ca="1" si="204"/>
        <v>0</v>
      </c>
      <c r="AG568">
        <f t="shared" ca="1" si="205"/>
        <v>0</v>
      </c>
      <c r="AH568">
        <f t="shared" ca="1" si="206"/>
        <v>0</v>
      </c>
      <c r="AI568">
        <f t="shared" ca="1" si="207"/>
        <v>0.53960929735103402</v>
      </c>
      <c r="AJ568">
        <f t="shared" ca="1" si="208"/>
        <v>0</v>
      </c>
      <c r="AK568">
        <f t="shared" ca="1" si="209"/>
        <v>0</v>
      </c>
      <c r="AL568">
        <f t="shared" ca="1" si="210"/>
        <v>0</v>
      </c>
      <c r="AM568">
        <f t="shared" ca="1" si="211"/>
        <v>0</v>
      </c>
      <c r="AN568">
        <f t="shared" ca="1" si="212"/>
        <v>12.924390702648967</v>
      </c>
      <c r="AO568">
        <f t="shared" ca="1" si="213"/>
        <v>0</v>
      </c>
      <c r="AP568">
        <f t="shared" ca="1" si="214"/>
        <v>0</v>
      </c>
    </row>
    <row r="569" spans="8:42" x14ac:dyDescent="0.2">
      <c r="H569" t="s">
        <v>1046</v>
      </c>
      <c r="I569">
        <f t="shared" ca="1" si="181"/>
        <v>0</v>
      </c>
      <c r="J569">
        <f t="shared" ca="1" si="182"/>
        <v>0</v>
      </c>
      <c r="K569">
        <f t="shared" ca="1" si="183"/>
        <v>0</v>
      </c>
      <c r="L569">
        <f t="shared" ca="1" si="184"/>
        <v>0</v>
      </c>
      <c r="M569">
        <f t="shared" ca="1" si="185"/>
        <v>0</v>
      </c>
      <c r="N569">
        <f t="shared" ca="1" si="186"/>
        <v>0</v>
      </c>
      <c r="O569">
        <f t="shared" ca="1" si="187"/>
        <v>0</v>
      </c>
      <c r="P569">
        <f t="shared" ca="1" si="188"/>
        <v>0</v>
      </c>
      <c r="Q569">
        <f t="shared" ca="1" si="189"/>
        <v>7.0488780145433747</v>
      </c>
      <c r="R569">
        <f t="shared" ca="1" si="190"/>
        <v>0</v>
      </c>
      <c r="S569">
        <f t="shared" ca="1" si="191"/>
        <v>0</v>
      </c>
      <c r="T569">
        <f t="shared" ca="1" si="192"/>
        <v>2.6281507541039195</v>
      </c>
      <c r="U569">
        <f t="shared" ca="1" si="193"/>
        <v>0</v>
      </c>
      <c r="V569">
        <f t="shared" ca="1" si="194"/>
        <v>0</v>
      </c>
      <c r="W569">
        <f t="shared" ca="1" si="195"/>
        <v>0</v>
      </c>
      <c r="X569">
        <f t="shared" ca="1" si="196"/>
        <v>6.1501715977159748</v>
      </c>
      <c r="Y569">
        <f t="shared" ca="1" si="197"/>
        <v>3.5252762564341125</v>
      </c>
      <c r="Z569">
        <f t="shared" ca="1" si="198"/>
        <v>1.0475233772026138</v>
      </c>
      <c r="AA569">
        <f t="shared" ca="1" si="199"/>
        <v>0</v>
      </c>
      <c r="AB569">
        <f t="shared" ca="1" si="200"/>
        <v>0</v>
      </c>
      <c r="AC569">
        <f t="shared" ca="1" si="201"/>
        <v>0</v>
      </c>
      <c r="AD569">
        <f t="shared" ca="1" si="202"/>
        <v>0</v>
      </c>
      <c r="AE569">
        <f t="shared" ca="1" si="203"/>
        <v>0</v>
      </c>
      <c r="AF569">
        <f t="shared" ca="1" si="204"/>
        <v>0</v>
      </c>
      <c r="AG569">
        <f t="shared" ca="1" si="205"/>
        <v>0</v>
      </c>
      <c r="AH569">
        <f t="shared" ca="1" si="206"/>
        <v>0</v>
      </c>
      <c r="AI569">
        <f t="shared" ca="1" si="207"/>
        <v>0</v>
      </c>
      <c r="AJ569">
        <f t="shared" ca="1" si="208"/>
        <v>0</v>
      </c>
      <c r="AK569">
        <f t="shared" ca="1" si="209"/>
        <v>0</v>
      </c>
      <c r="AL569">
        <f t="shared" ca="1" si="210"/>
        <v>0</v>
      </c>
      <c r="AM569">
        <f t="shared" ca="1" si="211"/>
        <v>0</v>
      </c>
      <c r="AN569">
        <f t="shared" ca="1" si="212"/>
        <v>0</v>
      </c>
      <c r="AO569">
        <f t="shared" ca="1" si="213"/>
        <v>0</v>
      </c>
      <c r="AP569">
        <f t="shared" ca="1" si="214"/>
        <v>0</v>
      </c>
    </row>
    <row r="570" spans="8:42" x14ac:dyDescent="0.2">
      <c r="H570" t="s">
        <v>1141</v>
      </c>
      <c r="I570">
        <f t="shared" ca="1" si="181"/>
        <v>0</v>
      </c>
      <c r="J570">
        <f t="shared" ca="1" si="182"/>
        <v>0</v>
      </c>
      <c r="K570">
        <f t="shared" ca="1" si="183"/>
        <v>0</v>
      </c>
      <c r="L570">
        <f t="shared" ca="1" si="184"/>
        <v>0</v>
      </c>
      <c r="M570">
        <f t="shared" ca="1" si="185"/>
        <v>0</v>
      </c>
      <c r="N570">
        <f t="shared" ca="1" si="186"/>
        <v>0</v>
      </c>
      <c r="O570">
        <f t="shared" ca="1" si="187"/>
        <v>0</v>
      </c>
      <c r="P570">
        <f t="shared" ca="1" si="188"/>
        <v>0</v>
      </c>
      <c r="Q570">
        <f t="shared" ca="1" si="189"/>
        <v>0</v>
      </c>
      <c r="R570">
        <f t="shared" ca="1" si="190"/>
        <v>0</v>
      </c>
      <c r="S570">
        <f t="shared" ca="1" si="191"/>
        <v>0</v>
      </c>
      <c r="T570">
        <f t="shared" ca="1" si="192"/>
        <v>0</v>
      </c>
      <c r="U570">
        <f t="shared" ca="1" si="193"/>
        <v>0</v>
      </c>
      <c r="V570">
        <f t="shared" ca="1" si="194"/>
        <v>0</v>
      </c>
      <c r="W570">
        <f t="shared" ca="1" si="195"/>
        <v>0</v>
      </c>
      <c r="X570">
        <f t="shared" ca="1" si="196"/>
        <v>0</v>
      </c>
      <c r="Y570">
        <f t="shared" ca="1" si="197"/>
        <v>0</v>
      </c>
      <c r="Z570">
        <f t="shared" ca="1" si="198"/>
        <v>0</v>
      </c>
      <c r="AA570">
        <f t="shared" ca="1" si="199"/>
        <v>0</v>
      </c>
      <c r="AB570">
        <f t="shared" ca="1" si="200"/>
        <v>0</v>
      </c>
      <c r="AC570">
        <f t="shared" ca="1" si="201"/>
        <v>0</v>
      </c>
      <c r="AD570">
        <f t="shared" ca="1" si="202"/>
        <v>0</v>
      </c>
      <c r="AE570">
        <f t="shared" ca="1" si="203"/>
        <v>0</v>
      </c>
      <c r="AF570">
        <f t="shared" ca="1" si="204"/>
        <v>0</v>
      </c>
      <c r="AG570">
        <f t="shared" ca="1" si="205"/>
        <v>0</v>
      </c>
      <c r="AH570">
        <f t="shared" ca="1" si="206"/>
        <v>0</v>
      </c>
      <c r="AI570">
        <f t="shared" ca="1" si="207"/>
        <v>0</v>
      </c>
      <c r="AJ570">
        <f t="shared" ca="1" si="208"/>
        <v>0</v>
      </c>
      <c r="AK570">
        <f t="shared" ca="1" si="209"/>
        <v>0</v>
      </c>
      <c r="AL570">
        <f t="shared" ca="1" si="210"/>
        <v>0</v>
      </c>
      <c r="AM570">
        <f t="shared" ca="1" si="211"/>
        <v>0</v>
      </c>
      <c r="AN570">
        <f t="shared" ca="1" si="212"/>
        <v>0</v>
      </c>
      <c r="AO570">
        <f t="shared" ca="1" si="213"/>
        <v>0</v>
      </c>
      <c r="AP570">
        <f t="shared" ca="1" si="214"/>
        <v>0</v>
      </c>
    </row>
    <row r="571" spans="8:42" x14ac:dyDescent="0.2">
      <c r="H571" t="s">
        <v>1031</v>
      </c>
      <c r="I571">
        <f t="shared" ca="1" si="181"/>
        <v>0</v>
      </c>
      <c r="J571">
        <f t="shared" ca="1" si="182"/>
        <v>0</v>
      </c>
      <c r="K571">
        <f t="shared" ca="1" si="183"/>
        <v>0</v>
      </c>
      <c r="L571">
        <f t="shared" ca="1" si="184"/>
        <v>0</v>
      </c>
      <c r="M571">
        <f t="shared" ca="1" si="185"/>
        <v>0</v>
      </c>
      <c r="N571">
        <f t="shared" ca="1" si="186"/>
        <v>0</v>
      </c>
      <c r="O571">
        <f t="shared" ca="1" si="187"/>
        <v>0</v>
      </c>
      <c r="P571">
        <f t="shared" ca="1" si="188"/>
        <v>0</v>
      </c>
      <c r="Q571">
        <f t="shared" ca="1" si="189"/>
        <v>0</v>
      </c>
      <c r="R571">
        <f t="shared" ca="1" si="190"/>
        <v>0</v>
      </c>
      <c r="S571">
        <f t="shared" ca="1" si="191"/>
        <v>0</v>
      </c>
      <c r="T571">
        <f t="shared" ca="1" si="192"/>
        <v>0</v>
      </c>
      <c r="U571">
        <f t="shared" ca="1" si="193"/>
        <v>0</v>
      </c>
      <c r="V571">
        <f t="shared" ca="1" si="194"/>
        <v>0</v>
      </c>
      <c r="W571">
        <f t="shared" ca="1" si="195"/>
        <v>0</v>
      </c>
      <c r="X571">
        <f t="shared" ca="1" si="196"/>
        <v>0</v>
      </c>
      <c r="Y571">
        <f t="shared" ca="1" si="197"/>
        <v>0</v>
      </c>
      <c r="Z571">
        <f t="shared" ca="1" si="198"/>
        <v>0</v>
      </c>
      <c r="AA571">
        <f t="shared" ca="1" si="199"/>
        <v>0</v>
      </c>
      <c r="AB571">
        <f t="shared" ca="1" si="200"/>
        <v>0</v>
      </c>
      <c r="AC571">
        <f t="shared" ca="1" si="201"/>
        <v>0</v>
      </c>
      <c r="AD571">
        <f t="shared" ca="1" si="202"/>
        <v>0</v>
      </c>
      <c r="AE571">
        <f t="shared" ca="1" si="203"/>
        <v>0</v>
      </c>
      <c r="AF571">
        <f t="shared" ca="1" si="204"/>
        <v>0</v>
      </c>
      <c r="AG571">
        <f t="shared" ca="1" si="205"/>
        <v>0</v>
      </c>
      <c r="AH571">
        <f t="shared" ca="1" si="206"/>
        <v>0</v>
      </c>
      <c r="AI571">
        <f t="shared" ca="1" si="207"/>
        <v>0</v>
      </c>
      <c r="AJ571">
        <f t="shared" ca="1" si="208"/>
        <v>0</v>
      </c>
      <c r="AK571">
        <f t="shared" ca="1" si="209"/>
        <v>12.24</v>
      </c>
      <c r="AL571">
        <f t="shared" ca="1" si="210"/>
        <v>0</v>
      </c>
      <c r="AM571">
        <f t="shared" ca="1" si="211"/>
        <v>0</v>
      </c>
      <c r="AN571">
        <f t="shared" ca="1" si="212"/>
        <v>0</v>
      </c>
      <c r="AO571">
        <f t="shared" ca="1" si="213"/>
        <v>0</v>
      </c>
      <c r="AP571">
        <f t="shared" ca="1" si="214"/>
        <v>0</v>
      </c>
    </row>
    <row r="572" spans="8:42" x14ac:dyDescent="0.2">
      <c r="H572" t="s">
        <v>1142</v>
      </c>
      <c r="I572">
        <f t="shared" ca="1" si="181"/>
        <v>0</v>
      </c>
      <c r="J572">
        <f t="shared" ca="1" si="182"/>
        <v>0</v>
      </c>
      <c r="K572">
        <f t="shared" ca="1" si="183"/>
        <v>0</v>
      </c>
      <c r="L572">
        <f t="shared" ca="1" si="184"/>
        <v>0</v>
      </c>
      <c r="M572">
        <f t="shared" ca="1" si="185"/>
        <v>0</v>
      </c>
      <c r="N572">
        <f t="shared" ca="1" si="186"/>
        <v>0</v>
      </c>
      <c r="O572">
        <f t="shared" ca="1" si="187"/>
        <v>0</v>
      </c>
      <c r="P572">
        <f t="shared" ca="1" si="188"/>
        <v>0</v>
      </c>
      <c r="Q572">
        <f t="shared" ca="1" si="189"/>
        <v>0</v>
      </c>
      <c r="R572">
        <f t="shared" ca="1" si="190"/>
        <v>0</v>
      </c>
      <c r="S572">
        <f t="shared" ca="1" si="191"/>
        <v>0</v>
      </c>
      <c r="T572">
        <f t="shared" ca="1" si="192"/>
        <v>0</v>
      </c>
      <c r="U572">
        <f t="shared" ca="1" si="193"/>
        <v>0</v>
      </c>
      <c r="V572">
        <f t="shared" ca="1" si="194"/>
        <v>0</v>
      </c>
      <c r="W572">
        <f t="shared" ca="1" si="195"/>
        <v>0</v>
      </c>
      <c r="X572">
        <f t="shared" ca="1" si="196"/>
        <v>0</v>
      </c>
      <c r="Y572">
        <f t="shared" ca="1" si="197"/>
        <v>0</v>
      </c>
      <c r="Z572">
        <f t="shared" ca="1" si="198"/>
        <v>0</v>
      </c>
      <c r="AA572">
        <f t="shared" ca="1" si="199"/>
        <v>0</v>
      </c>
      <c r="AB572">
        <f t="shared" ca="1" si="200"/>
        <v>0</v>
      </c>
      <c r="AC572">
        <f t="shared" ca="1" si="201"/>
        <v>0</v>
      </c>
      <c r="AD572">
        <f t="shared" ca="1" si="202"/>
        <v>0</v>
      </c>
      <c r="AE572">
        <f t="shared" ca="1" si="203"/>
        <v>0</v>
      </c>
      <c r="AF572">
        <f t="shared" ca="1" si="204"/>
        <v>0</v>
      </c>
      <c r="AG572">
        <f t="shared" ca="1" si="205"/>
        <v>0</v>
      </c>
      <c r="AH572">
        <f t="shared" ca="1" si="206"/>
        <v>0</v>
      </c>
      <c r="AI572">
        <f t="shared" ca="1" si="207"/>
        <v>0</v>
      </c>
      <c r="AJ572">
        <f t="shared" ca="1" si="208"/>
        <v>0</v>
      </c>
      <c r="AK572">
        <f t="shared" ca="1" si="209"/>
        <v>0</v>
      </c>
      <c r="AL572">
        <f t="shared" ca="1" si="210"/>
        <v>0</v>
      </c>
      <c r="AM572">
        <f t="shared" ca="1" si="211"/>
        <v>0</v>
      </c>
      <c r="AN572">
        <f t="shared" ca="1" si="212"/>
        <v>0</v>
      </c>
      <c r="AO572">
        <f t="shared" ca="1" si="213"/>
        <v>0</v>
      </c>
      <c r="AP572">
        <f t="shared" ca="1" si="214"/>
        <v>0</v>
      </c>
    </row>
    <row r="573" spans="8:42" x14ac:dyDescent="0.2">
      <c r="H573" t="s">
        <v>1062</v>
      </c>
      <c r="I573">
        <f t="shared" ca="1" si="181"/>
        <v>0</v>
      </c>
      <c r="J573">
        <f t="shared" ca="1" si="182"/>
        <v>0</v>
      </c>
      <c r="K573">
        <f t="shared" ca="1" si="183"/>
        <v>0</v>
      </c>
      <c r="L573">
        <f t="shared" ca="1" si="184"/>
        <v>0</v>
      </c>
      <c r="M573">
        <f t="shared" ca="1" si="185"/>
        <v>0</v>
      </c>
      <c r="N573">
        <f t="shared" ca="1" si="186"/>
        <v>0</v>
      </c>
      <c r="O573">
        <f t="shared" ca="1" si="187"/>
        <v>0</v>
      </c>
      <c r="P573">
        <f t="shared" ca="1" si="188"/>
        <v>0</v>
      </c>
      <c r="Q573">
        <f t="shared" ca="1" si="189"/>
        <v>0</v>
      </c>
      <c r="R573">
        <f t="shared" ca="1" si="190"/>
        <v>0</v>
      </c>
      <c r="S573">
        <f t="shared" ca="1" si="191"/>
        <v>26.928000000000001</v>
      </c>
      <c r="T573">
        <f t="shared" ca="1" si="192"/>
        <v>0</v>
      </c>
      <c r="U573">
        <f t="shared" ca="1" si="193"/>
        <v>0</v>
      </c>
      <c r="V573">
        <f t="shared" ca="1" si="194"/>
        <v>0</v>
      </c>
      <c r="W573">
        <f t="shared" ca="1" si="195"/>
        <v>0</v>
      </c>
      <c r="X573">
        <f t="shared" ca="1" si="196"/>
        <v>0</v>
      </c>
      <c r="Y573">
        <f t="shared" ca="1" si="197"/>
        <v>0</v>
      </c>
      <c r="Z573">
        <f t="shared" ca="1" si="198"/>
        <v>0</v>
      </c>
      <c r="AA573">
        <f t="shared" ca="1" si="199"/>
        <v>0</v>
      </c>
      <c r="AB573">
        <f t="shared" ca="1" si="200"/>
        <v>0</v>
      </c>
      <c r="AC573">
        <f t="shared" ca="1" si="201"/>
        <v>0</v>
      </c>
      <c r="AD573">
        <f t="shared" ca="1" si="202"/>
        <v>0</v>
      </c>
      <c r="AE573">
        <f t="shared" ca="1" si="203"/>
        <v>0</v>
      </c>
      <c r="AF573">
        <f t="shared" ca="1" si="204"/>
        <v>0</v>
      </c>
      <c r="AG573">
        <f t="shared" ca="1" si="205"/>
        <v>0</v>
      </c>
      <c r="AH573">
        <f t="shared" ca="1" si="206"/>
        <v>0</v>
      </c>
      <c r="AI573">
        <f t="shared" ca="1" si="207"/>
        <v>0</v>
      </c>
      <c r="AJ573">
        <f t="shared" ca="1" si="208"/>
        <v>0</v>
      </c>
      <c r="AK573">
        <f t="shared" ca="1" si="209"/>
        <v>0</v>
      </c>
      <c r="AL573">
        <f t="shared" ca="1" si="210"/>
        <v>0</v>
      </c>
      <c r="AM573">
        <f t="shared" ca="1" si="211"/>
        <v>0</v>
      </c>
      <c r="AN573">
        <f t="shared" ca="1" si="212"/>
        <v>0</v>
      </c>
      <c r="AO573">
        <f t="shared" ca="1" si="213"/>
        <v>0</v>
      </c>
      <c r="AP573">
        <f t="shared" ca="1" si="214"/>
        <v>0</v>
      </c>
    </row>
    <row r="574" spans="8:42" x14ac:dyDescent="0.2">
      <c r="H574" t="s">
        <v>1061</v>
      </c>
      <c r="I574">
        <f t="shared" ca="1" si="181"/>
        <v>0</v>
      </c>
      <c r="J574">
        <f t="shared" ca="1" si="182"/>
        <v>0</v>
      </c>
      <c r="K574">
        <f t="shared" ca="1" si="183"/>
        <v>0</v>
      </c>
      <c r="L574">
        <f t="shared" ca="1" si="184"/>
        <v>0</v>
      </c>
      <c r="M574">
        <f t="shared" ca="1" si="185"/>
        <v>0</v>
      </c>
      <c r="N574">
        <f t="shared" ca="1" si="186"/>
        <v>0</v>
      </c>
      <c r="O574">
        <f t="shared" ca="1" si="187"/>
        <v>0</v>
      </c>
      <c r="P574">
        <f t="shared" ca="1" si="188"/>
        <v>0</v>
      </c>
      <c r="Q574">
        <f t="shared" ca="1" si="189"/>
        <v>0</v>
      </c>
      <c r="R574">
        <f t="shared" ca="1" si="190"/>
        <v>0</v>
      </c>
      <c r="S574">
        <f t="shared" ca="1" si="191"/>
        <v>0</v>
      </c>
      <c r="T574">
        <f t="shared" ca="1" si="192"/>
        <v>40.392000000000003</v>
      </c>
      <c r="U574">
        <f t="shared" ca="1" si="193"/>
        <v>0</v>
      </c>
      <c r="V574">
        <f t="shared" ca="1" si="194"/>
        <v>0</v>
      </c>
      <c r="W574">
        <f t="shared" ca="1" si="195"/>
        <v>0</v>
      </c>
      <c r="X574">
        <f t="shared" ca="1" si="196"/>
        <v>0</v>
      </c>
      <c r="Y574">
        <f t="shared" ca="1" si="197"/>
        <v>0</v>
      </c>
      <c r="Z574">
        <f t="shared" ca="1" si="198"/>
        <v>0</v>
      </c>
      <c r="AA574">
        <f t="shared" ca="1" si="199"/>
        <v>0</v>
      </c>
      <c r="AB574">
        <f t="shared" ca="1" si="200"/>
        <v>0</v>
      </c>
      <c r="AC574">
        <f t="shared" ca="1" si="201"/>
        <v>0</v>
      </c>
      <c r="AD574">
        <f t="shared" ca="1" si="202"/>
        <v>0</v>
      </c>
      <c r="AE574">
        <f t="shared" ca="1" si="203"/>
        <v>0</v>
      </c>
      <c r="AF574">
        <f t="shared" ca="1" si="204"/>
        <v>0</v>
      </c>
      <c r="AG574">
        <f t="shared" ca="1" si="205"/>
        <v>0</v>
      </c>
      <c r="AH574">
        <f t="shared" ca="1" si="206"/>
        <v>0</v>
      </c>
      <c r="AI574">
        <f t="shared" ca="1" si="207"/>
        <v>0</v>
      </c>
      <c r="AJ574">
        <f t="shared" ca="1" si="208"/>
        <v>0</v>
      </c>
      <c r="AK574">
        <f t="shared" ca="1" si="209"/>
        <v>0</v>
      </c>
      <c r="AL574">
        <f t="shared" ca="1" si="210"/>
        <v>0</v>
      </c>
      <c r="AM574">
        <f t="shared" ca="1" si="211"/>
        <v>0</v>
      </c>
      <c r="AN574">
        <f t="shared" ca="1" si="212"/>
        <v>0</v>
      </c>
      <c r="AO574">
        <f t="shared" ca="1" si="213"/>
        <v>0</v>
      </c>
      <c r="AP574">
        <f t="shared" ca="1" si="214"/>
        <v>0</v>
      </c>
    </row>
    <row r="575" spans="8:42" x14ac:dyDescent="0.2">
      <c r="H575" t="s">
        <v>1024</v>
      </c>
      <c r="I575">
        <f t="shared" ca="1" si="181"/>
        <v>0</v>
      </c>
      <c r="J575">
        <f t="shared" ca="1" si="182"/>
        <v>0</v>
      </c>
      <c r="K575">
        <f t="shared" ca="1" si="183"/>
        <v>0</v>
      </c>
      <c r="L575">
        <f t="shared" ca="1" si="184"/>
        <v>0</v>
      </c>
      <c r="M575">
        <f t="shared" ca="1" si="185"/>
        <v>0</v>
      </c>
      <c r="N575">
        <f t="shared" ca="1" si="186"/>
        <v>0</v>
      </c>
      <c r="O575">
        <f t="shared" ca="1" si="187"/>
        <v>0</v>
      </c>
      <c r="P575">
        <f t="shared" ca="1" si="188"/>
        <v>0</v>
      </c>
      <c r="Q575">
        <f t="shared" ca="1" si="189"/>
        <v>0</v>
      </c>
      <c r="R575">
        <f t="shared" ca="1" si="190"/>
        <v>0</v>
      </c>
      <c r="S575">
        <f t="shared" ca="1" si="191"/>
        <v>39.925043815185191</v>
      </c>
      <c r="T575">
        <f t="shared" ca="1" si="192"/>
        <v>8.0889151712002647</v>
      </c>
      <c r="U575">
        <f t="shared" ca="1" si="193"/>
        <v>0</v>
      </c>
      <c r="V575">
        <f t="shared" ca="1" si="194"/>
        <v>0</v>
      </c>
      <c r="W575">
        <f t="shared" ca="1" si="195"/>
        <v>0</v>
      </c>
      <c r="X575">
        <f t="shared" ca="1" si="196"/>
        <v>0</v>
      </c>
      <c r="Y575">
        <f t="shared" ca="1" si="197"/>
        <v>0</v>
      </c>
      <c r="Z575">
        <f t="shared" ca="1" si="198"/>
        <v>0</v>
      </c>
      <c r="AA575">
        <f t="shared" ca="1" si="199"/>
        <v>16.075678827719177</v>
      </c>
      <c r="AB575">
        <f t="shared" ca="1" si="200"/>
        <v>0</v>
      </c>
      <c r="AC575">
        <f t="shared" ca="1" si="201"/>
        <v>0</v>
      </c>
      <c r="AD575">
        <f t="shared" ca="1" si="202"/>
        <v>0</v>
      </c>
      <c r="AE575">
        <f t="shared" ca="1" si="203"/>
        <v>0</v>
      </c>
      <c r="AF575">
        <f t="shared" ca="1" si="204"/>
        <v>0</v>
      </c>
      <c r="AG575">
        <f t="shared" ca="1" si="205"/>
        <v>0</v>
      </c>
      <c r="AH575">
        <f t="shared" ca="1" si="206"/>
        <v>10.483680427686528</v>
      </c>
      <c r="AI575">
        <f t="shared" ca="1" si="207"/>
        <v>7.0266817582088281</v>
      </c>
      <c r="AJ575">
        <f t="shared" ca="1" si="208"/>
        <v>0</v>
      </c>
      <c r="AK575">
        <f t="shared" ca="1" si="209"/>
        <v>0</v>
      </c>
      <c r="AL575">
        <f t="shared" ca="1" si="210"/>
        <v>0</v>
      </c>
      <c r="AM575">
        <f t="shared" ca="1" si="211"/>
        <v>0</v>
      </c>
      <c r="AN575">
        <f t="shared" ca="1" si="212"/>
        <v>0</v>
      </c>
      <c r="AO575">
        <f t="shared" ca="1" si="213"/>
        <v>0</v>
      </c>
      <c r="AP575">
        <f t="shared" ca="1" si="214"/>
        <v>0</v>
      </c>
    </row>
    <row r="576" spans="8:42" x14ac:dyDescent="0.2">
      <c r="H576" t="s">
        <v>1067</v>
      </c>
      <c r="I576">
        <f t="shared" ca="1" si="181"/>
        <v>0</v>
      </c>
      <c r="J576">
        <f t="shared" ca="1" si="182"/>
        <v>0</v>
      </c>
      <c r="K576">
        <f t="shared" ca="1" si="183"/>
        <v>0</v>
      </c>
      <c r="L576">
        <f t="shared" ca="1" si="184"/>
        <v>0</v>
      </c>
      <c r="M576">
        <f t="shared" ca="1" si="185"/>
        <v>0</v>
      </c>
      <c r="N576">
        <f t="shared" ca="1" si="186"/>
        <v>0</v>
      </c>
      <c r="O576">
        <f t="shared" ca="1" si="187"/>
        <v>0</v>
      </c>
      <c r="P576">
        <f t="shared" ca="1" si="188"/>
        <v>0</v>
      </c>
      <c r="Q576">
        <f t="shared" ca="1" si="189"/>
        <v>0</v>
      </c>
      <c r="R576">
        <f t="shared" ca="1" si="190"/>
        <v>0</v>
      </c>
      <c r="S576">
        <f t="shared" ca="1" si="191"/>
        <v>0</v>
      </c>
      <c r="T576">
        <f t="shared" ca="1" si="192"/>
        <v>0</v>
      </c>
      <c r="U576">
        <f t="shared" ca="1" si="193"/>
        <v>0</v>
      </c>
      <c r="V576">
        <f t="shared" ca="1" si="194"/>
        <v>0</v>
      </c>
      <c r="W576">
        <f t="shared" ca="1" si="195"/>
        <v>0</v>
      </c>
      <c r="X576">
        <f t="shared" ca="1" si="196"/>
        <v>0</v>
      </c>
      <c r="Y576">
        <f t="shared" ca="1" si="197"/>
        <v>0</v>
      </c>
      <c r="Z576">
        <f t="shared" ca="1" si="198"/>
        <v>0</v>
      </c>
      <c r="AA576">
        <f t="shared" ca="1" si="199"/>
        <v>0</v>
      </c>
      <c r="AB576">
        <f t="shared" ca="1" si="200"/>
        <v>0</v>
      </c>
      <c r="AC576">
        <f t="shared" ca="1" si="201"/>
        <v>0</v>
      </c>
      <c r="AD576">
        <f t="shared" ca="1" si="202"/>
        <v>0</v>
      </c>
      <c r="AE576">
        <f t="shared" ca="1" si="203"/>
        <v>0</v>
      </c>
      <c r="AF576">
        <f t="shared" ca="1" si="204"/>
        <v>0</v>
      </c>
      <c r="AG576">
        <f t="shared" ca="1" si="205"/>
        <v>0</v>
      </c>
      <c r="AH576">
        <f t="shared" ca="1" si="206"/>
        <v>0</v>
      </c>
      <c r="AI576">
        <f t="shared" ca="1" si="207"/>
        <v>0</v>
      </c>
      <c r="AJ576">
        <f t="shared" ca="1" si="208"/>
        <v>0</v>
      </c>
      <c r="AK576">
        <f t="shared" ca="1" si="209"/>
        <v>24.48</v>
      </c>
      <c r="AL576">
        <f t="shared" ca="1" si="210"/>
        <v>0</v>
      </c>
      <c r="AM576">
        <f t="shared" ca="1" si="211"/>
        <v>0</v>
      </c>
      <c r="AN576">
        <f t="shared" ca="1" si="212"/>
        <v>0</v>
      </c>
      <c r="AO576">
        <f t="shared" ca="1" si="213"/>
        <v>0</v>
      </c>
      <c r="AP576">
        <f t="shared" ca="1" si="214"/>
        <v>0</v>
      </c>
    </row>
    <row r="577" spans="8:42" x14ac:dyDescent="0.2">
      <c r="H577" t="s">
        <v>1143</v>
      </c>
      <c r="I577">
        <f t="shared" ca="1" si="181"/>
        <v>0</v>
      </c>
      <c r="J577">
        <f t="shared" ca="1" si="182"/>
        <v>0</v>
      </c>
      <c r="K577">
        <f t="shared" ca="1" si="183"/>
        <v>0</v>
      </c>
      <c r="L577">
        <f t="shared" ca="1" si="184"/>
        <v>0</v>
      </c>
      <c r="M577">
        <f t="shared" ca="1" si="185"/>
        <v>0</v>
      </c>
      <c r="N577">
        <f t="shared" ca="1" si="186"/>
        <v>0</v>
      </c>
      <c r="O577">
        <f t="shared" ca="1" si="187"/>
        <v>0</v>
      </c>
      <c r="P577">
        <f t="shared" ca="1" si="188"/>
        <v>0</v>
      </c>
      <c r="Q577">
        <f t="shared" ca="1" si="189"/>
        <v>0</v>
      </c>
      <c r="R577">
        <f t="shared" ca="1" si="190"/>
        <v>0</v>
      </c>
      <c r="S577">
        <f t="shared" ca="1" si="191"/>
        <v>0</v>
      </c>
      <c r="T577">
        <f t="shared" ca="1" si="192"/>
        <v>0</v>
      </c>
      <c r="U577">
        <f t="shared" ca="1" si="193"/>
        <v>0</v>
      </c>
      <c r="V577">
        <f t="shared" ca="1" si="194"/>
        <v>0</v>
      </c>
      <c r="W577">
        <f t="shared" ca="1" si="195"/>
        <v>0</v>
      </c>
      <c r="X577">
        <f t="shared" ca="1" si="196"/>
        <v>0</v>
      </c>
      <c r="Y577">
        <f t="shared" ca="1" si="197"/>
        <v>0</v>
      </c>
      <c r="Z577">
        <f t="shared" ca="1" si="198"/>
        <v>0</v>
      </c>
      <c r="AA577">
        <f t="shared" ca="1" si="199"/>
        <v>0</v>
      </c>
      <c r="AB577">
        <f t="shared" ca="1" si="200"/>
        <v>0</v>
      </c>
      <c r="AC577">
        <f t="shared" ca="1" si="201"/>
        <v>0</v>
      </c>
      <c r="AD577">
        <f t="shared" ca="1" si="202"/>
        <v>0</v>
      </c>
      <c r="AE577">
        <f t="shared" ca="1" si="203"/>
        <v>0</v>
      </c>
      <c r="AF577">
        <f t="shared" ca="1" si="204"/>
        <v>0</v>
      </c>
      <c r="AG577">
        <f t="shared" ca="1" si="205"/>
        <v>0</v>
      </c>
      <c r="AH577">
        <f t="shared" ca="1" si="206"/>
        <v>0</v>
      </c>
      <c r="AI577">
        <f t="shared" ca="1" si="207"/>
        <v>0</v>
      </c>
      <c r="AJ577">
        <f t="shared" ca="1" si="208"/>
        <v>0</v>
      </c>
      <c r="AK577">
        <f t="shared" ca="1" si="209"/>
        <v>0</v>
      </c>
      <c r="AL577">
        <f t="shared" ca="1" si="210"/>
        <v>0</v>
      </c>
      <c r="AM577">
        <f t="shared" ca="1" si="211"/>
        <v>0</v>
      </c>
      <c r="AN577">
        <f t="shared" ca="1" si="212"/>
        <v>0</v>
      </c>
      <c r="AO577">
        <f t="shared" ca="1" si="213"/>
        <v>0</v>
      </c>
      <c r="AP577">
        <f t="shared" ca="1" si="214"/>
        <v>0</v>
      </c>
    </row>
    <row r="578" spans="8:42" x14ac:dyDescent="0.2">
      <c r="H578" t="s">
        <v>1106</v>
      </c>
      <c r="I578">
        <f t="shared" ca="1" si="181"/>
        <v>0</v>
      </c>
      <c r="J578">
        <f t="shared" ca="1" si="182"/>
        <v>0</v>
      </c>
      <c r="K578">
        <f t="shared" ca="1" si="183"/>
        <v>0</v>
      </c>
      <c r="L578">
        <f t="shared" ca="1" si="184"/>
        <v>2.2981073555318852</v>
      </c>
      <c r="M578">
        <f t="shared" ca="1" si="185"/>
        <v>0</v>
      </c>
      <c r="N578">
        <f t="shared" ca="1" si="186"/>
        <v>0</v>
      </c>
      <c r="O578">
        <f t="shared" ca="1" si="187"/>
        <v>0</v>
      </c>
      <c r="P578">
        <f t="shared" ca="1" si="188"/>
        <v>0</v>
      </c>
      <c r="Q578">
        <f t="shared" ca="1" si="189"/>
        <v>0</v>
      </c>
      <c r="R578">
        <f t="shared" ca="1" si="190"/>
        <v>0</v>
      </c>
      <c r="S578">
        <f t="shared" ca="1" si="191"/>
        <v>0</v>
      </c>
      <c r="T578">
        <f t="shared" ca="1" si="192"/>
        <v>0</v>
      </c>
      <c r="U578">
        <f t="shared" ca="1" si="193"/>
        <v>0</v>
      </c>
      <c r="V578">
        <f t="shared" ca="1" si="194"/>
        <v>0</v>
      </c>
      <c r="W578">
        <f t="shared" ca="1" si="195"/>
        <v>0</v>
      </c>
      <c r="X578">
        <f t="shared" ca="1" si="196"/>
        <v>0</v>
      </c>
      <c r="Y578">
        <f t="shared" ca="1" si="197"/>
        <v>0</v>
      </c>
      <c r="Z578">
        <f t="shared" ca="1" si="198"/>
        <v>0</v>
      </c>
      <c r="AA578">
        <f t="shared" ca="1" si="199"/>
        <v>0</v>
      </c>
      <c r="AB578">
        <f t="shared" ca="1" si="200"/>
        <v>0</v>
      </c>
      <c r="AC578">
        <f t="shared" ca="1" si="201"/>
        <v>0</v>
      </c>
      <c r="AD578">
        <f t="shared" ca="1" si="202"/>
        <v>0</v>
      </c>
      <c r="AE578">
        <f t="shared" ca="1" si="203"/>
        <v>0</v>
      </c>
      <c r="AF578">
        <f t="shared" ca="1" si="204"/>
        <v>0</v>
      </c>
      <c r="AG578">
        <f t="shared" ca="1" si="205"/>
        <v>0</v>
      </c>
      <c r="AH578">
        <f t="shared" ca="1" si="206"/>
        <v>0</v>
      </c>
      <c r="AI578">
        <f t="shared" ca="1" si="207"/>
        <v>0</v>
      </c>
      <c r="AJ578">
        <f t="shared" ca="1" si="208"/>
        <v>0</v>
      </c>
      <c r="AK578">
        <f t="shared" ca="1" si="209"/>
        <v>0</v>
      </c>
      <c r="AL578">
        <f t="shared" ca="1" si="210"/>
        <v>6.7926444681144652E-3</v>
      </c>
      <c r="AM578">
        <f t="shared" ca="1" si="211"/>
        <v>0</v>
      </c>
      <c r="AN578">
        <f t="shared" ca="1" si="212"/>
        <v>0</v>
      </c>
      <c r="AO578">
        <f t="shared" ca="1" si="213"/>
        <v>0</v>
      </c>
      <c r="AP578">
        <f t="shared" ca="1" si="214"/>
        <v>0</v>
      </c>
    </row>
    <row r="579" spans="8:42" x14ac:dyDescent="0.2">
      <c r="H579" t="s">
        <v>1080</v>
      </c>
      <c r="I579">
        <f t="shared" ca="1" si="181"/>
        <v>0</v>
      </c>
      <c r="J579">
        <f t="shared" ca="1" si="182"/>
        <v>0</v>
      </c>
      <c r="K579">
        <f t="shared" ca="1" si="183"/>
        <v>0</v>
      </c>
      <c r="L579">
        <f t="shared" ca="1" si="184"/>
        <v>11.01</v>
      </c>
      <c r="M579">
        <f t="shared" ca="1" si="185"/>
        <v>0</v>
      </c>
      <c r="N579">
        <f t="shared" ca="1" si="186"/>
        <v>0</v>
      </c>
      <c r="O579">
        <f t="shared" ca="1" si="187"/>
        <v>0</v>
      </c>
      <c r="P579">
        <f t="shared" ca="1" si="188"/>
        <v>0</v>
      </c>
      <c r="Q579">
        <f t="shared" ca="1" si="189"/>
        <v>0</v>
      </c>
      <c r="R579">
        <f t="shared" ca="1" si="190"/>
        <v>0</v>
      </c>
      <c r="S579">
        <f t="shared" ca="1" si="191"/>
        <v>0</v>
      </c>
      <c r="T579">
        <f t="shared" ca="1" si="192"/>
        <v>0</v>
      </c>
      <c r="U579">
        <f t="shared" ca="1" si="193"/>
        <v>0</v>
      </c>
      <c r="V579">
        <f t="shared" ca="1" si="194"/>
        <v>0</v>
      </c>
      <c r="W579">
        <f t="shared" ca="1" si="195"/>
        <v>0</v>
      </c>
      <c r="X579">
        <f t="shared" ca="1" si="196"/>
        <v>0</v>
      </c>
      <c r="Y579">
        <f t="shared" ca="1" si="197"/>
        <v>0</v>
      </c>
      <c r="Z579">
        <f t="shared" ca="1" si="198"/>
        <v>0</v>
      </c>
      <c r="AA579">
        <f t="shared" ca="1" si="199"/>
        <v>0</v>
      </c>
      <c r="AB579">
        <f t="shared" ca="1" si="200"/>
        <v>0</v>
      </c>
      <c r="AC579">
        <f t="shared" ca="1" si="201"/>
        <v>0</v>
      </c>
      <c r="AD579">
        <f t="shared" ca="1" si="202"/>
        <v>0</v>
      </c>
      <c r="AE579">
        <f t="shared" ca="1" si="203"/>
        <v>0</v>
      </c>
      <c r="AF579">
        <f t="shared" ca="1" si="204"/>
        <v>0</v>
      </c>
      <c r="AG579">
        <f t="shared" ca="1" si="205"/>
        <v>0</v>
      </c>
      <c r="AH579">
        <f t="shared" ca="1" si="206"/>
        <v>0</v>
      </c>
      <c r="AI579">
        <f t="shared" ca="1" si="207"/>
        <v>0</v>
      </c>
      <c r="AJ579">
        <f t="shared" ca="1" si="208"/>
        <v>0</v>
      </c>
      <c r="AK579">
        <f t="shared" ca="1" si="209"/>
        <v>0</v>
      </c>
      <c r="AL579">
        <f t="shared" ca="1" si="210"/>
        <v>0</v>
      </c>
      <c r="AM579">
        <f t="shared" ca="1" si="211"/>
        <v>0</v>
      </c>
      <c r="AN579">
        <f t="shared" ca="1" si="212"/>
        <v>0</v>
      </c>
      <c r="AO579">
        <f t="shared" ca="1" si="213"/>
        <v>0</v>
      </c>
      <c r="AP579">
        <f t="shared" ca="1" si="214"/>
        <v>0</v>
      </c>
    </row>
    <row r="580" spans="8:42" x14ac:dyDescent="0.2">
      <c r="H580" t="s">
        <v>987</v>
      </c>
      <c r="I580">
        <f t="shared" ca="1" si="181"/>
        <v>0</v>
      </c>
      <c r="J580">
        <f t="shared" ca="1" si="182"/>
        <v>0</v>
      </c>
      <c r="K580">
        <f t="shared" ca="1" si="183"/>
        <v>0</v>
      </c>
      <c r="L580">
        <f t="shared" ca="1" si="184"/>
        <v>12.272143632370083</v>
      </c>
      <c r="M580">
        <f t="shared" ca="1" si="185"/>
        <v>0</v>
      </c>
      <c r="N580">
        <f t="shared" ca="1" si="186"/>
        <v>0</v>
      </c>
      <c r="O580">
        <f t="shared" ca="1" si="187"/>
        <v>0</v>
      </c>
      <c r="P580">
        <f t="shared" ca="1" si="188"/>
        <v>0</v>
      </c>
      <c r="Q580">
        <f t="shared" ca="1" si="189"/>
        <v>0</v>
      </c>
      <c r="R580">
        <f t="shared" ca="1" si="190"/>
        <v>0</v>
      </c>
      <c r="S580">
        <f t="shared" ca="1" si="191"/>
        <v>0</v>
      </c>
      <c r="T580">
        <f t="shared" ca="1" si="192"/>
        <v>0</v>
      </c>
      <c r="U580">
        <f t="shared" ca="1" si="193"/>
        <v>0</v>
      </c>
      <c r="V580">
        <f t="shared" ca="1" si="194"/>
        <v>0</v>
      </c>
      <c r="W580">
        <f t="shared" ca="1" si="195"/>
        <v>0</v>
      </c>
      <c r="X580">
        <f t="shared" ca="1" si="196"/>
        <v>0</v>
      </c>
      <c r="Y580">
        <f t="shared" ca="1" si="197"/>
        <v>0</v>
      </c>
      <c r="Z580">
        <f t="shared" ca="1" si="198"/>
        <v>0</v>
      </c>
      <c r="AA580">
        <f t="shared" ca="1" si="199"/>
        <v>0</v>
      </c>
      <c r="AB580">
        <f t="shared" ca="1" si="200"/>
        <v>0</v>
      </c>
      <c r="AC580">
        <f t="shared" ca="1" si="201"/>
        <v>0</v>
      </c>
      <c r="AD580">
        <f t="shared" ca="1" si="202"/>
        <v>0</v>
      </c>
      <c r="AE580">
        <f t="shared" ca="1" si="203"/>
        <v>0</v>
      </c>
      <c r="AF580">
        <f t="shared" ca="1" si="204"/>
        <v>0</v>
      </c>
      <c r="AG580">
        <f t="shared" ca="1" si="205"/>
        <v>0</v>
      </c>
      <c r="AH580">
        <f t="shared" ca="1" si="206"/>
        <v>0</v>
      </c>
      <c r="AI580">
        <f t="shared" ca="1" si="207"/>
        <v>0</v>
      </c>
      <c r="AJ580">
        <f t="shared" ca="1" si="208"/>
        <v>0</v>
      </c>
      <c r="AK580">
        <f t="shared" ca="1" si="209"/>
        <v>0</v>
      </c>
      <c r="AL580">
        <f t="shared" ca="1" si="210"/>
        <v>0</v>
      </c>
      <c r="AM580">
        <f t="shared" ca="1" si="211"/>
        <v>0</v>
      </c>
      <c r="AN580">
        <f t="shared" ca="1" si="212"/>
        <v>1.1918563676299161</v>
      </c>
      <c r="AO580">
        <f t="shared" ca="1" si="213"/>
        <v>0</v>
      </c>
      <c r="AP580">
        <f t="shared" ca="1" si="214"/>
        <v>0</v>
      </c>
    </row>
    <row r="581" spans="8:42" x14ac:dyDescent="0.2">
      <c r="H581" t="s">
        <v>1144</v>
      </c>
      <c r="I581">
        <f t="shared" ca="1" si="181"/>
        <v>0</v>
      </c>
      <c r="J581">
        <f t="shared" ca="1" si="182"/>
        <v>0</v>
      </c>
      <c r="K581">
        <f t="shared" ca="1" si="183"/>
        <v>0</v>
      </c>
      <c r="L581">
        <f t="shared" ca="1" si="184"/>
        <v>0</v>
      </c>
      <c r="M581">
        <f t="shared" ca="1" si="185"/>
        <v>0</v>
      </c>
      <c r="N581">
        <f t="shared" ca="1" si="186"/>
        <v>0</v>
      </c>
      <c r="O581">
        <f t="shared" ca="1" si="187"/>
        <v>0</v>
      </c>
      <c r="P581">
        <f t="shared" ca="1" si="188"/>
        <v>0</v>
      </c>
      <c r="Q581">
        <f t="shared" ca="1" si="189"/>
        <v>0</v>
      </c>
      <c r="R581">
        <f t="shared" ca="1" si="190"/>
        <v>0</v>
      </c>
      <c r="S581">
        <f t="shared" ca="1" si="191"/>
        <v>0</v>
      </c>
      <c r="T581">
        <f t="shared" ca="1" si="192"/>
        <v>0</v>
      </c>
      <c r="U581">
        <f t="shared" ca="1" si="193"/>
        <v>0</v>
      </c>
      <c r="V581">
        <f t="shared" ca="1" si="194"/>
        <v>0</v>
      </c>
      <c r="W581">
        <f t="shared" ca="1" si="195"/>
        <v>0</v>
      </c>
      <c r="X581">
        <f t="shared" ca="1" si="196"/>
        <v>0</v>
      </c>
      <c r="Y581">
        <f t="shared" ca="1" si="197"/>
        <v>0</v>
      </c>
      <c r="Z581">
        <f t="shared" ca="1" si="198"/>
        <v>0</v>
      </c>
      <c r="AA581">
        <f t="shared" ca="1" si="199"/>
        <v>0</v>
      </c>
      <c r="AB581">
        <f t="shared" ca="1" si="200"/>
        <v>0</v>
      </c>
      <c r="AC581">
        <f t="shared" ca="1" si="201"/>
        <v>0</v>
      </c>
      <c r="AD581">
        <f t="shared" ca="1" si="202"/>
        <v>0</v>
      </c>
      <c r="AE581">
        <f t="shared" ca="1" si="203"/>
        <v>0</v>
      </c>
      <c r="AF581">
        <f t="shared" ca="1" si="204"/>
        <v>0</v>
      </c>
      <c r="AG581">
        <f t="shared" ca="1" si="205"/>
        <v>0</v>
      </c>
      <c r="AH581">
        <f t="shared" ca="1" si="206"/>
        <v>0</v>
      </c>
      <c r="AI581">
        <f t="shared" ca="1" si="207"/>
        <v>0</v>
      </c>
      <c r="AJ581">
        <f t="shared" ca="1" si="208"/>
        <v>0</v>
      </c>
      <c r="AK581">
        <f t="shared" ca="1" si="209"/>
        <v>0</v>
      </c>
      <c r="AL581">
        <f t="shared" ca="1" si="210"/>
        <v>0</v>
      </c>
      <c r="AM581">
        <f t="shared" ca="1" si="211"/>
        <v>0</v>
      </c>
      <c r="AN581">
        <f t="shared" ca="1" si="212"/>
        <v>0</v>
      </c>
      <c r="AO581">
        <f t="shared" ca="1" si="213"/>
        <v>0</v>
      </c>
      <c r="AP581">
        <f t="shared" ca="1" si="214"/>
        <v>0</v>
      </c>
    </row>
    <row r="582" spans="8:42" x14ac:dyDescent="0.2">
      <c r="H582" t="s">
        <v>1074</v>
      </c>
      <c r="I582">
        <f t="shared" ca="1" si="181"/>
        <v>0</v>
      </c>
      <c r="J582">
        <f t="shared" ca="1" si="182"/>
        <v>0</v>
      </c>
      <c r="K582">
        <f t="shared" ca="1" si="183"/>
        <v>0</v>
      </c>
      <c r="L582">
        <f t="shared" ca="1" si="184"/>
        <v>0</v>
      </c>
      <c r="M582">
        <f t="shared" ca="1" si="185"/>
        <v>0</v>
      </c>
      <c r="N582">
        <f t="shared" ca="1" si="186"/>
        <v>0</v>
      </c>
      <c r="O582">
        <f t="shared" ca="1" si="187"/>
        <v>0</v>
      </c>
      <c r="P582">
        <f t="shared" ca="1" si="188"/>
        <v>0</v>
      </c>
      <c r="Q582">
        <f t="shared" ca="1" si="189"/>
        <v>0</v>
      </c>
      <c r="R582">
        <f t="shared" ca="1" si="190"/>
        <v>0</v>
      </c>
      <c r="S582">
        <f t="shared" ca="1" si="191"/>
        <v>0</v>
      </c>
      <c r="T582">
        <f t="shared" ca="1" si="192"/>
        <v>0</v>
      </c>
      <c r="U582">
        <f t="shared" ca="1" si="193"/>
        <v>0</v>
      </c>
      <c r="V582">
        <f t="shared" ca="1" si="194"/>
        <v>0</v>
      </c>
      <c r="W582">
        <f t="shared" ca="1" si="195"/>
        <v>0</v>
      </c>
      <c r="X582">
        <f t="shared" ca="1" si="196"/>
        <v>0</v>
      </c>
      <c r="Y582">
        <f t="shared" ca="1" si="197"/>
        <v>0</v>
      </c>
      <c r="Z582">
        <f t="shared" ca="1" si="198"/>
        <v>0</v>
      </c>
      <c r="AA582">
        <f t="shared" ca="1" si="199"/>
        <v>0</v>
      </c>
      <c r="AB582">
        <f t="shared" ca="1" si="200"/>
        <v>0</v>
      </c>
      <c r="AC582">
        <f t="shared" ca="1" si="201"/>
        <v>0</v>
      </c>
      <c r="AD582">
        <f t="shared" ca="1" si="202"/>
        <v>0</v>
      </c>
      <c r="AE582">
        <f t="shared" ca="1" si="203"/>
        <v>0</v>
      </c>
      <c r="AF582">
        <f t="shared" ca="1" si="204"/>
        <v>0</v>
      </c>
      <c r="AG582">
        <f t="shared" ca="1" si="205"/>
        <v>0</v>
      </c>
      <c r="AH582">
        <f t="shared" ca="1" si="206"/>
        <v>0</v>
      </c>
      <c r="AI582">
        <f t="shared" ca="1" si="207"/>
        <v>0</v>
      </c>
      <c r="AJ582">
        <f t="shared" ca="1" si="208"/>
        <v>0</v>
      </c>
      <c r="AK582">
        <f t="shared" ca="1" si="209"/>
        <v>0</v>
      </c>
      <c r="AL582">
        <f t="shared" ca="1" si="210"/>
        <v>0</v>
      </c>
      <c r="AM582">
        <f t="shared" ca="1" si="211"/>
        <v>0</v>
      </c>
      <c r="AN582">
        <f t="shared" ca="1" si="212"/>
        <v>12.24</v>
      </c>
      <c r="AO582">
        <f t="shared" ca="1" si="213"/>
        <v>0</v>
      </c>
      <c r="AP582">
        <f t="shared" ca="1" si="214"/>
        <v>0</v>
      </c>
    </row>
    <row r="583" spans="8:42" x14ac:dyDescent="0.2">
      <c r="H583" t="s">
        <v>1191</v>
      </c>
      <c r="I583">
        <f t="shared" ca="1" si="181"/>
        <v>0</v>
      </c>
      <c r="J583">
        <f t="shared" ca="1" si="182"/>
        <v>0</v>
      </c>
      <c r="K583">
        <f t="shared" ca="1" si="183"/>
        <v>0</v>
      </c>
      <c r="L583">
        <f t="shared" ca="1" si="184"/>
        <v>0</v>
      </c>
      <c r="M583">
        <f t="shared" ca="1" si="185"/>
        <v>0</v>
      </c>
      <c r="N583">
        <f t="shared" ca="1" si="186"/>
        <v>0</v>
      </c>
      <c r="O583">
        <f t="shared" ca="1" si="187"/>
        <v>0</v>
      </c>
      <c r="P583">
        <f t="shared" ca="1" si="188"/>
        <v>0</v>
      </c>
      <c r="Q583">
        <f t="shared" ca="1" si="189"/>
        <v>0</v>
      </c>
      <c r="R583">
        <f t="shared" ca="1" si="190"/>
        <v>0</v>
      </c>
      <c r="S583">
        <f t="shared" ca="1" si="191"/>
        <v>0</v>
      </c>
      <c r="T583">
        <f t="shared" ca="1" si="192"/>
        <v>0</v>
      </c>
      <c r="U583">
        <f t="shared" ca="1" si="193"/>
        <v>0</v>
      </c>
      <c r="V583">
        <f t="shared" ca="1" si="194"/>
        <v>0</v>
      </c>
      <c r="W583">
        <f t="shared" ca="1" si="195"/>
        <v>0</v>
      </c>
      <c r="X583">
        <f t="shared" ca="1" si="196"/>
        <v>0</v>
      </c>
      <c r="Y583">
        <f t="shared" ca="1" si="197"/>
        <v>0</v>
      </c>
      <c r="Z583">
        <f t="shared" ca="1" si="198"/>
        <v>0</v>
      </c>
      <c r="AA583">
        <f t="shared" ca="1" si="199"/>
        <v>0</v>
      </c>
      <c r="AB583">
        <f t="shared" ca="1" si="200"/>
        <v>0</v>
      </c>
      <c r="AC583">
        <f t="shared" ca="1" si="201"/>
        <v>0</v>
      </c>
      <c r="AD583">
        <f t="shared" ca="1" si="202"/>
        <v>0</v>
      </c>
      <c r="AE583">
        <f t="shared" ca="1" si="203"/>
        <v>0</v>
      </c>
      <c r="AF583">
        <f t="shared" ca="1" si="204"/>
        <v>0</v>
      </c>
      <c r="AG583">
        <f t="shared" ca="1" si="205"/>
        <v>0</v>
      </c>
      <c r="AH583">
        <f t="shared" ca="1" si="206"/>
        <v>0</v>
      </c>
      <c r="AI583">
        <f t="shared" ca="1" si="207"/>
        <v>0</v>
      </c>
      <c r="AJ583">
        <f t="shared" ca="1" si="208"/>
        <v>0</v>
      </c>
      <c r="AK583">
        <f t="shared" ca="1" si="209"/>
        <v>0</v>
      </c>
      <c r="AL583">
        <f t="shared" ca="1" si="210"/>
        <v>0</v>
      </c>
      <c r="AM583">
        <f t="shared" ca="1" si="211"/>
        <v>0</v>
      </c>
      <c r="AN583">
        <f t="shared" ca="1" si="212"/>
        <v>0</v>
      </c>
      <c r="AO583">
        <f t="shared" ca="1" si="213"/>
        <v>0</v>
      </c>
      <c r="AP583">
        <f t="shared" ca="1" si="214"/>
        <v>0</v>
      </c>
    </row>
    <row r="584" spans="8:42" x14ac:dyDescent="0.2">
      <c r="H584" t="s">
        <v>1192</v>
      </c>
      <c r="I584">
        <f t="shared" ca="1" si="181"/>
        <v>0</v>
      </c>
      <c r="J584">
        <f t="shared" ca="1" si="182"/>
        <v>0</v>
      </c>
      <c r="K584">
        <f t="shared" ca="1" si="183"/>
        <v>0</v>
      </c>
      <c r="L584">
        <f t="shared" ca="1" si="184"/>
        <v>0</v>
      </c>
      <c r="M584">
        <f t="shared" ca="1" si="185"/>
        <v>0</v>
      </c>
      <c r="N584">
        <f t="shared" ca="1" si="186"/>
        <v>0</v>
      </c>
      <c r="O584">
        <f t="shared" ca="1" si="187"/>
        <v>0</v>
      </c>
      <c r="P584">
        <f t="shared" ca="1" si="188"/>
        <v>0</v>
      </c>
      <c r="Q584">
        <f t="shared" ca="1" si="189"/>
        <v>0</v>
      </c>
      <c r="R584">
        <f t="shared" ca="1" si="190"/>
        <v>0</v>
      </c>
      <c r="S584">
        <f t="shared" ca="1" si="191"/>
        <v>0</v>
      </c>
      <c r="T584">
        <f t="shared" ca="1" si="192"/>
        <v>0</v>
      </c>
      <c r="U584">
        <f t="shared" ca="1" si="193"/>
        <v>0</v>
      </c>
      <c r="V584">
        <f t="shared" ca="1" si="194"/>
        <v>0</v>
      </c>
      <c r="W584">
        <f t="shared" ca="1" si="195"/>
        <v>0</v>
      </c>
      <c r="X584">
        <f t="shared" ca="1" si="196"/>
        <v>0</v>
      </c>
      <c r="Y584">
        <f t="shared" ca="1" si="197"/>
        <v>0</v>
      </c>
      <c r="Z584">
        <f t="shared" ca="1" si="198"/>
        <v>0</v>
      </c>
      <c r="AA584">
        <f t="shared" ca="1" si="199"/>
        <v>0</v>
      </c>
      <c r="AB584">
        <f t="shared" ca="1" si="200"/>
        <v>0</v>
      </c>
      <c r="AC584">
        <f t="shared" ca="1" si="201"/>
        <v>0</v>
      </c>
      <c r="AD584">
        <f t="shared" ca="1" si="202"/>
        <v>0</v>
      </c>
      <c r="AE584">
        <f t="shared" ca="1" si="203"/>
        <v>0</v>
      </c>
      <c r="AF584">
        <f t="shared" ca="1" si="204"/>
        <v>0</v>
      </c>
      <c r="AG584">
        <f t="shared" ca="1" si="205"/>
        <v>0</v>
      </c>
      <c r="AH584">
        <f t="shared" ca="1" si="206"/>
        <v>0</v>
      </c>
      <c r="AI584">
        <f t="shared" ca="1" si="207"/>
        <v>0</v>
      </c>
      <c r="AJ584">
        <f t="shared" ca="1" si="208"/>
        <v>0</v>
      </c>
      <c r="AK584">
        <f t="shared" ca="1" si="209"/>
        <v>0</v>
      </c>
      <c r="AL584">
        <f t="shared" ca="1" si="210"/>
        <v>0</v>
      </c>
      <c r="AM584">
        <f t="shared" ca="1" si="211"/>
        <v>0</v>
      </c>
      <c r="AN584">
        <f t="shared" ca="1" si="212"/>
        <v>0</v>
      </c>
      <c r="AO584">
        <f t="shared" ca="1" si="213"/>
        <v>0</v>
      </c>
      <c r="AP584">
        <f t="shared" ca="1" si="214"/>
        <v>0</v>
      </c>
    </row>
    <row r="585" spans="8:42" x14ac:dyDescent="0.2">
      <c r="H585" t="s">
        <v>1193</v>
      </c>
      <c r="I585">
        <f t="shared" ca="1" si="181"/>
        <v>0</v>
      </c>
      <c r="J585">
        <f t="shared" ca="1" si="182"/>
        <v>0</v>
      </c>
      <c r="K585">
        <f t="shared" ca="1" si="183"/>
        <v>0</v>
      </c>
      <c r="L585">
        <f t="shared" ca="1" si="184"/>
        <v>0</v>
      </c>
      <c r="M585">
        <f t="shared" ca="1" si="185"/>
        <v>0</v>
      </c>
      <c r="N585">
        <f t="shared" ca="1" si="186"/>
        <v>0</v>
      </c>
      <c r="O585">
        <f t="shared" ca="1" si="187"/>
        <v>0</v>
      </c>
      <c r="P585">
        <f t="shared" ca="1" si="188"/>
        <v>0</v>
      </c>
      <c r="Q585">
        <f t="shared" ca="1" si="189"/>
        <v>0</v>
      </c>
      <c r="R585">
        <f t="shared" ca="1" si="190"/>
        <v>0</v>
      </c>
      <c r="S585">
        <f t="shared" ca="1" si="191"/>
        <v>0</v>
      </c>
      <c r="T585">
        <f t="shared" ca="1" si="192"/>
        <v>0</v>
      </c>
      <c r="U585">
        <f t="shared" ca="1" si="193"/>
        <v>0</v>
      </c>
      <c r="V585">
        <f t="shared" ca="1" si="194"/>
        <v>0</v>
      </c>
      <c r="W585">
        <f t="shared" ca="1" si="195"/>
        <v>0</v>
      </c>
      <c r="X585">
        <f t="shared" ca="1" si="196"/>
        <v>0</v>
      </c>
      <c r="Y585">
        <f t="shared" ca="1" si="197"/>
        <v>0</v>
      </c>
      <c r="Z585">
        <f t="shared" ca="1" si="198"/>
        <v>0</v>
      </c>
      <c r="AA585">
        <f t="shared" ca="1" si="199"/>
        <v>0</v>
      </c>
      <c r="AB585">
        <f t="shared" ca="1" si="200"/>
        <v>0</v>
      </c>
      <c r="AC585">
        <f t="shared" ca="1" si="201"/>
        <v>0</v>
      </c>
      <c r="AD585">
        <f t="shared" ca="1" si="202"/>
        <v>0</v>
      </c>
      <c r="AE585">
        <f t="shared" ca="1" si="203"/>
        <v>0</v>
      </c>
      <c r="AF585">
        <f t="shared" ca="1" si="204"/>
        <v>0</v>
      </c>
      <c r="AG585">
        <f t="shared" ca="1" si="205"/>
        <v>0</v>
      </c>
      <c r="AH585">
        <f t="shared" ca="1" si="206"/>
        <v>0</v>
      </c>
      <c r="AI585">
        <f t="shared" ca="1" si="207"/>
        <v>0</v>
      </c>
      <c r="AJ585">
        <f t="shared" ca="1" si="208"/>
        <v>0</v>
      </c>
      <c r="AK585">
        <f t="shared" ca="1" si="209"/>
        <v>0</v>
      </c>
      <c r="AL585">
        <f t="shared" ca="1" si="210"/>
        <v>0</v>
      </c>
      <c r="AM585">
        <f t="shared" ca="1" si="211"/>
        <v>0</v>
      </c>
      <c r="AN585">
        <f t="shared" ca="1" si="212"/>
        <v>0</v>
      </c>
      <c r="AO585">
        <f t="shared" ca="1" si="213"/>
        <v>0</v>
      </c>
      <c r="AP585">
        <f t="shared" ca="1" si="214"/>
        <v>0</v>
      </c>
    </row>
    <row r="586" spans="8:42" x14ac:dyDescent="0.2">
      <c r="H586" t="s">
        <v>1194</v>
      </c>
      <c r="I586">
        <f t="shared" ca="1" si="181"/>
        <v>0</v>
      </c>
      <c r="J586">
        <f t="shared" ca="1" si="182"/>
        <v>0</v>
      </c>
      <c r="K586">
        <f t="shared" ca="1" si="183"/>
        <v>0</v>
      </c>
      <c r="L586">
        <f t="shared" ca="1" si="184"/>
        <v>0</v>
      </c>
      <c r="M586">
        <f t="shared" ca="1" si="185"/>
        <v>0</v>
      </c>
      <c r="N586">
        <f t="shared" ca="1" si="186"/>
        <v>0</v>
      </c>
      <c r="O586">
        <f t="shared" ca="1" si="187"/>
        <v>0</v>
      </c>
      <c r="P586">
        <f t="shared" ca="1" si="188"/>
        <v>0</v>
      </c>
      <c r="Q586">
        <f t="shared" ca="1" si="189"/>
        <v>0</v>
      </c>
      <c r="R586">
        <f t="shared" ca="1" si="190"/>
        <v>0</v>
      </c>
      <c r="S586">
        <f t="shared" ca="1" si="191"/>
        <v>0</v>
      </c>
      <c r="T586">
        <f t="shared" ca="1" si="192"/>
        <v>0</v>
      </c>
      <c r="U586">
        <f t="shared" ca="1" si="193"/>
        <v>0</v>
      </c>
      <c r="V586">
        <f t="shared" ca="1" si="194"/>
        <v>0</v>
      </c>
      <c r="W586">
        <f t="shared" ca="1" si="195"/>
        <v>0</v>
      </c>
      <c r="X586">
        <f t="shared" ca="1" si="196"/>
        <v>0</v>
      </c>
      <c r="Y586">
        <f t="shared" ca="1" si="197"/>
        <v>0</v>
      </c>
      <c r="Z586">
        <f t="shared" ca="1" si="198"/>
        <v>0</v>
      </c>
      <c r="AA586">
        <f t="shared" ca="1" si="199"/>
        <v>0</v>
      </c>
      <c r="AB586">
        <f t="shared" ca="1" si="200"/>
        <v>0</v>
      </c>
      <c r="AC586">
        <f t="shared" ca="1" si="201"/>
        <v>0</v>
      </c>
      <c r="AD586">
        <f t="shared" ca="1" si="202"/>
        <v>0</v>
      </c>
      <c r="AE586">
        <f t="shared" ca="1" si="203"/>
        <v>0</v>
      </c>
      <c r="AF586">
        <f t="shared" ca="1" si="204"/>
        <v>0</v>
      </c>
      <c r="AG586">
        <f t="shared" ca="1" si="205"/>
        <v>0</v>
      </c>
      <c r="AH586">
        <f t="shared" ca="1" si="206"/>
        <v>0</v>
      </c>
      <c r="AI586">
        <f t="shared" ca="1" si="207"/>
        <v>0</v>
      </c>
      <c r="AJ586">
        <f t="shared" ca="1" si="208"/>
        <v>0</v>
      </c>
      <c r="AK586">
        <f t="shared" ca="1" si="209"/>
        <v>0</v>
      </c>
      <c r="AL586">
        <f t="shared" ca="1" si="210"/>
        <v>0</v>
      </c>
      <c r="AM586">
        <f t="shared" ca="1" si="211"/>
        <v>0</v>
      </c>
      <c r="AN586">
        <f t="shared" ca="1" si="212"/>
        <v>0</v>
      </c>
      <c r="AO586">
        <f t="shared" ca="1" si="213"/>
        <v>0</v>
      </c>
      <c r="AP586">
        <f t="shared" ca="1" si="214"/>
        <v>0</v>
      </c>
    </row>
    <row r="587" spans="8:42" x14ac:dyDescent="0.2">
      <c r="H587" t="s">
        <v>1195</v>
      </c>
      <c r="I587">
        <f t="shared" ca="1" si="181"/>
        <v>0</v>
      </c>
      <c r="J587">
        <f t="shared" ca="1" si="182"/>
        <v>0</v>
      </c>
      <c r="K587">
        <f t="shared" ca="1" si="183"/>
        <v>0</v>
      </c>
      <c r="L587">
        <f t="shared" ca="1" si="184"/>
        <v>0</v>
      </c>
      <c r="M587">
        <f t="shared" ca="1" si="185"/>
        <v>0</v>
      </c>
      <c r="N587">
        <f t="shared" ca="1" si="186"/>
        <v>0</v>
      </c>
      <c r="O587">
        <f t="shared" ca="1" si="187"/>
        <v>0</v>
      </c>
      <c r="P587">
        <f t="shared" ca="1" si="188"/>
        <v>0</v>
      </c>
      <c r="Q587">
        <f t="shared" ca="1" si="189"/>
        <v>0</v>
      </c>
      <c r="R587">
        <f t="shared" ca="1" si="190"/>
        <v>0</v>
      </c>
      <c r="S587">
        <f t="shared" ca="1" si="191"/>
        <v>0</v>
      </c>
      <c r="T587">
        <f t="shared" ca="1" si="192"/>
        <v>0</v>
      </c>
      <c r="U587">
        <f t="shared" ca="1" si="193"/>
        <v>0</v>
      </c>
      <c r="V587">
        <f t="shared" ca="1" si="194"/>
        <v>0</v>
      </c>
      <c r="W587">
        <f t="shared" ca="1" si="195"/>
        <v>0</v>
      </c>
      <c r="X587">
        <f t="shared" ca="1" si="196"/>
        <v>0</v>
      </c>
      <c r="Y587">
        <f t="shared" ca="1" si="197"/>
        <v>0</v>
      </c>
      <c r="Z587">
        <f t="shared" ca="1" si="198"/>
        <v>0</v>
      </c>
      <c r="AA587">
        <f t="shared" ca="1" si="199"/>
        <v>0</v>
      </c>
      <c r="AB587">
        <f t="shared" ca="1" si="200"/>
        <v>0</v>
      </c>
      <c r="AC587">
        <f t="shared" ca="1" si="201"/>
        <v>0</v>
      </c>
      <c r="AD587">
        <f t="shared" ca="1" si="202"/>
        <v>0</v>
      </c>
      <c r="AE587">
        <f t="shared" ca="1" si="203"/>
        <v>0</v>
      </c>
      <c r="AF587">
        <f t="shared" ca="1" si="204"/>
        <v>0</v>
      </c>
      <c r="AG587">
        <f t="shared" ca="1" si="205"/>
        <v>0</v>
      </c>
      <c r="AH587">
        <f t="shared" ca="1" si="206"/>
        <v>0</v>
      </c>
      <c r="AI587">
        <f t="shared" ca="1" si="207"/>
        <v>0</v>
      </c>
      <c r="AJ587">
        <f t="shared" ca="1" si="208"/>
        <v>0</v>
      </c>
      <c r="AK587">
        <f t="shared" ca="1" si="209"/>
        <v>0</v>
      </c>
      <c r="AL587">
        <f t="shared" ca="1" si="210"/>
        <v>0</v>
      </c>
      <c r="AM587">
        <f t="shared" ca="1" si="211"/>
        <v>0</v>
      </c>
      <c r="AN587">
        <f t="shared" ca="1" si="212"/>
        <v>0</v>
      </c>
      <c r="AO587">
        <f t="shared" ca="1" si="213"/>
        <v>0</v>
      </c>
      <c r="AP587">
        <f t="shared" ca="1" si="214"/>
        <v>0</v>
      </c>
    </row>
    <row r="588" spans="8:42" x14ac:dyDescent="0.2">
      <c r="H588" t="s">
        <v>1196</v>
      </c>
      <c r="I588">
        <f t="shared" ref="I588:I651" ca="1" si="215">$J131*M131</f>
        <v>0</v>
      </c>
      <c r="J588">
        <f t="shared" ref="J588:J651" ca="1" si="216">$J131*N131</f>
        <v>0</v>
      </c>
      <c r="K588">
        <f t="shared" ref="K588:K651" ca="1" si="217">$J131*O131</f>
        <v>0</v>
      </c>
      <c r="L588">
        <f t="shared" ref="L588:L651" ca="1" si="218">$J131*P131</f>
        <v>0</v>
      </c>
      <c r="M588">
        <f t="shared" ref="M588:M651" ca="1" si="219">$J131*Q131</f>
        <v>0</v>
      </c>
      <c r="N588">
        <f t="shared" ref="N588:N651" ca="1" si="220">$J131*R131</f>
        <v>0</v>
      </c>
      <c r="O588">
        <f t="shared" ref="O588:O651" ca="1" si="221">$J131*S131</f>
        <v>0</v>
      </c>
      <c r="P588">
        <f t="shared" ref="P588:P651" ca="1" si="222">$J131*T131</f>
        <v>0</v>
      </c>
      <c r="Q588">
        <f t="shared" ref="Q588:Q651" ca="1" si="223">$J131*U131</f>
        <v>0</v>
      </c>
      <c r="R588">
        <f t="shared" ref="R588:R651" ca="1" si="224">$J131*V131</f>
        <v>0</v>
      </c>
      <c r="S588">
        <f t="shared" ref="S588:S651" ca="1" si="225">$J131*W131</f>
        <v>0</v>
      </c>
      <c r="T588">
        <f t="shared" ref="T588:T651" ca="1" si="226">$J131*X131</f>
        <v>0</v>
      </c>
      <c r="U588">
        <f t="shared" ref="U588:U651" ca="1" si="227">$J131*Y131</f>
        <v>0</v>
      </c>
      <c r="V588">
        <f t="shared" ref="V588:V651" ca="1" si="228">$J131*Z131</f>
        <v>0</v>
      </c>
      <c r="W588">
        <f t="shared" ref="W588:W651" ca="1" si="229">$J131*AA131</f>
        <v>0</v>
      </c>
      <c r="X588">
        <f t="shared" ref="X588:X651" ca="1" si="230">$J131*AB131</f>
        <v>0</v>
      </c>
      <c r="Y588">
        <f t="shared" ref="Y588:Y651" ca="1" si="231">$J131*AC131</f>
        <v>0</v>
      </c>
      <c r="Z588">
        <f t="shared" ref="Z588:Z651" ca="1" si="232">$J131*AD131</f>
        <v>0</v>
      </c>
      <c r="AA588">
        <f t="shared" ref="AA588:AA651" ca="1" si="233">$J131*AE131</f>
        <v>0</v>
      </c>
      <c r="AB588">
        <f t="shared" ref="AB588:AB651" ca="1" si="234">$J131*AF131</f>
        <v>0</v>
      </c>
      <c r="AC588">
        <f t="shared" ref="AC588:AC651" ca="1" si="235">$J131*AG131</f>
        <v>0</v>
      </c>
      <c r="AD588">
        <f t="shared" ref="AD588:AD651" ca="1" si="236">$J131*AH131</f>
        <v>0</v>
      </c>
      <c r="AE588">
        <f t="shared" ref="AE588:AE651" ca="1" si="237">$J131*AI131</f>
        <v>0</v>
      </c>
      <c r="AF588">
        <f t="shared" ref="AF588:AF651" ca="1" si="238">$J131*AJ131</f>
        <v>0</v>
      </c>
      <c r="AG588">
        <f t="shared" ref="AG588:AG651" ca="1" si="239">$J131*AK131</f>
        <v>0</v>
      </c>
      <c r="AH588">
        <f t="shared" ref="AH588:AH651" ca="1" si="240">$J131*AL131</f>
        <v>0</v>
      </c>
      <c r="AI588">
        <f t="shared" ref="AI588:AI651" ca="1" si="241">$J131*AM131</f>
        <v>0</v>
      </c>
      <c r="AJ588">
        <f t="shared" ref="AJ588:AJ651" ca="1" si="242">$J131*AN131</f>
        <v>0</v>
      </c>
      <c r="AK588">
        <f t="shared" ref="AK588:AK651" ca="1" si="243">$J131*AO131</f>
        <v>0</v>
      </c>
      <c r="AL588">
        <f t="shared" ref="AL588:AL651" ca="1" si="244">$J131*AP131</f>
        <v>0</v>
      </c>
      <c r="AM588">
        <f t="shared" ref="AM588:AM651" ca="1" si="245">$J131*AQ131</f>
        <v>0</v>
      </c>
      <c r="AN588">
        <f t="shared" ref="AN588:AN651" ca="1" si="246">$J131*AR131</f>
        <v>0</v>
      </c>
      <c r="AO588">
        <f t="shared" ref="AO588:AO651" ca="1" si="247">$J131*AS131</f>
        <v>0</v>
      </c>
      <c r="AP588">
        <f t="shared" ref="AP588:AP651" ca="1" si="248">$J131*AT131</f>
        <v>0</v>
      </c>
    </row>
    <row r="589" spans="8:42" x14ac:dyDescent="0.2">
      <c r="H589" t="s">
        <v>997</v>
      </c>
      <c r="I589">
        <f t="shared" ca="1" si="215"/>
        <v>0</v>
      </c>
      <c r="J589">
        <f t="shared" ca="1" si="216"/>
        <v>0</v>
      </c>
      <c r="K589">
        <f t="shared" ca="1" si="217"/>
        <v>0</v>
      </c>
      <c r="L589">
        <f t="shared" ca="1" si="218"/>
        <v>0</v>
      </c>
      <c r="M589">
        <f t="shared" ca="1" si="219"/>
        <v>0</v>
      </c>
      <c r="N589">
        <f t="shared" ca="1" si="220"/>
        <v>0</v>
      </c>
      <c r="O589">
        <f t="shared" ca="1" si="221"/>
        <v>0</v>
      </c>
      <c r="P589">
        <f t="shared" ca="1" si="222"/>
        <v>0</v>
      </c>
      <c r="Q589">
        <f t="shared" ca="1" si="223"/>
        <v>0</v>
      </c>
      <c r="R589">
        <f t="shared" ca="1" si="224"/>
        <v>0</v>
      </c>
      <c r="S589">
        <f t="shared" ca="1" si="225"/>
        <v>0</v>
      </c>
      <c r="T589">
        <f t="shared" ca="1" si="226"/>
        <v>0</v>
      </c>
      <c r="U589">
        <f t="shared" ca="1" si="227"/>
        <v>0</v>
      </c>
      <c r="V589">
        <f t="shared" ca="1" si="228"/>
        <v>0</v>
      </c>
      <c r="W589">
        <f t="shared" ca="1" si="229"/>
        <v>0</v>
      </c>
      <c r="X589">
        <f t="shared" ca="1" si="230"/>
        <v>0</v>
      </c>
      <c r="Y589">
        <f t="shared" ca="1" si="231"/>
        <v>0</v>
      </c>
      <c r="Z589">
        <f t="shared" ca="1" si="232"/>
        <v>26.928000000000001</v>
      </c>
      <c r="AA589">
        <f t="shared" ca="1" si="233"/>
        <v>0</v>
      </c>
      <c r="AB589">
        <f t="shared" ca="1" si="234"/>
        <v>0</v>
      </c>
      <c r="AC589">
        <f t="shared" ca="1" si="235"/>
        <v>0</v>
      </c>
      <c r="AD589">
        <f t="shared" ca="1" si="236"/>
        <v>0</v>
      </c>
      <c r="AE589">
        <f t="shared" ca="1" si="237"/>
        <v>0</v>
      </c>
      <c r="AF589">
        <f t="shared" ca="1" si="238"/>
        <v>0</v>
      </c>
      <c r="AG589">
        <f t="shared" ca="1" si="239"/>
        <v>0</v>
      </c>
      <c r="AH589">
        <f t="shared" ca="1" si="240"/>
        <v>0</v>
      </c>
      <c r="AI589">
        <f t="shared" ca="1" si="241"/>
        <v>0</v>
      </c>
      <c r="AJ589">
        <f t="shared" ca="1" si="242"/>
        <v>0</v>
      </c>
      <c r="AK589">
        <f t="shared" ca="1" si="243"/>
        <v>0</v>
      </c>
      <c r="AL589">
        <f t="shared" ca="1" si="244"/>
        <v>0</v>
      </c>
      <c r="AM589">
        <f t="shared" ca="1" si="245"/>
        <v>0</v>
      </c>
      <c r="AN589">
        <f t="shared" ca="1" si="246"/>
        <v>0</v>
      </c>
      <c r="AO589">
        <f t="shared" ca="1" si="247"/>
        <v>0</v>
      </c>
      <c r="AP589">
        <f t="shared" ca="1" si="248"/>
        <v>0</v>
      </c>
    </row>
    <row r="590" spans="8:42" x14ac:dyDescent="0.2">
      <c r="H590" t="s">
        <v>1145</v>
      </c>
      <c r="I590">
        <f t="shared" ca="1" si="215"/>
        <v>0</v>
      </c>
      <c r="J590">
        <f t="shared" ca="1" si="216"/>
        <v>0</v>
      </c>
      <c r="K590">
        <f t="shared" ca="1" si="217"/>
        <v>0</v>
      </c>
      <c r="L590">
        <f t="shared" ca="1" si="218"/>
        <v>0</v>
      </c>
      <c r="M590">
        <f t="shared" ca="1" si="219"/>
        <v>0</v>
      </c>
      <c r="N590">
        <f t="shared" ca="1" si="220"/>
        <v>0</v>
      </c>
      <c r="O590">
        <f t="shared" ca="1" si="221"/>
        <v>0</v>
      </c>
      <c r="P590">
        <f t="shared" ca="1" si="222"/>
        <v>0</v>
      </c>
      <c r="Q590">
        <f t="shared" ca="1" si="223"/>
        <v>0</v>
      </c>
      <c r="R590">
        <f t="shared" ca="1" si="224"/>
        <v>0</v>
      </c>
      <c r="S590">
        <f t="shared" ca="1" si="225"/>
        <v>0</v>
      </c>
      <c r="T590">
        <f t="shared" ca="1" si="226"/>
        <v>0</v>
      </c>
      <c r="U590">
        <f t="shared" ca="1" si="227"/>
        <v>0</v>
      </c>
      <c r="V590">
        <f t="shared" ca="1" si="228"/>
        <v>0</v>
      </c>
      <c r="W590">
        <f t="shared" ca="1" si="229"/>
        <v>0</v>
      </c>
      <c r="X590">
        <f t="shared" ca="1" si="230"/>
        <v>0</v>
      </c>
      <c r="Y590">
        <f t="shared" ca="1" si="231"/>
        <v>0</v>
      </c>
      <c r="Z590">
        <f t="shared" ca="1" si="232"/>
        <v>0</v>
      </c>
      <c r="AA590">
        <f t="shared" ca="1" si="233"/>
        <v>0</v>
      </c>
      <c r="AB590">
        <f t="shared" ca="1" si="234"/>
        <v>0</v>
      </c>
      <c r="AC590">
        <f t="shared" ca="1" si="235"/>
        <v>0</v>
      </c>
      <c r="AD590">
        <f t="shared" ca="1" si="236"/>
        <v>0</v>
      </c>
      <c r="AE590">
        <f t="shared" ca="1" si="237"/>
        <v>0</v>
      </c>
      <c r="AF590">
        <f t="shared" ca="1" si="238"/>
        <v>0</v>
      </c>
      <c r="AG590">
        <f t="shared" ca="1" si="239"/>
        <v>0</v>
      </c>
      <c r="AH590">
        <f t="shared" ca="1" si="240"/>
        <v>0</v>
      </c>
      <c r="AI590">
        <f t="shared" ca="1" si="241"/>
        <v>0</v>
      </c>
      <c r="AJ590">
        <f t="shared" ca="1" si="242"/>
        <v>0</v>
      </c>
      <c r="AK590">
        <f t="shared" ca="1" si="243"/>
        <v>0</v>
      </c>
      <c r="AL590">
        <f t="shared" ca="1" si="244"/>
        <v>0</v>
      </c>
      <c r="AM590">
        <f t="shared" ca="1" si="245"/>
        <v>0</v>
      </c>
      <c r="AN590">
        <f t="shared" ca="1" si="246"/>
        <v>0</v>
      </c>
      <c r="AO590">
        <f t="shared" ca="1" si="247"/>
        <v>0</v>
      </c>
      <c r="AP590">
        <f t="shared" ca="1" si="248"/>
        <v>0</v>
      </c>
    </row>
    <row r="591" spans="8:42" x14ac:dyDescent="0.2">
      <c r="H591" t="s">
        <v>1023</v>
      </c>
      <c r="I591">
        <f t="shared" ca="1" si="215"/>
        <v>0</v>
      </c>
      <c r="J591">
        <f t="shared" ca="1" si="216"/>
        <v>0</v>
      </c>
      <c r="K591">
        <f t="shared" ca="1" si="217"/>
        <v>0</v>
      </c>
      <c r="L591">
        <f t="shared" ca="1" si="218"/>
        <v>0</v>
      </c>
      <c r="M591">
        <f t="shared" ca="1" si="219"/>
        <v>0</v>
      </c>
      <c r="N591">
        <f t="shared" ca="1" si="220"/>
        <v>0</v>
      </c>
      <c r="O591">
        <f t="shared" ca="1" si="221"/>
        <v>0</v>
      </c>
      <c r="P591">
        <f t="shared" ca="1" si="222"/>
        <v>0</v>
      </c>
      <c r="Q591">
        <f t="shared" ca="1" si="223"/>
        <v>0</v>
      </c>
      <c r="R591">
        <f t="shared" ca="1" si="224"/>
        <v>0</v>
      </c>
      <c r="S591">
        <f t="shared" ca="1" si="225"/>
        <v>0</v>
      </c>
      <c r="T591">
        <f t="shared" ca="1" si="226"/>
        <v>0</v>
      </c>
      <c r="U591">
        <f t="shared" ca="1" si="227"/>
        <v>0</v>
      </c>
      <c r="V591">
        <f t="shared" ca="1" si="228"/>
        <v>0</v>
      </c>
      <c r="W591">
        <f t="shared" ca="1" si="229"/>
        <v>0</v>
      </c>
      <c r="X591">
        <f t="shared" ca="1" si="230"/>
        <v>0</v>
      </c>
      <c r="Y591">
        <f t="shared" ca="1" si="231"/>
        <v>0</v>
      </c>
      <c r="Z591">
        <f t="shared" ca="1" si="232"/>
        <v>0</v>
      </c>
      <c r="AA591">
        <f t="shared" ca="1" si="233"/>
        <v>0</v>
      </c>
      <c r="AB591">
        <f t="shared" ca="1" si="234"/>
        <v>0</v>
      </c>
      <c r="AC591">
        <f t="shared" ca="1" si="235"/>
        <v>0</v>
      </c>
      <c r="AD591">
        <f t="shared" ca="1" si="236"/>
        <v>0</v>
      </c>
      <c r="AE591">
        <f t="shared" ca="1" si="237"/>
        <v>0</v>
      </c>
      <c r="AF591">
        <f t="shared" ca="1" si="238"/>
        <v>0</v>
      </c>
      <c r="AG591">
        <f t="shared" ca="1" si="239"/>
        <v>0</v>
      </c>
      <c r="AH591">
        <f t="shared" ca="1" si="240"/>
        <v>0</v>
      </c>
      <c r="AI591">
        <f t="shared" ca="1" si="241"/>
        <v>0</v>
      </c>
      <c r="AJ591">
        <f t="shared" ca="1" si="242"/>
        <v>0</v>
      </c>
      <c r="AK591">
        <f t="shared" ca="1" si="243"/>
        <v>24.48</v>
      </c>
      <c r="AL591">
        <f t="shared" ca="1" si="244"/>
        <v>0</v>
      </c>
      <c r="AM591">
        <f t="shared" ca="1" si="245"/>
        <v>0</v>
      </c>
      <c r="AN591">
        <f t="shared" ca="1" si="246"/>
        <v>0</v>
      </c>
      <c r="AO591">
        <f t="shared" ca="1" si="247"/>
        <v>0</v>
      </c>
      <c r="AP591">
        <f t="shared" ca="1" si="248"/>
        <v>0</v>
      </c>
    </row>
    <row r="592" spans="8:42" x14ac:dyDescent="0.2">
      <c r="H592" t="s">
        <v>1052</v>
      </c>
      <c r="I592">
        <f t="shared" ca="1" si="215"/>
        <v>2.4331635914769119</v>
      </c>
      <c r="J592">
        <f t="shared" ca="1" si="216"/>
        <v>0</v>
      </c>
      <c r="K592">
        <f t="shared" ca="1" si="217"/>
        <v>0</v>
      </c>
      <c r="L592">
        <f t="shared" ca="1" si="218"/>
        <v>0</v>
      </c>
      <c r="M592">
        <f t="shared" ca="1" si="219"/>
        <v>0</v>
      </c>
      <c r="N592">
        <f t="shared" ca="1" si="220"/>
        <v>0</v>
      </c>
      <c r="O592">
        <f t="shared" ca="1" si="221"/>
        <v>0</v>
      </c>
      <c r="P592">
        <f t="shared" ca="1" si="222"/>
        <v>0</v>
      </c>
      <c r="Q592">
        <f t="shared" ca="1" si="223"/>
        <v>0</v>
      </c>
      <c r="R592">
        <f t="shared" ca="1" si="224"/>
        <v>0</v>
      </c>
      <c r="S592">
        <f t="shared" ca="1" si="225"/>
        <v>0</v>
      </c>
      <c r="T592">
        <f t="shared" ca="1" si="226"/>
        <v>0</v>
      </c>
      <c r="U592">
        <f t="shared" ca="1" si="227"/>
        <v>0</v>
      </c>
      <c r="V592">
        <f t="shared" ca="1" si="228"/>
        <v>0</v>
      </c>
      <c r="W592">
        <f t="shared" ca="1" si="229"/>
        <v>0</v>
      </c>
      <c r="X592">
        <f t="shared" ca="1" si="230"/>
        <v>4.0047477163306047</v>
      </c>
      <c r="Y592">
        <f t="shared" ca="1" si="231"/>
        <v>1.7726691430435311</v>
      </c>
      <c r="Z592">
        <f t="shared" ca="1" si="232"/>
        <v>0</v>
      </c>
      <c r="AA592">
        <f t="shared" ca="1" si="233"/>
        <v>0</v>
      </c>
      <c r="AB592">
        <f t="shared" ca="1" si="234"/>
        <v>0</v>
      </c>
      <c r="AC592">
        <f t="shared" ca="1" si="235"/>
        <v>0</v>
      </c>
      <c r="AD592">
        <f t="shared" ca="1" si="236"/>
        <v>0</v>
      </c>
      <c r="AE592">
        <f t="shared" ca="1" si="237"/>
        <v>0</v>
      </c>
      <c r="AF592">
        <f t="shared" ca="1" si="238"/>
        <v>0</v>
      </c>
      <c r="AG592">
        <f t="shared" ca="1" si="239"/>
        <v>0.49150041346944268</v>
      </c>
      <c r="AH592">
        <f t="shared" ca="1" si="240"/>
        <v>0</v>
      </c>
      <c r="AI592">
        <f t="shared" ca="1" si="241"/>
        <v>0</v>
      </c>
      <c r="AJ592">
        <f t="shared" ca="1" si="242"/>
        <v>0</v>
      </c>
      <c r="AK592">
        <f t="shared" ca="1" si="243"/>
        <v>8.8108918365188984</v>
      </c>
      <c r="AL592">
        <f t="shared" ca="1" si="244"/>
        <v>2.8870272991606072</v>
      </c>
      <c r="AM592">
        <f t="shared" ca="1" si="245"/>
        <v>0</v>
      </c>
      <c r="AN592">
        <f t="shared" ca="1" si="246"/>
        <v>0</v>
      </c>
      <c r="AO592">
        <f t="shared" ca="1" si="247"/>
        <v>0</v>
      </c>
      <c r="AP592">
        <f t="shared" ca="1" si="248"/>
        <v>0</v>
      </c>
    </row>
    <row r="593" spans="8:42" x14ac:dyDescent="0.2">
      <c r="H593" t="s">
        <v>1146</v>
      </c>
      <c r="I593">
        <f t="shared" ca="1" si="215"/>
        <v>0</v>
      </c>
      <c r="J593">
        <f t="shared" ca="1" si="216"/>
        <v>0</v>
      </c>
      <c r="K593">
        <f t="shared" ca="1" si="217"/>
        <v>0</v>
      </c>
      <c r="L593">
        <f t="shared" ca="1" si="218"/>
        <v>0</v>
      </c>
      <c r="M593">
        <f t="shared" ca="1" si="219"/>
        <v>0</v>
      </c>
      <c r="N593">
        <f t="shared" ca="1" si="220"/>
        <v>0</v>
      </c>
      <c r="O593">
        <f t="shared" ca="1" si="221"/>
        <v>0</v>
      </c>
      <c r="P593">
        <f t="shared" ca="1" si="222"/>
        <v>0</v>
      </c>
      <c r="Q593">
        <f t="shared" ca="1" si="223"/>
        <v>0</v>
      </c>
      <c r="R593">
        <f t="shared" ca="1" si="224"/>
        <v>0</v>
      </c>
      <c r="S593">
        <f t="shared" ca="1" si="225"/>
        <v>0</v>
      </c>
      <c r="T593">
        <f t="shared" ca="1" si="226"/>
        <v>0</v>
      </c>
      <c r="U593">
        <f t="shared" ca="1" si="227"/>
        <v>0</v>
      </c>
      <c r="V593">
        <f t="shared" ca="1" si="228"/>
        <v>0</v>
      </c>
      <c r="W593">
        <f t="shared" ca="1" si="229"/>
        <v>0</v>
      </c>
      <c r="X593">
        <f t="shared" ca="1" si="230"/>
        <v>0</v>
      </c>
      <c r="Y593">
        <f t="shared" ca="1" si="231"/>
        <v>0</v>
      </c>
      <c r="Z593">
        <f t="shared" ca="1" si="232"/>
        <v>0</v>
      </c>
      <c r="AA593">
        <f t="shared" ca="1" si="233"/>
        <v>0</v>
      </c>
      <c r="AB593">
        <f t="shared" ca="1" si="234"/>
        <v>0</v>
      </c>
      <c r="AC593">
        <f t="shared" ca="1" si="235"/>
        <v>0</v>
      </c>
      <c r="AD593">
        <f t="shared" ca="1" si="236"/>
        <v>0</v>
      </c>
      <c r="AE593">
        <f t="shared" ca="1" si="237"/>
        <v>0</v>
      </c>
      <c r="AF593">
        <f t="shared" ca="1" si="238"/>
        <v>0</v>
      </c>
      <c r="AG593">
        <f t="shared" ca="1" si="239"/>
        <v>0</v>
      </c>
      <c r="AH593">
        <f t="shared" ca="1" si="240"/>
        <v>0</v>
      </c>
      <c r="AI593">
        <f t="shared" ca="1" si="241"/>
        <v>0</v>
      </c>
      <c r="AJ593">
        <f t="shared" ca="1" si="242"/>
        <v>0</v>
      </c>
      <c r="AK593">
        <f t="shared" ca="1" si="243"/>
        <v>0</v>
      </c>
      <c r="AL593">
        <f t="shared" ca="1" si="244"/>
        <v>0</v>
      </c>
      <c r="AM593">
        <f t="shared" ca="1" si="245"/>
        <v>0</v>
      </c>
      <c r="AN593">
        <f t="shared" ca="1" si="246"/>
        <v>0</v>
      </c>
      <c r="AO593">
        <f t="shared" ca="1" si="247"/>
        <v>0</v>
      </c>
      <c r="AP593">
        <f t="shared" ca="1" si="248"/>
        <v>0</v>
      </c>
    </row>
    <row r="594" spans="8:42" x14ac:dyDescent="0.2">
      <c r="H594" t="s">
        <v>1147</v>
      </c>
      <c r="I594">
        <f t="shared" ca="1" si="215"/>
        <v>0</v>
      </c>
      <c r="J594">
        <f t="shared" ca="1" si="216"/>
        <v>0</v>
      </c>
      <c r="K594">
        <f t="shared" ca="1" si="217"/>
        <v>0</v>
      </c>
      <c r="L594">
        <f t="shared" ca="1" si="218"/>
        <v>0</v>
      </c>
      <c r="M594">
        <f t="shared" ca="1" si="219"/>
        <v>0</v>
      </c>
      <c r="N594">
        <f t="shared" ca="1" si="220"/>
        <v>0</v>
      </c>
      <c r="O594">
        <f t="shared" ca="1" si="221"/>
        <v>0</v>
      </c>
      <c r="P594">
        <f t="shared" ca="1" si="222"/>
        <v>0</v>
      </c>
      <c r="Q594">
        <f t="shared" ca="1" si="223"/>
        <v>0</v>
      </c>
      <c r="R594">
        <f t="shared" ca="1" si="224"/>
        <v>0</v>
      </c>
      <c r="S594">
        <f t="shared" ca="1" si="225"/>
        <v>0</v>
      </c>
      <c r="T594">
        <f t="shared" ca="1" si="226"/>
        <v>0</v>
      </c>
      <c r="U594">
        <f t="shared" ca="1" si="227"/>
        <v>0</v>
      </c>
      <c r="V594">
        <f t="shared" ca="1" si="228"/>
        <v>0</v>
      </c>
      <c r="W594">
        <f t="shared" ca="1" si="229"/>
        <v>0</v>
      </c>
      <c r="X594">
        <f t="shared" ca="1" si="230"/>
        <v>0</v>
      </c>
      <c r="Y594">
        <f t="shared" ca="1" si="231"/>
        <v>0</v>
      </c>
      <c r="Z594">
        <f t="shared" ca="1" si="232"/>
        <v>0</v>
      </c>
      <c r="AA594">
        <f t="shared" ca="1" si="233"/>
        <v>0</v>
      </c>
      <c r="AB594">
        <f t="shared" ca="1" si="234"/>
        <v>0</v>
      </c>
      <c r="AC594">
        <f t="shared" ca="1" si="235"/>
        <v>0</v>
      </c>
      <c r="AD594">
        <f t="shared" ca="1" si="236"/>
        <v>0</v>
      </c>
      <c r="AE594">
        <f t="shared" ca="1" si="237"/>
        <v>0</v>
      </c>
      <c r="AF594">
        <f t="shared" ca="1" si="238"/>
        <v>0</v>
      </c>
      <c r="AG594">
        <f t="shared" ca="1" si="239"/>
        <v>0</v>
      </c>
      <c r="AH594">
        <f t="shared" ca="1" si="240"/>
        <v>0</v>
      </c>
      <c r="AI594">
        <f t="shared" ca="1" si="241"/>
        <v>0</v>
      </c>
      <c r="AJ594">
        <f t="shared" ca="1" si="242"/>
        <v>0</v>
      </c>
      <c r="AK594">
        <f t="shared" ca="1" si="243"/>
        <v>0</v>
      </c>
      <c r="AL594">
        <f t="shared" ca="1" si="244"/>
        <v>0</v>
      </c>
      <c r="AM594">
        <f t="shared" ca="1" si="245"/>
        <v>0</v>
      </c>
      <c r="AN594">
        <f t="shared" ca="1" si="246"/>
        <v>0</v>
      </c>
      <c r="AO594">
        <f t="shared" ca="1" si="247"/>
        <v>0</v>
      </c>
      <c r="AP594">
        <f t="shared" ca="1" si="248"/>
        <v>0</v>
      </c>
    </row>
    <row r="595" spans="8:42" x14ac:dyDescent="0.2">
      <c r="H595" t="s">
        <v>1148</v>
      </c>
      <c r="I595">
        <f t="shared" ca="1" si="215"/>
        <v>0</v>
      </c>
      <c r="J595">
        <f t="shared" ca="1" si="216"/>
        <v>0</v>
      </c>
      <c r="K595">
        <f t="shared" ca="1" si="217"/>
        <v>0</v>
      </c>
      <c r="L595">
        <f t="shared" ca="1" si="218"/>
        <v>0</v>
      </c>
      <c r="M595">
        <f t="shared" ca="1" si="219"/>
        <v>0</v>
      </c>
      <c r="N595">
        <f t="shared" ca="1" si="220"/>
        <v>0</v>
      </c>
      <c r="O595">
        <f t="shared" ca="1" si="221"/>
        <v>0</v>
      </c>
      <c r="P595">
        <f t="shared" ca="1" si="222"/>
        <v>0</v>
      </c>
      <c r="Q595">
        <f t="shared" ca="1" si="223"/>
        <v>0</v>
      </c>
      <c r="R595">
        <f t="shared" ca="1" si="224"/>
        <v>0</v>
      </c>
      <c r="S595">
        <f t="shared" ca="1" si="225"/>
        <v>0</v>
      </c>
      <c r="T595">
        <f t="shared" ca="1" si="226"/>
        <v>0</v>
      </c>
      <c r="U595">
        <f t="shared" ca="1" si="227"/>
        <v>0</v>
      </c>
      <c r="V595">
        <f t="shared" ca="1" si="228"/>
        <v>0</v>
      </c>
      <c r="W595">
        <f t="shared" ca="1" si="229"/>
        <v>0</v>
      </c>
      <c r="X595">
        <f t="shared" ca="1" si="230"/>
        <v>0</v>
      </c>
      <c r="Y595">
        <f t="shared" ca="1" si="231"/>
        <v>0</v>
      </c>
      <c r="Z595">
        <f t="shared" ca="1" si="232"/>
        <v>0</v>
      </c>
      <c r="AA595">
        <f t="shared" ca="1" si="233"/>
        <v>0</v>
      </c>
      <c r="AB595">
        <f t="shared" ca="1" si="234"/>
        <v>0</v>
      </c>
      <c r="AC595">
        <f t="shared" ca="1" si="235"/>
        <v>0</v>
      </c>
      <c r="AD595">
        <f t="shared" ca="1" si="236"/>
        <v>0</v>
      </c>
      <c r="AE595">
        <f t="shared" ca="1" si="237"/>
        <v>0</v>
      </c>
      <c r="AF595">
        <f t="shared" ca="1" si="238"/>
        <v>0</v>
      </c>
      <c r="AG595">
        <f t="shared" ca="1" si="239"/>
        <v>0</v>
      </c>
      <c r="AH595">
        <f t="shared" ca="1" si="240"/>
        <v>0</v>
      </c>
      <c r="AI595">
        <f t="shared" ca="1" si="241"/>
        <v>0</v>
      </c>
      <c r="AJ595">
        <f t="shared" ca="1" si="242"/>
        <v>0</v>
      </c>
      <c r="AK595">
        <f t="shared" ca="1" si="243"/>
        <v>0</v>
      </c>
      <c r="AL595">
        <f t="shared" ca="1" si="244"/>
        <v>0</v>
      </c>
      <c r="AM595">
        <f t="shared" ca="1" si="245"/>
        <v>0</v>
      </c>
      <c r="AN595">
        <f t="shared" ca="1" si="246"/>
        <v>0</v>
      </c>
      <c r="AO595">
        <f t="shared" ca="1" si="247"/>
        <v>0</v>
      </c>
      <c r="AP595">
        <f t="shared" ca="1" si="248"/>
        <v>0</v>
      </c>
    </row>
    <row r="596" spans="8:42" x14ac:dyDescent="0.2">
      <c r="H596" t="s">
        <v>294</v>
      </c>
      <c r="I596">
        <f t="shared" ca="1" si="215"/>
        <v>0</v>
      </c>
      <c r="J596">
        <f t="shared" ca="1" si="216"/>
        <v>0</v>
      </c>
      <c r="K596">
        <f t="shared" ca="1" si="217"/>
        <v>0</v>
      </c>
      <c r="L596">
        <f t="shared" ca="1" si="218"/>
        <v>0</v>
      </c>
      <c r="M596">
        <f t="shared" ca="1" si="219"/>
        <v>0</v>
      </c>
      <c r="N596">
        <f t="shared" ca="1" si="220"/>
        <v>3.1166514477056886</v>
      </c>
      <c r="O596">
        <f t="shared" ca="1" si="221"/>
        <v>0</v>
      </c>
      <c r="P596">
        <f t="shared" ca="1" si="222"/>
        <v>0</v>
      </c>
      <c r="Q596">
        <f t="shared" ca="1" si="223"/>
        <v>0</v>
      </c>
      <c r="R596">
        <f t="shared" ca="1" si="224"/>
        <v>0</v>
      </c>
      <c r="S596">
        <f t="shared" ca="1" si="225"/>
        <v>0</v>
      </c>
      <c r="T596">
        <f t="shared" ca="1" si="226"/>
        <v>0</v>
      </c>
      <c r="U596">
        <f t="shared" ca="1" si="227"/>
        <v>0</v>
      </c>
      <c r="V596">
        <f t="shared" ca="1" si="228"/>
        <v>0</v>
      </c>
      <c r="W596">
        <f t="shared" ca="1" si="229"/>
        <v>0</v>
      </c>
      <c r="X596">
        <f t="shared" ca="1" si="230"/>
        <v>0</v>
      </c>
      <c r="Y596">
        <f t="shared" ca="1" si="231"/>
        <v>20.935539737866943</v>
      </c>
      <c r="Z596">
        <f t="shared" ca="1" si="232"/>
        <v>0</v>
      </c>
      <c r="AA596">
        <f t="shared" ca="1" si="233"/>
        <v>0</v>
      </c>
      <c r="AB596">
        <f t="shared" ca="1" si="234"/>
        <v>0</v>
      </c>
      <c r="AC596">
        <f t="shared" ca="1" si="235"/>
        <v>0</v>
      </c>
      <c r="AD596">
        <f t="shared" ca="1" si="236"/>
        <v>0</v>
      </c>
      <c r="AE596">
        <f t="shared" ca="1" si="237"/>
        <v>0</v>
      </c>
      <c r="AF596">
        <f t="shared" ca="1" si="238"/>
        <v>0</v>
      </c>
      <c r="AG596">
        <f t="shared" ca="1" si="239"/>
        <v>0</v>
      </c>
      <c r="AH596">
        <f t="shared" ca="1" si="240"/>
        <v>0</v>
      </c>
      <c r="AI596">
        <f t="shared" ca="1" si="241"/>
        <v>0</v>
      </c>
      <c r="AJ596">
        <f t="shared" ca="1" si="242"/>
        <v>0</v>
      </c>
      <c r="AK596">
        <f t="shared" ca="1" si="243"/>
        <v>24.907808814427366</v>
      </c>
      <c r="AL596">
        <f t="shared" ca="1" si="244"/>
        <v>0</v>
      </c>
      <c r="AM596">
        <f t="shared" ca="1" si="245"/>
        <v>0</v>
      </c>
      <c r="AN596">
        <f t="shared" ca="1" si="246"/>
        <v>0</v>
      </c>
      <c r="AO596">
        <f t="shared" ca="1" si="247"/>
        <v>0</v>
      </c>
      <c r="AP596">
        <f t="shared" ca="1" si="248"/>
        <v>0</v>
      </c>
    </row>
    <row r="597" spans="8:42" x14ac:dyDescent="0.2">
      <c r="H597" t="s">
        <v>1025</v>
      </c>
      <c r="I597">
        <f t="shared" ca="1" si="215"/>
        <v>9.5215254199396906</v>
      </c>
      <c r="J597">
        <f t="shared" ca="1" si="216"/>
        <v>0</v>
      </c>
      <c r="K597">
        <f t="shared" ca="1" si="217"/>
        <v>0</v>
      </c>
      <c r="L597">
        <f t="shared" ca="1" si="218"/>
        <v>0</v>
      </c>
      <c r="M597">
        <f t="shared" ca="1" si="219"/>
        <v>0</v>
      </c>
      <c r="N597">
        <f t="shared" ca="1" si="220"/>
        <v>0</v>
      </c>
      <c r="O597">
        <f t="shared" ca="1" si="221"/>
        <v>0</v>
      </c>
      <c r="P597">
        <f t="shared" ca="1" si="222"/>
        <v>0</v>
      </c>
      <c r="Q597">
        <f t="shared" ca="1" si="223"/>
        <v>0</v>
      </c>
      <c r="R597">
        <f t="shared" ca="1" si="224"/>
        <v>0</v>
      </c>
      <c r="S597">
        <f t="shared" ca="1" si="225"/>
        <v>0</v>
      </c>
      <c r="T597">
        <f t="shared" ca="1" si="226"/>
        <v>0</v>
      </c>
      <c r="U597">
        <f t="shared" ca="1" si="227"/>
        <v>0</v>
      </c>
      <c r="V597">
        <f t="shared" ca="1" si="228"/>
        <v>0</v>
      </c>
      <c r="W597">
        <f t="shared" ca="1" si="229"/>
        <v>0</v>
      </c>
      <c r="X597">
        <f t="shared" ca="1" si="230"/>
        <v>0</v>
      </c>
      <c r="Y597">
        <f t="shared" ca="1" si="231"/>
        <v>0</v>
      </c>
      <c r="Z597">
        <f t="shared" ca="1" si="232"/>
        <v>0</v>
      </c>
      <c r="AA597">
        <f t="shared" ca="1" si="233"/>
        <v>0</v>
      </c>
      <c r="AB597">
        <f t="shared" ca="1" si="234"/>
        <v>0</v>
      </c>
      <c r="AC597">
        <f t="shared" ca="1" si="235"/>
        <v>0</v>
      </c>
      <c r="AD597">
        <f t="shared" ca="1" si="236"/>
        <v>0</v>
      </c>
      <c r="AE597">
        <f t="shared" ca="1" si="237"/>
        <v>0</v>
      </c>
      <c r="AF597">
        <f t="shared" ca="1" si="238"/>
        <v>0</v>
      </c>
      <c r="AG597">
        <f t="shared" ca="1" si="239"/>
        <v>0</v>
      </c>
      <c r="AH597">
        <f t="shared" ca="1" si="240"/>
        <v>0</v>
      </c>
      <c r="AI597">
        <f t="shared" ca="1" si="241"/>
        <v>0</v>
      </c>
      <c r="AJ597">
        <f t="shared" ca="1" si="242"/>
        <v>0</v>
      </c>
      <c r="AK597">
        <f t="shared" ca="1" si="243"/>
        <v>0</v>
      </c>
      <c r="AL597">
        <f t="shared" ca="1" si="244"/>
        <v>17.406474580060308</v>
      </c>
      <c r="AM597">
        <f t="shared" ca="1" si="245"/>
        <v>0</v>
      </c>
      <c r="AN597">
        <f t="shared" ca="1" si="246"/>
        <v>0</v>
      </c>
      <c r="AO597">
        <f t="shared" ca="1" si="247"/>
        <v>0</v>
      </c>
      <c r="AP597">
        <f t="shared" ca="1" si="248"/>
        <v>0</v>
      </c>
    </row>
    <row r="598" spans="8:42" x14ac:dyDescent="0.2">
      <c r="H598" t="s">
        <v>1149</v>
      </c>
      <c r="I598">
        <f t="shared" ca="1" si="215"/>
        <v>0</v>
      </c>
      <c r="J598">
        <f t="shared" ca="1" si="216"/>
        <v>0</v>
      </c>
      <c r="K598">
        <f t="shared" ca="1" si="217"/>
        <v>0</v>
      </c>
      <c r="L598">
        <f t="shared" ca="1" si="218"/>
        <v>0</v>
      </c>
      <c r="M598">
        <f t="shared" ca="1" si="219"/>
        <v>0</v>
      </c>
      <c r="N598">
        <f t="shared" ca="1" si="220"/>
        <v>0</v>
      </c>
      <c r="O598">
        <f t="shared" ca="1" si="221"/>
        <v>0</v>
      </c>
      <c r="P598">
        <f t="shared" ca="1" si="222"/>
        <v>0</v>
      </c>
      <c r="Q598">
        <f t="shared" ca="1" si="223"/>
        <v>0</v>
      </c>
      <c r="R598">
        <f t="shared" ca="1" si="224"/>
        <v>0</v>
      </c>
      <c r="S598">
        <f t="shared" ca="1" si="225"/>
        <v>0</v>
      </c>
      <c r="T598">
        <f t="shared" ca="1" si="226"/>
        <v>0</v>
      </c>
      <c r="U598">
        <f t="shared" ca="1" si="227"/>
        <v>0</v>
      </c>
      <c r="V598">
        <f t="shared" ca="1" si="228"/>
        <v>0</v>
      </c>
      <c r="W598">
        <f t="shared" ca="1" si="229"/>
        <v>0</v>
      </c>
      <c r="X598">
        <f t="shared" ca="1" si="230"/>
        <v>0</v>
      </c>
      <c r="Y598">
        <f t="shared" ca="1" si="231"/>
        <v>0</v>
      </c>
      <c r="Z598">
        <f t="shared" ca="1" si="232"/>
        <v>0</v>
      </c>
      <c r="AA598">
        <f t="shared" ca="1" si="233"/>
        <v>0</v>
      </c>
      <c r="AB598">
        <f t="shared" ca="1" si="234"/>
        <v>0</v>
      </c>
      <c r="AC598">
        <f t="shared" ca="1" si="235"/>
        <v>0</v>
      </c>
      <c r="AD598">
        <f t="shared" ca="1" si="236"/>
        <v>0</v>
      </c>
      <c r="AE598">
        <f t="shared" ca="1" si="237"/>
        <v>0</v>
      </c>
      <c r="AF598">
        <f t="shared" ca="1" si="238"/>
        <v>0</v>
      </c>
      <c r="AG598">
        <f t="shared" ca="1" si="239"/>
        <v>0</v>
      </c>
      <c r="AH598">
        <f t="shared" ca="1" si="240"/>
        <v>0</v>
      </c>
      <c r="AI598">
        <f t="shared" ca="1" si="241"/>
        <v>0</v>
      </c>
      <c r="AJ598">
        <f t="shared" ca="1" si="242"/>
        <v>0</v>
      </c>
      <c r="AK598">
        <f t="shared" ca="1" si="243"/>
        <v>0</v>
      </c>
      <c r="AL598">
        <f t="shared" ca="1" si="244"/>
        <v>0</v>
      </c>
      <c r="AM598">
        <f t="shared" ca="1" si="245"/>
        <v>0</v>
      </c>
      <c r="AN598">
        <f t="shared" ca="1" si="246"/>
        <v>0</v>
      </c>
      <c r="AO598">
        <f t="shared" ca="1" si="247"/>
        <v>0</v>
      </c>
      <c r="AP598">
        <f t="shared" ca="1" si="248"/>
        <v>0</v>
      </c>
    </row>
    <row r="599" spans="8:42" x14ac:dyDescent="0.2">
      <c r="H599" t="s">
        <v>1150</v>
      </c>
      <c r="I599">
        <f t="shared" ca="1" si="215"/>
        <v>0</v>
      </c>
      <c r="J599">
        <f t="shared" ca="1" si="216"/>
        <v>0</v>
      </c>
      <c r="K599">
        <f t="shared" ca="1" si="217"/>
        <v>0</v>
      </c>
      <c r="L599">
        <f t="shared" ca="1" si="218"/>
        <v>0</v>
      </c>
      <c r="M599">
        <f t="shared" ca="1" si="219"/>
        <v>0</v>
      </c>
      <c r="N599">
        <f t="shared" ca="1" si="220"/>
        <v>0</v>
      </c>
      <c r="O599">
        <f t="shared" ca="1" si="221"/>
        <v>0</v>
      </c>
      <c r="P599">
        <f t="shared" ca="1" si="222"/>
        <v>0</v>
      </c>
      <c r="Q599">
        <f t="shared" ca="1" si="223"/>
        <v>0</v>
      </c>
      <c r="R599">
        <f t="shared" ca="1" si="224"/>
        <v>0</v>
      </c>
      <c r="S599">
        <f t="shared" ca="1" si="225"/>
        <v>0</v>
      </c>
      <c r="T599">
        <f t="shared" ca="1" si="226"/>
        <v>0</v>
      </c>
      <c r="U599">
        <f t="shared" ca="1" si="227"/>
        <v>0</v>
      </c>
      <c r="V599">
        <f t="shared" ca="1" si="228"/>
        <v>0</v>
      </c>
      <c r="W599">
        <f t="shared" ca="1" si="229"/>
        <v>0</v>
      </c>
      <c r="X599">
        <f t="shared" ca="1" si="230"/>
        <v>0</v>
      </c>
      <c r="Y599">
        <f t="shared" ca="1" si="231"/>
        <v>0</v>
      </c>
      <c r="Z599">
        <f t="shared" ca="1" si="232"/>
        <v>0</v>
      </c>
      <c r="AA599">
        <f t="shared" ca="1" si="233"/>
        <v>0</v>
      </c>
      <c r="AB599">
        <f t="shared" ca="1" si="234"/>
        <v>0</v>
      </c>
      <c r="AC599">
        <f t="shared" ca="1" si="235"/>
        <v>0</v>
      </c>
      <c r="AD599">
        <f t="shared" ca="1" si="236"/>
        <v>0</v>
      </c>
      <c r="AE599">
        <f t="shared" ca="1" si="237"/>
        <v>0</v>
      </c>
      <c r="AF599">
        <f t="shared" ca="1" si="238"/>
        <v>0</v>
      </c>
      <c r="AG599">
        <f t="shared" ca="1" si="239"/>
        <v>0</v>
      </c>
      <c r="AH599">
        <f t="shared" ca="1" si="240"/>
        <v>0</v>
      </c>
      <c r="AI599">
        <f t="shared" ca="1" si="241"/>
        <v>0</v>
      </c>
      <c r="AJ599">
        <f t="shared" ca="1" si="242"/>
        <v>0</v>
      </c>
      <c r="AK599">
        <f t="shared" ca="1" si="243"/>
        <v>0</v>
      </c>
      <c r="AL599">
        <f t="shared" ca="1" si="244"/>
        <v>0</v>
      </c>
      <c r="AM599">
        <f t="shared" ca="1" si="245"/>
        <v>0</v>
      </c>
      <c r="AN599">
        <f t="shared" ca="1" si="246"/>
        <v>0</v>
      </c>
      <c r="AO599">
        <f t="shared" ca="1" si="247"/>
        <v>0</v>
      </c>
      <c r="AP599">
        <f t="shared" ca="1" si="248"/>
        <v>0</v>
      </c>
    </row>
    <row r="600" spans="8:42" x14ac:dyDescent="0.2">
      <c r="H600" t="s">
        <v>1151</v>
      </c>
      <c r="I600">
        <f t="shared" ca="1" si="215"/>
        <v>0</v>
      </c>
      <c r="J600">
        <f t="shared" ca="1" si="216"/>
        <v>0</v>
      </c>
      <c r="K600">
        <f t="shared" ca="1" si="217"/>
        <v>0</v>
      </c>
      <c r="L600">
        <f t="shared" ca="1" si="218"/>
        <v>0</v>
      </c>
      <c r="M600">
        <f t="shared" ca="1" si="219"/>
        <v>0</v>
      </c>
      <c r="N600">
        <f t="shared" ca="1" si="220"/>
        <v>0</v>
      </c>
      <c r="O600">
        <f t="shared" ca="1" si="221"/>
        <v>0</v>
      </c>
      <c r="P600">
        <f t="shared" ca="1" si="222"/>
        <v>0</v>
      </c>
      <c r="Q600">
        <f t="shared" ca="1" si="223"/>
        <v>0</v>
      </c>
      <c r="R600">
        <f t="shared" ca="1" si="224"/>
        <v>0</v>
      </c>
      <c r="S600">
        <f t="shared" ca="1" si="225"/>
        <v>0</v>
      </c>
      <c r="T600">
        <f t="shared" ca="1" si="226"/>
        <v>0</v>
      </c>
      <c r="U600">
        <f t="shared" ca="1" si="227"/>
        <v>0</v>
      </c>
      <c r="V600">
        <f t="shared" ca="1" si="228"/>
        <v>0</v>
      </c>
      <c r="W600">
        <f t="shared" ca="1" si="229"/>
        <v>0</v>
      </c>
      <c r="X600">
        <f t="shared" ca="1" si="230"/>
        <v>0</v>
      </c>
      <c r="Y600">
        <f t="shared" ca="1" si="231"/>
        <v>0</v>
      </c>
      <c r="Z600">
        <f t="shared" ca="1" si="232"/>
        <v>0</v>
      </c>
      <c r="AA600">
        <f t="shared" ca="1" si="233"/>
        <v>0</v>
      </c>
      <c r="AB600">
        <f t="shared" ca="1" si="234"/>
        <v>0</v>
      </c>
      <c r="AC600">
        <f t="shared" ca="1" si="235"/>
        <v>0</v>
      </c>
      <c r="AD600">
        <f t="shared" ca="1" si="236"/>
        <v>0</v>
      </c>
      <c r="AE600">
        <f t="shared" ca="1" si="237"/>
        <v>0</v>
      </c>
      <c r="AF600">
        <f t="shared" ca="1" si="238"/>
        <v>0</v>
      </c>
      <c r="AG600">
        <f t="shared" ca="1" si="239"/>
        <v>0</v>
      </c>
      <c r="AH600">
        <f t="shared" ca="1" si="240"/>
        <v>0</v>
      </c>
      <c r="AI600">
        <f t="shared" ca="1" si="241"/>
        <v>0</v>
      </c>
      <c r="AJ600">
        <f t="shared" ca="1" si="242"/>
        <v>0</v>
      </c>
      <c r="AK600">
        <f t="shared" ca="1" si="243"/>
        <v>0</v>
      </c>
      <c r="AL600">
        <f t="shared" ca="1" si="244"/>
        <v>0</v>
      </c>
      <c r="AM600">
        <f t="shared" ca="1" si="245"/>
        <v>0</v>
      </c>
      <c r="AN600">
        <f t="shared" ca="1" si="246"/>
        <v>0</v>
      </c>
      <c r="AO600">
        <f t="shared" ca="1" si="247"/>
        <v>0</v>
      </c>
      <c r="AP600">
        <f t="shared" ca="1" si="248"/>
        <v>0</v>
      </c>
    </row>
    <row r="601" spans="8:42" x14ac:dyDescent="0.2">
      <c r="H601" t="s">
        <v>1152</v>
      </c>
      <c r="I601">
        <f t="shared" ca="1" si="215"/>
        <v>0</v>
      </c>
      <c r="J601">
        <f t="shared" ca="1" si="216"/>
        <v>0</v>
      </c>
      <c r="K601">
        <f t="shared" ca="1" si="217"/>
        <v>0</v>
      </c>
      <c r="L601">
        <f t="shared" ca="1" si="218"/>
        <v>0</v>
      </c>
      <c r="M601">
        <f t="shared" ca="1" si="219"/>
        <v>0</v>
      </c>
      <c r="N601">
        <f t="shared" ca="1" si="220"/>
        <v>0</v>
      </c>
      <c r="O601">
        <f t="shared" ca="1" si="221"/>
        <v>0</v>
      </c>
      <c r="P601">
        <f t="shared" ca="1" si="222"/>
        <v>0</v>
      </c>
      <c r="Q601">
        <f t="shared" ca="1" si="223"/>
        <v>0</v>
      </c>
      <c r="R601">
        <f t="shared" ca="1" si="224"/>
        <v>0</v>
      </c>
      <c r="S601">
        <f t="shared" ca="1" si="225"/>
        <v>0</v>
      </c>
      <c r="T601">
        <f t="shared" ca="1" si="226"/>
        <v>0</v>
      </c>
      <c r="U601">
        <f t="shared" ca="1" si="227"/>
        <v>0</v>
      </c>
      <c r="V601">
        <f t="shared" ca="1" si="228"/>
        <v>0</v>
      </c>
      <c r="W601">
        <f t="shared" ca="1" si="229"/>
        <v>0</v>
      </c>
      <c r="X601">
        <f t="shared" ca="1" si="230"/>
        <v>0</v>
      </c>
      <c r="Y601">
        <f t="shared" ca="1" si="231"/>
        <v>0</v>
      </c>
      <c r="Z601">
        <f t="shared" ca="1" si="232"/>
        <v>0</v>
      </c>
      <c r="AA601">
        <f t="shared" ca="1" si="233"/>
        <v>0</v>
      </c>
      <c r="AB601">
        <f t="shared" ca="1" si="234"/>
        <v>0</v>
      </c>
      <c r="AC601">
        <f t="shared" ca="1" si="235"/>
        <v>0</v>
      </c>
      <c r="AD601">
        <f t="shared" ca="1" si="236"/>
        <v>0</v>
      </c>
      <c r="AE601">
        <f t="shared" ca="1" si="237"/>
        <v>0</v>
      </c>
      <c r="AF601">
        <f t="shared" ca="1" si="238"/>
        <v>0</v>
      </c>
      <c r="AG601">
        <f t="shared" ca="1" si="239"/>
        <v>0</v>
      </c>
      <c r="AH601">
        <f t="shared" ca="1" si="240"/>
        <v>0</v>
      </c>
      <c r="AI601">
        <f t="shared" ca="1" si="241"/>
        <v>0</v>
      </c>
      <c r="AJ601">
        <f t="shared" ca="1" si="242"/>
        <v>0</v>
      </c>
      <c r="AK601">
        <f t="shared" ca="1" si="243"/>
        <v>0</v>
      </c>
      <c r="AL601">
        <f t="shared" ca="1" si="244"/>
        <v>0</v>
      </c>
      <c r="AM601">
        <f t="shared" ca="1" si="245"/>
        <v>0</v>
      </c>
      <c r="AN601">
        <f t="shared" ca="1" si="246"/>
        <v>0</v>
      </c>
      <c r="AO601">
        <f t="shared" ca="1" si="247"/>
        <v>0</v>
      </c>
      <c r="AP601">
        <f t="shared" ca="1" si="248"/>
        <v>0</v>
      </c>
    </row>
    <row r="602" spans="8:42" x14ac:dyDescent="0.2">
      <c r="H602" t="s">
        <v>1197</v>
      </c>
      <c r="I602">
        <f t="shared" ca="1" si="215"/>
        <v>0</v>
      </c>
      <c r="J602">
        <f t="shared" ca="1" si="216"/>
        <v>0</v>
      </c>
      <c r="K602">
        <f t="shared" ca="1" si="217"/>
        <v>0</v>
      </c>
      <c r="L602">
        <f t="shared" ca="1" si="218"/>
        <v>0</v>
      </c>
      <c r="M602">
        <f t="shared" ca="1" si="219"/>
        <v>0</v>
      </c>
      <c r="N602">
        <f t="shared" ca="1" si="220"/>
        <v>0</v>
      </c>
      <c r="O602">
        <f t="shared" ca="1" si="221"/>
        <v>0</v>
      </c>
      <c r="P602">
        <f t="shared" ca="1" si="222"/>
        <v>0</v>
      </c>
      <c r="Q602">
        <f t="shared" ca="1" si="223"/>
        <v>0</v>
      </c>
      <c r="R602">
        <f t="shared" ca="1" si="224"/>
        <v>0</v>
      </c>
      <c r="S602">
        <f t="shared" ca="1" si="225"/>
        <v>0</v>
      </c>
      <c r="T602">
        <f t="shared" ca="1" si="226"/>
        <v>0</v>
      </c>
      <c r="U602">
        <f t="shared" ca="1" si="227"/>
        <v>0</v>
      </c>
      <c r="V602">
        <f t="shared" ca="1" si="228"/>
        <v>0</v>
      </c>
      <c r="W602">
        <f t="shared" ca="1" si="229"/>
        <v>0</v>
      </c>
      <c r="X602">
        <f t="shared" ca="1" si="230"/>
        <v>0</v>
      </c>
      <c r="Y602">
        <f t="shared" ca="1" si="231"/>
        <v>0</v>
      </c>
      <c r="Z602">
        <f t="shared" ca="1" si="232"/>
        <v>0</v>
      </c>
      <c r="AA602">
        <f t="shared" ca="1" si="233"/>
        <v>0</v>
      </c>
      <c r="AB602">
        <f t="shared" ca="1" si="234"/>
        <v>0</v>
      </c>
      <c r="AC602">
        <f t="shared" ca="1" si="235"/>
        <v>0</v>
      </c>
      <c r="AD602">
        <f t="shared" ca="1" si="236"/>
        <v>0</v>
      </c>
      <c r="AE602">
        <f t="shared" ca="1" si="237"/>
        <v>0</v>
      </c>
      <c r="AF602">
        <f t="shared" ca="1" si="238"/>
        <v>0</v>
      </c>
      <c r="AG602">
        <f t="shared" ca="1" si="239"/>
        <v>0</v>
      </c>
      <c r="AH602">
        <f t="shared" ca="1" si="240"/>
        <v>0</v>
      </c>
      <c r="AI602">
        <f t="shared" ca="1" si="241"/>
        <v>0</v>
      </c>
      <c r="AJ602">
        <f t="shared" ca="1" si="242"/>
        <v>0</v>
      </c>
      <c r="AK602">
        <f t="shared" ca="1" si="243"/>
        <v>0</v>
      </c>
      <c r="AL602">
        <f t="shared" ca="1" si="244"/>
        <v>0</v>
      </c>
      <c r="AM602">
        <f t="shared" ca="1" si="245"/>
        <v>0</v>
      </c>
      <c r="AN602">
        <f t="shared" ca="1" si="246"/>
        <v>0</v>
      </c>
      <c r="AO602">
        <f t="shared" ca="1" si="247"/>
        <v>0</v>
      </c>
      <c r="AP602">
        <f t="shared" ca="1" si="248"/>
        <v>0</v>
      </c>
    </row>
    <row r="603" spans="8:42" x14ac:dyDescent="0.2">
      <c r="H603" t="s">
        <v>1153</v>
      </c>
      <c r="I603">
        <f t="shared" ca="1" si="215"/>
        <v>0</v>
      </c>
      <c r="J603">
        <f t="shared" ca="1" si="216"/>
        <v>0</v>
      </c>
      <c r="K603">
        <f t="shared" ca="1" si="217"/>
        <v>0</v>
      </c>
      <c r="L603">
        <f t="shared" ca="1" si="218"/>
        <v>0</v>
      </c>
      <c r="M603">
        <f t="shared" ca="1" si="219"/>
        <v>0</v>
      </c>
      <c r="N603">
        <f t="shared" ca="1" si="220"/>
        <v>0</v>
      </c>
      <c r="O603">
        <f t="shared" ca="1" si="221"/>
        <v>0</v>
      </c>
      <c r="P603">
        <f t="shared" ca="1" si="222"/>
        <v>0</v>
      </c>
      <c r="Q603">
        <f t="shared" ca="1" si="223"/>
        <v>0</v>
      </c>
      <c r="R603">
        <f t="shared" ca="1" si="224"/>
        <v>0</v>
      </c>
      <c r="S603">
        <f t="shared" ca="1" si="225"/>
        <v>0</v>
      </c>
      <c r="T603">
        <f t="shared" ca="1" si="226"/>
        <v>0</v>
      </c>
      <c r="U603">
        <f t="shared" ca="1" si="227"/>
        <v>0</v>
      </c>
      <c r="V603">
        <f t="shared" ca="1" si="228"/>
        <v>0</v>
      </c>
      <c r="W603">
        <f t="shared" ca="1" si="229"/>
        <v>0</v>
      </c>
      <c r="X603">
        <f t="shared" ca="1" si="230"/>
        <v>0</v>
      </c>
      <c r="Y603">
        <f t="shared" ca="1" si="231"/>
        <v>0</v>
      </c>
      <c r="Z603">
        <f t="shared" ca="1" si="232"/>
        <v>0</v>
      </c>
      <c r="AA603">
        <f t="shared" ca="1" si="233"/>
        <v>0</v>
      </c>
      <c r="AB603">
        <f t="shared" ca="1" si="234"/>
        <v>0</v>
      </c>
      <c r="AC603">
        <f t="shared" ca="1" si="235"/>
        <v>0</v>
      </c>
      <c r="AD603">
        <f t="shared" ca="1" si="236"/>
        <v>0</v>
      </c>
      <c r="AE603">
        <f t="shared" ca="1" si="237"/>
        <v>0</v>
      </c>
      <c r="AF603">
        <f t="shared" ca="1" si="238"/>
        <v>0</v>
      </c>
      <c r="AG603">
        <f t="shared" ca="1" si="239"/>
        <v>0</v>
      </c>
      <c r="AH603">
        <f t="shared" ca="1" si="240"/>
        <v>0</v>
      </c>
      <c r="AI603">
        <f t="shared" ca="1" si="241"/>
        <v>0</v>
      </c>
      <c r="AJ603">
        <f t="shared" ca="1" si="242"/>
        <v>0</v>
      </c>
      <c r="AK603">
        <f t="shared" ca="1" si="243"/>
        <v>0</v>
      </c>
      <c r="AL603">
        <f t="shared" ca="1" si="244"/>
        <v>0</v>
      </c>
      <c r="AM603">
        <f t="shared" ca="1" si="245"/>
        <v>0</v>
      </c>
      <c r="AN603">
        <f t="shared" ca="1" si="246"/>
        <v>0</v>
      </c>
      <c r="AO603">
        <f t="shared" ca="1" si="247"/>
        <v>0</v>
      </c>
      <c r="AP603">
        <f t="shared" ca="1" si="248"/>
        <v>0</v>
      </c>
    </row>
    <row r="604" spans="8:42" x14ac:dyDescent="0.2">
      <c r="H604" t="s">
        <v>1154</v>
      </c>
      <c r="I604">
        <f t="shared" ca="1" si="215"/>
        <v>0</v>
      </c>
      <c r="J604">
        <f t="shared" ca="1" si="216"/>
        <v>0</v>
      </c>
      <c r="K604">
        <f t="shared" ca="1" si="217"/>
        <v>0</v>
      </c>
      <c r="L604">
        <f t="shared" ca="1" si="218"/>
        <v>0</v>
      </c>
      <c r="M604">
        <f t="shared" ca="1" si="219"/>
        <v>0</v>
      </c>
      <c r="N604">
        <f t="shared" ca="1" si="220"/>
        <v>0</v>
      </c>
      <c r="O604">
        <f t="shared" ca="1" si="221"/>
        <v>0</v>
      </c>
      <c r="P604">
        <f t="shared" ca="1" si="222"/>
        <v>0</v>
      </c>
      <c r="Q604">
        <f t="shared" ca="1" si="223"/>
        <v>0</v>
      </c>
      <c r="R604">
        <f t="shared" ca="1" si="224"/>
        <v>0</v>
      </c>
      <c r="S604">
        <f t="shared" ca="1" si="225"/>
        <v>0</v>
      </c>
      <c r="T604">
        <f t="shared" ca="1" si="226"/>
        <v>0</v>
      </c>
      <c r="U604">
        <f t="shared" ca="1" si="227"/>
        <v>0</v>
      </c>
      <c r="V604">
        <f t="shared" ca="1" si="228"/>
        <v>0</v>
      </c>
      <c r="W604">
        <f t="shared" ca="1" si="229"/>
        <v>0</v>
      </c>
      <c r="X604">
        <f t="shared" ca="1" si="230"/>
        <v>0</v>
      </c>
      <c r="Y604">
        <f t="shared" ca="1" si="231"/>
        <v>0</v>
      </c>
      <c r="Z604">
        <f t="shared" ca="1" si="232"/>
        <v>0</v>
      </c>
      <c r="AA604">
        <f t="shared" ca="1" si="233"/>
        <v>0</v>
      </c>
      <c r="AB604">
        <f t="shared" ca="1" si="234"/>
        <v>0</v>
      </c>
      <c r="AC604">
        <f t="shared" ca="1" si="235"/>
        <v>0</v>
      </c>
      <c r="AD604">
        <f t="shared" ca="1" si="236"/>
        <v>0</v>
      </c>
      <c r="AE604">
        <f t="shared" ca="1" si="237"/>
        <v>0</v>
      </c>
      <c r="AF604">
        <f t="shared" ca="1" si="238"/>
        <v>0</v>
      </c>
      <c r="AG604">
        <f t="shared" ca="1" si="239"/>
        <v>0</v>
      </c>
      <c r="AH604">
        <f t="shared" ca="1" si="240"/>
        <v>0</v>
      </c>
      <c r="AI604">
        <f t="shared" ca="1" si="241"/>
        <v>0</v>
      </c>
      <c r="AJ604">
        <f t="shared" ca="1" si="242"/>
        <v>0</v>
      </c>
      <c r="AK604">
        <f t="shared" ca="1" si="243"/>
        <v>0</v>
      </c>
      <c r="AL604">
        <f t="shared" ca="1" si="244"/>
        <v>0</v>
      </c>
      <c r="AM604">
        <f t="shared" ca="1" si="245"/>
        <v>0</v>
      </c>
      <c r="AN604">
        <f t="shared" ca="1" si="246"/>
        <v>0</v>
      </c>
      <c r="AO604">
        <f t="shared" ca="1" si="247"/>
        <v>0</v>
      </c>
      <c r="AP604">
        <f t="shared" ca="1" si="248"/>
        <v>0</v>
      </c>
    </row>
    <row r="605" spans="8:42" x14ac:dyDescent="0.2">
      <c r="H605" t="s">
        <v>1155</v>
      </c>
      <c r="I605">
        <f t="shared" ca="1" si="215"/>
        <v>0</v>
      </c>
      <c r="J605">
        <f t="shared" ca="1" si="216"/>
        <v>0</v>
      </c>
      <c r="K605">
        <f t="shared" ca="1" si="217"/>
        <v>0</v>
      </c>
      <c r="L605">
        <f t="shared" ca="1" si="218"/>
        <v>0</v>
      </c>
      <c r="M605">
        <f t="shared" ca="1" si="219"/>
        <v>0</v>
      </c>
      <c r="N605">
        <f t="shared" ca="1" si="220"/>
        <v>0</v>
      </c>
      <c r="O605">
        <f t="shared" ca="1" si="221"/>
        <v>0</v>
      </c>
      <c r="P605">
        <f t="shared" ca="1" si="222"/>
        <v>0</v>
      </c>
      <c r="Q605">
        <f t="shared" ca="1" si="223"/>
        <v>0</v>
      </c>
      <c r="R605">
        <f t="shared" ca="1" si="224"/>
        <v>0</v>
      </c>
      <c r="S605">
        <f t="shared" ca="1" si="225"/>
        <v>0</v>
      </c>
      <c r="T605">
        <f t="shared" ca="1" si="226"/>
        <v>0</v>
      </c>
      <c r="U605">
        <f t="shared" ca="1" si="227"/>
        <v>0</v>
      </c>
      <c r="V605">
        <f t="shared" ca="1" si="228"/>
        <v>0</v>
      </c>
      <c r="W605">
        <f t="shared" ca="1" si="229"/>
        <v>0</v>
      </c>
      <c r="X605">
        <f t="shared" ca="1" si="230"/>
        <v>0</v>
      </c>
      <c r="Y605">
        <f t="shared" ca="1" si="231"/>
        <v>0</v>
      </c>
      <c r="Z605">
        <f t="shared" ca="1" si="232"/>
        <v>0</v>
      </c>
      <c r="AA605">
        <f t="shared" ca="1" si="233"/>
        <v>0</v>
      </c>
      <c r="AB605">
        <f t="shared" ca="1" si="234"/>
        <v>0</v>
      </c>
      <c r="AC605">
        <f t="shared" ca="1" si="235"/>
        <v>0</v>
      </c>
      <c r="AD605">
        <f t="shared" ca="1" si="236"/>
        <v>0</v>
      </c>
      <c r="AE605">
        <f t="shared" ca="1" si="237"/>
        <v>0</v>
      </c>
      <c r="AF605">
        <f t="shared" ca="1" si="238"/>
        <v>0</v>
      </c>
      <c r="AG605">
        <f t="shared" ca="1" si="239"/>
        <v>0</v>
      </c>
      <c r="AH605">
        <f t="shared" ca="1" si="240"/>
        <v>0</v>
      </c>
      <c r="AI605">
        <f t="shared" ca="1" si="241"/>
        <v>0</v>
      </c>
      <c r="AJ605">
        <f t="shared" ca="1" si="242"/>
        <v>0</v>
      </c>
      <c r="AK605">
        <f t="shared" ca="1" si="243"/>
        <v>0</v>
      </c>
      <c r="AL605">
        <f t="shared" ca="1" si="244"/>
        <v>0</v>
      </c>
      <c r="AM605">
        <f t="shared" ca="1" si="245"/>
        <v>0</v>
      </c>
      <c r="AN605">
        <f t="shared" ca="1" si="246"/>
        <v>0</v>
      </c>
      <c r="AO605">
        <f t="shared" ca="1" si="247"/>
        <v>0</v>
      </c>
      <c r="AP605">
        <f t="shared" ca="1" si="248"/>
        <v>0</v>
      </c>
    </row>
    <row r="606" spans="8:42" x14ac:dyDescent="0.2">
      <c r="H606" t="s">
        <v>1103</v>
      </c>
      <c r="I606">
        <f t="shared" ca="1" si="215"/>
        <v>0</v>
      </c>
      <c r="J606">
        <f t="shared" ca="1" si="216"/>
        <v>0</v>
      </c>
      <c r="K606">
        <f t="shared" ca="1" si="217"/>
        <v>0</v>
      </c>
      <c r="L606">
        <f t="shared" ca="1" si="218"/>
        <v>0</v>
      </c>
      <c r="M606">
        <f t="shared" ca="1" si="219"/>
        <v>0</v>
      </c>
      <c r="N606">
        <f t="shared" ca="1" si="220"/>
        <v>0</v>
      </c>
      <c r="O606">
        <f t="shared" ca="1" si="221"/>
        <v>0</v>
      </c>
      <c r="P606">
        <f t="shared" ca="1" si="222"/>
        <v>0</v>
      </c>
      <c r="Q606">
        <f t="shared" ca="1" si="223"/>
        <v>0</v>
      </c>
      <c r="R606">
        <f t="shared" ca="1" si="224"/>
        <v>0</v>
      </c>
      <c r="S606">
        <f t="shared" ca="1" si="225"/>
        <v>0</v>
      </c>
      <c r="T606">
        <f t="shared" ca="1" si="226"/>
        <v>0</v>
      </c>
      <c r="U606">
        <f t="shared" ca="1" si="227"/>
        <v>0</v>
      </c>
      <c r="V606">
        <f t="shared" ca="1" si="228"/>
        <v>0</v>
      </c>
      <c r="W606">
        <f t="shared" ca="1" si="229"/>
        <v>0</v>
      </c>
      <c r="X606">
        <f t="shared" ca="1" si="230"/>
        <v>0</v>
      </c>
      <c r="Y606">
        <f t="shared" ca="1" si="231"/>
        <v>0</v>
      </c>
      <c r="Z606">
        <f t="shared" ca="1" si="232"/>
        <v>0</v>
      </c>
      <c r="AA606">
        <f t="shared" ca="1" si="233"/>
        <v>0</v>
      </c>
      <c r="AB606">
        <f t="shared" ca="1" si="234"/>
        <v>0</v>
      </c>
      <c r="AC606">
        <f t="shared" ca="1" si="235"/>
        <v>0</v>
      </c>
      <c r="AD606">
        <f t="shared" ca="1" si="236"/>
        <v>0</v>
      </c>
      <c r="AE606">
        <f t="shared" ca="1" si="237"/>
        <v>0</v>
      </c>
      <c r="AF606">
        <f t="shared" ca="1" si="238"/>
        <v>0</v>
      </c>
      <c r="AG606">
        <f t="shared" ca="1" si="239"/>
        <v>0</v>
      </c>
      <c r="AH606">
        <f t="shared" ca="1" si="240"/>
        <v>0</v>
      </c>
      <c r="AI606">
        <f t="shared" ca="1" si="241"/>
        <v>0</v>
      </c>
      <c r="AJ606">
        <f t="shared" ca="1" si="242"/>
        <v>0</v>
      </c>
      <c r="AK606">
        <f t="shared" ca="1" si="243"/>
        <v>0</v>
      </c>
      <c r="AL606">
        <f t="shared" ca="1" si="244"/>
        <v>0</v>
      </c>
      <c r="AM606">
        <f t="shared" ca="1" si="245"/>
        <v>0</v>
      </c>
      <c r="AN606">
        <f t="shared" ca="1" si="246"/>
        <v>5.91</v>
      </c>
      <c r="AO606">
        <f t="shared" ca="1" si="247"/>
        <v>0</v>
      </c>
      <c r="AP606">
        <f t="shared" ca="1" si="248"/>
        <v>0</v>
      </c>
    </row>
    <row r="607" spans="8:42" x14ac:dyDescent="0.2">
      <c r="H607" t="s">
        <v>1156</v>
      </c>
      <c r="I607">
        <f t="shared" ca="1" si="215"/>
        <v>0</v>
      </c>
      <c r="J607">
        <f t="shared" ca="1" si="216"/>
        <v>0</v>
      </c>
      <c r="K607">
        <f t="shared" ca="1" si="217"/>
        <v>0</v>
      </c>
      <c r="L607">
        <f t="shared" ca="1" si="218"/>
        <v>0</v>
      </c>
      <c r="M607">
        <f t="shared" ca="1" si="219"/>
        <v>0</v>
      </c>
      <c r="N607">
        <f t="shared" ca="1" si="220"/>
        <v>0</v>
      </c>
      <c r="O607">
        <f t="shared" ca="1" si="221"/>
        <v>0</v>
      </c>
      <c r="P607">
        <f t="shared" ca="1" si="222"/>
        <v>0</v>
      </c>
      <c r="Q607">
        <f t="shared" ca="1" si="223"/>
        <v>0</v>
      </c>
      <c r="R607">
        <f t="shared" ca="1" si="224"/>
        <v>0</v>
      </c>
      <c r="S607">
        <f t="shared" ca="1" si="225"/>
        <v>0</v>
      </c>
      <c r="T607">
        <f t="shared" ca="1" si="226"/>
        <v>0</v>
      </c>
      <c r="U607">
        <f t="shared" ca="1" si="227"/>
        <v>0</v>
      </c>
      <c r="V607">
        <f t="shared" ca="1" si="228"/>
        <v>0</v>
      </c>
      <c r="W607">
        <f t="shared" ca="1" si="229"/>
        <v>0</v>
      </c>
      <c r="X607">
        <f t="shared" ca="1" si="230"/>
        <v>0</v>
      </c>
      <c r="Y607">
        <f t="shared" ca="1" si="231"/>
        <v>0</v>
      </c>
      <c r="Z607">
        <f t="shared" ca="1" si="232"/>
        <v>0</v>
      </c>
      <c r="AA607">
        <f t="shared" ca="1" si="233"/>
        <v>0</v>
      </c>
      <c r="AB607">
        <f t="shared" ca="1" si="234"/>
        <v>0</v>
      </c>
      <c r="AC607">
        <f t="shared" ca="1" si="235"/>
        <v>0</v>
      </c>
      <c r="AD607">
        <f t="shared" ca="1" si="236"/>
        <v>0</v>
      </c>
      <c r="AE607">
        <f t="shared" ca="1" si="237"/>
        <v>0</v>
      </c>
      <c r="AF607">
        <f t="shared" ca="1" si="238"/>
        <v>0</v>
      </c>
      <c r="AG607">
        <f t="shared" ca="1" si="239"/>
        <v>0</v>
      </c>
      <c r="AH607">
        <f t="shared" ca="1" si="240"/>
        <v>0</v>
      </c>
      <c r="AI607">
        <f t="shared" ca="1" si="241"/>
        <v>0</v>
      </c>
      <c r="AJ607">
        <f t="shared" ca="1" si="242"/>
        <v>0</v>
      </c>
      <c r="AK607">
        <f t="shared" ca="1" si="243"/>
        <v>0</v>
      </c>
      <c r="AL607">
        <f t="shared" ca="1" si="244"/>
        <v>0</v>
      </c>
      <c r="AM607">
        <f t="shared" ca="1" si="245"/>
        <v>0</v>
      </c>
      <c r="AN607">
        <f t="shared" ca="1" si="246"/>
        <v>0</v>
      </c>
      <c r="AO607">
        <f t="shared" ca="1" si="247"/>
        <v>0</v>
      </c>
      <c r="AP607">
        <f t="shared" ca="1" si="248"/>
        <v>0</v>
      </c>
    </row>
    <row r="608" spans="8:42" x14ac:dyDescent="0.2">
      <c r="H608" t="s">
        <v>1096</v>
      </c>
      <c r="I608">
        <f t="shared" ca="1" si="215"/>
        <v>0</v>
      </c>
      <c r="J608">
        <f t="shared" ca="1" si="216"/>
        <v>0</v>
      </c>
      <c r="K608">
        <f t="shared" ca="1" si="217"/>
        <v>0</v>
      </c>
      <c r="L608">
        <f t="shared" ca="1" si="218"/>
        <v>0</v>
      </c>
      <c r="M608">
        <f t="shared" ca="1" si="219"/>
        <v>0</v>
      </c>
      <c r="N608">
        <f t="shared" ca="1" si="220"/>
        <v>0</v>
      </c>
      <c r="O608">
        <f t="shared" ca="1" si="221"/>
        <v>0</v>
      </c>
      <c r="P608">
        <f t="shared" ca="1" si="222"/>
        <v>0</v>
      </c>
      <c r="Q608">
        <f t="shared" ca="1" si="223"/>
        <v>0</v>
      </c>
      <c r="R608">
        <f t="shared" ca="1" si="224"/>
        <v>0</v>
      </c>
      <c r="S608">
        <f t="shared" ca="1" si="225"/>
        <v>0</v>
      </c>
      <c r="T608">
        <f t="shared" ca="1" si="226"/>
        <v>0</v>
      </c>
      <c r="U608">
        <f t="shared" ca="1" si="227"/>
        <v>0</v>
      </c>
      <c r="V608">
        <f t="shared" ca="1" si="228"/>
        <v>0</v>
      </c>
      <c r="W608">
        <f t="shared" ca="1" si="229"/>
        <v>0</v>
      </c>
      <c r="X608">
        <f t="shared" ca="1" si="230"/>
        <v>0</v>
      </c>
      <c r="Y608">
        <f t="shared" ca="1" si="231"/>
        <v>0</v>
      </c>
      <c r="Z608">
        <f t="shared" ca="1" si="232"/>
        <v>0</v>
      </c>
      <c r="AA608">
        <f t="shared" ca="1" si="233"/>
        <v>2.9550000000000001</v>
      </c>
      <c r="AB608">
        <f t="shared" ca="1" si="234"/>
        <v>0</v>
      </c>
      <c r="AC608">
        <f t="shared" ca="1" si="235"/>
        <v>0</v>
      </c>
      <c r="AD608">
        <f t="shared" ca="1" si="236"/>
        <v>0</v>
      </c>
      <c r="AE608">
        <f t="shared" ca="1" si="237"/>
        <v>0</v>
      </c>
      <c r="AF608">
        <f t="shared" ca="1" si="238"/>
        <v>0</v>
      </c>
      <c r="AG608">
        <f t="shared" ca="1" si="239"/>
        <v>0</v>
      </c>
      <c r="AH608">
        <f t="shared" ca="1" si="240"/>
        <v>0</v>
      </c>
      <c r="AI608">
        <f t="shared" ca="1" si="241"/>
        <v>0</v>
      </c>
      <c r="AJ608">
        <f t="shared" ca="1" si="242"/>
        <v>0</v>
      </c>
      <c r="AK608">
        <f t="shared" ca="1" si="243"/>
        <v>0</v>
      </c>
      <c r="AL608">
        <f t="shared" ca="1" si="244"/>
        <v>0</v>
      </c>
      <c r="AM608">
        <f t="shared" ca="1" si="245"/>
        <v>0</v>
      </c>
      <c r="AN608">
        <f t="shared" ca="1" si="246"/>
        <v>0</v>
      </c>
      <c r="AO608">
        <f t="shared" ca="1" si="247"/>
        <v>0</v>
      </c>
      <c r="AP608">
        <f t="shared" ca="1" si="248"/>
        <v>0</v>
      </c>
    </row>
    <row r="609" spans="8:42" x14ac:dyDescent="0.2">
      <c r="H609" t="s">
        <v>1095</v>
      </c>
      <c r="I609">
        <f t="shared" ca="1" si="215"/>
        <v>0</v>
      </c>
      <c r="J609">
        <f t="shared" ca="1" si="216"/>
        <v>0</v>
      </c>
      <c r="K609">
        <f t="shared" ca="1" si="217"/>
        <v>0</v>
      </c>
      <c r="L609">
        <f t="shared" ca="1" si="218"/>
        <v>0</v>
      </c>
      <c r="M609">
        <f t="shared" ca="1" si="219"/>
        <v>0</v>
      </c>
      <c r="N609">
        <f t="shared" ca="1" si="220"/>
        <v>0</v>
      </c>
      <c r="O609">
        <f t="shared" ca="1" si="221"/>
        <v>0</v>
      </c>
      <c r="P609">
        <f t="shared" ca="1" si="222"/>
        <v>0</v>
      </c>
      <c r="Q609">
        <f t="shared" ca="1" si="223"/>
        <v>0</v>
      </c>
      <c r="R609">
        <f t="shared" ca="1" si="224"/>
        <v>0</v>
      </c>
      <c r="S609">
        <f t="shared" ca="1" si="225"/>
        <v>0</v>
      </c>
      <c r="T609">
        <f t="shared" ca="1" si="226"/>
        <v>3.2699532304655325</v>
      </c>
      <c r="U609">
        <f t="shared" ca="1" si="227"/>
        <v>0</v>
      </c>
      <c r="V609">
        <f t="shared" ca="1" si="228"/>
        <v>0</v>
      </c>
      <c r="W609">
        <f t="shared" ca="1" si="229"/>
        <v>0</v>
      </c>
      <c r="X609">
        <f t="shared" ca="1" si="230"/>
        <v>0</v>
      </c>
      <c r="Y609">
        <f t="shared" ca="1" si="231"/>
        <v>0</v>
      </c>
      <c r="Z609">
        <f t="shared" ca="1" si="232"/>
        <v>3.8220467695344675</v>
      </c>
      <c r="AA609">
        <f t="shared" ca="1" si="233"/>
        <v>0</v>
      </c>
      <c r="AB609">
        <f t="shared" ca="1" si="234"/>
        <v>0</v>
      </c>
      <c r="AC609">
        <f t="shared" ca="1" si="235"/>
        <v>0</v>
      </c>
      <c r="AD609">
        <f t="shared" ca="1" si="236"/>
        <v>0</v>
      </c>
      <c r="AE609">
        <f t="shared" ca="1" si="237"/>
        <v>0</v>
      </c>
      <c r="AF609">
        <f t="shared" ca="1" si="238"/>
        <v>0</v>
      </c>
      <c r="AG609">
        <f t="shared" ca="1" si="239"/>
        <v>0</v>
      </c>
      <c r="AH609">
        <f t="shared" ca="1" si="240"/>
        <v>0</v>
      </c>
      <c r="AI609">
        <f t="shared" ca="1" si="241"/>
        <v>0</v>
      </c>
      <c r="AJ609">
        <f t="shared" ca="1" si="242"/>
        <v>0</v>
      </c>
      <c r="AK609">
        <f t="shared" ca="1" si="243"/>
        <v>0</v>
      </c>
      <c r="AL609">
        <f t="shared" ca="1" si="244"/>
        <v>0</v>
      </c>
      <c r="AM609">
        <f t="shared" ca="1" si="245"/>
        <v>0</v>
      </c>
      <c r="AN609">
        <f t="shared" ca="1" si="246"/>
        <v>0</v>
      </c>
      <c r="AO609">
        <f t="shared" ca="1" si="247"/>
        <v>0</v>
      </c>
      <c r="AP609">
        <f t="shared" ca="1" si="248"/>
        <v>0</v>
      </c>
    </row>
    <row r="610" spans="8:42" x14ac:dyDescent="0.2">
      <c r="H610" t="s">
        <v>1013</v>
      </c>
      <c r="I610">
        <f t="shared" ca="1" si="215"/>
        <v>0</v>
      </c>
      <c r="J610">
        <f t="shared" ca="1" si="216"/>
        <v>0</v>
      </c>
      <c r="K610">
        <f t="shared" ca="1" si="217"/>
        <v>0</v>
      </c>
      <c r="L610">
        <f t="shared" ca="1" si="218"/>
        <v>0</v>
      </c>
      <c r="M610">
        <f t="shared" ca="1" si="219"/>
        <v>0</v>
      </c>
      <c r="N610">
        <f t="shared" ca="1" si="220"/>
        <v>0</v>
      </c>
      <c r="O610">
        <f t="shared" ca="1" si="221"/>
        <v>0</v>
      </c>
      <c r="P610">
        <f t="shared" ca="1" si="222"/>
        <v>0</v>
      </c>
      <c r="Q610">
        <f t="shared" ca="1" si="223"/>
        <v>0</v>
      </c>
      <c r="R610">
        <f t="shared" ca="1" si="224"/>
        <v>0</v>
      </c>
      <c r="S610">
        <f t="shared" ca="1" si="225"/>
        <v>0</v>
      </c>
      <c r="T610">
        <f t="shared" ca="1" si="226"/>
        <v>4.542594516546548</v>
      </c>
      <c r="U610">
        <f t="shared" ca="1" si="227"/>
        <v>0</v>
      </c>
      <c r="V610">
        <f t="shared" ca="1" si="228"/>
        <v>0</v>
      </c>
      <c r="W610">
        <f t="shared" ca="1" si="229"/>
        <v>0</v>
      </c>
      <c r="X610">
        <f t="shared" ca="1" si="230"/>
        <v>0</v>
      </c>
      <c r="Y610">
        <f t="shared" ca="1" si="231"/>
        <v>3.1735811668957132</v>
      </c>
      <c r="Z610">
        <f t="shared" ca="1" si="232"/>
        <v>0</v>
      </c>
      <c r="AA610">
        <f t="shared" ca="1" si="233"/>
        <v>0</v>
      </c>
      <c r="AB610">
        <f t="shared" ca="1" si="234"/>
        <v>0</v>
      </c>
      <c r="AC610">
        <f t="shared" ca="1" si="235"/>
        <v>0</v>
      </c>
      <c r="AD610">
        <f t="shared" ca="1" si="236"/>
        <v>0</v>
      </c>
      <c r="AE610">
        <f t="shared" ca="1" si="237"/>
        <v>0</v>
      </c>
      <c r="AF610">
        <f t="shared" ca="1" si="238"/>
        <v>0</v>
      </c>
      <c r="AG610">
        <f t="shared" ca="1" si="239"/>
        <v>0</v>
      </c>
      <c r="AH610">
        <f t="shared" ca="1" si="240"/>
        <v>16.763824316557741</v>
      </c>
      <c r="AI610">
        <f t="shared" ca="1" si="241"/>
        <v>0</v>
      </c>
      <c r="AJ610">
        <f t="shared" ca="1" si="242"/>
        <v>0</v>
      </c>
      <c r="AK610">
        <f t="shared" ca="1" si="243"/>
        <v>0</v>
      </c>
      <c r="AL610">
        <f t="shared" ca="1" si="244"/>
        <v>0</v>
      </c>
      <c r="AM610">
        <f t="shared" ca="1" si="245"/>
        <v>0</v>
      </c>
      <c r="AN610">
        <f t="shared" ca="1" si="246"/>
        <v>0</v>
      </c>
      <c r="AO610">
        <f t="shared" ca="1" si="247"/>
        <v>0</v>
      </c>
      <c r="AP610">
        <f t="shared" ca="1" si="248"/>
        <v>0</v>
      </c>
    </row>
    <row r="611" spans="8:42" x14ac:dyDescent="0.2">
      <c r="H611" t="s">
        <v>1157</v>
      </c>
      <c r="I611">
        <f t="shared" ca="1" si="215"/>
        <v>0</v>
      </c>
      <c r="J611">
        <f t="shared" ca="1" si="216"/>
        <v>0</v>
      </c>
      <c r="K611">
        <f t="shared" ca="1" si="217"/>
        <v>0</v>
      </c>
      <c r="L611">
        <f t="shared" ca="1" si="218"/>
        <v>0</v>
      </c>
      <c r="M611">
        <f t="shared" ca="1" si="219"/>
        <v>0</v>
      </c>
      <c r="N611">
        <f t="shared" ca="1" si="220"/>
        <v>0</v>
      </c>
      <c r="O611">
        <f t="shared" ca="1" si="221"/>
        <v>0</v>
      </c>
      <c r="P611">
        <f t="shared" ca="1" si="222"/>
        <v>0</v>
      </c>
      <c r="Q611">
        <f t="shared" ca="1" si="223"/>
        <v>0</v>
      </c>
      <c r="R611">
        <f t="shared" ca="1" si="224"/>
        <v>0</v>
      </c>
      <c r="S611">
        <f t="shared" ca="1" si="225"/>
        <v>0</v>
      </c>
      <c r="T611">
        <f t="shared" ca="1" si="226"/>
        <v>0</v>
      </c>
      <c r="U611">
        <f t="shared" ca="1" si="227"/>
        <v>0</v>
      </c>
      <c r="V611">
        <f t="shared" ca="1" si="228"/>
        <v>0</v>
      </c>
      <c r="W611">
        <f t="shared" ca="1" si="229"/>
        <v>0</v>
      </c>
      <c r="X611">
        <f t="shared" ca="1" si="230"/>
        <v>0</v>
      </c>
      <c r="Y611">
        <f t="shared" ca="1" si="231"/>
        <v>0</v>
      </c>
      <c r="Z611">
        <f t="shared" ca="1" si="232"/>
        <v>0</v>
      </c>
      <c r="AA611">
        <f t="shared" ca="1" si="233"/>
        <v>0</v>
      </c>
      <c r="AB611">
        <f t="shared" ca="1" si="234"/>
        <v>0</v>
      </c>
      <c r="AC611">
        <f t="shared" ca="1" si="235"/>
        <v>0</v>
      </c>
      <c r="AD611">
        <f t="shared" ca="1" si="236"/>
        <v>0</v>
      </c>
      <c r="AE611">
        <f t="shared" ca="1" si="237"/>
        <v>0</v>
      </c>
      <c r="AF611">
        <f t="shared" ca="1" si="238"/>
        <v>0</v>
      </c>
      <c r="AG611">
        <f t="shared" ca="1" si="239"/>
        <v>0</v>
      </c>
      <c r="AH611">
        <f t="shared" ca="1" si="240"/>
        <v>0</v>
      </c>
      <c r="AI611">
        <f t="shared" ca="1" si="241"/>
        <v>0</v>
      </c>
      <c r="AJ611">
        <f t="shared" ca="1" si="242"/>
        <v>0</v>
      </c>
      <c r="AK611">
        <f t="shared" ca="1" si="243"/>
        <v>0</v>
      </c>
      <c r="AL611">
        <f t="shared" ca="1" si="244"/>
        <v>0</v>
      </c>
      <c r="AM611">
        <f t="shared" ca="1" si="245"/>
        <v>0</v>
      </c>
      <c r="AN611">
        <f t="shared" ca="1" si="246"/>
        <v>0</v>
      </c>
      <c r="AO611">
        <f t="shared" ca="1" si="247"/>
        <v>0</v>
      </c>
      <c r="AP611">
        <f t="shared" ca="1" si="248"/>
        <v>0</v>
      </c>
    </row>
    <row r="612" spans="8:42" x14ac:dyDescent="0.2">
      <c r="H612" t="s">
        <v>1107</v>
      </c>
      <c r="I612">
        <f t="shared" ca="1" si="215"/>
        <v>0</v>
      </c>
      <c r="J612">
        <f t="shared" ca="1" si="216"/>
        <v>0</v>
      </c>
      <c r="K612">
        <f t="shared" ca="1" si="217"/>
        <v>0</v>
      </c>
      <c r="L612">
        <f t="shared" ca="1" si="218"/>
        <v>0</v>
      </c>
      <c r="M612">
        <f t="shared" ca="1" si="219"/>
        <v>0</v>
      </c>
      <c r="N612">
        <f t="shared" ca="1" si="220"/>
        <v>0</v>
      </c>
      <c r="O612">
        <f t="shared" ca="1" si="221"/>
        <v>0</v>
      </c>
      <c r="P612">
        <f t="shared" ca="1" si="222"/>
        <v>0</v>
      </c>
      <c r="Q612">
        <f t="shared" ca="1" si="223"/>
        <v>0</v>
      </c>
      <c r="R612">
        <f t="shared" ca="1" si="224"/>
        <v>0</v>
      </c>
      <c r="S612">
        <f t="shared" ca="1" si="225"/>
        <v>0</v>
      </c>
      <c r="T612">
        <f t="shared" ca="1" si="226"/>
        <v>0</v>
      </c>
      <c r="U612">
        <f t="shared" ca="1" si="227"/>
        <v>0</v>
      </c>
      <c r="V612">
        <f t="shared" ca="1" si="228"/>
        <v>0</v>
      </c>
      <c r="W612">
        <f t="shared" ca="1" si="229"/>
        <v>0</v>
      </c>
      <c r="X612">
        <f t="shared" ca="1" si="230"/>
        <v>2.9550000000000001</v>
      </c>
      <c r="Y612">
        <f t="shared" ca="1" si="231"/>
        <v>0</v>
      </c>
      <c r="Z612">
        <f t="shared" ca="1" si="232"/>
        <v>0</v>
      </c>
      <c r="AA612">
        <f t="shared" ca="1" si="233"/>
        <v>0</v>
      </c>
      <c r="AB612">
        <f t="shared" ca="1" si="234"/>
        <v>0</v>
      </c>
      <c r="AC612">
        <f t="shared" ca="1" si="235"/>
        <v>0</v>
      </c>
      <c r="AD612">
        <f t="shared" ca="1" si="236"/>
        <v>0</v>
      </c>
      <c r="AE612">
        <f t="shared" ca="1" si="237"/>
        <v>0</v>
      </c>
      <c r="AF612">
        <f t="shared" ca="1" si="238"/>
        <v>0</v>
      </c>
      <c r="AG612">
        <f t="shared" ca="1" si="239"/>
        <v>0</v>
      </c>
      <c r="AH612">
        <f t="shared" ca="1" si="240"/>
        <v>0</v>
      </c>
      <c r="AI612">
        <f t="shared" ca="1" si="241"/>
        <v>0</v>
      </c>
      <c r="AJ612">
        <f t="shared" ca="1" si="242"/>
        <v>0</v>
      </c>
      <c r="AK612">
        <f t="shared" ca="1" si="243"/>
        <v>0</v>
      </c>
      <c r="AL612">
        <f t="shared" ca="1" si="244"/>
        <v>0</v>
      </c>
      <c r="AM612">
        <f t="shared" ca="1" si="245"/>
        <v>0</v>
      </c>
      <c r="AN612">
        <f t="shared" ca="1" si="246"/>
        <v>0</v>
      </c>
      <c r="AO612">
        <f t="shared" ca="1" si="247"/>
        <v>0</v>
      </c>
      <c r="AP612">
        <f t="shared" ca="1" si="248"/>
        <v>0</v>
      </c>
    </row>
    <row r="613" spans="8:42" x14ac:dyDescent="0.2">
      <c r="H613" t="s">
        <v>1021</v>
      </c>
      <c r="I613">
        <f t="shared" ca="1" si="215"/>
        <v>0</v>
      </c>
      <c r="J613">
        <f t="shared" ca="1" si="216"/>
        <v>0</v>
      </c>
      <c r="K613">
        <f t="shared" ca="1" si="217"/>
        <v>0</v>
      </c>
      <c r="L613">
        <f t="shared" ca="1" si="218"/>
        <v>0</v>
      </c>
      <c r="M613">
        <f t="shared" ca="1" si="219"/>
        <v>0</v>
      </c>
      <c r="N613">
        <f t="shared" ca="1" si="220"/>
        <v>0</v>
      </c>
      <c r="O613">
        <f t="shared" ca="1" si="221"/>
        <v>0</v>
      </c>
      <c r="P613">
        <f t="shared" ca="1" si="222"/>
        <v>0</v>
      </c>
      <c r="Q613">
        <f t="shared" ca="1" si="223"/>
        <v>0</v>
      </c>
      <c r="R613">
        <f t="shared" ca="1" si="224"/>
        <v>0</v>
      </c>
      <c r="S613">
        <f t="shared" ca="1" si="225"/>
        <v>0</v>
      </c>
      <c r="T613">
        <f t="shared" ca="1" si="226"/>
        <v>23.759999999999998</v>
      </c>
      <c r="U613">
        <f t="shared" ca="1" si="227"/>
        <v>0</v>
      </c>
      <c r="V613">
        <f t="shared" ca="1" si="228"/>
        <v>0</v>
      </c>
      <c r="W613">
        <f t="shared" ca="1" si="229"/>
        <v>0</v>
      </c>
      <c r="X613">
        <f t="shared" ca="1" si="230"/>
        <v>0</v>
      </c>
      <c r="Y613">
        <f t="shared" ca="1" si="231"/>
        <v>0</v>
      </c>
      <c r="Z613">
        <f t="shared" ca="1" si="232"/>
        <v>0</v>
      </c>
      <c r="AA613">
        <f t="shared" ca="1" si="233"/>
        <v>0</v>
      </c>
      <c r="AB613">
        <f t="shared" ca="1" si="234"/>
        <v>0</v>
      </c>
      <c r="AC613">
        <f t="shared" ca="1" si="235"/>
        <v>0</v>
      </c>
      <c r="AD613">
        <f t="shared" ca="1" si="236"/>
        <v>0</v>
      </c>
      <c r="AE613">
        <f t="shared" ca="1" si="237"/>
        <v>0</v>
      </c>
      <c r="AF613">
        <f t="shared" ca="1" si="238"/>
        <v>0</v>
      </c>
      <c r="AG613">
        <f t="shared" ca="1" si="239"/>
        <v>0</v>
      </c>
      <c r="AH613">
        <f t="shared" ca="1" si="240"/>
        <v>0</v>
      </c>
      <c r="AI613">
        <f t="shared" ca="1" si="241"/>
        <v>0</v>
      </c>
      <c r="AJ613">
        <f t="shared" ca="1" si="242"/>
        <v>0</v>
      </c>
      <c r="AK613">
        <f t="shared" ca="1" si="243"/>
        <v>0</v>
      </c>
      <c r="AL613">
        <f t="shared" ca="1" si="244"/>
        <v>0</v>
      </c>
      <c r="AM613">
        <f t="shared" ca="1" si="245"/>
        <v>0</v>
      </c>
      <c r="AN613">
        <f t="shared" ca="1" si="246"/>
        <v>0</v>
      </c>
      <c r="AO613">
        <f t="shared" ca="1" si="247"/>
        <v>0</v>
      </c>
      <c r="AP613">
        <f t="shared" ca="1" si="248"/>
        <v>0</v>
      </c>
    </row>
    <row r="614" spans="8:42" x14ac:dyDescent="0.2">
      <c r="H614" t="s">
        <v>1000</v>
      </c>
      <c r="I614">
        <f t="shared" ca="1" si="215"/>
        <v>0</v>
      </c>
      <c r="J614">
        <f t="shared" ca="1" si="216"/>
        <v>0</v>
      </c>
      <c r="K614">
        <f t="shared" ca="1" si="217"/>
        <v>0</v>
      </c>
      <c r="L614">
        <f t="shared" ca="1" si="218"/>
        <v>0</v>
      </c>
      <c r="M614">
        <f t="shared" ca="1" si="219"/>
        <v>0</v>
      </c>
      <c r="N614">
        <f t="shared" ca="1" si="220"/>
        <v>0</v>
      </c>
      <c r="O614">
        <f t="shared" ca="1" si="221"/>
        <v>0</v>
      </c>
      <c r="P614">
        <f t="shared" ca="1" si="222"/>
        <v>0</v>
      </c>
      <c r="Q614">
        <f t="shared" ca="1" si="223"/>
        <v>0</v>
      </c>
      <c r="R614">
        <f t="shared" ca="1" si="224"/>
        <v>0</v>
      </c>
      <c r="S614">
        <f t="shared" ca="1" si="225"/>
        <v>0</v>
      </c>
      <c r="T614">
        <f t="shared" ca="1" si="226"/>
        <v>0</v>
      </c>
      <c r="U614">
        <f t="shared" ca="1" si="227"/>
        <v>0</v>
      </c>
      <c r="V614">
        <f t="shared" ca="1" si="228"/>
        <v>0</v>
      </c>
      <c r="W614">
        <f t="shared" ca="1" si="229"/>
        <v>0</v>
      </c>
      <c r="X614">
        <f t="shared" ca="1" si="230"/>
        <v>0</v>
      </c>
      <c r="Y614">
        <f t="shared" ca="1" si="231"/>
        <v>0</v>
      </c>
      <c r="Z614">
        <f t="shared" ca="1" si="232"/>
        <v>0</v>
      </c>
      <c r="AA614">
        <f t="shared" ca="1" si="233"/>
        <v>0</v>
      </c>
      <c r="AB614">
        <f t="shared" ca="1" si="234"/>
        <v>0</v>
      </c>
      <c r="AC614">
        <f t="shared" ca="1" si="235"/>
        <v>0</v>
      </c>
      <c r="AD614">
        <f t="shared" ca="1" si="236"/>
        <v>0</v>
      </c>
      <c r="AE614">
        <f t="shared" ca="1" si="237"/>
        <v>0</v>
      </c>
      <c r="AF614">
        <f t="shared" ca="1" si="238"/>
        <v>0</v>
      </c>
      <c r="AG614">
        <f t="shared" ca="1" si="239"/>
        <v>0</v>
      </c>
      <c r="AH614">
        <f t="shared" ca="1" si="240"/>
        <v>28.56</v>
      </c>
      <c r="AI614">
        <f t="shared" ca="1" si="241"/>
        <v>0</v>
      </c>
      <c r="AJ614">
        <f t="shared" ca="1" si="242"/>
        <v>0</v>
      </c>
      <c r="AK614">
        <f t="shared" ca="1" si="243"/>
        <v>0</v>
      </c>
      <c r="AL614">
        <f t="shared" ca="1" si="244"/>
        <v>0</v>
      </c>
      <c r="AM614">
        <f t="shared" ca="1" si="245"/>
        <v>0</v>
      </c>
      <c r="AN614">
        <f t="shared" ca="1" si="246"/>
        <v>0</v>
      </c>
      <c r="AO614">
        <f t="shared" ca="1" si="247"/>
        <v>0</v>
      </c>
      <c r="AP614">
        <f t="shared" ca="1" si="248"/>
        <v>0</v>
      </c>
    </row>
    <row r="615" spans="8:42" x14ac:dyDescent="0.2">
      <c r="H615" t="s">
        <v>1158</v>
      </c>
      <c r="I615">
        <f t="shared" ca="1" si="215"/>
        <v>0</v>
      </c>
      <c r="J615">
        <f t="shared" ca="1" si="216"/>
        <v>0</v>
      </c>
      <c r="K615">
        <f t="shared" ca="1" si="217"/>
        <v>0</v>
      </c>
      <c r="L615">
        <f t="shared" ca="1" si="218"/>
        <v>0</v>
      </c>
      <c r="M615">
        <f t="shared" ca="1" si="219"/>
        <v>0</v>
      </c>
      <c r="N615">
        <f t="shared" ca="1" si="220"/>
        <v>0</v>
      </c>
      <c r="O615">
        <f t="shared" ca="1" si="221"/>
        <v>0</v>
      </c>
      <c r="P615">
        <f t="shared" ca="1" si="222"/>
        <v>0</v>
      </c>
      <c r="Q615">
        <f t="shared" ca="1" si="223"/>
        <v>0</v>
      </c>
      <c r="R615">
        <f t="shared" ca="1" si="224"/>
        <v>0</v>
      </c>
      <c r="S615">
        <f t="shared" ca="1" si="225"/>
        <v>0</v>
      </c>
      <c r="T615">
        <f t="shared" ca="1" si="226"/>
        <v>0</v>
      </c>
      <c r="U615">
        <f t="shared" ca="1" si="227"/>
        <v>0</v>
      </c>
      <c r="V615">
        <f t="shared" ca="1" si="228"/>
        <v>0</v>
      </c>
      <c r="W615">
        <f t="shared" ca="1" si="229"/>
        <v>0</v>
      </c>
      <c r="X615">
        <f t="shared" ca="1" si="230"/>
        <v>0</v>
      </c>
      <c r="Y615">
        <f t="shared" ca="1" si="231"/>
        <v>0</v>
      </c>
      <c r="Z615">
        <f t="shared" ca="1" si="232"/>
        <v>0</v>
      </c>
      <c r="AA615">
        <f t="shared" ca="1" si="233"/>
        <v>0</v>
      </c>
      <c r="AB615">
        <f t="shared" ca="1" si="234"/>
        <v>0</v>
      </c>
      <c r="AC615">
        <f t="shared" ca="1" si="235"/>
        <v>0</v>
      </c>
      <c r="AD615">
        <f t="shared" ca="1" si="236"/>
        <v>0</v>
      </c>
      <c r="AE615">
        <f t="shared" ca="1" si="237"/>
        <v>0</v>
      </c>
      <c r="AF615">
        <f t="shared" ca="1" si="238"/>
        <v>0</v>
      </c>
      <c r="AG615">
        <f t="shared" ca="1" si="239"/>
        <v>0</v>
      </c>
      <c r="AH615">
        <f t="shared" ca="1" si="240"/>
        <v>0</v>
      </c>
      <c r="AI615">
        <f t="shared" ca="1" si="241"/>
        <v>0</v>
      </c>
      <c r="AJ615">
        <f t="shared" ca="1" si="242"/>
        <v>0</v>
      </c>
      <c r="AK615">
        <f t="shared" ca="1" si="243"/>
        <v>0</v>
      </c>
      <c r="AL615">
        <f t="shared" ca="1" si="244"/>
        <v>0</v>
      </c>
      <c r="AM615">
        <f t="shared" ca="1" si="245"/>
        <v>0</v>
      </c>
      <c r="AN615">
        <f t="shared" ca="1" si="246"/>
        <v>0</v>
      </c>
      <c r="AO615">
        <f t="shared" ca="1" si="247"/>
        <v>0</v>
      </c>
      <c r="AP615">
        <f t="shared" ca="1" si="248"/>
        <v>0</v>
      </c>
    </row>
    <row r="616" spans="8:42" x14ac:dyDescent="0.2">
      <c r="H616" t="s">
        <v>1083</v>
      </c>
      <c r="I616">
        <f t="shared" ca="1" si="215"/>
        <v>3.7725538236653473</v>
      </c>
      <c r="J616">
        <f t="shared" ca="1" si="216"/>
        <v>0</v>
      </c>
      <c r="K616">
        <f t="shared" ca="1" si="217"/>
        <v>0</v>
      </c>
      <c r="L616">
        <f t="shared" ca="1" si="218"/>
        <v>0</v>
      </c>
      <c r="M616">
        <f t="shared" ca="1" si="219"/>
        <v>0</v>
      </c>
      <c r="N616">
        <f t="shared" ca="1" si="220"/>
        <v>0</v>
      </c>
      <c r="O616">
        <f t="shared" ca="1" si="221"/>
        <v>0</v>
      </c>
      <c r="P616">
        <f t="shared" ca="1" si="222"/>
        <v>0</v>
      </c>
      <c r="Q616">
        <f t="shared" ca="1" si="223"/>
        <v>0</v>
      </c>
      <c r="R616">
        <f t="shared" ca="1" si="224"/>
        <v>0.93107533635214179</v>
      </c>
      <c r="S616">
        <f t="shared" ca="1" si="225"/>
        <v>0</v>
      </c>
      <c r="T616">
        <f t="shared" ca="1" si="226"/>
        <v>0</v>
      </c>
      <c r="U616">
        <f t="shared" ca="1" si="227"/>
        <v>0</v>
      </c>
      <c r="V616">
        <f t="shared" ca="1" si="228"/>
        <v>0</v>
      </c>
      <c r="W616">
        <f t="shared" ca="1" si="229"/>
        <v>0</v>
      </c>
      <c r="X616">
        <f t="shared" ca="1" si="230"/>
        <v>3.0080257308519278</v>
      </c>
      <c r="Y616">
        <f t="shared" ca="1" si="231"/>
        <v>2.2065624445914973</v>
      </c>
      <c r="Z616">
        <f t="shared" ca="1" si="232"/>
        <v>0</v>
      </c>
      <c r="AA616">
        <f t="shared" ca="1" si="233"/>
        <v>0</v>
      </c>
      <c r="AB616">
        <f t="shared" ca="1" si="234"/>
        <v>0</v>
      </c>
      <c r="AC616">
        <f t="shared" ca="1" si="235"/>
        <v>0</v>
      </c>
      <c r="AD616">
        <f t="shared" ca="1" si="236"/>
        <v>0</v>
      </c>
      <c r="AE616">
        <f t="shared" ca="1" si="237"/>
        <v>0</v>
      </c>
      <c r="AF616">
        <f t="shared" ca="1" si="238"/>
        <v>0</v>
      </c>
      <c r="AG616">
        <f t="shared" ca="1" si="239"/>
        <v>0.72655719438595845</v>
      </c>
      <c r="AH616">
        <f t="shared" ca="1" si="240"/>
        <v>0</v>
      </c>
      <c r="AI616">
        <f t="shared" ca="1" si="241"/>
        <v>0</v>
      </c>
      <c r="AJ616">
        <f t="shared" ca="1" si="242"/>
        <v>0</v>
      </c>
      <c r="AK616">
        <f t="shared" ca="1" si="243"/>
        <v>4.1844214279740042</v>
      </c>
      <c r="AL616">
        <f t="shared" ca="1" si="244"/>
        <v>2.9008040421791241</v>
      </c>
      <c r="AM616">
        <f t="shared" ca="1" si="245"/>
        <v>0</v>
      </c>
      <c r="AN616">
        <f t="shared" ca="1" si="246"/>
        <v>0</v>
      </c>
      <c r="AO616">
        <f t="shared" ca="1" si="247"/>
        <v>0</v>
      </c>
      <c r="AP616">
        <f t="shared" ca="1" si="248"/>
        <v>0</v>
      </c>
    </row>
    <row r="617" spans="8:42" x14ac:dyDescent="0.2">
      <c r="H617" t="s">
        <v>1063</v>
      </c>
      <c r="I617">
        <f t="shared" ca="1" si="215"/>
        <v>1.7907137097476142</v>
      </c>
      <c r="J617">
        <f t="shared" ca="1" si="216"/>
        <v>0</v>
      </c>
      <c r="K617">
        <f t="shared" ca="1" si="217"/>
        <v>0</v>
      </c>
      <c r="L617">
        <f t="shared" ca="1" si="218"/>
        <v>0</v>
      </c>
      <c r="M617">
        <f t="shared" ca="1" si="219"/>
        <v>0</v>
      </c>
      <c r="N617">
        <f t="shared" ca="1" si="220"/>
        <v>0</v>
      </c>
      <c r="O617">
        <f t="shared" ca="1" si="221"/>
        <v>0</v>
      </c>
      <c r="P617">
        <f t="shared" ca="1" si="222"/>
        <v>0</v>
      </c>
      <c r="Q617">
        <f t="shared" ca="1" si="223"/>
        <v>0</v>
      </c>
      <c r="R617">
        <f t="shared" ca="1" si="224"/>
        <v>0</v>
      </c>
      <c r="S617">
        <f t="shared" ca="1" si="225"/>
        <v>0</v>
      </c>
      <c r="T617">
        <f t="shared" ca="1" si="226"/>
        <v>0</v>
      </c>
      <c r="U617">
        <f t="shared" ca="1" si="227"/>
        <v>0</v>
      </c>
      <c r="V617">
        <f t="shared" ca="1" si="228"/>
        <v>0</v>
      </c>
      <c r="W617">
        <f t="shared" ca="1" si="229"/>
        <v>0</v>
      </c>
      <c r="X617">
        <f t="shared" ca="1" si="230"/>
        <v>2.0847627817470413</v>
      </c>
      <c r="Y617">
        <f t="shared" ca="1" si="231"/>
        <v>1.0266467967742829</v>
      </c>
      <c r="Z617">
        <f t="shared" ca="1" si="232"/>
        <v>0</v>
      </c>
      <c r="AA617">
        <f t="shared" ca="1" si="233"/>
        <v>0</v>
      </c>
      <c r="AB617">
        <f t="shared" ca="1" si="234"/>
        <v>0</v>
      </c>
      <c r="AC617">
        <f t="shared" ca="1" si="235"/>
        <v>0</v>
      </c>
      <c r="AD617">
        <f t="shared" ca="1" si="236"/>
        <v>0</v>
      </c>
      <c r="AE617">
        <f t="shared" ca="1" si="237"/>
        <v>0</v>
      </c>
      <c r="AF617">
        <f t="shared" ca="1" si="238"/>
        <v>0</v>
      </c>
      <c r="AG617">
        <f t="shared" ca="1" si="239"/>
        <v>0.71365486413905366</v>
      </c>
      <c r="AH617">
        <f t="shared" ca="1" si="240"/>
        <v>0</v>
      </c>
      <c r="AI617">
        <f t="shared" ca="1" si="241"/>
        <v>0</v>
      </c>
      <c r="AJ617">
        <f t="shared" ca="1" si="242"/>
        <v>0</v>
      </c>
      <c r="AK617">
        <f t="shared" ca="1" si="243"/>
        <v>1.9932843963484121</v>
      </c>
      <c r="AL617">
        <f t="shared" ca="1" si="244"/>
        <v>1.3909374512435946</v>
      </c>
      <c r="AM617">
        <f t="shared" ca="1" si="245"/>
        <v>0</v>
      </c>
      <c r="AN617">
        <f t="shared" ca="1" si="246"/>
        <v>0</v>
      </c>
      <c r="AO617">
        <f t="shared" ca="1" si="247"/>
        <v>0</v>
      </c>
      <c r="AP617">
        <f t="shared" ca="1" si="248"/>
        <v>0</v>
      </c>
    </row>
    <row r="618" spans="8:42" x14ac:dyDescent="0.2">
      <c r="H618" t="s">
        <v>1159</v>
      </c>
      <c r="I618">
        <f t="shared" ca="1" si="215"/>
        <v>0</v>
      </c>
      <c r="J618">
        <f t="shared" ca="1" si="216"/>
        <v>0</v>
      </c>
      <c r="K618">
        <f t="shared" ca="1" si="217"/>
        <v>0</v>
      </c>
      <c r="L618">
        <f t="shared" ca="1" si="218"/>
        <v>0</v>
      </c>
      <c r="M618">
        <f t="shared" ca="1" si="219"/>
        <v>0</v>
      </c>
      <c r="N618">
        <f t="shared" ca="1" si="220"/>
        <v>0</v>
      </c>
      <c r="O618">
        <f t="shared" ca="1" si="221"/>
        <v>0</v>
      </c>
      <c r="P618">
        <f t="shared" ca="1" si="222"/>
        <v>0</v>
      </c>
      <c r="Q618">
        <f t="shared" ca="1" si="223"/>
        <v>0</v>
      </c>
      <c r="R618">
        <f t="shared" ca="1" si="224"/>
        <v>0</v>
      </c>
      <c r="S618">
        <f t="shared" ca="1" si="225"/>
        <v>0</v>
      </c>
      <c r="T618">
        <f t="shared" ca="1" si="226"/>
        <v>0</v>
      </c>
      <c r="U618">
        <f t="shared" ca="1" si="227"/>
        <v>0</v>
      </c>
      <c r="V618">
        <f t="shared" ca="1" si="228"/>
        <v>0</v>
      </c>
      <c r="W618">
        <f t="shared" ca="1" si="229"/>
        <v>0</v>
      </c>
      <c r="X618">
        <f t="shared" ca="1" si="230"/>
        <v>0</v>
      </c>
      <c r="Y618">
        <f t="shared" ca="1" si="231"/>
        <v>0</v>
      </c>
      <c r="Z618">
        <f t="shared" ca="1" si="232"/>
        <v>0</v>
      </c>
      <c r="AA618">
        <f t="shared" ca="1" si="233"/>
        <v>0</v>
      </c>
      <c r="AB618">
        <f t="shared" ca="1" si="234"/>
        <v>0</v>
      </c>
      <c r="AC618">
        <f t="shared" ca="1" si="235"/>
        <v>0</v>
      </c>
      <c r="AD618">
        <f t="shared" ca="1" si="236"/>
        <v>0</v>
      </c>
      <c r="AE618">
        <f t="shared" ca="1" si="237"/>
        <v>0</v>
      </c>
      <c r="AF618">
        <f t="shared" ca="1" si="238"/>
        <v>0</v>
      </c>
      <c r="AG618">
        <f t="shared" ca="1" si="239"/>
        <v>0</v>
      </c>
      <c r="AH618">
        <f t="shared" ca="1" si="240"/>
        <v>0</v>
      </c>
      <c r="AI618">
        <f t="shared" ca="1" si="241"/>
        <v>0</v>
      </c>
      <c r="AJ618">
        <f t="shared" ca="1" si="242"/>
        <v>0</v>
      </c>
      <c r="AK618">
        <f t="shared" ca="1" si="243"/>
        <v>0</v>
      </c>
      <c r="AL618">
        <f t="shared" ca="1" si="244"/>
        <v>0</v>
      </c>
      <c r="AM618">
        <f t="shared" ca="1" si="245"/>
        <v>0</v>
      </c>
      <c r="AN618">
        <f t="shared" ca="1" si="246"/>
        <v>0</v>
      </c>
      <c r="AO618">
        <f t="shared" ca="1" si="247"/>
        <v>0</v>
      </c>
      <c r="AP618">
        <f t="shared" ca="1" si="248"/>
        <v>0</v>
      </c>
    </row>
    <row r="619" spans="8:42" x14ac:dyDescent="0.2">
      <c r="H619" t="s">
        <v>1160</v>
      </c>
      <c r="I619">
        <f t="shared" ca="1" si="215"/>
        <v>0</v>
      </c>
      <c r="J619">
        <f t="shared" ca="1" si="216"/>
        <v>0</v>
      </c>
      <c r="K619">
        <f t="shared" ca="1" si="217"/>
        <v>0</v>
      </c>
      <c r="L619">
        <f t="shared" ca="1" si="218"/>
        <v>0</v>
      </c>
      <c r="M619">
        <f t="shared" ca="1" si="219"/>
        <v>0</v>
      </c>
      <c r="N619">
        <f t="shared" ca="1" si="220"/>
        <v>0</v>
      </c>
      <c r="O619">
        <f t="shared" ca="1" si="221"/>
        <v>0</v>
      </c>
      <c r="P619">
        <f t="shared" ca="1" si="222"/>
        <v>0</v>
      </c>
      <c r="Q619">
        <f t="shared" ca="1" si="223"/>
        <v>0</v>
      </c>
      <c r="R619">
        <f t="shared" ca="1" si="224"/>
        <v>0</v>
      </c>
      <c r="S619">
        <f t="shared" ca="1" si="225"/>
        <v>0</v>
      </c>
      <c r="T619">
        <f t="shared" ca="1" si="226"/>
        <v>0</v>
      </c>
      <c r="U619">
        <f t="shared" ca="1" si="227"/>
        <v>0</v>
      </c>
      <c r="V619">
        <f t="shared" ca="1" si="228"/>
        <v>0</v>
      </c>
      <c r="W619">
        <f t="shared" ca="1" si="229"/>
        <v>0</v>
      </c>
      <c r="X619">
        <f t="shared" ca="1" si="230"/>
        <v>0</v>
      </c>
      <c r="Y619">
        <f t="shared" ca="1" si="231"/>
        <v>0</v>
      </c>
      <c r="Z619">
        <f t="shared" ca="1" si="232"/>
        <v>0</v>
      </c>
      <c r="AA619">
        <f t="shared" ca="1" si="233"/>
        <v>0</v>
      </c>
      <c r="AB619">
        <f t="shared" ca="1" si="234"/>
        <v>0</v>
      </c>
      <c r="AC619">
        <f t="shared" ca="1" si="235"/>
        <v>0</v>
      </c>
      <c r="AD619">
        <f t="shared" ca="1" si="236"/>
        <v>0</v>
      </c>
      <c r="AE619">
        <f t="shared" ca="1" si="237"/>
        <v>0</v>
      </c>
      <c r="AF619">
        <f t="shared" ca="1" si="238"/>
        <v>0</v>
      </c>
      <c r="AG619">
        <f t="shared" ca="1" si="239"/>
        <v>0</v>
      </c>
      <c r="AH619">
        <f t="shared" ca="1" si="240"/>
        <v>0</v>
      </c>
      <c r="AI619">
        <f t="shared" ca="1" si="241"/>
        <v>0</v>
      </c>
      <c r="AJ619">
        <f t="shared" ca="1" si="242"/>
        <v>0</v>
      </c>
      <c r="AK619">
        <f t="shared" ca="1" si="243"/>
        <v>0</v>
      </c>
      <c r="AL619">
        <f t="shared" ca="1" si="244"/>
        <v>0</v>
      </c>
      <c r="AM619">
        <f t="shared" ca="1" si="245"/>
        <v>0</v>
      </c>
      <c r="AN619">
        <f t="shared" ca="1" si="246"/>
        <v>0</v>
      </c>
      <c r="AO619">
        <f t="shared" ca="1" si="247"/>
        <v>0</v>
      </c>
      <c r="AP619">
        <f t="shared" ca="1" si="248"/>
        <v>0</v>
      </c>
    </row>
    <row r="620" spans="8:42" x14ac:dyDescent="0.2">
      <c r="H620" t="s">
        <v>1006</v>
      </c>
      <c r="I620">
        <f t="shared" ca="1" si="215"/>
        <v>12.24</v>
      </c>
      <c r="J620">
        <f t="shared" ca="1" si="216"/>
        <v>0</v>
      </c>
      <c r="K620">
        <f t="shared" ca="1" si="217"/>
        <v>0</v>
      </c>
      <c r="L620">
        <f t="shared" ca="1" si="218"/>
        <v>0</v>
      </c>
      <c r="M620">
        <f t="shared" ca="1" si="219"/>
        <v>0</v>
      </c>
      <c r="N620">
        <f t="shared" ca="1" si="220"/>
        <v>0</v>
      </c>
      <c r="O620">
        <f t="shared" ca="1" si="221"/>
        <v>0</v>
      </c>
      <c r="P620">
        <f t="shared" ca="1" si="222"/>
        <v>0</v>
      </c>
      <c r="Q620">
        <f t="shared" ca="1" si="223"/>
        <v>0</v>
      </c>
      <c r="R620">
        <f t="shared" ca="1" si="224"/>
        <v>0</v>
      </c>
      <c r="S620">
        <f t="shared" ca="1" si="225"/>
        <v>0</v>
      </c>
      <c r="T620">
        <f t="shared" ca="1" si="226"/>
        <v>0</v>
      </c>
      <c r="U620">
        <f t="shared" ca="1" si="227"/>
        <v>0</v>
      </c>
      <c r="V620">
        <f t="shared" ca="1" si="228"/>
        <v>0</v>
      </c>
      <c r="W620">
        <f t="shared" ca="1" si="229"/>
        <v>0</v>
      </c>
      <c r="X620">
        <f t="shared" ca="1" si="230"/>
        <v>0</v>
      </c>
      <c r="Y620">
        <f t="shared" ca="1" si="231"/>
        <v>0</v>
      </c>
      <c r="Z620">
        <f t="shared" ca="1" si="232"/>
        <v>0</v>
      </c>
      <c r="AA620">
        <f t="shared" ca="1" si="233"/>
        <v>0</v>
      </c>
      <c r="AB620">
        <f t="shared" ca="1" si="234"/>
        <v>0</v>
      </c>
      <c r="AC620">
        <f t="shared" ca="1" si="235"/>
        <v>0</v>
      </c>
      <c r="AD620">
        <f t="shared" ca="1" si="236"/>
        <v>0</v>
      </c>
      <c r="AE620">
        <f t="shared" ca="1" si="237"/>
        <v>0</v>
      </c>
      <c r="AF620">
        <f t="shared" ca="1" si="238"/>
        <v>0</v>
      </c>
      <c r="AG620">
        <f t="shared" ca="1" si="239"/>
        <v>0</v>
      </c>
      <c r="AH620">
        <f t="shared" ca="1" si="240"/>
        <v>0</v>
      </c>
      <c r="AI620">
        <f t="shared" ca="1" si="241"/>
        <v>0</v>
      </c>
      <c r="AJ620">
        <f t="shared" ca="1" si="242"/>
        <v>0</v>
      </c>
      <c r="AK620">
        <f t="shared" ca="1" si="243"/>
        <v>0</v>
      </c>
      <c r="AL620">
        <f t="shared" ca="1" si="244"/>
        <v>0</v>
      </c>
      <c r="AM620">
        <f t="shared" ca="1" si="245"/>
        <v>0</v>
      </c>
      <c r="AN620">
        <f t="shared" ca="1" si="246"/>
        <v>0</v>
      </c>
      <c r="AO620">
        <f t="shared" ca="1" si="247"/>
        <v>0</v>
      </c>
      <c r="AP620">
        <f t="shared" ca="1" si="248"/>
        <v>0</v>
      </c>
    </row>
    <row r="621" spans="8:42" x14ac:dyDescent="0.2">
      <c r="H621" t="s">
        <v>1084</v>
      </c>
      <c r="I621">
        <f t="shared" ca="1" si="215"/>
        <v>0</v>
      </c>
      <c r="J621">
        <f t="shared" ca="1" si="216"/>
        <v>0</v>
      </c>
      <c r="K621">
        <f t="shared" ca="1" si="217"/>
        <v>0</v>
      </c>
      <c r="L621">
        <f t="shared" ca="1" si="218"/>
        <v>0</v>
      </c>
      <c r="M621">
        <f t="shared" ca="1" si="219"/>
        <v>5.2812637091643891E-3</v>
      </c>
      <c r="N621">
        <f t="shared" ca="1" si="220"/>
        <v>0</v>
      </c>
      <c r="O621">
        <f t="shared" ca="1" si="221"/>
        <v>0</v>
      </c>
      <c r="P621">
        <f t="shared" ca="1" si="222"/>
        <v>0</v>
      </c>
      <c r="Q621">
        <f t="shared" ca="1" si="223"/>
        <v>1.1798906035643972</v>
      </c>
      <c r="R621">
        <f t="shared" ca="1" si="224"/>
        <v>0</v>
      </c>
      <c r="S621">
        <f t="shared" ca="1" si="225"/>
        <v>0</v>
      </c>
      <c r="T621">
        <f t="shared" ca="1" si="226"/>
        <v>0.82419062031086143</v>
      </c>
      <c r="U621">
        <f t="shared" ca="1" si="227"/>
        <v>0.65556802129580516</v>
      </c>
      <c r="V621">
        <f t="shared" ca="1" si="228"/>
        <v>0.80821471734040151</v>
      </c>
      <c r="W621">
        <f t="shared" ca="1" si="229"/>
        <v>0</v>
      </c>
      <c r="X621">
        <f t="shared" ca="1" si="230"/>
        <v>0</v>
      </c>
      <c r="Y621">
        <f t="shared" ca="1" si="231"/>
        <v>0</v>
      </c>
      <c r="Z621">
        <f t="shared" ca="1" si="232"/>
        <v>0</v>
      </c>
      <c r="AA621">
        <f t="shared" ca="1" si="233"/>
        <v>0</v>
      </c>
      <c r="AB621">
        <f t="shared" ca="1" si="234"/>
        <v>0</v>
      </c>
      <c r="AC621">
        <f t="shared" ca="1" si="235"/>
        <v>0</v>
      </c>
      <c r="AD621">
        <f t="shared" ca="1" si="236"/>
        <v>0</v>
      </c>
      <c r="AE621">
        <f t="shared" ca="1" si="237"/>
        <v>0</v>
      </c>
      <c r="AF621">
        <f t="shared" ca="1" si="238"/>
        <v>0</v>
      </c>
      <c r="AG621">
        <f t="shared" ca="1" si="239"/>
        <v>0</v>
      </c>
      <c r="AH621">
        <f t="shared" ca="1" si="240"/>
        <v>1.4276417225590863</v>
      </c>
      <c r="AI621">
        <f t="shared" ca="1" si="241"/>
        <v>2.051257414981059</v>
      </c>
      <c r="AJ621">
        <f t="shared" ca="1" si="242"/>
        <v>0</v>
      </c>
      <c r="AK621">
        <f t="shared" ca="1" si="243"/>
        <v>0</v>
      </c>
      <c r="AL621">
        <f t="shared" ca="1" si="244"/>
        <v>0</v>
      </c>
      <c r="AM621">
        <f t="shared" ca="1" si="245"/>
        <v>0</v>
      </c>
      <c r="AN621">
        <f t="shared" ca="1" si="246"/>
        <v>4.4717463182617667</v>
      </c>
      <c r="AO621">
        <f t="shared" ca="1" si="247"/>
        <v>0.39620931797745756</v>
      </c>
      <c r="AP621">
        <f t="shared" ca="1" si="248"/>
        <v>0</v>
      </c>
    </row>
    <row r="622" spans="8:42" x14ac:dyDescent="0.2">
      <c r="H622" t="s">
        <v>1060</v>
      </c>
      <c r="I622">
        <f t="shared" ca="1" si="215"/>
        <v>0</v>
      </c>
      <c r="J622">
        <f t="shared" ca="1" si="216"/>
        <v>0</v>
      </c>
      <c r="K622">
        <f t="shared" ca="1" si="217"/>
        <v>0</v>
      </c>
      <c r="L622">
        <f t="shared" ca="1" si="218"/>
        <v>0</v>
      </c>
      <c r="M622">
        <f t="shared" ca="1" si="219"/>
        <v>6.6961474779203599E-3</v>
      </c>
      <c r="N622">
        <f t="shared" ca="1" si="220"/>
        <v>0</v>
      </c>
      <c r="O622">
        <f t="shared" ca="1" si="221"/>
        <v>0</v>
      </c>
      <c r="P622">
        <f t="shared" ca="1" si="222"/>
        <v>0</v>
      </c>
      <c r="Q622">
        <f t="shared" ca="1" si="223"/>
        <v>2.3812232828267597</v>
      </c>
      <c r="R622">
        <f t="shared" ca="1" si="224"/>
        <v>0</v>
      </c>
      <c r="S622">
        <f t="shared" ca="1" si="225"/>
        <v>0</v>
      </c>
      <c r="T622">
        <f t="shared" ca="1" si="226"/>
        <v>1.1255828140282502</v>
      </c>
      <c r="U622">
        <f t="shared" ca="1" si="227"/>
        <v>0.79122818756484958</v>
      </c>
      <c r="V622">
        <f t="shared" ca="1" si="228"/>
        <v>1.6883422195976274</v>
      </c>
      <c r="W622">
        <f t="shared" ca="1" si="229"/>
        <v>0</v>
      </c>
      <c r="X622">
        <f t="shared" ca="1" si="230"/>
        <v>0</v>
      </c>
      <c r="Y622">
        <f t="shared" ca="1" si="231"/>
        <v>0</v>
      </c>
      <c r="Z622">
        <f t="shared" ca="1" si="232"/>
        <v>0</v>
      </c>
      <c r="AA622">
        <f t="shared" ca="1" si="233"/>
        <v>0</v>
      </c>
      <c r="AB622">
        <f t="shared" ca="1" si="234"/>
        <v>0</v>
      </c>
      <c r="AC622">
        <f t="shared" ca="1" si="235"/>
        <v>0</v>
      </c>
      <c r="AD622">
        <f t="shared" ca="1" si="236"/>
        <v>0</v>
      </c>
      <c r="AE622">
        <f t="shared" ca="1" si="237"/>
        <v>0</v>
      </c>
      <c r="AF622">
        <f t="shared" ca="1" si="238"/>
        <v>0</v>
      </c>
      <c r="AG622">
        <f t="shared" ca="1" si="239"/>
        <v>0</v>
      </c>
      <c r="AH622">
        <f t="shared" ca="1" si="240"/>
        <v>2.1446281025890852</v>
      </c>
      <c r="AI622">
        <f t="shared" ca="1" si="241"/>
        <v>3.4449593585438922</v>
      </c>
      <c r="AJ622">
        <f t="shared" ca="1" si="242"/>
        <v>0</v>
      </c>
      <c r="AK622">
        <f t="shared" ca="1" si="243"/>
        <v>0</v>
      </c>
      <c r="AL622">
        <f t="shared" ca="1" si="244"/>
        <v>0</v>
      </c>
      <c r="AM622">
        <f t="shared" ca="1" si="245"/>
        <v>0</v>
      </c>
      <c r="AN622">
        <f t="shared" ca="1" si="246"/>
        <v>6.4759542893815345</v>
      </c>
      <c r="AO622">
        <f t="shared" ca="1" si="247"/>
        <v>0.54138559799007957</v>
      </c>
      <c r="AP622">
        <f t="shared" ca="1" si="248"/>
        <v>0</v>
      </c>
    </row>
    <row r="623" spans="8:42" x14ac:dyDescent="0.2">
      <c r="H623" t="s">
        <v>1036</v>
      </c>
      <c r="I623">
        <f t="shared" ca="1" si="215"/>
        <v>0</v>
      </c>
      <c r="J623">
        <f t="shared" ca="1" si="216"/>
        <v>0</v>
      </c>
      <c r="K623">
        <f t="shared" ca="1" si="217"/>
        <v>0</v>
      </c>
      <c r="L623">
        <f t="shared" ca="1" si="218"/>
        <v>0</v>
      </c>
      <c r="M623">
        <f t="shared" ca="1" si="219"/>
        <v>5.630838811005655E-3</v>
      </c>
      <c r="N623">
        <f t="shared" ca="1" si="220"/>
        <v>0</v>
      </c>
      <c r="O623">
        <f t="shared" ca="1" si="221"/>
        <v>0</v>
      </c>
      <c r="P623">
        <f t="shared" ca="1" si="222"/>
        <v>0</v>
      </c>
      <c r="Q623">
        <f t="shared" ca="1" si="223"/>
        <v>2.5457683335738701</v>
      </c>
      <c r="R623">
        <f t="shared" ca="1" si="224"/>
        <v>0</v>
      </c>
      <c r="S623">
        <f t="shared" ca="1" si="225"/>
        <v>0</v>
      </c>
      <c r="T623">
        <f t="shared" ca="1" si="226"/>
        <v>1.1691675389862699</v>
      </c>
      <c r="U623">
        <f t="shared" ca="1" si="227"/>
        <v>1.4284392831639425</v>
      </c>
      <c r="V623">
        <f t="shared" ca="1" si="228"/>
        <v>1.2547810724487576</v>
      </c>
      <c r="W623">
        <f t="shared" ca="1" si="229"/>
        <v>0</v>
      </c>
      <c r="X623">
        <f t="shared" ca="1" si="230"/>
        <v>0</v>
      </c>
      <c r="Y623">
        <f t="shared" ca="1" si="231"/>
        <v>0</v>
      </c>
      <c r="Z623">
        <f t="shared" ca="1" si="232"/>
        <v>0</v>
      </c>
      <c r="AA623">
        <f t="shared" ca="1" si="233"/>
        <v>0</v>
      </c>
      <c r="AB623">
        <f t="shared" ca="1" si="234"/>
        <v>0</v>
      </c>
      <c r="AC623">
        <f t="shared" ca="1" si="235"/>
        <v>0</v>
      </c>
      <c r="AD623">
        <f t="shared" ca="1" si="236"/>
        <v>0</v>
      </c>
      <c r="AE623">
        <f t="shared" ca="1" si="237"/>
        <v>0</v>
      </c>
      <c r="AF623">
        <f t="shared" ca="1" si="238"/>
        <v>0</v>
      </c>
      <c r="AG623">
        <f t="shared" ca="1" si="239"/>
        <v>0</v>
      </c>
      <c r="AH623">
        <f t="shared" ca="1" si="240"/>
        <v>1.8324029287871033</v>
      </c>
      <c r="AI623">
        <f t="shared" ca="1" si="241"/>
        <v>4.0970779963274717</v>
      </c>
      <c r="AJ623">
        <f t="shared" ca="1" si="242"/>
        <v>0</v>
      </c>
      <c r="AK623">
        <f t="shared" ca="1" si="243"/>
        <v>0</v>
      </c>
      <c r="AL623">
        <f t="shared" ca="1" si="244"/>
        <v>0</v>
      </c>
      <c r="AM623">
        <f t="shared" ca="1" si="245"/>
        <v>0</v>
      </c>
      <c r="AN623">
        <f t="shared" ca="1" si="246"/>
        <v>7.4036218224243973</v>
      </c>
      <c r="AO623">
        <f t="shared" ca="1" si="247"/>
        <v>0.66311018547717993</v>
      </c>
      <c r="AP623">
        <f t="shared" ca="1" si="248"/>
        <v>0</v>
      </c>
    </row>
    <row r="624" spans="8:42" x14ac:dyDescent="0.2">
      <c r="H624" t="s">
        <v>1161</v>
      </c>
      <c r="I624">
        <f t="shared" ca="1" si="215"/>
        <v>0</v>
      </c>
      <c r="J624">
        <f t="shared" ca="1" si="216"/>
        <v>0</v>
      </c>
      <c r="K624">
        <f t="shared" ca="1" si="217"/>
        <v>0</v>
      </c>
      <c r="L624">
        <f t="shared" ca="1" si="218"/>
        <v>0</v>
      </c>
      <c r="M624">
        <f t="shared" ca="1" si="219"/>
        <v>0</v>
      </c>
      <c r="N624">
        <f t="shared" ca="1" si="220"/>
        <v>0</v>
      </c>
      <c r="O624">
        <f t="shared" ca="1" si="221"/>
        <v>0</v>
      </c>
      <c r="P624">
        <f t="shared" ca="1" si="222"/>
        <v>0</v>
      </c>
      <c r="Q624">
        <f t="shared" ca="1" si="223"/>
        <v>0</v>
      </c>
      <c r="R624">
        <f t="shared" ca="1" si="224"/>
        <v>0</v>
      </c>
      <c r="S624">
        <f t="shared" ca="1" si="225"/>
        <v>0</v>
      </c>
      <c r="T624">
        <f t="shared" ca="1" si="226"/>
        <v>0</v>
      </c>
      <c r="U624">
        <f t="shared" ca="1" si="227"/>
        <v>0</v>
      </c>
      <c r="V624">
        <f t="shared" ca="1" si="228"/>
        <v>0</v>
      </c>
      <c r="W624">
        <f t="shared" ca="1" si="229"/>
        <v>0</v>
      </c>
      <c r="X624">
        <f t="shared" ca="1" si="230"/>
        <v>0</v>
      </c>
      <c r="Y624">
        <f t="shared" ca="1" si="231"/>
        <v>0</v>
      </c>
      <c r="Z624">
        <f t="shared" ca="1" si="232"/>
        <v>0</v>
      </c>
      <c r="AA624">
        <f t="shared" ca="1" si="233"/>
        <v>0</v>
      </c>
      <c r="AB624">
        <f t="shared" ca="1" si="234"/>
        <v>0</v>
      </c>
      <c r="AC624">
        <f t="shared" ca="1" si="235"/>
        <v>0</v>
      </c>
      <c r="AD624">
        <f t="shared" ca="1" si="236"/>
        <v>0</v>
      </c>
      <c r="AE624">
        <f t="shared" ca="1" si="237"/>
        <v>0</v>
      </c>
      <c r="AF624">
        <f t="shared" ca="1" si="238"/>
        <v>0</v>
      </c>
      <c r="AG624">
        <f t="shared" ca="1" si="239"/>
        <v>0</v>
      </c>
      <c r="AH624">
        <f t="shared" ca="1" si="240"/>
        <v>0</v>
      </c>
      <c r="AI624">
        <f t="shared" ca="1" si="241"/>
        <v>0</v>
      </c>
      <c r="AJ624">
        <f t="shared" ca="1" si="242"/>
        <v>0</v>
      </c>
      <c r="AK624">
        <f t="shared" ca="1" si="243"/>
        <v>0</v>
      </c>
      <c r="AL624">
        <f t="shared" ca="1" si="244"/>
        <v>0</v>
      </c>
      <c r="AM624">
        <f t="shared" ca="1" si="245"/>
        <v>0</v>
      </c>
      <c r="AN624">
        <f t="shared" ca="1" si="246"/>
        <v>0</v>
      </c>
      <c r="AO624">
        <f t="shared" ca="1" si="247"/>
        <v>0</v>
      </c>
      <c r="AP624">
        <f t="shared" ca="1" si="248"/>
        <v>0</v>
      </c>
    </row>
    <row r="625" spans="8:42" x14ac:dyDescent="0.2">
      <c r="H625" t="s">
        <v>1094</v>
      </c>
      <c r="I625">
        <f t="shared" ca="1" si="215"/>
        <v>0</v>
      </c>
      <c r="J625">
        <f t="shared" ca="1" si="216"/>
        <v>0</v>
      </c>
      <c r="K625">
        <f t="shared" ca="1" si="217"/>
        <v>0</v>
      </c>
      <c r="L625">
        <f t="shared" ca="1" si="218"/>
        <v>0</v>
      </c>
      <c r="M625">
        <f t="shared" ca="1" si="219"/>
        <v>0</v>
      </c>
      <c r="N625">
        <f t="shared" ca="1" si="220"/>
        <v>0</v>
      </c>
      <c r="O625">
        <f t="shared" ca="1" si="221"/>
        <v>0</v>
      </c>
      <c r="P625">
        <f t="shared" ca="1" si="222"/>
        <v>0</v>
      </c>
      <c r="Q625">
        <f t="shared" ca="1" si="223"/>
        <v>0</v>
      </c>
      <c r="R625">
        <f t="shared" ca="1" si="224"/>
        <v>0</v>
      </c>
      <c r="S625">
        <f t="shared" ca="1" si="225"/>
        <v>0</v>
      </c>
      <c r="T625">
        <f t="shared" ca="1" si="226"/>
        <v>0</v>
      </c>
      <c r="U625">
        <f t="shared" ca="1" si="227"/>
        <v>0</v>
      </c>
      <c r="V625">
        <f t="shared" ca="1" si="228"/>
        <v>0</v>
      </c>
      <c r="W625">
        <f t="shared" ca="1" si="229"/>
        <v>0</v>
      </c>
      <c r="X625">
        <f t="shared" ca="1" si="230"/>
        <v>0</v>
      </c>
      <c r="Y625">
        <f t="shared" ca="1" si="231"/>
        <v>0</v>
      </c>
      <c r="Z625">
        <f t="shared" ca="1" si="232"/>
        <v>0</v>
      </c>
      <c r="AA625">
        <f t="shared" ca="1" si="233"/>
        <v>0</v>
      </c>
      <c r="AB625">
        <f t="shared" ca="1" si="234"/>
        <v>0</v>
      </c>
      <c r="AC625">
        <f t="shared" ca="1" si="235"/>
        <v>0</v>
      </c>
      <c r="AD625">
        <f t="shared" ca="1" si="236"/>
        <v>0</v>
      </c>
      <c r="AE625">
        <f t="shared" ca="1" si="237"/>
        <v>0</v>
      </c>
      <c r="AF625">
        <f t="shared" ca="1" si="238"/>
        <v>0</v>
      </c>
      <c r="AG625">
        <f t="shared" ca="1" si="239"/>
        <v>0</v>
      </c>
      <c r="AH625">
        <f t="shared" ca="1" si="240"/>
        <v>0</v>
      </c>
      <c r="AI625">
        <f t="shared" ca="1" si="241"/>
        <v>0</v>
      </c>
      <c r="AJ625">
        <f t="shared" ca="1" si="242"/>
        <v>0</v>
      </c>
      <c r="AK625">
        <f t="shared" ca="1" si="243"/>
        <v>0</v>
      </c>
      <c r="AL625">
        <f t="shared" ca="1" si="244"/>
        <v>0</v>
      </c>
      <c r="AM625">
        <f t="shared" ca="1" si="245"/>
        <v>0</v>
      </c>
      <c r="AN625">
        <f t="shared" ca="1" si="246"/>
        <v>7.0919999999999996</v>
      </c>
      <c r="AO625">
        <f t="shared" ca="1" si="247"/>
        <v>0</v>
      </c>
      <c r="AP625">
        <f t="shared" ca="1" si="248"/>
        <v>0</v>
      </c>
    </row>
    <row r="626" spans="8:42" x14ac:dyDescent="0.2">
      <c r="H626" t="s">
        <v>1088</v>
      </c>
      <c r="I626">
        <f t="shared" ca="1" si="215"/>
        <v>0</v>
      </c>
      <c r="J626">
        <f t="shared" ca="1" si="216"/>
        <v>0</v>
      </c>
      <c r="K626">
        <f t="shared" ca="1" si="217"/>
        <v>0</v>
      </c>
      <c r="L626">
        <f t="shared" ca="1" si="218"/>
        <v>0</v>
      </c>
      <c r="M626">
        <f t="shared" ca="1" si="219"/>
        <v>0</v>
      </c>
      <c r="N626">
        <f t="shared" ca="1" si="220"/>
        <v>0</v>
      </c>
      <c r="O626">
        <f t="shared" ca="1" si="221"/>
        <v>0</v>
      </c>
      <c r="P626">
        <f t="shared" ca="1" si="222"/>
        <v>0</v>
      </c>
      <c r="Q626">
        <f t="shared" ca="1" si="223"/>
        <v>0</v>
      </c>
      <c r="R626">
        <f t="shared" ca="1" si="224"/>
        <v>0</v>
      </c>
      <c r="S626">
        <f t="shared" ca="1" si="225"/>
        <v>0</v>
      </c>
      <c r="T626">
        <f t="shared" ca="1" si="226"/>
        <v>0</v>
      </c>
      <c r="U626">
        <f t="shared" ca="1" si="227"/>
        <v>0</v>
      </c>
      <c r="V626">
        <f t="shared" ca="1" si="228"/>
        <v>0</v>
      </c>
      <c r="W626">
        <f t="shared" ca="1" si="229"/>
        <v>0</v>
      </c>
      <c r="X626">
        <f t="shared" ca="1" si="230"/>
        <v>0</v>
      </c>
      <c r="Y626">
        <f t="shared" ca="1" si="231"/>
        <v>0</v>
      </c>
      <c r="Z626">
        <f t="shared" ca="1" si="232"/>
        <v>0</v>
      </c>
      <c r="AA626">
        <f t="shared" ca="1" si="233"/>
        <v>0</v>
      </c>
      <c r="AB626">
        <f t="shared" ca="1" si="234"/>
        <v>0</v>
      </c>
      <c r="AC626">
        <f t="shared" ca="1" si="235"/>
        <v>0</v>
      </c>
      <c r="AD626">
        <f t="shared" ca="1" si="236"/>
        <v>0</v>
      </c>
      <c r="AE626">
        <f t="shared" ca="1" si="237"/>
        <v>0</v>
      </c>
      <c r="AF626">
        <f t="shared" ca="1" si="238"/>
        <v>0</v>
      </c>
      <c r="AG626">
        <f t="shared" ca="1" si="239"/>
        <v>0</v>
      </c>
      <c r="AH626">
        <f t="shared" ca="1" si="240"/>
        <v>0</v>
      </c>
      <c r="AI626">
        <f t="shared" ca="1" si="241"/>
        <v>0</v>
      </c>
      <c r="AJ626">
        <f t="shared" ca="1" si="242"/>
        <v>0</v>
      </c>
      <c r="AK626">
        <f t="shared" ca="1" si="243"/>
        <v>0</v>
      </c>
      <c r="AL626">
        <f t="shared" ca="1" si="244"/>
        <v>0</v>
      </c>
      <c r="AM626">
        <f t="shared" ca="1" si="245"/>
        <v>0</v>
      </c>
      <c r="AN626">
        <f t="shared" ca="1" si="246"/>
        <v>7.0919999999999996</v>
      </c>
      <c r="AO626">
        <f t="shared" ca="1" si="247"/>
        <v>0</v>
      </c>
      <c r="AP626">
        <f t="shared" ca="1" si="248"/>
        <v>0</v>
      </c>
    </row>
    <row r="627" spans="8:42" x14ac:dyDescent="0.2">
      <c r="H627" t="s">
        <v>1162</v>
      </c>
      <c r="I627">
        <f t="shared" ca="1" si="215"/>
        <v>0</v>
      </c>
      <c r="J627">
        <f t="shared" ca="1" si="216"/>
        <v>0</v>
      </c>
      <c r="K627">
        <f t="shared" ca="1" si="217"/>
        <v>0</v>
      </c>
      <c r="L627">
        <f t="shared" ca="1" si="218"/>
        <v>0</v>
      </c>
      <c r="M627">
        <f t="shared" ca="1" si="219"/>
        <v>0</v>
      </c>
      <c r="N627">
        <f t="shared" ca="1" si="220"/>
        <v>0</v>
      </c>
      <c r="O627">
        <f t="shared" ca="1" si="221"/>
        <v>0</v>
      </c>
      <c r="P627">
        <f t="shared" ca="1" si="222"/>
        <v>0</v>
      </c>
      <c r="Q627">
        <f t="shared" ca="1" si="223"/>
        <v>0</v>
      </c>
      <c r="R627">
        <f t="shared" ca="1" si="224"/>
        <v>0</v>
      </c>
      <c r="S627">
        <f t="shared" ca="1" si="225"/>
        <v>0</v>
      </c>
      <c r="T627">
        <f t="shared" ca="1" si="226"/>
        <v>0</v>
      </c>
      <c r="U627">
        <f t="shared" ca="1" si="227"/>
        <v>0</v>
      </c>
      <c r="V627">
        <f t="shared" ca="1" si="228"/>
        <v>0</v>
      </c>
      <c r="W627">
        <f t="shared" ca="1" si="229"/>
        <v>0</v>
      </c>
      <c r="X627">
        <f t="shared" ca="1" si="230"/>
        <v>0</v>
      </c>
      <c r="Y627">
        <f t="shared" ca="1" si="231"/>
        <v>0</v>
      </c>
      <c r="Z627">
        <f t="shared" ca="1" si="232"/>
        <v>0</v>
      </c>
      <c r="AA627">
        <f t="shared" ca="1" si="233"/>
        <v>0</v>
      </c>
      <c r="AB627">
        <f t="shared" ca="1" si="234"/>
        <v>0</v>
      </c>
      <c r="AC627">
        <f t="shared" ca="1" si="235"/>
        <v>0</v>
      </c>
      <c r="AD627">
        <f t="shared" ca="1" si="236"/>
        <v>0</v>
      </c>
      <c r="AE627">
        <f t="shared" ca="1" si="237"/>
        <v>0</v>
      </c>
      <c r="AF627">
        <f t="shared" ca="1" si="238"/>
        <v>0</v>
      </c>
      <c r="AG627">
        <f t="shared" ca="1" si="239"/>
        <v>0</v>
      </c>
      <c r="AH627">
        <f t="shared" ca="1" si="240"/>
        <v>0</v>
      </c>
      <c r="AI627">
        <f t="shared" ca="1" si="241"/>
        <v>0</v>
      </c>
      <c r="AJ627">
        <f t="shared" ca="1" si="242"/>
        <v>0</v>
      </c>
      <c r="AK627">
        <f t="shared" ca="1" si="243"/>
        <v>0</v>
      </c>
      <c r="AL627">
        <f t="shared" ca="1" si="244"/>
        <v>0</v>
      </c>
      <c r="AM627">
        <f t="shared" ca="1" si="245"/>
        <v>0</v>
      </c>
      <c r="AN627">
        <f t="shared" ca="1" si="246"/>
        <v>0</v>
      </c>
      <c r="AO627">
        <f t="shared" ca="1" si="247"/>
        <v>0</v>
      </c>
      <c r="AP627">
        <f t="shared" ca="1" si="248"/>
        <v>0</v>
      </c>
    </row>
    <row r="628" spans="8:42" x14ac:dyDescent="0.2">
      <c r="H628" t="s">
        <v>1098</v>
      </c>
      <c r="I628">
        <f t="shared" ca="1" si="215"/>
        <v>0</v>
      </c>
      <c r="J628">
        <f t="shared" ca="1" si="216"/>
        <v>0</v>
      </c>
      <c r="K628">
        <f t="shared" ca="1" si="217"/>
        <v>0</v>
      </c>
      <c r="L628">
        <f t="shared" ca="1" si="218"/>
        <v>0</v>
      </c>
      <c r="M628">
        <f t="shared" ca="1" si="219"/>
        <v>0</v>
      </c>
      <c r="N628">
        <f t="shared" ca="1" si="220"/>
        <v>0</v>
      </c>
      <c r="O628">
        <f t="shared" ca="1" si="221"/>
        <v>0</v>
      </c>
      <c r="P628">
        <f t="shared" ca="1" si="222"/>
        <v>0</v>
      </c>
      <c r="Q628">
        <f t="shared" ca="1" si="223"/>
        <v>0</v>
      </c>
      <c r="R628">
        <f t="shared" ca="1" si="224"/>
        <v>0</v>
      </c>
      <c r="S628">
        <f t="shared" ca="1" si="225"/>
        <v>0</v>
      </c>
      <c r="T628">
        <f t="shared" ca="1" si="226"/>
        <v>0</v>
      </c>
      <c r="U628">
        <f t="shared" ca="1" si="227"/>
        <v>0</v>
      </c>
      <c r="V628">
        <f t="shared" ca="1" si="228"/>
        <v>0</v>
      </c>
      <c r="W628">
        <f t="shared" ca="1" si="229"/>
        <v>0</v>
      </c>
      <c r="X628">
        <f t="shared" ca="1" si="230"/>
        <v>0</v>
      </c>
      <c r="Y628">
        <f t="shared" ca="1" si="231"/>
        <v>0</v>
      </c>
      <c r="Z628">
        <f t="shared" ca="1" si="232"/>
        <v>0</v>
      </c>
      <c r="AA628">
        <f t="shared" ca="1" si="233"/>
        <v>0</v>
      </c>
      <c r="AB628">
        <f t="shared" ca="1" si="234"/>
        <v>0</v>
      </c>
      <c r="AC628">
        <f t="shared" ca="1" si="235"/>
        <v>0</v>
      </c>
      <c r="AD628">
        <f t="shared" ca="1" si="236"/>
        <v>0</v>
      </c>
      <c r="AE628">
        <f t="shared" ca="1" si="237"/>
        <v>0</v>
      </c>
      <c r="AF628">
        <f t="shared" ca="1" si="238"/>
        <v>0</v>
      </c>
      <c r="AG628">
        <f t="shared" ca="1" si="239"/>
        <v>0</v>
      </c>
      <c r="AH628">
        <f t="shared" ca="1" si="240"/>
        <v>0</v>
      </c>
      <c r="AI628">
        <f t="shared" ca="1" si="241"/>
        <v>0</v>
      </c>
      <c r="AJ628">
        <f t="shared" ca="1" si="242"/>
        <v>0</v>
      </c>
      <c r="AK628">
        <f t="shared" ca="1" si="243"/>
        <v>0</v>
      </c>
      <c r="AL628">
        <f t="shared" ca="1" si="244"/>
        <v>0</v>
      </c>
      <c r="AM628">
        <f t="shared" ca="1" si="245"/>
        <v>0</v>
      </c>
      <c r="AN628">
        <f t="shared" ca="1" si="246"/>
        <v>0</v>
      </c>
      <c r="AO628">
        <f t="shared" ca="1" si="247"/>
        <v>0</v>
      </c>
      <c r="AP628">
        <f t="shared" ca="1" si="248"/>
        <v>7.0919999999999996</v>
      </c>
    </row>
    <row r="629" spans="8:42" x14ac:dyDescent="0.2">
      <c r="H629" t="s">
        <v>1028</v>
      </c>
      <c r="I629">
        <f t="shared" ca="1" si="215"/>
        <v>0</v>
      </c>
      <c r="J629">
        <f t="shared" ca="1" si="216"/>
        <v>0</v>
      </c>
      <c r="K629">
        <f t="shared" ca="1" si="217"/>
        <v>0</v>
      </c>
      <c r="L629">
        <f t="shared" ca="1" si="218"/>
        <v>0</v>
      </c>
      <c r="M629">
        <f t="shared" ca="1" si="219"/>
        <v>0</v>
      </c>
      <c r="N629">
        <f t="shared" ca="1" si="220"/>
        <v>0</v>
      </c>
      <c r="O629">
        <f t="shared" ca="1" si="221"/>
        <v>0</v>
      </c>
      <c r="P629">
        <f t="shared" ca="1" si="222"/>
        <v>0</v>
      </c>
      <c r="Q629">
        <f t="shared" ca="1" si="223"/>
        <v>0</v>
      </c>
      <c r="R629">
        <f t="shared" ca="1" si="224"/>
        <v>0</v>
      </c>
      <c r="S629">
        <f t="shared" ca="1" si="225"/>
        <v>0</v>
      </c>
      <c r="T629">
        <f t="shared" ca="1" si="226"/>
        <v>0</v>
      </c>
      <c r="U629">
        <f t="shared" ca="1" si="227"/>
        <v>0</v>
      </c>
      <c r="V629">
        <f t="shared" ca="1" si="228"/>
        <v>0</v>
      </c>
      <c r="W629">
        <f t="shared" ca="1" si="229"/>
        <v>0</v>
      </c>
      <c r="X629">
        <f t="shared" ca="1" si="230"/>
        <v>0</v>
      </c>
      <c r="Y629">
        <f t="shared" ca="1" si="231"/>
        <v>0</v>
      </c>
      <c r="Z629">
        <f t="shared" ca="1" si="232"/>
        <v>0</v>
      </c>
      <c r="AA629">
        <f t="shared" ca="1" si="233"/>
        <v>0</v>
      </c>
      <c r="AB629">
        <f t="shared" ca="1" si="234"/>
        <v>0</v>
      </c>
      <c r="AC629">
        <f t="shared" ca="1" si="235"/>
        <v>0</v>
      </c>
      <c r="AD629">
        <f t="shared" ca="1" si="236"/>
        <v>0</v>
      </c>
      <c r="AE629">
        <f t="shared" ca="1" si="237"/>
        <v>0</v>
      </c>
      <c r="AF629">
        <f t="shared" ca="1" si="238"/>
        <v>0</v>
      </c>
      <c r="AG629">
        <f t="shared" ca="1" si="239"/>
        <v>0</v>
      </c>
      <c r="AH629">
        <f t="shared" ca="1" si="240"/>
        <v>0</v>
      </c>
      <c r="AI629">
        <f t="shared" ca="1" si="241"/>
        <v>0</v>
      </c>
      <c r="AJ629">
        <f t="shared" ca="1" si="242"/>
        <v>0</v>
      </c>
      <c r="AK629">
        <f t="shared" ca="1" si="243"/>
        <v>0</v>
      </c>
      <c r="AL629">
        <f t="shared" ca="1" si="244"/>
        <v>0</v>
      </c>
      <c r="AM629">
        <f t="shared" ca="1" si="245"/>
        <v>0</v>
      </c>
      <c r="AN629">
        <f t="shared" ca="1" si="246"/>
        <v>0</v>
      </c>
      <c r="AO629">
        <f t="shared" ca="1" si="247"/>
        <v>0</v>
      </c>
      <c r="AP629">
        <f t="shared" ca="1" si="248"/>
        <v>20.399999999999999</v>
      </c>
    </row>
    <row r="630" spans="8:42" x14ac:dyDescent="0.2">
      <c r="H630" t="s">
        <v>1070</v>
      </c>
      <c r="I630">
        <f t="shared" ca="1" si="215"/>
        <v>0</v>
      </c>
      <c r="J630">
        <f t="shared" ca="1" si="216"/>
        <v>0</v>
      </c>
      <c r="K630">
        <f t="shared" ca="1" si="217"/>
        <v>0</v>
      </c>
      <c r="L630">
        <f t="shared" ca="1" si="218"/>
        <v>0</v>
      </c>
      <c r="M630">
        <f t="shared" ca="1" si="219"/>
        <v>0</v>
      </c>
      <c r="N630">
        <f t="shared" ca="1" si="220"/>
        <v>0</v>
      </c>
      <c r="O630">
        <f t="shared" ca="1" si="221"/>
        <v>0</v>
      </c>
      <c r="P630">
        <f t="shared" ca="1" si="222"/>
        <v>0</v>
      </c>
      <c r="Q630">
        <f t="shared" ca="1" si="223"/>
        <v>0</v>
      </c>
      <c r="R630">
        <f t="shared" ca="1" si="224"/>
        <v>0</v>
      </c>
      <c r="S630">
        <f t="shared" ca="1" si="225"/>
        <v>24.48</v>
      </c>
      <c r="T630">
        <f t="shared" ca="1" si="226"/>
        <v>0</v>
      </c>
      <c r="U630">
        <f t="shared" ca="1" si="227"/>
        <v>0</v>
      </c>
      <c r="V630">
        <f t="shared" ca="1" si="228"/>
        <v>0</v>
      </c>
      <c r="W630">
        <f t="shared" ca="1" si="229"/>
        <v>0</v>
      </c>
      <c r="X630">
        <f t="shared" ca="1" si="230"/>
        <v>0</v>
      </c>
      <c r="Y630">
        <f t="shared" ca="1" si="231"/>
        <v>0</v>
      </c>
      <c r="Z630">
        <f t="shared" ca="1" si="232"/>
        <v>0</v>
      </c>
      <c r="AA630">
        <f t="shared" ca="1" si="233"/>
        <v>0</v>
      </c>
      <c r="AB630">
        <f t="shared" ca="1" si="234"/>
        <v>0</v>
      </c>
      <c r="AC630">
        <f t="shared" ca="1" si="235"/>
        <v>0</v>
      </c>
      <c r="AD630">
        <f t="shared" ca="1" si="236"/>
        <v>0</v>
      </c>
      <c r="AE630">
        <f t="shared" ca="1" si="237"/>
        <v>0</v>
      </c>
      <c r="AF630">
        <f t="shared" ca="1" si="238"/>
        <v>0</v>
      </c>
      <c r="AG630">
        <f t="shared" ca="1" si="239"/>
        <v>0</v>
      </c>
      <c r="AH630">
        <f t="shared" ca="1" si="240"/>
        <v>0</v>
      </c>
      <c r="AI630">
        <f t="shared" ca="1" si="241"/>
        <v>0</v>
      </c>
      <c r="AJ630">
        <f t="shared" ca="1" si="242"/>
        <v>0</v>
      </c>
      <c r="AK630">
        <f t="shared" ca="1" si="243"/>
        <v>0</v>
      </c>
      <c r="AL630">
        <f t="shared" ca="1" si="244"/>
        <v>0</v>
      </c>
      <c r="AM630">
        <f t="shared" ca="1" si="245"/>
        <v>0</v>
      </c>
      <c r="AN630">
        <f t="shared" ca="1" si="246"/>
        <v>0</v>
      </c>
      <c r="AO630">
        <f t="shared" ca="1" si="247"/>
        <v>0</v>
      </c>
      <c r="AP630">
        <f t="shared" ca="1" si="248"/>
        <v>0</v>
      </c>
    </row>
    <row r="631" spans="8:42" x14ac:dyDescent="0.2">
      <c r="H631" t="s">
        <v>1105</v>
      </c>
      <c r="I631">
        <f t="shared" ca="1" si="215"/>
        <v>0</v>
      </c>
      <c r="J631">
        <f t="shared" ca="1" si="216"/>
        <v>0</v>
      </c>
      <c r="K631">
        <f t="shared" ca="1" si="217"/>
        <v>0</v>
      </c>
      <c r="L631">
        <f t="shared" ca="1" si="218"/>
        <v>0</v>
      </c>
      <c r="M631">
        <f t="shared" ca="1" si="219"/>
        <v>0</v>
      </c>
      <c r="N631">
        <f t="shared" ca="1" si="220"/>
        <v>0</v>
      </c>
      <c r="O631">
        <f t="shared" ca="1" si="221"/>
        <v>0</v>
      </c>
      <c r="P631">
        <f t="shared" ca="1" si="222"/>
        <v>0</v>
      </c>
      <c r="Q631">
        <f t="shared" ca="1" si="223"/>
        <v>0</v>
      </c>
      <c r="R631">
        <f t="shared" ca="1" si="224"/>
        <v>0</v>
      </c>
      <c r="S631">
        <f t="shared" ca="1" si="225"/>
        <v>0</v>
      </c>
      <c r="T631">
        <f t="shared" ca="1" si="226"/>
        <v>0</v>
      </c>
      <c r="U631">
        <f t="shared" ca="1" si="227"/>
        <v>0</v>
      </c>
      <c r="V631">
        <f t="shared" ca="1" si="228"/>
        <v>0</v>
      </c>
      <c r="W631">
        <f t="shared" ca="1" si="229"/>
        <v>0</v>
      </c>
      <c r="X631">
        <f t="shared" ca="1" si="230"/>
        <v>0</v>
      </c>
      <c r="Y631">
        <f t="shared" ca="1" si="231"/>
        <v>0</v>
      </c>
      <c r="Z631">
        <f t="shared" ca="1" si="232"/>
        <v>0</v>
      </c>
      <c r="AA631">
        <f t="shared" ca="1" si="233"/>
        <v>0</v>
      </c>
      <c r="AB631">
        <f t="shared" ca="1" si="234"/>
        <v>0</v>
      </c>
      <c r="AC631">
        <f t="shared" ca="1" si="235"/>
        <v>0</v>
      </c>
      <c r="AD631">
        <f t="shared" ca="1" si="236"/>
        <v>0</v>
      </c>
      <c r="AE631">
        <f t="shared" ca="1" si="237"/>
        <v>0</v>
      </c>
      <c r="AF631">
        <f t="shared" ca="1" si="238"/>
        <v>0</v>
      </c>
      <c r="AG631">
        <f t="shared" ca="1" si="239"/>
        <v>0</v>
      </c>
      <c r="AH631">
        <f t="shared" ca="1" si="240"/>
        <v>0</v>
      </c>
      <c r="AI631">
        <f t="shared" ca="1" si="241"/>
        <v>0</v>
      </c>
      <c r="AJ631">
        <f t="shared" ca="1" si="242"/>
        <v>0</v>
      </c>
      <c r="AK631">
        <f t="shared" ca="1" si="243"/>
        <v>0</v>
      </c>
      <c r="AL631">
        <f t="shared" ca="1" si="244"/>
        <v>0</v>
      </c>
      <c r="AM631">
        <f t="shared" ca="1" si="245"/>
        <v>0</v>
      </c>
      <c r="AN631">
        <f t="shared" ca="1" si="246"/>
        <v>0</v>
      </c>
      <c r="AO631">
        <f t="shared" ca="1" si="247"/>
        <v>0</v>
      </c>
      <c r="AP631">
        <f t="shared" ca="1" si="248"/>
        <v>2.9550000000000001</v>
      </c>
    </row>
    <row r="632" spans="8:42" x14ac:dyDescent="0.2">
      <c r="H632" t="s">
        <v>996</v>
      </c>
      <c r="I632">
        <f t="shared" ca="1" si="215"/>
        <v>0</v>
      </c>
      <c r="J632">
        <f t="shared" ca="1" si="216"/>
        <v>0</v>
      </c>
      <c r="K632">
        <f t="shared" ca="1" si="217"/>
        <v>0</v>
      </c>
      <c r="L632">
        <f t="shared" ca="1" si="218"/>
        <v>0</v>
      </c>
      <c r="M632">
        <f t="shared" ca="1" si="219"/>
        <v>0</v>
      </c>
      <c r="N632">
        <f t="shared" ca="1" si="220"/>
        <v>0</v>
      </c>
      <c r="O632">
        <f t="shared" ca="1" si="221"/>
        <v>0</v>
      </c>
      <c r="P632">
        <f t="shared" ca="1" si="222"/>
        <v>0</v>
      </c>
      <c r="Q632">
        <f t="shared" ca="1" si="223"/>
        <v>9.0034836579569557</v>
      </c>
      <c r="R632">
        <f t="shared" ca="1" si="224"/>
        <v>0</v>
      </c>
      <c r="S632">
        <f t="shared" ca="1" si="225"/>
        <v>0</v>
      </c>
      <c r="T632">
        <f t="shared" ca="1" si="226"/>
        <v>9.0998103849505192</v>
      </c>
      <c r="U632">
        <f t="shared" ca="1" si="227"/>
        <v>0</v>
      </c>
      <c r="V632">
        <f t="shared" ca="1" si="228"/>
        <v>0</v>
      </c>
      <c r="W632">
        <f t="shared" ca="1" si="229"/>
        <v>0</v>
      </c>
      <c r="X632">
        <f t="shared" ca="1" si="230"/>
        <v>0</v>
      </c>
      <c r="Y632">
        <f t="shared" ca="1" si="231"/>
        <v>0</v>
      </c>
      <c r="Z632">
        <f t="shared" ca="1" si="232"/>
        <v>30.926400435582622</v>
      </c>
      <c r="AA632">
        <f t="shared" ca="1" si="233"/>
        <v>0</v>
      </c>
      <c r="AB632">
        <f t="shared" ca="1" si="234"/>
        <v>0</v>
      </c>
      <c r="AC632">
        <f t="shared" ca="1" si="235"/>
        <v>0</v>
      </c>
      <c r="AD632">
        <f t="shared" ca="1" si="236"/>
        <v>0</v>
      </c>
      <c r="AE632">
        <f t="shared" ca="1" si="237"/>
        <v>0</v>
      </c>
      <c r="AF632">
        <f t="shared" ca="1" si="238"/>
        <v>0</v>
      </c>
      <c r="AG632">
        <f t="shared" ca="1" si="239"/>
        <v>0</v>
      </c>
      <c r="AH632">
        <f t="shared" ca="1" si="240"/>
        <v>11.985366342651256</v>
      </c>
      <c r="AI632">
        <f t="shared" ca="1" si="241"/>
        <v>7.7429762384975565</v>
      </c>
      <c r="AJ632">
        <f t="shared" ca="1" si="242"/>
        <v>0</v>
      </c>
      <c r="AK632">
        <f t="shared" ca="1" si="243"/>
        <v>0</v>
      </c>
      <c r="AL632">
        <f t="shared" ca="1" si="244"/>
        <v>0</v>
      </c>
      <c r="AM632">
        <f t="shared" ca="1" si="245"/>
        <v>0</v>
      </c>
      <c r="AN632">
        <f t="shared" ca="1" si="246"/>
        <v>10.160605074993313</v>
      </c>
      <c r="AO632">
        <f t="shared" ca="1" si="247"/>
        <v>1.8653578653677874</v>
      </c>
      <c r="AP632">
        <f t="shared" ca="1" si="248"/>
        <v>0</v>
      </c>
    </row>
    <row r="633" spans="8:42" x14ac:dyDescent="0.2">
      <c r="H633" t="s">
        <v>1101</v>
      </c>
      <c r="I633">
        <f t="shared" ca="1" si="215"/>
        <v>0</v>
      </c>
      <c r="J633">
        <f t="shared" ca="1" si="216"/>
        <v>0</v>
      </c>
      <c r="K633">
        <f t="shared" ca="1" si="217"/>
        <v>0</v>
      </c>
      <c r="L633">
        <f t="shared" ca="1" si="218"/>
        <v>0</v>
      </c>
      <c r="M633">
        <f t="shared" ca="1" si="219"/>
        <v>0</v>
      </c>
      <c r="N633">
        <f t="shared" ca="1" si="220"/>
        <v>0</v>
      </c>
      <c r="O633">
        <f t="shared" ca="1" si="221"/>
        <v>0</v>
      </c>
      <c r="P633">
        <f t="shared" ca="1" si="222"/>
        <v>0</v>
      </c>
      <c r="Q633">
        <f t="shared" ca="1" si="223"/>
        <v>0</v>
      </c>
      <c r="R633">
        <f t="shared" ca="1" si="224"/>
        <v>0</v>
      </c>
      <c r="S633">
        <f t="shared" ca="1" si="225"/>
        <v>0</v>
      </c>
      <c r="T633">
        <f t="shared" ca="1" si="226"/>
        <v>0</v>
      </c>
      <c r="U633">
        <f t="shared" ca="1" si="227"/>
        <v>0</v>
      </c>
      <c r="V633">
        <f t="shared" ca="1" si="228"/>
        <v>0</v>
      </c>
      <c r="W633">
        <f t="shared" ca="1" si="229"/>
        <v>0</v>
      </c>
      <c r="X633">
        <f t="shared" ca="1" si="230"/>
        <v>0</v>
      </c>
      <c r="Y633">
        <f t="shared" ca="1" si="231"/>
        <v>0</v>
      </c>
      <c r="Z633">
        <f t="shared" ca="1" si="232"/>
        <v>5.91</v>
      </c>
      <c r="AA633">
        <f t="shared" ca="1" si="233"/>
        <v>0</v>
      </c>
      <c r="AB633">
        <f t="shared" ca="1" si="234"/>
        <v>0</v>
      </c>
      <c r="AC633">
        <f t="shared" ca="1" si="235"/>
        <v>0</v>
      </c>
      <c r="AD633">
        <f t="shared" ca="1" si="236"/>
        <v>0</v>
      </c>
      <c r="AE633">
        <f t="shared" ca="1" si="237"/>
        <v>0</v>
      </c>
      <c r="AF633">
        <f t="shared" ca="1" si="238"/>
        <v>0</v>
      </c>
      <c r="AG633">
        <f t="shared" ca="1" si="239"/>
        <v>0</v>
      </c>
      <c r="AH633">
        <f t="shared" ca="1" si="240"/>
        <v>0</v>
      </c>
      <c r="AI633">
        <f t="shared" ca="1" si="241"/>
        <v>0</v>
      </c>
      <c r="AJ633">
        <f t="shared" ca="1" si="242"/>
        <v>0</v>
      </c>
      <c r="AK633">
        <f t="shared" ca="1" si="243"/>
        <v>0</v>
      </c>
      <c r="AL633">
        <f t="shared" ca="1" si="244"/>
        <v>0</v>
      </c>
      <c r="AM633">
        <f t="shared" ca="1" si="245"/>
        <v>0</v>
      </c>
      <c r="AN633">
        <f t="shared" ca="1" si="246"/>
        <v>0</v>
      </c>
      <c r="AO633">
        <f t="shared" ca="1" si="247"/>
        <v>0</v>
      </c>
      <c r="AP633">
        <f t="shared" ca="1" si="248"/>
        <v>0</v>
      </c>
    </row>
    <row r="634" spans="8:42" x14ac:dyDescent="0.2">
      <c r="H634" t="s">
        <v>1163</v>
      </c>
      <c r="I634">
        <f t="shared" ca="1" si="215"/>
        <v>0</v>
      </c>
      <c r="J634">
        <f t="shared" ca="1" si="216"/>
        <v>0</v>
      </c>
      <c r="K634">
        <f t="shared" ca="1" si="217"/>
        <v>0</v>
      </c>
      <c r="L634">
        <f t="shared" ca="1" si="218"/>
        <v>0</v>
      </c>
      <c r="M634">
        <f t="shared" ca="1" si="219"/>
        <v>0</v>
      </c>
      <c r="N634">
        <f t="shared" ca="1" si="220"/>
        <v>0</v>
      </c>
      <c r="O634">
        <f t="shared" ca="1" si="221"/>
        <v>0</v>
      </c>
      <c r="P634">
        <f t="shared" ca="1" si="222"/>
        <v>0</v>
      </c>
      <c r="Q634">
        <f t="shared" ca="1" si="223"/>
        <v>0</v>
      </c>
      <c r="R634">
        <f t="shared" ca="1" si="224"/>
        <v>0</v>
      </c>
      <c r="S634">
        <f t="shared" ca="1" si="225"/>
        <v>0</v>
      </c>
      <c r="T634">
        <f t="shared" ca="1" si="226"/>
        <v>0</v>
      </c>
      <c r="U634">
        <f t="shared" ca="1" si="227"/>
        <v>0</v>
      </c>
      <c r="V634">
        <f t="shared" ca="1" si="228"/>
        <v>0</v>
      </c>
      <c r="W634">
        <f t="shared" ca="1" si="229"/>
        <v>0</v>
      </c>
      <c r="X634">
        <f t="shared" ca="1" si="230"/>
        <v>0</v>
      </c>
      <c r="Y634">
        <f t="shared" ca="1" si="231"/>
        <v>0</v>
      </c>
      <c r="Z634">
        <f t="shared" ca="1" si="232"/>
        <v>0</v>
      </c>
      <c r="AA634">
        <f t="shared" ca="1" si="233"/>
        <v>0</v>
      </c>
      <c r="AB634">
        <f t="shared" ca="1" si="234"/>
        <v>0</v>
      </c>
      <c r="AC634">
        <f t="shared" ca="1" si="235"/>
        <v>0</v>
      </c>
      <c r="AD634">
        <f t="shared" ca="1" si="236"/>
        <v>0</v>
      </c>
      <c r="AE634">
        <f t="shared" ca="1" si="237"/>
        <v>0</v>
      </c>
      <c r="AF634">
        <f t="shared" ca="1" si="238"/>
        <v>0</v>
      </c>
      <c r="AG634">
        <f t="shared" ca="1" si="239"/>
        <v>0</v>
      </c>
      <c r="AH634">
        <f t="shared" ca="1" si="240"/>
        <v>0</v>
      </c>
      <c r="AI634">
        <f t="shared" ca="1" si="241"/>
        <v>0</v>
      </c>
      <c r="AJ634">
        <f t="shared" ca="1" si="242"/>
        <v>0</v>
      </c>
      <c r="AK634">
        <f t="shared" ca="1" si="243"/>
        <v>0</v>
      </c>
      <c r="AL634">
        <f t="shared" ca="1" si="244"/>
        <v>0</v>
      </c>
      <c r="AM634">
        <f t="shared" ca="1" si="245"/>
        <v>0</v>
      </c>
      <c r="AN634">
        <f t="shared" ca="1" si="246"/>
        <v>0</v>
      </c>
      <c r="AO634">
        <f t="shared" ca="1" si="247"/>
        <v>0</v>
      </c>
      <c r="AP634">
        <f t="shared" ca="1" si="248"/>
        <v>0</v>
      </c>
    </row>
    <row r="635" spans="8:42" x14ac:dyDescent="0.2">
      <c r="H635" t="s">
        <v>1011</v>
      </c>
      <c r="I635">
        <f t="shared" ca="1" si="215"/>
        <v>0</v>
      </c>
      <c r="J635">
        <f t="shared" ca="1" si="216"/>
        <v>0</v>
      </c>
      <c r="K635">
        <f t="shared" ca="1" si="217"/>
        <v>0</v>
      </c>
      <c r="L635">
        <f t="shared" ca="1" si="218"/>
        <v>0</v>
      </c>
      <c r="M635">
        <f t="shared" ca="1" si="219"/>
        <v>0</v>
      </c>
      <c r="N635">
        <f t="shared" ca="1" si="220"/>
        <v>0</v>
      </c>
      <c r="O635">
        <f t="shared" ca="1" si="221"/>
        <v>0</v>
      </c>
      <c r="P635">
        <f t="shared" ca="1" si="222"/>
        <v>0</v>
      </c>
      <c r="Q635">
        <f t="shared" ca="1" si="223"/>
        <v>0</v>
      </c>
      <c r="R635">
        <f t="shared" ca="1" si="224"/>
        <v>0</v>
      </c>
      <c r="S635">
        <f t="shared" ca="1" si="225"/>
        <v>0</v>
      </c>
      <c r="T635">
        <f t="shared" ca="1" si="226"/>
        <v>0</v>
      </c>
      <c r="U635">
        <f t="shared" ca="1" si="227"/>
        <v>0</v>
      </c>
      <c r="V635">
        <f t="shared" ca="1" si="228"/>
        <v>0</v>
      </c>
      <c r="W635">
        <f t="shared" ca="1" si="229"/>
        <v>0</v>
      </c>
      <c r="X635">
        <f t="shared" ca="1" si="230"/>
        <v>0</v>
      </c>
      <c r="Y635">
        <f t="shared" ca="1" si="231"/>
        <v>8.1191326631194052</v>
      </c>
      <c r="Z635">
        <f t="shared" ca="1" si="232"/>
        <v>4.120867336880595</v>
      </c>
      <c r="AA635">
        <f t="shared" ca="1" si="233"/>
        <v>0</v>
      </c>
      <c r="AB635">
        <f t="shared" ca="1" si="234"/>
        <v>0</v>
      </c>
      <c r="AC635">
        <f t="shared" ca="1" si="235"/>
        <v>0</v>
      </c>
      <c r="AD635">
        <f t="shared" ca="1" si="236"/>
        <v>0</v>
      </c>
      <c r="AE635">
        <f t="shared" ca="1" si="237"/>
        <v>0</v>
      </c>
      <c r="AF635">
        <f t="shared" ca="1" si="238"/>
        <v>0</v>
      </c>
      <c r="AG635">
        <f t="shared" ca="1" si="239"/>
        <v>0</v>
      </c>
      <c r="AH635">
        <f t="shared" ca="1" si="240"/>
        <v>0</v>
      </c>
      <c r="AI635">
        <f t="shared" ca="1" si="241"/>
        <v>0</v>
      </c>
      <c r="AJ635">
        <f t="shared" ca="1" si="242"/>
        <v>0</v>
      </c>
      <c r="AK635">
        <f t="shared" ca="1" si="243"/>
        <v>0</v>
      </c>
      <c r="AL635">
        <f t="shared" ca="1" si="244"/>
        <v>0</v>
      </c>
      <c r="AM635">
        <f t="shared" ca="1" si="245"/>
        <v>0</v>
      </c>
      <c r="AN635">
        <f t="shared" ca="1" si="246"/>
        <v>0</v>
      </c>
      <c r="AO635">
        <f t="shared" ca="1" si="247"/>
        <v>0</v>
      </c>
      <c r="AP635">
        <f t="shared" ca="1" si="248"/>
        <v>0</v>
      </c>
    </row>
    <row r="636" spans="8:42" x14ac:dyDescent="0.2">
      <c r="H636" t="s">
        <v>1018</v>
      </c>
      <c r="I636">
        <f t="shared" ca="1" si="215"/>
        <v>7.6977564494483966E-2</v>
      </c>
      <c r="J636">
        <f t="shared" ca="1" si="216"/>
        <v>0</v>
      </c>
      <c r="K636">
        <f t="shared" ca="1" si="217"/>
        <v>0</v>
      </c>
      <c r="L636">
        <f t="shared" ca="1" si="218"/>
        <v>0</v>
      </c>
      <c r="M636">
        <f t="shared" ca="1" si="219"/>
        <v>0</v>
      </c>
      <c r="N636">
        <f t="shared" ca="1" si="220"/>
        <v>0</v>
      </c>
      <c r="O636">
        <f t="shared" ca="1" si="221"/>
        <v>0</v>
      </c>
      <c r="P636">
        <f t="shared" ca="1" si="222"/>
        <v>0</v>
      </c>
      <c r="Q636">
        <f t="shared" ca="1" si="223"/>
        <v>0</v>
      </c>
      <c r="R636">
        <f t="shared" ca="1" si="224"/>
        <v>0</v>
      </c>
      <c r="S636">
        <f t="shared" ca="1" si="225"/>
        <v>0</v>
      </c>
      <c r="T636">
        <f t="shared" ca="1" si="226"/>
        <v>0</v>
      </c>
      <c r="U636">
        <f t="shared" ca="1" si="227"/>
        <v>0</v>
      </c>
      <c r="V636">
        <f t="shared" ca="1" si="228"/>
        <v>0</v>
      </c>
      <c r="W636">
        <f t="shared" ca="1" si="229"/>
        <v>0</v>
      </c>
      <c r="X636">
        <f t="shared" ca="1" si="230"/>
        <v>0</v>
      </c>
      <c r="Y636">
        <f t="shared" ca="1" si="231"/>
        <v>0</v>
      </c>
      <c r="Z636">
        <f t="shared" ca="1" si="232"/>
        <v>24.403022435505516</v>
      </c>
      <c r="AA636">
        <f t="shared" ca="1" si="233"/>
        <v>0</v>
      </c>
      <c r="AB636">
        <f t="shared" ca="1" si="234"/>
        <v>0</v>
      </c>
      <c r="AC636">
        <f t="shared" ca="1" si="235"/>
        <v>0</v>
      </c>
      <c r="AD636">
        <f t="shared" ca="1" si="236"/>
        <v>0</v>
      </c>
      <c r="AE636">
        <f t="shared" ca="1" si="237"/>
        <v>0</v>
      </c>
      <c r="AF636">
        <f t="shared" ca="1" si="238"/>
        <v>0</v>
      </c>
      <c r="AG636">
        <f t="shared" ca="1" si="239"/>
        <v>0</v>
      </c>
      <c r="AH636">
        <f t="shared" ca="1" si="240"/>
        <v>0</v>
      </c>
      <c r="AI636">
        <f t="shared" ca="1" si="241"/>
        <v>0</v>
      </c>
      <c r="AJ636">
        <f t="shared" ca="1" si="242"/>
        <v>0</v>
      </c>
      <c r="AK636">
        <f t="shared" ca="1" si="243"/>
        <v>0</v>
      </c>
      <c r="AL636">
        <f t="shared" ca="1" si="244"/>
        <v>0</v>
      </c>
      <c r="AM636">
        <f t="shared" ca="1" si="245"/>
        <v>0</v>
      </c>
      <c r="AN636">
        <f t="shared" ca="1" si="246"/>
        <v>0</v>
      </c>
      <c r="AO636">
        <f t="shared" ca="1" si="247"/>
        <v>0</v>
      </c>
      <c r="AP636">
        <f t="shared" ca="1" si="248"/>
        <v>0</v>
      </c>
    </row>
    <row r="637" spans="8:42" x14ac:dyDescent="0.2">
      <c r="H637" t="s">
        <v>989</v>
      </c>
      <c r="I637">
        <f t="shared" ca="1" si="215"/>
        <v>0</v>
      </c>
      <c r="J637">
        <f t="shared" ca="1" si="216"/>
        <v>0</v>
      </c>
      <c r="K637">
        <f t="shared" ca="1" si="217"/>
        <v>0</v>
      </c>
      <c r="L637">
        <f t="shared" ca="1" si="218"/>
        <v>0</v>
      </c>
      <c r="M637">
        <f t="shared" ca="1" si="219"/>
        <v>0</v>
      </c>
      <c r="N637">
        <f t="shared" ca="1" si="220"/>
        <v>0</v>
      </c>
      <c r="O637">
        <f t="shared" ca="1" si="221"/>
        <v>0</v>
      </c>
      <c r="P637">
        <f t="shared" ca="1" si="222"/>
        <v>0</v>
      </c>
      <c r="Q637">
        <f t="shared" ca="1" si="223"/>
        <v>0</v>
      </c>
      <c r="R637">
        <f t="shared" ca="1" si="224"/>
        <v>0</v>
      </c>
      <c r="S637">
        <f t="shared" ca="1" si="225"/>
        <v>0</v>
      </c>
      <c r="T637">
        <f t="shared" ca="1" si="226"/>
        <v>0</v>
      </c>
      <c r="U637">
        <f t="shared" ca="1" si="227"/>
        <v>0</v>
      </c>
      <c r="V637">
        <f t="shared" ca="1" si="228"/>
        <v>0</v>
      </c>
      <c r="W637">
        <f t="shared" ca="1" si="229"/>
        <v>0</v>
      </c>
      <c r="X637">
        <f t="shared" ca="1" si="230"/>
        <v>0</v>
      </c>
      <c r="Y637">
        <f t="shared" ca="1" si="231"/>
        <v>0</v>
      </c>
      <c r="Z637">
        <f t="shared" ca="1" si="232"/>
        <v>26.928000000000001</v>
      </c>
      <c r="AA637">
        <f t="shared" ca="1" si="233"/>
        <v>0</v>
      </c>
      <c r="AB637">
        <f t="shared" ca="1" si="234"/>
        <v>0</v>
      </c>
      <c r="AC637">
        <f t="shared" ca="1" si="235"/>
        <v>0</v>
      </c>
      <c r="AD637">
        <f t="shared" ca="1" si="236"/>
        <v>0</v>
      </c>
      <c r="AE637">
        <f t="shared" ca="1" si="237"/>
        <v>0</v>
      </c>
      <c r="AF637">
        <f t="shared" ca="1" si="238"/>
        <v>0</v>
      </c>
      <c r="AG637">
        <f t="shared" ca="1" si="239"/>
        <v>0</v>
      </c>
      <c r="AH637">
        <f t="shared" ca="1" si="240"/>
        <v>0</v>
      </c>
      <c r="AI637">
        <f t="shared" ca="1" si="241"/>
        <v>0</v>
      </c>
      <c r="AJ637">
        <f t="shared" ca="1" si="242"/>
        <v>0</v>
      </c>
      <c r="AK637">
        <f t="shared" ca="1" si="243"/>
        <v>0</v>
      </c>
      <c r="AL637">
        <f t="shared" ca="1" si="244"/>
        <v>0</v>
      </c>
      <c r="AM637">
        <f t="shared" ca="1" si="245"/>
        <v>0</v>
      </c>
      <c r="AN637">
        <f t="shared" ca="1" si="246"/>
        <v>0</v>
      </c>
      <c r="AO637">
        <f t="shared" ca="1" si="247"/>
        <v>0</v>
      </c>
      <c r="AP637">
        <f t="shared" ca="1" si="248"/>
        <v>0</v>
      </c>
    </row>
    <row r="638" spans="8:42" x14ac:dyDescent="0.2">
      <c r="H638" t="s">
        <v>1164</v>
      </c>
      <c r="I638">
        <f t="shared" ca="1" si="215"/>
        <v>0</v>
      </c>
      <c r="J638">
        <f t="shared" ca="1" si="216"/>
        <v>0</v>
      </c>
      <c r="K638">
        <f t="shared" ca="1" si="217"/>
        <v>0</v>
      </c>
      <c r="L638">
        <f t="shared" ca="1" si="218"/>
        <v>0</v>
      </c>
      <c r="M638">
        <f t="shared" ca="1" si="219"/>
        <v>0</v>
      </c>
      <c r="N638">
        <f t="shared" ca="1" si="220"/>
        <v>0</v>
      </c>
      <c r="O638">
        <f t="shared" ca="1" si="221"/>
        <v>0</v>
      </c>
      <c r="P638">
        <f t="shared" ca="1" si="222"/>
        <v>0</v>
      </c>
      <c r="Q638">
        <f t="shared" ca="1" si="223"/>
        <v>0</v>
      </c>
      <c r="R638">
        <f t="shared" ca="1" si="224"/>
        <v>0</v>
      </c>
      <c r="S638">
        <f t="shared" ca="1" si="225"/>
        <v>0</v>
      </c>
      <c r="T638">
        <f t="shared" ca="1" si="226"/>
        <v>0</v>
      </c>
      <c r="U638">
        <f t="shared" ca="1" si="227"/>
        <v>0</v>
      </c>
      <c r="V638">
        <f t="shared" ca="1" si="228"/>
        <v>0</v>
      </c>
      <c r="W638">
        <f t="shared" ca="1" si="229"/>
        <v>0</v>
      </c>
      <c r="X638">
        <f t="shared" ca="1" si="230"/>
        <v>0</v>
      </c>
      <c r="Y638">
        <f t="shared" ca="1" si="231"/>
        <v>0</v>
      </c>
      <c r="Z638">
        <f t="shared" ca="1" si="232"/>
        <v>0</v>
      </c>
      <c r="AA638">
        <f t="shared" ca="1" si="233"/>
        <v>0</v>
      </c>
      <c r="AB638">
        <f t="shared" ca="1" si="234"/>
        <v>0</v>
      </c>
      <c r="AC638">
        <f t="shared" ca="1" si="235"/>
        <v>0</v>
      </c>
      <c r="AD638">
        <f t="shared" ca="1" si="236"/>
        <v>0</v>
      </c>
      <c r="AE638">
        <f t="shared" ca="1" si="237"/>
        <v>0</v>
      </c>
      <c r="AF638">
        <f t="shared" ca="1" si="238"/>
        <v>0</v>
      </c>
      <c r="AG638">
        <f t="shared" ca="1" si="239"/>
        <v>0</v>
      </c>
      <c r="AH638">
        <f t="shared" ca="1" si="240"/>
        <v>0</v>
      </c>
      <c r="AI638">
        <f t="shared" ca="1" si="241"/>
        <v>0</v>
      </c>
      <c r="AJ638">
        <f t="shared" ca="1" si="242"/>
        <v>0</v>
      </c>
      <c r="AK638">
        <f t="shared" ca="1" si="243"/>
        <v>0</v>
      </c>
      <c r="AL638">
        <f t="shared" ca="1" si="244"/>
        <v>0</v>
      </c>
      <c r="AM638">
        <f t="shared" ca="1" si="245"/>
        <v>0</v>
      </c>
      <c r="AN638">
        <f t="shared" ca="1" si="246"/>
        <v>0</v>
      </c>
      <c r="AO638">
        <f t="shared" ca="1" si="247"/>
        <v>0</v>
      </c>
      <c r="AP638">
        <f t="shared" ca="1" si="248"/>
        <v>0</v>
      </c>
    </row>
    <row r="639" spans="8:42" x14ac:dyDescent="0.2">
      <c r="H639" t="s">
        <v>1069</v>
      </c>
      <c r="I639">
        <f t="shared" ca="1" si="215"/>
        <v>8.4765699173178248</v>
      </c>
      <c r="J639">
        <f t="shared" ca="1" si="216"/>
        <v>0</v>
      </c>
      <c r="K639">
        <f t="shared" ca="1" si="217"/>
        <v>0</v>
      </c>
      <c r="L639">
        <f t="shared" ca="1" si="218"/>
        <v>0</v>
      </c>
      <c r="M639">
        <f t="shared" ca="1" si="219"/>
        <v>0</v>
      </c>
      <c r="N639">
        <f t="shared" ca="1" si="220"/>
        <v>0</v>
      </c>
      <c r="O639">
        <f t="shared" ca="1" si="221"/>
        <v>0</v>
      </c>
      <c r="P639">
        <f t="shared" ca="1" si="222"/>
        <v>0</v>
      </c>
      <c r="Q639">
        <f t="shared" ca="1" si="223"/>
        <v>0</v>
      </c>
      <c r="R639">
        <f t="shared" ca="1" si="224"/>
        <v>0</v>
      </c>
      <c r="S639">
        <f t="shared" ca="1" si="225"/>
        <v>0</v>
      </c>
      <c r="T639">
        <f t="shared" ca="1" si="226"/>
        <v>0</v>
      </c>
      <c r="U639">
        <f t="shared" ca="1" si="227"/>
        <v>0</v>
      </c>
      <c r="V639">
        <f t="shared" ca="1" si="228"/>
        <v>0</v>
      </c>
      <c r="W639">
        <f t="shared" ca="1" si="229"/>
        <v>0</v>
      </c>
      <c r="X639">
        <f t="shared" ca="1" si="230"/>
        <v>0</v>
      </c>
      <c r="Y639">
        <f t="shared" ca="1" si="231"/>
        <v>0</v>
      </c>
      <c r="Z639">
        <f t="shared" ca="1" si="232"/>
        <v>0</v>
      </c>
      <c r="AA639">
        <f t="shared" ca="1" si="233"/>
        <v>0</v>
      </c>
      <c r="AB639">
        <f t="shared" ca="1" si="234"/>
        <v>0</v>
      </c>
      <c r="AC639">
        <f t="shared" ca="1" si="235"/>
        <v>0</v>
      </c>
      <c r="AD639">
        <f t="shared" ca="1" si="236"/>
        <v>0</v>
      </c>
      <c r="AE639">
        <f t="shared" ca="1" si="237"/>
        <v>0</v>
      </c>
      <c r="AF639">
        <f t="shared" ca="1" si="238"/>
        <v>0</v>
      </c>
      <c r="AG639">
        <f t="shared" ca="1" si="239"/>
        <v>0</v>
      </c>
      <c r="AH639">
        <f t="shared" ca="1" si="240"/>
        <v>0</v>
      </c>
      <c r="AI639">
        <f t="shared" ca="1" si="241"/>
        <v>0</v>
      </c>
      <c r="AJ639">
        <f t="shared" ca="1" si="242"/>
        <v>0</v>
      </c>
      <c r="AK639">
        <f t="shared" ca="1" si="243"/>
        <v>0</v>
      </c>
      <c r="AL639">
        <f t="shared" ca="1" si="244"/>
        <v>9.5234300826821752</v>
      </c>
      <c r="AM639">
        <f t="shared" ca="1" si="245"/>
        <v>0</v>
      </c>
      <c r="AN639">
        <f t="shared" ca="1" si="246"/>
        <v>0</v>
      </c>
      <c r="AO639">
        <f t="shared" ca="1" si="247"/>
        <v>0</v>
      </c>
      <c r="AP639">
        <f t="shared" ca="1" si="248"/>
        <v>0</v>
      </c>
    </row>
    <row r="640" spans="8:42" x14ac:dyDescent="0.2">
      <c r="H640" t="s">
        <v>1043</v>
      </c>
      <c r="I640">
        <f t="shared" ca="1" si="215"/>
        <v>5.3774837825568982</v>
      </c>
      <c r="J640">
        <f t="shared" ca="1" si="216"/>
        <v>0</v>
      </c>
      <c r="K640">
        <f t="shared" ca="1" si="217"/>
        <v>0</v>
      </c>
      <c r="L640">
        <f t="shared" ca="1" si="218"/>
        <v>0</v>
      </c>
      <c r="M640">
        <f t="shared" ca="1" si="219"/>
        <v>0</v>
      </c>
      <c r="N640">
        <f t="shared" ca="1" si="220"/>
        <v>0</v>
      </c>
      <c r="O640">
        <f t="shared" ca="1" si="221"/>
        <v>0</v>
      </c>
      <c r="P640">
        <f t="shared" ca="1" si="222"/>
        <v>0</v>
      </c>
      <c r="Q640">
        <f t="shared" ca="1" si="223"/>
        <v>0</v>
      </c>
      <c r="R640">
        <f t="shared" ca="1" si="224"/>
        <v>0</v>
      </c>
      <c r="S640">
        <f t="shared" ca="1" si="225"/>
        <v>0</v>
      </c>
      <c r="T640">
        <f t="shared" ca="1" si="226"/>
        <v>0</v>
      </c>
      <c r="U640">
        <f t="shared" ca="1" si="227"/>
        <v>0</v>
      </c>
      <c r="V640">
        <f t="shared" ca="1" si="228"/>
        <v>0</v>
      </c>
      <c r="W640">
        <f t="shared" ca="1" si="229"/>
        <v>0</v>
      </c>
      <c r="X640">
        <f t="shared" ca="1" si="230"/>
        <v>3.7275082268549999</v>
      </c>
      <c r="Y640">
        <f t="shared" ca="1" si="231"/>
        <v>2.0463217128148123</v>
      </c>
      <c r="Z640">
        <f t="shared" ca="1" si="232"/>
        <v>0</v>
      </c>
      <c r="AA640">
        <f t="shared" ca="1" si="233"/>
        <v>0</v>
      </c>
      <c r="AB640">
        <f t="shared" ca="1" si="234"/>
        <v>0</v>
      </c>
      <c r="AC640">
        <f t="shared" ca="1" si="235"/>
        <v>0</v>
      </c>
      <c r="AD640">
        <f t="shared" ca="1" si="236"/>
        <v>0</v>
      </c>
      <c r="AE640">
        <f t="shared" ca="1" si="237"/>
        <v>0</v>
      </c>
      <c r="AF640">
        <f t="shared" ca="1" si="238"/>
        <v>0</v>
      </c>
      <c r="AG640">
        <f t="shared" ca="1" si="239"/>
        <v>0.34123522839578824</v>
      </c>
      <c r="AH640">
        <f t="shared" ca="1" si="240"/>
        <v>0</v>
      </c>
      <c r="AI640">
        <f t="shared" ca="1" si="241"/>
        <v>0</v>
      </c>
      <c r="AJ640">
        <f t="shared" ca="1" si="242"/>
        <v>0</v>
      </c>
      <c r="AK640">
        <f t="shared" ca="1" si="243"/>
        <v>4.4251538332157505</v>
      </c>
      <c r="AL640">
        <f t="shared" ca="1" si="244"/>
        <v>4.4822972161617489</v>
      </c>
      <c r="AM640">
        <f t="shared" ca="1" si="245"/>
        <v>0</v>
      </c>
      <c r="AN640">
        <f t="shared" ca="1" si="246"/>
        <v>0</v>
      </c>
      <c r="AO640">
        <f t="shared" ca="1" si="247"/>
        <v>0</v>
      </c>
      <c r="AP640">
        <f t="shared" ca="1" si="248"/>
        <v>0</v>
      </c>
    </row>
    <row r="641" spans="8:42" x14ac:dyDescent="0.2">
      <c r="H641" t="s">
        <v>1007</v>
      </c>
      <c r="I641">
        <f t="shared" ca="1" si="215"/>
        <v>0</v>
      </c>
      <c r="J641">
        <f t="shared" ca="1" si="216"/>
        <v>0</v>
      </c>
      <c r="K641">
        <f t="shared" ca="1" si="217"/>
        <v>0</v>
      </c>
      <c r="L641">
        <f t="shared" ca="1" si="218"/>
        <v>0</v>
      </c>
      <c r="M641">
        <f t="shared" ca="1" si="219"/>
        <v>0</v>
      </c>
      <c r="N641">
        <f t="shared" ca="1" si="220"/>
        <v>0</v>
      </c>
      <c r="O641">
        <f t="shared" ca="1" si="221"/>
        <v>0</v>
      </c>
      <c r="P641">
        <f t="shared" ca="1" si="222"/>
        <v>0</v>
      </c>
      <c r="Q641">
        <f t="shared" ca="1" si="223"/>
        <v>0</v>
      </c>
      <c r="R641">
        <f t="shared" ca="1" si="224"/>
        <v>0</v>
      </c>
      <c r="S641">
        <f t="shared" ca="1" si="225"/>
        <v>0</v>
      </c>
      <c r="T641">
        <f t="shared" ca="1" si="226"/>
        <v>0</v>
      </c>
      <c r="U641">
        <f t="shared" ca="1" si="227"/>
        <v>0</v>
      </c>
      <c r="V641">
        <f t="shared" ca="1" si="228"/>
        <v>0</v>
      </c>
      <c r="W641">
        <f t="shared" ca="1" si="229"/>
        <v>0</v>
      </c>
      <c r="X641">
        <f t="shared" ca="1" si="230"/>
        <v>0</v>
      </c>
      <c r="Y641">
        <f t="shared" ca="1" si="231"/>
        <v>0</v>
      </c>
      <c r="Z641">
        <f t="shared" ca="1" si="232"/>
        <v>0</v>
      </c>
      <c r="AA641">
        <f t="shared" ca="1" si="233"/>
        <v>0</v>
      </c>
      <c r="AB641">
        <f t="shared" ca="1" si="234"/>
        <v>0</v>
      </c>
      <c r="AC641">
        <f t="shared" ca="1" si="235"/>
        <v>0</v>
      </c>
      <c r="AD641">
        <f t="shared" ca="1" si="236"/>
        <v>0</v>
      </c>
      <c r="AE641">
        <f t="shared" ca="1" si="237"/>
        <v>0</v>
      </c>
      <c r="AF641">
        <f t="shared" ca="1" si="238"/>
        <v>0</v>
      </c>
      <c r="AG641">
        <f t="shared" ca="1" si="239"/>
        <v>0</v>
      </c>
      <c r="AH641">
        <f t="shared" ca="1" si="240"/>
        <v>0</v>
      </c>
      <c r="AI641">
        <f t="shared" ca="1" si="241"/>
        <v>0</v>
      </c>
      <c r="AJ641">
        <f t="shared" ca="1" si="242"/>
        <v>0</v>
      </c>
      <c r="AK641">
        <f t="shared" ca="1" si="243"/>
        <v>0</v>
      </c>
      <c r="AL641">
        <f t="shared" ca="1" si="244"/>
        <v>24.48</v>
      </c>
      <c r="AM641">
        <f t="shared" ca="1" si="245"/>
        <v>0</v>
      </c>
      <c r="AN641">
        <f t="shared" ca="1" si="246"/>
        <v>0</v>
      </c>
      <c r="AO641">
        <f t="shared" ca="1" si="247"/>
        <v>0</v>
      </c>
      <c r="AP641">
        <f t="shared" ca="1" si="248"/>
        <v>0</v>
      </c>
    </row>
    <row r="642" spans="8:42" x14ac:dyDescent="0.2">
      <c r="H642" t="s">
        <v>1089</v>
      </c>
      <c r="I642">
        <f t="shared" ca="1" si="215"/>
        <v>0</v>
      </c>
      <c r="J642">
        <f t="shared" ca="1" si="216"/>
        <v>0</v>
      </c>
      <c r="K642">
        <f t="shared" ca="1" si="217"/>
        <v>0</v>
      </c>
      <c r="L642">
        <f t="shared" ca="1" si="218"/>
        <v>0</v>
      </c>
      <c r="M642">
        <f t="shared" ca="1" si="219"/>
        <v>3.0271666878497409E-4</v>
      </c>
      <c r="N642">
        <f t="shared" ca="1" si="220"/>
        <v>0</v>
      </c>
      <c r="O642">
        <f t="shared" ca="1" si="221"/>
        <v>0</v>
      </c>
      <c r="P642">
        <f t="shared" ca="1" si="222"/>
        <v>0</v>
      </c>
      <c r="Q642">
        <f t="shared" ca="1" si="223"/>
        <v>0.87613842441137046</v>
      </c>
      <c r="R642">
        <f t="shared" ca="1" si="224"/>
        <v>0</v>
      </c>
      <c r="S642">
        <f t="shared" ca="1" si="225"/>
        <v>0</v>
      </c>
      <c r="T642">
        <f t="shared" ca="1" si="226"/>
        <v>1.2573026959520441</v>
      </c>
      <c r="U642">
        <f t="shared" ca="1" si="227"/>
        <v>6.4460711168088575E-2</v>
      </c>
      <c r="V642">
        <f t="shared" ca="1" si="228"/>
        <v>2.8707911830414563E-2</v>
      </c>
      <c r="W642">
        <f t="shared" ca="1" si="229"/>
        <v>0</v>
      </c>
      <c r="X642">
        <f t="shared" ca="1" si="230"/>
        <v>0</v>
      </c>
      <c r="Y642">
        <f t="shared" ca="1" si="231"/>
        <v>0</v>
      </c>
      <c r="Z642">
        <f t="shared" ca="1" si="232"/>
        <v>0</v>
      </c>
      <c r="AA642">
        <f t="shared" ca="1" si="233"/>
        <v>0</v>
      </c>
      <c r="AB642">
        <f t="shared" ca="1" si="234"/>
        <v>0</v>
      </c>
      <c r="AC642">
        <f t="shared" ca="1" si="235"/>
        <v>0</v>
      </c>
      <c r="AD642">
        <f t="shared" ca="1" si="236"/>
        <v>0</v>
      </c>
      <c r="AE642">
        <f t="shared" ca="1" si="237"/>
        <v>0</v>
      </c>
      <c r="AF642">
        <f t="shared" ca="1" si="238"/>
        <v>0</v>
      </c>
      <c r="AG642">
        <f t="shared" ca="1" si="239"/>
        <v>0</v>
      </c>
      <c r="AH642">
        <f t="shared" ca="1" si="240"/>
        <v>1.338436083917554</v>
      </c>
      <c r="AI642">
        <f t="shared" ca="1" si="241"/>
        <v>2.6415738861002072</v>
      </c>
      <c r="AJ642">
        <f t="shared" ca="1" si="242"/>
        <v>0</v>
      </c>
      <c r="AK642">
        <f t="shared" ca="1" si="243"/>
        <v>0</v>
      </c>
      <c r="AL642">
        <f t="shared" ca="1" si="244"/>
        <v>0</v>
      </c>
      <c r="AM642">
        <f t="shared" ca="1" si="245"/>
        <v>0</v>
      </c>
      <c r="AN642">
        <f t="shared" ca="1" si="246"/>
        <v>5.0767049252357284</v>
      </c>
      <c r="AO642">
        <f t="shared" ca="1" si="247"/>
        <v>0.53637264471580937</v>
      </c>
      <c r="AP642">
        <f t="shared" ca="1" si="248"/>
        <v>0</v>
      </c>
    </row>
    <row r="643" spans="8:42" x14ac:dyDescent="0.2">
      <c r="H643" t="s">
        <v>1002</v>
      </c>
      <c r="I643">
        <f t="shared" ca="1" si="215"/>
        <v>0.62935869805250666</v>
      </c>
      <c r="J643">
        <f t="shared" ca="1" si="216"/>
        <v>0</v>
      </c>
      <c r="K643">
        <f t="shared" ca="1" si="217"/>
        <v>0</v>
      </c>
      <c r="L643">
        <f t="shared" ca="1" si="218"/>
        <v>0</v>
      </c>
      <c r="M643">
        <f t="shared" ca="1" si="219"/>
        <v>0</v>
      </c>
      <c r="N643">
        <f t="shared" ca="1" si="220"/>
        <v>7.3294957290538054</v>
      </c>
      <c r="O643">
        <f t="shared" ca="1" si="221"/>
        <v>1.9635077794925468</v>
      </c>
      <c r="P643">
        <f t="shared" ca="1" si="222"/>
        <v>0.56068001097439613</v>
      </c>
      <c r="Q643">
        <f t="shared" ca="1" si="223"/>
        <v>0</v>
      </c>
      <c r="R643">
        <f t="shared" ca="1" si="224"/>
        <v>0.6828902324195425</v>
      </c>
      <c r="S643">
        <f t="shared" ca="1" si="225"/>
        <v>12.701830700607449</v>
      </c>
      <c r="T643">
        <f t="shared" ca="1" si="226"/>
        <v>0</v>
      </c>
      <c r="U643">
        <f t="shared" ca="1" si="227"/>
        <v>0</v>
      </c>
      <c r="V643">
        <f t="shared" ca="1" si="228"/>
        <v>0.19663937704956316</v>
      </c>
      <c r="W643">
        <f t="shared" ca="1" si="229"/>
        <v>0</v>
      </c>
      <c r="X643">
        <f t="shared" ca="1" si="230"/>
        <v>0</v>
      </c>
      <c r="Y643">
        <f t="shared" ca="1" si="231"/>
        <v>0</v>
      </c>
      <c r="Z643">
        <f t="shared" ca="1" si="232"/>
        <v>7.5808503620394534</v>
      </c>
      <c r="AA643">
        <f t="shared" ca="1" si="233"/>
        <v>8.204400665732086</v>
      </c>
      <c r="AB643">
        <f t="shared" ca="1" si="234"/>
        <v>0</v>
      </c>
      <c r="AC643">
        <f t="shared" ca="1" si="235"/>
        <v>0</v>
      </c>
      <c r="AD643">
        <f t="shared" ca="1" si="236"/>
        <v>0</v>
      </c>
      <c r="AE643">
        <f t="shared" ca="1" si="237"/>
        <v>0</v>
      </c>
      <c r="AF643">
        <f t="shared" ca="1" si="238"/>
        <v>0</v>
      </c>
      <c r="AG643">
        <f t="shared" ca="1" si="239"/>
        <v>0</v>
      </c>
      <c r="AH643">
        <f t="shared" ca="1" si="240"/>
        <v>0</v>
      </c>
      <c r="AI643">
        <f t="shared" ca="1" si="241"/>
        <v>0</v>
      </c>
      <c r="AJ643">
        <f t="shared" ca="1" si="242"/>
        <v>0</v>
      </c>
      <c r="AK643">
        <f t="shared" ca="1" si="243"/>
        <v>0</v>
      </c>
      <c r="AL643">
        <f t="shared" ca="1" si="244"/>
        <v>0.54234644457866099</v>
      </c>
      <c r="AM643">
        <f t="shared" ca="1" si="245"/>
        <v>0</v>
      </c>
      <c r="AN643">
        <f t="shared" ca="1" si="246"/>
        <v>0</v>
      </c>
      <c r="AO643">
        <f t="shared" ca="1" si="247"/>
        <v>0</v>
      </c>
      <c r="AP643">
        <f t="shared" ca="1" si="248"/>
        <v>0</v>
      </c>
    </row>
    <row r="644" spans="8:42" x14ac:dyDescent="0.2">
      <c r="H644" t="s">
        <v>1057</v>
      </c>
      <c r="I644">
        <f t="shared" ca="1" si="215"/>
        <v>0</v>
      </c>
      <c r="J644">
        <f t="shared" ca="1" si="216"/>
        <v>0</v>
      </c>
      <c r="K644">
        <f t="shared" ca="1" si="217"/>
        <v>0</v>
      </c>
      <c r="L644">
        <f t="shared" ca="1" si="218"/>
        <v>0</v>
      </c>
      <c r="M644">
        <f t="shared" ca="1" si="219"/>
        <v>0</v>
      </c>
      <c r="N644">
        <f t="shared" ca="1" si="220"/>
        <v>2.9873802200443502</v>
      </c>
      <c r="O644">
        <f t="shared" ca="1" si="221"/>
        <v>0.58693030811103686</v>
      </c>
      <c r="P644">
        <f t="shared" ca="1" si="222"/>
        <v>0.18500087760404729</v>
      </c>
      <c r="Q644">
        <f t="shared" ca="1" si="223"/>
        <v>0</v>
      </c>
      <c r="R644">
        <f t="shared" ca="1" si="224"/>
        <v>0.26334069384274034</v>
      </c>
      <c r="S644">
        <f t="shared" ca="1" si="225"/>
        <v>5.2851677242626245</v>
      </c>
      <c r="T644">
        <f t="shared" ca="1" si="226"/>
        <v>0</v>
      </c>
      <c r="U644">
        <f t="shared" ca="1" si="227"/>
        <v>0</v>
      </c>
      <c r="V644">
        <f t="shared" ca="1" si="228"/>
        <v>6.8914232335085382E-2</v>
      </c>
      <c r="W644">
        <f t="shared" ca="1" si="229"/>
        <v>0</v>
      </c>
      <c r="X644">
        <f t="shared" ca="1" si="230"/>
        <v>0</v>
      </c>
      <c r="Y644">
        <f t="shared" ca="1" si="231"/>
        <v>0</v>
      </c>
      <c r="Z644">
        <f t="shared" ca="1" si="232"/>
        <v>3.4261496632927266</v>
      </c>
      <c r="AA644">
        <f t="shared" ca="1" si="233"/>
        <v>6.2430575716550383</v>
      </c>
      <c r="AB644">
        <f t="shared" ca="1" si="234"/>
        <v>0</v>
      </c>
      <c r="AC644">
        <f t="shared" ca="1" si="235"/>
        <v>0</v>
      </c>
      <c r="AD644">
        <f t="shared" ca="1" si="236"/>
        <v>0</v>
      </c>
      <c r="AE644">
        <f t="shared" ca="1" si="237"/>
        <v>0</v>
      </c>
      <c r="AF644">
        <f t="shared" ca="1" si="238"/>
        <v>0</v>
      </c>
      <c r="AG644">
        <f t="shared" ca="1" si="239"/>
        <v>0</v>
      </c>
      <c r="AH644">
        <f t="shared" ca="1" si="240"/>
        <v>0</v>
      </c>
      <c r="AI644">
        <f t="shared" ca="1" si="241"/>
        <v>0</v>
      </c>
      <c r="AJ644">
        <f t="shared" ca="1" si="242"/>
        <v>0</v>
      </c>
      <c r="AK644">
        <f t="shared" ca="1" si="243"/>
        <v>0</v>
      </c>
      <c r="AL644">
        <f t="shared" ca="1" si="244"/>
        <v>0.15405870885235121</v>
      </c>
      <c r="AM644">
        <f t="shared" ca="1" si="245"/>
        <v>0</v>
      </c>
      <c r="AN644">
        <f t="shared" ca="1" si="246"/>
        <v>0</v>
      </c>
      <c r="AO644">
        <f t="shared" ca="1" si="247"/>
        <v>0</v>
      </c>
      <c r="AP644">
        <f t="shared" ca="1" si="248"/>
        <v>0</v>
      </c>
    </row>
    <row r="645" spans="8:42" x14ac:dyDescent="0.2">
      <c r="H645" t="s">
        <v>991</v>
      </c>
      <c r="I645">
        <f t="shared" ca="1" si="215"/>
        <v>0</v>
      </c>
      <c r="J645">
        <f t="shared" ca="1" si="216"/>
        <v>0</v>
      </c>
      <c r="K645">
        <f t="shared" ca="1" si="217"/>
        <v>0</v>
      </c>
      <c r="L645">
        <f t="shared" ca="1" si="218"/>
        <v>0</v>
      </c>
      <c r="M645">
        <f t="shared" ca="1" si="219"/>
        <v>0</v>
      </c>
      <c r="N645">
        <f t="shared" ca="1" si="220"/>
        <v>15.138520698853062</v>
      </c>
      <c r="O645">
        <f t="shared" ca="1" si="221"/>
        <v>4.4678212467315204</v>
      </c>
      <c r="P645">
        <f t="shared" ca="1" si="222"/>
        <v>0</v>
      </c>
      <c r="Q645">
        <f t="shared" ca="1" si="223"/>
        <v>0</v>
      </c>
      <c r="R645">
        <f t="shared" ca="1" si="224"/>
        <v>2.8803595115699552</v>
      </c>
      <c r="S645">
        <f t="shared" ca="1" si="225"/>
        <v>2.7840017120888572</v>
      </c>
      <c r="T645">
        <f t="shared" ca="1" si="226"/>
        <v>0</v>
      </c>
      <c r="U645">
        <f t="shared" ca="1" si="227"/>
        <v>0</v>
      </c>
      <c r="V645">
        <f t="shared" ca="1" si="228"/>
        <v>0.10593169975882358</v>
      </c>
      <c r="W645">
        <f t="shared" ca="1" si="229"/>
        <v>0</v>
      </c>
      <c r="X645">
        <f t="shared" ca="1" si="230"/>
        <v>0</v>
      </c>
      <c r="Y645">
        <f t="shared" ca="1" si="231"/>
        <v>0</v>
      </c>
      <c r="Z645">
        <f t="shared" ca="1" si="232"/>
        <v>0</v>
      </c>
      <c r="AA645">
        <f t="shared" ca="1" si="233"/>
        <v>0</v>
      </c>
      <c r="AB645">
        <f t="shared" ca="1" si="234"/>
        <v>0</v>
      </c>
      <c r="AC645">
        <f t="shared" ca="1" si="235"/>
        <v>0</v>
      </c>
      <c r="AD645">
        <f t="shared" ca="1" si="236"/>
        <v>0</v>
      </c>
      <c r="AE645">
        <f t="shared" ca="1" si="237"/>
        <v>0</v>
      </c>
      <c r="AF645">
        <f t="shared" ca="1" si="238"/>
        <v>0</v>
      </c>
      <c r="AG645">
        <f t="shared" ca="1" si="239"/>
        <v>0</v>
      </c>
      <c r="AH645">
        <f t="shared" ca="1" si="240"/>
        <v>0</v>
      </c>
      <c r="AI645">
        <f t="shared" ca="1" si="241"/>
        <v>0</v>
      </c>
      <c r="AJ645">
        <f t="shared" ca="1" si="242"/>
        <v>0</v>
      </c>
      <c r="AK645">
        <f t="shared" ca="1" si="243"/>
        <v>0</v>
      </c>
      <c r="AL645">
        <f t="shared" ca="1" si="244"/>
        <v>1.5513651309977823</v>
      </c>
      <c r="AM645">
        <f t="shared" ca="1" si="245"/>
        <v>0</v>
      </c>
      <c r="AN645">
        <f t="shared" ca="1" si="246"/>
        <v>0</v>
      </c>
      <c r="AO645">
        <f t="shared" ca="1" si="247"/>
        <v>0</v>
      </c>
      <c r="AP645">
        <f t="shared" ca="1" si="248"/>
        <v>0</v>
      </c>
    </row>
    <row r="646" spans="8:42" x14ac:dyDescent="0.2">
      <c r="H646" t="s">
        <v>1165</v>
      </c>
      <c r="I646">
        <f t="shared" ca="1" si="215"/>
        <v>0</v>
      </c>
      <c r="J646">
        <f t="shared" ca="1" si="216"/>
        <v>0</v>
      </c>
      <c r="K646">
        <f t="shared" ca="1" si="217"/>
        <v>0</v>
      </c>
      <c r="L646">
        <f t="shared" ca="1" si="218"/>
        <v>0</v>
      </c>
      <c r="M646">
        <f t="shared" ca="1" si="219"/>
        <v>0</v>
      </c>
      <c r="N646">
        <f t="shared" ca="1" si="220"/>
        <v>0</v>
      </c>
      <c r="O646">
        <f t="shared" ca="1" si="221"/>
        <v>0</v>
      </c>
      <c r="P646">
        <f t="shared" ca="1" si="222"/>
        <v>0</v>
      </c>
      <c r="Q646">
        <f t="shared" ca="1" si="223"/>
        <v>0</v>
      </c>
      <c r="R646">
        <f t="shared" ca="1" si="224"/>
        <v>0</v>
      </c>
      <c r="S646">
        <f t="shared" ca="1" si="225"/>
        <v>0</v>
      </c>
      <c r="T646">
        <f t="shared" ca="1" si="226"/>
        <v>0</v>
      </c>
      <c r="U646">
        <f t="shared" ca="1" si="227"/>
        <v>0</v>
      </c>
      <c r="V646">
        <f t="shared" ca="1" si="228"/>
        <v>0</v>
      </c>
      <c r="W646">
        <f t="shared" ca="1" si="229"/>
        <v>0</v>
      </c>
      <c r="X646">
        <f t="shared" ca="1" si="230"/>
        <v>0</v>
      </c>
      <c r="Y646">
        <f t="shared" ca="1" si="231"/>
        <v>0</v>
      </c>
      <c r="Z646">
        <f t="shared" ca="1" si="232"/>
        <v>0</v>
      </c>
      <c r="AA646">
        <f t="shared" ca="1" si="233"/>
        <v>0</v>
      </c>
      <c r="AB646">
        <f t="shared" ca="1" si="234"/>
        <v>0</v>
      </c>
      <c r="AC646">
        <f t="shared" ca="1" si="235"/>
        <v>0</v>
      </c>
      <c r="AD646">
        <f t="shared" ca="1" si="236"/>
        <v>0</v>
      </c>
      <c r="AE646">
        <f t="shared" ca="1" si="237"/>
        <v>0</v>
      </c>
      <c r="AF646">
        <f t="shared" ca="1" si="238"/>
        <v>0</v>
      </c>
      <c r="AG646">
        <f t="shared" ca="1" si="239"/>
        <v>0</v>
      </c>
      <c r="AH646">
        <f t="shared" ca="1" si="240"/>
        <v>0</v>
      </c>
      <c r="AI646">
        <f t="shared" ca="1" si="241"/>
        <v>0</v>
      </c>
      <c r="AJ646">
        <f t="shared" ca="1" si="242"/>
        <v>0</v>
      </c>
      <c r="AK646">
        <f t="shared" ca="1" si="243"/>
        <v>0</v>
      </c>
      <c r="AL646">
        <f t="shared" ca="1" si="244"/>
        <v>0</v>
      </c>
      <c r="AM646">
        <f t="shared" ca="1" si="245"/>
        <v>0</v>
      </c>
      <c r="AN646">
        <f t="shared" ca="1" si="246"/>
        <v>0</v>
      </c>
      <c r="AO646">
        <f t="shared" ca="1" si="247"/>
        <v>0</v>
      </c>
      <c r="AP646">
        <f t="shared" ca="1" si="248"/>
        <v>0</v>
      </c>
    </row>
    <row r="647" spans="8:42" x14ac:dyDescent="0.2">
      <c r="H647" t="s">
        <v>1022</v>
      </c>
      <c r="I647">
        <f t="shared" ca="1" si="215"/>
        <v>0</v>
      </c>
      <c r="J647">
        <f t="shared" ca="1" si="216"/>
        <v>0</v>
      </c>
      <c r="K647">
        <f t="shared" ca="1" si="217"/>
        <v>0</v>
      </c>
      <c r="L647">
        <f t="shared" ca="1" si="218"/>
        <v>0</v>
      </c>
      <c r="M647">
        <f t="shared" ca="1" si="219"/>
        <v>0</v>
      </c>
      <c r="N647">
        <f t="shared" ca="1" si="220"/>
        <v>0</v>
      </c>
      <c r="O647">
        <f t="shared" ca="1" si="221"/>
        <v>0</v>
      </c>
      <c r="P647">
        <f t="shared" ca="1" si="222"/>
        <v>0</v>
      </c>
      <c r="Q647">
        <f t="shared" ca="1" si="223"/>
        <v>0</v>
      </c>
      <c r="R647">
        <f t="shared" ca="1" si="224"/>
        <v>0</v>
      </c>
      <c r="S647">
        <f t="shared" ca="1" si="225"/>
        <v>0</v>
      </c>
      <c r="T647">
        <f t="shared" ca="1" si="226"/>
        <v>0</v>
      </c>
      <c r="U647">
        <f t="shared" ca="1" si="227"/>
        <v>0</v>
      </c>
      <c r="V647">
        <f t="shared" ca="1" si="228"/>
        <v>0</v>
      </c>
      <c r="W647">
        <f t="shared" ca="1" si="229"/>
        <v>0</v>
      </c>
      <c r="X647">
        <f t="shared" ca="1" si="230"/>
        <v>0</v>
      </c>
      <c r="Y647">
        <f t="shared" ca="1" si="231"/>
        <v>0</v>
      </c>
      <c r="Z647">
        <f t="shared" ca="1" si="232"/>
        <v>0</v>
      </c>
      <c r="AA647">
        <f t="shared" ca="1" si="233"/>
        <v>0</v>
      </c>
      <c r="AB647">
        <f t="shared" ca="1" si="234"/>
        <v>0</v>
      </c>
      <c r="AC647">
        <f t="shared" ca="1" si="235"/>
        <v>0</v>
      </c>
      <c r="AD647">
        <f t="shared" ca="1" si="236"/>
        <v>0</v>
      </c>
      <c r="AE647">
        <f t="shared" ca="1" si="237"/>
        <v>0</v>
      </c>
      <c r="AF647">
        <f t="shared" ca="1" si="238"/>
        <v>23.759999999999998</v>
      </c>
      <c r="AG647">
        <f t="shared" ca="1" si="239"/>
        <v>0</v>
      </c>
      <c r="AH647">
        <f t="shared" ca="1" si="240"/>
        <v>0</v>
      </c>
      <c r="AI647">
        <f t="shared" ca="1" si="241"/>
        <v>0</v>
      </c>
      <c r="AJ647">
        <f t="shared" ca="1" si="242"/>
        <v>0</v>
      </c>
      <c r="AK647">
        <f t="shared" ca="1" si="243"/>
        <v>0</v>
      </c>
      <c r="AL647">
        <f t="shared" ca="1" si="244"/>
        <v>0</v>
      </c>
      <c r="AM647">
        <f t="shared" ca="1" si="245"/>
        <v>0</v>
      </c>
      <c r="AN647">
        <f t="shared" ca="1" si="246"/>
        <v>0</v>
      </c>
      <c r="AO647">
        <f t="shared" ca="1" si="247"/>
        <v>0</v>
      </c>
      <c r="AP647">
        <f t="shared" ca="1" si="248"/>
        <v>0</v>
      </c>
    </row>
    <row r="648" spans="8:42" x14ac:dyDescent="0.2">
      <c r="H648" t="s">
        <v>1198</v>
      </c>
      <c r="I648">
        <f t="shared" ca="1" si="215"/>
        <v>0</v>
      </c>
      <c r="J648">
        <f t="shared" ca="1" si="216"/>
        <v>0</v>
      </c>
      <c r="K648">
        <f t="shared" ca="1" si="217"/>
        <v>0</v>
      </c>
      <c r="L648">
        <f t="shared" ca="1" si="218"/>
        <v>0</v>
      </c>
      <c r="M648">
        <f t="shared" ca="1" si="219"/>
        <v>0</v>
      </c>
      <c r="N648">
        <f t="shared" ca="1" si="220"/>
        <v>0</v>
      </c>
      <c r="O648">
        <f t="shared" ca="1" si="221"/>
        <v>0</v>
      </c>
      <c r="P648">
        <f t="shared" ca="1" si="222"/>
        <v>0</v>
      </c>
      <c r="Q648">
        <f t="shared" ca="1" si="223"/>
        <v>0</v>
      </c>
      <c r="R648">
        <f t="shared" ca="1" si="224"/>
        <v>0</v>
      </c>
      <c r="S648">
        <f t="shared" ca="1" si="225"/>
        <v>0</v>
      </c>
      <c r="T648">
        <f t="shared" ca="1" si="226"/>
        <v>0</v>
      </c>
      <c r="U648">
        <f t="shared" ca="1" si="227"/>
        <v>0</v>
      </c>
      <c r="V648">
        <f t="shared" ca="1" si="228"/>
        <v>0</v>
      </c>
      <c r="W648">
        <f t="shared" ca="1" si="229"/>
        <v>0</v>
      </c>
      <c r="X648">
        <f t="shared" ca="1" si="230"/>
        <v>0</v>
      </c>
      <c r="Y648">
        <f t="shared" ca="1" si="231"/>
        <v>0</v>
      </c>
      <c r="Z648">
        <f t="shared" ca="1" si="232"/>
        <v>0</v>
      </c>
      <c r="AA648">
        <f t="shared" ca="1" si="233"/>
        <v>0</v>
      </c>
      <c r="AB648">
        <f t="shared" ca="1" si="234"/>
        <v>0</v>
      </c>
      <c r="AC648">
        <f t="shared" ca="1" si="235"/>
        <v>0</v>
      </c>
      <c r="AD648">
        <f t="shared" ca="1" si="236"/>
        <v>0</v>
      </c>
      <c r="AE648">
        <f t="shared" ca="1" si="237"/>
        <v>0</v>
      </c>
      <c r="AF648">
        <f t="shared" ca="1" si="238"/>
        <v>0</v>
      </c>
      <c r="AG648">
        <f t="shared" ca="1" si="239"/>
        <v>0</v>
      </c>
      <c r="AH648">
        <f t="shared" ca="1" si="240"/>
        <v>0</v>
      </c>
      <c r="AI648">
        <f t="shared" ca="1" si="241"/>
        <v>0</v>
      </c>
      <c r="AJ648">
        <f t="shared" ca="1" si="242"/>
        <v>0</v>
      </c>
      <c r="AK648">
        <f t="shared" ca="1" si="243"/>
        <v>0</v>
      </c>
      <c r="AL648">
        <f t="shared" ca="1" si="244"/>
        <v>0</v>
      </c>
      <c r="AM648">
        <f t="shared" ca="1" si="245"/>
        <v>0</v>
      </c>
      <c r="AN648">
        <f t="shared" ca="1" si="246"/>
        <v>0</v>
      </c>
      <c r="AO648">
        <f t="shared" ca="1" si="247"/>
        <v>0</v>
      </c>
      <c r="AP648">
        <f t="shared" ca="1" si="248"/>
        <v>0</v>
      </c>
    </row>
    <row r="649" spans="8:42" x14ac:dyDescent="0.2">
      <c r="H649" t="s">
        <v>1199</v>
      </c>
      <c r="I649">
        <f t="shared" ca="1" si="215"/>
        <v>0</v>
      </c>
      <c r="J649">
        <f t="shared" ca="1" si="216"/>
        <v>0</v>
      </c>
      <c r="K649">
        <f t="shared" ca="1" si="217"/>
        <v>0</v>
      </c>
      <c r="L649">
        <f t="shared" ca="1" si="218"/>
        <v>0</v>
      </c>
      <c r="M649">
        <f t="shared" ca="1" si="219"/>
        <v>0</v>
      </c>
      <c r="N649">
        <f t="shared" ca="1" si="220"/>
        <v>0</v>
      </c>
      <c r="O649">
        <f t="shared" ca="1" si="221"/>
        <v>0</v>
      </c>
      <c r="P649">
        <f t="shared" ca="1" si="222"/>
        <v>0</v>
      </c>
      <c r="Q649">
        <f t="shared" ca="1" si="223"/>
        <v>0</v>
      </c>
      <c r="R649">
        <f t="shared" ca="1" si="224"/>
        <v>0</v>
      </c>
      <c r="S649">
        <f t="shared" ca="1" si="225"/>
        <v>0</v>
      </c>
      <c r="T649">
        <f t="shared" ca="1" si="226"/>
        <v>0</v>
      </c>
      <c r="U649">
        <f t="shared" ca="1" si="227"/>
        <v>0</v>
      </c>
      <c r="V649">
        <f t="shared" ca="1" si="228"/>
        <v>0</v>
      </c>
      <c r="W649">
        <f t="shared" ca="1" si="229"/>
        <v>0</v>
      </c>
      <c r="X649">
        <f t="shared" ca="1" si="230"/>
        <v>0</v>
      </c>
      <c r="Y649">
        <f t="shared" ca="1" si="231"/>
        <v>0</v>
      </c>
      <c r="Z649">
        <f t="shared" ca="1" si="232"/>
        <v>0</v>
      </c>
      <c r="AA649">
        <f t="shared" ca="1" si="233"/>
        <v>0</v>
      </c>
      <c r="AB649">
        <f t="shared" ca="1" si="234"/>
        <v>0</v>
      </c>
      <c r="AC649">
        <f t="shared" ca="1" si="235"/>
        <v>0</v>
      </c>
      <c r="AD649">
        <f t="shared" ca="1" si="236"/>
        <v>0</v>
      </c>
      <c r="AE649">
        <f t="shared" ca="1" si="237"/>
        <v>0</v>
      </c>
      <c r="AF649">
        <f t="shared" ca="1" si="238"/>
        <v>0</v>
      </c>
      <c r="AG649">
        <f t="shared" ca="1" si="239"/>
        <v>0</v>
      </c>
      <c r="AH649">
        <f t="shared" ca="1" si="240"/>
        <v>0</v>
      </c>
      <c r="AI649">
        <f t="shared" ca="1" si="241"/>
        <v>0</v>
      </c>
      <c r="AJ649">
        <f t="shared" ca="1" si="242"/>
        <v>0</v>
      </c>
      <c r="AK649">
        <f t="shared" ca="1" si="243"/>
        <v>0</v>
      </c>
      <c r="AL649">
        <f t="shared" ca="1" si="244"/>
        <v>0</v>
      </c>
      <c r="AM649">
        <f t="shared" ca="1" si="245"/>
        <v>0</v>
      </c>
      <c r="AN649">
        <f t="shared" ca="1" si="246"/>
        <v>0</v>
      </c>
      <c r="AO649">
        <f t="shared" ca="1" si="247"/>
        <v>0</v>
      </c>
      <c r="AP649">
        <f t="shared" ca="1" si="248"/>
        <v>0</v>
      </c>
    </row>
    <row r="650" spans="8:42" x14ac:dyDescent="0.2">
      <c r="H650" t="s">
        <v>1166</v>
      </c>
      <c r="I650">
        <f t="shared" ca="1" si="215"/>
        <v>0</v>
      </c>
      <c r="J650">
        <f t="shared" ca="1" si="216"/>
        <v>0</v>
      </c>
      <c r="K650">
        <f t="shared" ca="1" si="217"/>
        <v>0</v>
      </c>
      <c r="L650">
        <f t="shared" ca="1" si="218"/>
        <v>0</v>
      </c>
      <c r="M650">
        <f t="shared" ca="1" si="219"/>
        <v>0</v>
      </c>
      <c r="N650">
        <f t="shared" ca="1" si="220"/>
        <v>0</v>
      </c>
      <c r="O650">
        <f t="shared" ca="1" si="221"/>
        <v>0</v>
      </c>
      <c r="P650">
        <f t="shared" ca="1" si="222"/>
        <v>0</v>
      </c>
      <c r="Q650">
        <f t="shared" ca="1" si="223"/>
        <v>0</v>
      </c>
      <c r="R650">
        <f t="shared" ca="1" si="224"/>
        <v>0</v>
      </c>
      <c r="S650">
        <f t="shared" ca="1" si="225"/>
        <v>0</v>
      </c>
      <c r="T650">
        <f t="shared" ca="1" si="226"/>
        <v>0</v>
      </c>
      <c r="U650">
        <f t="shared" ca="1" si="227"/>
        <v>0</v>
      </c>
      <c r="V650">
        <f t="shared" ca="1" si="228"/>
        <v>0</v>
      </c>
      <c r="W650">
        <f t="shared" ca="1" si="229"/>
        <v>0</v>
      </c>
      <c r="X650">
        <f t="shared" ca="1" si="230"/>
        <v>0</v>
      </c>
      <c r="Y650">
        <f t="shared" ca="1" si="231"/>
        <v>0</v>
      </c>
      <c r="Z650">
        <f t="shared" ca="1" si="232"/>
        <v>0</v>
      </c>
      <c r="AA650">
        <f t="shared" ca="1" si="233"/>
        <v>0</v>
      </c>
      <c r="AB650">
        <f t="shared" ca="1" si="234"/>
        <v>0</v>
      </c>
      <c r="AC650">
        <f t="shared" ca="1" si="235"/>
        <v>0</v>
      </c>
      <c r="AD650">
        <f t="shared" ca="1" si="236"/>
        <v>0</v>
      </c>
      <c r="AE650">
        <f t="shared" ca="1" si="237"/>
        <v>0</v>
      </c>
      <c r="AF650">
        <f t="shared" ca="1" si="238"/>
        <v>0</v>
      </c>
      <c r="AG650">
        <f t="shared" ca="1" si="239"/>
        <v>0</v>
      </c>
      <c r="AH650">
        <f t="shared" ca="1" si="240"/>
        <v>0</v>
      </c>
      <c r="AI650">
        <f t="shared" ca="1" si="241"/>
        <v>0</v>
      </c>
      <c r="AJ650">
        <f t="shared" ca="1" si="242"/>
        <v>0</v>
      </c>
      <c r="AK650">
        <f t="shared" ca="1" si="243"/>
        <v>0</v>
      </c>
      <c r="AL650">
        <f t="shared" ca="1" si="244"/>
        <v>0</v>
      </c>
      <c r="AM650">
        <f t="shared" ca="1" si="245"/>
        <v>0</v>
      </c>
      <c r="AN650">
        <f t="shared" ca="1" si="246"/>
        <v>0</v>
      </c>
      <c r="AO650">
        <f t="shared" ca="1" si="247"/>
        <v>0</v>
      </c>
      <c r="AP650">
        <f t="shared" ca="1" si="248"/>
        <v>0</v>
      </c>
    </row>
    <row r="651" spans="8:42" x14ac:dyDescent="0.2">
      <c r="H651" t="s">
        <v>1167</v>
      </c>
      <c r="I651">
        <f t="shared" ca="1" si="215"/>
        <v>0</v>
      </c>
      <c r="J651">
        <f t="shared" ca="1" si="216"/>
        <v>0</v>
      </c>
      <c r="K651">
        <f t="shared" ca="1" si="217"/>
        <v>0</v>
      </c>
      <c r="L651">
        <f t="shared" ca="1" si="218"/>
        <v>0</v>
      </c>
      <c r="M651">
        <f t="shared" ca="1" si="219"/>
        <v>0</v>
      </c>
      <c r="N651">
        <f t="shared" ca="1" si="220"/>
        <v>0</v>
      </c>
      <c r="O651">
        <f t="shared" ca="1" si="221"/>
        <v>0</v>
      </c>
      <c r="P651">
        <f t="shared" ca="1" si="222"/>
        <v>0</v>
      </c>
      <c r="Q651">
        <f t="shared" ca="1" si="223"/>
        <v>0</v>
      </c>
      <c r="R651">
        <f t="shared" ca="1" si="224"/>
        <v>0</v>
      </c>
      <c r="S651">
        <f t="shared" ca="1" si="225"/>
        <v>0</v>
      </c>
      <c r="T651">
        <f t="shared" ca="1" si="226"/>
        <v>0</v>
      </c>
      <c r="U651">
        <f t="shared" ca="1" si="227"/>
        <v>0</v>
      </c>
      <c r="V651">
        <f t="shared" ca="1" si="228"/>
        <v>0</v>
      </c>
      <c r="W651">
        <f t="shared" ca="1" si="229"/>
        <v>0</v>
      </c>
      <c r="X651">
        <f t="shared" ca="1" si="230"/>
        <v>0</v>
      </c>
      <c r="Y651">
        <f t="shared" ca="1" si="231"/>
        <v>0</v>
      </c>
      <c r="Z651">
        <f t="shared" ca="1" si="232"/>
        <v>0</v>
      </c>
      <c r="AA651">
        <f t="shared" ca="1" si="233"/>
        <v>0</v>
      </c>
      <c r="AB651">
        <f t="shared" ca="1" si="234"/>
        <v>0</v>
      </c>
      <c r="AC651">
        <f t="shared" ca="1" si="235"/>
        <v>0</v>
      </c>
      <c r="AD651">
        <f t="shared" ca="1" si="236"/>
        <v>0</v>
      </c>
      <c r="AE651">
        <f t="shared" ca="1" si="237"/>
        <v>0</v>
      </c>
      <c r="AF651">
        <f t="shared" ca="1" si="238"/>
        <v>0</v>
      </c>
      <c r="AG651">
        <f t="shared" ca="1" si="239"/>
        <v>0</v>
      </c>
      <c r="AH651">
        <f t="shared" ca="1" si="240"/>
        <v>0</v>
      </c>
      <c r="AI651">
        <f t="shared" ca="1" si="241"/>
        <v>0</v>
      </c>
      <c r="AJ651">
        <f t="shared" ca="1" si="242"/>
        <v>0</v>
      </c>
      <c r="AK651">
        <f t="shared" ca="1" si="243"/>
        <v>0</v>
      </c>
      <c r="AL651">
        <f t="shared" ca="1" si="244"/>
        <v>0</v>
      </c>
      <c r="AM651">
        <f t="shared" ca="1" si="245"/>
        <v>0</v>
      </c>
      <c r="AN651">
        <f t="shared" ca="1" si="246"/>
        <v>0</v>
      </c>
      <c r="AO651">
        <f t="shared" ca="1" si="247"/>
        <v>0</v>
      </c>
      <c r="AP651">
        <f t="shared" ca="1" si="248"/>
        <v>0</v>
      </c>
    </row>
    <row r="652" spans="8:42" x14ac:dyDescent="0.2">
      <c r="H652" t="s">
        <v>1079</v>
      </c>
      <c r="I652">
        <f t="shared" ref="I652:I683" ca="1" si="249">$J195*M195</f>
        <v>0</v>
      </c>
      <c r="J652">
        <f t="shared" ref="J652:J683" ca="1" si="250">$J195*N195</f>
        <v>3.636727504942943E-2</v>
      </c>
      <c r="K652">
        <f t="shared" ref="K652:K683" ca="1" si="251">$J195*O195</f>
        <v>0.36387309882222374</v>
      </c>
      <c r="L652">
        <f t="shared" ref="L652:L683" ca="1" si="252">$J195*P195</f>
        <v>6.683006602731985</v>
      </c>
      <c r="M652">
        <f t="shared" ref="M652:M683" ca="1" si="253">$J195*Q195</f>
        <v>0</v>
      </c>
      <c r="N652">
        <f t="shared" ref="N652:N683" ca="1" si="254">$J195*R195</f>
        <v>0</v>
      </c>
      <c r="O652">
        <f t="shared" ref="O652:O683" ca="1" si="255">$J195*S195</f>
        <v>0</v>
      </c>
      <c r="P652">
        <f t="shared" ref="P652:P683" ca="1" si="256">$J195*T195</f>
        <v>0</v>
      </c>
      <c r="Q652">
        <f t="shared" ref="Q652:Q683" ca="1" si="257">$J195*U195</f>
        <v>0</v>
      </c>
      <c r="R652">
        <f t="shared" ref="R652:R683" ca="1" si="258">$J195*V195</f>
        <v>0</v>
      </c>
      <c r="S652">
        <f t="shared" ref="S652:S683" ca="1" si="259">$J195*W195</f>
        <v>0</v>
      </c>
      <c r="T652">
        <f t="shared" ref="T652:T683" ca="1" si="260">$J195*X195</f>
        <v>0</v>
      </c>
      <c r="U652">
        <f t="shared" ref="U652:U683" ca="1" si="261">$J195*Y195</f>
        <v>0</v>
      </c>
      <c r="V652">
        <f t="shared" ref="V652:V683" ca="1" si="262">$J195*Z195</f>
        <v>0</v>
      </c>
      <c r="W652">
        <f t="shared" ref="W652:W683" ca="1" si="263">$J195*AA195</f>
        <v>1.2694704916039703</v>
      </c>
      <c r="X652">
        <f t="shared" ref="X652:X683" ca="1" si="264">$J195*AB195</f>
        <v>0</v>
      </c>
      <c r="Y652">
        <f t="shared" ref="Y652:Y683" ca="1" si="265">$J195*AC195</f>
        <v>0</v>
      </c>
      <c r="Z652">
        <f t="shared" ref="Z652:Z683" ca="1" si="266">$J195*AD195</f>
        <v>0</v>
      </c>
      <c r="AA652">
        <f t="shared" ref="AA652:AA683" ca="1" si="267">$J195*AE195</f>
        <v>0</v>
      </c>
      <c r="AB652">
        <f t="shared" ref="AB652:AB683" ca="1" si="268">$J195*AF195</f>
        <v>0</v>
      </c>
      <c r="AC652">
        <f t="shared" ref="AC652:AC683" ca="1" si="269">$J195*AG195</f>
        <v>0</v>
      </c>
      <c r="AD652">
        <f t="shared" ref="AD652:AD683" ca="1" si="270">$J195*AH195</f>
        <v>2.390926151025435E-2</v>
      </c>
      <c r="AE652">
        <f t="shared" ref="AE652:AE683" ca="1" si="271">$J195*AI195</f>
        <v>6.5271316390166229E-2</v>
      </c>
      <c r="AF652">
        <f t="shared" ref="AF652:AF683" ca="1" si="272">$J195*AJ195</f>
        <v>5.2032155396556563</v>
      </c>
      <c r="AG652">
        <f t="shared" ref="AG652:AG683" ca="1" si="273">$J195*AK195</f>
        <v>0</v>
      </c>
      <c r="AH652">
        <f t="shared" ref="AH652:AH683" ca="1" si="274">$J195*AL195</f>
        <v>0</v>
      </c>
      <c r="AI652">
        <f t="shared" ref="AI652:AI683" ca="1" si="275">$J195*AM195</f>
        <v>0</v>
      </c>
      <c r="AJ652">
        <f t="shared" ref="AJ652:AJ683" ca="1" si="276">$J195*AN195</f>
        <v>0.41006053056097042</v>
      </c>
      <c r="AK652">
        <f t="shared" ref="AK652:AK683" ca="1" si="277">$J195*AO195</f>
        <v>0.1411756230176314</v>
      </c>
      <c r="AL652">
        <f t="shared" ref="AL652:AL683" ca="1" si="278">$J195*AP195</f>
        <v>0.11365026065771473</v>
      </c>
      <c r="AM652">
        <f t="shared" ref="AM652:AM683" ca="1" si="279">$J195*AQ195</f>
        <v>0</v>
      </c>
      <c r="AN652">
        <f t="shared" ref="AN652:AN683" ca="1" si="280">$J195*AR195</f>
        <v>0</v>
      </c>
      <c r="AO652">
        <f t="shared" ref="AO652:AO683" ca="1" si="281">$J195*AS195</f>
        <v>0</v>
      </c>
      <c r="AP652">
        <f t="shared" ref="AP652:AP683" ca="1" si="282">$J195*AT195</f>
        <v>0</v>
      </c>
    </row>
    <row r="653" spans="8:42" x14ac:dyDescent="0.2">
      <c r="H653" t="s">
        <v>1064</v>
      </c>
      <c r="I653">
        <f t="shared" ca="1" si="249"/>
        <v>4.2416507737045048</v>
      </c>
      <c r="J653">
        <f t="shared" ca="1" si="250"/>
        <v>0</v>
      </c>
      <c r="K653">
        <f t="shared" ca="1" si="251"/>
        <v>0</v>
      </c>
      <c r="L653">
        <f t="shared" ca="1" si="252"/>
        <v>0</v>
      </c>
      <c r="M653">
        <f t="shared" ca="1" si="253"/>
        <v>0</v>
      </c>
      <c r="N653">
        <f t="shared" ca="1" si="254"/>
        <v>0</v>
      </c>
      <c r="O653">
        <f t="shared" ca="1" si="255"/>
        <v>0</v>
      </c>
      <c r="P653">
        <f t="shared" ca="1" si="256"/>
        <v>0</v>
      </c>
      <c r="Q653">
        <f t="shared" ca="1" si="257"/>
        <v>0</v>
      </c>
      <c r="R653">
        <f t="shared" ca="1" si="258"/>
        <v>0</v>
      </c>
      <c r="S653">
        <f t="shared" ca="1" si="259"/>
        <v>0</v>
      </c>
      <c r="T653">
        <f t="shared" ca="1" si="260"/>
        <v>0</v>
      </c>
      <c r="U653">
        <f t="shared" ca="1" si="261"/>
        <v>0</v>
      </c>
      <c r="V653">
        <f t="shared" ca="1" si="262"/>
        <v>0</v>
      </c>
      <c r="W653">
        <f t="shared" ca="1" si="263"/>
        <v>0</v>
      </c>
      <c r="X653">
        <f t="shared" ca="1" si="264"/>
        <v>5.9055684292557835</v>
      </c>
      <c r="Y653">
        <f t="shared" ca="1" si="265"/>
        <v>7.8761440088965724</v>
      </c>
      <c r="Z653">
        <f t="shared" ca="1" si="266"/>
        <v>0</v>
      </c>
      <c r="AA653">
        <f t="shared" ca="1" si="267"/>
        <v>0</v>
      </c>
      <c r="AB653">
        <f t="shared" ca="1" si="268"/>
        <v>0</v>
      </c>
      <c r="AC653">
        <f t="shared" ca="1" si="269"/>
        <v>0</v>
      </c>
      <c r="AD653">
        <f t="shared" ca="1" si="270"/>
        <v>0</v>
      </c>
      <c r="AE653">
        <f t="shared" ca="1" si="271"/>
        <v>0</v>
      </c>
      <c r="AF653">
        <f t="shared" ca="1" si="272"/>
        <v>3.8352908480456209</v>
      </c>
      <c r="AG653">
        <f t="shared" ca="1" si="273"/>
        <v>1.2454954164323491</v>
      </c>
      <c r="AH653">
        <f t="shared" ca="1" si="274"/>
        <v>0</v>
      </c>
      <c r="AI653">
        <f t="shared" ca="1" si="275"/>
        <v>0</v>
      </c>
      <c r="AJ653">
        <f t="shared" ca="1" si="276"/>
        <v>0</v>
      </c>
      <c r="AK653">
        <f t="shared" ca="1" si="277"/>
        <v>8.896476651008701</v>
      </c>
      <c r="AL653">
        <f t="shared" ca="1" si="278"/>
        <v>3.9993738726564643</v>
      </c>
      <c r="AM653">
        <f t="shared" ca="1" si="279"/>
        <v>0</v>
      </c>
      <c r="AN653">
        <f t="shared" ca="1" si="280"/>
        <v>0</v>
      </c>
      <c r="AO653">
        <f t="shared" ca="1" si="281"/>
        <v>0</v>
      </c>
      <c r="AP653">
        <f t="shared" ca="1" si="282"/>
        <v>0</v>
      </c>
    </row>
    <row r="654" spans="8:42" x14ac:dyDescent="0.2">
      <c r="H654" t="s">
        <v>1005</v>
      </c>
      <c r="I654">
        <f t="shared" ca="1" si="249"/>
        <v>0</v>
      </c>
      <c r="J654">
        <f t="shared" ca="1" si="250"/>
        <v>0</v>
      </c>
      <c r="K654">
        <f t="shared" ca="1" si="251"/>
        <v>0</v>
      </c>
      <c r="L654">
        <f t="shared" ca="1" si="252"/>
        <v>0</v>
      </c>
      <c r="M654">
        <f t="shared" ca="1" si="253"/>
        <v>0</v>
      </c>
      <c r="N654">
        <f t="shared" ca="1" si="254"/>
        <v>0</v>
      </c>
      <c r="O654">
        <f t="shared" ca="1" si="255"/>
        <v>0</v>
      </c>
      <c r="P654">
        <f t="shared" ca="1" si="256"/>
        <v>0</v>
      </c>
      <c r="Q654">
        <f t="shared" ca="1" si="257"/>
        <v>0</v>
      </c>
      <c r="R654">
        <f t="shared" ca="1" si="258"/>
        <v>0</v>
      </c>
      <c r="S654">
        <f t="shared" ca="1" si="259"/>
        <v>0</v>
      </c>
      <c r="T654">
        <f t="shared" ca="1" si="260"/>
        <v>0</v>
      </c>
      <c r="U654">
        <f t="shared" ca="1" si="261"/>
        <v>0</v>
      </c>
      <c r="V654">
        <f t="shared" ca="1" si="262"/>
        <v>0</v>
      </c>
      <c r="W654">
        <f t="shared" ca="1" si="263"/>
        <v>0</v>
      </c>
      <c r="X654">
        <f t="shared" ca="1" si="264"/>
        <v>0</v>
      </c>
      <c r="Y654">
        <f t="shared" ca="1" si="265"/>
        <v>0</v>
      </c>
      <c r="Z654">
        <f t="shared" ca="1" si="266"/>
        <v>0</v>
      </c>
      <c r="AA654">
        <f t="shared" ca="1" si="267"/>
        <v>0</v>
      </c>
      <c r="AB654">
        <f t="shared" ca="1" si="268"/>
        <v>0</v>
      </c>
      <c r="AC654">
        <f t="shared" ca="1" si="269"/>
        <v>0</v>
      </c>
      <c r="AD654">
        <f t="shared" ca="1" si="270"/>
        <v>0</v>
      </c>
      <c r="AE654">
        <f t="shared" ca="1" si="271"/>
        <v>0</v>
      </c>
      <c r="AF654">
        <f t="shared" ca="1" si="272"/>
        <v>0</v>
      </c>
      <c r="AG654">
        <f t="shared" ca="1" si="273"/>
        <v>0</v>
      </c>
      <c r="AH654">
        <f t="shared" ca="1" si="274"/>
        <v>40.392000000000003</v>
      </c>
      <c r="AI654">
        <f t="shared" ca="1" si="275"/>
        <v>0</v>
      </c>
      <c r="AJ654">
        <f t="shared" ca="1" si="276"/>
        <v>0</v>
      </c>
      <c r="AK654">
        <f t="shared" ca="1" si="277"/>
        <v>0</v>
      </c>
      <c r="AL654">
        <f t="shared" ca="1" si="278"/>
        <v>0</v>
      </c>
      <c r="AM654">
        <f t="shared" ca="1" si="279"/>
        <v>0</v>
      </c>
      <c r="AN654">
        <f t="shared" ca="1" si="280"/>
        <v>0</v>
      </c>
      <c r="AO654">
        <f t="shared" ca="1" si="281"/>
        <v>0</v>
      </c>
      <c r="AP654">
        <f t="shared" ca="1" si="282"/>
        <v>0</v>
      </c>
    </row>
    <row r="655" spans="8:42" x14ac:dyDescent="0.2">
      <c r="H655" t="s">
        <v>1168</v>
      </c>
      <c r="I655">
        <f t="shared" ca="1" si="249"/>
        <v>0</v>
      </c>
      <c r="J655">
        <f t="shared" ca="1" si="250"/>
        <v>0</v>
      </c>
      <c r="K655">
        <f t="shared" ca="1" si="251"/>
        <v>0</v>
      </c>
      <c r="L655">
        <f t="shared" ca="1" si="252"/>
        <v>0</v>
      </c>
      <c r="M655">
        <f t="shared" ca="1" si="253"/>
        <v>0</v>
      </c>
      <c r="N655">
        <f t="shared" ca="1" si="254"/>
        <v>0</v>
      </c>
      <c r="O655">
        <f t="shared" ca="1" si="255"/>
        <v>0</v>
      </c>
      <c r="P655">
        <f t="shared" ca="1" si="256"/>
        <v>0</v>
      </c>
      <c r="Q655">
        <f t="shared" ca="1" si="257"/>
        <v>0</v>
      </c>
      <c r="R655">
        <f t="shared" ca="1" si="258"/>
        <v>0</v>
      </c>
      <c r="S655">
        <f t="shared" ca="1" si="259"/>
        <v>0</v>
      </c>
      <c r="T655">
        <f t="shared" ca="1" si="260"/>
        <v>0</v>
      </c>
      <c r="U655">
        <f t="shared" ca="1" si="261"/>
        <v>0</v>
      </c>
      <c r="V655">
        <f t="shared" ca="1" si="262"/>
        <v>0</v>
      </c>
      <c r="W655">
        <f t="shared" ca="1" si="263"/>
        <v>0</v>
      </c>
      <c r="X655">
        <f t="shared" ca="1" si="264"/>
        <v>0</v>
      </c>
      <c r="Y655">
        <f t="shared" ca="1" si="265"/>
        <v>0</v>
      </c>
      <c r="Z655">
        <f t="shared" ca="1" si="266"/>
        <v>0</v>
      </c>
      <c r="AA655">
        <f t="shared" ca="1" si="267"/>
        <v>0</v>
      </c>
      <c r="AB655">
        <f t="shared" ca="1" si="268"/>
        <v>0</v>
      </c>
      <c r="AC655">
        <f t="shared" ca="1" si="269"/>
        <v>0</v>
      </c>
      <c r="AD655">
        <f t="shared" ca="1" si="270"/>
        <v>0</v>
      </c>
      <c r="AE655">
        <f t="shared" ca="1" si="271"/>
        <v>0</v>
      </c>
      <c r="AF655">
        <f t="shared" ca="1" si="272"/>
        <v>0</v>
      </c>
      <c r="AG655">
        <f t="shared" ca="1" si="273"/>
        <v>0</v>
      </c>
      <c r="AH655">
        <f t="shared" ca="1" si="274"/>
        <v>0</v>
      </c>
      <c r="AI655">
        <f t="shared" ca="1" si="275"/>
        <v>0</v>
      </c>
      <c r="AJ655">
        <f t="shared" ca="1" si="276"/>
        <v>0</v>
      </c>
      <c r="AK655">
        <f t="shared" ca="1" si="277"/>
        <v>0</v>
      </c>
      <c r="AL655">
        <f t="shared" ca="1" si="278"/>
        <v>0</v>
      </c>
      <c r="AM655">
        <f t="shared" ca="1" si="279"/>
        <v>0</v>
      </c>
      <c r="AN655">
        <f t="shared" ca="1" si="280"/>
        <v>0</v>
      </c>
      <c r="AO655">
        <f t="shared" ca="1" si="281"/>
        <v>0</v>
      </c>
      <c r="AP655">
        <f t="shared" ca="1" si="282"/>
        <v>0</v>
      </c>
    </row>
    <row r="656" spans="8:42" x14ac:dyDescent="0.2">
      <c r="H656" t="s">
        <v>985</v>
      </c>
      <c r="I656">
        <f t="shared" ca="1" si="249"/>
        <v>0</v>
      </c>
      <c r="J656">
        <f t="shared" ca="1" si="250"/>
        <v>0</v>
      </c>
      <c r="K656">
        <f t="shared" ca="1" si="251"/>
        <v>0</v>
      </c>
      <c r="L656">
        <f t="shared" ca="1" si="252"/>
        <v>0</v>
      </c>
      <c r="M656">
        <f t="shared" ca="1" si="253"/>
        <v>0</v>
      </c>
      <c r="N656">
        <f t="shared" ca="1" si="254"/>
        <v>0</v>
      </c>
      <c r="O656">
        <f t="shared" ca="1" si="255"/>
        <v>0</v>
      </c>
      <c r="P656">
        <f t="shared" ca="1" si="256"/>
        <v>0</v>
      </c>
      <c r="Q656">
        <f t="shared" ca="1" si="257"/>
        <v>0</v>
      </c>
      <c r="R656">
        <f t="shared" ca="1" si="258"/>
        <v>0</v>
      </c>
      <c r="S656">
        <f t="shared" ca="1" si="259"/>
        <v>0</v>
      </c>
      <c r="T656">
        <f t="shared" ca="1" si="260"/>
        <v>0</v>
      </c>
      <c r="U656">
        <f t="shared" ca="1" si="261"/>
        <v>0</v>
      </c>
      <c r="V656">
        <f t="shared" ca="1" si="262"/>
        <v>0</v>
      </c>
      <c r="W656">
        <f t="shared" ca="1" si="263"/>
        <v>0</v>
      </c>
      <c r="X656">
        <f t="shared" ca="1" si="264"/>
        <v>0</v>
      </c>
      <c r="Y656">
        <f t="shared" ca="1" si="265"/>
        <v>0</v>
      </c>
      <c r="Z656">
        <f t="shared" ca="1" si="266"/>
        <v>0</v>
      </c>
      <c r="AA656">
        <f t="shared" ca="1" si="267"/>
        <v>0</v>
      </c>
      <c r="AB656">
        <f t="shared" ca="1" si="268"/>
        <v>0</v>
      </c>
      <c r="AC656">
        <f t="shared" ca="1" si="269"/>
        <v>0</v>
      </c>
      <c r="AD656">
        <f t="shared" ca="1" si="270"/>
        <v>0</v>
      </c>
      <c r="AE656">
        <f t="shared" ca="1" si="271"/>
        <v>0</v>
      </c>
      <c r="AF656">
        <f t="shared" ca="1" si="272"/>
        <v>0</v>
      </c>
      <c r="AG656">
        <f t="shared" ca="1" si="273"/>
        <v>0</v>
      </c>
      <c r="AH656">
        <f t="shared" ca="1" si="274"/>
        <v>0</v>
      </c>
      <c r="AI656">
        <f t="shared" ca="1" si="275"/>
        <v>2.0122807179546123</v>
      </c>
      <c r="AJ656">
        <f t="shared" ca="1" si="276"/>
        <v>0</v>
      </c>
      <c r="AK656">
        <f t="shared" ca="1" si="277"/>
        <v>0</v>
      </c>
      <c r="AL656">
        <f t="shared" ca="1" si="278"/>
        <v>0</v>
      </c>
      <c r="AM656">
        <f t="shared" ca="1" si="279"/>
        <v>0</v>
      </c>
      <c r="AN656">
        <f t="shared" ca="1" si="280"/>
        <v>11.451719282045387</v>
      </c>
      <c r="AO656">
        <f t="shared" ca="1" si="281"/>
        <v>0</v>
      </c>
      <c r="AP656">
        <f t="shared" ca="1" si="282"/>
        <v>0</v>
      </c>
    </row>
    <row r="657" spans="8:42" x14ac:dyDescent="0.2">
      <c r="H657" t="s">
        <v>1169</v>
      </c>
      <c r="I657">
        <f t="shared" ca="1" si="249"/>
        <v>0</v>
      </c>
      <c r="J657">
        <f t="shared" ca="1" si="250"/>
        <v>0</v>
      </c>
      <c r="K657">
        <f t="shared" ca="1" si="251"/>
        <v>0</v>
      </c>
      <c r="L657">
        <f t="shared" ca="1" si="252"/>
        <v>0</v>
      </c>
      <c r="M657">
        <f t="shared" ca="1" si="253"/>
        <v>0</v>
      </c>
      <c r="N657">
        <f t="shared" ca="1" si="254"/>
        <v>0</v>
      </c>
      <c r="O657">
        <f t="shared" ca="1" si="255"/>
        <v>0</v>
      </c>
      <c r="P657">
        <f t="shared" ca="1" si="256"/>
        <v>0</v>
      </c>
      <c r="Q657">
        <f t="shared" ca="1" si="257"/>
        <v>0</v>
      </c>
      <c r="R657">
        <f t="shared" ca="1" si="258"/>
        <v>0</v>
      </c>
      <c r="S657">
        <f t="shared" ca="1" si="259"/>
        <v>0</v>
      </c>
      <c r="T657">
        <f t="shared" ca="1" si="260"/>
        <v>0</v>
      </c>
      <c r="U657">
        <f t="shared" ca="1" si="261"/>
        <v>0</v>
      </c>
      <c r="V657">
        <f t="shared" ca="1" si="262"/>
        <v>0</v>
      </c>
      <c r="W657">
        <f t="shared" ca="1" si="263"/>
        <v>0</v>
      </c>
      <c r="X657">
        <f t="shared" ca="1" si="264"/>
        <v>0</v>
      </c>
      <c r="Y657">
        <f t="shared" ca="1" si="265"/>
        <v>0</v>
      </c>
      <c r="Z657">
        <f t="shared" ca="1" si="266"/>
        <v>0</v>
      </c>
      <c r="AA657">
        <f t="shared" ca="1" si="267"/>
        <v>0</v>
      </c>
      <c r="AB657">
        <f t="shared" ca="1" si="268"/>
        <v>0</v>
      </c>
      <c r="AC657">
        <f t="shared" ca="1" si="269"/>
        <v>0</v>
      </c>
      <c r="AD657">
        <f t="shared" ca="1" si="270"/>
        <v>0</v>
      </c>
      <c r="AE657">
        <f t="shared" ca="1" si="271"/>
        <v>0</v>
      </c>
      <c r="AF657">
        <f t="shared" ca="1" si="272"/>
        <v>0</v>
      </c>
      <c r="AG657">
        <f t="shared" ca="1" si="273"/>
        <v>0</v>
      </c>
      <c r="AH657">
        <f t="shared" ca="1" si="274"/>
        <v>0</v>
      </c>
      <c r="AI657">
        <f t="shared" ca="1" si="275"/>
        <v>0</v>
      </c>
      <c r="AJ657">
        <f t="shared" ca="1" si="276"/>
        <v>0</v>
      </c>
      <c r="AK657">
        <f t="shared" ca="1" si="277"/>
        <v>0</v>
      </c>
      <c r="AL657">
        <f t="shared" ca="1" si="278"/>
        <v>0</v>
      </c>
      <c r="AM657">
        <f t="shared" ca="1" si="279"/>
        <v>0</v>
      </c>
      <c r="AN657">
        <f t="shared" ca="1" si="280"/>
        <v>0</v>
      </c>
      <c r="AO657">
        <f t="shared" ca="1" si="281"/>
        <v>0</v>
      </c>
      <c r="AP657">
        <f t="shared" ca="1" si="282"/>
        <v>0</v>
      </c>
    </row>
    <row r="658" spans="8:42" x14ac:dyDescent="0.2">
      <c r="H658" t="s">
        <v>1001</v>
      </c>
      <c r="I658">
        <f t="shared" ca="1" si="249"/>
        <v>0</v>
      </c>
      <c r="J658">
        <f t="shared" ca="1" si="250"/>
        <v>0</v>
      </c>
      <c r="K658">
        <f t="shared" ca="1" si="251"/>
        <v>0</v>
      </c>
      <c r="L658">
        <f t="shared" ca="1" si="252"/>
        <v>0</v>
      </c>
      <c r="M658">
        <f t="shared" ca="1" si="253"/>
        <v>0</v>
      </c>
      <c r="N658">
        <f t="shared" ca="1" si="254"/>
        <v>0</v>
      </c>
      <c r="O658">
        <f t="shared" ca="1" si="255"/>
        <v>0</v>
      </c>
      <c r="P658">
        <f t="shared" ca="1" si="256"/>
        <v>0</v>
      </c>
      <c r="Q658">
        <f t="shared" ca="1" si="257"/>
        <v>0</v>
      </c>
      <c r="R658">
        <f t="shared" ca="1" si="258"/>
        <v>0</v>
      </c>
      <c r="S658">
        <f t="shared" ca="1" si="259"/>
        <v>0</v>
      </c>
      <c r="T658">
        <f t="shared" ca="1" si="260"/>
        <v>0</v>
      </c>
      <c r="U658">
        <f t="shared" ca="1" si="261"/>
        <v>0</v>
      </c>
      <c r="V658">
        <f t="shared" ca="1" si="262"/>
        <v>0</v>
      </c>
      <c r="W658">
        <f t="shared" ca="1" si="263"/>
        <v>0</v>
      </c>
      <c r="X658">
        <f t="shared" ca="1" si="264"/>
        <v>0</v>
      </c>
      <c r="Y658">
        <f t="shared" ca="1" si="265"/>
        <v>0</v>
      </c>
      <c r="Z658">
        <f t="shared" ca="1" si="266"/>
        <v>0</v>
      </c>
      <c r="AA658">
        <f t="shared" ca="1" si="267"/>
        <v>40.392000000000003</v>
      </c>
      <c r="AB658">
        <f t="shared" ca="1" si="268"/>
        <v>0</v>
      </c>
      <c r="AC658">
        <f t="shared" ca="1" si="269"/>
        <v>0</v>
      </c>
      <c r="AD658">
        <f t="shared" ca="1" si="270"/>
        <v>0</v>
      </c>
      <c r="AE658">
        <f t="shared" ca="1" si="271"/>
        <v>0</v>
      </c>
      <c r="AF658">
        <f t="shared" ca="1" si="272"/>
        <v>0</v>
      </c>
      <c r="AG658">
        <f t="shared" ca="1" si="273"/>
        <v>0</v>
      </c>
      <c r="AH658">
        <f t="shared" ca="1" si="274"/>
        <v>0</v>
      </c>
      <c r="AI658">
        <f t="shared" ca="1" si="275"/>
        <v>0</v>
      </c>
      <c r="AJ658">
        <f t="shared" ca="1" si="276"/>
        <v>0</v>
      </c>
      <c r="AK658">
        <f t="shared" ca="1" si="277"/>
        <v>0</v>
      </c>
      <c r="AL658">
        <f t="shared" ca="1" si="278"/>
        <v>0</v>
      </c>
      <c r="AM658">
        <f t="shared" ca="1" si="279"/>
        <v>0</v>
      </c>
      <c r="AN658">
        <f t="shared" ca="1" si="280"/>
        <v>0</v>
      </c>
      <c r="AO658">
        <f t="shared" ca="1" si="281"/>
        <v>0</v>
      </c>
      <c r="AP658">
        <f t="shared" ca="1" si="282"/>
        <v>0</v>
      </c>
    </row>
    <row r="659" spans="8:42" x14ac:dyDescent="0.2">
      <c r="H659" t="s">
        <v>1004</v>
      </c>
      <c r="I659">
        <f t="shared" ca="1" si="249"/>
        <v>0</v>
      </c>
      <c r="J659">
        <f t="shared" ca="1" si="250"/>
        <v>0</v>
      </c>
      <c r="K659">
        <f t="shared" ca="1" si="251"/>
        <v>0</v>
      </c>
      <c r="L659">
        <f t="shared" ca="1" si="252"/>
        <v>0</v>
      </c>
      <c r="M659">
        <f t="shared" ca="1" si="253"/>
        <v>0</v>
      </c>
      <c r="N659">
        <f t="shared" ca="1" si="254"/>
        <v>0</v>
      </c>
      <c r="O659">
        <f t="shared" ca="1" si="255"/>
        <v>0</v>
      </c>
      <c r="P659">
        <f t="shared" ca="1" si="256"/>
        <v>0</v>
      </c>
      <c r="Q659">
        <f t="shared" ca="1" si="257"/>
        <v>0</v>
      </c>
      <c r="R659">
        <f t="shared" ca="1" si="258"/>
        <v>0</v>
      </c>
      <c r="S659">
        <f t="shared" ca="1" si="259"/>
        <v>0</v>
      </c>
      <c r="T659">
        <f t="shared" ca="1" si="260"/>
        <v>0</v>
      </c>
      <c r="U659">
        <f t="shared" ca="1" si="261"/>
        <v>0</v>
      </c>
      <c r="V659">
        <f t="shared" ca="1" si="262"/>
        <v>0</v>
      </c>
      <c r="W659">
        <f t="shared" ca="1" si="263"/>
        <v>0</v>
      </c>
      <c r="X659">
        <f t="shared" ca="1" si="264"/>
        <v>0</v>
      </c>
      <c r="Y659">
        <f t="shared" ca="1" si="265"/>
        <v>0</v>
      </c>
      <c r="Z659">
        <f t="shared" ca="1" si="266"/>
        <v>0</v>
      </c>
      <c r="AA659">
        <f t="shared" ca="1" si="267"/>
        <v>26.928000000000001</v>
      </c>
      <c r="AB659">
        <f t="shared" ca="1" si="268"/>
        <v>0</v>
      </c>
      <c r="AC659">
        <f t="shared" ca="1" si="269"/>
        <v>0</v>
      </c>
      <c r="AD659">
        <f t="shared" ca="1" si="270"/>
        <v>0</v>
      </c>
      <c r="AE659">
        <f t="shared" ca="1" si="271"/>
        <v>0</v>
      </c>
      <c r="AF659">
        <f t="shared" ca="1" si="272"/>
        <v>0</v>
      </c>
      <c r="AG659">
        <f t="shared" ca="1" si="273"/>
        <v>0</v>
      </c>
      <c r="AH659">
        <f t="shared" ca="1" si="274"/>
        <v>0</v>
      </c>
      <c r="AI659">
        <f t="shared" ca="1" si="275"/>
        <v>0</v>
      </c>
      <c r="AJ659">
        <f t="shared" ca="1" si="276"/>
        <v>0</v>
      </c>
      <c r="AK659">
        <f t="shared" ca="1" si="277"/>
        <v>0</v>
      </c>
      <c r="AL659">
        <f t="shared" ca="1" si="278"/>
        <v>0</v>
      </c>
      <c r="AM659">
        <f t="shared" ca="1" si="279"/>
        <v>0</v>
      </c>
      <c r="AN659">
        <f t="shared" ca="1" si="280"/>
        <v>0</v>
      </c>
      <c r="AO659">
        <f t="shared" ca="1" si="281"/>
        <v>0</v>
      </c>
      <c r="AP659">
        <f t="shared" ca="1" si="282"/>
        <v>0</v>
      </c>
    </row>
    <row r="660" spans="8:42" x14ac:dyDescent="0.2">
      <c r="H660" t="s">
        <v>1170</v>
      </c>
      <c r="I660">
        <f t="shared" ca="1" si="249"/>
        <v>0</v>
      </c>
      <c r="J660">
        <f t="shared" ca="1" si="250"/>
        <v>0</v>
      </c>
      <c r="K660">
        <f t="shared" ca="1" si="251"/>
        <v>0</v>
      </c>
      <c r="L660">
        <f t="shared" ca="1" si="252"/>
        <v>0</v>
      </c>
      <c r="M660">
        <f t="shared" ca="1" si="253"/>
        <v>0</v>
      </c>
      <c r="N660">
        <f t="shared" ca="1" si="254"/>
        <v>0</v>
      </c>
      <c r="O660">
        <f t="shared" ca="1" si="255"/>
        <v>0</v>
      </c>
      <c r="P660">
        <f t="shared" ca="1" si="256"/>
        <v>0</v>
      </c>
      <c r="Q660">
        <f t="shared" ca="1" si="257"/>
        <v>0</v>
      </c>
      <c r="R660">
        <f t="shared" ca="1" si="258"/>
        <v>0</v>
      </c>
      <c r="S660">
        <f t="shared" ca="1" si="259"/>
        <v>0</v>
      </c>
      <c r="T660">
        <f t="shared" ca="1" si="260"/>
        <v>0</v>
      </c>
      <c r="U660">
        <f t="shared" ca="1" si="261"/>
        <v>0</v>
      </c>
      <c r="V660">
        <f t="shared" ca="1" si="262"/>
        <v>0</v>
      </c>
      <c r="W660">
        <f t="shared" ca="1" si="263"/>
        <v>0</v>
      </c>
      <c r="X660">
        <f t="shared" ca="1" si="264"/>
        <v>0</v>
      </c>
      <c r="Y660">
        <f t="shared" ca="1" si="265"/>
        <v>0</v>
      </c>
      <c r="Z660">
        <f t="shared" ca="1" si="266"/>
        <v>0</v>
      </c>
      <c r="AA660">
        <f t="shared" ca="1" si="267"/>
        <v>0</v>
      </c>
      <c r="AB660">
        <f t="shared" ca="1" si="268"/>
        <v>0</v>
      </c>
      <c r="AC660">
        <f t="shared" ca="1" si="269"/>
        <v>0</v>
      </c>
      <c r="AD660">
        <f t="shared" ca="1" si="270"/>
        <v>0</v>
      </c>
      <c r="AE660">
        <f t="shared" ca="1" si="271"/>
        <v>0</v>
      </c>
      <c r="AF660">
        <f t="shared" ca="1" si="272"/>
        <v>0</v>
      </c>
      <c r="AG660">
        <f t="shared" ca="1" si="273"/>
        <v>0</v>
      </c>
      <c r="AH660">
        <f t="shared" ca="1" si="274"/>
        <v>0</v>
      </c>
      <c r="AI660">
        <f t="shared" ca="1" si="275"/>
        <v>0</v>
      </c>
      <c r="AJ660">
        <f t="shared" ca="1" si="276"/>
        <v>0</v>
      </c>
      <c r="AK660">
        <f t="shared" ca="1" si="277"/>
        <v>0</v>
      </c>
      <c r="AL660">
        <f t="shared" ca="1" si="278"/>
        <v>0</v>
      </c>
      <c r="AM660">
        <f t="shared" ca="1" si="279"/>
        <v>0</v>
      </c>
      <c r="AN660">
        <f t="shared" ca="1" si="280"/>
        <v>0</v>
      </c>
      <c r="AO660">
        <f t="shared" ca="1" si="281"/>
        <v>0</v>
      </c>
      <c r="AP660">
        <f t="shared" ca="1" si="282"/>
        <v>0</v>
      </c>
    </row>
    <row r="661" spans="8:42" x14ac:dyDescent="0.2">
      <c r="H661" t="s">
        <v>1171</v>
      </c>
      <c r="I661">
        <f t="shared" ca="1" si="249"/>
        <v>0</v>
      </c>
      <c r="J661">
        <f t="shared" ca="1" si="250"/>
        <v>0</v>
      </c>
      <c r="K661">
        <f t="shared" ca="1" si="251"/>
        <v>0</v>
      </c>
      <c r="L661">
        <f t="shared" ca="1" si="252"/>
        <v>0</v>
      </c>
      <c r="M661">
        <f t="shared" ca="1" si="253"/>
        <v>0</v>
      </c>
      <c r="N661">
        <f t="shared" ca="1" si="254"/>
        <v>0</v>
      </c>
      <c r="O661">
        <f t="shared" ca="1" si="255"/>
        <v>0</v>
      </c>
      <c r="P661">
        <f t="shared" ca="1" si="256"/>
        <v>0</v>
      </c>
      <c r="Q661">
        <f t="shared" ca="1" si="257"/>
        <v>0</v>
      </c>
      <c r="R661">
        <f t="shared" ca="1" si="258"/>
        <v>0</v>
      </c>
      <c r="S661">
        <f t="shared" ca="1" si="259"/>
        <v>0</v>
      </c>
      <c r="T661">
        <f t="shared" ca="1" si="260"/>
        <v>0</v>
      </c>
      <c r="U661">
        <f t="shared" ca="1" si="261"/>
        <v>0</v>
      </c>
      <c r="V661">
        <f t="shared" ca="1" si="262"/>
        <v>0</v>
      </c>
      <c r="W661">
        <f t="shared" ca="1" si="263"/>
        <v>0</v>
      </c>
      <c r="X661">
        <f t="shared" ca="1" si="264"/>
        <v>0</v>
      </c>
      <c r="Y661">
        <f t="shared" ca="1" si="265"/>
        <v>0</v>
      </c>
      <c r="Z661">
        <f t="shared" ca="1" si="266"/>
        <v>0</v>
      </c>
      <c r="AA661">
        <f t="shared" ca="1" si="267"/>
        <v>0</v>
      </c>
      <c r="AB661">
        <f t="shared" ca="1" si="268"/>
        <v>0</v>
      </c>
      <c r="AC661">
        <f t="shared" ca="1" si="269"/>
        <v>0</v>
      </c>
      <c r="AD661">
        <f t="shared" ca="1" si="270"/>
        <v>0</v>
      </c>
      <c r="AE661">
        <f t="shared" ca="1" si="271"/>
        <v>0</v>
      </c>
      <c r="AF661">
        <f t="shared" ca="1" si="272"/>
        <v>0</v>
      </c>
      <c r="AG661">
        <f t="shared" ca="1" si="273"/>
        <v>0</v>
      </c>
      <c r="AH661">
        <f t="shared" ca="1" si="274"/>
        <v>0</v>
      </c>
      <c r="AI661">
        <f t="shared" ca="1" si="275"/>
        <v>0</v>
      </c>
      <c r="AJ661">
        <f t="shared" ca="1" si="276"/>
        <v>0</v>
      </c>
      <c r="AK661">
        <f t="shared" ca="1" si="277"/>
        <v>0</v>
      </c>
      <c r="AL661">
        <f t="shared" ca="1" si="278"/>
        <v>0</v>
      </c>
      <c r="AM661">
        <f t="shared" ca="1" si="279"/>
        <v>0</v>
      </c>
      <c r="AN661">
        <f t="shared" ca="1" si="280"/>
        <v>0</v>
      </c>
      <c r="AO661">
        <f t="shared" ca="1" si="281"/>
        <v>0</v>
      </c>
      <c r="AP661">
        <f t="shared" ca="1" si="282"/>
        <v>0</v>
      </c>
    </row>
    <row r="662" spans="8:42" x14ac:dyDescent="0.2">
      <c r="H662" t="s">
        <v>1172</v>
      </c>
      <c r="I662">
        <f t="shared" ca="1" si="249"/>
        <v>0</v>
      </c>
      <c r="J662">
        <f t="shared" ca="1" si="250"/>
        <v>0</v>
      </c>
      <c r="K662">
        <f t="shared" ca="1" si="251"/>
        <v>0</v>
      </c>
      <c r="L662">
        <f t="shared" ca="1" si="252"/>
        <v>0</v>
      </c>
      <c r="M662">
        <f t="shared" ca="1" si="253"/>
        <v>0</v>
      </c>
      <c r="N662">
        <f t="shared" ca="1" si="254"/>
        <v>0</v>
      </c>
      <c r="O662">
        <f t="shared" ca="1" si="255"/>
        <v>0</v>
      </c>
      <c r="P662">
        <f t="shared" ca="1" si="256"/>
        <v>0</v>
      </c>
      <c r="Q662">
        <f t="shared" ca="1" si="257"/>
        <v>0</v>
      </c>
      <c r="R662">
        <f t="shared" ca="1" si="258"/>
        <v>0</v>
      </c>
      <c r="S662">
        <f t="shared" ca="1" si="259"/>
        <v>0</v>
      </c>
      <c r="T662">
        <f t="shared" ca="1" si="260"/>
        <v>0</v>
      </c>
      <c r="U662">
        <f t="shared" ca="1" si="261"/>
        <v>0</v>
      </c>
      <c r="V662">
        <f t="shared" ca="1" si="262"/>
        <v>0</v>
      </c>
      <c r="W662">
        <f t="shared" ca="1" si="263"/>
        <v>0</v>
      </c>
      <c r="X662">
        <f t="shared" ca="1" si="264"/>
        <v>0</v>
      </c>
      <c r="Y662">
        <f t="shared" ca="1" si="265"/>
        <v>0</v>
      </c>
      <c r="Z662">
        <f t="shared" ca="1" si="266"/>
        <v>0</v>
      </c>
      <c r="AA662">
        <f t="shared" ca="1" si="267"/>
        <v>0</v>
      </c>
      <c r="AB662">
        <f t="shared" ca="1" si="268"/>
        <v>0</v>
      </c>
      <c r="AC662">
        <f t="shared" ca="1" si="269"/>
        <v>0</v>
      </c>
      <c r="AD662">
        <f t="shared" ca="1" si="270"/>
        <v>0</v>
      </c>
      <c r="AE662">
        <f t="shared" ca="1" si="271"/>
        <v>0</v>
      </c>
      <c r="AF662">
        <f t="shared" ca="1" si="272"/>
        <v>0</v>
      </c>
      <c r="AG662">
        <f t="shared" ca="1" si="273"/>
        <v>0</v>
      </c>
      <c r="AH662">
        <f t="shared" ca="1" si="274"/>
        <v>0</v>
      </c>
      <c r="AI662">
        <f t="shared" ca="1" si="275"/>
        <v>0</v>
      </c>
      <c r="AJ662">
        <f t="shared" ca="1" si="276"/>
        <v>0</v>
      </c>
      <c r="AK662">
        <f t="shared" ca="1" si="277"/>
        <v>0</v>
      </c>
      <c r="AL662">
        <f t="shared" ca="1" si="278"/>
        <v>0</v>
      </c>
      <c r="AM662">
        <f t="shared" ca="1" si="279"/>
        <v>0</v>
      </c>
      <c r="AN662">
        <f t="shared" ca="1" si="280"/>
        <v>0</v>
      </c>
      <c r="AO662">
        <f t="shared" ca="1" si="281"/>
        <v>0</v>
      </c>
      <c r="AP662">
        <f t="shared" ca="1" si="282"/>
        <v>0</v>
      </c>
    </row>
    <row r="663" spans="8:42" x14ac:dyDescent="0.2">
      <c r="H663" t="s">
        <v>1066</v>
      </c>
      <c r="I663">
        <f t="shared" ca="1" si="249"/>
        <v>0</v>
      </c>
      <c r="J663">
        <f t="shared" ca="1" si="250"/>
        <v>0</v>
      </c>
      <c r="K663">
        <f t="shared" ca="1" si="251"/>
        <v>0</v>
      </c>
      <c r="L663">
        <f t="shared" ca="1" si="252"/>
        <v>0</v>
      </c>
      <c r="M663">
        <f t="shared" ca="1" si="253"/>
        <v>0</v>
      </c>
      <c r="N663">
        <f t="shared" ca="1" si="254"/>
        <v>0</v>
      </c>
      <c r="O663">
        <f t="shared" ca="1" si="255"/>
        <v>0</v>
      </c>
      <c r="P663">
        <f t="shared" ca="1" si="256"/>
        <v>0</v>
      </c>
      <c r="Q663">
        <f t="shared" ca="1" si="257"/>
        <v>0</v>
      </c>
      <c r="R663">
        <f t="shared" ca="1" si="258"/>
        <v>0</v>
      </c>
      <c r="S663">
        <f t="shared" ca="1" si="259"/>
        <v>0</v>
      </c>
      <c r="T663">
        <f t="shared" ca="1" si="260"/>
        <v>0</v>
      </c>
      <c r="U663">
        <f t="shared" ca="1" si="261"/>
        <v>0</v>
      </c>
      <c r="V663">
        <f t="shared" ca="1" si="262"/>
        <v>0</v>
      </c>
      <c r="W663">
        <f t="shared" ca="1" si="263"/>
        <v>0</v>
      </c>
      <c r="X663">
        <f t="shared" ca="1" si="264"/>
        <v>0</v>
      </c>
      <c r="Y663">
        <f t="shared" ca="1" si="265"/>
        <v>0</v>
      </c>
      <c r="Z663">
        <f t="shared" ca="1" si="266"/>
        <v>0</v>
      </c>
      <c r="AA663">
        <f t="shared" ca="1" si="267"/>
        <v>0</v>
      </c>
      <c r="AB663">
        <f t="shared" ca="1" si="268"/>
        <v>0</v>
      </c>
      <c r="AC663">
        <f t="shared" ca="1" si="269"/>
        <v>0</v>
      </c>
      <c r="AD663">
        <f t="shared" ca="1" si="270"/>
        <v>0</v>
      </c>
      <c r="AE663">
        <f t="shared" ca="1" si="271"/>
        <v>0</v>
      </c>
      <c r="AF663">
        <f t="shared" ca="1" si="272"/>
        <v>0</v>
      </c>
      <c r="AG663">
        <f t="shared" ca="1" si="273"/>
        <v>0</v>
      </c>
      <c r="AH663">
        <f t="shared" ca="1" si="274"/>
        <v>0</v>
      </c>
      <c r="AI663">
        <f t="shared" ca="1" si="275"/>
        <v>0</v>
      </c>
      <c r="AJ663">
        <f t="shared" ca="1" si="276"/>
        <v>0</v>
      </c>
      <c r="AK663">
        <f t="shared" ca="1" si="277"/>
        <v>0</v>
      </c>
      <c r="AL663">
        <f t="shared" ca="1" si="278"/>
        <v>0</v>
      </c>
      <c r="AM663">
        <f t="shared" ca="1" si="279"/>
        <v>0</v>
      </c>
      <c r="AN663">
        <f t="shared" ca="1" si="280"/>
        <v>14.688000000000001</v>
      </c>
      <c r="AO663">
        <f t="shared" ca="1" si="281"/>
        <v>0</v>
      </c>
      <c r="AP663">
        <f t="shared" ca="1" si="282"/>
        <v>0</v>
      </c>
    </row>
    <row r="664" spans="8:42" x14ac:dyDescent="0.2">
      <c r="H664" t="s">
        <v>1071</v>
      </c>
      <c r="I664">
        <f t="shared" ca="1" si="249"/>
        <v>0</v>
      </c>
      <c r="J664">
        <f t="shared" ca="1" si="250"/>
        <v>0</v>
      </c>
      <c r="K664">
        <f t="shared" ca="1" si="251"/>
        <v>0</v>
      </c>
      <c r="L664">
        <f t="shared" ca="1" si="252"/>
        <v>0</v>
      </c>
      <c r="M664">
        <f t="shared" ca="1" si="253"/>
        <v>0</v>
      </c>
      <c r="N664">
        <f t="shared" ca="1" si="254"/>
        <v>0</v>
      </c>
      <c r="O664">
        <f t="shared" ca="1" si="255"/>
        <v>0</v>
      </c>
      <c r="P664">
        <f t="shared" ca="1" si="256"/>
        <v>0</v>
      </c>
      <c r="Q664">
        <f t="shared" ca="1" si="257"/>
        <v>0</v>
      </c>
      <c r="R664">
        <f t="shared" ca="1" si="258"/>
        <v>0</v>
      </c>
      <c r="S664">
        <f t="shared" ca="1" si="259"/>
        <v>0</v>
      </c>
      <c r="T664">
        <f t="shared" ca="1" si="260"/>
        <v>0</v>
      </c>
      <c r="U664">
        <f t="shared" ca="1" si="261"/>
        <v>0</v>
      </c>
      <c r="V664">
        <f t="shared" ca="1" si="262"/>
        <v>0</v>
      </c>
      <c r="W664">
        <f t="shared" ca="1" si="263"/>
        <v>0</v>
      </c>
      <c r="X664">
        <f t="shared" ca="1" si="264"/>
        <v>24.48</v>
      </c>
      <c r="Y664">
        <f t="shared" ca="1" si="265"/>
        <v>0</v>
      </c>
      <c r="Z664">
        <f t="shared" ca="1" si="266"/>
        <v>0</v>
      </c>
      <c r="AA664">
        <f t="shared" ca="1" si="267"/>
        <v>0</v>
      </c>
      <c r="AB664">
        <f t="shared" ca="1" si="268"/>
        <v>0</v>
      </c>
      <c r="AC664">
        <f t="shared" ca="1" si="269"/>
        <v>0</v>
      </c>
      <c r="AD664">
        <f t="shared" ca="1" si="270"/>
        <v>0</v>
      </c>
      <c r="AE664">
        <f t="shared" ca="1" si="271"/>
        <v>0</v>
      </c>
      <c r="AF664">
        <f t="shared" ca="1" si="272"/>
        <v>0</v>
      </c>
      <c r="AG664">
        <f t="shared" ca="1" si="273"/>
        <v>0</v>
      </c>
      <c r="AH664">
        <f t="shared" ca="1" si="274"/>
        <v>0</v>
      </c>
      <c r="AI664">
        <f t="shared" ca="1" si="275"/>
        <v>0</v>
      </c>
      <c r="AJ664">
        <f t="shared" ca="1" si="276"/>
        <v>0</v>
      </c>
      <c r="AK664">
        <f t="shared" ca="1" si="277"/>
        <v>0</v>
      </c>
      <c r="AL664">
        <f t="shared" ca="1" si="278"/>
        <v>0</v>
      </c>
      <c r="AM664">
        <f t="shared" ca="1" si="279"/>
        <v>0</v>
      </c>
      <c r="AN664">
        <f t="shared" ca="1" si="280"/>
        <v>0</v>
      </c>
      <c r="AO664">
        <f t="shared" ca="1" si="281"/>
        <v>0</v>
      </c>
      <c r="AP664">
        <f t="shared" ca="1" si="282"/>
        <v>0</v>
      </c>
    </row>
    <row r="665" spans="8:42" x14ac:dyDescent="0.2">
      <c r="H665" t="s">
        <v>1173</v>
      </c>
      <c r="I665">
        <f t="shared" ca="1" si="249"/>
        <v>0</v>
      </c>
      <c r="J665">
        <f t="shared" ca="1" si="250"/>
        <v>0</v>
      </c>
      <c r="K665">
        <f t="shared" ca="1" si="251"/>
        <v>0</v>
      </c>
      <c r="L665">
        <f t="shared" ca="1" si="252"/>
        <v>0</v>
      </c>
      <c r="M665">
        <f t="shared" ca="1" si="253"/>
        <v>0</v>
      </c>
      <c r="N665">
        <f t="shared" ca="1" si="254"/>
        <v>0</v>
      </c>
      <c r="O665">
        <f t="shared" ca="1" si="255"/>
        <v>0</v>
      </c>
      <c r="P665">
        <f t="shared" ca="1" si="256"/>
        <v>0</v>
      </c>
      <c r="Q665">
        <f t="shared" ca="1" si="257"/>
        <v>0</v>
      </c>
      <c r="R665">
        <f t="shared" ca="1" si="258"/>
        <v>0</v>
      </c>
      <c r="S665">
        <f t="shared" ca="1" si="259"/>
        <v>0</v>
      </c>
      <c r="T665">
        <f t="shared" ca="1" si="260"/>
        <v>0</v>
      </c>
      <c r="U665">
        <f t="shared" ca="1" si="261"/>
        <v>0</v>
      </c>
      <c r="V665">
        <f t="shared" ca="1" si="262"/>
        <v>0</v>
      </c>
      <c r="W665">
        <f t="shared" ca="1" si="263"/>
        <v>0</v>
      </c>
      <c r="X665">
        <f t="shared" ca="1" si="264"/>
        <v>0</v>
      </c>
      <c r="Y665">
        <f t="shared" ca="1" si="265"/>
        <v>0</v>
      </c>
      <c r="Z665">
        <f t="shared" ca="1" si="266"/>
        <v>0</v>
      </c>
      <c r="AA665">
        <f t="shared" ca="1" si="267"/>
        <v>0</v>
      </c>
      <c r="AB665">
        <f t="shared" ca="1" si="268"/>
        <v>0</v>
      </c>
      <c r="AC665">
        <f t="shared" ca="1" si="269"/>
        <v>0</v>
      </c>
      <c r="AD665">
        <f t="shared" ca="1" si="270"/>
        <v>0</v>
      </c>
      <c r="AE665">
        <f t="shared" ca="1" si="271"/>
        <v>0</v>
      </c>
      <c r="AF665">
        <f t="shared" ca="1" si="272"/>
        <v>0</v>
      </c>
      <c r="AG665">
        <f t="shared" ca="1" si="273"/>
        <v>0</v>
      </c>
      <c r="AH665">
        <f t="shared" ca="1" si="274"/>
        <v>0</v>
      </c>
      <c r="AI665">
        <f t="shared" ca="1" si="275"/>
        <v>0</v>
      </c>
      <c r="AJ665">
        <f t="shared" ca="1" si="276"/>
        <v>0</v>
      </c>
      <c r="AK665">
        <f t="shared" ca="1" si="277"/>
        <v>0</v>
      </c>
      <c r="AL665">
        <f t="shared" ca="1" si="278"/>
        <v>0</v>
      </c>
      <c r="AM665">
        <f t="shared" ca="1" si="279"/>
        <v>0</v>
      </c>
      <c r="AN665">
        <f t="shared" ca="1" si="280"/>
        <v>0</v>
      </c>
      <c r="AO665">
        <f t="shared" ca="1" si="281"/>
        <v>0</v>
      </c>
      <c r="AP665">
        <f t="shared" ca="1" si="282"/>
        <v>0</v>
      </c>
    </row>
    <row r="666" spans="8:42" x14ac:dyDescent="0.2">
      <c r="H666" t="s">
        <v>1053</v>
      </c>
      <c r="I666">
        <f t="shared" ca="1" si="249"/>
        <v>0</v>
      </c>
      <c r="J666">
        <f t="shared" ca="1" si="250"/>
        <v>0</v>
      </c>
      <c r="K666">
        <f t="shared" ca="1" si="251"/>
        <v>0</v>
      </c>
      <c r="L666">
        <f t="shared" ca="1" si="252"/>
        <v>0</v>
      </c>
      <c r="M666">
        <f t="shared" ca="1" si="253"/>
        <v>0</v>
      </c>
      <c r="N666">
        <f t="shared" ca="1" si="254"/>
        <v>0</v>
      </c>
      <c r="O666">
        <f t="shared" ca="1" si="255"/>
        <v>0</v>
      </c>
      <c r="P666">
        <f t="shared" ca="1" si="256"/>
        <v>0</v>
      </c>
      <c r="Q666">
        <f t="shared" ca="1" si="257"/>
        <v>0</v>
      </c>
      <c r="R666">
        <f t="shared" ca="1" si="258"/>
        <v>0</v>
      </c>
      <c r="S666">
        <f t="shared" ca="1" si="259"/>
        <v>10.199999999999999</v>
      </c>
      <c r="T666">
        <f t="shared" ca="1" si="260"/>
        <v>0</v>
      </c>
      <c r="U666">
        <f t="shared" ca="1" si="261"/>
        <v>0</v>
      </c>
      <c r="V666">
        <f t="shared" ca="1" si="262"/>
        <v>0</v>
      </c>
      <c r="W666">
        <f t="shared" ca="1" si="263"/>
        <v>0</v>
      </c>
      <c r="X666">
        <f t="shared" ca="1" si="264"/>
        <v>0</v>
      </c>
      <c r="Y666">
        <f t="shared" ca="1" si="265"/>
        <v>0</v>
      </c>
      <c r="Z666">
        <f t="shared" ca="1" si="266"/>
        <v>0</v>
      </c>
      <c r="AA666">
        <f t="shared" ca="1" si="267"/>
        <v>0</v>
      </c>
      <c r="AB666">
        <f t="shared" ca="1" si="268"/>
        <v>0</v>
      </c>
      <c r="AC666">
        <f t="shared" ca="1" si="269"/>
        <v>0</v>
      </c>
      <c r="AD666">
        <f t="shared" ca="1" si="270"/>
        <v>0</v>
      </c>
      <c r="AE666">
        <f t="shared" ca="1" si="271"/>
        <v>0</v>
      </c>
      <c r="AF666">
        <f t="shared" ca="1" si="272"/>
        <v>0</v>
      </c>
      <c r="AG666">
        <f t="shared" ca="1" si="273"/>
        <v>0</v>
      </c>
      <c r="AH666">
        <f t="shared" ca="1" si="274"/>
        <v>0</v>
      </c>
      <c r="AI666">
        <f t="shared" ca="1" si="275"/>
        <v>0</v>
      </c>
      <c r="AJ666">
        <f t="shared" ca="1" si="276"/>
        <v>0</v>
      </c>
      <c r="AK666">
        <f t="shared" ca="1" si="277"/>
        <v>0</v>
      </c>
      <c r="AL666">
        <f t="shared" ca="1" si="278"/>
        <v>0</v>
      </c>
      <c r="AM666">
        <f t="shared" ca="1" si="279"/>
        <v>0</v>
      </c>
      <c r="AN666">
        <f t="shared" ca="1" si="280"/>
        <v>0</v>
      </c>
      <c r="AO666">
        <f t="shared" ca="1" si="281"/>
        <v>0</v>
      </c>
      <c r="AP666">
        <f t="shared" ca="1" si="282"/>
        <v>0</v>
      </c>
    </row>
    <row r="667" spans="8:42" x14ac:dyDescent="0.2">
      <c r="H667" t="s">
        <v>1174</v>
      </c>
      <c r="I667">
        <f t="shared" ca="1" si="249"/>
        <v>0</v>
      </c>
      <c r="J667">
        <f t="shared" ca="1" si="250"/>
        <v>0</v>
      </c>
      <c r="K667">
        <f t="shared" ca="1" si="251"/>
        <v>0</v>
      </c>
      <c r="L667">
        <f t="shared" ca="1" si="252"/>
        <v>0</v>
      </c>
      <c r="M667">
        <f t="shared" ca="1" si="253"/>
        <v>0</v>
      </c>
      <c r="N667">
        <f t="shared" ca="1" si="254"/>
        <v>0</v>
      </c>
      <c r="O667">
        <f t="shared" ca="1" si="255"/>
        <v>0</v>
      </c>
      <c r="P667">
        <f t="shared" ca="1" si="256"/>
        <v>0</v>
      </c>
      <c r="Q667">
        <f t="shared" ca="1" si="257"/>
        <v>0</v>
      </c>
      <c r="R667">
        <f t="shared" ca="1" si="258"/>
        <v>0</v>
      </c>
      <c r="S667">
        <f t="shared" ca="1" si="259"/>
        <v>0</v>
      </c>
      <c r="T667">
        <f t="shared" ca="1" si="260"/>
        <v>0</v>
      </c>
      <c r="U667">
        <f t="shared" ca="1" si="261"/>
        <v>0</v>
      </c>
      <c r="V667">
        <f t="shared" ca="1" si="262"/>
        <v>0</v>
      </c>
      <c r="W667">
        <f t="shared" ca="1" si="263"/>
        <v>0</v>
      </c>
      <c r="X667">
        <f t="shared" ca="1" si="264"/>
        <v>0</v>
      </c>
      <c r="Y667">
        <f t="shared" ca="1" si="265"/>
        <v>0</v>
      </c>
      <c r="Z667">
        <f t="shared" ca="1" si="266"/>
        <v>0</v>
      </c>
      <c r="AA667">
        <f t="shared" ca="1" si="267"/>
        <v>0</v>
      </c>
      <c r="AB667">
        <f t="shared" ca="1" si="268"/>
        <v>0</v>
      </c>
      <c r="AC667">
        <f t="shared" ca="1" si="269"/>
        <v>0</v>
      </c>
      <c r="AD667">
        <f t="shared" ca="1" si="270"/>
        <v>0</v>
      </c>
      <c r="AE667">
        <f t="shared" ca="1" si="271"/>
        <v>0</v>
      </c>
      <c r="AF667">
        <f t="shared" ca="1" si="272"/>
        <v>0</v>
      </c>
      <c r="AG667">
        <f t="shared" ca="1" si="273"/>
        <v>0</v>
      </c>
      <c r="AH667">
        <f t="shared" ca="1" si="274"/>
        <v>0</v>
      </c>
      <c r="AI667">
        <f t="shared" ca="1" si="275"/>
        <v>0</v>
      </c>
      <c r="AJ667">
        <f t="shared" ca="1" si="276"/>
        <v>0</v>
      </c>
      <c r="AK667">
        <f t="shared" ca="1" si="277"/>
        <v>0</v>
      </c>
      <c r="AL667">
        <f t="shared" ca="1" si="278"/>
        <v>0</v>
      </c>
      <c r="AM667">
        <f t="shared" ca="1" si="279"/>
        <v>0</v>
      </c>
      <c r="AN667">
        <f t="shared" ca="1" si="280"/>
        <v>0</v>
      </c>
      <c r="AO667">
        <f t="shared" ca="1" si="281"/>
        <v>0</v>
      </c>
      <c r="AP667">
        <f t="shared" ca="1" si="282"/>
        <v>0</v>
      </c>
    </row>
    <row r="668" spans="8:42" x14ac:dyDescent="0.2">
      <c r="H668" t="s">
        <v>1175</v>
      </c>
      <c r="I668">
        <f t="shared" ca="1" si="249"/>
        <v>0</v>
      </c>
      <c r="J668">
        <f t="shared" ca="1" si="250"/>
        <v>0</v>
      </c>
      <c r="K668">
        <f t="shared" ca="1" si="251"/>
        <v>0</v>
      </c>
      <c r="L668">
        <f t="shared" ca="1" si="252"/>
        <v>0</v>
      </c>
      <c r="M668">
        <f t="shared" ca="1" si="253"/>
        <v>0</v>
      </c>
      <c r="N668">
        <f t="shared" ca="1" si="254"/>
        <v>0</v>
      </c>
      <c r="O668">
        <f t="shared" ca="1" si="255"/>
        <v>0</v>
      </c>
      <c r="P668">
        <f t="shared" ca="1" si="256"/>
        <v>0</v>
      </c>
      <c r="Q668">
        <f t="shared" ca="1" si="257"/>
        <v>0</v>
      </c>
      <c r="R668">
        <f t="shared" ca="1" si="258"/>
        <v>0</v>
      </c>
      <c r="S668">
        <f t="shared" ca="1" si="259"/>
        <v>0</v>
      </c>
      <c r="T668">
        <f t="shared" ca="1" si="260"/>
        <v>0</v>
      </c>
      <c r="U668">
        <f t="shared" ca="1" si="261"/>
        <v>0</v>
      </c>
      <c r="V668">
        <f t="shared" ca="1" si="262"/>
        <v>0</v>
      </c>
      <c r="W668">
        <f t="shared" ca="1" si="263"/>
        <v>0</v>
      </c>
      <c r="X668">
        <f t="shared" ca="1" si="264"/>
        <v>0</v>
      </c>
      <c r="Y668">
        <f t="shared" ca="1" si="265"/>
        <v>0</v>
      </c>
      <c r="Z668">
        <f t="shared" ca="1" si="266"/>
        <v>0</v>
      </c>
      <c r="AA668">
        <f t="shared" ca="1" si="267"/>
        <v>0</v>
      </c>
      <c r="AB668">
        <f t="shared" ca="1" si="268"/>
        <v>0</v>
      </c>
      <c r="AC668">
        <f t="shared" ca="1" si="269"/>
        <v>0</v>
      </c>
      <c r="AD668">
        <f t="shared" ca="1" si="270"/>
        <v>0</v>
      </c>
      <c r="AE668">
        <f t="shared" ca="1" si="271"/>
        <v>0</v>
      </c>
      <c r="AF668">
        <f t="shared" ca="1" si="272"/>
        <v>0</v>
      </c>
      <c r="AG668">
        <f t="shared" ca="1" si="273"/>
        <v>0</v>
      </c>
      <c r="AH668">
        <f t="shared" ca="1" si="274"/>
        <v>0</v>
      </c>
      <c r="AI668">
        <f t="shared" ca="1" si="275"/>
        <v>0</v>
      </c>
      <c r="AJ668">
        <f t="shared" ca="1" si="276"/>
        <v>0</v>
      </c>
      <c r="AK668">
        <f t="shared" ca="1" si="277"/>
        <v>0</v>
      </c>
      <c r="AL668">
        <f t="shared" ca="1" si="278"/>
        <v>0</v>
      </c>
      <c r="AM668">
        <f t="shared" ca="1" si="279"/>
        <v>0</v>
      </c>
      <c r="AN668">
        <f t="shared" ca="1" si="280"/>
        <v>0</v>
      </c>
      <c r="AO668">
        <f t="shared" ca="1" si="281"/>
        <v>0</v>
      </c>
      <c r="AP668">
        <f t="shared" ca="1" si="282"/>
        <v>0</v>
      </c>
    </row>
    <row r="669" spans="8:42" x14ac:dyDescent="0.2">
      <c r="H669" t="s">
        <v>1176</v>
      </c>
      <c r="I669">
        <f t="shared" ca="1" si="249"/>
        <v>0</v>
      </c>
      <c r="J669">
        <f t="shared" ca="1" si="250"/>
        <v>0</v>
      </c>
      <c r="K669">
        <f t="shared" ca="1" si="251"/>
        <v>0</v>
      </c>
      <c r="L669">
        <f t="shared" ca="1" si="252"/>
        <v>0</v>
      </c>
      <c r="M669">
        <f t="shared" ca="1" si="253"/>
        <v>0</v>
      </c>
      <c r="N669">
        <f t="shared" ca="1" si="254"/>
        <v>0</v>
      </c>
      <c r="O669">
        <f t="shared" ca="1" si="255"/>
        <v>0</v>
      </c>
      <c r="P669">
        <f t="shared" ca="1" si="256"/>
        <v>0</v>
      </c>
      <c r="Q669">
        <f t="shared" ca="1" si="257"/>
        <v>0</v>
      </c>
      <c r="R669">
        <f t="shared" ca="1" si="258"/>
        <v>0</v>
      </c>
      <c r="S669">
        <f t="shared" ca="1" si="259"/>
        <v>0</v>
      </c>
      <c r="T669">
        <f t="shared" ca="1" si="260"/>
        <v>0</v>
      </c>
      <c r="U669">
        <f t="shared" ca="1" si="261"/>
        <v>0</v>
      </c>
      <c r="V669">
        <f t="shared" ca="1" si="262"/>
        <v>0</v>
      </c>
      <c r="W669">
        <f t="shared" ca="1" si="263"/>
        <v>0</v>
      </c>
      <c r="X669">
        <f t="shared" ca="1" si="264"/>
        <v>0</v>
      </c>
      <c r="Y669">
        <f t="shared" ca="1" si="265"/>
        <v>0</v>
      </c>
      <c r="Z669">
        <f t="shared" ca="1" si="266"/>
        <v>0</v>
      </c>
      <c r="AA669">
        <f t="shared" ca="1" si="267"/>
        <v>0</v>
      </c>
      <c r="AB669">
        <f t="shared" ca="1" si="268"/>
        <v>0</v>
      </c>
      <c r="AC669">
        <f t="shared" ca="1" si="269"/>
        <v>0</v>
      </c>
      <c r="AD669">
        <f t="shared" ca="1" si="270"/>
        <v>0</v>
      </c>
      <c r="AE669">
        <f t="shared" ca="1" si="271"/>
        <v>0</v>
      </c>
      <c r="AF669">
        <f t="shared" ca="1" si="272"/>
        <v>0</v>
      </c>
      <c r="AG669">
        <f t="shared" ca="1" si="273"/>
        <v>0</v>
      </c>
      <c r="AH669">
        <f t="shared" ca="1" si="274"/>
        <v>0</v>
      </c>
      <c r="AI669">
        <f t="shared" ca="1" si="275"/>
        <v>0</v>
      </c>
      <c r="AJ669">
        <f t="shared" ca="1" si="276"/>
        <v>0</v>
      </c>
      <c r="AK669">
        <f t="shared" ca="1" si="277"/>
        <v>0</v>
      </c>
      <c r="AL669">
        <f t="shared" ca="1" si="278"/>
        <v>0</v>
      </c>
      <c r="AM669">
        <f t="shared" ca="1" si="279"/>
        <v>0</v>
      </c>
      <c r="AN669">
        <f t="shared" ca="1" si="280"/>
        <v>0</v>
      </c>
      <c r="AO669">
        <f t="shared" ca="1" si="281"/>
        <v>0</v>
      </c>
      <c r="AP669">
        <f t="shared" ca="1" si="282"/>
        <v>0</v>
      </c>
    </row>
    <row r="670" spans="8:42" x14ac:dyDescent="0.2">
      <c r="H670" t="s">
        <v>1029</v>
      </c>
      <c r="I670">
        <f t="shared" ca="1" si="249"/>
        <v>0</v>
      </c>
      <c r="J670">
        <f t="shared" ca="1" si="250"/>
        <v>0</v>
      </c>
      <c r="K670">
        <f t="shared" ca="1" si="251"/>
        <v>0</v>
      </c>
      <c r="L670">
        <f t="shared" ca="1" si="252"/>
        <v>0</v>
      </c>
      <c r="M670">
        <f t="shared" ca="1" si="253"/>
        <v>0</v>
      </c>
      <c r="N670">
        <f t="shared" ca="1" si="254"/>
        <v>0</v>
      </c>
      <c r="O670">
        <f t="shared" ca="1" si="255"/>
        <v>0</v>
      </c>
      <c r="P670">
        <f t="shared" ca="1" si="256"/>
        <v>0</v>
      </c>
      <c r="Q670">
        <f t="shared" ca="1" si="257"/>
        <v>0</v>
      </c>
      <c r="R670">
        <f t="shared" ca="1" si="258"/>
        <v>0</v>
      </c>
      <c r="S670">
        <f t="shared" ca="1" si="259"/>
        <v>0</v>
      </c>
      <c r="T670">
        <f t="shared" ca="1" si="260"/>
        <v>0.76461871716895424</v>
      </c>
      <c r="U670">
        <f t="shared" ca="1" si="261"/>
        <v>0</v>
      </c>
      <c r="V670">
        <f t="shared" ca="1" si="262"/>
        <v>2.7724793907303842</v>
      </c>
      <c r="W670">
        <f t="shared" ca="1" si="263"/>
        <v>0</v>
      </c>
      <c r="X670">
        <f t="shared" ca="1" si="264"/>
        <v>0</v>
      </c>
      <c r="Y670">
        <f t="shared" ca="1" si="265"/>
        <v>0</v>
      </c>
      <c r="Z670">
        <f t="shared" ca="1" si="266"/>
        <v>0</v>
      </c>
      <c r="AA670">
        <f t="shared" ca="1" si="267"/>
        <v>0</v>
      </c>
      <c r="AB670">
        <f t="shared" ca="1" si="268"/>
        <v>0</v>
      </c>
      <c r="AC670">
        <f t="shared" ca="1" si="269"/>
        <v>0</v>
      </c>
      <c r="AD670">
        <f t="shared" ca="1" si="270"/>
        <v>0</v>
      </c>
      <c r="AE670">
        <f t="shared" ca="1" si="271"/>
        <v>0</v>
      </c>
      <c r="AF670">
        <f t="shared" ca="1" si="272"/>
        <v>0</v>
      </c>
      <c r="AG670">
        <f t="shared" ca="1" si="273"/>
        <v>0</v>
      </c>
      <c r="AH670">
        <f t="shared" ca="1" si="274"/>
        <v>0</v>
      </c>
      <c r="AI670">
        <f t="shared" ca="1" si="275"/>
        <v>2.0578786399682847</v>
      </c>
      <c r="AJ670">
        <f t="shared" ca="1" si="276"/>
        <v>0</v>
      </c>
      <c r="AK670">
        <f t="shared" ca="1" si="277"/>
        <v>0</v>
      </c>
      <c r="AL670">
        <f t="shared" ca="1" si="278"/>
        <v>0</v>
      </c>
      <c r="AM670">
        <f t="shared" ca="1" si="279"/>
        <v>0</v>
      </c>
      <c r="AN670">
        <f t="shared" ca="1" si="280"/>
        <v>4.6050232521323764</v>
      </c>
      <c r="AO670">
        <f t="shared" ca="1" si="281"/>
        <v>0</v>
      </c>
      <c r="AP670">
        <f t="shared" ca="1" si="282"/>
        <v>0</v>
      </c>
    </row>
    <row r="671" spans="8:42" x14ac:dyDescent="0.2">
      <c r="H671" t="s">
        <v>1177</v>
      </c>
      <c r="I671">
        <f t="shared" ca="1" si="249"/>
        <v>0</v>
      </c>
      <c r="J671">
        <f t="shared" ca="1" si="250"/>
        <v>0</v>
      </c>
      <c r="K671">
        <f t="shared" ca="1" si="251"/>
        <v>0</v>
      </c>
      <c r="L671">
        <f t="shared" ca="1" si="252"/>
        <v>0</v>
      </c>
      <c r="M671">
        <f t="shared" ca="1" si="253"/>
        <v>0</v>
      </c>
      <c r="N671">
        <f t="shared" ca="1" si="254"/>
        <v>0</v>
      </c>
      <c r="O671">
        <f t="shared" ca="1" si="255"/>
        <v>0</v>
      </c>
      <c r="P671">
        <f t="shared" ca="1" si="256"/>
        <v>0</v>
      </c>
      <c r="Q671">
        <f t="shared" ca="1" si="257"/>
        <v>0</v>
      </c>
      <c r="R671">
        <f t="shared" ca="1" si="258"/>
        <v>0</v>
      </c>
      <c r="S671">
        <f t="shared" ca="1" si="259"/>
        <v>0</v>
      </c>
      <c r="T671">
        <f t="shared" ca="1" si="260"/>
        <v>0</v>
      </c>
      <c r="U671">
        <f t="shared" ca="1" si="261"/>
        <v>0</v>
      </c>
      <c r="V671">
        <f t="shared" ca="1" si="262"/>
        <v>0</v>
      </c>
      <c r="W671">
        <f t="shared" ca="1" si="263"/>
        <v>0</v>
      </c>
      <c r="X671">
        <f t="shared" ca="1" si="264"/>
        <v>0</v>
      </c>
      <c r="Y671">
        <f t="shared" ca="1" si="265"/>
        <v>0</v>
      </c>
      <c r="Z671">
        <f t="shared" ca="1" si="266"/>
        <v>0</v>
      </c>
      <c r="AA671">
        <f t="shared" ca="1" si="267"/>
        <v>0</v>
      </c>
      <c r="AB671">
        <f t="shared" ca="1" si="268"/>
        <v>0</v>
      </c>
      <c r="AC671">
        <f t="shared" ca="1" si="269"/>
        <v>0</v>
      </c>
      <c r="AD671">
        <f t="shared" ca="1" si="270"/>
        <v>0</v>
      </c>
      <c r="AE671">
        <f t="shared" ca="1" si="271"/>
        <v>0</v>
      </c>
      <c r="AF671">
        <f t="shared" ca="1" si="272"/>
        <v>0</v>
      </c>
      <c r="AG671">
        <f t="shared" ca="1" si="273"/>
        <v>0</v>
      </c>
      <c r="AH671">
        <f t="shared" ca="1" si="274"/>
        <v>0</v>
      </c>
      <c r="AI671">
        <f t="shared" ca="1" si="275"/>
        <v>0</v>
      </c>
      <c r="AJ671">
        <f t="shared" ca="1" si="276"/>
        <v>0</v>
      </c>
      <c r="AK671">
        <f t="shared" ca="1" si="277"/>
        <v>0</v>
      </c>
      <c r="AL671">
        <f t="shared" ca="1" si="278"/>
        <v>0</v>
      </c>
      <c r="AM671">
        <f t="shared" ca="1" si="279"/>
        <v>0</v>
      </c>
      <c r="AN671">
        <f t="shared" ca="1" si="280"/>
        <v>0</v>
      </c>
      <c r="AO671">
        <f t="shared" ca="1" si="281"/>
        <v>0</v>
      </c>
      <c r="AP671">
        <f t="shared" ca="1" si="282"/>
        <v>0</v>
      </c>
    </row>
    <row r="672" spans="8:42" x14ac:dyDescent="0.2">
      <c r="H672" t="s">
        <v>1035</v>
      </c>
      <c r="I672">
        <f t="shared" ca="1" si="249"/>
        <v>1.4819759876553977</v>
      </c>
      <c r="J672">
        <f t="shared" ca="1" si="250"/>
        <v>0</v>
      </c>
      <c r="K672">
        <f t="shared" ca="1" si="251"/>
        <v>0</v>
      </c>
      <c r="L672">
        <f t="shared" ca="1" si="252"/>
        <v>0</v>
      </c>
      <c r="M672">
        <f t="shared" ca="1" si="253"/>
        <v>0</v>
      </c>
      <c r="N672">
        <f t="shared" ca="1" si="254"/>
        <v>0</v>
      </c>
      <c r="O672">
        <f t="shared" ca="1" si="255"/>
        <v>0</v>
      </c>
      <c r="P672">
        <f t="shared" ca="1" si="256"/>
        <v>0</v>
      </c>
      <c r="Q672">
        <f t="shared" ca="1" si="257"/>
        <v>0</v>
      </c>
      <c r="R672">
        <f t="shared" ca="1" si="258"/>
        <v>0</v>
      </c>
      <c r="S672">
        <f t="shared" ca="1" si="259"/>
        <v>0</v>
      </c>
      <c r="T672">
        <f t="shared" ca="1" si="260"/>
        <v>0</v>
      </c>
      <c r="U672">
        <f t="shared" ca="1" si="261"/>
        <v>0</v>
      </c>
      <c r="V672">
        <f t="shared" ca="1" si="262"/>
        <v>0</v>
      </c>
      <c r="W672">
        <f t="shared" ca="1" si="263"/>
        <v>0</v>
      </c>
      <c r="X672">
        <f t="shared" ca="1" si="264"/>
        <v>4.3508064302018541</v>
      </c>
      <c r="Y672">
        <f t="shared" ca="1" si="265"/>
        <v>1.20444513078135</v>
      </c>
      <c r="Z672">
        <f t="shared" ca="1" si="266"/>
        <v>0</v>
      </c>
      <c r="AA672">
        <f t="shared" ca="1" si="267"/>
        <v>0</v>
      </c>
      <c r="AB672">
        <f t="shared" ca="1" si="268"/>
        <v>0</v>
      </c>
      <c r="AC672">
        <f t="shared" ca="1" si="269"/>
        <v>0</v>
      </c>
      <c r="AD672">
        <f t="shared" ca="1" si="270"/>
        <v>0</v>
      </c>
      <c r="AE672">
        <f t="shared" ca="1" si="271"/>
        <v>0</v>
      </c>
      <c r="AF672">
        <f t="shared" ca="1" si="272"/>
        <v>0</v>
      </c>
      <c r="AG672">
        <f t="shared" ca="1" si="273"/>
        <v>0.49522636652052987</v>
      </c>
      <c r="AH672">
        <f t="shared" ca="1" si="274"/>
        <v>0</v>
      </c>
      <c r="AI672">
        <f t="shared" ca="1" si="275"/>
        <v>0</v>
      </c>
      <c r="AJ672">
        <f t="shared" ca="1" si="276"/>
        <v>0</v>
      </c>
      <c r="AK672">
        <f t="shared" ca="1" si="277"/>
        <v>21.278895657208203</v>
      </c>
      <c r="AL672">
        <f t="shared" ca="1" si="278"/>
        <v>1.7886504276326674</v>
      </c>
      <c r="AM672">
        <f t="shared" ca="1" si="279"/>
        <v>0</v>
      </c>
      <c r="AN672">
        <f t="shared" ca="1" si="280"/>
        <v>0</v>
      </c>
      <c r="AO672">
        <f t="shared" ca="1" si="281"/>
        <v>0</v>
      </c>
      <c r="AP672">
        <f t="shared" ca="1" si="282"/>
        <v>0</v>
      </c>
    </row>
    <row r="673" spans="8:42" x14ac:dyDescent="0.2">
      <c r="H673" t="s">
        <v>1038</v>
      </c>
      <c r="I673">
        <f t="shared" ca="1" si="249"/>
        <v>0</v>
      </c>
      <c r="J673">
        <f t="shared" ca="1" si="250"/>
        <v>0</v>
      </c>
      <c r="K673">
        <f t="shared" ca="1" si="251"/>
        <v>0</v>
      </c>
      <c r="L673">
        <f t="shared" ca="1" si="252"/>
        <v>0</v>
      </c>
      <c r="M673">
        <f t="shared" ca="1" si="253"/>
        <v>0</v>
      </c>
      <c r="N673">
        <f t="shared" ca="1" si="254"/>
        <v>1.2041810049922066</v>
      </c>
      <c r="O673">
        <f t="shared" ca="1" si="255"/>
        <v>0.94998047321302315</v>
      </c>
      <c r="P673">
        <f t="shared" ca="1" si="256"/>
        <v>0.26162221846868372</v>
      </c>
      <c r="Q673">
        <f t="shared" ca="1" si="257"/>
        <v>0</v>
      </c>
      <c r="R673">
        <f t="shared" ca="1" si="258"/>
        <v>0.34564182772161245</v>
      </c>
      <c r="S673">
        <f t="shared" ca="1" si="259"/>
        <v>5.2935079487364254</v>
      </c>
      <c r="T673">
        <f t="shared" ca="1" si="260"/>
        <v>0</v>
      </c>
      <c r="U673">
        <f t="shared" ca="1" si="261"/>
        <v>0</v>
      </c>
      <c r="V673">
        <f t="shared" ca="1" si="262"/>
        <v>8.6487882891778861E-2</v>
      </c>
      <c r="W673">
        <f t="shared" ca="1" si="263"/>
        <v>0</v>
      </c>
      <c r="X673">
        <f t="shared" ca="1" si="264"/>
        <v>0</v>
      </c>
      <c r="Y673">
        <f t="shared" ca="1" si="265"/>
        <v>0</v>
      </c>
      <c r="Z673">
        <f t="shared" ca="1" si="266"/>
        <v>5.7970409401148792</v>
      </c>
      <c r="AA673">
        <f t="shared" ca="1" si="267"/>
        <v>6.2102859134308632</v>
      </c>
      <c r="AB673">
        <f t="shared" ca="1" si="268"/>
        <v>0</v>
      </c>
      <c r="AC673">
        <f t="shared" ca="1" si="269"/>
        <v>0</v>
      </c>
      <c r="AD673">
        <f t="shared" ca="1" si="270"/>
        <v>0</v>
      </c>
      <c r="AE673">
        <f t="shared" ca="1" si="271"/>
        <v>0</v>
      </c>
      <c r="AF673">
        <f t="shared" ca="1" si="272"/>
        <v>0</v>
      </c>
      <c r="AG673">
        <f t="shared" ca="1" si="273"/>
        <v>0</v>
      </c>
      <c r="AH673">
        <f t="shared" ca="1" si="274"/>
        <v>0</v>
      </c>
      <c r="AI673">
        <f t="shared" ca="1" si="275"/>
        <v>0</v>
      </c>
      <c r="AJ673">
        <f t="shared" ca="1" si="276"/>
        <v>0</v>
      </c>
      <c r="AK673">
        <f t="shared" ca="1" si="277"/>
        <v>0</v>
      </c>
      <c r="AL673">
        <f t="shared" ca="1" si="278"/>
        <v>0.25125179043053014</v>
      </c>
      <c r="AM673">
        <f t="shared" ca="1" si="279"/>
        <v>0</v>
      </c>
      <c r="AN673">
        <f t="shared" ca="1" si="280"/>
        <v>0</v>
      </c>
      <c r="AO673">
        <f t="shared" ca="1" si="281"/>
        <v>0</v>
      </c>
      <c r="AP673">
        <f t="shared" ca="1" si="282"/>
        <v>0</v>
      </c>
    </row>
    <row r="674" spans="8:42" x14ac:dyDescent="0.2">
      <c r="H674" t="s">
        <v>1032</v>
      </c>
      <c r="I674">
        <f t="shared" ca="1" si="249"/>
        <v>0</v>
      </c>
      <c r="J674">
        <f t="shared" ca="1" si="250"/>
        <v>0</v>
      </c>
      <c r="K674">
        <f t="shared" ca="1" si="251"/>
        <v>0</v>
      </c>
      <c r="L674">
        <f t="shared" ca="1" si="252"/>
        <v>0</v>
      </c>
      <c r="M674">
        <f t="shared" ca="1" si="253"/>
        <v>0</v>
      </c>
      <c r="N674">
        <f t="shared" ca="1" si="254"/>
        <v>0.680019354117543</v>
      </c>
      <c r="O674">
        <f t="shared" ca="1" si="255"/>
        <v>0.49004721404257312</v>
      </c>
      <c r="P674">
        <f t="shared" ca="1" si="256"/>
        <v>0.15611431308439841</v>
      </c>
      <c r="Q674">
        <f t="shared" ca="1" si="257"/>
        <v>0</v>
      </c>
      <c r="R674">
        <f t="shared" ca="1" si="258"/>
        <v>0.15216543350328668</v>
      </c>
      <c r="S674">
        <f t="shared" ca="1" si="259"/>
        <v>1.8943375114615959</v>
      </c>
      <c r="T674">
        <f t="shared" ca="1" si="260"/>
        <v>0</v>
      </c>
      <c r="U674">
        <f t="shared" ca="1" si="261"/>
        <v>0</v>
      </c>
      <c r="V674">
        <f t="shared" ca="1" si="262"/>
        <v>5.7396774873622353E-2</v>
      </c>
      <c r="W674">
        <f t="shared" ca="1" si="263"/>
        <v>0</v>
      </c>
      <c r="X674">
        <f t="shared" ca="1" si="264"/>
        <v>0</v>
      </c>
      <c r="Y674">
        <f t="shared" ca="1" si="265"/>
        <v>0</v>
      </c>
      <c r="Z674">
        <f t="shared" ca="1" si="266"/>
        <v>2.4719496219818105</v>
      </c>
      <c r="AA674">
        <f t="shared" ca="1" si="267"/>
        <v>4.1848776058441484</v>
      </c>
      <c r="AB674">
        <f t="shared" ca="1" si="268"/>
        <v>0</v>
      </c>
      <c r="AC674">
        <f t="shared" ca="1" si="269"/>
        <v>0</v>
      </c>
      <c r="AD674">
        <f t="shared" ca="1" si="270"/>
        <v>0</v>
      </c>
      <c r="AE674">
        <f t="shared" ca="1" si="271"/>
        <v>0</v>
      </c>
      <c r="AF674">
        <f t="shared" ca="1" si="272"/>
        <v>0</v>
      </c>
      <c r="AG674">
        <f t="shared" ca="1" si="273"/>
        <v>0</v>
      </c>
      <c r="AH674">
        <f t="shared" ca="1" si="274"/>
        <v>0</v>
      </c>
      <c r="AI674">
        <f t="shared" ca="1" si="275"/>
        <v>0</v>
      </c>
      <c r="AJ674">
        <f t="shared" ca="1" si="276"/>
        <v>0</v>
      </c>
      <c r="AK674">
        <f t="shared" ca="1" si="277"/>
        <v>0</v>
      </c>
      <c r="AL674">
        <f t="shared" ca="1" si="278"/>
        <v>0.11309217109102188</v>
      </c>
      <c r="AM674">
        <f t="shared" ca="1" si="279"/>
        <v>0</v>
      </c>
      <c r="AN674">
        <f t="shared" ca="1" si="280"/>
        <v>0</v>
      </c>
      <c r="AO674">
        <f t="shared" ca="1" si="281"/>
        <v>0</v>
      </c>
      <c r="AP674">
        <f t="shared" ca="1" si="282"/>
        <v>0</v>
      </c>
    </row>
    <row r="675" spans="8:42" x14ac:dyDescent="0.2">
      <c r="H675" t="s">
        <v>1178</v>
      </c>
      <c r="I675">
        <f t="shared" ca="1" si="249"/>
        <v>0</v>
      </c>
      <c r="J675">
        <f t="shared" ca="1" si="250"/>
        <v>0</v>
      </c>
      <c r="K675">
        <f t="shared" ca="1" si="251"/>
        <v>0</v>
      </c>
      <c r="L675">
        <f t="shared" ca="1" si="252"/>
        <v>0</v>
      </c>
      <c r="M675">
        <f t="shared" ca="1" si="253"/>
        <v>0</v>
      </c>
      <c r="N675">
        <f t="shared" ca="1" si="254"/>
        <v>0</v>
      </c>
      <c r="O675">
        <f t="shared" ca="1" si="255"/>
        <v>0</v>
      </c>
      <c r="P675">
        <f t="shared" ca="1" si="256"/>
        <v>0</v>
      </c>
      <c r="Q675">
        <f t="shared" ca="1" si="257"/>
        <v>0</v>
      </c>
      <c r="R675">
        <f t="shared" ca="1" si="258"/>
        <v>0</v>
      </c>
      <c r="S675">
        <f t="shared" ca="1" si="259"/>
        <v>0</v>
      </c>
      <c r="T675">
        <f t="shared" ca="1" si="260"/>
        <v>0</v>
      </c>
      <c r="U675">
        <f t="shared" ca="1" si="261"/>
        <v>0</v>
      </c>
      <c r="V675">
        <f t="shared" ca="1" si="262"/>
        <v>0</v>
      </c>
      <c r="W675">
        <f t="shared" ca="1" si="263"/>
        <v>0</v>
      </c>
      <c r="X675">
        <f t="shared" ca="1" si="264"/>
        <v>0</v>
      </c>
      <c r="Y675">
        <f t="shared" ca="1" si="265"/>
        <v>0</v>
      </c>
      <c r="Z675">
        <f t="shared" ca="1" si="266"/>
        <v>0</v>
      </c>
      <c r="AA675">
        <f t="shared" ca="1" si="267"/>
        <v>0</v>
      </c>
      <c r="AB675">
        <f t="shared" ca="1" si="268"/>
        <v>0</v>
      </c>
      <c r="AC675">
        <f t="shared" ca="1" si="269"/>
        <v>0</v>
      </c>
      <c r="AD675">
        <f t="shared" ca="1" si="270"/>
        <v>0</v>
      </c>
      <c r="AE675">
        <f t="shared" ca="1" si="271"/>
        <v>0</v>
      </c>
      <c r="AF675">
        <f t="shared" ca="1" si="272"/>
        <v>0</v>
      </c>
      <c r="AG675">
        <f t="shared" ca="1" si="273"/>
        <v>0</v>
      </c>
      <c r="AH675">
        <f t="shared" ca="1" si="274"/>
        <v>0</v>
      </c>
      <c r="AI675">
        <f t="shared" ca="1" si="275"/>
        <v>0</v>
      </c>
      <c r="AJ675">
        <f t="shared" ca="1" si="276"/>
        <v>0</v>
      </c>
      <c r="AK675">
        <f t="shared" ca="1" si="277"/>
        <v>0</v>
      </c>
      <c r="AL675">
        <f t="shared" ca="1" si="278"/>
        <v>0</v>
      </c>
      <c r="AM675">
        <f t="shared" ca="1" si="279"/>
        <v>0</v>
      </c>
      <c r="AN675">
        <f t="shared" ca="1" si="280"/>
        <v>0</v>
      </c>
      <c r="AO675">
        <f t="shared" ca="1" si="281"/>
        <v>0</v>
      </c>
      <c r="AP675">
        <f t="shared" ca="1" si="282"/>
        <v>0</v>
      </c>
    </row>
    <row r="676" spans="8:42" x14ac:dyDescent="0.2">
      <c r="H676" t="s">
        <v>1073</v>
      </c>
      <c r="I676">
        <f t="shared" ca="1" si="249"/>
        <v>0</v>
      </c>
      <c r="J676">
        <f t="shared" ca="1" si="250"/>
        <v>0</v>
      </c>
      <c r="K676">
        <f t="shared" ca="1" si="251"/>
        <v>0</v>
      </c>
      <c r="L676">
        <f t="shared" ca="1" si="252"/>
        <v>0</v>
      </c>
      <c r="M676">
        <f t="shared" ca="1" si="253"/>
        <v>0</v>
      </c>
      <c r="N676">
        <f t="shared" ca="1" si="254"/>
        <v>0</v>
      </c>
      <c r="O676">
        <f t="shared" ca="1" si="255"/>
        <v>0.55635112598390957</v>
      </c>
      <c r="P676">
        <f t="shared" ca="1" si="256"/>
        <v>0.15427456107690155</v>
      </c>
      <c r="Q676">
        <f t="shared" ca="1" si="257"/>
        <v>0</v>
      </c>
      <c r="R676">
        <f t="shared" ca="1" si="258"/>
        <v>0.26333756150409099</v>
      </c>
      <c r="S676">
        <f t="shared" ca="1" si="259"/>
        <v>4.1345316412625452</v>
      </c>
      <c r="T676">
        <f t="shared" ca="1" si="260"/>
        <v>0</v>
      </c>
      <c r="U676">
        <f t="shared" ca="1" si="261"/>
        <v>0</v>
      </c>
      <c r="V676">
        <f t="shared" ca="1" si="262"/>
        <v>0.15579575173476004</v>
      </c>
      <c r="W676">
        <f t="shared" ca="1" si="263"/>
        <v>0</v>
      </c>
      <c r="X676">
        <f t="shared" ca="1" si="264"/>
        <v>0</v>
      </c>
      <c r="Y676">
        <f t="shared" ca="1" si="265"/>
        <v>0</v>
      </c>
      <c r="Z676">
        <f t="shared" ca="1" si="266"/>
        <v>5.0464800597484762</v>
      </c>
      <c r="AA676">
        <f t="shared" ca="1" si="267"/>
        <v>6.34489980199029</v>
      </c>
      <c r="AB676">
        <f t="shared" ca="1" si="268"/>
        <v>0</v>
      </c>
      <c r="AC676">
        <f t="shared" ca="1" si="269"/>
        <v>0</v>
      </c>
      <c r="AD676">
        <f t="shared" ca="1" si="270"/>
        <v>0</v>
      </c>
      <c r="AE676">
        <f t="shared" ca="1" si="271"/>
        <v>0</v>
      </c>
      <c r="AF676">
        <f t="shared" ca="1" si="272"/>
        <v>0</v>
      </c>
      <c r="AG676">
        <f t="shared" ca="1" si="273"/>
        <v>0</v>
      </c>
      <c r="AH676">
        <f t="shared" ca="1" si="274"/>
        <v>0</v>
      </c>
      <c r="AI676">
        <f t="shared" ca="1" si="275"/>
        <v>0</v>
      </c>
      <c r="AJ676">
        <f t="shared" ca="1" si="276"/>
        <v>0</v>
      </c>
      <c r="AK676">
        <f t="shared" ca="1" si="277"/>
        <v>0</v>
      </c>
      <c r="AL676">
        <f t="shared" ca="1" si="278"/>
        <v>0.14432949669902645</v>
      </c>
      <c r="AM676">
        <f t="shared" ca="1" si="279"/>
        <v>0</v>
      </c>
      <c r="AN676">
        <f t="shared" ca="1" si="280"/>
        <v>0</v>
      </c>
      <c r="AO676">
        <f t="shared" ca="1" si="281"/>
        <v>0</v>
      </c>
      <c r="AP676">
        <f t="shared" ca="1" si="282"/>
        <v>0</v>
      </c>
    </row>
    <row r="677" spans="8:42" x14ac:dyDescent="0.2">
      <c r="H677" t="s">
        <v>1059</v>
      </c>
      <c r="I677">
        <f t="shared" ca="1" si="249"/>
        <v>0</v>
      </c>
      <c r="J677">
        <f t="shared" ca="1" si="250"/>
        <v>0</v>
      </c>
      <c r="K677">
        <f t="shared" ca="1" si="251"/>
        <v>0</v>
      </c>
      <c r="L677">
        <f t="shared" ca="1" si="252"/>
        <v>0</v>
      </c>
      <c r="M677">
        <f t="shared" ca="1" si="253"/>
        <v>0</v>
      </c>
      <c r="N677">
        <f t="shared" ca="1" si="254"/>
        <v>1.9608066690202155</v>
      </c>
      <c r="O677">
        <f t="shared" ca="1" si="255"/>
        <v>0.68739130114418412</v>
      </c>
      <c r="P677">
        <f t="shared" ca="1" si="256"/>
        <v>0.22561676442939127</v>
      </c>
      <c r="Q677">
        <f t="shared" ca="1" si="257"/>
        <v>0</v>
      </c>
      <c r="R677">
        <f t="shared" ca="1" si="258"/>
        <v>0.27485109748559033</v>
      </c>
      <c r="S677">
        <f t="shared" ca="1" si="259"/>
        <v>5.5173863659430165</v>
      </c>
      <c r="T677">
        <f t="shared" ca="1" si="260"/>
        <v>0</v>
      </c>
      <c r="U677">
        <f t="shared" ca="1" si="261"/>
        <v>0</v>
      </c>
      <c r="V677">
        <f t="shared" ca="1" si="262"/>
        <v>0.10937382878735294</v>
      </c>
      <c r="W677">
        <f t="shared" ca="1" si="263"/>
        <v>0</v>
      </c>
      <c r="X677">
        <f t="shared" ca="1" si="264"/>
        <v>0</v>
      </c>
      <c r="Y677">
        <f t="shared" ca="1" si="265"/>
        <v>0</v>
      </c>
      <c r="Z677">
        <f t="shared" ca="1" si="266"/>
        <v>4.5506273094544349</v>
      </c>
      <c r="AA677">
        <f t="shared" ca="1" si="267"/>
        <v>5.6963402895485862</v>
      </c>
      <c r="AB677">
        <f t="shared" ca="1" si="268"/>
        <v>0</v>
      </c>
      <c r="AC677">
        <f t="shared" ca="1" si="269"/>
        <v>0</v>
      </c>
      <c r="AD677">
        <f t="shared" ca="1" si="270"/>
        <v>0</v>
      </c>
      <c r="AE677">
        <f t="shared" ca="1" si="271"/>
        <v>0</v>
      </c>
      <c r="AF677">
        <f t="shared" ca="1" si="272"/>
        <v>0</v>
      </c>
      <c r="AG677">
        <f t="shared" ca="1" si="273"/>
        <v>0</v>
      </c>
      <c r="AH677">
        <f t="shared" ca="1" si="274"/>
        <v>0</v>
      </c>
      <c r="AI677">
        <f t="shared" ca="1" si="275"/>
        <v>0</v>
      </c>
      <c r="AJ677">
        <f t="shared" ca="1" si="276"/>
        <v>0</v>
      </c>
      <c r="AK677">
        <f t="shared" ca="1" si="277"/>
        <v>0</v>
      </c>
      <c r="AL677">
        <f t="shared" ca="1" si="278"/>
        <v>0.17760637418722253</v>
      </c>
      <c r="AM677">
        <f t="shared" ca="1" si="279"/>
        <v>0</v>
      </c>
      <c r="AN677">
        <f t="shared" ca="1" si="280"/>
        <v>0</v>
      </c>
      <c r="AO677">
        <f t="shared" ca="1" si="281"/>
        <v>0</v>
      </c>
      <c r="AP677">
        <f t="shared" ca="1" si="282"/>
        <v>0</v>
      </c>
    </row>
    <row r="678" spans="8:42" x14ac:dyDescent="0.2">
      <c r="H678" t="s">
        <v>1027</v>
      </c>
      <c r="I678">
        <f t="shared" ca="1" si="249"/>
        <v>21.216000000000001</v>
      </c>
      <c r="J678">
        <f t="shared" ca="1" si="250"/>
        <v>0</v>
      </c>
      <c r="K678">
        <f t="shared" ca="1" si="251"/>
        <v>0</v>
      </c>
      <c r="L678">
        <f t="shared" ca="1" si="252"/>
        <v>0</v>
      </c>
      <c r="M678">
        <f t="shared" ca="1" si="253"/>
        <v>0</v>
      </c>
      <c r="N678">
        <f t="shared" ca="1" si="254"/>
        <v>0</v>
      </c>
      <c r="O678">
        <f t="shared" ca="1" si="255"/>
        <v>0</v>
      </c>
      <c r="P678">
        <f t="shared" ca="1" si="256"/>
        <v>0</v>
      </c>
      <c r="Q678">
        <f t="shared" ca="1" si="257"/>
        <v>0</v>
      </c>
      <c r="R678">
        <f t="shared" ca="1" si="258"/>
        <v>0</v>
      </c>
      <c r="S678">
        <f t="shared" ca="1" si="259"/>
        <v>0</v>
      </c>
      <c r="T678">
        <f t="shared" ca="1" si="260"/>
        <v>0</v>
      </c>
      <c r="U678">
        <f t="shared" ca="1" si="261"/>
        <v>0</v>
      </c>
      <c r="V678">
        <f t="shared" ca="1" si="262"/>
        <v>0</v>
      </c>
      <c r="W678">
        <f t="shared" ca="1" si="263"/>
        <v>0</v>
      </c>
      <c r="X678">
        <f t="shared" ca="1" si="264"/>
        <v>0</v>
      </c>
      <c r="Y678">
        <f t="shared" ca="1" si="265"/>
        <v>0</v>
      </c>
      <c r="Z678">
        <f t="shared" ca="1" si="266"/>
        <v>0</v>
      </c>
      <c r="AA678">
        <f t="shared" ca="1" si="267"/>
        <v>0</v>
      </c>
      <c r="AB678">
        <f t="shared" ca="1" si="268"/>
        <v>0</v>
      </c>
      <c r="AC678">
        <f t="shared" ca="1" si="269"/>
        <v>0</v>
      </c>
      <c r="AD678">
        <f t="shared" ca="1" si="270"/>
        <v>0</v>
      </c>
      <c r="AE678">
        <f t="shared" ca="1" si="271"/>
        <v>0</v>
      </c>
      <c r="AF678">
        <f t="shared" ca="1" si="272"/>
        <v>0</v>
      </c>
      <c r="AG678">
        <f t="shared" ca="1" si="273"/>
        <v>0</v>
      </c>
      <c r="AH678">
        <f t="shared" ca="1" si="274"/>
        <v>0</v>
      </c>
      <c r="AI678">
        <f t="shared" ca="1" si="275"/>
        <v>0</v>
      </c>
      <c r="AJ678">
        <f t="shared" ca="1" si="276"/>
        <v>0</v>
      </c>
      <c r="AK678">
        <f t="shared" ca="1" si="277"/>
        <v>0</v>
      </c>
      <c r="AL678">
        <f t="shared" ca="1" si="278"/>
        <v>0</v>
      </c>
      <c r="AM678">
        <f t="shared" ca="1" si="279"/>
        <v>0</v>
      </c>
      <c r="AN678">
        <f t="shared" ca="1" si="280"/>
        <v>0</v>
      </c>
      <c r="AO678">
        <f t="shared" ca="1" si="281"/>
        <v>0</v>
      </c>
      <c r="AP678">
        <f t="shared" ca="1" si="282"/>
        <v>0</v>
      </c>
    </row>
    <row r="679" spans="8:42" x14ac:dyDescent="0.2">
      <c r="H679" t="s">
        <v>1179</v>
      </c>
      <c r="I679">
        <f t="shared" ca="1" si="249"/>
        <v>0</v>
      </c>
      <c r="J679">
        <f t="shared" ca="1" si="250"/>
        <v>0</v>
      </c>
      <c r="K679">
        <f t="shared" ca="1" si="251"/>
        <v>0</v>
      </c>
      <c r="L679">
        <f t="shared" ca="1" si="252"/>
        <v>0</v>
      </c>
      <c r="M679">
        <f t="shared" ca="1" si="253"/>
        <v>0</v>
      </c>
      <c r="N679">
        <f t="shared" ca="1" si="254"/>
        <v>0</v>
      </c>
      <c r="O679">
        <f t="shared" ca="1" si="255"/>
        <v>0</v>
      </c>
      <c r="P679">
        <f t="shared" ca="1" si="256"/>
        <v>0</v>
      </c>
      <c r="Q679">
        <f t="shared" ca="1" si="257"/>
        <v>0</v>
      </c>
      <c r="R679">
        <f t="shared" ca="1" si="258"/>
        <v>0</v>
      </c>
      <c r="S679">
        <f t="shared" ca="1" si="259"/>
        <v>0</v>
      </c>
      <c r="T679">
        <f t="shared" ca="1" si="260"/>
        <v>0</v>
      </c>
      <c r="U679">
        <f t="shared" ca="1" si="261"/>
        <v>0</v>
      </c>
      <c r="V679">
        <f t="shared" ca="1" si="262"/>
        <v>0</v>
      </c>
      <c r="W679">
        <f t="shared" ca="1" si="263"/>
        <v>0</v>
      </c>
      <c r="X679">
        <f t="shared" ca="1" si="264"/>
        <v>0</v>
      </c>
      <c r="Y679">
        <f t="shared" ca="1" si="265"/>
        <v>0</v>
      </c>
      <c r="Z679">
        <f t="shared" ca="1" si="266"/>
        <v>0</v>
      </c>
      <c r="AA679">
        <f t="shared" ca="1" si="267"/>
        <v>0</v>
      </c>
      <c r="AB679">
        <f t="shared" ca="1" si="268"/>
        <v>0</v>
      </c>
      <c r="AC679">
        <f t="shared" ca="1" si="269"/>
        <v>0</v>
      </c>
      <c r="AD679">
        <f t="shared" ca="1" si="270"/>
        <v>0</v>
      </c>
      <c r="AE679">
        <f t="shared" ca="1" si="271"/>
        <v>0</v>
      </c>
      <c r="AF679">
        <f t="shared" ca="1" si="272"/>
        <v>0</v>
      </c>
      <c r="AG679">
        <f t="shared" ca="1" si="273"/>
        <v>0</v>
      </c>
      <c r="AH679">
        <f t="shared" ca="1" si="274"/>
        <v>0</v>
      </c>
      <c r="AI679">
        <f t="shared" ca="1" si="275"/>
        <v>0</v>
      </c>
      <c r="AJ679">
        <f t="shared" ca="1" si="276"/>
        <v>0</v>
      </c>
      <c r="AK679">
        <f t="shared" ca="1" si="277"/>
        <v>0</v>
      </c>
      <c r="AL679">
        <f t="shared" ca="1" si="278"/>
        <v>0</v>
      </c>
      <c r="AM679">
        <f t="shared" ca="1" si="279"/>
        <v>0</v>
      </c>
      <c r="AN679">
        <f t="shared" ca="1" si="280"/>
        <v>0</v>
      </c>
      <c r="AO679">
        <f t="shared" ca="1" si="281"/>
        <v>0</v>
      </c>
      <c r="AP679">
        <f t="shared" ca="1" si="282"/>
        <v>0</v>
      </c>
    </row>
    <row r="680" spans="8:42" x14ac:dyDescent="0.2">
      <c r="H680" t="s">
        <v>1180</v>
      </c>
      <c r="I680">
        <f t="shared" ca="1" si="249"/>
        <v>0</v>
      </c>
      <c r="J680">
        <f t="shared" ca="1" si="250"/>
        <v>0</v>
      </c>
      <c r="K680">
        <f t="shared" ca="1" si="251"/>
        <v>0</v>
      </c>
      <c r="L680">
        <f t="shared" ca="1" si="252"/>
        <v>0</v>
      </c>
      <c r="M680">
        <f t="shared" ca="1" si="253"/>
        <v>0</v>
      </c>
      <c r="N680">
        <f t="shared" ca="1" si="254"/>
        <v>0</v>
      </c>
      <c r="O680">
        <f t="shared" ca="1" si="255"/>
        <v>0</v>
      </c>
      <c r="P680">
        <f t="shared" ca="1" si="256"/>
        <v>0</v>
      </c>
      <c r="Q680">
        <f t="shared" ca="1" si="257"/>
        <v>0</v>
      </c>
      <c r="R680">
        <f t="shared" ca="1" si="258"/>
        <v>0</v>
      </c>
      <c r="S680">
        <f t="shared" ca="1" si="259"/>
        <v>0</v>
      </c>
      <c r="T680">
        <f t="shared" ca="1" si="260"/>
        <v>0</v>
      </c>
      <c r="U680">
        <f t="shared" ca="1" si="261"/>
        <v>0</v>
      </c>
      <c r="V680">
        <f t="shared" ca="1" si="262"/>
        <v>0</v>
      </c>
      <c r="W680">
        <f t="shared" ca="1" si="263"/>
        <v>0</v>
      </c>
      <c r="X680">
        <f t="shared" ca="1" si="264"/>
        <v>0</v>
      </c>
      <c r="Y680">
        <f t="shared" ca="1" si="265"/>
        <v>0</v>
      </c>
      <c r="Z680">
        <f t="shared" ca="1" si="266"/>
        <v>0</v>
      </c>
      <c r="AA680">
        <f t="shared" ca="1" si="267"/>
        <v>0</v>
      </c>
      <c r="AB680">
        <f t="shared" ca="1" si="268"/>
        <v>0</v>
      </c>
      <c r="AC680">
        <f t="shared" ca="1" si="269"/>
        <v>0</v>
      </c>
      <c r="AD680">
        <f t="shared" ca="1" si="270"/>
        <v>0</v>
      </c>
      <c r="AE680">
        <f t="shared" ca="1" si="271"/>
        <v>0</v>
      </c>
      <c r="AF680">
        <f t="shared" ca="1" si="272"/>
        <v>0</v>
      </c>
      <c r="AG680">
        <f t="shared" ca="1" si="273"/>
        <v>0</v>
      </c>
      <c r="AH680">
        <f t="shared" ca="1" si="274"/>
        <v>0</v>
      </c>
      <c r="AI680">
        <f t="shared" ca="1" si="275"/>
        <v>0</v>
      </c>
      <c r="AJ680">
        <f t="shared" ca="1" si="276"/>
        <v>0</v>
      </c>
      <c r="AK680">
        <f t="shared" ca="1" si="277"/>
        <v>0</v>
      </c>
      <c r="AL680">
        <f t="shared" ca="1" si="278"/>
        <v>0</v>
      </c>
      <c r="AM680">
        <f t="shared" ca="1" si="279"/>
        <v>0</v>
      </c>
      <c r="AN680">
        <f t="shared" ca="1" si="280"/>
        <v>0</v>
      </c>
      <c r="AO680">
        <f t="shared" ca="1" si="281"/>
        <v>0</v>
      </c>
      <c r="AP680">
        <f t="shared" ca="1" si="282"/>
        <v>0</v>
      </c>
    </row>
    <row r="681" spans="8:42" x14ac:dyDescent="0.2">
      <c r="H681" t="s">
        <v>981</v>
      </c>
      <c r="I681">
        <f t="shared" ca="1" si="249"/>
        <v>0</v>
      </c>
      <c r="J681">
        <f t="shared" ca="1" si="250"/>
        <v>0</v>
      </c>
      <c r="K681">
        <f t="shared" ca="1" si="251"/>
        <v>0</v>
      </c>
      <c r="L681">
        <f t="shared" ca="1" si="252"/>
        <v>0</v>
      </c>
      <c r="M681">
        <f t="shared" ca="1" si="253"/>
        <v>0</v>
      </c>
      <c r="N681">
        <f t="shared" ca="1" si="254"/>
        <v>0</v>
      </c>
      <c r="O681">
        <f t="shared" ca="1" si="255"/>
        <v>0</v>
      </c>
      <c r="P681">
        <f t="shared" ca="1" si="256"/>
        <v>0</v>
      </c>
      <c r="Q681">
        <f t="shared" ca="1" si="257"/>
        <v>0</v>
      </c>
      <c r="R681">
        <f t="shared" ca="1" si="258"/>
        <v>0</v>
      </c>
      <c r="S681">
        <f t="shared" ca="1" si="259"/>
        <v>0</v>
      </c>
      <c r="T681">
        <f t="shared" ca="1" si="260"/>
        <v>0</v>
      </c>
      <c r="U681">
        <f t="shared" ca="1" si="261"/>
        <v>0</v>
      </c>
      <c r="V681">
        <f t="shared" ca="1" si="262"/>
        <v>0</v>
      </c>
      <c r="W681">
        <f t="shared" ca="1" si="263"/>
        <v>0</v>
      </c>
      <c r="X681">
        <f t="shared" ca="1" si="264"/>
        <v>0</v>
      </c>
      <c r="Y681">
        <f t="shared" ca="1" si="265"/>
        <v>0</v>
      </c>
      <c r="Z681">
        <f t="shared" ca="1" si="266"/>
        <v>0</v>
      </c>
      <c r="AA681">
        <f t="shared" ca="1" si="267"/>
        <v>0</v>
      </c>
      <c r="AB681">
        <f t="shared" ca="1" si="268"/>
        <v>0</v>
      </c>
      <c r="AC681">
        <f t="shared" ca="1" si="269"/>
        <v>0</v>
      </c>
      <c r="AD681">
        <f t="shared" ca="1" si="270"/>
        <v>0</v>
      </c>
      <c r="AE681">
        <f t="shared" ca="1" si="271"/>
        <v>0</v>
      </c>
      <c r="AF681">
        <f t="shared" ca="1" si="272"/>
        <v>0</v>
      </c>
      <c r="AG681">
        <f t="shared" ca="1" si="273"/>
        <v>0</v>
      </c>
      <c r="AH681">
        <f t="shared" ca="1" si="274"/>
        <v>0</v>
      </c>
      <c r="AI681">
        <f t="shared" ca="1" si="275"/>
        <v>0</v>
      </c>
      <c r="AJ681">
        <f t="shared" ca="1" si="276"/>
        <v>0</v>
      </c>
      <c r="AK681">
        <f t="shared" ca="1" si="277"/>
        <v>0</v>
      </c>
      <c r="AL681">
        <f t="shared" ca="1" si="278"/>
        <v>0</v>
      </c>
      <c r="AM681">
        <f t="shared" ca="1" si="279"/>
        <v>0</v>
      </c>
      <c r="AN681">
        <f t="shared" ca="1" si="280"/>
        <v>0</v>
      </c>
      <c r="AO681">
        <f t="shared" ca="1" si="281"/>
        <v>0</v>
      </c>
      <c r="AP681">
        <f t="shared" ca="1" si="282"/>
        <v>0</v>
      </c>
    </row>
    <row r="682" spans="8:42" x14ac:dyDescent="0.2">
      <c r="H682" t="s">
        <v>1100</v>
      </c>
      <c r="I682">
        <f t="shared" ca="1" si="249"/>
        <v>0</v>
      </c>
      <c r="J682">
        <f t="shared" ca="1" si="250"/>
        <v>0</v>
      </c>
      <c r="K682">
        <f t="shared" ca="1" si="251"/>
        <v>0</v>
      </c>
      <c r="L682">
        <f t="shared" ca="1" si="252"/>
        <v>0</v>
      </c>
      <c r="M682">
        <f t="shared" ca="1" si="253"/>
        <v>0</v>
      </c>
      <c r="N682">
        <f t="shared" ca="1" si="254"/>
        <v>0</v>
      </c>
      <c r="O682">
        <f t="shared" ca="1" si="255"/>
        <v>0</v>
      </c>
      <c r="P682">
        <f t="shared" ca="1" si="256"/>
        <v>0</v>
      </c>
      <c r="Q682">
        <f t="shared" ca="1" si="257"/>
        <v>0</v>
      </c>
      <c r="R682">
        <f t="shared" ca="1" si="258"/>
        <v>0</v>
      </c>
      <c r="S682">
        <f t="shared" ca="1" si="259"/>
        <v>0</v>
      </c>
      <c r="T682">
        <f t="shared" ca="1" si="260"/>
        <v>7.0919999999999996</v>
      </c>
      <c r="U682">
        <f t="shared" ca="1" si="261"/>
        <v>0</v>
      </c>
      <c r="V682">
        <f t="shared" ca="1" si="262"/>
        <v>0</v>
      </c>
      <c r="W682">
        <f t="shared" ca="1" si="263"/>
        <v>0</v>
      </c>
      <c r="X682">
        <f t="shared" ca="1" si="264"/>
        <v>0</v>
      </c>
      <c r="Y682">
        <f t="shared" ca="1" si="265"/>
        <v>0</v>
      </c>
      <c r="Z682">
        <f t="shared" ca="1" si="266"/>
        <v>0</v>
      </c>
      <c r="AA682">
        <f t="shared" ca="1" si="267"/>
        <v>0</v>
      </c>
      <c r="AB682">
        <f t="shared" ca="1" si="268"/>
        <v>0</v>
      </c>
      <c r="AC682">
        <f t="shared" ca="1" si="269"/>
        <v>0</v>
      </c>
      <c r="AD682">
        <f t="shared" ca="1" si="270"/>
        <v>0</v>
      </c>
      <c r="AE682">
        <f t="shared" ca="1" si="271"/>
        <v>0</v>
      </c>
      <c r="AF682">
        <f t="shared" ca="1" si="272"/>
        <v>0</v>
      </c>
      <c r="AG682">
        <f t="shared" ca="1" si="273"/>
        <v>0</v>
      </c>
      <c r="AH682">
        <f t="shared" ca="1" si="274"/>
        <v>0</v>
      </c>
      <c r="AI682">
        <f t="shared" ca="1" si="275"/>
        <v>0</v>
      </c>
      <c r="AJ682">
        <f t="shared" ca="1" si="276"/>
        <v>0</v>
      </c>
      <c r="AK682">
        <f t="shared" ca="1" si="277"/>
        <v>0</v>
      </c>
      <c r="AL682">
        <f t="shared" ca="1" si="278"/>
        <v>0</v>
      </c>
      <c r="AM682">
        <f t="shared" ca="1" si="279"/>
        <v>0</v>
      </c>
      <c r="AN682">
        <f t="shared" ca="1" si="280"/>
        <v>0</v>
      </c>
      <c r="AO682">
        <f t="shared" ca="1" si="281"/>
        <v>0</v>
      </c>
      <c r="AP682">
        <f t="shared" ca="1" si="282"/>
        <v>0</v>
      </c>
    </row>
    <row r="683" spans="8:42" x14ac:dyDescent="0.2">
      <c r="H683" t="s">
        <v>979</v>
      </c>
      <c r="I683">
        <f t="shared" ca="1" si="249"/>
        <v>0</v>
      </c>
      <c r="J683">
        <f t="shared" ca="1" si="250"/>
        <v>0</v>
      </c>
      <c r="K683">
        <f t="shared" ca="1" si="251"/>
        <v>0</v>
      </c>
      <c r="L683">
        <f t="shared" ca="1" si="252"/>
        <v>0</v>
      </c>
      <c r="M683">
        <f t="shared" ca="1" si="253"/>
        <v>0</v>
      </c>
      <c r="N683">
        <f t="shared" ca="1" si="254"/>
        <v>0</v>
      </c>
      <c r="O683">
        <f t="shared" ca="1" si="255"/>
        <v>0</v>
      </c>
      <c r="P683">
        <f t="shared" ca="1" si="256"/>
        <v>0</v>
      </c>
      <c r="Q683">
        <f t="shared" ca="1" si="257"/>
        <v>0</v>
      </c>
      <c r="R683">
        <f t="shared" ca="1" si="258"/>
        <v>0</v>
      </c>
      <c r="S683">
        <f t="shared" ca="1" si="259"/>
        <v>0</v>
      </c>
      <c r="T683">
        <f t="shared" ca="1" si="260"/>
        <v>0</v>
      </c>
      <c r="U683">
        <f t="shared" ca="1" si="261"/>
        <v>0</v>
      </c>
      <c r="V683">
        <f t="shared" ca="1" si="262"/>
        <v>0</v>
      </c>
      <c r="W683">
        <f t="shared" ca="1" si="263"/>
        <v>0</v>
      </c>
      <c r="X683">
        <f t="shared" ca="1" si="264"/>
        <v>32.64</v>
      </c>
      <c r="Y683">
        <f t="shared" ca="1" si="265"/>
        <v>0</v>
      </c>
      <c r="Z683">
        <f t="shared" ca="1" si="266"/>
        <v>0</v>
      </c>
      <c r="AA683">
        <f t="shared" ca="1" si="267"/>
        <v>0</v>
      </c>
      <c r="AB683">
        <f t="shared" ca="1" si="268"/>
        <v>0</v>
      </c>
      <c r="AC683">
        <f t="shared" ca="1" si="269"/>
        <v>0</v>
      </c>
      <c r="AD683">
        <f t="shared" ca="1" si="270"/>
        <v>0</v>
      </c>
      <c r="AE683">
        <f t="shared" ca="1" si="271"/>
        <v>0</v>
      </c>
      <c r="AF683">
        <f t="shared" ca="1" si="272"/>
        <v>0</v>
      </c>
      <c r="AG683">
        <f t="shared" ca="1" si="273"/>
        <v>0</v>
      </c>
      <c r="AH683">
        <f t="shared" ca="1" si="274"/>
        <v>0</v>
      </c>
      <c r="AI683">
        <f t="shared" ca="1" si="275"/>
        <v>0</v>
      </c>
      <c r="AJ683">
        <f t="shared" ca="1" si="276"/>
        <v>0</v>
      </c>
      <c r="AK683">
        <f t="shared" ca="1" si="277"/>
        <v>0</v>
      </c>
      <c r="AL683">
        <f t="shared" ca="1" si="278"/>
        <v>0</v>
      </c>
      <c r="AM683">
        <f t="shared" ca="1" si="279"/>
        <v>0</v>
      </c>
      <c r="AN683">
        <f t="shared" ca="1" si="280"/>
        <v>0</v>
      </c>
      <c r="AO683">
        <f t="shared" ca="1" si="281"/>
        <v>0</v>
      </c>
      <c r="AP683">
        <f t="shared" ca="1" si="282"/>
        <v>0</v>
      </c>
    </row>
    <row r="684" spans="8:42" x14ac:dyDescent="0.2">
      <c r="H684" t="s">
        <v>1215</v>
      </c>
      <c r="I684">
        <f ca="1">SUM(I459:I683)</f>
        <v>135.82021728484997</v>
      </c>
      <c r="J684">
        <f t="shared" ref="J684:AP684" ca="1" si="283">SUM(J459:J683)</f>
        <v>0.64916681469102988</v>
      </c>
      <c r="K684">
        <f t="shared" ca="1" si="283"/>
        <v>8.475109558088219</v>
      </c>
      <c r="L684">
        <f t="shared" ca="1" si="283"/>
        <v>69.393547832774175</v>
      </c>
      <c r="M684">
        <f t="shared" ca="1" si="283"/>
        <v>4.8502290362358189E-2</v>
      </c>
      <c r="N684">
        <f t="shared" ca="1" si="283"/>
        <v>92.493451746575545</v>
      </c>
      <c r="O684">
        <f t="shared" ca="1" si="283"/>
        <v>16.109034480436264</v>
      </c>
      <c r="P684">
        <f t="shared" ca="1" si="283"/>
        <v>3.9750454139487239</v>
      </c>
      <c r="Q684">
        <f t="shared" ca="1" si="283"/>
        <v>63.986974015403078</v>
      </c>
      <c r="R684">
        <f t="shared" ca="1" si="283"/>
        <v>10.980881060094752</v>
      </c>
      <c r="S684">
        <f t="shared" ca="1" si="283"/>
        <v>171.80293993583425</v>
      </c>
      <c r="T684">
        <f t="shared" ca="1" si="283"/>
        <v>165.25866037460054</v>
      </c>
      <c r="U684">
        <f t="shared" ca="1" si="283"/>
        <v>3.9454744949944138</v>
      </c>
      <c r="V684">
        <f t="shared" ca="1" si="283"/>
        <v>11.998240412548128</v>
      </c>
      <c r="W684">
        <f t="shared" ca="1" si="283"/>
        <v>12.373344054510026</v>
      </c>
      <c r="X684">
        <f t="shared" ca="1" si="283"/>
        <v>161.72642916152864</v>
      </c>
      <c r="Y684">
        <f t="shared" ca="1" si="283"/>
        <v>93.314679259075149</v>
      </c>
      <c r="Z684">
        <f t="shared" ca="1" si="283"/>
        <v>182.76770935883292</v>
      </c>
      <c r="AA684">
        <f t="shared" ca="1" si="283"/>
        <v>293.7891567162095</v>
      </c>
      <c r="AB684">
        <f t="shared" ca="1" si="283"/>
        <v>0.40460379565340621</v>
      </c>
      <c r="AC684">
        <f t="shared" ca="1" si="283"/>
        <v>0</v>
      </c>
      <c r="AD684">
        <f t="shared" ca="1" si="283"/>
        <v>0.63131809058110755</v>
      </c>
      <c r="AE684">
        <f t="shared" ca="1" si="283"/>
        <v>0.66355863325050957</v>
      </c>
      <c r="AF684">
        <f t="shared" ca="1" si="283"/>
        <v>78.897773662090486</v>
      </c>
      <c r="AG684">
        <f t="shared" ca="1" si="283"/>
        <v>4.0136694833431221</v>
      </c>
      <c r="AH684">
        <f t="shared" ca="1" si="283"/>
        <v>144.57779613064307</v>
      </c>
      <c r="AI684">
        <f t="shared" ca="1" si="283"/>
        <v>138.75476651285527</v>
      </c>
      <c r="AJ684">
        <f t="shared" ca="1" si="283"/>
        <v>1.1272732898695319</v>
      </c>
      <c r="AK684">
        <f t="shared" ca="1" si="283"/>
        <v>195.78841403083644</v>
      </c>
      <c r="AL684">
        <f t="shared" ca="1" si="283"/>
        <v>141.1478794507841</v>
      </c>
      <c r="AM684">
        <f t="shared" ca="1" si="283"/>
        <v>0.74709974167915605</v>
      </c>
      <c r="AN684">
        <f t="shared" ca="1" si="283"/>
        <v>302.59401300949321</v>
      </c>
      <c r="AO684">
        <f t="shared" ca="1" si="283"/>
        <v>4.7132567644446715</v>
      </c>
      <c r="AP684">
        <f t="shared" ca="1" si="283"/>
        <v>42.710513139118262</v>
      </c>
    </row>
  </sheetData>
  <autoFilter ref="A1:D542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5"/>
  <sheetViews>
    <sheetView workbookViewId="0">
      <selection activeCell="J22" sqref="J22"/>
    </sheetView>
  </sheetViews>
  <sheetFormatPr baseColWidth="10" defaultColWidth="8.83203125" defaultRowHeight="15" x14ac:dyDescent="0.2"/>
  <cols>
    <col min="1" max="1" width="21.83203125" bestFit="1" customWidth="1"/>
    <col min="2" max="2" width="12" bestFit="1" customWidth="1"/>
    <col min="3" max="3" width="16.5" bestFit="1" customWidth="1"/>
  </cols>
  <sheetData>
    <row r="1" spans="1:4" x14ac:dyDescent="0.2">
      <c r="A1" s="2"/>
      <c r="B1" s="2" t="s">
        <v>1217</v>
      </c>
      <c r="C1" s="2" t="s">
        <v>1218</v>
      </c>
      <c r="D1" s="2" t="s">
        <v>1216</v>
      </c>
    </row>
    <row r="2" spans="1:4" x14ac:dyDescent="0.2">
      <c r="A2" s="71" t="s">
        <v>621</v>
      </c>
      <c r="B2" s="12">
        <v>92.375143724213174</v>
      </c>
      <c r="C2" s="12">
        <v>42.710513139118262</v>
      </c>
      <c r="D2" s="6">
        <f t="shared" ref="D2:D34" si="0">(C2-B2)/B2</f>
        <v>-0.53764063126514983</v>
      </c>
    </row>
    <row r="3" spans="1:4" x14ac:dyDescent="0.2">
      <c r="A3" s="71" t="s">
        <v>1204</v>
      </c>
      <c r="B3" s="12">
        <v>7.3644315704959604</v>
      </c>
      <c r="C3" s="12">
        <v>3.9750454139487239</v>
      </c>
      <c r="D3" s="6">
        <f t="shared" si="0"/>
        <v>-0.46023730740144242</v>
      </c>
    </row>
    <row r="4" spans="1:4" x14ac:dyDescent="0.2">
      <c r="A4" s="71" t="s">
        <v>623</v>
      </c>
      <c r="B4" s="12">
        <v>21.81289199259848</v>
      </c>
      <c r="C4" s="12">
        <v>12.373344054510026</v>
      </c>
      <c r="D4" s="6">
        <f t="shared" si="0"/>
        <v>-0.43275086775707999</v>
      </c>
    </row>
    <row r="5" spans="1:4" x14ac:dyDescent="0.2">
      <c r="A5" s="71" t="s">
        <v>687</v>
      </c>
      <c r="B5" s="12">
        <v>1.9251497473274903</v>
      </c>
      <c r="C5" s="12">
        <v>1.1272732898695319</v>
      </c>
      <c r="D5" s="6">
        <f t="shared" si="0"/>
        <v>-0.41444903627137447</v>
      </c>
    </row>
    <row r="6" spans="1:4" x14ac:dyDescent="0.2">
      <c r="A6" s="71" t="s">
        <v>1213</v>
      </c>
      <c r="B6" s="12">
        <v>7.6310968554115144</v>
      </c>
      <c r="C6" s="12">
        <v>4.7132567644446715</v>
      </c>
      <c r="D6" s="6">
        <f t="shared" si="0"/>
        <v>-0.38236182114471345</v>
      </c>
    </row>
    <row r="7" spans="1:4" x14ac:dyDescent="0.2">
      <c r="A7" s="71" t="s">
        <v>1210</v>
      </c>
      <c r="B7" s="12">
        <v>1.0039919631395686</v>
      </c>
      <c r="C7" s="12">
        <v>0.66355863325050957</v>
      </c>
      <c r="D7" s="6">
        <f t="shared" si="0"/>
        <v>-0.33907973608124808</v>
      </c>
    </row>
    <row r="8" spans="1:4" x14ac:dyDescent="0.2">
      <c r="A8" s="71" t="s">
        <v>684</v>
      </c>
      <c r="B8" s="12">
        <v>5.8921010096341568</v>
      </c>
      <c r="C8" s="12">
        <v>3.9454744949944138</v>
      </c>
      <c r="D8" s="6">
        <f t="shared" si="0"/>
        <v>-0.33037901275908538</v>
      </c>
    </row>
    <row r="9" spans="1:4" x14ac:dyDescent="0.2">
      <c r="A9" s="71" t="s">
        <v>1200</v>
      </c>
      <c r="B9" s="12">
        <v>0.86144606556359793</v>
      </c>
      <c r="C9" s="12">
        <v>0.64916681469102988</v>
      </c>
      <c r="D9" s="6">
        <f t="shared" si="0"/>
        <v>-0.24642198665529352</v>
      </c>
    </row>
    <row r="10" spans="1:4" x14ac:dyDescent="0.2">
      <c r="A10" s="71" t="s">
        <v>678</v>
      </c>
      <c r="B10" s="12">
        <v>83.412629333144011</v>
      </c>
      <c r="C10" s="12">
        <v>63.986974015403078</v>
      </c>
      <c r="D10" s="6">
        <f t="shared" si="0"/>
        <v>-0.2328862604265389</v>
      </c>
    </row>
    <row r="11" spans="1:4" x14ac:dyDescent="0.2">
      <c r="A11" s="71" t="s">
        <v>1209</v>
      </c>
      <c r="B11" s="12">
        <v>0.81973285457155087</v>
      </c>
      <c r="C11" s="12">
        <v>0.63131809058110755</v>
      </c>
      <c r="D11" s="6">
        <f t="shared" si="0"/>
        <v>-0.22984898426319866</v>
      </c>
    </row>
    <row r="12" spans="1:4" x14ac:dyDescent="0.2">
      <c r="A12" s="71" t="s">
        <v>624</v>
      </c>
      <c r="B12" s="12">
        <v>10.678766147506357</v>
      </c>
      <c r="C12" s="12">
        <v>8.475109558088219</v>
      </c>
      <c r="D12" s="6">
        <f t="shared" si="0"/>
        <v>-0.20635872712061618</v>
      </c>
    </row>
    <row r="13" spans="1:4" x14ac:dyDescent="0.2">
      <c r="A13" s="71" t="s">
        <v>613</v>
      </c>
      <c r="B13" s="12">
        <v>213.63940288229344</v>
      </c>
      <c r="C13" s="12">
        <v>171.80293993583425</v>
      </c>
      <c r="D13" s="6">
        <f t="shared" si="0"/>
        <v>-0.19582746619784072</v>
      </c>
    </row>
    <row r="14" spans="1:4" x14ac:dyDescent="0.2">
      <c r="A14" s="71" t="s">
        <v>616</v>
      </c>
      <c r="B14" s="12">
        <v>168.90622976764561</v>
      </c>
      <c r="C14" s="12">
        <v>138.75476651285527</v>
      </c>
      <c r="D14" s="6">
        <f t="shared" si="0"/>
        <v>-0.17851007210490663</v>
      </c>
    </row>
    <row r="15" spans="1:4" x14ac:dyDescent="0.2">
      <c r="A15" s="71" t="s">
        <v>1207</v>
      </c>
      <c r="B15" s="12">
        <v>0.48057884483502922</v>
      </c>
      <c r="C15" s="12">
        <v>0.40460379565340621</v>
      </c>
      <c r="D15" s="6">
        <f t="shared" si="0"/>
        <v>-0.15809070665127459</v>
      </c>
    </row>
    <row r="16" spans="1:4" x14ac:dyDescent="0.2">
      <c r="A16" s="71" t="s">
        <v>1212</v>
      </c>
      <c r="B16" s="12">
        <v>0.88738745085891502</v>
      </c>
      <c r="C16" s="12">
        <v>0.74709974167915605</v>
      </c>
      <c r="D16" s="6">
        <f t="shared" si="0"/>
        <v>-0.15809070665127448</v>
      </c>
    </row>
    <row r="17" spans="1:4" x14ac:dyDescent="0.2">
      <c r="A17" s="71" t="s">
        <v>615</v>
      </c>
      <c r="B17" s="12">
        <v>80.871513718232393</v>
      </c>
      <c r="C17" s="12">
        <v>69.393547832774175</v>
      </c>
      <c r="D17" s="6">
        <f t="shared" si="0"/>
        <v>-0.14192841654292571</v>
      </c>
    </row>
    <row r="18" spans="1:4" x14ac:dyDescent="0.2">
      <c r="A18" s="71" t="s">
        <v>1211</v>
      </c>
      <c r="B18" s="12">
        <v>4.6672050564956775</v>
      </c>
      <c r="C18" s="12">
        <v>4.0136694833431221</v>
      </c>
      <c r="D18" s="6">
        <f t="shared" si="0"/>
        <v>-0.14002718227325023</v>
      </c>
    </row>
    <row r="19" spans="1:4" x14ac:dyDescent="0.2">
      <c r="A19" s="71" t="s">
        <v>1201</v>
      </c>
      <c r="B19" s="12">
        <v>5.4333666234941264E-2</v>
      </c>
      <c r="C19" s="12">
        <v>4.8502290362358189E-2</v>
      </c>
      <c r="D19" s="6">
        <f t="shared" si="0"/>
        <v>-0.10732527872070952</v>
      </c>
    </row>
    <row r="20" spans="1:4" x14ac:dyDescent="0.2">
      <c r="A20" s="71" t="s">
        <v>617</v>
      </c>
      <c r="B20" s="12">
        <v>325.20174450505806</v>
      </c>
      <c r="C20" s="12">
        <v>293.7891567162095</v>
      </c>
      <c r="D20" s="6">
        <f t="shared" si="0"/>
        <v>-9.6594155227110026E-2</v>
      </c>
    </row>
    <row r="21" spans="1:4" x14ac:dyDescent="0.2">
      <c r="A21" s="71" t="s">
        <v>681</v>
      </c>
      <c r="B21" s="12">
        <v>11.487816275241375</v>
      </c>
      <c r="C21" s="12">
        <v>10.980881060094752</v>
      </c>
      <c r="D21" s="6">
        <f t="shared" si="0"/>
        <v>-4.4128074735942033E-2</v>
      </c>
    </row>
    <row r="22" spans="1:4" x14ac:dyDescent="0.2">
      <c r="A22" s="71" t="s">
        <v>610</v>
      </c>
      <c r="B22" s="12">
        <v>147.44765223940831</v>
      </c>
      <c r="C22" s="12">
        <v>141.1478794507841</v>
      </c>
      <c r="D22" s="6">
        <f t="shared" si="0"/>
        <v>-4.2725487269172475E-2</v>
      </c>
    </row>
    <row r="23" spans="1:4" x14ac:dyDescent="0.2">
      <c r="A23" s="71" t="s">
        <v>1205</v>
      </c>
      <c r="B23" s="12">
        <v>12.395753595632478</v>
      </c>
      <c r="C23" s="12">
        <v>11.998240412548128</v>
      </c>
      <c r="D23" s="6">
        <f t="shared" si="0"/>
        <v>-3.2068496684575058E-2</v>
      </c>
    </row>
    <row r="24" spans="1:4" x14ac:dyDescent="0.2">
      <c r="A24" s="71" t="s">
        <v>609</v>
      </c>
      <c r="B24" s="12">
        <v>186.72551930235048</v>
      </c>
      <c r="C24" s="12">
        <v>182.76770935883292</v>
      </c>
      <c r="D24" s="6">
        <f t="shared" si="0"/>
        <v>-2.1195870592861914E-2</v>
      </c>
    </row>
    <row r="25" spans="1:4" x14ac:dyDescent="0.2">
      <c r="A25" s="71" t="s">
        <v>634</v>
      </c>
      <c r="B25" s="12">
        <v>288.49770984565151</v>
      </c>
      <c r="C25" s="12">
        <v>302.59401300949321</v>
      </c>
      <c r="D25" s="6">
        <f t="shared" si="0"/>
        <v>4.8861057411455112E-2</v>
      </c>
    </row>
    <row r="26" spans="1:4" x14ac:dyDescent="0.2">
      <c r="A26" s="71" t="s">
        <v>1203</v>
      </c>
      <c r="B26" s="12">
        <v>15.196448326927865</v>
      </c>
      <c r="C26" s="12">
        <v>16.109034480436264</v>
      </c>
      <c r="D26" s="6">
        <f t="shared" si="0"/>
        <v>6.0052594782381598E-2</v>
      </c>
    </row>
    <row r="27" spans="1:4" x14ac:dyDescent="0.2">
      <c r="A27" s="71" t="s">
        <v>1202</v>
      </c>
      <c r="B27" s="12">
        <v>85.367972068193211</v>
      </c>
      <c r="C27" s="12">
        <v>92.493451746575545</v>
      </c>
      <c r="D27" s="6">
        <f t="shared" si="0"/>
        <v>8.3467833494866139E-2</v>
      </c>
    </row>
    <row r="28" spans="1:4" x14ac:dyDescent="0.2">
      <c r="A28" s="71" t="s">
        <v>614</v>
      </c>
      <c r="B28" s="12">
        <v>124.30725693880674</v>
      </c>
      <c r="C28" s="12">
        <v>135.82021728484997</v>
      </c>
      <c r="D28" s="6">
        <f t="shared" si="0"/>
        <v>9.2616960824023029E-2</v>
      </c>
    </row>
    <row r="29" spans="1:4" x14ac:dyDescent="0.2">
      <c r="A29" s="71" t="s">
        <v>618</v>
      </c>
      <c r="B29" s="12">
        <v>132.09389898600946</v>
      </c>
      <c r="C29" s="12">
        <v>144.57779613064307</v>
      </c>
      <c r="D29" s="6">
        <f t="shared" si="0"/>
        <v>9.4507749717917075E-2</v>
      </c>
    </row>
    <row r="30" spans="1:4" x14ac:dyDescent="0.2">
      <c r="A30" s="71" t="s">
        <v>622</v>
      </c>
      <c r="B30" s="12">
        <v>170.09439148245835</v>
      </c>
      <c r="C30" s="12">
        <v>195.78841403083644</v>
      </c>
      <c r="D30" s="6">
        <f t="shared" si="0"/>
        <v>0.15105743537127667</v>
      </c>
    </row>
    <row r="31" spans="1:4" x14ac:dyDescent="0.2">
      <c r="A31" s="71" t="s">
        <v>608</v>
      </c>
      <c r="B31" s="12">
        <v>67.861771056419443</v>
      </c>
      <c r="C31" s="12">
        <v>78.897773662090486</v>
      </c>
      <c r="D31" s="6">
        <f t="shared" si="0"/>
        <v>0.16262473604609945</v>
      </c>
    </row>
    <row r="32" spans="1:4" x14ac:dyDescent="0.2">
      <c r="A32" s="71" t="s">
        <v>619</v>
      </c>
      <c r="B32" s="12">
        <v>139.48289519449096</v>
      </c>
      <c r="C32" s="12">
        <v>165.25866037460054</v>
      </c>
      <c r="D32" s="6">
        <f t="shared" si="0"/>
        <v>0.18479516892855272</v>
      </c>
    </row>
    <row r="33" spans="1:4" x14ac:dyDescent="0.2">
      <c r="A33" s="71" t="s">
        <v>1206</v>
      </c>
      <c r="B33" s="12">
        <v>71.788693256691658</v>
      </c>
      <c r="C33" s="12">
        <v>93.314679259075149</v>
      </c>
      <c r="D33" s="6">
        <f t="shared" si="0"/>
        <v>0.29985203833442092</v>
      </c>
    </row>
    <row r="34" spans="1:4" x14ac:dyDescent="0.2">
      <c r="A34" s="71" t="s">
        <v>612</v>
      </c>
      <c r="B34" s="12">
        <v>105.99401253575655</v>
      </c>
      <c r="C34" s="12">
        <v>161.72642916152864</v>
      </c>
      <c r="D34" s="6">
        <f t="shared" si="0"/>
        <v>0.52580721582713019</v>
      </c>
    </row>
    <row r="35" spans="1:4" x14ac:dyDescent="0.2">
      <c r="A35" s="71" t="s">
        <v>1208</v>
      </c>
      <c r="B35" s="12">
        <v>0</v>
      </c>
      <c r="C35" s="12">
        <v>0</v>
      </c>
      <c r="D35" s="6"/>
    </row>
  </sheetData>
  <sortState xmlns:xlrd2="http://schemas.microsoft.com/office/spreadsheetml/2017/richdata2" ref="A2:D35">
    <sortCondition ref="D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276"/>
  <sheetViews>
    <sheetView topLeftCell="B258" workbookViewId="0">
      <selection activeCell="I265" sqref="I265"/>
    </sheetView>
  </sheetViews>
  <sheetFormatPr baseColWidth="10" defaultColWidth="8.83203125" defaultRowHeight="15" x14ac:dyDescent="0.2"/>
  <cols>
    <col min="1" max="1" width="30" bestFit="1" customWidth="1"/>
    <col min="13" max="13" width="20.1640625" bestFit="1" customWidth="1"/>
  </cols>
  <sheetData>
    <row r="1" spans="1:18" x14ac:dyDescent="0.2">
      <c r="A1" s="2" t="s">
        <v>760</v>
      </c>
      <c r="B1" t="s">
        <v>761</v>
      </c>
      <c r="M1" t="s">
        <v>576</v>
      </c>
    </row>
    <row r="2" spans="1:18" x14ac:dyDescent="0.2">
      <c r="A2" s="2" t="s">
        <v>762</v>
      </c>
      <c r="F2" t="str">
        <f>CONCATENATE(A2,B2,C2,D2,E2)</f>
        <v>DARLIPALI</v>
      </c>
      <c r="M2" s="2" t="s">
        <v>908</v>
      </c>
      <c r="R2" t="s">
        <v>908</v>
      </c>
    </row>
    <row r="3" spans="1:18" x14ac:dyDescent="0.2">
      <c r="A3" s="2" t="s">
        <v>763</v>
      </c>
      <c r="F3" t="str">
        <f t="shared" ref="F3:F66" si="0">CONCATENATE(A3,B3,C3,D3,E3)</f>
        <v>GADARWARA</v>
      </c>
      <c r="M3" s="2" t="s">
        <v>804</v>
      </c>
      <c r="R3" t="s">
        <v>804</v>
      </c>
    </row>
    <row r="4" spans="1:18" x14ac:dyDescent="0.2">
      <c r="A4" s="2" t="s">
        <v>764</v>
      </c>
      <c r="B4" t="s">
        <v>765</v>
      </c>
      <c r="F4" t="str">
        <f t="shared" si="0"/>
        <v>KOTHAGUDEMSTAGE-7</v>
      </c>
      <c r="M4" s="2" t="s">
        <v>804</v>
      </c>
      <c r="R4" t="s">
        <v>909</v>
      </c>
    </row>
    <row r="5" spans="1:18" x14ac:dyDescent="0.2">
      <c r="A5" s="2" t="s">
        <v>766</v>
      </c>
      <c r="F5" t="str">
        <f t="shared" si="0"/>
        <v>LARA</v>
      </c>
      <c r="M5" s="2" t="s">
        <v>804</v>
      </c>
      <c r="R5" t="s">
        <v>910</v>
      </c>
    </row>
    <row r="6" spans="1:18" x14ac:dyDescent="0.2">
      <c r="A6" s="2" t="s">
        <v>767</v>
      </c>
      <c r="F6" t="str">
        <f t="shared" si="0"/>
        <v>YERMARUS</v>
      </c>
      <c r="M6" s="2" t="s">
        <v>909</v>
      </c>
      <c r="R6" t="s">
        <v>887</v>
      </c>
    </row>
    <row r="7" spans="1:18" x14ac:dyDescent="0.2">
      <c r="A7" s="2" t="s">
        <v>768</v>
      </c>
      <c r="F7" t="str">
        <f t="shared" si="0"/>
        <v>KUDGI</v>
      </c>
      <c r="M7" s="2" t="s">
        <v>909</v>
      </c>
      <c r="R7" t="s">
        <v>911</v>
      </c>
    </row>
    <row r="8" spans="1:18" x14ac:dyDescent="0.2">
      <c r="A8" s="2" t="s">
        <v>769</v>
      </c>
      <c r="F8" t="str">
        <f t="shared" si="0"/>
        <v>WANAKBORI</v>
      </c>
      <c r="M8" s="2" t="s">
        <v>909</v>
      </c>
      <c r="R8" t="s">
        <v>912</v>
      </c>
    </row>
    <row r="9" spans="1:18" x14ac:dyDescent="0.2">
      <c r="A9" s="2" t="s">
        <v>767</v>
      </c>
      <c r="F9" t="str">
        <f t="shared" si="0"/>
        <v>YERMARUS</v>
      </c>
      <c r="M9" s="2" t="s">
        <v>909</v>
      </c>
      <c r="R9" t="s">
        <v>913</v>
      </c>
    </row>
    <row r="10" spans="1:18" x14ac:dyDescent="0.2">
      <c r="A10" s="2" t="s">
        <v>768</v>
      </c>
      <c r="F10" t="str">
        <f t="shared" si="0"/>
        <v>KUDGI</v>
      </c>
      <c r="M10" s="2" t="s">
        <v>909</v>
      </c>
      <c r="R10" t="s">
        <v>845</v>
      </c>
    </row>
    <row r="11" spans="1:18" x14ac:dyDescent="0.2">
      <c r="A11" s="2" t="s">
        <v>768</v>
      </c>
      <c r="F11" t="str">
        <f t="shared" si="0"/>
        <v>KUDGI</v>
      </c>
      <c r="M11" s="2" t="s">
        <v>910</v>
      </c>
      <c r="R11" t="s">
        <v>956</v>
      </c>
    </row>
    <row r="12" spans="1:18" x14ac:dyDescent="0.2">
      <c r="A12" s="2" t="s">
        <v>770</v>
      </c>
      <c r="B12" t="s">
        <v>771</v>
      </c>
      <c r="F12" t="str">
        <f t="shared" si="0"/>
        <v>DAMODARANSANJEEVAIAH</v>
      </c>
      <c r="M12" s="2" t="s">
        <v>910</v>
      </c>
      <c r="R12" t="s">
        <v>957</v>
      </c>
    </row>
    <row r="13" spans="1:18" x14ac:dyDescent="0.2">
      <c r="A13" s="2" t="s">
        <v>770</v>
      </c>
      <c r="B13" t="s">
        <v>771</v>
      </c>
      <c r="F13" t="str">
        <f t="shared" si="0"/>
        <v>DAMODARANSANJEEVAIAH</v>
      </c>
      <c r="M13" s="2" t="s">
        <v>910</v>
      </c>
      <c r="R13" t="s">
        <v>916</v>
      </c>
    </row>
    <row r="14" spans="1:18" x14ac:dyDescent="0.2">
      <c r="A14" s="2" t="s">
        <v>772</v>
      </c>
      <c r="F14" t="str">
        <f t="shared" si="0"/>
        <v>BELLARY</v>
      </c>
      <c r="M14" s="2" t="s">
        <v>887</v>
      </c>
      <c r="R14" t="s">
        <v>832</v>
      </c>
    </row>
    <row r="15" spans="1:18" x14ac:dyDescent="0.2">
      <c r="A15" s="2" t="s">
        <v>773</v>
      </c>
      <c r="F15" t="str">
        <f t="shared" si="0"/>
        <v>KHARGONE</v>
      </c>
      <c r="M15" s="2" t="s">
        <v>911</v>
      </c>
      <c r="R15" t="s">
        <v>905</v>
      </c>
    </row>
    <row r="16" spans="1:18" x14ac:dyDescent="0.2">
      <c r="A16" s="2" t="s">
        <v>774</v>
      </c>
      <c r="F16" t="str">
        <f t="shared" si="0"/>
        <v>TANDA</v>
      </c>
      <c r="M16" s="2" t="s">
        <v>911</v>
      </c>
      <c r="R16" t="s">
        <v>778</v>
      </c>
    </row>
    <row r="17" spans="1:18" x14ac:dyDescent="0.2">
      <c r="A17" s="2" t="s">
        <v>775</v>
      </c>
      <c r="B17" t="s">
        <v>776</v>
      </c>
      <c r="F17" t="str">
        <f t="shared" si="0"/>
        <v>IBVALLEY</v>
      </c>
      <c r="M17" s="2" t="s">
        <v>912</v>
      </c>
      <c r="R17" t="s">
        <v>853</v>
      </c>
    </row>
    <row r="18" spans="1:18" x14ac:dyDescent="0.2">
      <c r="A18" s="2" t="s">
        <v>777</v>
      </c>
      <c r="F18" t="str">
        <f t="shared" si="0"/>
        <v>NABINAGAR</v>
      </c>
      <c r="M18" s="2" t="s">
        <v>913</v>
      </c>
      <c r="R18" t="s">
        <v>917</v>
      </c>
    </row>
    <row r="19" spans="1:18" x14ac:dyDescent="0.2">
      <c r="A19" s="2" t="s">
        <v>775</v>
      </c>
      <c r="B19" t="s">
        <v>776</v>
      </c>
      <c r="F19" t="str">
        <f t="shared" si="0"/>
        <v>IBVALLEY</v>
      </c>
      <c r="M19" s="2" t="s">
        <v>913</v>
      </c>
      <c r="R19" t="s">
        <v>958</v>
      </c>
    </row>
    <row r="20" spans="1:18" x14ac:dyDescent="0.2">
      <c r="A20" s="2" t="s">
        <v>778</v>
      </c>
      <c r="F20" t="str">
        <f t="shared" si="0"/>
        <v>CHHABRA</v>
      </c>
      <c r="M20" s="2" t="s">
        <v>845</v>
      </c>
      <c r="R20" t="s">
        <v>918</v>
      </c>
    </row>
    <row r="21" spans="1:18" x14ac:dyDescent="0.2">
      <c r="A21" s="2" t="s">
        <v>779</v>
      </c>
      <c r="B21" t="s">
        <v>780</v>
      </c>
      <c r="F21" t="str">
        <f t="shared" si="0"/>
        <v>SHREESINGAJI</v>
      </c>
      <c r="M21" s="2" t="s">
        <v>827</v>
      </c>
      <c r="N21" t="s">
        <v>914</v>
      </c>
      <c r="R21" t="s">
        <v>839</v>
      </c>
    </row>
    <row r="22" spans="1:18" x14ac:dyDescent="0.2">
      <c r="A22" s="2" t="s">
        <v>781</v>
      </c>
      <c r="F22" t="str">
        <f t="shared" si="0"/>
        <v>RAIKHEDA</v>
      </c>
      <c r="M22" s="2" t="s">
        <v>915</v>
      </c>
      <c r="N22" t="s">
        <v>915</v>
      </c>
      <c r="R22" t="s">
        <v>847</v>
      </c>
    </row>
    <row r="23" spans="1:18" x14ac:dyDescent="0.2">
      <c r="A23" s="2" t="s">
        <v>779</v>
      </c>
      <c r="B23" t="s">
        <v>780</v>
      </c>
      <c r="F23" t="str">
        <f t="shared" si="0"/>
        <v>SHREESINGAJI</v>
      </c>
      <c r="M23" s="2" t="s">
        <v>915</v>
      </c>
      <c r="N23" t="s">
        <v>915</v>
      </c>
      <c r="R23" t="s">
        <v>959</v>
      </c>
    </row>
    <row r="24" spans="1:18" x14ac:dyDescent="0.2">
      <c r="A24" s="2" t="s">
        <v>782</v>
      </c>
      <c r="F24" t="str">
        <f t="shared" si="0"/>
        <v>MEJA</v>
      </c>
      <c r="M24" s="2" t="s">
        <v>915</v>
      </c>
      <c r="N24" t="s">
        <v>915</v>
      </c>
      <c r="R24" t="s">
        <v>960</v>
      </c>
    </row>
    <row r="25" spans="1:18" x14ac:dyDescent="0.2">
      <c r="A25" s="2" t="s">
        <v>781</v>
      </c>
      <c r="F25" t="str">
        <f t="shared" si="0"/>
        <v>RAIKHEDA</v>
      </c>
      <c r="M25" s="2" t="s">
        <v>916</v>
      </c>
      <c r="R25" t="s">
        <v>901</v>
      </c>
    </row>
    <row r="26" spans="1:18" x14ac:dyDescent="0.2">
      <c r="A26" s="2" t="s">
        <v>783</v>
      </c>
      <c r="F26" t="str">
        <f t="shared" si="0"/>
        <v>SOLAPUR</v>
      </c>
      <c r="M26" s="2" t="s">
        <v>832</v>
      </c>
      <c r="R26" t="s">
        <v>961</v>
      </c>
    </row>
    <row r="27" spans="1:18" x14ac:dyDescent="0.2">
      <c r="A27" s="2" t="s">
        <v>784</v>
      </c>
      <c r="F27" t="str">
        <f t="shared" si="0"/>
        <v>BARA</v>
      </c>
      <c r="M27" s="2" t="s">
        <v>832</v>
      </c>
      <c r="R27" t="s">
        <v>921</v>
      </c>
    </row>
    <row r="28" spans="1:18" x14ac:dyDescent="0.2">
      <c r="A28" s="2" t="s">
        <v>778</v>
      </c>
      <c r="F28" t="str">
        <f t="shared" si="0"/>
        <v>CHHABRA</v>
      </c>
      <c r="M28" s="2" t="s">
        <v>905</v>
      </c>
      <c r="R28" t="s">
        <v>962</v>
      </c>
    </row>
    <row r="29" spans="1:18" x14ac:dyDescent="0.2">
      <c r="A29" s="2" t="s">
        <v>784</v>
      </c>
      <c r="F29" t="str">
        <f t="shared" si="0"/>
        <v>BARA</v>
      </c>
      <c r="M29" s="2" t="s">
        <v>905</v>
      </c>
      <c r="R29" t="s">
        <v>859</v>
      </c>
    </row>
    <row r="30" spans="1:18" x14ac:dyDescent="0.2">
      <c r="A30" s="2" t="s">
        <v>785</v>
      </c>
      <c r="F30" t="str">
        <f t="shared" si="0"/>
        <v>MAUDA</v>
      </c>
      <c r="M30" s="2" t="s">
        <v>778</v>
      </c>
      <c r="R30" t="s">
        <v>924</v>
      </c>
    </row>
    <row r="31" spans="1:18" x14ac:dyDescent="0.2">
      <c r="A31" s="2" t="s">
        <v>786</v>
      </c>
      <c r="F31" t="str">
        <f t="shared" si="0"/>
        <v>LALITPUR</v>
      </c>
      <c r="M31" s="2" t="s">
        <v>778</v>
      </c>
      <c r="R31" t="s">
        <v>925</v>
      </c>
    </row>
    <row r="32" spans="1:18" x14ac:dyDescent="0.2">
      <c r="A32" s="2" t="s">
        <v>786</v>
      </c>
      <c r="F32" t="str">
        <f t="shared" si="0"/>
        <v>LALITPUR</v>
      </c>
      <c r="M32" s="2" t="s">
        <v>853</v>
      </c>
      <c r="R32" t="s">
        <v>846</v>
      </c>
    </row>
    <row r="33" spans="1:18" x14ac:dyDescent="0.2">
      <c r="A33" s="2" t="s">
        <v>786</v>
      </c>
      <c r="F33" t="str">
        <f t="shared" si="0"/>
        <v>LALITPUR</v>
      </c>
      <c r="M33" s="2" t="s">
        <v>853</v>
      </c>
      <c r="R33" t="s">
        <v>926</v>
      </c>
    </row>
    <row r="34" spans="1:18" x14ac:dyDescent="0.2">
      <c r="A34" s="2" t="s">
        <v>784</v>
      </c>
      <c r="F34" t="str">
        <f t="shared" si="0"/>
        <v>BARA</v>
      </c>
      <c r="M34" s="2" t="s">
        <v>853</v>
      </c>
      <c r="R34" t="s">
        <v>791</v>
      </c>
    </row>
    <row r="35" spans="1:18" x14ac:dyDescent="0.2">
      <c r="A35" s="2" t="s">
        <v>783</v>
      </c>
      <c r="F35" t="str">
        <f t="shared" si="0"/>
        <v>SOLAPUR</v>
      </c>
      <c r="M35" s="2" t="s">
        <v>853</v>
      </c>
      <c r="R35" t="s">
        <v>848</v>
      </c>
    </row>
    <row r="36" spans="1:18" x14ac:dyDescent="0.2">
      <c r="A36" s="2" t="s">
        <v>785</v>
      </c>
      <c r="F36" t="str">
        <f t="shared" si="0"/>
        <v>MAUDA</v>
      </c>
      <c r="M36" s="2" t="s">
        <v>917</v>
      </c>
      <c r="R36" t="s">
        <v>906</v>
      </c>
    </row>
    <row r="37" spans="1:18" x14ac:dyDescent="0.2">
      <c r="A37" s="2" t="s">
        <v>787</v>
      </c>
      <c r="F37" t="str">
        <f t="shared" si="0"/>
        <v>SASAN</v>
      </c>
      <c r="M37" s="2" t="s">
        <v>917</v>
      </c>
      <c r="R37" t="s">
        <v>907</v>
      </c>
    </row>
    <row r="38" spans="1:18" x14ac:dyDescent="0.2">
      <c r="A38" s="2" t="s">
        <v>788</v>
      </c>
      <c r="F38" t="str">
        <f t="shared" si="0"/>
        <v>NIGRI</v>
      </c>
      <c r="M38" s="2" t="s">
        <v>855</v>
      </c>
      <c r="N38" t="s">
        <v>856</v>
      </c>
      <c r="O38" t="s">
        <v>857</v>
      </c>
      <c r="P38" t="s">
        <v>858</v>
      </c>
      <c r="R38" t="s">
        <v>837</v>
      </c>
    </row>
    <row r="39" spans="1:18" x14ac:dyDescent="0.2">
      <c r="A39" s="2" t="s">
        <v>789</v>
      </c>
      <c r="B39" t="s">
        <v>790</v>
      </c>
      <c r="F39" t="str">
        <f t="shared" si="0"/>
        <v>BARHII</v>
      </c>
      <c r="M39" s="2" t="s">
        <v>855</v>
      </c>
      <c r="N39" t="s">
        <v>856</v>
      </c>
      <c r="O39" t="s">
        <v>857</v>
      </c>
      <c r="P39" t="s">
        <v>858</v>
      </c>
      <c r="R39" t="s">
        <v>927</v>
      </c>
    </row>
    <row r="40" spans="1:18" x14ac:dyDescent="0.2">
      <c r="A40" s="2" t="s">
        <v>791</v>
      </c>
      <c r="F40" t="str">
        <f t="shared" si="0"/>
        <v>KORADI</v>
      </c>
      <c r="M40" s="2" t="s">
        <v>855</v>
      </c>
      <c r="N40" t="s">
        <v>856</v>
      </c>
      <c r="O40" t="s">
        <v>857</v>
      </c>
      <c r="P40" t="s">
        <v>858</v>
      </c>
      <c r="R40" t="s">
        <v>963</v>
      </c>
    </row>
    <row r="41" spans="1:18" x14ac:dyDescent="0.2">
      <c r="A41" s="2" t="s">
        <v>788</v>
      </c>
      <c r="F41" t="str">
        <f t="shared" si="0"/>
        <v>NIGRI</v>
      </c>
      <c r="M41" s="2" t="s">
        <v>855</v>
      </c>
      <c r="N41" t="s">
        <v>856</v>
      </c>
      <c r="O41" t="s">
        <v>857</v>
      </c>
      <c r="P41" t="s">
        <v>858</v>
      </c>
      <c r="R41" t="s">
        <v>764</v>
      </c>
    </row>
    <row r="42" spans="1:18" x14ac:dyDescent="0.2">
      <c r="A42" s="2" t="s">
        <v>787</v>
      </c>
      <c r="F42" t="str">
        <f t="shared" si="0"/>
        <v>SASAN</v>
      </c>
      <c r="M42" s="2" t="s">
        <v>855</v>
      </c>
      <c r="N42" t="s">
        <v>856</v>
      </c>
      <c r="O42" t="s">
        <v>857</v>
      </c>
      <c r="P42" t="s">
        <v>858</v>
      </c>
      <c r="R42" t="s">
        <v>928</v>
      </c>
    </row>
    <row r="43" spans="1:18" x14ac:dyDescent="0.2">
      <c r="A43" s="2" t="s">
        <v>787</v>
      </c>
      <c r="F43" t="str">
        <f t="shared" si="0"/>
        <v>SASAN</v>
      </c>
      <c r="M43" s="2" t="s">
        <v>855</v>
      </c>
      <c r="N43" t="s">
        <v>856</v>
      </c>
      <c r="O43" t="s">
        <v>857</v>
      </c>
      <c r="P43" t="s">
        <v>858</v>
      </c>
      <c r="R43" t="s">
        <v>929</v>
      </c>
    </row>
    <row r="44" spans="1:18" x14ac:dyDescent="0.2">
      <c r="A44" s="2" t="s">
        <v>787</v>
      </c>
      <c r="F44" t="str">
        <f t="shared" si="0"/>
        <v>SASAN</v>
      </c>
      <c r="M44" s="2" t="s">
        <v>918</v>
      </c>
      <c r="R44" t="s">
        <v>844</v>
      </c>
    </row>
    <row r="45" spans="1:18" x14ac:dyDescent="0.2">
      <c r="A45" s="2" t="s">
        <v>791</v>
      </c>
      <c r="F45" t="str">
        <f t="shared" si="0"/>
        <v>KORADI</v>
      </c>
      <c r="M45" s="2" t="s">
        <v>918</v>
      </c>
      <c r="R45" t="s">
        <v>829</v>
      </c>
    </row>
    <row r="46" spans="1:18" x14ac:dyDescent="0.2">
      <c r="A46" s="2" t="s">
        <v>787</v>
      </c>
      <c r="F46" t="str">
        <f t="shared" si="0"/>
        <v>SASAN</v>
      </c>
      <c r="M46" s="2" t="s">
        <v>839</v>
      </c>
      <c r="R46" t="s">
        <v>819</v>
      </c>
    </row>
    <row r="47" spans="1:18" x14ac:dyDescent="0.2">
      <c r="A47" s="2" t="s">
        <v>792</v>
      </c>
      <c r="F47" t="str">
        <f t="shared" si="0"/>
        <v>RAJPURA</v>
      </c>
      <c r="M47" s="2" t="s">
        <v>847</v>
      </c>
      <c r="R47" t="s">
        <v>903</v>
      </c>
    </row>
    <row r="48" spans="1:18" x14ac:dyDescent="0.2">
      <c r="A48" s="2" t="s">
        <v>789</v>
      </c>
      <c r="B48" t="s">
        <v>790</v>
      </c>
      <c r="F48" t="str">
        <f t="shared" si="0"/>
        <v>BARHII</v>
      </c>
      <c r="M48" s="2" t="s">
        <v>847</v>
      </c>
      <c r="R48" t="s">
        <v>930</v>
      </c>
    </row>
    <row r="49" spans="1:18" x14ac:dyDescent="0.2">
      <c r="A49" s="2" t="s">
        <v>792</v>
      </c>
      <c r="F49" t="str">
        <f t="shared" si="0"/>
        <v>RAJPURA</v>
      </c>
      <c r="M49" s="2" t="s">
        <v>847</v>
      </c>
      <c r="R49" t="s">
        <v>931</v>
      </c>
    </row>
    <row r="50" spans="1:18" x14ac:dyDescent="0.2">
      <c r="A50" s="2" t="s">
        <v>793</v>
      </c>
      <c r="F50" t="str">
        <f t="shared" si="0"/>
        <v>TIRORA</v>
      </c>
      <c r="M50" s="2" t="s">
        <v>796</v>
      </c>
      <c r="N50" t="s">
        <v>881</v>
      </c>
      <c r="R50" t="s">
        <v>964</v>
      </c>
    </row>
    <row r="51" spans="1:18" x14ac:dyDescent="0.2">
      <c r="A51" s="2" t="s">
        <v>787</v>
      </c>
      <c r="F51" t="str">
        <f t="shared" si="0"/>
        <v>SASAN</v>
      </c>
      <c r="M51" s="2" t="s">
        <v>796</v>
      </c>
      <c r="N51" t="s">
        <v>881</v>
      </c>
      <c r="R51" t="s">
        <v>932</v>
      </c>
    </row>
    <row r="52" spans="1:18" x14ac:dyDescent="0.2">
      <c r="A52" s="2" t="s">
        <v>791</v>
      </c>
      <c r="F52" t="str">
        <f t="shared" si="0"/>
        <v>KORADI</v>
      </c>
      <c r="M52" s="2" t="s">
        <v>796</v>
      </c>
      <c r="N52" t="s">
        <v>881</v>
      </c>
      <c r="R52" t="s">
        <v>965</v>
      </c>
    </row>
    <row r="53" spans="1:18" x14ac:dyDescent="0.2">
      <c r="A53" s="2" t="s">
        <v>793</v>
      </c>
      <c r="F53" t="str">
        <f t="shared" si="0"/>
        <v>TIRORA</v>
      </c>
      <c r="M53" s="2" t="s">
        <v>919</v>
      </c>
      <c r="O53" t="s">
        <v>920</v>
      </c>
      <c r="R53" t="s">
        <v>933</v>
      </c>
    </row>
    <row r="54" spans="1:18" x14ac:dyDescent="0.2">
      <c r="A54" s="2" t="s">
        <v>794</v>
      </c>
      <c r="F54" t="str">
        <f t="shared" si="0"/>
        <v>SIPAT</v>
      </c>
      <c r="M54" s="2" t="s">
        <v>919</v>
      </c>
      <c r="O54" t="s">
        <v>920</v>
      </c>
      <c r="R54" t="s">
        <v>934</v>
      </c>
    </row>
    <row r="55" spans="1:18" x14ac:dyDescent="0.2">
      <c r="A55" s="2" t="s">
        <v>795</v>
      </c>
      <c r="B55" t="s">
        <v>796</v>
      </c>
      <c r="F55" t="str">
        <f t="shared" si="0"/>
        <v>MAHATMAGANDHI</v>
      </c>
      <c r="M55" s="2" t="s">
        <v>919</v>
      </c>
      <c r="O55" t="s">
        <v>920</v>
      </c>
      <c r="R55" t="s">
        <v>900</v>
      </c>
    </row>
    <row r="56" spans="1:18" x14ac:dyDescent="0.2">
      <c r="A56" s="2" t="s">
        <v>794</v>
      </c>
      <c r="F56" t="str">
        <f t="shared" si="0"/>
        <v>SIPAT</v>
      </c>
      <c r="M56" s="2" t="s">
        <v>919</v>
      </c>
      <c r="O56" t="s">
        <v>920</v>
      </c>
      <c r="R56" t="s">
        <v>893</v>
      </c>
    </row>
    <row r="57" spans="1:18" x14ac:dyDescent="0.2">
      <c r="A57" s="2" t="s">
        <v>793</v>
      </c>
      <c r="F57" t="str">
        <f t="shared" si="0"/>
        <v>TIRORA</v>
      </c>
      <c r="M57" s="2" t="s">
        <v>901</v>
      </c>
      <c r="R57" t="s">
        <v>904</v>
      </c>
    </row>
    <row r="58" spans="1:18" x14ac:dyDescent="0.2">
      <c r="A58" s="2" t="s">
        <v>795</v>
      </c>
      <c r="B58" t="s">
        <v>796</v>
      </c>
      <c r="F58" t="str">
        <f t="shared" si="0"/>
        <v>MAHATMAGANDHI</v>
      </c>
      <c r="M58" s="2" t="s">
        <v>775</v>
      </c>
      <c r="N58" t="s">
        <v>776</v>
      </c>
      <c r="R58" t="s">
        <v>966</v>
      </c>
    </row>
    <row r="59" spans="1:18" x14ac:dyDescent="0.2">
      <c r="A59" s="2" t="s">
        <v>793</v>
      </c>
      <c r="F59" t="str">
        <f t="shared" si="0"/>
        <v>TIRORA</v>
      </c>
      <c r="M59" s="2" t="s">
        <v>775</v>
      </c>
      <c r="N59" t="s">
        <v>776</v>
      </c>
      <c r="R59" t="s">
        <v>865</v>
      </c>
    </row>
    <row r="60" spans="1:18" x14ac:dyDescent="0.2">
      <c r="A60" s="2" t="s">
        <v>794</v>
      </c>
      <c r="F60" t="str">
        <f t="shared" si="0"/>
        <v>SIPAT</v>
      </c>
      <c r="M60" s="2" t="s">
        <v>921</v>
      </c>
      <c r="R60" t="s">
        <v>936</v>
      </c>
    </row>
    <row r="61" spans="1:18" x14ac:dyDescent="0.2">
      <c r="A61" s="2" t="s">
        <v>797</v>
      </c>
      <c r="B61" t="s">
        <v>798</v>
      </c>
      <c r="F61" t="str">
        <f t="shared" si="0"/>
        <v>TALWANDISABO</v>
      </c>
      <c r="M61" s="2" t="s">
        <v>921</v>
      </c>
      <c r="R61" t="s">
        <v>800</v>
      </c>
    </row>
    <row r="62" spans="1:18" x14ac:dyDescent="0.2">
      <c r="A62" s="2" t="s">
        <v>799</v>
      </c>
      <c r="F62" t="str">
        <f t="shared" si="0"/>
        <v>MAHAN</v>
      </c>
      <c r="M62" s="2" t="s">
        <v>922</v>
      </c>
      <c r="N62" t="s">
        <v>923</v>
      </c>
      <c r="R62" t="s">
        <v>937</v>
      </c>
    </row>
    <row r="63" spans="1:18" x14ac:dyDescent="0.2">
      <c r="A63" s="2" t="s">
        <v>793</v>
      </c>
      <c r="F63" t="str">
        <f t="shared" si="0"/>
        <v>TIRORA</v>
      </c>
      <c r="M63" s="2" t="s">
        <v>922</v>
      </c>
      <c r="N63" t="s">
        <v>923</v>
      </c>
      <c r="R63" t="s">
        <v>938</v>
      </c>
    </row>
    <row r="64" spans="1:18" x14ac:dyDescent="0.2">
      <c r="A64" s="2" t="s">
        <v>797</v>
      </c>
      <c r="B64" t="s">
        <v>798</v>
      </c>
      <c r="F64" t="str">
        <f t="shared" si="0"/>
        <v>TALWANDISABO</v>
      </c>
      <c r="M64" s="2" t="s">
        <v>922</v>
      </c>
      <c r="N64" t="s">
        <v>923</v>
      </c>
      <c r="R64" t="s">
        <v>967</v>
      </c>
    </row>
    <row r="65" spans="1:18" x14ac:dyDescent="0.2">
      <c r="A65" s="2" t="s">
        <v>800</v>
      </c>
      <c r="F65" t="str">
        <f t="shared" si="0"/>
        <v>RAYALSEEMA</v>
      </c>
      <c r="M65" s="2" t="s">
        <v>922</v>
      </c>
      <c r="N65" t="s">
        <v>923</v>
      </c>
      <c r="R65" t="s">
        <v>902</v>
      </c>
    </row>
    <row r="66" spans="1:18" x14ac:dyDescent="0.2">
      <c r="A66" s="2" t="s">
        <v>797</v>
      </c>
      <c r="B66" t="s">
        <v>798</v>
      </c>
      <c r="F66" t="str">
        <f t="shared" si="0"/>
        <v>TALWANDISABO</v>
      </c>
      <c r="M66" s="2" t="s">
        <v>859</v>
      </c>
      <c r="R66" t="s">
        <v>898</v>
      </c>
    </row>
    <row r="67" spans="1:18" x14ac:dyDescent="0.2">
      <c r="A67" s="2" t="s">
        <v>801</v>
      </c>
      <c r="F67" t="str">
        <f t="shared" ref="F67:F130" si="1">CONCATENATE(A67,B67,C67,D67,E67)</f>
        <v>SINGARENI</v>
      </c>
      <c r="M67" s="2" t="s">
        <v>859</v>
      </c>
      <c r="R67" t="s">
        <v>939</v>
      </c>
    </row>
    <row r="68" spans="1:18" x14ac:dyDescent="0.2">
      <c r="A68" s="2" t="s">
        <v>802</v>
      </c>
      <c r="F68" t="str">
        <f t="shared" si="1"/>
        <v>KAWAI</v>
      </c>
      <c r="M68" s="2" t="s">
        <v>859</v>
      </c>
      <c r="R68" t="s">
        <v>968</v>
      </c>
    </row>
    <row r="69" spans="1:18" x14ac:dyDescent="0.2">
      <c r="A69" s="2" t="s">
        <v>803</v>
      </c>
      <c r="F69" t="str">
        <f t="shared" si="1"/>
        <v>AKALTARA</v>
      </c>
      <c r="M69" s="2" t="s">
        <v>859</v>
      </c>
      <c r="R69" t="s">
        <v>942</v>
      </c>
    </row>
    <row r="70" spans="1:18" x14ac:dyDescent="0.2">
      <c r="A70" s="2" t="s">
        <v>802</v>
      </c>
      <c r="F70" t="str">
        <f t="shared" si="1"/>
        <v>KAWAI</v>
      </c>
      <c r="M70" s="2" t="s">
        <v>924</v>
      </c>
      <c r="R70" t="s">
        <v>886</v>
      </c>
    </row>
    <row r="71" spans="1:18" x14ac:dyDescent="0.2">
      <c r="A71" s="2" t="s">
        <v>804</v>
      </c>
      <c r="F71" t="str">
        <f t="shared" si="1"/>
        <v>ANPARA</v>
      </c>
      <c r="M71" s="2" t="s">
        <v>924</v>
      </c>
      <c r="R71" t="s">
        <v>969</v>
      </c>
    </row>
    <row r="72" spans="1:18" x14ac:dyDescent="0.2">
      <c r="A72" s="2" t="s">
        <v>805</v>
      </c>
      <c r="F72" t="str">
        <f t="shared" si="1"/>
        <v>SEIONI</v>
      </c>
      <c r="M72" s="2" t="s">
        <v>925</v>
      </c>
      <c r="R72" t="s">
        <v>945</v>
      </c>
    </row>
    <row r="73" spans="1:18" x14ac:dyDescent="0.2">
      <c r="A73" s="2" t="s">
        <v>801</v>
      </c>
      <c r="F73" t="str">
        <f t="shared" si="1"/>
        <v>SINGARENI</v>
      </c>
      <c r="M73" s="2" t="s">
        <v>925</v>
      </c>
      <c r="R73" t="s">
        <v>946</v>
      </c>
    </row>
    <row r="74" spans="1:18" x14ac:dyDescent="0.2">
      <c r="A74" s="2" t="s">
        <v>806</v>
      </c>
      <c r="F74" t="str">
        <f t="shared" si="1"/>
        <v>ANUPPUR</v>
      </c>
      <c r="M74" s="2" t="s">
        <v>846</v>
      </c>
      <c r="R74" t="s">
        <v>970</v>
      </c>
    </row>
    <row r="75" spans="1:18" x14ac:dyDescent="0.2">
      <c r="A75" s="2" t="s">
        <v>807</v>
      </c>
      <c r="F75" t="str">
        <f t="shared" si="1"/>
        <v>RAGHUNATHPUR</v>
      </c>
      <c r="M75" s="2" t="s">
        <v>846</v>
      </c>
      <c r="R75" t="s">
        <v>774</v>
      </c>
    </row>
    <row r="76" spans="1:18" x14ac:dyDescent="0.2">
      <c r="A76" s="2" t="s">
        <v>808</v>
      </c>
      <c r="F76" t="str">
        <f t="shared" si="1"/>
        <v>KAKATIYA</v>
      </c>
      <c r="M76" s="2" t="s">
        <v>846</v>
      </c>
      <c r="R76" t="s">
        <v>948</v>
      </c>
    </row>
    <row r="77" spans="1:18" x14ac:dyDescent="0.2">
      <c r="A77" s="2" t="s">
        <v>804</v>
      </c>
      <c r="F77" t="str">
        <f t="shared" si="1"/>
        <v>ANPARA</v>
      </c>
      <c r="M77" s="2" t="s">
        <v>846</v>
      </c>
      <c r="R77" t="s">
        <v>949</v>
      </c>
    </row>
    <row r="78" spans="1:18" x14ac:dyDescent="0.2">
      <c r="A78" s="2" t="s">
        <v>809</v>
      </c>
      <c r="F78" t="str">
        <f t="shared" si="1"/>
        <v>KALISINDH</v>
      </c>
      <c r="M78" s="2" t="s">
        <v>926</v>
      </c>
      <c r="R78" t="s">
        <v>971</v>
      </c>
    </row>
    <row r="79" spans="1:18" x14ac:dyDescent="0.2">
      <c r="A79" s="2" t="s">
        <v>810</v>
      </c>
      <c r="F79" t="str">
        <f t="shared" si="1"/>
        <v>BARADARHA</v>
      </c>
      <c r="M79" s="2" t="s">
        <v>926</v>
      </c>
      <c r="R79" t="s">
        <v>972</v>
      </c>
    </row>
    <row r="80" spans="1:18" x14ac:dyDescent="0.2">
      <c r="A80" s="2" t="s">
        <v>806</v>
      </c>
      <c r="F80" t="str">
        <f t="shared" si="1"/>
        <v>ANUPPUR</v>
      </c>
      <c r="M80" s="2" t="s">
        <v>926</v>
      </c>
      <c r="R80" t="s">
        <v>951</v>
      </c>
    </row>
    <row r="81" spans="1:18" x14ac:dyDescent="0.2">
      <c r="A81" s="2" t="s">
        <v>811</v>
      </c>
      <c r="F81" t="str">
        <f t="shared" si="1"/>
        <v>DERANG</v>
      </c>
      <c r="M81" s="2" t="s">
        <v>926</v>
      </c>
      <c r="R81" t="s">
        <v>850</v>
      </c>
    </row>
    <row r="82" spans="1:18" x14ac:dyDescent="0.2">
      <c r="A82" s="2" t="s">
        <v>812</v>
      </c>
      <c r="B82" t="s">
        <v>813</v>
      </c>
      <c r="F82" t="str">
        <f t="shared" si="1"/>
        <v>OPJINDAL</v>
      </c>
      <c r="M82" s="2" t="s">
        <v>926</v>
      </c>
      <c r="R82" t="s">
        <v>852</v>
      </c>
    </row>
    <row r="83" spans="1:18" x14ac:dyDescent="0.2">
      <c r="A83" s="2" t="s">
        <v>812</v>
      </c>
      <c r="B83" t="s">
        <v>813</v>
      </c>
      <c r="F83" t="str">
        <f t="shared" si="1"/>
        <v>OPJINDAL</v>
      </c>
      <c r="M83" s="2" t="s">
        <v>926</v>
      </c>
      <c r="R83" t="s">
        <v>825</v>
      </c>
    </row>
    <row r="84" spans="1:18" x14ac:dyDescent="0.2">
      <c r="A84" s="2" t="s">
        <v>779</v>
      </c>
      <c r="B84" t="s">
        <v>780</v>
      </c>
      <c r="F84" t="str">
        <f t="shared" si="1"/>
        <v>SHREESINGAJI</v>
      </c>
      <c r="M84" s="2" t="s">
        <v>791</v>
      </c>
      <c r="R84" t="s">
        <v>952</v>
      </c>
    </row>
    <row r="85" spans="1:18" x14ac:dyDescent="0.2">
      <c r="A85" s="2" t="s">
        <v>807</v>
      </c>
      <c r="F85" t="str">
        <f t="shared" si="1"/>
        <v>RAGHUNATHPUR</v>
      </c>
      <c r="M85" s="2" t="s">
        <v>791</v>
      </c>
      <c r="R85" t="s">
        <v>831</v>
      </c>
    </row>
    <row r="86" spans="1:18" x14ac:dyDescent="0.2">
      <c r="A86" s="2" t="s">
        <v>809</v>
      </c>
      <c r="F86" t="str">
        <f t="shared" si="1"/>
        <v>KALISINDH</v>
      </c>
      <c r="M86" s="2" t="s">
        <v>848</v>
      </c>
      <c r="R86" t="s">
        <v>769</v>
      </c>
    </row>
    <row r="87" spans="1:18" x14ac:dyDescent="0.2">
      <c r="A87" s="2" t="s">
        <v>811</v>
      </c>
      <c r="F87" t="str">
        <f t="shared" si="1"/>
        <v>DERANG</v>
      </c>
      <c r="M87" s="2" t="s">
        <v>848</v>
      </c>
      <c r="R87" t="s">
        <v>973</v>
      </c>
    </row>
    <row r="88" spans="1:18" x14ac:dyDescent="0.2">
      <c r="A88" s="2" t="s">
        <v>810</v>
      </c>
      <c r="F88" t="str">
        <f t="shared" si="1"/>
        <v>BARADARHA</v>
      </c>
      <c r="M88" s="2" t="s">
        <v>848</v>
      </c>
    </row>
    <row r="89" spans="1:18" x14ac:dyDescent="0.2">
      <c r="A89" s="2" t="s">
        <v>812</v>
      </c>
      <c r="B89" t="s">
        <v>813</v>
      </c>
      <c r="F89" t="str">
        <f t="shared" si="1"/>
        <v>OPJINDAL</v>
      </c>
      <c r="M89" s="2" t="s">
        <v>906</v>
      </c>
    </row>
    <row r="90" spans="1:18" x14ac:dyDescent="0.2">
      <c r="A90" s="2" t="s">
        <v>812</v>
      </c>
      <c r="B90" t="s">
        <v>813</v>
      </c>
      <c r="F90" t="str">
        <f t="shared" si="1"/>
        <v>OPJINDAL</v>
      </c>
      <c r="M90" s="2" t="s">
        <v>906</v>
      </c>
    </row>
    <row r="91" spans="1:18" x14ac:dyDescent="0.2">
      <c r="A91" s="2" t="s">
        <v>779</v>
      </c>
      <c r="B91" t="s">
        <v>780</v>
      </c>
      <c r="F91" t="str">
        <f t="shared" si="1"/>
        <v>SHREESINGAJI</v>
      </c>
      <c r="M91" s="2" t="s">
        <v>906</v>
      </c>
    </row>
    <row r="92" spans="1:18" x14ac:dyDescent="0.2">
      <c r="A92" s="2" t="s">
        <v>803</v>
      </c>
      <c r="F92" t="str">
        <f t="shared" si="1"/>
        <v>AKALTARA</v>
      </c>
      <c r="M92" s="2" t="s">
        <v>907</v>
      </c>
    </row>
    <row r="93" spans="1:18" x14ac:dyDescent="0.2">
      <c r="A93" s="2" t="s">
        <v>799</v>
      </c>
      <c r="F93" t="str">
        <f t="shared" si="1"/>
        <v>MAHAN</v>
      </c>
      <c r="M93" s="2" t="s">
        <v>907</v>
      </c>
    </row>
    <row r="94" spans="1:18" x14ac:dyDescent="0.2">
      <c r="A94" s="2" t="s">
        <v>803</v>
      </c>
      <c r="F94" t="str">
        <f t="shared" si="1"/>
        <v>AKALTARA</v>
      </c>
      <c r="M94" s="2" t="s">
        <v>837</v>
      </c>
    </row>
    <row r="95" spans="1:18" x14ac:dyDescent="0.2">
      <c r="A95" s="2" t="s">
        <v>804</v>
      </c>
      <c r="B95" t="s">
        <v>814</v>
      </c>
      <c r="F95" t="str">
        <f t="shared" si="1"/>
        <v>ANPARAC</v>
      </c>
      <c r="M95" s="2" t="s">
        <v>837</v>
      </c>
    </row>
    <row r="96" spans="1:18" x14ac:dyDescent="0.2">
      <c r="A96" s="2" t="s">
        <v>804</v>
      </c>
      <c r="B96" t="s">
        <v>814</v>
      </c>
      <c r="F96" t="str">
        <f t="shared" si="1"/>
        <v>ANPARAC</v>
      </c>
      <c r="M96" s="2" t="s">
        <v>837</v>
      </c>
    </row>
    <row r="97" spans="1:14" x14ac:dyDescent="0.2">
      <c r="A97" s="2" t="s">
        <v>815</v>
      </c>
      <c r="B97" t="s">
        <v>796</v>
      </c>
      <c r="F97" t="str">
        <f t="shared" si="1"/>
        <v>RAJIVGANDHI</v>
      </c>
      <c r="M97" s="2" t="s">
        <v>837</v>
      </c>
    </row>
    <row r="98" spans="1:14" x14ac:dyDescent="0.2">
      <c r="A98" s="2" t="s">
        <v>816</v>
      </c>
      <c r="F98" t="str">
        <f t="shared" si="1"/>
        <v>STERLITE</v>
      </c>
      <c r="M98" s="2" t="s">
        <v>927</v>
      </c>
    </row>
    <row r="99" spans="1:14" x14ac:dyDescent="0.2">
      <c r="A99" s="2" t="s">
        <v>817</v>
      </c>
      <c r="B99" t="s">
        <v>818</v>
      </c>
      <c r="F99" t="str">
        <f t="shared" si="1"/>
        <v>NORTHCHENNAI</v>
      </c>
      <c r="M99" s="2" t="s">
        <v>927</v>
      </c>
    </row>
    <row r="100" spans="1:14" x14ac:dyDescent="0.2">
      <c r="A100" s="2" t="s">
        <v>815</v>
      </c>
      <c r="B100" t="s">
        <v>796</v>
      </c>
      <c r="F100" t="str">
        <f t="shared" si="1"/>
        <v>RAJIVGANDHI</v>
      </c>
      <c r="M100" s="2" t="s">
        <v>927</v>
      </c>
    </row>
    <row r="101" spans="1:14" x14ac:dyDescent="0.2">
      <c r="A101" s="2" t="s">
        <v>817</v>
      </c>
      <c r="B101" t="s">
        <v>818</v>
      </c>
      <c r="F101" t="str">
        <f t="shared" si="1"/>
        <v>NORTHCHENNAI</v>
      </c>
      <c r="M101" s="2" t="s">
        <v>927</v>
      </c>
    </row>
    <row r="102" spans="1:14" x14ac:dyDescent="0.2">
      <c r="A102" s="2" t="s">
        <v>819</v>
      </c>
      <c r="F102" t="str">
        <f t="shared" si="1"/>
        <v>MUNDRA</v>
      </c>
      <c r="M102" s="2" t="s">
        <v>927</v>
      </c>
    </row>
    <row r="103" spans="1:14" x14ac:dyDescent="0.2">
      <c r="A103" s="2" t="s">
        <v>819</v>
      </c>
      <c r="F103" t="str">
        <f t="shared" si="1"/>
        <v>MUNDRA</v>
      </c>
      <c r="M103" s="2" t="s">
        <v>927</v>
      </c>
    </row>
    <row r="104" spans="1:14" x14ac:dyDescent="0.2">
      <c r="A104" s="2" t="s">
        <v>820</v>
      </c>
      <c r="F104" t="str">
        <f t="shared" si="1"/>
        <v>PAINAMPURAM</v>
      </c>
      <c r="M104" s="2" t="s">
        <v>927</v>
      </c>
    </row>
    <row r="105" spans="1:14" x14ac:dyDescent="0.2">
      <c r="A105" s="2" t="s">
        <v>819</v>
      </c>
      <c r="F105" t="str">
        <f t="shared" si="1"/>
        <v>MUNDRA</v>
      </c>
      <c r="M105" s="2" t="s">
        <v>764</v>
      </c>
      <c r="N105" t="s">
        <v>843</v>
      </c>
    </row>
    <row r="106" spans="1:14" x14ac:dyDescent="0.2">
      <c r="A106" s="2" t="s">
        <v>819</v>
      </c>
      <c r="F106" t="str">
        <f t="shared" si="1"/>
        <v>MUNDRA</v>
      </c>
      <c r="M106" s="2" t="s">
        <v>764</v>
      </c>
      <c r="N106" t="s">
        <v>843</v>
      </c>
    </row>
    <row r="107" spans="1:14" x14ac:dyDescent="0.2">
      <c r="A107" s="2" t="s">
        <v>820</v>
      </c>
      <c r="F107" t="str">
        <f t="shared" si="1"/>
        <v>PAINAMPURAM</v>
      </c>
      <c r="M107" s="2" t="s">
        <v>764</v>
      </c>
    </row>
    <row r="108" spans="1:14" x14ac:dyDescent="0.2">
      <c r="A108" s="2" t="s">
        <v>819</v>
      </c>
      <c r="F108" t="str">
        <f t="shared" si="1"/>
        <v>MUNDRA</v>
      </c>
      <c r="M108" s="2" t="s">
        <v>764</v>
      </c>
    </row>
    <row r="109" spans="1:14" x14ac:dyDescent="0.2">
      <c r="A109" s="2" t="s">
        <v>816</v>
      </c>
      <c r="F109" t="str">
        <f t="shared" si="1"/>
        <v>STERLITE</v>
      </c>
      <c r="M109" s="2" t="s">
        <v>764</v>
      </c>
    </row>
    <row r="110" spans="1:14" x14ac:dyDescent="0.2">
      <c r="A110" s="2" t="s">
        <v>821</v>
      </c>
      <c r="B110" t="s">
        <v>822</v>
      </c>
      <c r="F110" t="str">
        <f t="shared" si="1"/>
        <v>AVANTHABHANDAR</v>
      </c>
      <c r="M110" s="2" t="s">
        <v>764</v>
      </c>
    </row>
    <row r="111" spans="1:14" x14ac:dyDescent="0.2">
      <c r="A111" s="2" t="s">
        <v>823</v>
      </c>
      <c r="F111" t="str">
        <f t="shared" si="1"/>
        <v>VIZAG</v>
      </c>
      <c r="M111" s="2" t="s">
        <v>764</v>
      </c>
    </row>
    <row r="112" spans="1:14" x14ac:dyDescent="0.2">
      <c r="A112" s="2" t="s">
        <v>824</v>
      </c>
      <c r="F112" t="str">
        <f t="shared" si="1"/>
        <v>SAGARDIGHI</v>
      </c>
      <c r="M112" s="2" t="s">
        <v>764</v>
      </c>
    </row>
    <row r="113" spans="1:13" x14ac:dyDescent="0.2">
      <c r="A113" s="2" t="s">
        <v>823</v>
      </c>
      <c r="F113" t="str">
        <f t="shared" si="1"/>
        <v>VIZAG</v>
      </c>
      <c r="M113" s="2" t="s">
        <v>764</v>
      </c>
    </row>
    <row r="114" spans="1:13" x14ac:dyDescent="0.2">
      <c r="A114" s="2" t="s">
        <v>825</v>
      </c>
      <c r="F114" t="str">
        <f t="shared" si="1"/>
        <v>UNCHAHAR</v>
      </c>
      <c r="M114" s="2" t="s">
        <v>928</v>
      </c>
    </row>
    <row r="115" spans="1:13" x14ac:dyDescent="0.2">
      <c r="A115" s="2" t="s">
        <v>826</v>
      </c>
      <c r="F115" t="str">
        <f t="shared" si="1"/>
        <v>MARWA</v>
      </c>
      <c r="M115" s="2" t="s">
        <v>928</v>
      </c>
    </row>
    <row r="116" spans="1:13" x14ac:dyDescent="0.2">
      <c r="A116" s="2" t="s">
        <v>827</v>
      </c>
      <c r="B116" t="s">
        <v>828</v>
      </c>
      <c r="F116" t="str">
        <f t="shared" si="1"/>
        <v>BOKAROA</v>
      </c>
      <c r="M116" s="2" t="s">
        <v>929</v>
      </c>
    </row>
    <row r="117" spans="1:13" x14ac:dyDescent="0.2">
      <c r="A117" s="2" t="s">
        <v>829</v>
      </c>
      <c r="C117" t="s">
        <v>830</v>
      </c>
      <c r="F117" t="str">
        <f t="shared" si="1"/>
        <v>METTUREXT</v>
      </c>
      <c r="M117" s="2" t="s">
        <v>929</v>
      </c>
    </row>
    <row r="118" spans="1:13" x14ac:dyDescent="0.2">
      <c r="A118" s="2" t="s">
        <v>824</v>
      </c>
      <c r="F118" t="str">
        <f t="shared" si="1"/>
        <v>SAGARDIGHI</v>
      </c>
      <c r="M118" s="2" t="s">
        <v>844</v>
      </c>
    </row>
    <row r="119" spans="1:13" x14ac:dyDescent="0.2">
      <c r="A119" s="2" t="s">
        <v>831</v>
      </c>
      <c r="F119" t="str">
        <f t="shared" si="1"/>
        <v>VINDHYACHAL</v>
      </c>
      <c r="M119" s="2" t="s">
        <v>844</v>
      </c>
    </row>
    <row r="120" spans="1:13" x14ac:dyDescent="0.2">
      <c r="A120" s="2" t="s">
        <v>832</v>
      </c>
      <c r="F120" t="str">
        <f t="shared" si="1"/>
        <v>CHANDRAPUR</v>
      </c>
      <c r="M120" s="2" t="s">
        <v>844</v>
      </c>
    </row>
    <row r="121" spans="1:13" x14ac:dyDescent="0.2">
      <c r="A121" s="2" t="s">
        <v>833</v>
      </c>
      <c r="B121" t="s">
        <v>834</v>
      </c>
      <c r="F121" t="str">
        <f t="shared" si="1"/>
        <v>MAITHONRB</v>
      </c>
      <c r="M121" s="2" t="s">
        <v>844</v>
      </c>
    </row>
    <row r="122" spans="1:13" x14ac:dyDescent="0.2">
      <c r="A122" s="2" t="s">
        <v>832</v>
      </c>
      <c r="F122" t="str">
        <f t="shared" si="1"/>
        <v>CHANDRAPUR</v>
      </c>
      <c r="M122" s="2" t="s">
        <v>844</v>
      </c>
    </row>
    <row r="123" spans="1:13" x14ac:dyDescent="0.2">
      <c r="A123" s="2" t="s">
        <v>833</v>
      </c>
      <c r="B123" t="s">
        <v>834</v>
      </c>
      <c r="F123" t="str">
        <f t="shared" si="1"/>
        <v>MAITHONRB</v>
      </c>
      <c r="M123" s="2" t="s">
        <v>844</v>
      </c>
    </row>
    <row r="124" spans="1:13" x14ac:dyDescent="0.2">
      <c r="A124" s="2" t="s">
        <v>826</v>
      </c>
      <c r="F124" t="str">
        <f t="shared" si="1"/>
        <v>MARWA</v>
      </c>
      <c r="M124" s="2" t="s">
        <v>829</v>
      </c>
    </row>
    <row r="125" spans="1:13" x14ac:dyDescent="0.2">
      <c r="A125" s="2" t="s">
        <v>835</v>
      </c>
      <c r="F125" t="str">
        <f t="shared" si="1"/>
        <v>VALLUR</v>
      </c>
      <c r="M125" s="2" t="s">
        <v>829</v>
      </c>
    </row>
    <row r="126" spans="1:13" x14ac:dyDescent="0.2">
      <c r="A126" s="2" t="s">
        <v>836</v>
      </c>
      <c r="F126" t="str">
        <f t="shared" si="1"/>
        <v>RIHAND</v>
      </c>
      <c r="M126" s="2" t="s">
        <v>829</v>
      </c>
    </row>
    <row r="127" spans="1:13" x14ac:dyDescent="0.2">
      <c r="A127" s="2" t="s">
        <v>837</v>
      </c>
      <c r="F127" t="str">
        <f t="shared" si="1"/>
        <v>KORBA-WEST</v>
      </c>
      <c r="M127" s="2" t="s">
        <v>829</v>
      </c>
    </row>
    <row r="128" spans="1:13" x14ac:dyDescent="0.2">
      <c r="A128" s="2" t="s">
        <v>831</v>
      </c>
      <c r="F128" t="str">
        <f t="shared" si="1"/>
        <v>VINDHYACHAL</v>
      </c>
      <c r="M128" s="2" t="s">
        <v>819</v>
      </c>
    </row>
    <row r="129" spans="1:14" x14ac:dyDescent="0.2">
      <c r="A129" s="2" t="s">
        <v>838</v>
      </c>
      <c r="F129" t="str">
        <f t="shared" si="1"/>
        <v>KODARMA</v>
      </c>
      <c r="M129" s="2" t="s">
        <v>819</v>
      </c>
    </row>
    <row r="130" spans="1:14" x14ac:dyDescent="0.2">
      <c r="A130" s="2" t="s">
        <v>835</v>
      </c>
      <c r="F130" t="str">
        <f t="shared" si="1"/>
        <v>VALLUR</v>
      </c>
      <c r="M130" s="2" t="s">
        <v>819</v>
      </c>
    </row>
    <row r="131" spans="1:14" x14ac:dyDescent="0.2">
      <c r="A131" s="2" t="s">
        <v>831</v>
      </c>
      <c r="F131" t="str">
        <f t="shared" ref="F131:F194" si="2">CONCATENATE(A131,B131,C131,D131,E131)</f>
        <v>VINDHYACHAL</v>
      </c>
      <c r="M131" s="2" t="s">
        <v>819</v>
      </c>
    </row>
    <row r="132" spans="1:14" x14ac:dyDescent="0.2">
      <c r="A132" s="2" t="s">
        <v>836</v>
      </c>
      <c r="F132" t="str">
        <f t="shared" si="2"/>
        <v>RIHAND</v>
      </c>
      <c r="M132" s="2" t="s">
        <v>903</v>
      </c>
    </row>
    <row r="133" spans="1:14" x14ac:dyDescent="0.2">
      <c r="A133" s="2" t="s">
        <v>785</v>
      </c>
      <c r="F133" t="str">
        <f t="shared" si="2"/>
        <v>MAUDA</v>
      </c>
      <c r="M133" s="2" t="s">
        <v>903</v>
      </c>
    </row>
    <row r="134" spans="1:14" x14ac:dyDescent="0.2">
      <c r="A134" s="2" t="s">
        <v>772</v>
      </c>
      <c r="F134" t="str">
        <f t="shared" si="2"/>
        <v>BELLARY</v>
      </c>
      <c r="M134" s="2" t="s">
        <v>903</v>
      </c>
    </row>
    <row r="135" spans="1:14" x14ac:dyDescent="0.2">
      <c r="A135" s="2" t="s">
        <v>839</v>
      </c>
      <c r="B135" t="s">
        <v>840</v>
      </c>
      <c r="F135" t="str">
        <f t="shared" si="2"/>
        <v>DURGAPURSTEEL</v>
      </c>
      <c r="M135" s="2" t="s">
        <v>930</v>
      </c>
    </row>
    <row r="136" spans="1:14" x14ac:dyDescent="0.2">
      <c r="A136" s="2" t="s">
        <v>835</v>
      </c>
      <c r="F136" t="str">
        <f t="shared" si="2"/>
        <v>VALLUR</v>
      </c>
      <c r="M136" s="2" t="s">
        <v>930</v>
      </c>
    </row>
    <row r="137" spans="1:14" x14ac:dyDescent="0.2">
      <c r="A137" s="2" t="s">
        <v>841</v>
      </c>
      <c r="F137" t="str">
        <f t="shared" si="2"/>
        <v>SIMHADRI</v>
      </c>
      <c r="M137" s="2" t="s">
        <v>930</v>
      </c>
    </row>
    <row r="138" spans="1:14" x14ac:dyDescent="0.2">
      <c r="A138" s="2" t="s">
        <v>839</v>
      </c>
      <c r="B138" t="s">
        <v>840</v>
      </c>
      <c r="F138" t="str">
        <f t="shared" si="2"/>
        <v>DURGAPURSTEEL</v>
      </c>
      <c r="M138" s="2" t="s">
        <v>931</v>
      </c>
    </row>
    <row r="139" spans="1:14" x14ac:dyDescent="0.2">
      <c r="A139" s="2" t="s">
        <v>838</v>
      </c>
      <c r="F139" t="str">
        <f t="shared" si="2"/>
        <v>KODARMA</v>
      </c>
      <c r="M139" s="2" t="s">
        <v>931</v>
      </c>
    </row>
    <row r="140" spans="1:14" x14ac:dyDescent="0.2">
      <c r="A140" s="2" t="s">
        <v>842</v>
      </c>
      <c r="B140" t="s">
        <v>796</v>
      </c>
      <c r="F140" t="str">
        <f t="shared" si="2"/>
        <v>INDIRAGANDHI</v>
      </c>
      <c r="M140" s="2" t="s">
        <v>817</v>
      </c>
      <c r="N140" t="s">
        <v>818</v>
      </c>
    </row>
    <row r="141" spans="1:14" x14ac:dyDescent="0.2">
      <c r="A141" s="2" t="s">
        <v>764</v>
      </c>
      <c r="B141" t="s">
        <v>843</v>
      </c>
      <c r="F141" t="str">
        <f t="shared" si="2"/>
        <v>KOTHAGUDEMNEW</v>
      </c>
      <c r="M141" s="2" t="s">
        <v>817</v>
      </c>
      <c r="N141" t="s">
        <v>818</v>
      </c>
    </row>
    <row r="142" spans="1:14" x14ac:dyDescent="0.2">
      <c r="A142" s="2" t="s">
        <v>785</v>
      </c>
      <c r="F142" t="str">
        <f t="shared" si="2"/>
        <v>MAUDA</v>
      </c>
      <c r="M142" s="2" t="s">
        <v>817</v>
      </c>
      <c r="N142" t="s">
        <v>818</v>
      </c>
    </row>
    <row r="143" spans="1:14" x14ac:dyDescent="0.2">
      <c r="A143" s="2" t="s">
        <v>844</v>
      </c>
      <c r="F143" t="str">
        <f t="shared" si="2"/>
        <v>MEJIA</v>
      </c>
      <c r="M143" s="2" t="s">
        <v>932</v>
      </c>
    </row>
    <row r="144" spans="1:14" x14ac:dyDescent="0.2">
      <c r="A144" s="2" t="s">
        <v>845</v>
      </c>
      <c r="F144" t="str">
        <f t="shared" si="2"/>
        <v>BHUSAWAL</v>
      </c>
      <c r="M144" s="2" t="s">
        <v>932</v>
      </c>
    </row>
    <row r="145" spans="1:14" x14ac:dyDescent="0.2">
      <c r="A145" s="2" t="s">
        <v>845</v>
      </c>
      <c r="F145" t="str">
        <f t="shared" si="2"/>
        <v>BHUSAWAL</v>
      </c>
      <c r="M145" s="2" t="s">
        <v>932</v>
      </c>
    </row>
    <row r="146" spans="1:14" x14ac:dyDescent="0.2">
      <c r="A146" s="2" t="s">
        <v>846</v>
      </c>
      <c r="F146" t="str">
        <f t="shared" si="2"/>
        <v>KHAPARKHEDA</v>
      </c>
      <c r="M146" s="2" t="s">
        <v>932</v>
      </c>
    </row>
    <row r="147" spans="1:14" x14ac:dyDescent="0.2">
      <c r="A147" s="2" t="s">
        <v>847</v>
      </c>
      <c r="F147" t="str">
        <f t="shared" si="2"/>
        <v>FARAKKA</v>
      </c>
      <c r="M147" s="2" t="s">
        <v>932</v>
      </c>
    </row>
    <row r="148" spans="1:14" x14ac:dyDescent="0.2">
      <c r="A148" s="2" t="s">
        <v>848</v>
      </c>
      <c r="F148" t="str">
        <f t="shared" si="2"/>
        <v>KORBA</v>
      </c>
      <c r="M148" s="2" t="s">
        <v>932</v>
      </c>
    </row>
    <row r="149" spans="1:14" x14ac:dyDescent="0.2">
      <c r="A149" s="2" t="s">
        <v>841</v>
      </c>
      <c r="F149" t="str">
        <f t="shared" si="2"/>
        <v>SIMHADRI</v>
      </c>
      <c r="M149" s="2" t="s">
        <v>812</v>
      </c>
      <c r="N149" t="s">
        <v>813</v>
      </c>
    </row>
    <row r="150" spans="1:14" x14ac:dyDescent="0.2">
      <c r="A150" s="2" t="s">
        <v>844</v>
      </c>
      <c r="F150" t="str">
        <f t="shared" si="2"/>
        <v>MEJIA</v>
      </c>
      <c r="M150" s="2" t="s">
        <v>812</v>
      </c>
      <c r="N150" t="s">
        <v>813</v>
      </c>
    </row>
    <row r="151" spans="1:14" x14ac:dyDescent="0.2">
      <c r="A151" s="2" t="s">
        <v>842</v>
      </c>
      <c r="B151" t="s">
        <v>796</v>
      </c>
      <c r="F151" t="str">
        <f t="shared" si="2"/>
        <v>INDIRAGANDHI</v>
      </c>
      <c r="M151" s="2" t="s">
        <v>812</v>
      </c>
      <c r="N151" t="s">
        <v>813</v>
      </c>
    </row>
    <row r="152" spans="1:14" x14ac:dyDescent="0.2">
      <c r="A152" s="2" t="s">
        <v>808</v>
      </c>
      <c r="F152" t="str">
        <f t="shared" si="2"/>
        <v>KAKATIYA</v>
      </c>
      <c r="M152" s="2" t="s">
        <v>812</v>
      </c>
      <c r="N152" t="s">
        <v>813</v>
      </c>
    </row>
    <row r="153" spans="1:14" x14ac:dyDescent="0.2">
      <c r="A153" s="2" t="s">
        <v>849</v>
      </c>
      <c r="B153" t="s">
        <v>850</v>
      </c>
      <c r="C153" t="s">
        <v>851</v>
      </c>
      <c r="F153" t="str">
        <f t="shared" si="2"/>
        <v>NTPLTUTICORIN(JV)</v>
      </c>
      <c r="M153" s="2" t="s">
        <v>933</v>
      </c>
    </row>
    <row r="154" spans="1:14" x14ac:dyDescent="0.2">
      <c r="A154" s="2" t="s">
        <v>852</v>
      </c>
      <c r="F154" t="str">
        <f t="shared" si="2"/>
        <v>UKAI</v>
      </c>
      <c r="M154" s="2" t="s">
        <v>933</v>
      </c>
    </row>
    <row r="155" spans="1:14" x14ac:dyDescent="0.2">
      <c r="A155" s="2" t="s">
        <v>849</v>
      </c>
      <c r="B155" t="s">
        <v>850</v>
      </c>
      <c r="C155" t="s">
        <v>851</v>
      </c>
      <c r="F155" t="str">
        <f t="shared" si="2"/>
        <v>NTPLTUTICORIN(JV)</v>
      </c>
      <c r="M155" s="2" t="s">
        <v>933</v>
      </c>
    </row>
    <row r="156" spans="1:14" x14ac:dyDescent="0.2">
      <c r="A156" s="2" t="s">
        <v>842</v>
      </c>
      <c r="B156" t="s">
        <v>796</v>
      </c>
      <c r="F156" t="str">
        <f t="shared" si="2"/>
        <v>INDIRAGANDHI</v>
      </c>
      <c r="M156" s="2" t="s">
        <v>933</v>
      </c>
    </row>
    <row r="157" spans="1:14" x14ac:dyDescent="0.2">
      <c r="A157" s="2" t="s">
        <v>853</v>
      </c>
      <c r="B157" t="s">
        <v>854</v>
      </c>
      <c r="F157" t="str">
        <f t="shared" si="2"/>
        <v>DADRI(NCTPP)</v>
      </c>
      <c r="M157" s="2" t="s">
        <v>934</v>
      </c>
    </row>
    <row r="158" spans="1:14" x14ac:dyDescent="0.2">
      <c r="A158" s="2" t="s">
        <v>855</v>
      </c>
      <c r="B158" t="s">
        <v>856</v>
      </c>
      <c r="C158" t="s">
        <v>857</v>
      </c>
      <c r="D158" t="s">
        <v>858</v>
      </c>
      <c r="F158" t="str">
        <f t="shared" si="2"/>
        <v>DR.NTATARAO</v>
      </c>
      <c r="M158" s="2" t="s">
        <v>934</v>
      </c>
    </row>
    <row r="159" spans="1:14" x14ac:dyDescent="0.2">
      <c r="A159" s="2" t="s">
        <v>859</v>
      </c>
      <c r="F159" t="str">
        <f t="shared" si="2"/>
        <v>KAHALGAON</v>
      </c>
      <c r="M159" s="2" t="s">
        <v>900</v>
      </c>
    </row>
    <row r="160" spans="1:14" x14ac:dyDescent="0.2">
      <c r="A160" s="2" t="s">
        <v>860</v>
      </c>
      <c r="B160" t="s">
        <v>861</v>
      </c>
      <c r="C160" t="s">
        <v>862</v>
      </c>
      <c r="D160" t="s">
        <v>863</v>
      </c>
      <c r="F160" t="str">
        <f t="shared" si="2"/>
        <v>SEMBCORPGAYATRIP.LTD</v>
      </c>
      <c r="M160" s="2" t="s">
        <v>900</v>
      </c>
    </row>
    <row r="161" spans="1:15" x14ac:dyDescent="0.2">
      <c r="A161" s="2" t="s">
        <v>794</v>
      </c>
      <c r="F161" t="str">
        <f t="shared" si="2"/>
        <v>SIPAT</v>
      </c>
      <c r="M161" s="2" t="s">
        <v>900</v>
      </c>
    </row>
    <row r="162" spans="1:15" x14ac:dyDescent="0.2">
      <c r="A162" s="2" t="s">
        <v>860</v>
      </c>
      <c r="B162" t="s">
        <v>861</v>
      </c>
      <c r="C162" t="s">
        <v>862</v>
      </c>
      <c r="D162" t="s">
        <v>863</v>
      </c>
      <c r="F162" t="str">
        <f t="shared" si="2"/>
        <v>SEMBCORPGAYATRIP.LTD</v>
      </c>
      <c r="M162" s="2" t="s">
        <v>893</v>
      </c>
    </row>
    <row r="163" spans="1:15" x14ac:dyDescent="0.2">
      <c r="A163" s="2" t="s">
        <v>794</v>
      </c>
      <c r="F163" t="str">
        <f t="shared" si="2"/>
        <v>SIPAT</v>
      </c>
      <c r="M163" s="2" t="s">
        <v>893</v>
      </c>
    </row>
    <row r="164" spans="1:15" x14ac:dyDescent="0.2">
      <c r="A164" s="2" t="s">
        <v>859</v>
      </c>
      <c r="F164" t="str">
        <f t="shared" si="2"/>
        <v>KAHALGAON</v>
      </c>
      <c r="M164" s="2" t="s">
        <v>904</v>
      </c>
    </row>
    <row r="165" spans="1:15" x14ac:dyDescent="0.2">
      <c r="A165" s="2" t="s">
        <v>853</v>
      </c>
      <c r="B165" t="s">
        <v>854</v>
      </c>
      <c r="F165" t="str">
        <f t="shared" si="2"/>
        <v>DADRI(NCTPP)</v>
      </c>
      <c r="M165" s="2" t="s">
        <v>904</v>
      </c>
    </row>
    <row r="166" spans="1:15" x14ac:dyDescent="0.2">
      <c r="A166" s="2" t="s">
        <v>772</v>
      </c>
      <c r="F166" t="str">
        <f t="shared" si="2"/>
        <v>BELLARY</v>
      </c>
      <c r="M166" s="2" t="s">
        <v>904</v>
      </c>
    </row>
    <row r="167" spans="1:15" x14ac:dyDescent="0.2">
      <c r="A167" s="2" t="s">
        <v>864</v>
      </c>
      <c r="B167" t="s">
        <v>796</v>
      </c>
      <c r="F167" t="str">
        <f t="shared" si="2"/>
        <v>SANJAYGANDHI</v>
      </c>
      <c r="M167" s="2" t="s">
        <v>904</v>
      </c>
    </row>
    <row r="168" spans="1:15" x14ac:dyDescent="0.2">
      <c r="A168" s="2" t="s">
        <v>859</v>
      </c>
      <c r="F168" t="str">
        <f t="shared" si="2"/>
        <v>KAHALGAON</v>
      </c>
      <c r="M168" s="2" t="s">
        <v>904</v>
      </c>
    </row>
    <row r="169" spans="1:15" x14ac:dyDescent="0.2">
      <c r="A169" s="2" t="s">
        <v>831</v>
      </c>
      <c r="F169" t="str">
        <f t="shared" si="2"/>
        <v>VINDHYACHAL</v>
      </c>
      <c r="M169" s="2" t="s">
        <v>904</v>
      </c>
    </row>
    <row r="170" spans="1:15" x14ac:dyDescent="0.2">
      <c r="A170" s="2" t="s">
        <v>831</v>
      </c>
      <c r="F170" t="str">
        <f t="shared" si="2"/>
        <v>VINDHYACHAL</v>
      </c>
      <c r="M170" s="2" t="s">
        <v>904</v>
      </c>
    </row>
    <row r="171" spans="1:15" x14ac:dyDescent="0.2">
      <c r="A171" s="2" t="s">
        <v>836</v>
      </c>
      <c r="F171" t="str">
        <f t="shared" si="2"/>
        <v>RIHAND</v>
      </c>
      <c r="M171" s="2" t="s">
        <v>865</v>
      </c>
      <c r="N171" t="s">
        <v>935</v>
      </c>
      <c r="O171" t="s">
        <v>914</v>
      </c>
    </row>
    <row r="172" spans="1:15" x14ac:dyDescent="0.2">
      <c r="A172" s="2" t="s">
        <v>819</v>
      </c>
      <c r="F172" t="str">
        <f t="shared" si="2"/>
        <v>MUNDRA</v>
      </c>
      <c r="M172" s="2" t="s">
        <v>865</v>
      </c>
    </row>
    <row r="173" spans="1:15" x14ac:dyDescent="0.2">
      <c r="A173" s="2" t="s">
        <v>819</v>
      </c>
      <c r="F173" t="str">
        <f t="shared" si="2"/>
        <v>MUNDRA</v>
      </c>
      <c r="M173" s="2" t="s">
        <v>865</v>
      </c>
    </row>
    <row r="174" spans="1:15" x14ac:dyDescent="0.2">
      <c r="A174" s="2" t="s">
        <v>819</v>
      </c>
      <c r="F174" t="str">
        <f t="shared" si="2"/>
        <v>MUNDRA</v>
      </c>
      <c r="M174" s="2" t="s">
        <v>865</v>
      </c>
    </row>
    <row r="175" spans="1:15" x14ac:dyDescent="0.2">
      <c r="A175" s="2" t="s">
        <v>819</v>
      </c>
      <c r="F175" t="str">
        <f t="shared" si="2"/>
        <v>MUNDRA</v>
      </c>
      <c r="M175" s="2" t="s">
        <v>936</v>
      </c>
    </row>
    <row r="176" spans="1:15" x14ac:dyDescent="0.2">
      <c r="A176" s="2" t="s">
        <v>819</v>
      </c>
      <c r="F176" t="str">
        <f t="shared" si="2"/>
        <v>MUNDRA</v>
      </c>
      <c r="M176" s="2" t="s">
        <v>936</v>
      </c>
    </row>
    <row r="177" spans="1:14" x14ac:dyDescent="0.2">
      <c r="A177" s="2" t="s">
        <v>836</v>
      </c>
      <c r="F177" t="str">
        <f t="shared" si="2"/>
        <v>RIHAND</v>
      </c>
      <c r="M177" s="2" t="s">
        <v>800</v>
      </c>
    </row>
    <row r="178" spans="1:14" x14ac:dyDescent="0.2">
      <c r="A178" s="2" t="s">
        <v>865</v>
      </c>
      <c r="F178" t="str">
        <f t="shared" si="2"/>
        <v>RAMAGUNDEM</v>
      </c>
      <c r="M178" s="2" t="s">
        <v>800</v>
      </c>
    </row>
    <row r="179" spans="1:14" x14ac:dyDescent="0.2">
      <c r="A179" s="2" t="s">
        <v>866</v>
      </c>
      <c r="F179" t="str">
        <f t="shared" si="2"/>
        <v>TALCHER</v>
      </c>
      <c r="M179" s="2" t="s">
        <v>800</v>
      </c>
    </row>
    <row r="180" spans="1:14" x14ac:dyDescent="0.2">
      <c r="A180" s="2" t="s">
        <v>866</v>
      </c>
      <c r="F180" t="str">
        <f t="shared" si="2"/>
        <v>TALCHER</v>
      </c>
      <c r="M180" s="2" t="s">
        <v>800</v>
      </c>
    </row>
    <row r="181" spans="1:14" x14ac:dyDescent="0.2">
      <c r="A181" s="2" t="s">
        <v>867</v>
      </c>
      <c r="F181" t="str">
        <f t="shared" si="2"/>
        <v>UCHPINDA</v>
      </c>
      <c r="M181" s="2" t="s">
        <v>800</v>
      </c>
    </row>
    <row r="182" spans="1:14" x14ac:dyDescent="0.2">
      <c r="A182" s="2" t="s">
        <v>868</v>
      </c>
      <c r="F182" t="str">
        <f t="shared" si="2"/>
        <v>ITPCL</v>
      </c>
      <c r="M182" s="2" t="s">
        <v>937</v>
      </c>
    </row>
    <row r="183" spans="1:14" x14ac:dyDescent="0.2">
      <c r="A183" s="2" t="s">
        <v>867</v>
      </c>
      <c r="F183" t="str">
        <f t="shared" si="2"/>
        <v>UCHPINDA</v>
      </c>
      <c r="M183" s="2" t="s">
        <v>937</v>
      </c>
    </row>
    <row r="184" spans="1:14" x14ac:dyDescent="0.2">
      <c r="A184" s="2" t="s">
        <v>866</v>
      </c>
      <c r="F184" t="str">
        <f t="shared" si="2"/>
        <v>TALCHER</v>
      </c>
      <c r="M184" s="2" t="s">
        <v>937</v>
      </c>
    </row>
    <row r="185" spans="1:14" x14ac:dyDescent="0.2">
      <c r="A185" s="2" t="s">
        <v>869</v>
      </c>
      <c r="F185" t="str">
        <f t="shared" si="2"/>
        <v>MUTHIARA</v>
      </c>
      <c r="M185" s="2" t="s">
        <v>937</v>
      </c>
    </row>
    <row r="186" spans="1:14" x14ac:dyDescent="0.2">
      <c r="A186" s="2" t="s">
        <v>867</v>
      </c>
      <c r="F186" t="str">
        <f t="shared" si="2"/>
        <v>UCHPINDA</v>
      </c>
      <c r="M186" s="2" t="s">
        <v>938</v>
      </c>
    </row>
    <row r="187" spans="1:14" x14ac:dyDescent="0.2">
      <c r="A187" s="2" t="s">
        <v>868</v>
      </c>
      <c r="F187" t="str">
        <f t="shared" si="2"/>
        <v>ITPCL</v>
      </c>
      <c r="M187" s="2" t="s">
        <v>938</v>
      </c>
    </row>
    <row r="188" spans="1:14" x14ac:dyDescent="0.2">
      <c r="A188" s="2" t="s">
        <v>866</v>
      </c>
      <c r="F188" t="str">
        <f t="shared" si="2"/>
        <v>TALCHER</v>
      </c>
      <c r="M188" s="2" t="s">
        <v>938</v>
      </c>
    </row>
    <row r="189" spans="1:14" x14ac:dyDescent="0.2">
      <c r="A189" s="2" t="s">
        <v>841</v>
      </c>
      <c r="F189" t="str">
        <f t="shared" si="2"/>
        <v>SIMHADRI</v>
      </c>
      <c r="M189" s="2" t="s">
        <v>864</v>
      </c>
      <c r="N189" t="s">
        <v>796</v>
      </c>
    </row>
    <row r="190" spans="1:14" x14ac:dyDescent="0.2">
      <c r="A190" s="2" t="s">
        <v>869</v>
      </c>
      <c r="F190" t="str">
        <f t="shared" si="2"/>
        <v>MUTHIARA</v>
      </c>
      <c r="M190" s="2" t="s">
        <v>864</v>
      </c>
      <c r="N190" t="s">
        <v>796</v>
      </c>
    </row>
    <row r="191" spans="1:14" x14ac:dyDescent="0.2">
      <c r="A191" s="2" t="s">
        <v>841</v>
      </c>
      <c r="F191" t="str">
        <f t="shared" si="2"/>
        <v>SIMHADRI</v>
      </c>
      <c r="M191" s="2" t="s">
        <v>864</v>
      </c>
      <c r="N191" t="s">
        <v>796</v>
      </c>
    </row>
    <row r="192" spans="1:14" x14ac:dyDescent="0.2">
      <c r="A192" s="2" t="s">
        <v>870</v>
      </c>
      <c r="F192" t="str">
        <f t="shared" si="2"/>
        <v>SALAYA</v>
      </c>
      <c r="M192" s="2" t="s">
        <v>864</v>
      </c>
      <c r="N192" t="s">
        <v>796</v>
      </c>
    </row>
    <row r="193" spans="1:14" x14ac:dyDescent="0.2">
      <c r="A193" s="2" t="s">
        <v>871</v>
      </c>
      <c r="F193" t="str">
        <f t="shared" si="2"/>
        <v>UDUPI</v>
      </c>
      <c r="M193" s="2" t="s">
        <v>902</v>
      </c>
    </row>
    <row r="194" spans="1:14" x14ac:dyDescent="0.2">
      <c r="A194" s="2" t="s">
        <v>871</v>
      </c>
      <c r="F194" t="str">
        <f t="shared" si="2"/>
        <v>UDUPI</v>
      </c>
      <c r="M194" s="2" t="s">
        <v>898</v>
      </c>
    </row>
    <row r="195" spans="1:14" x14ac:dyDescent="0.2">
      <c r="A195" s="2" t="s">
        <v>872</v>
      </c>
      <c r="F195" t="str">
        <f t="shared" ref="F195:F258" si="3">CONCATENATE(A195,B195,C195,D195,E195)</f>
        <v>KAMALANGA</v>
      </c>
      <c r="M195" s="2" t="s">
        <v>898</v>
      </c>
    </row>
    <row r="196" spans="1:14" x14ac:dyDescent="0.2">
      <c r="A196" s="2" t="s">
        <v>870</v>
      </c>
      <c r="F196" t="str">
        <f t="shared" si="3"/>
        <v>SALAYA</v>
      </c>
      <c r="M196" s="2" t="s">
        <v>898</v>
      </c>
    </row>
    <row r="197" spans="1:14" x14ac:dyDescent="0.2">
      <c r="A197" s="2" t="s">
        <v>872</v>
      </c>
      <c r="F197" t="str">
        <f t="shared" si="3"/>
        <v>KAMALANGA</v>
      </c>
      <c r="M197" s="2" t="s">
        <v>898</v>
      </c>
    </row>
    <row r="198" spans="1:14" x14ac:dyDescent="0.2">
      <c r="A198" s="2" t="s">
        <v>873</v>
      </c>
      <c r="F198" t="str">
        <f t="shared" si="3"/>
        <v>BINJKOTE</v>
      </c>
      <c r="M198" s="2" t="s">
        <v>939</v>
      </c>
    </row>
    <row r="199" spans="1:14" x14ac:dyDescent="0.2">
      <c r="A199" s="2" t="s">
        <v>872</v>
      </c>
      <c r="F199" t="str">
        <f t="shared" si="3"/>
        <v>KAMALANGA</v>
      </c>
      <c r="M199" s="2" t="s">
        <v>940</v>
      </c>
      <c r="N199" t="s">
        <v>941</v>
      </c>
    </row>
    <row r="200" spans="1:14" x14ac:dyDescent="0.2">
      <c r="A200" s="2" t="s">
        <v>831</v>
      </c>
      <c r="F200" t="str">
        <f t="shared" si="3"/>
        <v>VINDHYACHAL</v>
      </c>
      <c r="M200" s="2" t="s">
        <v>940</v>
      </c>
      <c r="N200" t="s">
        <v>941</v>
      </c>
    </row>
    <row r="201" spans="1:14" x14ac:dyDescent="0.2">
      <c r="A201" s="2" t="s">
        <v>873</v>
      </c>
      <c r="F201" t="str">
        <f t="shared" si="3"/>
        <v>BINJKOTE</v>
      </c>
      <c r="M201" s="2" t="s">
        <v>942</v>
      </c>
    </row>
    <row r="202" spans="1:14" x14ac:dyDescent="0.2">
      <c r="A202" s="2" t="s">
        <v>874</v>
      </c>
      <c r="F202" t="str">
        <f t="shared" si="3"/>
        <v>NAWAPARA</v>
      </c>
      <c r="M202" s="2" t="s">
        <v>942</v>
      </c>
    </row>
    <row r="203" spans="1:14" x14ac:dyDescent="0.2">
      <c r="A203" s="2" t="s">
        <v>831</v>
      </c>
      <c r="F203" t="str">
        <f t="shared" si="3"/>
        <v>VINDHYACHAL</v>
      </c>
      <c r="M203" s="2" t="s">
        <v>886</v>
      </c>
    </row>
    <row r="204" spans="1:14" x14ac:dyDescent="0.2">
      <c r="A204" s="2" t="s">
        <v>874</v>
      </c>
      <c r="F204" t="str">
        <f t="shared" si="3"/>
        <v>NAWAPARA</v>
      </c>
      <c r="M204" s="2" t="s">
        <v>886</v>
      </c>
    </row>
    <row r="205" spans="1:14" x14ac:dyDescent="0.2">
      <c r="A205" s="2" t="s">
        <v>875</v>
      </c>
      <c r="F205" t="str">
        <f t="shared" si="3"/>
        <v>BANDAKHAR</v>
      </c>
      <c r="M205" s="2" t="s">
        <v>886</v>
      </c>
    </row>
    <row r="206" spans="1:14" x14ac:dyDescent="0.2">
      <c r="A206" s="2" t="s">
        <v>832</v>
      </c>
      <c r="F206" t="str">
        <f t="shared" si="3"/>
        <v>CHANDRAPUR</v>
      </c>
      <c r="M206" s="2" t="s">
        <v>886</v>
      </c>
    </row>
    <row r="207" spans="1:14" x14ac:dyDescent="0.2">
      <c r="A207" s="2" t="s">
        <v>876</v>
      </c>
      <c r="F207" t="str">
        <f t="shared" si="3"/>
        <v>HALDIA</v>
      </c>
      <c r="M207" s="2" t="s">
        <v>886</v>
      </c>
    </row>
    <row r="208" spans="1:14" x14ac:dyDescent="0.2">
      <c r="A208" s="2" t="s">
        <v>876</v>
      </c>
      <c r="F208" t="str">
        <f t="shared" si="3"/>
        <v>HALDIA</v>
      </c>
      <c r="M208" s="2" t="s">
        <v>943</v>
      </c>
      <c r="N208" t="s">
        <v>944</v>
      </c>
    </row>
    <row r="209" spans="1:14" x14ac:dyDescent="0.2">
      <c r="A209" s="2" t="s">
        <v>877</v>
      </c>
      <c r="F209" t="str">
        <f t="shared" si="3"/>
        <v>DHARIWAL</v>
      </c>
      <c r="M209" s="2" t="s">
        <v>943</v>
      </c>
      <c r="N209" t="s">
        <v>944</v>
      </c>
    </row>
    <row r="210" spans="1:14" x14ac:dyDescent="0.2">
      <c r="A210" s="2" t="s">
        <v>878</v>
      </c>
      <c r="B210" t="s">
        <v>879</v>
      </c>
      <c r="F210" t="str">
        <f t="shared" si="3"/>
        <v>GMRWARORA</v>
      </c>
      <c r="M210" s="2" t="s">
        <v>945</v>
      </c>
    </row>
    <row r="211" spans="1:14" x14ac:dyDescent="0.2">
      <c r="A211" s="2" t="s">
        <v>866</v>
      </c>
      <c r="F211" t="str">
        <f t="shared" si="3"/>
        <v>TALCHER</v>
      </c>
      <c r="M211" s="2" t="s">
        <v>945</v>
      </c>
    </row>
    <row r="212" spans="1:14" x14ac:dyDescent="0.2">
      <c r="A212" s="2" t="s">
        <v>880</v>
      </c>
      <c r="B212" t="s">
        <v>881</v>
      </c>
      <c r="F212" t="str">
        <f t="shared" si="3"/>
        <v>NABINAGAR</v>
      </c>
      <c r="M212" s="2" t="s">
        <v>945</v>
      </c>
    </row>
    <row r="213" spans="1:14" x14ac:dyDescent="0.2">
      <c r="A213" s="2" t="s">
        <v>804</v>
      </c>
      <c r="F213" t="str">
        <f t="shared" si="3"/>
        <v>ANPARA</v>
      </c>
      <c r="M213" s="2" t="s">
        <v>945</v>
      </c>
    </row>
    <row r="214" spans="1:14" x14ac:dyDescent="0.2">
      <c r="A214" s="2" t="s">
        <v>866</v>
      </c>
      <c r="F214" t="str">
        <f t="shared" si="3"/>
        <v>TALCHER</v>
      </c>
      <c r="M214" s="2" t="s">
        <v>945</v>
      </c>
    </row>
    <row r="215" spans="1:14" x14ac:dyDescent="0.2">
      <c r="A215" s="2" t="s">
        <v>847</v>
      </c>
      <c r="F215" t="str">
        <f t="shared" si="3"/>
        <v>FARAKKA</v>
      </c>
      <c r="M215" s="2" t="s">
        <v>945</v>
      </c>
    </row>
    <row r="216" spans="1:14" x14ac:dyDescent="0.2">
      <c r="A216" s="2" t="s">
        <v>804</v>
      </c>
      <c r="F216" t="str">
        <f t="shared" si="3"/>
        <v>ANPARA</v>
      </c>
      <c r="M216" s="2" t="s">
        <v>946</v>
      </c>
    </row>
    <row r="217" spans="1:14" x14ac:dyDescent="0.2">
      <c r="A217" s="2" t="s">
        <v>847</v>
      </c>
      <c r="F217" t="str">
        <f t="shared" si="3"/>
        <v>FARAKKA</v>
      </c>
      <c r="M217" s="2" t="s">
        <v>866</v>
      </c>
      <c r="N217" t="s">
        <v>947</v>
      </c>
    </row>
    <row r="218" spans="1:14" x14ac:dyDescent="0.2">
      <c r="A218" s="2" t="s">
        <v>832</v>
      </c>
      <c r="F218" t="str">
        <f t="shared" si="3"/>
        <v>CHANDRAPUR</v>
      </c>
      <c r="M218" s="2" t="s">
        <v>866</v>
      </c>
      <c r="N218" t="s">
        <v>947</v>
      </c>
    </row>
    <row r="219" spans="1:14" x14ac:dyDescent="0.2">
      <c r="A219" s="2" t="s">
        <v>832</v>
      </c>
      <c r="F219" t="str">
        <f t="shared" si="3"/>
        <v>CHANDRAPUR</v>
      </c>
      <c r="M219" s="2" t="s">
        <v>866</v>
      </c>
      <c r="N219" t="s">
        <v>947</v>
      </c>
    </row>
    <row r="220" spans="1:14" x14ac:dyDescent="0.2">
      <c r="A220" s="2" t="s">
        <v>865</v>
      </c>
      <c r="F220" t="str">
        <f t="shared" si="3"/>
        <v>RAMAGUNDEM</v>
      </c>
      <c r="M220" s="2" t="s">
        <v>866</v>
      </c>
      <c r="N220" t="s">
        <v>947</v>
      </c>
    </row>
    <row r="221" spans="1:14" x14ac:dyDescent="0.2">
      <c r="A221" s="2" t="s">
        <v>836</v>
      </c>
      <c r="F221" t="str">
        <f t="shared" si="3"/>
        <v>RIHAND</v>
      </c>
      <c r="M221" s="2" t="s">
        <v>866</v>
      </c>
      <c r="N221" t="s">
        <v>947</v>
      </c>
    </row>
    <row r="222" spans="1:14" x14ac:dyDescent="0.2">
      <c r="A222" s="2" t="s">
        <v>865</v>
      </c>
      <c r="F222" t="str">
        <f t="shared" si="3"/>
        <v>RAMAGUNDEM</v>
      </c>
      <c r="M222" s="2" t="s">
        <v>866</v>
      </c>
      <c r="N222" t="s">
        <v>947</v>
      </c>
    </row>
    <row r="223" spans="1:14" x14ac:dyDescent="0.2">
      <c r="A223" s="2" t="s">
        <v>848</v>
      </c>
      <c r="F223" t="str">
        <f t="shared" si="3"/>
        <v>KORBA</v>
      </c>
      <c r="M223" s="2" t="s">
        <v>774</v>
      </c>
    </row>
    <row r="224" spans="1:14" x14ac:dyDescent="0.2">
      <c r="A224" s="2" t="s">
        <v>877</v>
      </c>
      <c r="F224" t="str">
        <f t="shared" si="3"/>
        <v>DHARIWAL</v>
      </c>
      <c r="M224" s="2" t="s">
        <v>774</v>
      </c>
    </row>
    <row r="225" spans="1:14" x14ac:dyDescent="0.2">
      <c r="A225" s="2" t="s">
        <v>878</v>
      </c>
      <c r="B225" t="s">
        <v>879</v>
      </c>
      <c r="F225" t="str">
        <f t="shared" si="3"/>
        <v>GMRWARORA</v>
      </c>
      <c r="M225" s="2" t="s">
        <v>774</v>
      </c>
    </row>
    <row r="226" spans="1:14" x14ac:dyDescent="0.2">
      <c r="A226" s="2" t="s">
        <v>882</v>
      </c>
      <c r="F226" t="str">
        <f t="shared" si="3"/>
        <v>BONGAIGAON</v>
      </c>
      <c r="M226" s="2" t="s">
        <v>774</v>
      </c>
    </row>
    <row r="227" spans="1:14" x14ac:dyDescent="0.2">
      <c r="A227" s="2" t="s">
        <v>865</v>
      </c>
      <c r="F227" t="str">
        <f t="shared" si="3"/>
        <v>RAMAGUNDEM</v>
      </c>
      <c r="M227" s="2" t="s">
        <v>948</v>
      </c>
    </row>
    <row r="228" spans="1:14" x14ac:dyDescent="0.2">
      <c r="A228" s="2" t="s">
        <v>848</v>
      </c>
      <c r="F228" t="str">
        <f t="shared" si="3"/>
        <v>KORBA</v>
      </c>
      <c r="M228" s="2" t="s">
        <v>948</v>
      </c>
    </row>
    <row r="229" spans="1:14" x14ac:dyDescent="0.2">
      <c r="A229" s="2" t="s">
        <v>836</v>
      </c>
      <c r="F229" t="str">
        <f t="shared" si="3"/>
        <v>RIHAND</v>
      </c>
      <c r="M229" s="2" t="s">
        <v>949</v>
      </c>
    </row>
    <row r="230" spans="1:14" x14ac:dyDescent="0.2">
      <c r="A230" s="2" t="s">
        <v>883</v>
      </c>
      <c r="F230" t="str">
        <f t="shared" si="3"/>
        <v>BUTIBORI</v>
      </c>
      <c r="M230" s="2" t="s">
        <v>949</v>
      </c>
    </row>
    <row r="231" spans="1:14" x14ac:dyDescent="0.2">
      <c r="A231" s="2" t="s">
        <v>884</v>
      </c>
      <c r="C231" t="s">
        <v>885</v>
      </c>
      <c r="F231" t="str">
        <f t="shared" si="3"/>
        <v>ROSAPH-I</v>
      </c>
      <c r="M231" s="2" t="s">
        <v>950</v>
      </c>
      <c r="N231" t="s">
        <v>954</v>
      </c>
    </row>
    <row r="232" spans="1:14" x14ac:dyDescent="0.2">
      <c r="A232" s="2" t="s">
        <v>886</v>
      </c>
      <c r="F232" t="str">
        <f t="shared" si="3"/>
        <v>SINGRAULI</v>
      </c>
      <c r="M232" s="2" t="s">
        <v>950</v>
      </c>
      <c r="N232" t="s">
        <v>954</v>
      </c>
    </row>
    <row r="233" spans="1:14" x14ac:dyDescent="0.2">
      <c r="A233" s="2" t="s">
        <v>887</v>
      </c>
      <c r="F233" t="str">
        <f t="shared" si="3"/>
        <v>BARAUNI</v>
      </c>
      <c r="M233" s="2" t="s">
        <v>950</v>
      </c>
      <c r="N233" t="s">
        <v>955</v>
      </c>
    </row>
    <row r="234" spans="1:14" x14ac:dyDescent="0.2">
      <c r="A234" s="2" t="s">
        <v>884</v>
      </c>
      <c r="C234" t="s">
        <v>885</v>
      </c>
      <c r="F234" t="str">
        <f t="shared" si="3"/>
        <v>ROSAPH-I</v>
      </c>
      <c r="M234" s="2" t="s">
        <v>950</v>
      </c>
      <c r="N234" t="s">
        <v>955</v>
      </c>
    </row>
    <row r="235" spans="1:14" x14ac:dyDescent="0.2">
      <c r="A235" s="2" t="s">
        <v>888</v>
      </c>
      <c r="B235" t="s">
        <v>889</v>
      </c>
      <c r="F235" t="str">
        <f t="shared" si="3"/>
        <v>GOINDWALSAHIB</v>
      </c>
      <c r="M235" s="2" t="s">
        <v>951</v>
      </c>
    </row>
    <row r="236" spans="1:14" x14ac:dyDescent="0.2">
      <c r="A236" s="2" t="s">
        <v>883</v>
      </c>
      <c r="F236" t="str">
        <f t="shared" si="3"/>
        <v>BUTIBORI</v>
      </c>
      <c r="M236" s="2" t="s">
        <v>951</v>
      </c>
    </row>
    <row r="237" spans="1:14" x14ac:dyDescent="0.2">
      <c r="A237" s="2" t="s">
        <v>888</v>
      </c>
      <c r="B237" t="s">
        <v>889</v>
      </c>
      <c r="F237" t="str">
        <f t="shared" si="3"/>
        <v>GOINDWALSAHIB</v>
      </c>
      <c r="M237" s="2" t="s">
        <v>850</v>
      </c>
    </row>
    <row r="238" spans="1:14" x14ac:dyDescent="0.2">
      <c r="A238" s="2" t="s">
        <v>890</v>
      </c>
      <c r="F238" t="str">
        <f t="shared" si="3"/>
        <v>BALCO</v>
      </c>
      <c r="M238" s="2" t="s">
        <v>850</v>
      </c>
    </row>
    <row r="239" spans="1:14" x14ac:dyDescent="0.2">
      <c r="A239" s="2" t="s">
        <v>848</v>
      </c>
      <c r="F239" t="str">
        <f t="shared" si="3"/>
        <v>KORBA</v>
      </c>
      <c r="M239" s="2" t="s">
        <v>850</v>
      </c>
    </row>
    <row r="240" spans="1:14" x14ac:dyDescent="0.2">
      <c r="A240" s="2" t="s">
        <v>880</v>
      </c>
      <c r="B240" t="s">
        <v>881</v>
      </c>
      <c r="F240" t="str">
        <f t="shared" si="3"/>
        <v>NABINAGAR</v>
      </c>
      <c r="M240" s="2" t="s">
        <v>850</v>
      </c>
    </row>
    <row r="241" spans="1:13" x14ac:dyDescent="0.2">
      <c r="A241" s="2" t="s">
        <v>886</v>
      </c>
      <c r="F241" t="str">
        <f t="shared" si="3"/>
        <v>SINGRAULI</v>
      </c>
      <c r="M241" s="2" t="s">
        <v>850</v>
      </c>
    </row>
    <row r="242" spans="1:13" x14ac:dyDescent="0.2">
      <c r="A242" s="2" t="s">
        <v>882</v>
      </c>
      <c r="F242" t="str">
        <f t="shared" si="3"/>
        <v>BONGAIGAON</v>
      </c>
      <c r="M242" s="2" t="s">
        <v>852</v>
      </c>
    </row>
    <row r="243" spans="1:13" x14ac:dyDescent="0.2">
      <c r="A243" s="2" t="s">
        <v>890</v>
      </c>
      <c r="F243" t="str">
        <f t="shared" si="3"/>
        <v>BALCO</v>
      </c>
      <c r="M243" s="2" t="s">
        <v>852</v>
      </c>
    </row>
    <row r="244" spans="1:13" x14ac:dyDescent="0.2">
      <c r="A244" s="2" t="s">
        <v>891</v>
      </c>
      <c r="F244" t="str">
        <f t="shared" si="3"/>
        <v>AMRAVATI</v>
      </c>
      <c r="M244" s="2" t="s">
        <v>852</v>
      </c>
    </row>
    <row r="245" spans="1:13" x14ac:dyDescent="0.2">
      <c r="A245" s="2" t="s">
        <v>891</v>
      </c>
      <c r="F245" t="str">
        <f t="shared" si="3"/>
        <v>AMRAVATI</v>
      </c>
      <c r="M245" s="2" t="s">
        <v>825</v>
      </c>
    </row>
    <row r="246" spans="1:13" x14ac:dyDescent="0.2">
      <c r="A246" s="2" t="s">
        <v>891</v>
      </c>
      <c r="F246" t="str">
        <f t="shared" si="3"/>
        <v>AMRAVATI</v>
      </c>
      <c r="M246" s="2" t="s">
        <v>825</v>
      </c>
    </row>
    <row r="247" spans="1:13" x14ac:dyDescent="0.2">
      <c r="A247" s="2" t="s">
        <v>884</v>
      </c>
      <c r="C247" t="s">
        <v>885</v>
      </c>
      <c r="F247" t="str">
        <f t="shared" si="3"/>
        <v>ROSAPH-I</v>
      </c>
      <c r="M247" s="2" t="s">
        <v>825</v>
      </c>
    </row>
    <row r="248" spans="1:13" x14ac:dyDescent="0.2">
      <c r="A248" s="2" t="s">
        <v>892</v>
      </c>
      <c r="F248" t="str">
        <f t="shared" si="3"/>
        <v>PATHADI</v>
      </c>
      <c r="M248" s="2" t="s">
        <v>825</v>
      </c>
    </row>
    <row r="249" spans="1:13" x14ac:dyDescent="0.2">
      <c r="A249" s="2" t="s">
        <v>880</v>
      </c>
      <c r="B249" t="s">
        <v>881</v>
      </c>
      <c r="F249" t="str">
        <f t="shared" si="3"/>
        <v>NABINAGAR</v>
      </c>
      <c r="M249" s="2" t="s">
        <v>825</v>
      </c>
    </row>
    <row r="250" spans="1:13" x14ac:dyDescent="0.2">
      <c r="A250" s="2" t="s">
        <v>893</v>
      </c>
      <c r="F250" t="str">
        <f t="shared" si="3"/>
        <v>PARLI</v>
      </c>
      <c r="M250" s="2" t="s">
        <v>952</v>
      </c>
    </row>
    <row r="251" spans="1:13" x14ac:dyDescent="0.2">
      <c r="A251" s="2" t="s">
        <v>884</v>
      </c>
      <c r="C251" t="s">
        <v>885</v>
      </c>
      <c r="F251" t="str">
        <f t="shared" si="3"/>
        <v>ROSAPH-I</v>
      </c>
      <c r="M251" s="2" t="s">
        <v>952</v>
      </c>
    </row>
    <row r="252" spans="1:13" x14ac:dyDescent="0.2">
      <c r="A252" s="2" t="s">
        <v>891</v>
      </c>
      <c r="F252" t="str">
        <f t="shared" si="3"/>
        <v>AMRAVATI</v>
      </c>
      <c r="M252" s="2" t="s">
        <v>831</v>
      </c>
    </row>
    <row r="253" spans="1:13" x14ac:dyDescent="0.2">
      <c r="A253" s="2" t="s">
        <v>894</v>
      </c>
      <c r="B253" t="s">
        <v>895</v>
      </c>
      <c r="F253" t="str">
        <f t="shared" si="3"/>
        <v>MAHADEVPRASAD</v>
      </c>
      <c r="M253" s="2" t="s">
        <v>831</v>
      </c>
    </row>
    <row r="254" spans="1:13" x14ac:dyDescent="0.2">
      <c r="A254" s="2" t="s">
        <v>892</v>
      </c>
      <c r="F254" t="str">
        <f t="shared" si="3"/>
        <v>PATHADI</v>
      </c>
      <c r="M254" s="2" t="s">
        <v>831</v>
      </c>
    </row>
    <row r="255" spans="1:13" x14ac:dyDescent="0.2">
      <c r="A255" s="2" t="s">
        <v>894</v>
      </c>
      <c r="B255" t="s">
        <v>895</v>
      </c>
      <c r="F255" t="str">
        <f t="shared" si="3"/>
        <v>MAHADEVPRASAD</v>
      </c>
      <c r="M255" s="2" t="s">
        <v>831</v>
      </c>
    </row>
    <row r="256" spans="1:13" x14ac:dyDescent="0.2">
      <c r="A256" s="2" t="s">
        <v>882</v>
      </c>
      <c r="F256" t="str">
        <f t="shared" si="3"/>
        <v>BONGAIGAON</v>
      </c>
      <c r="M256" s="2" t="s">
        <v>831</v>
      </c>
    </row>
    <row r="257" spans="1:14" x14ac:dyDescent="0.2">
      <c r="A257" s="2" t="s">
        <v>891</v>
      </c>
      <c r="F257" t="str">
        <f t="shared" si="3"/>
        <v>AMRAVATI</v>
      </c>
      <c r="M257" s="2" t="s">
        <v>831</v>
      </c>
    </row>
    <row r="258" spans="1:14" x14ac:dyDescent="0.2">
      <c r="A258" s="2" t="s">
        <v>824</v>
      </c>
      <c r="F258" t="str">
        <f t="shared" si="3"/>
        <v>SAGARDIGHI</v>
      </c>
      <c r="M258" s="2" t="s">
        <v>769</v>
      </c>
    </row>
    <row r="259" spans="1:14" x14ac:dyDescent="0.2">
      <c r="A259" s="2" t="s">
        <v>778</v>
      </c>
      <c r="F259" t="str">
        <f t="shared" ref="F259:F276" si="4">CONCATENATE(A259,B259,C259,D259,E259)</f>
        <v>CHHABRA</v>
      </c>
      <c r="M259" s="2" t="s">
        <v>769</v>
      </c>
    </row>
    <row r="260" spans="1:14" x14ac:dyDescent="0.2">
      <c r="A260" s="2" t="s">
        <v>896</v>
      </c>
      <c r="B260" t="s">
        <v>881</v>
      </c>
      <c r="F260" t="str">
        <f t="shared" si="4"/>
        <v>YAMUNANAGAR</v>
      </c>
      <c r="M260" s="2" t="s">
        <v>769</v>
      </c>
    </row>
    <row r="261" spans="1:14" x14ac:dyDescent="0.2">
      <c r="A261" s="2" t="s">
        <v>897</v>
      </c>
      <c r="F261" t="str">
        <f t="shared" si="4"/>
        <v>D.P.L.</v>
      </c>
      <c r="M261" s="2" t="s">
        <v>769</v>
      </c>
    </row>
    <row r="262" spans="1:14" x14ac:dyDescent="0.2">
      <c r="A262" s="2" t="s">
        <v>897</v>
      </c>
      <c r="F262" t="str">
        <f t="shared" si="4"/>
        <v>D.P.L.</v>
      </c>
      <c r="M262" s="2" t="s">
        <v>769</v>
      </c>
    </row>
    <row r="263" spans="1:14" x14ac:dyDescent="0.2">
      <c r="A263" s="2" t="s">
        <v>824</v>
      </c>
      <c r="F263" t="str">
        <f t="shared" si="4"/>
        <v>SAGARDIGHI</v>
      </c>
      <c r="M263" s="2" t="s">
        <v>769</v>
      </c>
    </row>
    <row r="264" spans="1:14" x14ac:dyDescent="0.2">
      <c r="A264" s="2" t="s">
        <v>898</v>
      </c>
      <c r="F264" t="str">
        <f t="shared" si="4"/>
        <v>SATPURA</v>
      </c>
      <c r="M264" s="2" t="s">
        <v>769</v>
      </c>
    </row>
    <row r="265" spans="1:14" x14ac:dyDescent="0.2">
      <c r="A265" s="2" t="s">
        <v>896</v>
      </c>
      <c r="B265" t="s">
        <v>881</v>
      </c>
      <c r="F265" t="str">
        <f t="shared" si="4"/>
        <v>YAMUNANAGAR</v>
      </c>
      <c r="M265" s="2" t="s">
        <v>953</v>
      </c>
      <c r="N265" t="s">
        <v>879</v>
      </c>
    </row>
    <row r="266" spans="1:14" x14ac:dyDescent="0.2">
      <c r="A266" s="2" t="s">
        <v>778</v>
      </c>
      <c r="F266" t="str">
        <f t="shared" si="4"/>
        <v>CHHABRA</v>
      </c>
      <c r="M266" s="2" t="s">
        <v>953</v>
      </c>
      <c r="N266" t="s">
        <v>879</v>
      </c>
    </row>
    <row r="267" spans="1:14" x14ac:dyDescent="0.2">
      <c r="A267" s="2" t="s">
        <v>899</v>
      </c>
      <c r="F267" t="str">
        <f t="shared" si="4"/>
        <v>BINA</v>
      </c>
      <c r="M267" s="2" t="s">
        <v>953</v>
      </c>
      <c r="N267" t="s">
        <v>879</v>
      </c>
    </row>
    <row r="268" spans="1:14" x14ac:dyDescent="0.2">
      <c r="A268" s="2" t="s">
        <v>900</v>
      </c>
      <c r="F268" t="str">
        <f t="shared" si="4"/>
        <v>PARICHHA</v>
      </c>
    </row>
    <row r="269" spans="1:14" x14ac:dyDescent="0.2">
      <c r="A269" s="2" t="s">
        <v>898</v>
      </c>
      <c r="F269" t="str">
        <f t="shared" si="4"/>
        <v>SATPURA</v>
      </c>
    </row>
    <row r="270" spans="1:14" x14ac:dyDescent="0.2">
      <c r="A270" s="2" t="s">
        <v>899</v>
      </c>
      <c r="F270" t="str">
        <f t="shared" si="4"/>
        <v>BINA</v>
      </c>
    </row>
    <row r="271" spans="1:14" x14ac:dyDescent="0.2">
      <c r="A271" s="2" t="s">
        <v>901</v>
      </c>
      <c r="F271" t="str">
        <f t="shared" si="4"/>
        <v>HARDUAGANJ</v>
      </c>
    </row>
    <row r="272" spans="1:14" x14ac:dyDescent="0.2">
      <c r="A272" s="2" t="s">
        <v>900</v>
      </c>
      <c r="F272" t="str">
        <f t="shared" si="4"/>
        <v>PARICHHA</v>
      </c>
    </row>
    <row r="273" spans="1:6" x14ac:dyDescent="0.2">
      <c r="A273" s="2" t="s">
        <v>902</v>
      </c>
      <c r="F273" t="str">
        <f t="shared" si="4"/>
        <v>SANTALDIH</v>
      </c>
    </row>
    <row r="274" spans="1:6" x14ac:dyDescent="0.2">
      <c r="A274" s="2" t="s">
        <v>901</v>
      </c>
      <c r="F274" t="str">
        <f t="shared" si="4"/>
        <v>HARDUAGANJ</v>
      </c>
    </row>
    <row r="275" spans="1:6" x14ac:dyDescent="0.2">
      <c r="A275" s="2" t="s">
        <v>903</v>
      </c>
      <c r="F275" t="str">
        <f t="shared" si="4"/>
        <v>MUZAFFARPUR</v>
      </c>
    </row>
    <row r="276" spans="1:6" x14ac:dyDescent="0.2">
      <c r="A276" s="2" t="s">
        <v>904</v>
      </c>
      <c r="F276" t="str">
        <f t="shared" si="4"/>
        <v>RAICHUR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H11"/>
  <sheetViews>
    <sheetView topLeftCell="A2" workbookViewId="0">
      <selection activeCell="E14" sqref="E14"/>
    </sheetView>
  </sheetViews>
  <sheetFormatPr baseColWidth="10" defaultColWidth="8.83203125" defaultRowHeight="15" x14ac:dyDescent="0.2"/>
  <cols>
    <col min="2" max="2" width="15.5" customWidth="1"/>
    <col min="3" max="3" width="45.6640625" bestFit="1" customWidth="1"/>
    <col min="4" max="4" width="16.1640625" bestFit="1" customWidth="1"/>
    <col min="5" max="5" width="17.6640625" bestFit="1" customWidth="1"/>
    <col min="6" max="6" width="24.33203125" bestFit="1" customWidth="1"/>
    <col min="7" max="7" width="28.33203125" bestFit="1" customWidth="1"/>
    <col min="8" max="8" width="16.6640625" bestFit="1" customWidth="1"/>
  </cols>
  <sheetData>
    <row r="2" spans="2:8" x14ac:dyDescent="0.2">
      <c r="C2" t="s">
        <v>1236</v>
      </c>
      <c r="D2" t="s">
        <v>1237</v>
      </c>
      <c r="E2" t="s">
        <v>1241</v>
      </c>
      <c r="F2" t="s">
        <v>1242</v>
      </c>
      <c r="G2" t="s">
        <v>1244</v>
      </c>
      <c r="H2" t="s">
        <v>1243</v>
      </c>
    </row>
    <row r="3" spans="2:8" x14ac:dyDescent="0.2">
      <c r="B3" t="s">
        <v>1233</v>
      </c>
      <c r="C3">
        <v>1566</v>
      </c>
      <c r="D3">
        <v>226</v>
      </c>
      <c r="E3" s="36">
        <f>(C3*1000)/365</f>
        <v>4290.41095890411</v>
      </c>
      <c r="F3">
        <v>1072</v>
      </c>
      <c r="G3" s="36">
        <f>(F3*1000)/365</f>
        <v>2936.9863013698632</v>
      </c>
      <c r="H3" s="1">
        <f>G3/E3</f>
        <v>0.68454661558109831</v>
      </c>
    </row>
    <row r="4" spans="2:8" x14ac:dyDescent="0.2">
      <c r="B4" t="s">
        <v>1234</v>
      </c>
      <c r="C4">
        <v>2047</v>
      </c>
      <c r="D4">
        <v>299</v>
      </c>
      <c r="E4" s="36">
        <f>(C4*1000)/365</f>
        <v>5608.2191780821922</v>
      </c>
      <c r="F4">
        <v>1259</v>
      </c>
      <c r="G4" s="36">
        <f>(F4*1000)/365</f>
        <v>3449.3150684931506</v>
      </c>
      <c r="H4" s="1">
        <f>G4/E4</f>
        <v>0.61504640937957977</v>
      </c>
    </row>
    <row r="5" spans="2:8" x14ac:dyDescent="0.2">
      <c r="B5" t="s">
        <v>1235</v>
      </c>
      <c r="C5">
        <v>2325</v>
      </c>
      <c r="D5">
        <v>340</v>
      </c>
      <c r="E5" s="36">
        <f>(C5*1000)/365</f>
        <v>6369.8630136986303</v>
      </c>
      <c r="F5">
        <v>1358</v>
      </c>
      <c r="G5" s="36">
        <f>(F5*1000)/365</f>
        <v>3720.5479452054797</v>
      </c>
      <c r="H5" s="1">
        <f>G5/E5</f>
        <v>0.58408602150537636</v>
      </c>
    </row>
    <row r="7" spans="2:8" x14ac:dyDescent="0.2">
      <c r="C7" t="s">
        <v>1240</v>
      </c>
      <c r="D7" t="s">
        <v>1238</v>
      </c>
    </row>
    <row r="8" spans="2:8" x14ac:dyDescent="0.2">
      <c r="B8" t="s">
        <v>1239</v>
      </c>
      <c r="C8">
        <v>266911</v>
      </c>
      <c r="D8" s="70">
        <v>0.3266</v>
      </c>
    </row>
    <row r="11" spans="2:8" x14ac:dyDescent="0.2">
      <c r="D11" s="7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Pivot</vt:lpstr>
      <vt:lpstr>Coal savings</vt:lpstr>
      <vt:lpstr>Decommissioned</vt:lpstr>
      <vt:lpstr>Results</vt:lpstr>
      <vt:lpstr>Fixed cost</vt:lpstr>
      <vt:lpstr>Mines </vt:lpstr>
      <vt:lpstr>Sheet2</vt:lpstr>
      <vt:lpstr>Sheet1</vt:lpstr>
      <vt:lpstr>Sheet3</vt:lpstr>
      <vt:lpstr>Sheet4</vt:lpstr>
      <vt:lpstr>Target PLF</vt:lpstr>
      <vt:lpstr>State allocation</vt:lpstr>
      <vt:lpstr>Allocation summary</vt:lpstr>
      <vt:lpstr>Word cloud </vt:lpstr>
      <vt:lpstr>Future scenario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Danwant</dc:creator>
  <cp:lastModifiedBy>Serena Patel</cp:lastModifiedBy>
  <dcterms:created xsi:type="dcterms:W3CDTF">2015-06-05T18:17:20Z</dcterms:created>
  <dcterms:modified xsi:type="dcterms:W3CDTF">2023-08-04T20:57:15Z</dcterms:modified>
</cp:coreProperties>
</file>